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08847D13-9B20-4BDD-AB0B-E688FF88AA83}" xr6:coauthVersionLast="47" xr6:coauthVersionMax="47" xr10:uidLastSave="{00000000-0000-0000-0000-000000000000}"/>
  <bookViews>
    <workbookView xWindow="-108" yWindow="-108" windowWidth="23256" windowHeight="12576" tabRatio="613" firstSheet="129" activeTab="131" xr2:uid="{00000000-000D-0000-FFFF-FFFF00000000}"/>
  </bookViews>
  <sheets>
    <sheet name="APRIL 2013" sheetId="5" r:id="rId1"/>
    <sheet name="MAY 2013" sheetId="6" r:id="rId2"/>
    <sheet name="JUNE 2013" sheetId="7" r:id="rId3"/>
    <sheet name="JULY 2013" sheetId="8" r:id="rId4"/>
    <sheet name="AUG 2013" sheetId="9" r:id="rId5"/>
    <sheet name="SEP 2013" sheetId="10" r:id="rId6"/>
    <sheet name="OCT 2013" sheetId="11" r:id="rId7"/>
    <sheet name="NOV 2013" sheetId="12" r:id="rId8"/>
    <sheet name="DEC 2013" sheetId="13" r:id="rId9"/>
    <sheet name="JAN 2014" sheetId="14" r:id="rId10"/>
    <sheet name="FEB 2014" sheetId="15" r:id="rId11"/>
    <sheet name="MARCH 2014" sheetId="16" r:id="rId12"/>
    <sheet name="APRIL 2014" sheetId="17" r:id="rId13"/>
    <sheet name="MAY 2014" sheetId="18" r:id="rId14"/>
    <sheet name="JUNE 2014" sheetId="19" r:id="rId15"/>
    <sheet name="JULY 2014" sheetId="20" r:id="rId16"/>
    <sheet name="AUG 2014" sheetId="21" r:id="rId17"/>
    <sheet name="SEP 2014" sheetId="22" r:id="rId18"/>
    <sheet name="OCT 2014" sheetId="23" r:id="rId19"/>
    <sheet name="NOV 2014" sheetId="24" r:id="rId20"/>
    <sheet name="DEC 2014" sheetId="25" r:id="rId21"/>
    <sheet name="JAN 2015" sheetId="26" r:id="rId22"/>
    <sheet name="FEB 2015" sheetId="27" r:id="rId23"/>
    <sheet name="MARCH 2015" sheetId="28" r:id="rId24"/>
    <sheet name="APRIL 2015" sheetId="29" r:id="rId25"/>
    <sheet name="MAY 2015" sheetId="30" r:id="rId26"/>
    <sheet name="JUNE 2015" sheetId="31" r:id="rId27"/>
    <sheet name="JULY 2015" sheetId="32" r:id="rId28"/>
    <sheet name="AUGUST 2015" sheetId="33" r:id="rId29"/>
    <sheet name="SEP 2015" sheetId="34" r:id="rId30"/>
    <sheet name="OCT 2015" sheetId="35" r:id="rId31"/>
    <sheet name="NOV 2015" sheetId="37" r:id="rId32"/>
    <sheet name="DEC 2015" sheetId="38" r:id="rId33"/>
    <sheet name="JAN 2016" sheetId="39" r:id="rId34"/>
    <sheet name="FEB 2016" sheetId="44" r:id="rId35"/>
    <sheet name="MARCH 2016" sheetId="45" r:id="rId36"/>
    <sheet name="APRIL 2016" sheetId="46" r:id="rId37"/>
    <sheet name="MAY 2016" sheetId="47" r:id="rId38"/>
    <sheet name="JUNE 2016" sheetId="48" r:id="rId39"/>
    <sheet name="JULY 2016" sheetId="49" r:id="rId40"/>
    <sheet name="AUG 2016" sheetId="50" r:id="rId41"/>
    <sheet name="SEP 2016" sheetId="51" r:id="rId42"/>
    <sheet name="OCT 2016" sheetId="52" r:id="rId43"/>
    <sheet name="NOV 2016" sheetId="53" r:id="rId44"/>
    <sheet name="DEC 2016" sheetId="54" r:id="rId45"/>
    <sheet name="JAN 2017" sheetId="55" r:id="rId46"/>
    <sheet name="FEB 2017" sheetId="56" r:id="rId47"/>
    <sheet name="MARCH 2017" sheetId="57" r:id="rId48"/>
    <sheet name="APRIL 2017" sheetId="58" r:id="rId49"/>
    <sheet name="MAY 2017" sheetId="59" r:id="rId50"/>
    <sheet name="JUNE 2017" sheetId="60" r:id="rId51"/>
    <sheet name="JULY 2017" sheetId="61" r:id="rId52"/>
    <sheet name="AUG 2017" sheetId="65" r:id="rId53"/>
    <sheet name="SEP 2017" sheetId="66" r:id="rId54"/>
    <sheet name="OCT 2017" sheetId="68" r:id="rId55"/>
    <sheet name="NOV 2017" sheetId="69" r:id="rId56"/>
    <sheet name="DEC-2017" sheetId="70" r:id="rId57"/>
    <sheet name="JAN-2018" sheetId="72" r:id="rId58"/>
    <sheet name="FEB-2018" sheetId="73" r:id="rId59"/>
    <sheet name="MARCH-2018" sheetId="75" r:id="rId60"/>
    <sheet name="APRIL-2018" sheetId="76" r:id="rId61"/>
    <sheet name="MAY-2018" sheetId="78" r:id="rId62"/>
    <sheet name="JUNE -2018" sheetId="79" r:id="rId63"/>
    <sheet name="JULY -2018" sheetId="80" r:id="rId64"/>
    <sheet name="AUGUST-2018" sheetId="81" r:id="rId65"/>
    <sheet name="SEP-2018" sheetId="82" r:id="rId66"/>
    <sheet name="OCT - 2018" sheetId="83" r:id="rId67"/>
    <sheet name="NOV-2018" sheetId="84" r:id="rId68"/>
    <sheet name="DEC 2018" sheetId="85" r:id="rId69"/>
    <sheet name="JAN-2019" sheetId="86" r:id="rId70"/>
    <sheet name="FEB -2019" sheetId="87" r:id="rId71"/>
    <sheet name="MARCH-2019" sheetId="88" r:id="rId72"/>
    <sheet name="APRIL -2019" sheetId="89" r:id="rId73"/>
    <sheet name="MAY -2019" sheetId="90" r:id="rId74"/>
    <sheet name="JUN-2019" sheetId="91" r:id="rId75"/>
    <sheet name="JULY 2019" sheetId="92" r:id="rId76"/>
    <sheet name="AUGUST 2019" sheetId="93" r:id="rId77"/>
    <sheet name="SEP 2019" sheetId="94" r:id="rId78"/>
    <sheet name="OCT 2019" sheetId="95" r:id="rId79"/>
    <sheet name="NOV 2019" sheetId="96" r:id="rId80"/>
    <sheet name="DEC 2019" sheetId="97" r:id="rId81"/>
    <sheet name="JAN 2020" sheetId="98" r:id="rId82"/>
    <sheet name="FEB 2020" sheetId="99" r:id="rId83"/>
    <sheet name="MARCH 2020" sheetId="100" r:id="rId84"/>
    <sheet name="APRIL 2020" sheetId="101" r:id="rId85"/>
    <sheet name="MAY 2020" sheetId="102" r:id="rId86"/>
    <sheet name="JUNE 2020" sheetId="103" r:id="rId87"/>
    <sheet name="JULY 2020" sheetId="104" r:id="rId88"/>
    <sheet name="AUGUST 2020" sheetId="105" r:id="rId89"/>
    <sheet name="SEP 2020" sheetId="106" r:id="rId90"/>
    <sheet name="OCT 2020" sheetId="107" r:id="rId91"/>
    <sheet name="NOV 2020" sheetId="108" r:id="rId92"/>
    <sheet name="DEC 2020" sheetId="109" r:id="rId93"/>
    <sheet name="JAN 2021" sheetId="110" r:id="rId94"/>
    <sheet name="FEB 2021" sheetId="111" r:id="rId95"/>
    <sheet name="MARCH 2021" sheetId="112" r:id="rId96"/>
    <sheet name="APRIL 2021" sheetId="113" r:id="rId97"/>
    <sheet name="MAY 2021" sheetId="114" r:id="rId98"/>
    <sheet name="JUNE 2021" sheetId="115" r:id="rId99"/>
    <sheet name="JULY 2021" sheetId="116" r:id="rId100"/>
    <sheet name="AUGUST 2021" sheetId="117" r:id="rId101"/>
    <sheet name="SEP 2021" sheetId="118" r:id="rId102"/>
    <sheet name="OCTOBER 2021" sheetId="119" r:id="rId103"/>
    <sheet name="NOV 2021" sheetId="120" r:id="rId104"/>
    <sheet name="DEC 2021" sheetId="121" r:id="rId105"/>
    <sheet name="JAN 2022" sheetId="122" r:id="rId106"/>
    <sheet name="FEB 2022" sheetId="123" r:id="rId107"/>
    <sheet name="MARCH 2022" sheetId="124" r:id="rId108"/>
    <sheet name="APRIL 2022" sheetId="125" r:id="rId109"/>
    <sheet name="MAY 2022" sheetId="126" r:id="rId110"/>
    <sheet name="JUNE 2022" sheetId="127" r:id="rId111"/>
    <sheet name="JULY 2022" sheetId="128" r:id="rId112"/>
    <sheet name="AUGUST 2022" sheetId="129" r:id="rId113"/>
    <sheet name="SEP-2022" sheetId="130" r:id="rId114"/>
    <sheet name="OCT-2022" sheetId="131" r:id="rId115"/>
    <sheet name="NOV 2022" sheetId="132" r:id="rId116"/>
    <sheet name="DEC 2022" sheetId="133" r:id="rId117"/>
    <sheet name="JAN 2023" sheetId="134" r:id="rId118"/>
    <sheet name="FEB 2023" sheetId="135" r:id="rId119"/>
    <sheet name="MARCH-2023" sheetId="136" r:id="rId120"/>
    <sheet name="APRIL 2023" sheetId="137" r:id="rId121"/>
    <sheet name="MAY 2023" sheetId="138" r:id="rId122"/>
    <sheet name="JUN 2023" sheetId="139" r:id="rId123"/>
    <sheet name="JULY 2023" sheetId="140" r:id="rId124"/>
    <sheet name="AUGUST 2023" sheetId="141" r:id="rId125"/>
    <sheet name="SEP 2023" sheetId="142" r:id="rId126"/>
    <sheet name="OCT 2023" sheetId="143" r:id="rId127"/>
    <sheet name="NOV 2023" sheetId="144" r:id="rId128"/>
    <sheet name="DEC 2023" sheetId="145" r:id="rId129"/>
    <sheet name="JAN 2024" sheetId="147" r:id="rId130"/>
    <sheet name="FEB 2024" sheetId="148" r:id="rId131"/>
    <sheet name="MARCH 2024" sheetId="149" r:id="rId132"/>
    <sheet name="MASTER " sheetId="62" r:id="rId133"/>
  </sheets>
  <definedNames>
    <definedName name="_xlnm._FilterDatabase" localSheetId="72" hidden="1">'APRIL -2019'!$A$214:$W$238</definedName>
    <definedName name="_xlnm._FilterDatabase" localSheetId="84" hidden="1">'APRIL 2020'!$A$215:$W$240</definedName>
    <definedName name="_xlnm._FilterDatabase" localSheetId="96" hidden="1">'APRIL 2021'!$A$215:$W$240</definedName>
    <definedName name="_xlnm._FilterDatabase" localSheetId="108" hidden="1">'APRIL 2022'!$A$216:$W$241</definedName>
    <definedName name="_xlnm._FilterDatabase" localSheetId="120" hidden="1">'APRIL 2023'!$A$220:$W$245</definedName>
    <definedName name="_xlnm._FilterDatabase" localSheetId="60" hidden="1">'APRIL-2018'!$A$214:$W$238</definedName>
    <definedName name="_xlnm._FilterDatabase" localSheetId="52" hidden="1">'AUG 2017'!$A$214:$W$238</definedName>
    <definedName name="_xlnm._FilterDatabase" localSheetId="76" hidden="1">'AUGUST 2019'!$A$215:$W$239</definedName>
    <definedName name="_xlnm._FilterDatabase" localSheetId="88" hidden="1">'AUGUST 2020'!$A$211:$W$235</definedName>
    <definedName name="_xlnm._FilterDatabase" localSheetId="100" hidden="1">'AUGUST 2021'!$A$215:$W$240</definedName>
    <definedName name="_xlnm._FilterDatabase" localSheetId="112" hidden="1">'AUGUST 2022'!$A$217:$W$242</definedName>
    <definedName name="_xlnm._FilterDatabase" localSheetId="124" hidden="1">'AUGUST 2023'!$A$228:$W$253</definedName>
    <definedName name="_xlnm._FilterDatabase" localSheetId="64" hidden="1">'AUGUST-2018'!$A$214:$W$238</definedName>
    <definedName name="_xlnm._FilterDatabase" localSheetId="68" hidden="1">'DEC 2018'!$A$214:$W$238</definedName>
    <definedName name="_xlnm._FilterDatabase" localSheetId="80" hidden="1">'DEC 2019'!$A$215:$W$240</definedName>
    <definedName name="_xlnm._FilterDatabase" localSheetId="92" hidden="1">'DEC 2020'!$A$215:$W$240</definedName>
    <definedName name="_xlnm._FilterDatabase" localSheetId="104" hidden="1">'DEC 2021'!$A$216:$W$241</definedName>
    <definedName name="_xlnm._FilterDatabase" localSheetId="116" hidden="1">'DEC 2022'!$A$220:$W$245</definedName>
    <definedName name="_xlnm._FilterDatabase" localSheetId="128" hidden="1">'DEC 2023'!$A$228:$W$253</definedName>
    <definedName name="_xlnm._FilterDatabase" localSheetId="56" hidden="1">'DEC-2017'!$A$214:$W$238</definedName>
    <definedName name="_xlnm._FilterDatabase" localSheetId="70" hidden="1">'FEB -2019'!$A$214:$W$238</definedName>
    <definedName name="_xlnm._FilterDatabase" localSheetId="82" hidden="1">'FEB 2020'!$A$215:$W$240</definedName>
    <definedName name="_xlnm._FilterDatabase" localSheetId="94" hidden="1">'FEB 2021'!$A$215:$W$240</definedName>
    <definedName name="_xlnm._FilterDatabase" localSheetId="106" hidden="1">'FEB 2022'!$A$216:$W$241</definedName>
    <definedName name="_xlnm._FilterDatabase" localSheetId="118" hidden="1">'FEB 2023'!$A$220:$W$245</definedName>
    <definedName name="_xlnm._FilterDatabase" localSheetId="130" hidden="1">'FEB 2024'!$A$228:$W$253</definedName>
    <definedName name="_xlnm._FilterDatabase" localSheetId="58" hidden="1">'FEB-2018'!$A$214:$W$238</definedName>
    <definedName name="_xlnm._FilterDatabase" localSheetId="81" hidden="1">'JAN 2020'!$A$215:$W$240</definedName>
    <definedName name="_xlnm._FilterDatabase" localSheetId="93" hidden="1">'JAN 2021'!$A$215:$W$240</definedName>
    <definedName name="_xlnm._FilterDatabase" localSheetId="105" hidden="1">'JAN 2022'!$A$216:$W$241</definedName>
    <definedName name="_xlnm._FilterDatabase" localSheetId="117" hidden="1">'JAN 2023'!$A$220:$W$245</definedName>
    <definedName name="_xlnm._FilterDatabase" localSheetId="129" hidden="1">'JAN 2024'!$A$228:$W$253</definedName>
    <definedName name="_xlnm._FilterDatabase" localSheetId="57" hidden="1">'JAN-2018'!$A$214:$W$238</definedName>
    <definedName name="_xlnm._FilterDatabase" localSheetId="69" hidden="1">'JAN-2019'!$A$214:$W$238</definedName>
    <definedName name="_xlnm._FilterDatabase" localSheetId="63" hidden="1">'JULY -2018'!$A$214:$W$238</definedName>
    <definedName name="_xlnm._FilterDatabase" localSheetId="75" hidden="1">'JULY 2019'!$A$215:$W$239</definedName>
    <definedName name="_xlnm._FilterDatabase" localSheetId="87" hidden="1">'JULY 2020'!$A$215:$W$240</definedName>
    <definedName name="_xlnm._FilterDatabase" localSheetId="99" hidden="1">'JULY 2021'!$A$215:$W$240</definedName>
    <definedName name="_xlnm._FilterDatabase" localSheetId="111" hidden="1">'JULY 2022'!$A$226:$W$252</definedName>
    <definedName name="_xlnm._FilterDatabase" localSheetId="123" hidden="1">'JULY 2023'!$A$222:$W$247</definedName>
    <definedName name="_xlnm._FilterDatabase" localSheetId="122" hidden="1">'JUN 2023'!$A$220:$W$245</definedName>
    <definedName name="_xlnm._FilterDatabase" localSheetId="74" hidden="1">'JUN-2019'!$A$215:$W$239</definedName>
    <definedName name="_xlnm._FilterDatabase" localSheetId="62" hidden="1">'JUNE -2018'!$A$214:$W$238</definedName>
    <definedName name="_xlnm._FilterDatabase" localSheetId="86" hidden="1">'JUNE 2020'!$A$215:$W$240</definedName>
    <definedName name="_xlnm._FilterDatabase" localSheetId="98" hidden="1">'JUNE 2021'!$A$215:$W$240</definedName>
    <definedName name="_xlnm._FilterDatabase" localSheetId="110" hidden="1">'JUNE 2022'!$A$217:$W$242</definedName>
    <definedName name="_xlnm._FilterDatabase" localSheetId="83" hidden="1">'MARCH 2020'!$A$215:$W$240</definedName>
    <definedName name="_xlnm._FilterDatabase" localSheetId="95" hidden="1">'MARCH 2021'!$A$215:$W$240</definedName>
    <definedName name="_xlnm._FilterDatabase" localSheetId="107" hidden="1">'MARCH 2022'!$A$216:$W$241</definedName>
    <definedName name="_xlnm._FilterDatabase" localSheetId="131" hidden="1">'MARCH 2024'!$A$228:$W$253</definedName>
    <definedName name="_xlnm._FilterDatabase" localSheetId="59" hidden="1">'MARCH-2018'!$A$214:$W$238</definedName>
    <definedName name="_xlnm._FilterDatabase" localSheetId="71" hidden="1">'MARCH-2019'!$A$214:$W$238</definedName>
    <definedName name="_xlnm._FilterDatabase" localSheetId="119" hidden="1">'MARCH-2023'!$A$220:$W$245</definedName>
    <definedName name="_xlnm._FilterDatabase" localSheetId="73" hidden="1">'MAY -2019'!$A$215:$W$239</definedName>
    <definedName name="_xlnm._FilterDatabase" localSheetId="85" hidden="1">'MAY 2020'!$A$215:$W$240</definedName>
    <definedName name="_xlnm._FilterDatabase" localSheetId="97" hidden="1">'MAY 2021'!$A$215:$W$240</definedName>
    <definedName name="_xlnm._FilterDatabase" localSheetId="109" hidden="1">'MAY 2022'!$A$216:$W$241</definedName>
    <definedName name="_xlnm._FilterDatabase" localSheetId="121" hidden="1">'MAY 2023'!$A$220:$W$245</definedName>
    <definedName name="_xlnm._FilterDatabase" localSheetId="61" hidden="1">'MAY-2018'!$A$214:$W$238</definedName>
    <definedName name="_xlnm._FilterDatabase" localSheetId="55" hidden="1">'NOV 2017'!$A$214:$W$238</definedName>
    <definedName name="_xlnm._FilterDatabase" localSheetId="79" hidden="1">'NOV 2019'!$A$215:$W$240</definedName>
    <definedName name="_xlnm._FilterDatabase" localSheetId="91" hidden="1">'NOV 2020'!$A$215:$W$240</definedName>
    <definedName name="_xlnm._FilterDatabase" localSheetId="103" hidden="1">'NOV 2021'!$A$215:$W$240</definedName>
    <definedName name="_xlnm._FilterDatabase" localSheetId="115" hidden="1">'NOV 2022'!$A$219:$W$244</definedName>
    <definedName name="_xlnm._FilterDatabase" localSheetId="127" hidden="1">'NOV 2023'!$A$228:$W$253</definedName>
    <definedName name="_xlnm._FilterDatabase" localSheetId="67" hidden="1">'NOV-2018'!$A$214:$W$238</definedName>
    <definedName name="_xlnm._FilterDatabase" localSheetId="66" hidden="1">'OCT - 2018'!$A$214:$W$238</definedName>
    <definedName name="_xlnm._FilterDatabase" localSheetId="54" hidden="1">'OCT 2017'!$A$214:$W$238</definedName>
    <definedName name="_xlnm._FilterDatabase" localSheetId="78" hidden="1">'OCT 2019'!$A$215:$W$239</definedName>
    <definedName name="_xlnm._FilterDatabase" localSheetId="90" hidden="1">'OCT 2020'!$A$215:$W$240</definedName>
    <definedName name="_xlnm._FilterDatabase" localSheetId="126" hidden="1">'OCT 2023'!$A$228:$W$253</definedName>
    <definedName name="_xlnm._FilterDatabase" localSheetId="114" hidden="1">'OCT-2022'!$A$219:$W$244</definedName>
    <definedName name="_xlnm._FilterDatabase" localSheetId="102" hidden="1">'OCTOBER 2021'!$A$215:$W$240</definedName>
    <definedName name="_xlnm._FilterDatabase" localSheetId="53" hidden="1">'SEP 2017'!$A$214:$W$238</definedName>
    <definedName name="_xlnm._FilterDatabase" localSheetId="77" hidden="1">'SEP 2019'!$A$215:$W$239</definedName>
    <definedName name="_xlnm._FilterDatabase" localSheetId="89" hidden="1">'SEP 2020'!$A$215:$W$240</definedName>
    <definedName name="_xlnm._FilterDatabase" localSheetId="101" hidden="1">'SEP 2021'!$A$215:$W$240</definedName>
    <definedName name="_xlnm._FilterDatabase" localSheetId="125" hidden="1">'SEP 2023'!$A$228:$W$253</definedName>
    <definedName name="_xlnm._FilterDatabase" localSheetId="65" hidden="1">'SEP-2018'!$A$214:$W$238</definedName>
    <definedName name="_xlnm._FilterDatabase" localSheetId="113" hidden="1">'SEP-2022'!$A$219:$W$244</definedName>
  </definedNames>
  <calcPr calcId="181029"/>
  <fileRecoveryPr autoRecover="0"/>
</workbook>
</file>

<file path=xl/calcChain.xml><?xml version="1.0" encoding="utf-8"?>
<calcChain xmlns="http://schemas.openxmlformats.org/spreadsheetml/2006/main">
  <c r="H245" i="149" l="1"/>
  <c r="H244" i="149"/>
  <c r="H213" i="149"/>
  <c r="H212" i="149"/>
  <c r="H178" i="149"/>
  <c r="H144" i="149"/>
  <c r="H112" i="149"/>
  <c r="H77" i="149"/>
  <c r="H76" i="149"/>
  <c r="H75" i="149"/>
  <c r="J36" i="149"/>
  <c r="J37" i="149"/>
  <c r="J38" i="149"/>
  <c r="J39" i="149"/>
  <c r="J40" i="149"/>
  <c r="J41" i="149"/>
  <c r="H41" i="149"/>
  <c r="I41" i="149"/>
  <c r="I40" i="149"/>
  <c r="H39" i="149"/>
  <c r="I39" i="149"/>
  <c r="I38" i="149"/>
  <c r="I37" i="149"/>
  <c r="H36" i="149"/>
  <c r="I36" i="149"/>
  <c r="H243" i="149"/>
  <c r="H210" i="149"/>
  <c r="H175" i="149"/>
  <c r="H174" i="149"/>
  <c r="H109" i="149"/>
  <c r="H108" i="149"/>
  <c r="H74" i="149"/>
  <c r="J34" i="149"/>
  <c r="J35" i="149"/>
  <c r="H35" i="149"/>
  <c r="I35" i="149"/>
  <c r="H34" i="149"/>
  <c r="I34" i="149"/>
  <c r="J31" i="149"/>
  <c r="J32" i="149"/>
  <c r="J33" i="149"/>
  <c r="I33" i="149"/>
  <c r="H32" i="149"/>
  <c r="I32" i="149"/>
  <c r="J26" i="149"/>
  <c r="J27" i="149"/>
  <c r="J28" i="149"/>
  <c r="J29" i="149"/>
  <c r="J30" i="149"/>
  <c r="H241" i="149"/>
  <c r="H173" i="149"/>
  <c r="H171" i="149"/>
  <c r="H140" i="149"/>
  <c r="H138" i="149"/>
  <c r="H107" i="149"/>
  <c r="H106" i="149"/>
  <c r="H105" i="149"/>
  <c r="H72" i="149"/>
  <c r="H71" i="149"/>
  <c r="H70" i="149"/>
  <c r="I31" i="149"/>
  <c r="H30" i="149"/>
  <c r="I30" i="149"/>
  <c r="I29" i="149"/>
  <c r="I28" i="149"/>
  <c r="H27" i="149"/>
  <c r="I27" i="149"/>
  <c r="H26" i="149"/>
  <c r="I26" i="149"/>
  <c r="H137" i="149"/>
  <c r="J24" i="149"/>
  <c r="J25" i="149"/>
  <c r="H25" i="149"/>
  <c r="I25" i="149"/>
  <c r="H24" i="149"/>
  <c r="I24" i="149"/>
  <c r="H235" i="149"/>
  <c r="H234" i="149"/>
  <c r="H204" i="149"/>
  <c r="H202" i="149"/>
  <c r="H201" i="149"/>
  <c r="H102" i="149"/>
  <c r="H101" i="149"/>
  <c r="H67" i="149"/>
  <c r="H66" i="149"/>
  <c r="J16" i="149"/>
  <c r="J17" i="149"/>
  <c r="J18" i="149"/>
  <c r="J19" i="149"/>
  <c r="J20" i="149"/>
  <c r="J21" i="149"/>
  <c r="J22" i="149"/>
  <c r="J23" i="149"/>
  <c r="I23" i="149"/>
  <c r="I22" i="149"/>
  <c r="H21" i="149"/>
  <c r="I21" i="149"/>
  <c r="I20" i="149"/>
  <c r="I19" i="149"/>
  <c r="I18" i="149"/>
  <c r="J65" i="149" l="1"/>
  <c r="W65" i="149" s="1"/>
  <c r="H17" i="149"/>
  <c r="I17" i="149"/>
  <c r="I16" i="149"/>
  <c r="J199" i="149"/>
  <c r="H129" i="149"/>
  <c r="J129" i="149" s="1"/>
  <c r="W129" i="149" s="1"/>
  <c r="H98" i="149"/>
  <c r="J12" i="149"/>
  <c r="J13" i="149"/>
  <c r="J14" i="149"/>
  <c r="J15" i="149"/>
  <c r="I15" i="149"/>
  <c r="H14" i="149"/>
  <c r="I14" i="149"/>
  <c r="H13" i="149"/>
  <c r="I13" i="149"/>
  <c r="H12" i="149"/>
  <c r="I12" i="149"/>
  <c r="H231" i="149"/>
  <c r="J231" i="149" s="1"/>
  <c r="H96" i="149"/>
  <c r="J96" i="149" s="1"/>
  <c r="H62" i="149"/>
  <c r="J10" i="149"/>
  <c r="J11" i="149"/>
  <c r="I11" i="149"/>
  <c r="I10" i="149"/>
  <c r="I8" i="149"/>
  <c r="J8" i="149"/>
  <c r="I9" i="149"/>
  <c r="J9" i="149"/>
  <c r="H9" i="149"/>
  <c r="H95" i="149"/>
  <c r="J95" i="149" s="1"/>
  <c r="V95" i="149" s="1"/>
  <c r="H195" i="149"/>
  <c r="J195" i="149" s="1"/>
  <c r="J161" i="149"/>
  <c r="H60" i="149"/>
  <c r="J60" i="149" s="1"/>
  <c r="I7" i="149"/>
  <c r="J7" i="149" s="1"/>
  <c r="W252" i="149"/>
  <c r="J252" i="149"/>
  <c r="V252" i="149" s="1"/>
  <c r="B252" i="149"/>
  <c r="W251" i="149"/>
  <c r="J251" i="149"/>
  <c r="V251" i="149" s="1"/>
  <c r="J250" i="149"/>
  <c r="V250" i="149" s="1"/>
  <c r="J249" i="149"/>
  <c r="J248" i="149"/>
  <c r="J247" i="149"/>
  <c r="J246" i="149"/>
  <c r="W246" i="149" s="1"/>
  <c r="J245" i="149"/>
  <c r="W245" i="149" s="1"/>
  <c r="J244" i="149"/>
  <c r="W244" i="149" s="1"/>
  <c r="J243" i="149"/>
  <c r="W243" i="149" s="1"/>
  <c r="J242" i="149"/>
  <c r="W242" i="149" s="1"/>
  <c r="J241" i="149"/>
  <c r="W241" i="149" s="1"/>
  <c r="J240" i="149"/>
  <c r="V240" i="149" s="1"/>
  <c r="J239" i="149"/>
  <c r="V239" i="149" s="1"/>
  <c r="J238" i="149"/>
  <c r="V238" i="149" s="1"/>
  <c r="J237" i="149"/>
  <c r="V237" i="149" s="1"/>
  <c r="B237" i="149"/>
  <c r="B238" i="149" s="1"/>
  <c r="B239" i="149" s="1"/>
  <c r="B240" i="149" s="1"/>
  <c r="B241" i="149" s="1"/>
  <c r="B242" i="149" s="1"/>
  <c r="B243" i="149" s="1"/>
  <c r="B244" i="149" s="1"/>
  <c r="B245" i="149" s="1"/>
  <c r="B246" i="149" s="1"/>
  <c r="B247" i="149" s="1"/>
  <c r="B248" i="149" s="1"/>
  <c r="B249" i="149" s="1"/>
  <c r="B250" i="149" s="1"/>
  <c r="B251" i="149" s="1"/>
  <c r="J236" i="149"/>
  <c r="J235" i="149"/>
  <c r="B235" i="149"/>
  <c r="B236" i="149" s="1"/>
  <c r="J234" i="149"/>
  <c r="J233" i="149"/>
  <c r="J232" i="149"/>
  <c r="W232" i="149" s="1"/>
  <c r="J230" i="149"/>
  <c r="W230" i="149" s="1"/>
  <c r="B230" i="149"/>
  <c r="B231" i="149" s="1"/>
  <c r="B232" i="149" s="1"/>
  <c r="B233" i="149" s="1"/>
  <c r="B234" i="149" s="1"/>
  <c r="J229" i="149"/>
  <c r="W229" i="149" s="1"/>
  <c r="J220" i="149"/>
  <c r="W219" i="149"/>
  <c r="J219" i="149"/>
  <c r="V219" i="149" s="1"/>
  <c r="J218" i="149"/>
  <c r="W218" i="149" s="1"/>
  <c r="J217" i="149"/>
  <c r="J216" i="149"/>
  <c r="J215" i="149"/>
  <c r="J214" i="149"/>
  <c r="J213" i="149"/>
  <c r="B213" i="149"/>
  <c r="B214" i="149" s="1"/>
  <c r="B215" i="149" s="1"/>
  <c r="B216" i="149" s="1"/>
  <c r="J212" i="149"/>
  <c r="J211" i="149"/>
  <c r="J210" i="149"/>
  <c r="W210" i="149" s="1"/>
  <c r="J209" i="149"/>
  <c r="V209" i="149" s="1"/>
  <c r="W208" i="149"/>
  <c r="J208" i="149"/>
  <c r="V208" i="149" s="1"/>
  <c r="J207" i="149"/>
  <c r="J206" i="149"/>
  <c r="J205" i="149"/>
  <c r="J204" i="149"/>
  <c r="J203" i="149"/>
  <c r="V203" i="149" s="1"/>
  <c r="J202" i="149"/>
  <c r="V202" i="149" s="1"/>
  <c r="J201" i="149"/>
  <c r="J200" i="149"/>
  <c r="J198" i="149"/>
  <c r="J197" i="149"/>
  <c r="J196" i="149"/>
  <c r="B196" i="149"/>
  <c r="B197" i="149" s="1"/>
  <c r="B198" i="149" s="1"/>
  <c r="B199" i="149" s="1"/>
  <c r="B200" i="149" s="1"/>
  <c r="B201" i="149" s="1"/>
  <c r="B202" i="149" s="1"/>
  <c r="B203" i="149" s="1"/>
  <c r="B204" i="149" s="1"/>
  <c r="B205" i="149" s="1"/>
  <c r="B206" i="149" s="1"/>
  <c r="B207" i="149" s="1"/>
  <c r="B208" i="149" s="1"/>
  <c r="B209" i="149" s="1"/>
  <c r="B210" i="149" s="1"/>
  <c r="B211" i="149" s="1"/>
  <c r="B212" i="149" s="1"/>
  <c r="W186" i="149"/>
  <c r="V186" i="149"/>
  <c r="J186" i="149"/>
  <c r="W185" i="149"/>
  <c r="V185" i="149"/>
  <c r="J185" i="149"/>
  <c r="W184" i="149"/>
  <c r="V184" i="149"/>
  <c r="J184" i="149"/>
  <c r="W183" i="149"/>
  <c r="J183" i="149"/>
  <c r="V183" i="149" s="1"/>
  <c r="V182" i="149"/>
  <c r="J182" i="149"/>
  <c r="W182" i="149" s="1"/>
  <c r="J181" i="149"/>
  <c r="W181" i="149" s="1"/>
  <c r="W180" i="149"/>
  <c r="J180" i="149"/>
  <c r="V180" i="149" s="1"/>
  <c r="J179" i="149"/>
  <c r="V179" i="149" s="1"/>
  <c r="J178" i="149"/>
  <c r="J177" i="149"/>
  <c r="J176" i="149"/>
  <c r="W176" i="149" s="1"/>
  <c r="J175" i="149"/>
  <c r="W175" i="149" s="1"/>
  <c r="J174" i="149"/>
  <c r="B174" i="149"/>
  <c r="B175" i="149" s="1"/>
  <c r="B176" i="149" s="1"/>
  <c r="B177" i="149" s="1"/>
  <c r="B178" i="149" s="1"/>
  <c r="B179" i="149" s="1"/>
  <c r="B180" i="149" s="1"/>
  <c r="B181" i="149" s="1"/>
  <c r="B182" i="149" s="1"/>
  <c r="B183" i="149" s="1"/>
  <c r="B184" i="149" s="1"/>
  <c r="B185" i="149" s="1"/>
  <c r="B186" i="149" s="1"/>
  <c r="J173" i="149"/>
  <c r="V173" i="149" s="1"/>
  <c r="J172" i="149"/>
  <c r="V172" i="149" s="1"/>
  <c r="J171" i="149"/>
  <c r="V171" i="149" s="1"/>
  <c r="J170" i="149"/>
  <c r="V170" i="149" s="1"/>
  <c r="J169" i="149"/>
  <c r="V169" i="149" s="1"/>
  <c r="J168" i="149"/>
  <c r="V168" i="149" s="1"/>
  <c r="W167" i="149"/>
  <c r="J167" i="149"/>
  <c r="V167" i="149" s="1"/>
  <c r="J166" i="149"/>
  <c r="V166" i="149" s="1"/>
  <c r="B166" i="149"/>
  <c r="B167" i="149" s="1"/>
  <c r="B168" i="149" s="1"/>
  <c r="B169" i="149" s="1"/>
  <c r="B170" i="149" s="1"/>
  <c r="B171" i="149" s="1"/>
  <c r="B172" i="149" s="1"/>
  <c r="B173" i="149" s="1"/>
  <c r="J165" i="149"/>
  <c r="V165" i="149" s="1"/>
  <c r="B165" i="149"/>
  <c r="J164" i="149"/>
  <c r="J163" i="149"/>
  <c r="J162" i="149"/>
  <c r="W162" i="149" s="1"/>
  <c r="B162" i="149"/>
  <c r="B163" i="149" s="1"/>
  <c r="B164" i="149" s="1"/>
  <c r="V152" i="149"/>
  <c r="J152" i="149"/>
  <c r="W152" i="149" s="1"/>
  <c r="J151" i="149"/>
  <c r="W151" i="149" s="1"/>
  <c r="J150" i="149"/>
  <c r="W150" i="149" s="1"/>
  <c r="W149" i="149"/>
  <c r="J149" i="149"/>
  <c r="V149" i="149" s="1"/>
  <c r="W148" i="149"/>
  <c r="V148" i="149"/>
  <c r="J148" i="149"/>
  <c r="J147" i="149"/>
  <c r="V147" i="149" s="1"/>
  <c r="J146" i="149"/>
  <c r="J145" i="149"/>
  <c r="J144" i="149"/>
  <c r="W144" i="149" s="1"/>
  <c r="J143" i="149"/>
  <c r="W143" i="149" s="1"/>
  <c r="J142" i="149"/>
  <c r="W142" i="149" s="1"/>
  <c r="J141" i="149"/>
  <c r="W141" i="149" s="1"/>
  <c r="J140" i="149"/>
  <c r="W140" i="149" s="1"/>
  <c r="J139" i="149"/>
  <c r="V139" i="149" s="1"/>
  <c r="J138" i="149"/>
  <c r="B138" i="149"/>
  <c r="B139" i="149" s="1"/>
  <c r="B140" i="149" s="1"/>
  <c r="B141" i="149" s="1"/>
  <c r="B142" i="149" s="1"/>
  <c r="B143" i="149" s="1"/>
  <c r="B144" i="149" s="1"/>
  <c r="B145" i="149" s="1"/>
  <c r="B146" i="149" s="1"/>
  <c r="B147" i="149" s="1"/>
  <c r="B148" i="149" s="1"/>
  <c r="B149" i="149" s="1"/>
  <c r="B150" i="149" s="1"/>
  <c r="B151" i="149" s="1"/>
  <c r="B152" i="149" s="1"/>
  <c r="J137" i="149"/>
  <c r="V137" i="149" s="1"/>
  <c r="J136" i="149"/>
  <c r="V136" i="149" s="1"/>
  <c r="J135" i="149"/>
  <c r="J134" i="149"/>
  <c r="J133" i="149"/>
  <c r="V133" i="149" s="1"/>
  <c r="J132" i="149"/>
  <c r="J131" i="149"/>
  <c r="W131" i="149" s="1"/>
  <c r="J130" i="149"/>
  <c r="W130" i="149" s="1"/>
  <c r="J128" i="149"/>
  <c r="J127" i="149"/>
  <c r="B127" i="149"/>
  <c r="B128" i="149" s="1"/>
  <c r="B129" i="149" s="1"/>
  <c r="B130" i="149" s="1"/>
  <c r="B131" i="149" s="1"/>
  <c r="B132" i="149" s="1"/>
  <c r="B133" i="149" s="1"/>
  <c r="B134" i="149" s="1"/>
  <c r="B135" i="149" s="1"/>
  <c r="B136" i="149" s="1"/>
  <c r="B137" i="149" s="1"/>
  <c r="J126" i="149"/>
  <c r="W117" i="149"/>
  <c r="V117" i="149"/>
  <c r="J117" i="149"/>
  <c r="J116" i="149"/>
  <c r="W116" i="149" s="1"/>
  <c r="J115" i="149"/>
  <c r="J114" i="149"/>
  <c r="J113" i="149"/>
  <c r="J112" i="149"/>
  <c r="J111" i="149"/>
  <c r="J110" i="149"/>
  <c r="J109" i="149"/>
  <c r="V109" i="149" s="1"/>
  <c r="J108" i="149"/>
  <c r="J107" i="149"/>
  <c r="J106" i="149"/>
  <c r="J105" i="149"/>
  <c r="J104" i="149"/>
  <c r="J103" i="149"/>
  <c r="J102" i="149"/>
  <c r="J101" i="149"/>
  <c r="V101" i="149" s="1"/>
  <c r="J100" i="149"/>
  <c r="J99" i="149"/>
  <c r="J98" i="149"/>
  <c r="W98" i="149" s="1"/>
  <c r="J97" i="149"/>
  <c r="W97" i="149" s="1"/>
  <c r="B97" i="149"/>
  <c r="B98" i="149" s="1"/>
  <c r="B99" i="149" s="1"/>
  <c r="B100" i="149" s="1"/>
  <c r="B101" i="149" s="1"/>
  <c r="B102" i="149" s="1"/>
  <c r="B103" i="149" s="1"/>
  <c r="B104" i="149" s="1"/>
  <c r="B105" i="149" s="1"/>
  <c r="B106" i="149" s="1"/>
  <c r="B107" i="149" s="1"/>
  <c r="B108" i="149" s="1"/>
  <c r="B109" i="149" s="1"/>
  <c r="B110" i="149" s="1"/>
  <c r="B111" i="149" s="1"/>
  <c r="B112" i="149" s="1"/>
  <c r="B113" i="149" s="1"/>
  <c r="B114" i="149" s="1"/>
  <c r="B115" i="149" s="1"/>
  <c r="B96" i="149"/>
  <c r="B95" i="149"/>
  <c r="J94" i="149"/>
  <c r="W85" i="149"/>
  <c r="J85" i="149"/>
  <c r="V85" i="149" s="1"/>
  <c r="J84" i="149"/>
  <c r="J83" i="149"/>
  <c r="J82" i="149"/>
  <c r="J81" i="149"/>
  <c r="J80" i="149"/>
  <c r="W80" i="149" s="1"/>
  <c r="J79" i="149"/>
  <c r="V79" i="149" s="1"/>
  <c r="J78" i="149"/>
  <c r="J77" i="149"/>
  <c r="J76" i="149"/>
  <c r="W76" i="149" s="1"/>
  <c r="J75" i="149"/>
  <c r="J74" i="149"/>
  <c r="W74" i="149" s="1"/>
  <c r="J73" i="149"/>
  <c r="W73" i="149" s="1"/>
  <c r="J72" i="149"/>
  <c r="V72" i="149" s="1"/>
  <c r="B72" i="149"/>
  <c r="B73" i="149" s="1"/>
  <c r="B74" i="149" s="1"/>
  <c r="B75" i="149" s="1"/>
  <c r="B76" i="149" s="1"/>
  <c r="B77" i="149" s="1"/>
  <c r="B78" i="149" s="1"/>
  <c r="B79" i="149" s="1"/>
  <c r="B80" i="149" s="1"/>
  <c r="B81" i="149" s="1"/>
  <c r="B82" i="149" s="1"/>
  <c r="J71" i="149"/>
  <c r="V71" i="149" s="1"/>
  <c r="J70" i="149"/>
  <c r="J69" i="149"/>
  <c r="W69" i="149" s="1"/>
  <c r="J68" i="149"/>
  <c r="W68" i="149" s="1"/>
  <c r="J67" i="149"/>
  <c r="W67" i="149" s="1"/>
  <c r="J66" i="149"/>
  <c r="W66" i="149" s="1"/>
  <c r="J64" i="149"/>
  <c r="V64" i="149" s="1"/>
  <c r="B64" i="149"/>
  <c r="B65" i="149" s="1"/>
  <c r="B66" i="149" s="1"/>
  <c r="B67" i="149" s="1"/>
  <c r="B68" i="149" s="1"/>
  <c r="B69" i="149" s="1"/>
  <c r="B70" i="149" s="1"/>
  <c r="B71" i="149" s="1"/>
  <c r="J63" i="149"/>
  <c r="V63" i="149" s="1"/>
  <c r="B63" i="149"/>
  <c r="J62" i="149"/>
  <c r="B62" i="149"/>
  <c r="J61" i="149"/>
  <c r="B61" i="149"/>
  <c r="W51" i="149"/>
  <c r="V51" i="149"/>
  <c r="W50" i="149"/>
  <c r="V50" i="149"/>
  <c r="W49" i="149"/>
  <c r="V49" i="149"/>
  <c r="W48" i="149"/>
  <c r="V48" i="149"/>
  <c r="W43" i="149"/>
  <c r="V43" i="149"/>
  <c r="V42" i="149"/>
  <c r="W40" i="149"/>
  <c r="W39" i="149"/>
  <c r="V39" i="149"/>
  <c r="W37" i="149"/>
  <c r="V36" i="149"/>
  <c r="W34" i="149"/>
  <c r="W33" i="149"/>
  <c r="V33" i="149"/>
  <c r="V32" i="149"/>
  <c r="V30" i="149"/>
  <c r="W30" i="149"/>
  <c r="W29" i="149"/>
  <c r="V29" i="149"/>
  <c r="W27" i="149"/>
  <c r="V27" i="149"/>
  <c r="W25" i="149"/>
  <c r="V24" i="149"/>
  <c r="V17" i="149"/>
  <c r="N16" i="149"/>
  <c r="N14" i="149"/>
  <c r="V14" i="149"/>
  <c r="W13" i="149"/>
  <c r="N12" i="149"/>
  <c r="V12" i="149"/>
  <c r="N10" i="149"/>
  <c r="B10" i="149"/>
  <c r="B11" i="149" s="1"/>
  <c r="B12" i="149" s="1"/>
  <c r="B13" i="149" s="1"/>
  <c r="B14" i="149" s="1"/>
  <c r="B15" i="149" s="1"/>
  <c r="B16" i="149" s="1"/>
  <c r="B17" i="149" s="1"/>
  <c r="B18" i="149" s="1"/>
  <c r="B19" i="149" s="1"/>
  <c r="B20" i="149" s="1"/>
  <c r="B21" i="149" s="1"/>
  <c r="B22" i="149" s="1"/>
  <c r="B23" i="149" s="1"/>
  <c r="B24" i="149" s="1"/>
  <c r="B25" i="149" s="1"/>
  <c r="B26" i="149" s="1"/>
  <c r="B27" i="149" s="1"/>
  <c r="B28" i="149" s="1"/>
  <c r="B29" i="149" s="1"/>
  <c r="B30" i="149" s="1"/>
  <c r="B31" i="149" s="1"/>
  <c r="B32" i="149" s="1"/>
  <c r="B33" i="149" s="1"/>
  <c r="B34" i="149" s="1"/>
  <c r="B35" i="149" s="1"/>
  <c r="B36" i="149" s="1"/>
  <c r="B37" i="149" s="1"/>
  <c r="B38" i="149" s="1"/>
  <c r="B39" i="149" s="1"/>
  <c r="B40" i="149" s="1"/>
  <c r="B41" i="149" s="1"/>
  <c r="B42" i="149" s="1"/>
  <c r="B43" i="149" s="1"/>
  <c r="B44" i="149" s="1"/>
  <c r="B45" i="149" s="1"/>
  <c r="B46" i="149" s="1"/>
  <c r="B47" i="149" s="1"/>
  <c r="B48" i="149" s="1"/>
  <c r="B49" i="149" s="1"/>
  <c r="B50" i="149" s="1"/>
  <c r="B51" i="149" s="1"/>
  <c r="N8" i="149"/>
  <c r="V8" i="149"/>
  <c r="B8" i="149"/>
  <c r="B9" i="149" s="1"/>
  <c r="B7" i="149"/>
  <c r="N6" i="149"/>
  <c r="I6" i="149"/>
  <c r="J6" i="149" s="1"/>
  <c r="N4" i="149"/>
  <c r="H7" i="148"/>
  <c r="H12" i="148"/>
  <c r="J12" i="148" s="1"/>
  <c r="H13" i="148"/>
  <c r="H17" i="148"/>
  <c r="H19" i="148"/>
  <c r="H21" i="148"/>
  <c r="H22" i="148"/>
  <c r="I7" i="148"/>
  <c r="J7" i="148" s="1"/>
  <c r="I8" i="148"/>
  <c r="J8" i="148"/>
  <c r="I9" i="148"/>
  <c r="J9" i="148" s="1"/>
  <c r="I10" i="148"/>
  <c r="J10" i="148" s="1"/>
  <c r="I11" i="148"/>
  <c r="J11" i="148" s="1"/>
  <c r="I12" i="148"/>
  <c r="I13" i="148"/>
  <c r="I14" i="148"/>
  <c r="J14" i="148"/>
  <c r="I15" i="148"/>
  <c r="J15" i="148" s="1"/>
  <c r="I16" i="148"/>
  <c r="J16" i="148"/>
  <c r="I17" i="148"/>
  <c r="I18" i="148"/>
  <c r="J18" i="148" s="1"/>
  <c r="I19" i="148"/>
  <c r="J19" i="148" s="1"/>
  <c r="I20" i="148"/>
  <c r="J20" i="148"/>
  <c r="I21" i="148"/>
  <c r="I22" i="148"/>
  <c r="J22" i="148"/>
  <c r="I23" i="148"/>
  <c r="J23" i="148"/>
  <c r="I24" i="148"/>
  <c r="J24" i="148"/>
  <c r="H25" i="148"/>
  <c r="I25" i="148"/>
  <c r="J25" i="148" s="1"/>
  <c r="I26" i="148"/>
  <c r="J26" i="148" s="1"/>
  <c r="H27" i="148"/>
  <c r="J27" i="148" s="1"/>
  <c r="I27" i="148"/>
  <c r="H28" i="148"/>
  <c r="I28" i="148"/>
  <c r="J28" i="148" s="1"/>
  <c r="H29" i="148"/>
  <c r="I29" i="148"/>
  <c r="J29" i="148"/>
  <c r="I30" i="148"/>
  <c r="J30" i="148"/>
  <c r="I31" i="148"/>
  <c r="J31" i="148"/>
  <c r="I32" i="148"/>
  <c r="J32" i="148"/>
  <c r="I33" i="148"/>
  <c r="J33" i="148"/>
  <c r="I34" i="148"/>
  <c r="J34" i="148"/>
  <c r="I35" i="148"/>
  <c r="J35" i="148"/>
  <c r="I36" i="148"/>
  <c r="J36" i="148"/>
  <c r="H37" i="148"/>
  <c r="I37" i="148"/>
  <c r="J37" i="148" s="1"/>
  <c r="I38" i="148"/>
  <c r="J38" i="148" s="1"/>
  <c r="H39" i="148"/>
  <c r="J39" i="148" s="1"/>
  <c r="I39" i="148"/>
  <c r="I40" i="148"/>
  <c r="J40" i="148"/>
  <c r="I41" i="148"/>
  <c r="J41" i="148"/>
  <c r="I42" i="148"/>
  <c r="J42" i="148"/>
  <c r="H43" i="148"/>
  <c r="I43" i="148"/>
  <c r="J43" i="148" s="1"/>
  <c r="H44" i="148"/>
  <c r="J44" i="148" s="1"/>
  <c r="I44" i="148"/>
  <c r="H45" i="148"/>
  <c r="I45" i="148"/>
  <c r="J45" i="148" s="1"/>
  <c r="I46" i="148"/>
  <c r="J46" i="148" s="1"/>
  <c r="I47" i="148"/>
  <c r="J47" i="148" s="1"/>
  <c r="H60" i="148"/>
  <c r="H61" i="148"/>
  <c r="H63" i="148"/>
  <c r="H65" i="148"/>
  <c r="H66" i="148"/>
  <c r="H70" i="148"/>
  <c r="H71" i="148"/>
  <c r="H72" i="148"/>
  <c r="H75" i="148"/>
  <c r="H78" i="148"/>
  <c r="H79" i="148"/>
  <c r="H80" i="148"/>
  <c r="H94" i="148"/>
  <c r="H95" i="148"/>
  <c r="H97" i="148"/>
  <c r="H99" i="148"/>
  <c r="H100" i="148"/>
  <c r="H101" i="148"/>
  <c r="H102" i="148"/>
  <c r="H103" i="148"/>
  <c r="H104" i="148"/>
  <c r="H109" i="148"/>
  <c r="H110" i="148"/>
  <c r="H111" i="148"/>
  <c r="H112" i="148"/>
  <c r="H128" i="148"/>
  <c r="H129" i="148"/>
  <c r="H131" i="148"/>
  <c r="H132" i="148"/>
  <c r="H136" i="148"/>
  <c r="H138" i="148"/>
  <c r="H140" i="148"/>
  <c r="H145" i="148"/>
  <c r="H146" i="148"/>
  <c r="H148" i="148"/>
  <c r="H150" i="148"/>
  <c r="H161" i="148"/>
  <c r="H162" i="148"/>
  <c r="H163" i="148"/>
  <c r="H165" i="148"/>
  <c r="H174" i="148"/>
  <c r="H176" i="148"/>
  <c r="H177" i="148"/>
  <c r="H178" i="148"/>
  <c r="H181" i="148"/>
  <c r="H202" i="148"/>
  <c r="H204" i="148"/>
  <c r="H205" i="148"/>
  <c r="H206" i="148"/>
  <c r="J206" i="148" s="1"/>
  <c r="H208" i="148"/>
  <c r="H209" i="148"/>
  <c r="H210" i="148"/>
  <c r="H211" i="148"/>
  <c r="H229" i="148"/>
  <c r="H234" i="148"/>
  <c r="H237" i="148"/>
  <c r="H240" i="148"/>
  <c r="H242" i="148"/>
  <c r="H247" i="148"/>
  <c r="H249" i="148"/>
  <c r="J175" i="148"/>
  <c r="J205" i="148"/>
  <c r="J207" i="148"/>
  <c r="J208" i="148"/>
  <c r="J209" i="148"/>
  <c r="J210" i="148"/>
  <c r="V175" i="149" l="1"/>
  <c r="W240" i="149"/>
  <c r="W173" i="149"/>
  <c r="W171" i="149"/>
  <c r="W139" i="149"/>
  <c r="W72" i="149"/>
  <c r="W71" i="149"/>
  <c r="W238" i="149"/>
  <c r="W169" i="149"/>
  <c r="W165" i="149"/>
  <c r="V98" i="149"/>
  <c r="V96" i="149"/>
  <c r="W96" i="149"/>
  <c r="V161" i="149"/>
  <c r="W161" i="149"/>
  <c r="W60" i="149"/>
  <c r="V60" i="149"/>
  <c r="V242" i="149"/>
  <c r="V244" i="149"/>
  <c r="V246" i="149"/>
  <c r="V229" i="149"/>
  <c r="W237" i="149"/>
  <c r="W239" i="149"/>
  <c r="V241" i="149"/>
  <c r="W250" i="149"/>
  <c r="V243" i="149"/>
  <c r="V245" i="149"/>
  <c r="V218" i="149"/>
  <c r="W203" i="149"/>
  <c r="W209" i="149"/>
  <c r="V162" i="149"/>
  <c r="W166" i="149"/>
  <c r="W168" i="149"/>
  <c r="W170" i="149"/>
  <c r="W172" i="149"/>
  <c r="W179" i="149"/>
  <c r="V181" i="149"/>
  <c r="V130" i="149"/>
  <c r="W136" i="149"/>
  <c r="V143" i="149"/>
  <c r="V129" i="149"/>
  <c r="W147" i="149"/>
  <c r="V150" i="149"/>
  <c r="W137" i="149"/>
  <c r="W95" i="149"/>
  <c r="V69" i="149"/>
  <c r="V74" i="149"/>
  <c r="V76" i="149"/>
  <c r="W79" i="149"/>
  <c r="W64" i="149"/>
  <c r="V67" i="149"/>
  <c r="V73" i="149"/>
  <c r="W63" i="149"/>
  <c r="W15" i="149"/>
  <c r="V15" i="149"/>
  <c r="W18" i="149"/>
  <c r="V18" i="149"/>
  <c r="W22" i="149"/>
  <c r="V22" i="149"/>
  <c r="W11" i="149"/>
  <c r="V11" i="149"/>
  <c r="W16" i="149"/>
  <c r="V16" i="149"/>
  <c r="W20" i="149"/>
  <c r="V20" i="149"/>
  <c r="W8" i="149"/>
  <c r="W9" i="149"/>
  <c r="V9" i="149"/>
  <c r="W38" i="149"/>
  <c r="V38" i="149"/>
  <c r="V7" i="149"/>
  <c r="W7" i="149"/>
  <c r="W31" i="149"/>
  <c r="V31" i="149"/>
  <c r="W35" i="149"/>
  <c r="V35" i="149"/>
  <c r="W41" i="149"/>
  <c r="V41" i="149"/>
  <c r="V10" i="149"/>
  <c r="W10" i="149"/>
  <c r="W23" i="149"/>
  <c r="V23" i="149"/>
  <c r="W44" i="149"/>
  <c r="V44" i="149"/>
  <c r="W70" i="149"/>
  <c r="V70" i="149"/>
  <c r="W14" i="149"/>
  <c r="W26" i="149"/>
  <c r="V26" i="149"/>
  <c r="W28" i="149"/>
  <c r="V28" i="149"/>
  <c r="W45" i="149"/>
  <c r="V45" i="149"/>
  <c r="W47" i="149"/>
  <c r="V47" i="149"/>
  <c r="W61" i="149"/>
  <c r="V61" i="149"/>
  <c r="W75" i="149"/>
  <c r="V75" i="149"/>
  <c r="W94" i="149"/>
  <c r="J118" i="149"/>
  <c r="V94" i="149"/>
  <c r="W104" i="149"/>
  <c r="V104" i="149"/>
  <c r="W112" i="149"/>
  <c r="V112" i="149"/>
  <c r="W12" i="149"/>
  <c r="W17" i="149"/>
  <c r="N18" i="149"/>
  <c r="W24" i="149"/>
  <c r="W32" i="149"/>
  <c r="V34" i="149"/>
  <c r="V40" i="149"/>
  <c r="V66" i="149"/>
  <c r="V68" i="149"/>
  <c r="W78" i="149"/>
  <c r="V78" i="149"/>
  <c r="W99" i="149"/>
  <c r="V99" i="149"/>
  <c r="W102" i="149"/>
  <c r="V102" i="149"/>
  <c r="W110" i="149"/>
  <c r="V110" i="149"/>
  <c r="V128" i="149"/>
  <c r="W128" i="149"/>
  <c r="W205" i="149"/>
  <c r="V205" i="149"/>
  <c r="V6" i="149"/>
  <c r="V13" i="149"/>
  <c r="V25" i="149"/>
  <c r="W36" i="149"/>
  <c r="W42" i="149"/>
  <c r="W46" i="149"/>
  <c r="V46" i="149"/>
  <c r="W62" i="149"/>
  <c r="V62" i="149"/>
  <c r="V65" i="149"/>
  <c r="W100" i="149"/>
  <c r="V100" i="149"/>
  <c r="J153" i="149"/>
  <c r="W126" i="149"/>
  <c r="V126" i="149"/>
  <c r="V132" i="149"/>
  <c r="W132" i="149"/>
  <c r="V249" i="149"/>
  <c r="W249" i="149"/>
  <c r="W6" i="149"/>
  <c r="V37" i="149"/>
  <c r="W77" i="149"/>
  <c r="V77" i="149"/>
  <c r="W103" i="149"/>
  <c r="V103" i="149"/>
  <c r="W111" i="149"/>
  <c r="V111" i="149"/>
  <c r="W164" i="149"/>
  <c r="V164" i="149"/>
  <c r="W113" i="149"/>
  <c r="V113" i="149"/>
  <c r="W174" i="149"/>
  <c r="V174" i="149"/>
  <c r="W197" i="149"/>
  <c r="V197" i="149"/>
  <c r="W206" i="149"/>
  <c r="V206" i="149"/>
  <c r="J221" i="149"/>
  <c r="W233" i="149"/>
  <c r="V233" i="149"/>
  <c r="W105" i="149"/>
  <c r="V105" i="149"/>
  <c r="W107" i="149"/>
  <c r="V107" i="149"/>
  <c r="W115" i="149"/>
  <c r="V115" i="149"/>
  <c r="W138" i="149"/>
  <c r="V138" i="149"/>
  <c r="W201" i="149"/>
  <c r="V201" i="149"/>
  <c r="V80" i="149"/>
  <c r="W82" i="149"/>
  <c r="V82" i="149"/>
  <c r="V97" i="149"/>
  <c r="W101" i="149"/>
  <c r="W109" i="149"/>
  <c r="W127" i="149"/>
  <c r="V127" i="149"/>
  <c r="W135" i="149"/>
  <c r="V135" i="149"/>
  <c r="V142" i="149"/>
  <c r="V144" i="149"/>
  <c r="V146" i="149"/>
  <c r="W146" i="149"/>
  <c r="W195" i="149"/>
  <c r="V195" i="149"/>
  <c r="W204" i="149"/>
  <c r="V204" i="149"/>
  <c r="W211" i="149"/>
  <c r="V211" i="149"/>
  <c r="W217" i="149"/>
  <c r="V217" i="149"/>
  <c r="W234" i="149"/>
  <c r="V234" i="149"/>
  <c r="W247" i="149"/>
  <c r="V247" i="149"/>
  <c r="J86" i="149"/>
  <c r="W106" i="149"/>
  <c r="V106" i="149"/>
  <c r="W108" i="149"/>
  <c r="V108" i="149"/>
  <c r="W114" i="149"/>
  <c r="V114" i="149"/>
  <c r="V116" i="149"/>
  <c r="V131" i="149"/>
  <c r="W133" i="149"/>
  <c r="V140" i="149"/>
  <c r="V151" i="149"/>
  <c r="W163" i="149"/>
  <c r="V163" i="149"/>
  <c r="V176" i="149"/>
  <c r="V178" i="149"/>
  <c r="W178" i="149"/>
  <c r="W199" i="149"/>
  <c r="V199" i="149"/>
  <c r="W231" i="149"/>
  <c r="V231" i="149"/>
  <c r="J187" i="149"/>
  <c r="W207" i="149"/>
  <c r="V207" i="149"/>
  <c r="W213" i="149"/>
  <c r="V213" i="149"/>
  <c r="W215" i="149"/>
  <c r="V215" i="149"/>
  <c r="W235" i="149"/>
  <c r="V235" i="149"/>
  <c r="W134" i="149"/>
  <c r="V134" i="149"/>
  <c r="V141" i="149"/>
  <c r="W145" i="149"/>
  <c r="V145" i="149"/>
  <c r="W177" i="149"/>
  <c r="V177" i="149"/>
  <c r="W196" i="149"/>
  <c r="V196" i="149"/>
  <c r="W198" i="149"/>
  <c r="V198" i="149"/>
  <c r="W200" i="149"/>
  <c r="V200" i="149"/>
  <c r="W248" i="149"/>
  <c r="V248" i="149"/>
  <c r="W202" i="149"/>
  <c r="V210" i="149"/>
  <c r="W212" i="149"/>
  <c r="V212" i="149"/>
  <c r="W214" i="149"/>
  <c r="V214" i="149"/>
  <c r="W216" i="149"/>
  <c r="V216" i="149"/>
  <c r="W220" i="149"/>
  <c r="V220" i="149"/>
  <c r="V230" i="149"/>
  <c r="V232" i="149"/>
  <c r="W236" i="149"/>
  <c r="V236" i="149"/>
  <c r="J253" i="149"/>
  <c r="J17" i="148"/>
  <c r="J21" i="148"/>
  <c r="J13" i="148"/>
  <c r="J229" i="148"/>
  <c r="W229" i="148" s="1"/>
  <c r="J162" i="148"/>
  <c r="J129" i="148"/>
  <c r="W129" i="148" s="1"/>
  <c r="J97" i="148"/>
  <c r="W97" i="148" s="1"/>
  <c r="J95" i="148"/>
  <c r="V95" i="148" s="1"/>
  <c r="J61" i="148"/>
  <c r="W61" i="148" s="1"/>
  <c r="J252" i="148"/>
  <c r="W252" i="148" s="1"/>
  <c r="J251" i="148"/>
  <c r="W251" i="148" s="1"/>
  <c r="J250" i="148"/>
  <c r="W250" i="148" s="1"/>
  <c r="J249" i="148"/>
  <c r="V249" i="148" s="1"/>
  <c r="J248" i="148"/>
  <c r="W248" i="148" s="1"/>
  <c r="J247" i="148"/>
  <c r="V247" i="148" s="1"/>
  <c r="J246" i="148"/>
  <c r="V246" i="148" s="1"/>
  <c r="J245" i="148"/>
  <c r="V245" i="148" s="1"/>
  <c r="J244" i="148"/>
  <c r="W244" i="148" s="1"/>
  <c r="J243" i="148"/>
  <c r="W243" i="148" s="1"/>
  <c r="J242" i="148"/>
  <c r="W242" i="148" s="1"/>
  <c r="J241" i="148"/>
  <c r="W241" i="148" s="1"/>
  <c r="J240" i="148"/>
  <c r="V240" i="148" s="1"/>
  <c r="J239" i="148"/>
  <c r="W239" i="148" s="1"/>
  <c r="J238" i="148"/>
  <c r="V238" i="148" s="1"/>
  <c r="J237" i="148"/>
  <c r="W237" i="148" s="1"/>
  <c r="J236" i="148"/>
  <c r="W236" i="148" s="1"/>
  <c r="J235" i="148"/>
  <c r="W235" i="148" s="1"/>
  <c r="J234" i="148"/>
  <c r="V234" i="148" s="1"/>
  <c r="J233" i="148"/>
  <c r="W233" i="148" s="1"/>
  <c r="J232" i="148"/>
  <c r="V232" i="148" s="1"/>
  <c r="J231" i="148"/>
  <c r="W231" i="148" s="1"/>
  <c r="J230" i="148"/>
  <c r="V230" i="148" s="1"/>
  <c r="B230" i="148"/>
  <c r="B231" i="148" s="1"/>
  <c r="B232" i="148" s="1"/>
  <c r="B233" i="148" s="1"/>
  <c r="B234" i="148" s="1"/>
  <c r="B235" i="148" s="1"/>
  <c r="B236" i="148" s="1"/>
  <c r="B237" i="148" s="1"/>
  <c r="B238" i="148" s="1"/>
  <c r="B239" i="148" s="1"/>
  <c r="B240" i="148" s="1"/>
  <c r="B241" i="148" s="1"/>
  <c r="B242" i="148" s="1"/>
  <c r="B243" i="148" s="1"/>
  <c r="B244" i="148" s="1"/>
  <c r="B245" i="148" s="1"/>
  <c r="B246" i="148" s="1"/>
  <c r="B247" i="148" s="1"/>
  <c r="B248" i="148" s="1"/>
  <c r="B249" i="148" s="1"/>
  <c r="B250" i="148" s="1"/>
  <c r="B251" i="148" s="1"/>
  <c r="B252" i="148" s="1"/>
  <c r="J220" i="148"/>
  <c r="W220" i="148" s="1"/>
  <c r="J219" i="148"/>
  <c r="V219" i="148" s="1"/>
  <c r="J218" i="148"/>
  <c r="W218" i="148" s="1"/>
  <c r="J217" i="148"/>
  <c r="W217" i="148" s="1"/>
  <c r="J216" i="148"/>
  <c r="V216" i="148" s="1"/>
  <c r="J215" i="148"/>
  <c r="V215" i="148" s="1"/>
  <c r="J214" i="148"/>
  <c r="V214" i="148" s="1"/>
  <c r="J213" i="148"/>
  <c r="J212" i="148"/>
  <c r="W212" i="148" s="1"/>
  <c r="J211" i="148"/>
  <c r="W211" i="148" s="1"/>
  <c r="W210" i="148"/>
  <c r="W209" i="148"/>
  <c r="W208" i="148"/>
  <c r="W207" i="148"/>
  <c r="V206" i="148"/>
  <c r="V205" i="148"/>
  <c r="J204" i="148"/>
  <c r="V204" i="148" s="1"/>
  <c r="J203" i="148"/>
  <c r="W203" i="148" s="1"/>
  <c r="J202" i="148"/>
  <c r="J201" i="148"/>
  <c r="W201" i="148" s="1"/>
  <c r="J200" i="148"/>
  <c r="W200" i="148" s="1"/>
  <c r="J199" i="148"/>
  <c r="W199" i="148" s="1"/>
  <c r="J198" i="148"/>
  <c r="V198" i="148" s="1"/>
  <c r="J197" i="148"/>
  <c r="W197" i="148" s="1"/>
  <c r="J196" i="148"/>
  <c r="V196" i="148" s="1"/>
  <c r="B196" i="148"/>
  <c r="B197" i="148" s="1"/>
  <c r="B198" i="148" s="1"/>
  <c r="B199" i="148" s="1"/>
  <c r="B200" i="148" s="1"/>
  <c r="B201" i="148" s="1"/>
  <c r="B202" i="148" s="1"/>
  <c r="B203" i="148" s="1"/>
  <c r="B204" i="148" s="1"/>
  <c r="B205" i="148" s="1"/>
  <c r="B206" i="148" s="1"/>
  <c r="B207" i="148" s="1"/>
  <c r="B208" i="148" s="1"/>
  <c r="B209" i="148" s="1"/>
  <c r="B210" i="148" s="1"/>
  <c r="B211" i="148" s="1"/>
  <c r="B212" i="148" s="1"/>
  <c r="B213" i="148" s="1"/>
  <c r="B214" i="148" s="1"/>
  <c r="B215" i="148" s="1"/>
  <c r="B216" i="148" s="1"/>
  <c r="J195" i="148"/>
  <c r="W195" i="148" s="1"/>
  <c r="J186" i="148"/>
  <c r="W186" i="148" s="1"/>
  <c r="J185" i="148"/>
  <c r="W185" i="148" s="1"/>
  <c r="J184" i="148"/>
  <c r="V184" i="148" s="1"/>
  <c r="J183" i="148"/>
  <c r="V183" i="148" s="1"/>
  <c r="J182" i="148"/>
  <c r="W182" i="148" s="1"/>
  <c r="J181" i="148"/>
  <c r="V181" i="148" s="1"/>
  <c r="J180" i="148"/>
  <c r="J179" i="148"/>
  <c r="W179" i="148" s="1"/>
  <c r="J178" i="148"/>
  <c r="W178" i="148" s="1"/>
  <c r="J177" i="148"/>
  <c r="W177" i="148" s="1"/>
  <c r="J176" i="148"/>
  <c r="J174" i="148"/>
  <c r="W174" i="148" s="1"/>
  <c r="J173" i="148"/>
  <c r="V173" i="148" s="1"/>
  <c r="J172" i="148"/>
  <c r="W172" i="148" s="1"/>
  <c r="J171" i="148"/>
  <c r="W171" i="148" s="1"/>
  <c r="J170" i="148"/>
  <c r="V170" i="148" s="1"/>
  <c r="J169" i="148"/>
  <c r="V169" i="148" s="1"/>
  <c r="J168" i="148"/>
  <c r="J167" i="148"/>
  <c r="V167" i="148" s="1"/>
  <c r="J166" i="148"/>
  <c r="J165" i="148"/>
  <c r="V165" i="148" s="1"/>
  <c r="J164" i="148"/>
  <c r="J163" i="148"/>
  <c r="V163" i="148" s="1"/>
  <c r="B162" i="148"/>
  <c r="B163" i="148" s="1"/>
  <c r="B164" i="148" s="1"/>
  <c r="B165" i="148" s="1"/>
  <c r="B166" i="148" s="1"/>
  <c r="B167" i="148" s="1"/>
  <c r="B168" i="148" s="1"/>
  <c r="B169" i="148" s="1"/>
  <c r="B170" i="148" s="1"/>
  <c r="B171" i="148" s="1"/>
  <c r="B172" i="148" s="1"/>
  <c r="B173" i="148" s="1"/>
  <c r="B174" i="148" s="1"/>
  <c r="B175" i="148" s="1"/>
  <c r="B176" i="148" s="1"/>
  <c r="B177" i="148" s="1"/>
  <c r="B178" i="148" s="1"/>
  <c r="B179" i="148" s="1"/>
  <c r="B180" i="148" s="1"/>
  <c r="B181" i="148" s="1"/>
  <c r="B182" i="148" s="1"/>
  <c r="B183" i="148" s="1"/>
  <c r="B184" i="148" s="1"/>
  <c r="B185" i="148" s="1"/>
  <c r="B186" i="148" s="1"/>
  <c r="J161" i="148"/>
  <c r="V161" i="148" s="1"/>
  <c r="J152" i="148"/>
  <c r="V152" i="148" s="1"/>
  <c r="J151" i="148"/>
  <c r="W151" i="148" s="1"/>
  <c r="J150" i="148"/>
  <c r="V150" i="148" s="1"/>
  <c r="J149" i="148"/>
  <c r="W149" i="148" s="1"/>
  <c r="J148" i="148"/>
  <c r="V148" i="148" s="1"/>
  <c r="J147" i="148"/>
  <c r="V147" i="148" s="1"/>
  <c r="J146" i="148"/>
  <c r="V146" i="148" s="1"/>
  <c r="J145" i="148"/>
  <c r="W145" i="148" s="1"/>
  <c r="J144" i="148"/>
  <c r="J143" i="148"/>
  <c r="V143" i="148" s="1"/>
  <c r="J142" i="148"/>
  <c r="W142" i="148" s="1"/>
  <c r="J141" i="148"/>
  <c r="V141" i="148" s="1"/>
  <c r="J140" i="148"/>
  <c r="W140" i="148" s="1"/>
  <c r="J139" i="148"/>
  <c r="W139" i="148" s="1"/>
  <c r="J138" i="148"/>
  <c r="V138" i="148" s="1"/>
  <c r="J137" i="148"/>
  <c r="W137" i="148" s="1"/>
  <c r="J136" i="148"/>
  <c r="V136" i="148" s="1"/>
  <c r="J135" i="148"/>
  <c r="V135" i="148" s="1"/>
  <c r="J134" i="148"/>
  <c r="J133" i="148"/>
  <c r="V133" i="148" s="1"/>
  <c r="J132" i="148"/>
  <c r="W132" i="148" s="1"/>
  <c r="J131" i="148"/>
  <c r="J130" i="148"/>
  <c r="V130" i="148" s="1"/>
  <c r="J128" i="148"/>
  <c r="W128" i="148" s="1"/>
  <c r="J127" i="148"/>
  <c r="W127" i="148" s="1"/>
  <c r="B127" i="148"/>
  <c r="B128" i="148" s="1"/>
  <c r="B129" i="148" s="1"/>
  <c r="B130" i="148" s="1"/>
  <c r="B131" i="148" s="1"/>
  <c r="B132" i="148" s="1"/>
  <c r="B133" i="148" s="1"/>
  <c r="B134" i="148" s="1"/>
  <c r="B135" i="148" s="1"/>
  <c r="B136" i="148" s="1"/>
  <c r="B137" i="148" s="1"/>
  <c r="B138" i="148" s="1"/>
  <c r="B139" i="148" s="1"/>
  <c r="B140" i="148" s="1"/>
  <c r="B141" i="148" s="1"/>
  <c r="B142" i="148" s="1"/>
  <c r="B143" i="148" s="1"/>
  <c r="B144" i="148" s="1"/>
  <c r="B145" i="148" s="1"/>
  <c r="B146" i="148" s="1"/>
  <c r="B147" i="148" s="1"/>
  <c r="B148" i="148" s="1"/>
  <c r="B149" i="148" s="1"/>
  <c r="B150" i="148" s="1"/>
  <c r="B151" i="148" s="1"/>
  <c r="B152" i="148" s="1"/>
  <c r="J126" i="148"/>
  <c r="V126" i="148" s="1"/>
  <c r="J117" i="148"/>
  <c r="W117" i="148" s="1"/>
  <c r="J116" i="148"/>
  <c r="V116" i="148" s="1"/>
  <c r="J115" i="148"/>
  <c r="W115" i="148" s="1"/>
  <c r="J114" i="148"/>
  <c r="V114" i="148" s="1"/>
  <c r="J113" i="148"/>
  <c r="V113" i="148" s="1"/>
  <c r="J112" i="148"/>
  <c r="W112" i="148" s="1"/>
  <c r="J111" i="148"/>
  <c r="W111" i="148" s="1"/>
  <c r="J110" i="148"/>
  <c r="V110" i="148" s="1"/>
  <c r="J109" i="148"/>
  <c r="W109" i="148" s="1"/>
  <c r="J108" i="148"/>
  <c r="W108" i="148" s="1"/>
  <c r="J107" i="148"/>
  <c r="V107" i="148" s="1"/>
  <c r="J106" i="148"/>
  <c r="V106" i="148" s="1"/>
  <c r="J105" i="148"/>
  <c r="V105" i="148" s="1"/>
  <c r="J104" i="148"/>
  <c r="V104" i="148" s="1"/>
  <c r="J103" i="148"/>
  <c r="W103" i="148" s="1"/>
  <c r="J102" i="148"/>
  <c r="V102" i="148" s="1"/>
  <c r="J101" i="148"/>
  <c r="W101" i="148" s="1"/>
  <c r="J100" i="148"/>
  <c r="W100" i="148" s="1"/>
  <c r="J99" i="148"/>
  <c r="W99" i="148" s="1"/>
  <c r="J98" i="148"/>
  <c r="W98" i="148" s="1"/>
  <c r="J96" i="148"/>
  <c r="V96" i="148" s="1"/>
  <c r="B95" i="148"/>
  <c r="B96" i="148" s="1"/>
  <c r="B97" i="148" s="1"/>
  <c r="B98" i="148" s="1"/>
  <c r="B99" i="148" s="1"/>
  <c r="B100" i="148" s="1"/>
  <c r="B101" i="148" s="1"/>
  <c r="B102" i="148" s="1"/>
  <c r="B103" i="148" s="1"/>
  <c r="B104" i="148" s="1"/>
  <c r="B105" i="148" s="1"/>
  <c r="B106" i="148" s="1"/>
  <c r="B107" i="148" s="1"/>
  <c r="B108" i="148" s="1"/>
  <c r="B109" i="148" s="1"/>
  <c r="B110" i="148" s="1"/>
  <c r="B111" i="148" s="1"/>
  <c r="B112" i="148" s="1"/>
  <c r="B113" i="148" s="1"/>
  <c r="B114" i="148" s="1"/>
  <c r="B115" i="148" s="1"/>
  <c r="J94" i="148"/>
  <c r="V94" i="148" s="1"/>
  <c r="J85" i="148"/>
  <c r="V85" i="148" s="1"/>
  <c r="J84" i="148"/>
  <c r="J83" i="148"/>
  <c r="J82" i="148"/>
  <c r="W82" i="148" s="1"/>
  <c r="J81" i="148"/>
  <c r="J80" i="148"/>
  <c r="V80" i="148" s="1"/>
  <c r="J79" i="148"/>
  <c r="V79" i="148" s="1"/>
  <c r="J78" i="148"/>
  <c r="V78" i="148" s="1"/>
  <c r="J77" i="148"/>
  <c r="W77" i="148" s="1"/>
  <c r="J76" i="148"/>
  <c r="V76" i="148" s="1"/>
  <c r="J75" i="148"/>
  <c r="W75" i="148" s="1"/>
  <c r="J74" i="148"/>
  <c r="V74" i="148" s="1"/>
  <c r="J73" i="148"/>
  <c r="V73" i="148" s="1"/>
  <c r="J72" i="148"/>
  <c r="V72" i="148" s="1"/>
  <c r="J71" i="148"/>
  <c r="V71" i="148" s="1"/>
  <c r="J70" i="148"/>
  <c r="J69" i="148"/>
  <c r="W69" i="148" s="1"/>
  <c r="J68" i="148"/>
  <c r="W68" i="148" s="1"/>
  <c r="J67" i="148"/>
  <c r="J66" i="148"/>
  <c r="V66" i="148" s="1"/>
  <c r="J65" i="148"/>
  <c r="W65" i="148" s="1"/>
  <c r="J64" i="148"/>
  <c r="W64" i="148" s="1"/>
  <c r="J63" i="148"/>
  <c r="W63" i="148" s="1"/>
  <c r="J62" i="148"/>
  <c r="B61" i="148"/>
  <c r="B62" i="148" s="1"/>
  <c r="B63" i="148" s="1"/>
  <c r="B64" i="148" s="1"/>
  <c r="B65" i="148" s="1"/>
  <c r="B66" i="148" s="1"/>
  <c r="B67" i="148" s="1"/>
  <c r="B68" i="148" s="1"/>
  <c r="B69" i="148" s="1"/>
  <c r="B70" i="148" s="1"/>
  <c r="B71" i="148" s="1"/>
  <c r="B72" i="148" s="1"/>
  <c r="B73" i="148" s="1"/>
  <c r="B74" i="148" s="1"/>
  <c r="B75" i="148" s="1"/>
  <c r="B76" i="148" s="1"/>
  <c r="B77" i="148" s="1"/>
  <c r="B78" i="148" s="1"/>
  <c r="B79" i="148" s="1"/>
  <c r="B80" i="148" s="1"/>
  <c r="B81" i="148" s="1"/>
  <c r="B82" i="148" s="1"/>
  <c r="J60" i="148"/>
  <c r="W51" i="148"/>
  <c r="V51" i="148"/>
  <c r="W50" i="148"/>
  <c r="V50" i="148"/>
  <c r="W49" i="148"/>
  <c r="V49" i="148"/>
  <c r="W45" i="148"/>
  <c r="W42" i="148"/>
  <c r="W38" i="148"/>
  <c r="W33" i="148"/>
  <c r="W28" i="148"/>
  <c r="W25" i="148"/>
  <c r="W23" i="148"/>
  <c r="N16" i="148"/>
  <c r="W16" i="148"/>
  <c r="N14" i="148"/>
  <c r="W14" i="148"/>
  <c r="N12" i="148"/>
  <c r="N10" i="148"/>
  <c r="V9" i="148"/>
  <c r="N8" i="148"/>
  <c r="W7" i="148"/>
  <c r="B7" i="148"/>
  <c r="B8" i="148" s="1"/>
  <c r="B9" i="148" s="1"/>
  <c r="B10" i="148" s="1"/>
  <c r="B11" i="148" s="1"/>
  <c r="B12" i="148" s="1"/>
  <c r="B13" i="148" s="1"/>
  <c r="B14" i="148" s="1"/>
  <c r="B15" i="148" s="1"/>
  <c r="B16" i="148" s="1"/>
  <c r="B17" i="148" s="1"/>
  <c r="B18" i="148" s="1"/>
  <c r="B19" i="148" s="1"/>
  <c r="B20" i="148" s="1"/>
  <c r="B21" i="148" s="1"/>
  <c r="B22" i="148" s="1"/>
  <c r="B23" i="148" s="1"/>
  <c r="B24" i="148" s="1"/>
  <c r="B25" i="148" s="1"/>
  <c r="B26" i="148" s="1"/>
  <c r="B27" i="148" s="1"/>
  <c r="B28" i="148" s="1"/>
  <c r="B29" i="148" s="1"/>
  <c r="B30" i="148" s="1"/>
  <c r="B31" i="148" s="1"/>
  <c r="B32" i="148" s="1"/>
  <c r="B33" i="148" s="1"/>
  <c r="B34" i="148" s="1"/>
  <c r="B35" i="148" s="1"/>
  <c r="B36" i="148" s="1"/>
  <c r="B37" i="148" s="1"/>
  <c r="B38" i="148" s="1"/>
  <c r="B39" i="148" s="1"/>
  <c r="B40" i="148" s="1"/>
  <c r="B41" i="148" s="1"/>
  <c r="B42" i="148" s="1"/>
  <c r="B43" i="148" s="1"/>
  <c r="B44" i="148" s="1"/>
  <c r="B45" i="148" s="1"/>
  <c r="B46" i="148" s="1"/>
  <c r="B47" i="148" s="1"/>
  <c r="B48" i="148" s="1"/>
  <c r="B49" i="148" s="1"/>
  <c r="B50" i="148" s="1"/>
  <c r="B51" i="148" s="1"/>
  <c r="N6" i="148"/>
  <c r="I6" i="148"/>
  <c r="J6" i="148" s="1"/>
  <c r="N4" i="148"/>
  <c r="W253" i="149" l="1"/>
  <c r="P16" i="149" s="1"/>
  <c r="V187" i="149"/>
  <c r="O12" i="149" s="1"/>
  <c r="R12" i="149" s="1"/>
  <c r="V253" i="149"/>
  <c r="O16" i="149" s="1"/>
  <c r="R16" i="149" s="1"/>
  <c r="W187" i="149"/>
  <c r="P12" i="149" s="1"/>
  <c r="W153" i="149"/>
  <c r="P10" i="149" s="1"/>
  <c r="V86" i="149"/>
  <c r="O6" i="149" s="1"/>
  <c r="R6" i="149" s="1"/>
  <c r="W86" i="149"/>
  <c r="P6" i="149" s="1"/>
  <c r="W52" i="149"/>
  <c r="P4" i="149" s="1"/>
  <c r="V19" i="149"/>
  <c r="W19" i="149"/>
  <c r="W118" i="149"/>
  <c r="P8" i="149" s="1"/>
  <c r="V221" i="149"/>
  <c r="O14" i="149" s="1"/>
  <c r="V21" i="149"/>
  <c r="W21" i="149"/>
  <c r="W221" i="149"/>
  <c r="P14" i="149" s="1"/>
  <c r="J52" i="149"/>
  <c r="V153" i="149"/>
  <c r="O10" i="149" s="1"/>
  <c r="V118" i="149"/>
  <c r="O8" i="149" s="1"/>
  <c r="W72" i="148"/>
  <c r="W79" i="148"/>
  <c r="V177" i="148"/>
  <c r="W184" i="148"/>
  <c r="W183" i="148"/>
  <c r="W74" i="148"/>
  <c r="V77" i="148"/>
  <c r="V186" i="148"/>
  <c r="V252" i="148"/>
  <c r="V117" i="148"/>
  <c r="V139" i="148"/>
  <c r="V137" i="148"/>
  <c r="W135" i="148"/>
  <c r="W71" i="148"/>
  <c r="W73" i="148"/>
  <c r="V129" i="148"/>
  <c r="V185" i="148"/>
  <c r="V220" i="148"/>
  <c r="W76" i="148"/>
  <c r="W78" i="148"/>
  <c r="W80" i="148"/>
  <c r="V101" i="148"/>
  <c r="W136" i="148"/>
  <c r="W138" i="148"/>
  <c r="W148" i="148"/>
  <c r="V151" i="148"/>
  <c r="V172" i="148"/>
  <c r="W165" i="148"/>
  <c r="W130" i="148"/>
  <c r="V99" i="148"/>
  <c r="W232" i="148"/>
  <c r="V229" i="148"/>
  <c r="W198" i="148"/>
  <c r="V128" i="148"/>
  <c r="V127" i="148"/>
  <c r="V231" i="148"/>
  <c r="W234" i="148"/>
  <c r="V236" i="148"/>
  <c r="W238" i="148"/>
  <c r="W240" i="148"/>
  <c r="V242" i="148"/>
  <c r="V244" i="148"/>
  <c r="V251" i="148"/>
  <c r="V233" i="148"/>
  <c r="W230" i="148"/>
  <c r="V235" i="148"/>
  <c r="V237" i="148"/>
  <c r="V239" i="148"/>
  <c r="V241" i="148"/>
  <c r="V243" i="148"/>
  <c r="V197" i="148"/>
  <c r="W215" i="148"/>
  <c r="V199" i="148"/>
  <c r="V201" i="148"/>
  <c r="V207" i="148"/>
  <c r="V210" i="148"/>
  <c r="V212" i="148"/>
  <c r="W205" i="148"/>
  <c r="W161" i="148"/>
  <c r="W163" i="148"/>
  <c r="V171" i="148"/>
  <c r="W169" i="148"/>
  <c r="V179" i="148"/>
  <c r="V182" i="148"/>
  <c r="W167" i="148"/>
  <c r="V174" i="148"/>
  <c r="W133" i="148"/>
  <c r="V140" i="148"/>
  <c r="V142" i="148"/>
  <c r="V145" i="148"/>
  <c r="W147" i="148"/>
  <c r="V149" i="148"/>
  <c r="V132" i="148"/>
  <c r="W146" i="148"/>
  <c r="V109" i="148"/>
  <c r="V111" i="148"/>
  <c r="V98" i="148"/>
  <c r="V100" i="148"/>
  <c r="W94" i="148"/>
  <c r="W110" i="148"/>
  <c r="V112" i="148"/>
  <c r="V63" i="148"/>
  <c r="V65" i="148"/>
  <c r="V68" i="148"/>
  <c r="V75" i="148"/>
  <c r="V64" i="148"/>
  <c r="W66" i="148"/>
  <c r="V13" i="148"/>
  <c r="W13" i="148"/>
  <c r="W24" i="148"/>
  <c r="V24" i="148"/>
  <c r="W37" i="148"/>
  <c r="V37" i="148"/>
  <c r="W6" i="148"/>
  <c r="J52" i="148"/>
  <c r="V6" i="148"/>
  <c r="V11" i="148"/>
  <c r="W11" i="148"/>
  <c r="W18" i="148"/>
  <c r="V18" i="148"/>
  <c r="W26" i="148"/>
  <c r="V26" i="148"/>
  <c r="V29" i="148"/>
  <c r="W29" i="148"/>
  <c r="V31" i="148"/>
  <c r="W31" i="148"/>
  <c r="W41" i="148"/>
  <c r="V41" i="148"/>
  <c r="V48" i="148"/>
  <c r="W48" i="148"/>
  <c r="W67" i="148"/>
  <c r="V67" i="148"/>
  <c r="W20" i="148"/>
  <c r="V20" i="148"/>
  <c r="W8" i="148"/>
  <c r="V8" i="148"/>
  <c r="V17" i="148"/>
  <c r="W17" i="148"/>
  <c r="W40" i="148"/>
  <c r="V40" i="148"/>
  <c r="V21" i="148"/>
  <c r="W21" i="148"/>
  <c r="W27" i="148"/>
  <c r="V27" i="148"/>
  <c r="V36" i="148"/>
  <c r="W36" i="148"/>
  <c r="W44" i="148"/>
  <c r="V44" i="148"/>
  <c r="W46" i="148"/>
  <c r="V46" i="148"/>
  <c r="V70" i="148"/>
  <c r="W70" i="148"/>
  <c r="W10" i="148"/>
  <c r="V10" i="148"/>
  <c r="W12" i="148"/>
  <c r="V12" i="148"/>
  <c r="V19" i="148"/>
  <c r="W19" i="148"/>
  <c r="W22" i="148"/>
  <c r="V22" i="148"/>
  <c r="W30" i="148"/>
  <c r="V30" i="148"/>
  <c r="W32" i="148"/>
  <c r="V32" i="148"/>
  <c r="W34" i="148"/>
  <c r="V34" i="148"/>
  <c r="V39" i="148"/>
  <c r="W39" i="148"/>
  <c r="W47" i="148"/>
  <c r="V47" i="148"/>
  <c r="V62" i="148"/>
  <c r="W62" i="148"/>
  <c r="W15" i="148"/>
  <c r="V15" i="148"/>
  <c r="W35" i="148"/>
  <c r="V35" i="148"/>
  <c r="V43" i="148"/>
  <c r="W43" i="148"/>
  <c r="V7" i="148"/>
  <c r="W9" i="148"/>
  <c r="V14" i="148"/>
  <c r="N18" i="148"/>
  <c r="W95" i="148"/>
  <c r="V97" i="148"/>
  <c r="W102" i="148"/>
  <c r="W105" i="148"/>
  <c r="W107" i="148"/>
  <c r="W114" i="148"/>
  <c r="W116" i="148"/>
  <c r="W131" i="148"/>
  <c r="V131" i="148"/>
  <c r="W144" i="148"/>
  <c r="V144" i="148"/>
  <c r="W150" i="148"/>
  <c r="W152" i="148"/>
  <c r="W202" i="148"/>
  <c r="V202" i="148"/>
  <c r="J86" i="148"/>
  <c r="V162" i="148"/>
  <c r="J187" i="148"/>
  <c r="W162" i="148"/>
  <c r="V164" i="148"/>
  <c r="W164" i="148"/>
  <c r="V166" i="148"/>
  <c r="W166" i="148"/>
  <c r="V168" i="148"/>
  <c r="W168" i="148"/>
  <c r="W175" i="148"/>
  <c r="V175" i="148"/>
  <c r="V16" i="148"/>
  <c r="V23" i="148"/>
  <c r="V25" i="148"/>
  <c r="V28" i="148"/>
  <c r="V33" i="148"/>
  <c r="V38" i="148"/>
  <c r="V42" i="148"/>
  <c r="V45" i="148"/>
  <c r="V60" i="148"/>
  <c r="V61" i="148"/>
  <c r="V69" i="148"/>
  <c r="V82" i="148"/>
  <c r="W85" i="148"/>
  <c r="W96" i="148"/>
  <c r="V103" i="148"/>
  <c r="W104" i="148"/>
  <c r="W106" i="148"/>
  <c r="V108" i="148"/>
  <c r="W113" i="148"/>
  <c r="V115" i="148"/>
  <c r="V134" i="148"/>
  <c r="W134" i="148"/>
  <c r="W141" i="148"/>
  <c r="W143" i="148"/>
  <c r="W170" i="148"/>
  <c r="W173" i="148"/>
  <c r="W180" i="148"/>
  <c r="V180" i="148"/>
  <c r="V213" i="148"/>
  <c r="W213" i="148"/>
  <c r="W60" i="148"/>
  <c r="J118" i="148"/>
  <c r="W176" i="148"/>
  <c r="V176" i="148"/>
  <c r="J153" i="148"/>
  <c r="V178" i="148"/>
  <c r="V203" i="148"/>
  <c r="W204" i="148"/>
  <c r="V211" i="148"/>
  <c r="W216" i="148"/>
  <c r="V218" i="148"/>
  <c r="W245" i="148"/>
  <c r="W247" i="148"/>
  <c r="V250" i="148"/>
  <c r="W126" i="148"/>
  <c r="W181" i="148"/>
  <c r="V195" i="148"/>
  <c r="W196" i="148"/>
  <c r="V200" i="148"/>
  <c r="W206" i="148"/>
  <c r="V208" i="148"/>
  <c r="V209" i="148"/>
  <c r="W214" i="148"/>
  <c r="V217" i="148"/>
  <c r="W219" i="148"/>
  <c r="J221" i="148"/>
  <c r="W246" i="148"/>
  <c r="V248" i="148"/>
  <c r="W249" i="148"/>
  <c r="J253" i="148"/>
  <c r="H250" i="147"/>
  <c r="H249" i="147"/>
  <c r="H248" i="147"/>
  <c r="H218" i="147"/>
  <c r="H182" i="147"/>
  <c r="H181" i="147"/>
  <c r="H149" i="147"/>
  <c r="H147" i="147"/>
  <c r="H115" i="147"/>
  <c r="H113" i="147"/>
  <c r="H82" i="147"/>
  <c r="J48" i="147"/>
  <c r="I48" i="147"/>
  <c r="H47" i="147"/>
  <c r="I47" i="147"/>
  <c r="J47" i="147" s="1"/>
  <c r="H46" i="147"/>
  <c r="J46" i="147" s="1"/>
  <c r="I46" i="147"/>
  <c r="I45" i="147"/>
  <c r="J45" i="147" s="1"/>
  <c r="H44" i="147"/>
  <c r="I44" i="147"/>
  <c r="J44" i="147" s="1"/>
  <c r="I43" i="147"/>
  <c r="J43" i="147" s="1"/>
  <c r="V52" i="149" l="1"/>
  <c r="O4" i="149" s="1"/>
  <c r="Q4" i="149" s="1"/>
  <c r="Q12" i="149"/>
  <c r="P18" i="149"/>
  <c r="Q6" i="149"/>
  <c r="O18" i="149"/>
  <c r="R18" i="149" s="1"/>
  <c r="P20" i="149" s="1"/>
  <c r="R8" i="149"/>
  <c r="Q8" i="149"/>
  <c r="R14" i="149"/>
  <c r="Q14" i="149"/>
  <c r="R10" i="149"/>
  <c r="Q10" i="149"/>
  <c r="W86" i="148"/>
  <c r="P6" i="148" s="1"/>
  <c r="W253" i="148"/>
  <c r="P16" i="148" s="1"/>
  <c r="V153" i="148"/>
  <c r="O10" i="148" s="1"/>
  <c r="R10" i="148" s="1"/>
  <c r="V187" i="148"/>
  <c r="O12" i="148" s="1"/>
  <c r="R12" i="148" s="1"/>
  <c r="W187" i="148"/>
  <c r="P12" i="148" s="1"/>
  <c r="V253" i="148"/>
  <c r="O16" i="148" s="1"/>
  <c r="R16" i="148" s="1"/>
  <c r="W221" i="148"/>
  <c r="P14" i="148" s="1"/>
  <c r="W153" i="148"/>
  <c r="P10" i="148" s="1"/>
  <c r="V118" i="148"/>
  <c r="O8" i="148" s="1"/>
  <c r="R8" i="148" s="1"/>
  <c r="W118" i="148"/>
  <c r="P8" i="148" s="1"/>
  <c r="V221" i="148"/>
  <c r="O14" i="148" s="1"/>
  <c r="V52" i="148"/>
  <c r="O4" i="148" s="1"/>
  <c r="V86" i="148"/>
  <c r="O6" i="148" s="1"/>
  <c r="W52" i="148"/>
  <c r="P4" i="148" s="1"/>
  <c r="H146" i="147"/>
  <c r="H78" i="147"/>
  <c r="I42" i="147"/>
  <c r="J42" i="147" s="1"/>
  <c r="I41" i="147"/>
  <c r="J41" i="147" s="1"/>
  <c r="R4" i="149" l="1"/>
  <c r="Q18" i="149"/>
  <c r="Q10" i="148"/>
  <c r="Q12" i="148"/>
  <c r="P18" i="148"/>
  <c r="Q8" i="148"/>
  <c r="O18" i="148"/>
  <c r="R18" i="148" s="1"/>
  <c r="P20" i="148" s="1"/>
  <c r="R4" i="148"/>
  <c r="Q4" i="148"/>
  <c r="R6" i="148"/>
  <c r="Q6" i="148"/>
  <c r="R14" i="148"/>
  <c r="Q14" i="148"/>
  <c r="H245" i="147"/>
  <c r="H213" i="147"/>
  <c r="H144" i="147"/>
  <c r="H111" i="147"/>
  <c r="H110" i="147"/>
  <c r="H77" i="147"/>
  <c r="H76" i="147"/>
  <c r="J39" i="147"/>
  <c r="I40" i="147"/>
  <c r="J40" i="147" s="1"/>
  <c r="I39" i="147"/>
  <c r="I38" i="147"/>
  <c r="J38" i="147" s="1"/>
  <c r="H37" i="147"/>
  <c r="I37" i="147"/>
  <c r="J37" i="147" s="1"/>
  <c r="Q18" i="148" l="1"/>
  <c r="H176" i="147"/>
  <c r="H75" i="147"/>
  <c r="H36" i="147"/>
  <c r="I36" i="147"/>
  <c r="J36" i="147" s="1"/>
  <c r="I35" i="147"/>
  <c r="J35" i="147" s="1"/>
  <c r="H108" i="147" l="1"/>
  <c r="H34" i="147"/>
  <c r="J34" i="147" s="1"/>
  <c r="I34" i="147"/>
  <c r="I33" i="147"/>
  <c r="J33" i="147" s="1"/>
  <c r="H241" i="147" l="1"/>
  <c r="H240" i="147"/>
  <c r="H239" i="147"/>
  <c r="H209" i="147"/>
  <c r="H208" i="147"/>
  <c r="H207" i="147"/>
  <c r="H172" i="147"/>
  <c r="H140" i="147"/>
  <c r="H104" i="147"/>
  <c r="H71" i="147"/>
  <c r="H70" i="147"/>
  <c r="J29" i="147"/>
  <c r="H32" i="147"/>
  <c r="I32" i="147"/>
  <c r="J32" i="147" s="1"/>
  <c r="H31" i="147"/>
  <c r="I31" i="147"/>
  <c r="J31" i="147" s="1"/>
  <c r="H30" i="147"/>
  <c r="I30" i="147"/>
  <c r="J30" i="147" s="1"/>
  <c r="I29" i="147"/>
  <c r="I28" i="147"/>
  <c r="J28" i="147" s="1"/>
  <c r="I27" i="147"/>
  <c r="J27" i="147" s="1"/>
  <c r="H26" i="147"/>
  <c r="J26" i="147" s="1"/>
  <c r="I26" i="147"/>
  <c r="H136" i="147" l="1"/>
  <c r="H238" i="147"/>
  <c r="H204" i="147"/>
  <c r="H170" i="147"/>
  <c r="H103" i="147"/>
  <c r="H102" i="147"/>
  <c r="J22" i="147"/>
  <c r="H25" i="147"/>
  <c r="I25" i="147"/>
  <c r="J25" i="147" s="1"/>
  <c r="H24" i="147"/>
  <c r="I24" i="147"/>
  <c r="J24" i="147" s="1"/>
  <c r="H23" i="147"/>
  <c r="I23" i="147"/>
  <c r="J23" i="147" s="1"/>
  <c r="I22" i="147"/>
  <c r="H69" i="147"/>
  <c r="H235" i="147" l="1"/>
  <c r="H234" i="147"/>
  <c r="H202" i="147"/>
  <c r="H200" i="147"/>
  <c r="H133" i="147"/>
  <c r="H67" i="147"/>
  <c r="H66" i="147"/>
  <c r="J19" i="147"/>
  <c r="H21" i="147"/>
  <c r="I21" i="147"/>
  <c r="J21" i="147" s="1"/>
  <c r="I20" i="147"/>
  <c r="J20" i="147" s="1"/>
  <c r="H19" i="147"/>
  <c r="I19" i="147"/>
  <c r="J18" i="147"/>
  <c r="I18" i="147"/>
  <c r="J17" i="147"/>
  <c r="I17" i="147"/>
  <c r="J16" i="147"/>
  <c r="I16" i="147"/>
  <c r="H130" i="147" l="1"/>
  <c r="I15" i="147"/>
  <c r="J15" i="147" s="1"/>
  <c r="I14" i="147"/>
  <c r="J14" i="147" s="1"/>
  <c r="H97" i="147" l="1"/>
  <c r="I13" i="147"/>
  <c r="J13" i="147" s="1"/>
  <c r="H12" i="147"/>
  <c r="I12" i="147"/>
  <c r="J12" i="147" s="1"/>
  <c r="H231" i="147" l="1"/>
  <c r="H197" i="147"/>
  <c r="H62" i="147"/>
  <c r="J10" i="147"/>
  <c r="V10" i="147" s="1"/>
  <c r="I11" i="147"/>
  <c r="J11" i="147" s="1"/>
  <c r="I10" i="147"/>
  <c r="I8" i="147"/>
  <c r="J8" i="147" s="1"/>
  <c r="I9" i="147"/>
  <c r="H9" i="147"/>
  <c r="J9" i="147" s="1"/>
  <c r="H196" i="147"/>
  <c r="J196" i="147" s="1"/>
  <c r="V196" i="147" s="1"/>
  <c r="H230" i="147"/>
  <c r="J230" i="147" s="1"/>
  <c r="V230" i="147" s="1"/>
  <c r="J252" i="147"/>
  <c r="V252" i="147" s="1"/>
  <c r="W251" i="147"/>
  <c r="J251" i="147"/>
  <c r="V251" i="147" s="1"/>
  <c r="J250" i="147"/>
  <c r="V250" i="147" s="1"/>
  <c r="J249" i="147"/>
  <c r="V249" i="147" s="1"/>
  <c r="J248" i="147"/>
  <c r="V248" i="147" s="1"/>
  <c r="J247" i="147"/>
  <c r="V247" i="147" s="1"/>
  <c r="J246" i="147"/>
  <c r="V246" i="147" s="1"/>
  <c r="J245" i="147"/>
  <c r="V245" i="147" s="1"/>
  <c r="J244" i="147"/>
  <c r="V244" i="147" s="1"/>
  <c r="J243" i="147"/>
  <c r="V243" i="147" s="1"/>
  <c r="J242" i="147"/>
  <c r="V242" i="147" s="1"/>
  <c r="J241" i="147"/>
  <c r="V241" i="147" s="1"/>
  <c r="J240" i="147"/>
  <c r="V240" i="147" s="1"/>
  <c r="B240" i="147"/>
  <c r="B241" i="147" s="1"/>
  <c r="B242" i="147" s="1"/>
  <c r="B243" i="147" s="1"/>
  <c r="B244" i="147" s="1"/>
  <c r="B245" i="147" s="1"/>
  <c r="B246" i="147" s="1"/>
  <c r="B247" i="147" s="1"/>
  <c r="B248" i="147" s="1"/>
  <c r="B249" i="147" s="1"/>
  <c r="B250" i="147" s="1"/>
  <c r="B251" i="147" s="1"/>
  <c r="B252" i="147" s="1"/>
  <c r="J239" i="147"/>
  <c r="J238" i="147"/>
  <c r="J237" i="147"/>
  <c r="J236" i="147"/>
  <c r="W236" i="147" s="1"/>
  <c r="J235" i="147"/>
  <c r="W235" i="147" s="1"/>
  <c r="J234" i="147"/>
  <c r="W234" i="147" s="1"/>
  <c r="J233" i="147"/>
  <c r="W233" i="147" s="1"/>
  <c r="J232" i="147"/>
  <c r="W232" i="147" s="1"/>
  <c r="J231" i="147"/>
  <c r="W231" i="147" s="1"/>
  <c r="B230" i="147"/>
  <c r="B231" i="147" s="1"/>
  <c r="B232" i="147" s="1"/>
  <c r="B233" i="147" s="1"/>
  <c r="B234" i="147" s="1"/>
  <c r="B235" i="147" s="1"/>
  <c r="B236" i="147" s="1"/>
  <c r="B237" i="147" s="1"/>
  <c r="B238" i="147" s="1"/>
  <c r="B239" i="147" s="1"/>
  <c r="J229" i="147"/>
  <c r="V229" i="147" s="1"/>
  <c r="J220" i="147"/>
  <c r="V219" i="147"/>
  <c r="J219" i="147"/>
  <c r="W219" i="147" s="1"/>
  <c r="J218" i="147"/>
  <c r="V218" i="147" s="1"/>
  <c r="J217" i="147"/>
  <c r="W217" i="147" s="1"/>
  <c r="J216" i="147"/>
  <c r="J215" i="147"/>
  <c r="J214" i="147"/>
  <c r="J213" i="147"/>
  <c r="J212" i="147"/>
  <c r="J211" i="147"/>
  <c r="J210" i="147"/>
  <c r="J209" i="147"/>
  <c r="W209" i="147" s="1"/>
  <c r="J208" i="147"/>
  <c r="V208" i="147" s="1"/>
  <c r="J207" i="147"/>
  <c r="W207" i="147" s="1"/>
  <c r="J206" i="147"/>
  <c r="J205" i="147"/>
  <c r="J204" i="147"/>
  <c r="J203" i="147"/>
  <c r="J202" i="147"/>
  <c r="J201" i="147"/>
  <c r="J200" i="147"/>
  <c r="V200" i="147" s="1"/>
  <c r="J199" i="147"/>
  <c r="W199" i="147" s="1"/>
  <c r="J198" i="147"/>
  <c r="W198" i="147" s="1"/>
  <c r="V197" i="147"/>
  <c r="J197" i="147"/>
  <c r="W197" i="147" s="1"/>
  <c r="B196" i="147"/>
  <c r="B197" i="147" s="1"/>
  <c r="B198" i="147" s="1"/>
  <c r="B199" i="147" s="1"/>
  <c r="B200" i="147" s="1"/>
  <c r="B201" i="147" s="1"/>
  <c r="B202" i="147" s="1"/>
  <c r="B203" i="147" s="1"/>
  <c r="B204" i="147" s="1"/>
  <c r="B205" i="147" s="1"/>
  <c r="B206" i="147" s="1"/>
  <c r="B207" i="147" s="1"/>
  <c r="B208" i="147" s="1"/>
  <c r="B209" i="147" s="1"/>
  <c r="B210" i="147" s="1"/>
  <c r="B211" i="147" s="1"/>
  <c r="B212" i="147" s="1"/>
  <c r="B213" i="147" s="1"/>
  <c r="B214" i="147" s="1"/>
  <c r="B215" i="147" s="1"/>
  <c r="B216" i="147" s="1"/>
  <c r="J195" i="147"/>
  <c r="W195" i="147" s="1"/>
  <c r="J186" i="147"/>
  <c r="W186" i="147" s="1"/>
  <c r="W185" i="147"/>
  <c r="J185" i="147"/>
  <c r="V185" i="147" s="1"/>
  <c r="W184" i="147"/>
  <c r="V184" i="147"/>
  <c r="J184" i="147"/>
  <c r="J183" i="147"/>
  <c r="W183" i="147" s="1"/>
  <c r="J182" i="147"/>
  <c r="W182" i="147" s="1"/>
  <c r="J181" i="147"/>
  <c r="V181" i="147" s="1"/>
  <c r="J180" i="147"/>
  <c r="W180" i="147" s="1"/>
  <c r="J179" i="147"/>
  <c r="W179" i="147" s="1"/>
  <c r="J178" i="147"/>
  <c r="W178" i="147" s="1"/>
  <c r="J177" i="147"/>
  <c r="W177" i="147" s="1"/>
  <c r="J176" i="147"/>
  <c r="W176" i="147" s="1"/>
  <c r="J175" i="147"/>
  <c r="V175" i="147" s="1"/>
  <c r="J174" i="147"/>
  <c r="W174" i="147" s="1"/>
  <c r="J173" i="147"/>
  <c r="W173" i="147" s="1"/>
  <c r="J172" i="147"/>
  <c r="W172" i="147" s="1"/>
  <c r="J171" i="147"/>
  <c r="V171" i="147" s="1"/>
  <c r="J170" i="147"/>
  <c r="V170" i="147" s="1"/>
  <c r="J169" i="147"/>
  <c r="V169" i="147" s="1"/>
  <c r="J168" i="147"/>
  <c r="W168" i="147" s="1"/>
  <c r="J167" i="147"/>
  <c r="W167" i="147" s="1"/>
  <c r="J166" i="147"/>
  <c r="V166" i="147" s="1"/>
  <c r="J165" i="147"/>
  <c r="J164" i="147"/>
  <c r="J163" i="147"/>
  <c r="J162" i="147"/>
  <c r="B162" i="147"/>
  <c r="B163" i="147" s="1"/>
  <c r="B164" i="147" s="1"/>
  <c r="B165" i="147" s="1"/>
  <c r="B166" i="147" s="1"/>
  <c r="B167" i="147" s="1"/>
  <c r="B168" i="147" s="1"/>
  <c r="B169" i="147" s="1"/>
  <c r="B170" i="147" s="1"/>
  <c r="B171" i="147" s="1"/>
  <c r="B172" i="147" s="1"/>
  <c r="B173" i="147" s="1"/>
  <c r="B174" i="147" s="1"/>
  <c r="B175" i="147" s="1"/>
  <c r="B176" i="147" s="1"/>
  <c r="B177" i="147" s="1"/>
  <c r="B178" i="147" s="1"/>
  <c r="B179" i="147" s="1"/>
  <c r="B180" i="147" s="1"/>
  <c r="B181" i="147" s="1"/>
  <c r="B182" i="147" s="1"/>
  <c r="B183" i="147" s="1"/>
  <c r="B184" i="147" s="1"/>
  <c r="B185" i="147" s="1"/>
  <c r="B186" i="147" s="1"/>
  <c r="J161" i="147"/>
  <c r="J152" i="147"/>
  <c r="V152" i="147" s="1"/>
  <c r="W151" i="147"/>
  <c r="J151" i="147"/>
  <c r="V151" i="147" s="1"/>
  <c r="J150" i="147"/>
  <c r="V150" i="147" s="1"/>
  <c r="J149" i="147"/>
  <c r="V149" i="147" s="1"/>
  <c r="J148" i="147"/>
  <c r="V148" i="147" s="1"/>
  <c r="J147" i="147"/>
  <c r="V147" i="147" s="1"/>
  <c r="J146" i="147"/>
  <c r="V146" i="147" s="1"/>
  <c r="J145" i="147"/>
  <c r="V145" i="147" s="1"/>
  <c r="J144" i="147"/>
  <c r="V144" i="147" s="1"/>
  <c r="J143" i="147"/>
  <c r="V143" i="147" s="1"/>
  <c r="J142" i="147"/>
  <c r="V142" i="147" s="1"/>
  <c r="J141" i="147"/>
  <c r="V141" i="147" s="1"/>
  <c r="J140" i="147"/>
  <c r="V140" i="147" s="1"/>
  <c r="J139" i="147"/>
  <c r="V139" i="147" s="1"/>
  <c r="J138" i="147"/>
  <c r="V138" i="147" s="1"/>
  <c r="J137" i="147"/>
  <c r="V137" i="147" s="1"/>
  <c r="J136" i="147"/>
  <c r="V136" i="147" s="1"/>
  <c r="J135" i="147"/>
  <c r="W135" i="147" s="1"/>
  <c r="J134" i="147"/>
  <c r="V134" i="147" s="1"/>
  <c r="J133" i="147"/>
  <c r="V133" i="147" s="1"/>
  <c r="J132" i="147"/>
  <c r="W132" i="147" s="1"/>
  <c r="J131" i="147"/>
  <c r="V131" i="147" s="1"/>
  <c r="J130" i="147"/>
  <c r="W130" i="147" s="1"/>
  <c r="J129" i="147"/>
  <c r="W129" i="147" s="1"/>
  <c r="J128" i="147"/>
  <c r="V128" i="147" s="1"/>
  <c r="J127" i="147"/>
  <c r="V127" i="147" s="1"/>
  <c r="B127" i="147"/>
  <c r="B128" i="147" s="1"/>
  <c r="B129" i="147" s="1"/>
  <c r="B130" i="147" s="1"/>
  <c r="B131" i="147" s="1"/>
  <c r="B132" i="147" s="1"/>
  <c r="B133" i="147" s="1"/>
  <c r="B134" i="147" s="1"/>
  <c r="B135" i="147" s="1"/>
  <c r="B136" i="147" s="1"/>
  <c r="B137" i="147" s="1"/>
  <c r="B138" i="147" s="1"/>
  <c r="B139" i="147" s="1"/>
  <c r="B140" i="147" s="1"/>
  <c r="B141" i="147" s="1"/>
  <c r="B142" i="147" s="1"/>
  <c r="B143" i="147" s="1"/>
  <c r="B144" i="147" s="1"/>
  <c r="B145" i="147" s="1"/>
  <c r="B146" i="147" s="1"/>
  <c r="B147" i="147" s="1"/>
  <c r="B148" i="147" s="1"/>
  <c r="B149" i="147" s="1"/>
  <c r="B150" i="147" s="1"/>
  <c r="B151" i="147" s="1"/>
  <c r="B152" i="147" s="1"/>
  <c r="J126" i="147"/>
  <c r="J117" i="147"/>
  <c r="V117" i="147" s="1"/>
  <c r="J116" i="147"/>
  <c r="W116" i="147" s="1"/>
  <c r="J115" i="147"/>
  <c r="V115" i="147" s="1"/>
  <c r="J114" i="147"/>
  <c r="V114" i="147" s="1"/>
  <c r="J113" i="147"/>
  <c r="V113" i="147" s="1"/>
  <c r="J112" i="147"/>
  <c r="V112" i="147" s="1"/>
  <c r="J111" i="147"/>
  <c r="V111" i="147" s="1"/>
  <c r="J110" i="147"/>
  <c r="V110" i="147" s="1"/>
  <c r="J109" i="147"/>
  <c r="V109" i="147" s="1"/>
  <c r="J108" i="147"/>
  <c r="W108" i="147" s="1"/>
  <c r="J107" i="147"/>
  <c r="J106" i="147"/>
  <c r="V106" i="147" s="1"/>
  <c r="J105" i="147"/>
  <c r="V105" i="147" s="1"/>
  <c r="J104" i="147"/>
  <c r="V104" i="147" s="1"/>
  <c r="J103" i="147"/>
  <c r="V103" i="147" s="1"/>
  <c r="J102" i="147"/>
  <c r="W102" i="147" s="1"/>
  <c r="J101" i="147"/>
  <c r="W101" i="147" s="1"/>
  <c r="J100" i="147"/>
  <c r="W100" i="147" s="1"/>
  <c r="J99" i="147"/>
  <c r="W99" i="147" s="1"/>
  <c r="J98" i="147"/>
  <c r="W98" i="147" s="1"/>
  <c r="J97" i="147"/>
  <c r="W97" i="147" s="1"/>
  <c r="J96" i="147"/>
  <c r="W96" i="147" s="1"/>
  <c r="J95" i="147"/>
  <c r="W95" i="147" s="1"/>
  <c r="B95" i="147"/>
  <c r="B96" i="147" s="1"/>
  <c r="B97" i="147" s="1"/>
  <c r="B98" i="147" s="1"/>
  <c r="B99" i="147" s="1"/>
  <c r="B100" i="147" s="1"/>
  <c r="B101" i="147" s="1"/>
  <c r="B102" i="147" s="1"/>
  <c r="B103" i="147" s="1"/>
  <c r="B104" i="147" s="1"/>
  <c r="B105" i="147" s="1"/>
  <c r="B106" i="147" s="1"/>
  <c r="B107" i="147" s="1"/>
  <c r="B108" i="147" s="1"/>
  <c r="B109" i="147" s="1"/>
  <c r="B110" i="147" s="1"/>
  <c r="B111" i="147" s="1"/>
  <c r="B112" i="147" s="1"/>
  <c r="B113" i="147" s="1"/>
  <c r="B114" i="147" s="1"/>
  <c r="B115" i="147" s="1"/>
  <c r="J94" i="147"/>
  <c r="J85" i="147"/>
  <c r="V85" i="147" s="1"/>
  <c r="J84" i="147"/>
  <c r="J83" i="147"/>
  <c r="J82" i="147"/>
  <c r="W82" i="147" s="1"/>
  <c r="J81" i="147"/>
  <c r="J80" i="147"/>
  <c r="W80" i="147" s="1"/>
  <c r="J79" i="147"/>
  <c r="W79" i="147" s="1"/>
  <c r="J78" i="147"/>
  <c r="V78" i="147" s="1"/>
  <c r="J77" i="147"/>
  <c r="V77" i="147" s="1"/>
  <c r="J76" i="147"/>
  <c r="W76" i="147" s="1"/>
  <c r="J75" i="147"/>
  <c r="J74" i="147"/>
  <c r="V74" i="147" s="1"/>
  <c r="J73" i="147"/>
  <c r="J72" i="147"/>
  <c r="W72" i="147" s="1"/>
  <c r="J71" i="147"/>
  <c r="W71" i="147" s="1"/>
  <c r="J70" i="147"/>
  <c r="W70" i="147" s="1"/>
  <c r="J69" i="147"/>
  <c r="W69" i="147" s="1"/>
  <c r="J68" i="147"/>
  <c r="J67" i="147"/>
  <c r="V67" i="147" s="1"/>
  <c r="J66" i="147"/>
  <c r="V66" i="147" s="1"/>
  <c r="J65" i="147"/>
  <c r="J64" i="147"/>
  <c r="W64" i="147" s="1"/>
  <c r="J63" i="147"/>
  <c r="W63" i="147" s="1"/>
  <c r="J62" i="147"/>
  <c r="J61" i="147"/>
  <c r="V61" i="147" s="1"/>
  <c r="B61" i="147"/>
  <c r="B62" i="147" s="1"/>
  <c r="B63" i="147" s="1"/>
  <c r="B64" i="147" s="1"/>
  <c r="B65" i="147" s="1"/>
  <c r="B66" i="147" s="1"/>
  <c r="B67" i="147" s="1"/>
  <c r="B68" i="147" s="1"/>
  <c r="B69" i="147" s="1"/>
  <c r="B70" i="147" s="1"/>
  <c r="B71" i="147" s="1"/>
  <c r="B72" i="147" s="1"/>
  <c r="B73" i="147" s="1"/>
  <c r="B74" i="147" s="1"/>
  <c r="B75" i="147" s="1"/>
  <c r="B76" i="147" s="1"/>
  <c r="B77" i="147" s="1"/>
  <c r="B78" i="147" s="1"/>
  <c r="B79" i="147" s="1"/>
  <c r="B80" i="147" s="1"/>
  <c r="B81" i="147" s="1"/>
  <c r="B82" i="147" s="1"/>
  <c r="J60" i="147"/>
  <c r="V60" i="147" s="1"/>
  <c r="W51" i="147"/>
  <c r="V51" i="147"/>
  <c r="W50" i="147"/>
  <c r="V50" i="147"/>
  <c r="W49" i="147"/>
  <c r="V49" i="147"/>
  <c r="W48" i="147"/>
  <c r="V48" i="147"/>
  <c r="W47" i="147"/>
  <c r="V47" i="147"/>
  <c r="W46" i="147"/>
  <c r="V46" i="147"/>
  <c r="W45" i="147"/>
  <c r="V45" i="147"/>
  <c r="W44" i="147"/>
  <c r="V44" i="147"/>
  <c r="W43" i="147"/>
  <c r="V43" i="147"/>
  <c r="W42" i="147"/>
  <c r="V42" i="147"/>
  <c r="W41" i="147"/>
  <c r="V41" i="147"/>
  <c r="W40" i="147"/>
  <c r="V40" i="147"/>
  <c r="W39" i="147"/>
  <c r="V39" i="147"/>
  <c r="W38" i="147"/>
  <c r="V38" i="147"/>
  <c r="W37" i="147"/>
  <c r="V37" i="147"/>
  <c r="W36" i="147"/>
  <c r="V36" i="147"/>
  <c r="W35" i="147"/>
  <c r="W33" i="147"/>
  <c r="W30" i="147"/>
  <c r="W25" i="147"/>
  <c r="W24" i="147"/>
  <c r="W22" i="147"/>
  <c r="W19" i="147"/>
  <c r="N16" i="147"/>
  <c r="W16" i="147"/>
  <c r="N14" i="147"/>
  <c r="V14" i="147"/>
  <c r="N12" i="147"/>
  <c r="V12" i="147"/>
  <c r="N10" i="147"/>
  <c r="N8" i="147"/>
  <c r="I7" i="147"/>
  <c r="J7" i="147" s="1"/>
  <c r="B7" i="147"/>
  <c r="B8" i="147" s="1"/>
  <c r="B9" i="147" s="1"/>
  <c r="B10" i="147" s="1"/>
  <c r="B11" i="147" s="1"/>
  <c r="B12" i="147" s="1"/>
  <c r="B13" i="147" s="1"/>
  <c r="B14" i="147" s="1"/>
  <c r="B15" i="147" s="1"/>
  <c r="B16" i="147" s="1"/>
  <c r="B17" i="147" s="1"/>
  <c r="B18" i="147" s="1"/>
  <c r="B19" i="147" s="1"/>
  <c r="B20" i="147" s="1"/>
  <c r="B21" i="147" s="1"/>
  <c r="B22" i="147" s="1"/>
  <c r="B23" i="147" s="1"/>
  <c r="B24" i="147" s="1"/>
  <c r="B25" i="147" s="1"/>
  <c r="B26" i="147" s="1"/>
  <c r="B27" i="147" s="1"/>
  <c r="B28" i="147" s="1"/>
  <c r="B29" i="147" s="1"/>
  <c r="B30" i="147" s="1"/>
  <c r="B31" i="147" s="1"/>
  <c r="B32" i="147" s="1"/>
  <c r="B33" i="147" s="1"/>
  <c r="B34" i="147" s="1"/>
  <c r="B35" i="147" s="1"/>
  <c r="B36" i="147" s="1"/>
  <c r="B37" i="147" s="1"/>
  <c r="B38" i="147" s="1"/>
  <c r="B39" i="147" s="1"/>
  <c r="B40" i="147" s="1"/>
  <c r="B41" i="147" s="1"/>
  <c r="B42" i="147" s="1"/>
  <c r="B43" i="147" s="1"/>
  <c r="B44" i="147" s="1"/>
  <c r="B45" i="147" s="1"/>
  <c r="B46" i="147" s="1"/>
  <c r="B47" i="147" s="1"/>
  <c r="B48" i="147" s="1"/>
  <c r="B49" i="147" s="1"/>
  <c r="B50" i="147" s="1"/>
  <c r="B51" i="147" s="1"/>
  <c r="N6" i="147"/>
  <c r="I6" i="147"/>
  <c r="J6" i="147" s="1"/>
  <c r="N4" i="147"/>
  <c r="W78" i="147" l="1"/>
  <c r="W85" i="147"/>
  <c r="V183" i="147"/>
  <c r="W249" i="147"/>
  <c r="V76" i="147"/>
  <c r="W150" i="147"/>
  <c r="W152" i="147"/>
  <c r="W170" i="147"/>
  <c r="W181" i="147"/>
  <c r="V186" i="147"/>
  <c r="W218" i="147"/>
  <c r="W247" i="147"/>
  <c r="W252" i="147"/>
  <c r="W117" i="147"/>
  <c r="W250" i="147"/>
  <c r="W248" i="147"/>
  <c r="V217" i="147"/>
  <c r="V182" i="147"/>
  <c r="V180" i="147"/>
  <c r="W149" i="147"/>
  <c r="W148" i="147"/>
  <c r="W147" i="147"/>
  <c r="V116" i="147"/>
  <c r="W115" i="147"/>
  <c r="W114" i="147"/>
  <c r="W113" i="147"/>
  <c r="V82" i="147"/>
  <c r="V79" i="147"/>
  <c r="V80" i="147"/>
  <c r="V179" i="147"/>
  <c r="W146" i="147"/>
  <c r="W112" i="147"/>
  <c r="W77" i="147"/>
  <c r="W245" i="147"/>
  <c r="W246" i="147"/>
  <c r="V178" i="147"/>
  <c r="V177" i="147"/>
  <c r="W145" i="147"/>
  <c r="W111" i="147"/>
  <c r="W110" i="147"/>
  <c r="W244" i="147"/>
  <c r="W175" i="147"/>
  <c r="W74" i="147"/>
  <c r="V174" i="147"/>
  <c r="W171" i="147"/>
  <c r="W200" i="147"/>
  <c r="V167" i="147"/>
  <c r="W66" i="147"/>
  <c r="V63" i="147"/>
  <c r="V232" i="147"/>
  <c r="V236" i="147"/>
  <c r="W241" i="147"/>
  <c r="W243" i="147"/>
  <c r="W230" i="147"/>
  <c r="V234" i="147"/>
  <c r="W229" i="147"/>
  <c r="V233" i="147"/>
  <c r="V235" i="147"/>
  <c r="W240" i="147"/>
  <c r="W242" i="147"/>
  <c r="V199" i="147"/>
  <c r="V207" i="147"/>
  <c r="W196" i="147"/>
  <c r="V198" i="147"/>
  <c r="W208" i="147"/>
  <c r="V173" i="147"/>
  <c r="W166" i="147"/>
  <c r="V168" i="147"/>
  <c r="W169" i="147"/>
  <c r="V172" i="147"/>
  <c r="V176" i="147"/>
  <c r="V130" i="147"/>
  <c r="V132" i="147"/>
  <c r="W134" i="147"/>
  <c r="W136" i="147"/>
  <c r="W138" i="147"/>
  <c r="W140" i="147"/>
  <c r="W142" i="147"/>
  <c r="W144" i="147"/>
  <c r="W131" i="147"/>
  <c r="W133" i="147"/>
  <c r="V135" i="147"/>
  <c r="W137" i="147"/>
  <c r="W139" i="147"/>
  <c r="W141" i="147"/>
  <c r="W143" i="147"/>
  <c r="V95" i="147"/>
  <c r="V97" i="147"/>
  <c r="V99" i="147"/>
  <c r="V101" i="147"/>
  <c r="W103" i="147"/>
  <c r="W105" i="147"/>
  <c r="V96" i="147"/>
  <c r="V98" i="147"/>
  <c r="V100" i="147"/>
  <c r="V102" i="147"/>
  <c r="W104" i="147"/>
  <c r="W106" i="147"/>
  <c r="W61" i="147"/>
  <c r="V69" i="147"/>
  <c r="W60" i="147"/>
  <c r="W67" i="147"/>
  <c r="W11" i="147"/>
  <c r="V11" i="147"/>
  <c r="W21" i="147"/>
  <c r="V21" i="147"/>
  <c r="W32" i="147"/>
  <c r="V32" i="147"/>
  <c r="W9" i="147"/>
  <c r="V9" i="147"/>
  <c r="W27" i="147"/>
  <c r="V27" i="147"/>
  <c r="W7" i="147"/>
  <c r="V7" i="147"/>
  <c r="V24" i="147"/>
  <c r="V16" i="147"/>
  <c r="V35" i="147"/>
  <c r="V17" i="147"/>
  <c r="W17" i="147"/>
  <c r="W29" i="147"/>
  <c r="V29" i="147"/>
  <c r="V65" i="147"/>
  <c r="W65" i="147"/>
  <c r="V15" i="147"/>
  <c r="W15" i="147"/>
  <c r="W20" i="147"/>
  <c r="V20" i="147"/>
  <c r="V31" i="147"/>
  <c r="W31" i="147"/>
  <c r="J118" i="147"/>
  <c r="W94" i="147"/>
  <c r="V94" i="147"/>
  <c r="V13" i="147"/>
  <c r="W13" i="147"/>
  <c r="W18" i="147"/>
  <c r="V18" i="147"/>
  <c r="V26" i="147"/>
  <c r="W26" i="147"/>
  <c r="W68" i="147"/>
  <c r="V68" i="147"/>
  <c r="W73" i="147"/>
  <c r="V73" i="147"/>
  <c r="W75" i="147"/>
  <c r="V75" i="147"/>
  <c r="W8" i="147"/>
  <c r="V8" i="147"/>
  <c r="V23" i="147"/>
  <c r="W23" i="147"/>
  <c r="V28" i="147"/>
  <c r="W28" i="147"/>
  <c r="W62" i="147"/>
  <c r="V62" i="147"/>
  <c r="J52" i="147"/>
  <c r="W6" i="147"/>
  <c r="V6" i="147"/>
  <c r="W34" i="147"/>
  <c r="V34" i="147"/>
  <c r="W107" i="147"/>
  <c r="V107" i="147"/>
  <c r="W10" i="147"/>
  <c r="W12" i="147"/>
  <c r="W14" i="147"/>
  <c r="N18" i="147"/>
  <c r="J153" i="147"/>
  <c r="W126" i="147"/>
  <c r="W165" i="147"/>
  <c r="V165" i="147"/>
  <c r="W202" i="147"/>
  <c r="V202" i="147"/>
  <c r="W206" i="147"/>
  <c r="V206" i="147"/>
  <c r="W211" i="147"/>
  <c r="V211" i="147"/>
  <c r="W215" i="147"/>
  <c r="V215" i="147"/>
  <c r="V70" i="147"/>
  <c r="V71" i="147"/>
  <c r="V72" i="147"/>
  <c r="J86" i="147"/>
  <c r="V108" i="147"/>
  <c r="W109" i="147"/>
  <c r="V126" i="147"/>
  <c r="W127" i="147"/>
  <c r="V129" i="147"/>
  <c r="W162" i="147"/>
  <c r="V162" i="147"/>
  <c r="W203" i="147"/>
  <c r="V203" i="147"/>
  <c r="V209" i="147"/>
  <c r="W212" i="147"/>
  <c r="V212" i="147"/>
  <c r="W216" i="147"/>
  <c r="V216" i="147"/>
  <c r="W220" i="147"/>
  <c r="V220" i="147"/>
  <c r="V231" i="147"/>
  <c r="W237" i="147"/>
  <c r="V237" i="147"/>
  <c r="V64" i="147"/>
  <c r="W163" i="147"/>
  <c r="V163" i="147"/>
  <c r="J221" i="147"/>
  <c r="W204" i="147"/>
  <c r="V204" i="147"/>
  <c r="W213" i="147"/>
  <c r="V213" i="147"/>
  <c r="W238" i="147"/>
  <c r="V238" i="147"/>
  <c r="V19" i="147"/>
  <c r="V22" i="147"/>
  <c r="V25" i="147"/>
  <c r="V30" i="147"/>
  <c r="V33" i="147"/>
  <c r="W128" i="147"/>
  <c r="J187" i="147"/>
  <c r="W161" i="147"/>
  <c r="V161" i="147"/>
  <c r="W164" i="147"/>
  <c r="V164" i="147"/>
  <c r="W201" i="147"/>
  <c r="V201" i="147"/>
  <c r="W205" i="147"/>
  <c r="V205" i="147"/>
  <c r="W210" i="147"/>
  <c r="V210" i="147"/>
  <c r="W214" i="147"/>
  <c r="V214" i="147"/>
  <c r="W239" i="147"/>
  <c r="V239" i="147"/>
  <c r="J253" i="147"/>
  <c r="V195" i="147"/>
  <c r="W253" i="147" l="1"/>
  <c r="P16" i="147" s="1"/>
  <c r="W221" i="147"/>
  <c r="P14" i="147" s="1"/>
  <c r="V253" i="147"/>
  <c r="O16" i="147" s="1"/>
  <c r="R16" i="147" s="1"/>
  <c r="V221" i="147"/>
  <c r="O14" i="147" s="1"/>
  <c r="Q14" i="147" s="1"/>
  <c r="V187" i="147"/>
  <c r="O12" i="147" s="1"/>
  <c r="R12" i="147" s="1"/>
  <c r="W153" i="147"/>
  <c r="P10" i="147" s="1"/>
  <c r="V118" i="147"/>
  <c r="O8" i="147" s="1"/>
  <c r="R8" i="147" s="1"/>
  <c r="V86" i="147"/>
  <c r="O6" i="147" s="1"/>
  <c r="R6" i="147" s="1"/>
  <c r="W86" i="147"/>
  <c r="P6" i="147" s="1"/>
  <c r="W52" i="147"/>
  <c r="P4" i="147" s="1"/>
  <c r="W118" i="147"/>
  <c r="P8" i="147" s="1"/>
  <c r="Q8" i="147" s="1"/>
  <c r="W187" i="147"/>
  <c r="P12" i="147" s="1"/>
  <c r="V153" i="147"/>
  <c r="O10" i="147" s="1"/>
  <c r="V52" i="147"/>
  <c r="O4" i="147" s="1"/>
  <c r="Q12" i="147" l="1"/>
  <c r="R14" i="147"/>
  <c r="Q6" i="147"/>
  <c r="R10" i="147"/>
  <c r="Q10" i="147"/>
  <c r="P18" i="147"/>
  <c r="R4" i="147"/>
  <c r="O18" i="147"/>
  <c r="R18" i="147" s="1"/>
  <c r="P20" i="147" s="1"/>
  <c r="Q4" i="147"/>
  <c r="Q18" i="147" l="1"/>
  <c r="H181" i="145" l="1"/>
  <c r="H113" i="145"/>
  <c r="I45" i="145"/>
  <c r="I44" i="145"/>
  <c r="H180" i="145" l="1"/>
  <c r="H144" i="145"/>
  <c r="I43" i="145"/>
  <c r="H42" i="145"/>
  <c r="I42" i="145"/>
  <c r="H214" i="145" l="1"/>
  <c r="H177" i="145"/>
  <c r="H110" i="145"/>
  <c r="H77" i="145"/>
  <c r="I41" i="145"/>
  <c r="I40" i="145"/>
  <c r="I39" i="145"/>
  <c r="H38" i="145"/>
  <c r="I38" i="145"/>
  <c r="H243" i="145" l="1"/>
  <c r="H212" i="145"/>
  <c r="H207" i="145"/>
  <c r="H176" i="145"/>
  <c r="H141" i="145"/>
  <c r="H138" i="145"/>
  <c r="H109" i="145"/>
  <c r="H108" i="145"/>
  <c r="H106" i="145"/>
  <c r="H75" i="145"/>
  <c r="H74" i="145"/>
  <c r="H73" i="145"/>
  <c r="H72" i="145"/>
  <c r="I37" i="145"/>
  <c r="I36" i="145"/>
  <c r="I35" i="145"/>
  <c r="H34" i="145"/>
  <c r="I34" i="145"/>
  <c r="H33" i="145"/>
  <c r="I33" i="145"/>
  <c r="I32" i="145"/>
  <c r="I31" i="145"/>
  <c r="I30" i="145"/>
  <c r="H172" i="145" l="1"/>
  <c r="I29" i="145"/>
  <c r="H28" i="145"/>
  <c r="I28" i="145"/>
  <c r="H239" i="145" l="1"/>
  <c r="H238" i="145"/>
  <c r="H237" i="145"/>
  <c r="H205" i="145"/>
  <c r="H204" i="145"/>
  <c r="H170" i="145"/>
  <c r="H169" i="145"/>
  <c r="H135" i="145"/>
  <c r="H134" i="145"/>
  <c r="H104" i="145"/>
  <c r="H102" i="145"/>
  <c r="H69" i="145"/>
  <c r="H68" i="145"/>
  <c r="H27" i="145"/>
  <c r="I27" i="145"/>
  <c r="I26" i="145"/>
  <c r="I25" i="145"/>
  <c r="I24" i="145"/>
  <c r="I23" i="145"/>
  <c r="H22" i="145"/>
  <c r="I22" i="145"/>
  <c r="H235" i="145" l="1"/>
  <c r="H201" i="145"/>
  <c r="H132" i="145"/>
  <c r="H100" i="145"/>
  <c r="H67" i="145"/>
  <c r="H21" i="145"/>
  <c r="I21" i="145"/>
  <c r="I20" i="145"/>
  <c r="I19" i="145"/>
  <c r="I18" i="145"/>
  <c r="I17" i="145" l="1"/>
  <c r="I16" i="145"/>
  <c r="H65" i="145"/>
  <c r="H99" i="145"/>
  <c r="H131" i="145"/>
  <c r="H200" i="145"/>
  <c r="H199" i="145" l="1"/>
  <c r="H164" i="145"/>
  <c r="H130" i="145"/>
  <c r="H129" i="145"/>
  <c r="H98" i="145"/>
  <c r="H97" i="145"/>
  <c r="H64" i="145"/>
  <c r="H63" i="145"/>
  <c r="I15" i="145"/>
  <c r="I14" i="145"/>
  <c r="H13" i="145"/>
  <c r="I13" i="145"/>
  <c r="H12" i="145"/>
  <c r="I12" i="145"/>
  <c r="H161" i="145" l="1"/>
  <c r="H128" i="145"/>
  <c r="H127" i="145"/>
  <c r="H96" i="145"/>
  <c r="J96" i="145" s="1"/>
  <c r="V96" i="145" s="1"/>
  <c r="H95" i="145"/>
  <c r="H94" i="145"/>
  <c r="H61" i="145"/>
  <c r="J61" i="145" s="1"/>
  <c r="W61" i="145" s="1"/>
  <c r="H60" i="145"/>
  <c r="J60" i="145" s="1"/>
  <c r="W60" i="145" s="1"/>
  <c r="I11" i="145"/>
  <c r="I10" i="145"/>
  <c r="I9" i="145"/>
  <c r="J9" i="145" s="1"/>
  <c r="W9" i="145" s="1"/>
  <c r="I7" i="145"/>
  <c r="I6" i="145"/>
  <c r="I8" i="145"/>
  <c r="H7" i="145"/>
  <c r="J252" i="145"/>
  <c r="V252" i="145" s="1"/>
  <c r="J251" i="145"/>
  <c r="V251" i="145" s="1"/>
  <c r="J250" i="145"/>
  <c r="V250" i="145" s="1"/>
  <c r="J249" i="145"/>
  <c r="V249" i="145" s="1"/>
  <c r="J248" i="145"/>
  <c r="V248" i="145" s="1"/>
  <c r="J247" i="145"/>
  <c r="V247" i="145" s="1"/>
  <c r="J246" i="145"/>
  <c r="V246" i="145" s="1"/>
  <c r="J245" i="145"/>
  <c r="V245" i="145" s="1"/>
  <c r="J244" i="145"/>
  <c r="V244" i="145" s="1"/>
  <c r="J243" i="145"/>
  <c r="V243" i="145" s="1"/>
  <c r="J242" i="145"/>
  <c r="V242" i="145" s="1"/>
  <c r="J241" i="145"/>
  <c r="V241" i="145" s="1"/>
  <c r="J240" i="145"/>
  <c r="J239" i="145"/>
  <c r="W239" i="145" s="1"/>
  <c r="J238" i="145"/>
  <c r="W238" i="145" s="1"/>
  <c r="J237" i="145"/>
  <c r="W237" i="145" s="1"/>
  <c r="J236" i="145"/>
  <c r="W236" i="145" s="1"/>
  <c r="J235" i="145"/>
  <c r="V235" i="145" s="1"/>
  <c r="J234" i="145"/>
  <c r="V234" i="145" s="1"/>
  <c r="J233" i="145"/>
  <c r="W233" i="145" s="1"/>
  <c r="J232" i="145"/>
  <c r="W232" i="145" s="1"/>
  <c r="J231" i="145"/>
  <c r="J230" i="145"/>
  <c r="B230" i="145"/>
  <c r="B231" i="145" s="1"/>
  <c r="B232" i="145" s="1"/>
  <c r="B233" i="145" s="1"/>
  <c r="B234" i="145" s="1"/>
  <c r="B235" i="145" s="1"/>
  <c r="B236" i="145" s="1"/>
  <c r="B237" i="145" s="1"/>
  <c r="B238" i="145" s="1"/>
  <c r="B239" i="145" s="1"/>
  <c r="B240" i="145" s="1"/>
  <c r="B241" i="145" s="1"/>
  <c r="B242" i="145" s="1"/>
  <c r="B243" i="145" s="1"/>
  <c r="B244" i="145" s="1"/>
  <c r="B245" i="145" s="1"/>
  <c r="B246" i="145" s="1"/>
  <c r="B247" i="145" s="1"/>
  <c r="B248" i="145" s="1"/>
  <c r="B249" i="145" s="1"/>
  <c r="B250" i="145" s="1"/>
  <c r="B251" i="145" s="1"/>
  <c r="B252" i="145" s="1"/>
  <c r="J229" i="145"/>
  <c r="J220" i="145"/>
  <c r="W220" i="145" s="1"/>
  <c r="J219" i="145"/>
  <c r="W219" i="145" s="1"/>
  <c r="J218" i="145"/>
  <c r="J217" i="145"/>
  <c r="W217" i="145" s="1"/>
  <c r="W216" i="145"/>
  <c r="J216" i="145"/>
  <c r="V216" i="145" s="1"/>
  <c r="J215" i="145"/>
  <c r="W215" i="145" s="1"/>
  <c r="J214" i="145"/>
  <c r="W214" i="145" s="1"/>
  <c r="J213" i="145"/>
  <c r="V213" i="145" s="1"/>
  <c r="J212" i="145"/>
  <c r="W212" i="145" s="1"/>
  <c r="J211" i="145"/>
  <c r="W211" i="145" s="1"/>
  <c r="J210" i="145"/>
  <c r="V210" i="145" s="1"/>
  <c r="J209" i="145"/>
  <c r="J208" i="145"/>
  <c r="J207" i="145"/>
  <c r="W207" i="145" s="1"/>
  <c r="J206" i="145"/>
  <c r="W206" i="145" s="1"/>
  <c r="J205" i="145"/>
  <c r="W205" i="145" s="1"/>
  <c r="J204" i="145"/>
  <c r="W204" i="145" s="1"/>
  <c r="J203" i="145"/>
  <c r="W203" i="145" s="1"/>
  <c r="J202" i="145"/>
  <c r="W202" i="145" s="1"/>
  <c r="J201" i="145"/>
  <c r="W201" i="145" s="1"/>
  <c r="J200" i="145"/>
  <c r="V200" i="145" s="1"/>
  <c r="J199" i="145"/>
  <c r="W199" i="145" s="1"/>
  <c r="J198" i="145"/>
  <c r="W198" i="145" s="1"/>
  <c r="J197" i="145"/>
  <c r="J196" i="145"/>
  <c r="B196" i="145"/>
  <c r="B197" i="145" s="1"/>
  <c r="B198" i="145" s="1"/>
  <c r="B199" i="145" s="1"/>
  <c r="B200" i="145" s="1"/>
  <c r="B201" i="145" s="1"/>
  <c r="B202" i="145" s="1"/>
  <c r="B203" i="145" s="1"/>
  <c r="B204" i="145" s="1"/>
  <c r="B205" i="145" s="1"/>
  <c r="B206" i="145" s="1"/>
  <c r="B207" i="145" s="1"/>
  <c r="B208" i="145" s="1"/>
  <c r="B209" i="145" s="1"/>
  <c r="B210" i="145" s="1"/>
  <c r="B211" i="145" s="1"/>
  <c r="B212" i="145" s="1"/>
  <c r="B213" i="145" s="1"/>
  <c r="B214" i="145" s="1"/>
  <c r="B215" i="145" s="1"/>
  <c r="B216" i="145" s="1"/>
  <c r="J195" i="145"/>
  <c r="J186" i="145"/>
  <c r="W186" i="145" s="1"/>
  <c r="J185" i="145"/>
  <c r="V185" i="145" s="1"/>
  <c r="W184" i="145"/>
  <c r="V184" i="145"/>
  <c r="J184" i="145"/>
  <c r="J183" i="145"/>
  <c r="W183" i="145" s="1"/>
  <c r="J182" i="145"/>
  <c r="W182" i="145" s="1"/>
  <c r="W181" i="145"/>
  <c r="J181" i="145"/>
  <c r="V181" i="145" s="1"/>
  <c r="J180" i="145"/>
  <c r="W180" i="145" s="1"/>
  <c r="J179" i="145"/>
  <c r="V179" i="145" s="1"/>
  <c r="J178" i="145"/>
  <c r="W178" i="145" s="1"/>
  <c r="J177" i="145"/>
  <c r="V177" i="145" s="1"/>
  <c r="J176" i="145"/>
  <c r="W176" i="145" s="1"/>
  <c r="J175" i="145"/>
  <c r="W175" i="145" s="1"/>
  <c r="J174" i="145"/>
  <c r="W174" i="145" s="1"/>
  <c r="J173" i="145"/>
  <c r="V173" i="145" s="1"/>
  <c r="V172" i="145"/>
  <c r="J172" i="145"/>
  <c r="W172" i="145" s="1"/>
  <c r="J171" i="145"/>
  <c r="V171" i="145" s="1"/>
  <c r="J170" i="145"/>
  <c r="W170" i="145" s="1"/>
  <c r="J169" i="145"/>
  <c r="V169" i="145" s="1"/>
  <c r="J168" i="145"/>
  <c r="W168" i="145" s="1"/>
  <c r="J167" i="145"/>
  <c r="J166" i="145"/>
  <c r="J165" i="145"/>
  <c r="W165" i="145" s="1"/>
  <c r="J164" i="145"/>
  <c r="W164" i="145" s="1"/>
  <c r="J163" i="145"/>
  <c r="W163" i="145" s="1"/>
  <c r="J162" i="145"/>
  <c r="W162" i="145" s="1"/>
  <c r="B162" i="145"/>
  <c r="B163" i="145" s="1"/>
  <c r="B164" i="145" s="1"/>
  <c r="B165" i="145" s="1"/>
  <c r="B166" i="145" s="1"/>
  <c r="B167" i="145" s="1"/>
  <c r="B168" i="145" s="1"/>
  <c r="B169" i="145" s="1"/>
  <c r="B170" i="145" s="1"/>
  <c r="B171" i="145" s="1"/>
  <c r="B172" i="145" s="1"/>
  <c r="B173" i="145" s="1"/>
  <c r="B174" i="145" s="1"/>
  <c r="B175" i="145" s="1"/>
  <c r="B176" i="145" s="1"/>
  <c r="B177" i="145" s="1"/>
  <c r="B178" i="145" s="1"/>
  <c r="B179" i="145" s="1"/>
  <c r="B180" i="145" s="1"/>
  <c r="B181" i="145" s="1"/>
  <c r="B182" i="145" s="1"/>
  <c r="B183" i="145" s="1"/>
  <c r="B184" i="145" s="1"/>
  <c r="B185" i="145" s="1"/>
  <c r="B186" i="145" s="1"/>
  <c r="J161" i="145"/>
  <c r="V161" i="145" s="1"/>
  <c r="J152" i="145"/>
  <c r="J151" i="145"/>
  <c r="J150" i="145"/>
  <c r="J149" i="145"/>
  <c r="J148" i="145"/>
  <c r="J147" i="145"/>
  <c r="J146" i="145"/>
  <c r="J145" i="145"/>
  <c r="J144" i="145"/>
  <c r="J143" i="145"/>
  <c r="J142" i="145"/>
  <c r="J141" i="145"/>
  <c r="J140" i="145"/>
  <c r="J139" i="145"/>
  <c r="J138" i="145"/>
  <c r="J137" i="145"/>
  <c r="J136" i="145"/>
  <c r="J135" i="145"/>
  <c r="W135" i="145" s="1"/>
  <c r="W134" i="145"/>
  <c r="J134" i="145"/>
  <c r="V134" i="145" s="1"/>
  <c r="J133" i="145"/>
  <c r="W133" i="145" s="1"/>
  <c r="J132" i="145"/>
  <c r="V132" i="145" s="1"/>
  <c r="J131" i="145"/>
  <c r="J130" i="145"/>
  <c r="W130" i="145" s="1"/>
  <c r="J129" i="145"/>
  <c r="W129" i="145" s="1"/>
  <c r="J128" i="145"/>
  <c r="W128" i="145" s="1"/>
  <c r="J127" i="145"/>
  <c r="V127" i="145" s="1"/>
  <c r="B127" i="145"/>
  <c r="B128" i="145" s="1"/>
  <c r="B129" i="145" s="1"/>
  <c r="B130" i="145" s="1"/>
  <c r="B131" i="145" s="1"/>
  <c r="B132" i="145" s="1"/>
  <c r="B133" i="145" s="1"/>
  <c r="B134" i="145" s="1"/>
  <c r="B135" i="145" s="1"/>
  <c r="B136" i="145" s="1"/>
  <c r="B137" i="145" s="1"/>
  <c r="B138" i="145" s="1"/>
  <c r="B139" i="145" s="1"/>
  <c r="B140" i="145" s="1"/>
  <c r="B141" i="145" s="1"/>
  <c r="B142" i="145" s="1"/>
  <c r="B143" i="145" s="1"/>
  <c r="B144" i="145" s="1"/>
  <c r="B145" i="145" s="1"/>
  <c r="B146" i="145" s="1"/>
  <c r="B147" i="145" s="1"/>
  <c r="B148" i="145" s="1"/>
  <c r="B149" i="145" s="1"/>
  <c r="B150" i="145" s="1"/>
  <c r="B151" i="145" s="1"/>
  <c r="B152" i="145" s="1"/>
  <c r="J126" i="145"/>
  <c r="W117" i="145"/>
  <c r="V117" i="145"/>
  <c r="J117" i="145"/>
  <c r="J116" i="145"/>
  <c r="V116" i="145" s="1"/>
  <c r="J115" i="145"/>
  <c r="W115" i="145" s="1"/>
  <c r="J114" i="145"/>
  <c r="W114" i="145" s="1"/>
  <c r="J113" i="145"/>
  <c r="W113" i="145" s="1"/>
  <c r="J112" i="145"/>
  <c r="W112" i="145" s="1"/>
  <c r="J111" i="145"/>
  <c r="W111" i="145" s="1"/>
  <c r="J110" i="145"/>
  <c r="W110" i="145" s="1"/>
  <c r="J109" i="145"/>
  <c r="W109" i="145" s="1"/>
  <c r="J108" i="145"/>
  <c r="J107" i="145"/>
  <c r="V107" i="145" s="1"/>
  <c r="J106" i="145"/>
  <c r="W106" i="145" s="1"/>
  <c r="J105" i="145"/>
  <c r="V105" i="145" s="1"/>
  <c r="J104" i="145"/>
  <c r="W104" i="145" s="1"/>
  <c r="J103" i="145"/>
  <c r="V103" i="145" s="1"/>
  <c r="J102" i="145"/>
  <c r="V102" i="145" s="1"/>
  <c r="J101" i="145"/>
  <c r="V101" i="145" s="1"/>
  <c r="J100" i="145"/>
  <c r="V100" i="145" s="1"/>
  <c r="J99" i="145"/>
  <c r="V99" i="145" s="1"/>
  <c r="J98" i="145"/>
  <c r="V98" i="145" s="1"/>
  <c r="J97" i="145"/>
  <c r="V97" i="145" s="1"/>
  <c r="B96" i="145"/>
  <c r="B97" i="145" s="1"/>
  <c r="B98" i="145" s="1"/>
  <c r="B99" i="145" s="1"/>
  <c r="B100" i="145" s="1"/>
  <c r="B101" i="145" s="1"/>
  <c r="B102" i="145" s="1"/>
  <c r="B103" i="145" s="1"/>
  <c r="B104" i="145" s="1"/>
  <c r="B105" i="145" s="1"/>
  <c r="B106" i="145" s="1"/>
  <c r="B107" i="145" s="1"/>
  <c r="B108" i="145" s="1"/>
  <c r="B109" i="145" s="1"/>
  <c r="B110" i="145" s="1"/>
  <c r="B111" i="145" s="1"/>
  <c r="B112" i="145" s="1"/>
  <c r="B113" i="145" s="1"/>
  <c r="B114" i="145" s="1"/>
  <c r="B115" i="145" s="1"/>
  <c r="J95" i="145"/>
  <c r="V95" i="145" s="1"/>
  <c r="B95" i="145"/>
  <c r="J94" i="145"/>
  <c r="W85" i="145"/>
  <c r="V85" i="145"/>
  <c r="J85" i="145"/>
  <c r="J84" i="145"/>
  <c r="J83" i="145"/>
  <c r="J82" i="145"/>
  <c r="V82" i="145" s="1"/>
  <c r="J81" i="145"/>
  <c r="J80" i="145"/>
  <c r="W80" i="145" s="1"/>
  <c r="J79" i="145"/>
  <c r="W79" i="145" s="1"/>
  <c r="J78" i="145"/>
  <c r="V78" i="145" s="1"/>
  <c r="J77" i="145"/>
  <c r="W77" i="145" s="1"/>
  <c r="J76" i="145"/>
  <c r="W76" i="145" s="1"/>
  <c r="J75" i="145"/>
  <c r="W75" i="145" s="1"/>
  <c r="J74" i="145"/>
  <c r="W74" i="145" s="1"/>
  <c r="J73" i="145"/>
  <c r="J72" i="145"/>
  <c r="W72" i="145" s="1"/>
  <c r="J71" i="145"/>
  <c r="W71" i="145" s="1"/>
  <c r="J70" i="145"/>
  <c r="J69" i="145"/>
  <c r="W69" i="145" s="1"/>
  <c r="J68" i="145"/>
  <c r="W68" i="145" s="1"/>
  <c r="J67" i="145"/>
  <c r="V67" i="145" s="1"/>
  <c r="J66" i="145"/>
  <c r="W66" i="145" s="1"/>
  <c r="J65" i="145"/>
  <c r="J64" i="145"/>
  <c r="V64" i="145" s="1"/>
  <c r="J63" i="145"/>
  <c r="J62" i="145"/>
  <c r="W62" i="145" s="1"/>
  <c r="B61" i="145"/>
  <c r="B62" i="145" s="1"/>
  <c r="B63" i="145" s="1"/>
  <c r="B64" i="145" s="1"/>
  <c r="B65" i="145" s="1"/>
  <c r="B66" i="145" s="1"/>
  <c r="B67" i="145" s="1"/>
  <c r="B68" i="145" s="1"/>
  <c r="B69" i="145" s="1"/>
  <c r="B70" i="145" s="1"/>
  <c r="B71" i="145" s="1"/>
  <c r="B72" i="145" s="1"/>
  <c r="B73" i="145" s="1"/>
  <c r="B74" i="145" s="1"/>
  <c r="B75" i="145" s="1"/>
  <c r="B76" i="145" s="1"/>
  <c r="B77" i="145" s="1"/>
  <c r="B78" i="145" s="1"/>
  <c r="B79" i="145" s="1"/>
  <c r="B80" i="145" s="1"/>
  <c r="B81" i="145" s="1"/>
  <c r="B82" i="145" s="1"/>
  <c r="W51" i="145"/>
  <c r="V51" i="145"/>
  <c r="W50" i="145"/>
  <c r="V50" i="145"/>
  <c r="W49" i="145"/>
  <c r="V49" i="145"/>
  <c r="J48" i="145"/>
  <c r="V48" i="145" s="1"/>
  <c r="J47" i="145"/>
  <c r="V47" i="145" s="1"/>
  <c r="W46" i="145"/>
  <c r="J46" i="145"/>
  <c r="V46" i="145" s="1"/>
  <c r="J45" i="145"/>
  <c r="V45" i="145" s="1"/>
  <c r="J44" i="145"/>
  <c r="V44" i="145" s="1"/>
  <c r="W43" i="145"/>
  <c r="J43" i="145"/>
  <c r="V43" i="145" s="1"/>
  <c r="J42" i="145"/>
  <c r="V42" i="145" s="1"/>
  <c r="J41" i="145"/>
  <c r="V41" i="145" s="1"/>
  <c r="J40" i="145"/>
  <c r="V40" i="145" s="1"/>
  <c r="J39" i="145"/>
  <c r="V39" i="145" s="1"/>
  <c r="J38" i="145"/>
  <c r="V38" i="145" s="1"/>
  <c r="J37" i="145"/>
  <c r="V37" i="145" s="1"/>
  <c r="J36" i="145"/>
  <c r="V36" i="145" s="1"/>
  <c r="J35" i="145"/>
  <c r="V35" i="145" s="1"/>
  <c r="J34" i="145"/>
  <c r="V34" i="145" s="1"/>
  <c r="J33" i="145"/>
  <c r="J32" i="145"/>
  <c r="W32" i="145" s="1"/>
  <c r="J31" i="145"/>
  <c r="W31" i="145" s="1"/>
  <c r="J30" i="145"/>
  <c r="V30" i="145" s="1"/>
  <c r="J29" i="145"/>
  <c r="V29" i="145" s="1"/>
  <c r="J27" i="145"/>
  <c r="W27" i="145" s="1"/>
  <c r="J26" i="145"/>
  <c r="W26" i="145" s="1"/>
  <c r="J25" i="145"/>
  <c r="V25" i="145" s="1"/>
  <c r="J24" i="145"/>
  <c r="W24" i="145" s="1"/>
  <c r="J23" i="145"/>
  <c r="V23" i="145" s="1"/>
  <c r="J22" i="145"/>
  <c r="V22" i="145" s="1"/>
  <c r="J21" i="145"/>
  <c r="W21" i="145" s="1"/>
  <c r="J20" i="145"/>
  <c r="V20" i="145" s="1"/>
  <c r="J19" i="145"/>
  <c r="V19" i="145" s="1"/>
  <c r="J18" i="145"/>
  <c r="W18" i="145" s="1"/>
  <c r="J17" i="145"/>
  <c r="W17" i="145" s="1"/>
  <c r="N16" i="145"/>
  <c r="J16" i="145"/>
  <c r="W16" i="145" s="1"/>
  <c r="J15" i="145"/>
  <c r="V15" i="145" s="1"/>
  <c r="N14" i="145"/>
  <c r="J14" i="145"/>
  <c r="J13" i="145"/>
  <c r="N12" i="145"/>
  <c r="J12" i="145"/>
  <c r="W12" i="145" s="1"/>
  <c r="J11" i="145"/>
  <c r="W11" i="145" s="1"/>
  <c r="N10" i="145"/>
  <c r="J10" i="145"/>
  <c r="W10" i="145" s="1"/>
  <c r="N8" i="145"/>
  <c r="J8" i="145"/>
  <c r="J7" i="145"/>
  <c r="W7" i="145" s="1"/>
  <c r="B7" i="145"/>
  <c r="B8" i="145" s="1"/>
  <c r="B9" i="145" s="1"/>
  <c r="B10" i="145" s="1"/>
  <c r="B11" i="145" s="1"/>
  <c r="B12" i="145" s="1"/>
  <c r="B13" i="145" s="1"/>
  <c r="B14" i="145" s="1"/>
  <c r="B15" i="145" s="1"/>
  <c r="B16" i="145" s="1"/>
  <c r="B17" i="145" s="1"/>
  <c r="B18" i="145" s="1"/>
  <c r="B19" i="145" s="1"/>
  <c r="B20" i="145" s="1"/>
  <c r="B21" i="145" s="1"/>
  <c r="B22" i="145" s="1"/>
  <c r="B23" i="145" s="1"/>
  <c r="B24" i="145" s="1"/>
  <c r="B25" i="145" s="1"/>
  <c r="B26" i="145" s="1"/>
  <c r="B27" i="145" s="1"/>
  <c r="B28" i="145" s="1"/>
  <c r="B29" i="145" s="1"/>
  <c r="B30" i="145" s="1"/>
  <c r="B31" i="145" s="1"/>
  <c r="B32" i="145" s="1"/>
  <c r="B33" i="145" s="1"/>
  <c r="B34" i="145" s="1"/>
  <c r="B35" i="145" s="1"/>
  <c r="B36" i="145" s="1"/>
  <c r="B37" i="145" s="1"/>
  <c r="B38" i="145" s="1"/>
  <c r="B39" i="145" s="1"/>
  <c r="B40" i="145" s="1"/>
  <c r="B41" i="145" s="1"/>
  <c r="B42" i="145" s="1"/>
  <c r="B43" i="145" s="1"/>
  <c r="B44" i="145" s="1"/>
  <c r="B45" i="145" s="1"/>
  <c r="B46" i="145" s="1"/>
  <c r="B47" i="145" s="1"/>
  <c r="B48" i="145" s="1"/>
  <c r="B49" i="145" s="1"/>
  <c r="B50" i="145" s="1"/>
  <c r="B51" i="145" s="1"/>
  <c r="N6" i="145"/>
  <c r="J6" i="145"/>
  <c r="W6" i="145" s="1"/>
  <c r="N4" i="145"/>
  <c r="W107" i="145" l="1"/>
  <c r="W179" i="145"/>
  <c r="V186" i="145"/>
  <c r="V220" i="145"/>
  <c r="W35" i="145"/>
  <c r="W177" i="145"/>
  <c r="V18" i="145"/>
  <c r="W37" i="145"/>
  <c r="W185" i="145"/>
  <c r="V217" i="145"/>
  <c r="V219" i="145"/>
  <c r="V183" i="145"/>
  <c r="V182" i="145"/>
  <c r="W116" i="145"/>
  <c r="V114" i="145"/>
  <c r="W82" i="145"/>
  <c r="W47" i="145"/>
  <c r="W48" i="145"/>
  <c r="V79" i="145"/>
  <c r="W45" i="145"/>
  <c r="W44" i="145"/>
  <c r="V215" i="145"/>
  <c r="V180" i="145"/>
  <c r="V112" i="145"/>
  <c r="W78" i="145"/>
  <c r="W42" i="145"/>
  <c r="V214" i="145"/>
  <c r="W213" i="145"/>
  <c r="V110" i="145"/>
  <c r="V77" i="145"/>
  <c r="W41" i="145"/>
  <c r="W40" i="145"/>
  <c r="W39" i="145"/>
  <c r="W38" i="145"/>
  <c r="V212" i="145"/>
  <c r="V211" i="145"/>
  <c r="V176" i="145"/>
  <c r="W173" i="145"/>
  <c r="V106" i="145"/>
  <c r="W36" i="145"/>
  <c r="W34" i="145"/>
  <c r="V206" i="145"/>
  <c r="V238" i="145"/>
  <c r="V205" i="145"/>
  <c r="W169" i="145"/>
  <c r="W103" i="145"/>
  <c r="W235" i="145"/>
  <c r="V202" i="145"/>
  <c r="V201" i="145"/>
  <c r="V168" i="145"/>
  <c r="V133" i="145"/>
  <c r="W100" i="145"/>
  <c r="W234" i="145"/>
  <c r="V198" i="145"/>
  <c r="V165" i="145"/>
  <c r="W98" i="145"/>
  <c r="W15" i="145"/>
  <c r="V162" i="145"/>
  <c r="W161" i="145"/>
  <c r="W127" i="145"/>
  <c r="V9" i="145"/>
  <c r="V233" i="145"/>
  <c r="V237" i="145"/>
  <c r="V232" i="145"/>
  <c r="V236" i="145"/>
  <c r="V204" i="145"/>
  <c r="V199" i="145"/>
  <c r="W200" i="145"/>
  <c r="V203" i="145"/>
  <c r="W210" i="145"/>
  <c r="V207" i="145"/>
  <c r="V164" i="145"/>
  <c r="V175" i="145"/>
  <c r="V163" i="145"/>
  <c r="V170" i="145"/>
  <c r="W171" i="145"/>
  <c r="V174" i="145"/>
  <c r="V178" i="145"/>
  <c r="V129" i="145"/>
  <c r="V128" i="145"/>
  <c r="W132" i="145"/>
  <c r="V135" i="145"/>
  <c r="W102" i="145"/>
  <c r="V104" i="145"/>
  <c r="W105" i="145"/>
  <c r="W96" i="145"/>
  <c r="V75" i="145"/>
  <c r="N18" i="145"/>
  <c r="V60" i="145"/>
  <c r="V61" i="145"/>
  <c r="V66" i="145"/>
  <c r="W67" i="145"/>
  <c r="V72" i="145"/>
  <c r="W64" i="145"/>
  <c r="V71" i="145"/>
  <c r="V6" i="145"/>
  <c r="V12" i="145"/>
  <c r="V16" i="145"/>
  <c r="V17" i="145"/>
  <c r="W19" i="145"/>
  <c r="V13" i="145"/>
  <c r="W13" i="145"/>
  <c r="W8" i="145"/>
  <c r="V8" i="145"/>
  <c r="W14" i="145"/>
  <c r="V14" i="145"/>
  <c r="W70" i="145"/>
  <c r="V70" i="145"/>
  <c r="V7" i="145"/>
  <c r="V10" i="145"/>
  <c r="V11" i="145"/>
  <c r="V21" i="145"/>
  <c r="W22" i="145"/>
  <c r="W23" i="145"/>
  <c r="V26" i="145"/>
  <c r="V27" i="145"/>
  <c r="W29" i="145"/>
  <c r="W30" i="145"/>
  <c r="V73" i="145"/>
  <c r="W73" i="145"/>
  <c r="W108" i="145"/>
  <c r="V108" i="145"/>
  <c r="J153" i="145"/>
  <c r="V126" i="145"/>
  <c r="W126" i="145"/>
  <c r="V131" i="145"/>
  <c r="W131" i="145"/>
  <c r="W63" i="145"/>
  <c r="V63" i="145"/>
  <c r="W65" i="145"/>
  <c r="V65" i="145"/>
  <c r="V33" i="145"/>
  <c r="W33" i="145"/>
  <c r="W20" i="145"/>
  <c r="V24" i="145"/>
  <c r="W25" i="145"/>
  <c r="J28" i="145"/>
  <c r="J52" i="145" s="1"/>
  <c r="V31" i="145"/>
  <c r="V32" i="145"/>
  <c r="V94" i="145"/>
  <c r="J118" i="145"/>
  <c r="W94" i="145"/>
  <c r="J86" i="145"/>
  <c r="V139" i="145"/>
  <c r="W139" i="145"/>
  <c r="V143" i="145"/>
  <c r="W143" i="145"/>
  <c r="V147" i="145"/>
  <c r="W147" i="145"/>
  <c r="V151" i="145"/>
  <c r="W151" i="145"/>
  <c r="V166" i="145"/>
  <c r="W166" i="145"/>
  <c r="J221" i="145"/>
  <c r="V195" i="145"/>
  <c r="W195" i="145"/>
  <c r="W209" i="145"/>
  <c r="V209" i="145"/>
  <c r="W231" i="145"/>
  <c r="V231" i="145"/>
  <c r="V62" i="145"/>
  <c r="V68" i="145"/>
  <c r="V69" i="145"/>
  <c r="V74" i="145"/>
  <c r="V76" i="145"/>
  <c r="V80" i="145"/>
  <c r="W97" i="145"/>
  <c r="W101" i="145"/>
  <c r="V111" i="145"/>
  <c r="V115" i="145"/>
  <c r="V136" i="145"/>
  <c r="W136" i="145"/>
  <c r="V140" i="145"/>
  <c r="W140" i="145"/>
  <c r="V144" i="145"/>
  <c r="W144" i="145"/>
  <c r="V148" i="145"/>
  <c r="W148" i="145"/>
  <c r="V152" i="145"/>
  <c r="W152" i="145"/>
  <c r="W167" i="145"/>
  <c r="V167" i="145"/>
  <c r="V229" i="145"/>
  <c r="J253" i="145"/>
  <c r="W229" i="145"/>
  <c r="V137" i="145"/>
  <c r="W137" i="145"/>
  <c r="V141" i="145"/>
  <c r="W141" i="145"/>
  <c r="V145" i="145"/>
  <c r="W145" i="145"/>
  <c r="V149" i="145"/>
  <c r="W149" i="145"/>
  <c r="J187" i="145"/>
  <c r="V196" i="145"/>
  <c r="W196" i="145"/>
  <c r="W95" i="145"/>
  <c r="W99" i="145"/>
  <c r="V109" i="145"/>
  <c r="V113" i="145"/>
  <c r="V130" i="145"/>
  <c r="V138" i="145"/>
  <c r="W138" i="145"/>
  <c r="V142" i="145"/>
  <c r="W142" i="145"/>
  <c r="V146" i="145"/>
  <c r="W146" i="145"/>
  <c r="V150" i="145"/>
  <c r="W150" i="145"/>
  <c r="W197" i="145"/>
  <c r="V197" i="145"/>
  <c r="V208" i="145"/>
  <c r="W208" i="145"/>
  <c r="V218" i="145"/>
  <c r="W218" i="145"/>
  <c r="V230" i="145"/>
  <c r="W230" i="145"/>
  <c r="V240" i="145"/>
  <c r="W240" i="145"/>
  <c r="W241" i="145"/>
  <c r="W242" i="145"/>
  <c r="W243" i="145"/>
  <c r="W244" i="145"/>
  <c r="W245" i="145"/>
  <c r="W246" i="145"/>
  <c r="W247" i="145"/>
  <c r="W248" i="145"/>
  <c r="W249" i="145"/>
  <c r="W250" i="145"/>
  <c r="W251" i="145"/>
  <c r="W252" i="145"/>
  <c r="V239" i="145"/>
  <c r="H179" i="143"/>
  <c r="W187" i="145" l="1"/>
  <c r="P12" i="145" s="1"/>
  <c r="V253" i="145"/>
  <c r="O16" i="145" s="1"/>
  <c r="R16" i="145" s="1"/>
  <c r="V187" i="145"/>
  <c r="O12" i="145" s="1"/>
  <c r="V86" i="145"/>
  <c r="O6" i="145" s="1"/>
  <c r="R6" i="145" s="1"/>
  <c r="W86" i="145"/>
  <c r="P6" i="145" s="1"/>
  <c r="V221" i="145"/>
  <c r="O14" i="145" s="1"/>
  <c r="W153" i="145"/>
  <c r="P10" i="145" s="1"/>
  <c r="W118" i="145"/>
  <c r="P8" i="145" s="1"/>
  <c r="W253" i="145"/>
  <c r="P16" i="145" s="1"/>
  <c r="V118" i="145"/>
  <c r="O8" i="145" s="1"/>
  <c r="W28" i="145"/>
  <c r="W52" i="145" s="1"/>
  <c r="P4" i="145" s="1"/>
  <c r="V28" i="145"/>
  <c r="V52" i="145" s="1"/>
  <c r="O4" i="145" s="1"/>
  <c r="V153" i="145"/>
  <c r="O10" i="145" s="1"/>
  <c r="W221" i="145"/>
  <c r="P14" i="145" s="1"/>
  <c r="H210" i="144"/>
  <c r="H209" i="144"/>
  <c r="H208" i="144"/>
  <c r="H75" i="144"/>
  <c r="H74" i="144"/>
  <c r="H73" i="144"/>
  <c r="H68" i="144"/>
  <c r="H108" i="144"/>
  <c r="H107" i="144"/>
  <c r="H34" i="144"/>
  <c r="I34" i="144"/>
  <c r="I33" i="144"/>
  <c r="H32" i="144"/>
  <c r="I32" i="144"/>
  <c r="I31" i="144"/>
  <c r="Q12" i="145" l="1"/>
  <c r="R12" i="145"/>
  <c r="Q6" i="145"/>
  <c r="P18" i="145"/>
  <c r="O18" i="145"/>
  <c r="R18" i="145" s="1"/>
  <c r="P20" i="145" s="1"/>
  <c r="R4" i="145"/>
  <c r="Q4" i="145"/>
  <c r="R8" i="145"/>
  <c r="Q8" i="145"/>
  <c r="R14" i="145"/>
  <c r="Q14" i="145"/>
  <c r="R10" i="145"/>
  <c r="Q10" i="145"/>
  <c r="H240" i="144"/>
  <c r="H239" i="144"/>
  <c r="H237" i="144"/>
  <c r="H206" i="144"/>
  <c r="H136" i="144"/>
  <c r="H135" i="144"/>
  <c r="H103" i="144"/>
  <c r="H70" i="144"/>
  <c r="H30" i="144"/>
  <c r="I30" i="144"/>
  <c r="I29" i="144"/>
  <c r="H28" i="144"/>
  <c r="I28" i="144"/>
  <c r="H27" i="144"/>
  <c r="I27" i="144"/>
  <c r="I26" i="144"/>
  <c r="I25" i="144"/>
  <c r="I24" i="144"/>
  <c r="H23" i="144"/>
  <c r="I23" i="144"/>
  <c r="I22" i="144"/>
  <c r="I21" i="144"/>
  <c r="Q18" i="145" l="1"/>
  <c r="H133" i="144"/>
  <c r="I20" i="144"/>
  <c r="I19" i="144"/>
  <c r="I18" i="144" l="1"/>
  <c r="H17" i="144"/>
  <c r="I17" i="144"/>
  <c r="J17" i="144" s="1"/>
  <c r="H132" i="144"/>
  <c r="H167" i="144"/>
  <c r="H201" i="144"/>
  <c r="H166" i="144"/>
  <c r="H131" i="144"/>
  <c r="H65" i="144"/>
  <c r="I16" i="144"/>
  <c r="I15" i="144"/>
  <c r="J15" i="144" s="1"/>
  <c r="H14" i="144"/>
  <c r="J14" i="144" s="1"/>
  <c r="I14" i="144"/>
  <c r="I13" i="144"/>
  <c r="H64" i="144"/>
  <c r="H165" i="144"/>
  <c r="H129" i="144"/>
  <c r="H63" i="144"/>
  <c r="I12" i="144"/>
  <c r="J12" i="144" s="1"/>
  <c r="H11" i="144"/>
  <c r="I11" i="144"/>
  <c r="H231" i="144"/>
  <c r="H197" i="144"/>
  <c r="H195" i="144"/>
  <c r="H127" i="144"/>
  <c r="H126" i="144"/>
  <c r="H94" i="144"/>
  <c r="H62" i="144"/>
  <c r="I8" i="144"/>
  <c r="I9" i="144"/>
  <c r="J9" i="144"/>
  <c r="I10" i="144"/>
  <c r="J10" i="144"/>
  <c r="H8" i="144"/>
  <c r="J8" i="144" s="1"/>
  <c r="J11" i="144"/>
  <c r="J13" i="144"/>
  <c r="J16" i="144"/>
  <c r="J18" i="144"/>
  <c r="J252" i="144" l="1"/>
  <c r="W252" i="144" s="1"/>
  <c r="W251" i="144"/>
  <c r="J251" i="144"/>
  <c r="V251" i="144" s="1"/>
  <c r="W250" i="144"/>
  <c r="V250" i="144"/>
  <c r="J250" i="144"/>
  <c r="J249" i="144"/>
  <c r="V249" i="144" s="1"/>
  <c r="V248" i="144"/>
  <c r="J248" i="144"/>
  <c r="W248" i="144" s="1"/>
  <c r="J247" i="144"/>
  <c r="J246" i="144"/>
  <c r="J245" i="144"/>
  <c r="J244" i="144"/>
  <c r="J243" i="144"/>
  <c r="J242" i="144"/>
  <c r="J241" i="144"/>
  <c r="J240" i="144"/>
  <c r="J239" i="144"/>
  <c r="J238" i="144"/>
  <c r="J237" i="144"/>
  <c r="J236" i="144"/>
  <c r="J235" i="144"/>
  <c r="J234" i="144"/>
  <c r="W234" i="144" s="1"/>
  <c r="J233" i="144"/>
  <c r="W233" i="144" s="1"/>
  <c r="J232" i="144"/>
  <c r="W232" i="144" s="1"/>
  <c r="J231" i="144"/>
  <c r="V231" i="144" s="1"/>
  <c r="J230" i="144"/>
  <c r="W230" i="144" s="1"/>
  <c r="B230" i="144"/>
  <c r="B231" i="144" s="1"/>
  <c r="B232" i="144" s="1"/>
  <c r="B233" i="144" s="1"/>
  <c r="B234" i="144" s="1"/>
  <c r="B235" i="144" s="1"/>
  <c r="B236" i="144" s="1"/>
  <c r="B237" i="144" s="1"/>
  <c r="B238" i="144" s="1"/>
  <c r="B239" i="144" s="1"/>
  <c r="B240" i="144" s="1"/>
  <c r="B241" i="144" s="1"/>
  <c r="B242" i="144" s="1"/>
  <c r="B243" i="144" s="1"/>
  <c r="B244" i="144" s="1"/>
  <c r="B245" i="144" s="1"/>
  <c r="B246" i="144" s="1"/>
  <c r="B247" i="144" s="1"/>
  <c r="B248" i="144" s="1"/>
  <c r="B249" i="144" s="1"/>
  <c r="B250" i="144" s="1"/>
  <c r="B251" i="144" s="1"/>
  <c r="B252" i="144" s="1"/>
  <c r="J229" i="144"/>
  <c r="W229" i="144" s="1"/>
  <c r="J220" i="144"/>
  <c r="J219" i="144"/>
  <c r="W218" i="144"/>
  <c r="J218" i="144"/>
  <c r="V218" i="144" s="1"/>
  <c r="W217" i="144"/>
  <c r="V217" i="144"/>
  <c r="J217" i="144"/>
  <c r="J216" i="144"/>
  <c r="W216" i="144" s="1"/>
  <c r="J215" i="144"/>
  <c r="J214" i="144"/>
  <c r="J213" i="144"/>
  <c r="W213" i="144" s="1"/>
  <c r="J212" i="144"/>
  <c r="W212" i="144" s="1"/>
  <c r="J211" i="144"/>
  <c r="J210" i="144"/>
  <c r="J209" i="144"/>
  <c r="W209" i="144" s="1"/>
  <c r="J208" i="144"/>
  <c r="W208" i="144" s="1"/>
  <c r="J207" i="144"/>
  <c r="W207" i="144" s="1"/>
  <c r="J206" i="144"/>
  <c r="W206" i="144" s="1"/>
  <c r="J205" i="144"/>
  <c r="V205" i="144" s="1"/>
  <c r="J204" i="144"/>
  <c r="V204" i="144" s="1"/>
  <c r="J203" i="144"/>
  <c r="W203" i="144" s="1"/>
  <c r="J202" i="144"/>
  <c r="W202" i="144" s="1"/>
  <c r="J201" i="144"/>
  <c r="W201" i="144" s="1"/>
  <c r="J200" i="144"/>
  <c r="V200" i="144" s="1"/>
  <c r="J199" i="144"/>
  <c r="W199" i="144" s="1"/>
  <c r="J198" i="144"/>
  <c r="B198" i="144"/>
  <c r="B199" i="144" s="1"/>
  <c r="B200" i="144" s="1"/>
  <c r="B201" i="144" s="1"/>
  <c r="B202" i="144" s="1"/>
  <c r="B203" i="144" s="1"/>
  <c r="B204" i="144" s="1"/>
  <c r="B205" i="144" s="1"/>
  <c r="B206" i="144" s="1"/>
  <c r="B207" i="144" s="1"/>
  <c r="B208" i="144" s="1"/>
  <c r="B209" i="144" s="1"/>
  <c r="B210" i="144" s="1"/>
  <c r="B211" i="144" s="1"/>
  <c r="B212" i="144" s="1"/>
  <c r="B213" i="144" s="1"/>
  <c r="B214" i="144" s="1"/>
  <c r="B215" i="144" s="1"/>
  <c r="B216" i="144" s="1"/>
  <c r="J197" i="144"/>
  <c r="J196" i="144"/>
  <c r="V196" i="144" s="1"/>
  <c r="B196" i="144"/>
  <c r="B197" i="144" s="1"/>
  <c r="J195" i="144"/>
  <c r="J186" i="144"/>
  <c r="W186" i="144" s="1"/>
  <c r="J185" i="144"/>
  <c r="J184" i="144"/>
  <c r="W184" i="144" s="1"/>
  <c r="J183" i="144"/>
  <c r="W183" i="144" s="1"/>
  <c r="J182" i="144"/>
  <c r="W182" i="144" s="1"/>
  <c r="J181" i="144"/>
  <c r="J180" i="144"/>
  <c r="V180" i="144" s="1"/>
  <c r="W179" i="144"/>
  <c r="J179" i="144"/>
  <c r="V179" i="144" s="1"/>
  <c r="J178" i="144"/>
  <c r="J177" i="144"/>
  <c r="V177" i="144" s="1"/>
  <c r="J176" i="144"/>
  <c r="V176" i="144" s="1"/>
  <c r="J175" i="144"/>
  <c r="V175" i="144" s="1"/>
  <c r="J174" i="144"/>
  <c r="J173" i="144"/>
  <c r="J172" i="144"/>
  <c r="J171" i="144"/>
  <c r="V171" i="144" s="1"/>
  <c r="J170" i="144"/>
  <c r="W169" i="144"/>
  <c r="J169" i="144"/>
  <c r="V169" i="144" s="1"/>
  <c r="J168" i="144"/>
  <c r="V168" i="144" s="1"/>
  <c r="J167" i="144"/>
  <c r="W167" i="144" s="1"/>
  <c r="J166" i="144"/>
  <c r="W166" i="144" s="1"/>
  <c r="J165" i="144"/>
  <c r="W165" i="144" s="1"/>
  <c r="J164" i="144"/>
  <c r="J163" i="144"/>
  <c r="W163" i="144" s="1"/>
  <c r="J162" i="144"/>
  <c r="B162" i="144"/>
  <c r="B163" i="144" s="1"/>
  <c r="B164" i="144" s="1"/>
  <c r="B165" i="144" s="1"/>
  <c r="B166" i="144" s="1"/>
  <c r="B167" i="144" s="1"/>
  <c r="B168" i="144" s="1"/>
  <c r="B169" i="144" s="1"/>
  <c r="B170" i="144" s="1"/>
  <c r="B171" i="144" s="1"/>
  <c r="B172" i="144" s="1"/>
  <c r="B173" i="144" s="1"/>
  <c r="B174" i="144" s="1"/>
  <c r="B175" i="144" s="1"/>
  <c r="B176" i="144" s="1"/>
  <c r="B177" i="144" s="1"/>
  <c r="B178" i="144" s="1"/>
  <c r="B179" i="144" s="1"/>
  <c r="B180" i="144" s="1"/>
  <c r="B181" i="144" s="1"/>
  <c r="B182" i="144" s="1"/>
  <c r="B183" i="144" s="1"/>
  <c r="B184" i="144" s="1"/>
  <c r="B185" i="144" s="1"/>
  <c r="B186" i="144" s="1"/>
  <c r="J161" i="144"/>
  <c r="W152" i="144"/>
  <c r="V152" i="144"/>
  <c r="J152" i="144"/>
  <c r="J151" i="144"/>
  <c r="W151" i="144" s="1"/>
  <c r="J150" i="144"/>
  <c r="W150" i="144" s="1"/>
  <c r="W149" i="144"/>
  <c r="J149" i="144"/>
  <c r="V149" i="144" s="1"/>
  <c r="W148" i="144"/>
  <c r="V148" i="144"/>
  <c r="J148" i="144"/>
  <c r="J147" i="144"/>
  <c r="W147" i="144" s="1"/>
  <c r="J146" i="144"/>
  <c r="W146" i="144" s="1"/>
  <c r="J145" i="144"/>
  <c r="W145" i="144" s="1"/>
  <c r="J144" i="144"/>
  <c r="J143" i="144"/>
  <c r="J142" i="144"/>
  <c r="W142" i="144" s="1"/>
  <c r="J141" i="144"/>
  <c r="W141" i="144" s="1"/>
  <c r="J140" i="144"/>
  <c r="W140" i="144" s="1"/>
  <c r="J139" i="144"/>
  <c r="W139" i="144" s="1"/>
  <c r="J138" i="144"/>
  <c r="V138" i="144" s="1"/>
  <c r="J137" i="144"/>
  <c r="V137" i="144" s="1"/>
  <c r="J136" i="144"/>
  <c r="W136" i="144" s="1"/>
  <c r="J135" i="144"/>
  <c r="J134" i="144"/>
  <c r="J133" i="144"/>
  <c r="W133" i="144" s="1"/>
  <c r="J132" i="144"/>
  <c r="W132" i="144" s="1"/>
  <c r="J131" i="144"/>
  <c r="V131" i="144" s="1"/>
  <c r="J130" i="144"/>
  <c r="V130" i="144" s="1"/>
  <c r="J129" i="144"/>
  <c r="V129" i="144" s="1"/>
  <c r="J128" i="144"/>
  <c r="V128" i="144" s="1"/>
  <c r="J127" i="144"/>
  <c r="V127" i="144" s="1"/>
  <c r="B127" i="144"/>
  <c r="B128" i="144" s="1"/>
  <c r="B129" i="144" s="1"/>
  <c r="B130" i="144" s="1"/>
  <c r="B131" i="144" s="1"/>
  <c r="B132" i="144" s="1"/>
  <c r="B133" i="144" s="1"/>
  <c r="B134" i="144" s="1"/>
  <c r="B135" i="144" s="1"/>
  <c r="B136" i="144" s="1"/>
  <c r="B137" i="144" s="1"/>
  <c r="B138" i="144" s="1"/>
  <c r="B139" i="144" s="1"/>
  <c r="B140" i="144" s="1"/>
  <c r="B141" i="144" s="1"/>
  <c r="B142" i="144" s="1"/>
  <c r="B143" i="144" s="1"/>
  <c r="B144" i="144" s="1"/>
  <c r="B145" i="144" s="1"/>
  <c r="B146" i="144" s="1"/>
  <c r="B147" i="144" s="1"/>
  <c r="B148" i="144" s="1"/>
  <c r="B149" i="144" s="1"/>
  <c r="B150" i="144" s="1"/>
  <c r="B151" i="144" s="1"/>
  <c r="B152" i="144" s="1"/>
  <c r="J126" i="144"/>
  <c r="W126" i="144" s="1"/>
  <c r="J117" i="144"/>
  <c r="W117" i="144" s="1"/>
  <c r="J116" i="144"/>
  <c r="J115" i="144"/>
  <c r="V115" i="144" s="1"/>
  <c r="J114" i="144"/>
  <c r="V114" i="144" s="1"/>
  <c r="J113" i="144"/>
  <c r="V113" i="144" s="1"/>
  <c r="J112" i="144"/>
  <c r="V112" i="144" s="1"/>
  <c r="J111" i="144"/>
  <c r="V111" i="144" s="1"/>
  <c r="J110" i="144"/>
  <c r="V110" i="144" s="1"/>
  <c r="J109" i="144"/>
  <c r="J108" i="144"/>
  <c r="W108" i="144" s="1"/>
  <c r="J107" i="144"/>
  <c r="V107" i="144" s="1"/>
  <c r="J106" i="144"/>
  <c r="V106" i="144" s="1"/>
  <c r="J105" i="144"/>
  <c r="J104" i="144"/>
  <c r="J103" i="144"/>
  <c r="J102" i="144"/>
  <c r="W102" i="144" s="1"/>
  <c r="J101" i="144"/>
  <c r="W101" i="144" s="1"/>
  <c r="J100" i="144"/>
  <c r="W100" i="144" s="1"/>
  <c r="J99" i="144"/>
  <c r="V99" i="144" s="1"/>
  <c r="J98" i="144"/>
  <c r="J97" i="144"/>
  <c r="J96" i="144"/>
  <c r="W96" i="144" s="1"/>
  <c r="J95" i="144"/>
  <c r="V95" i="144" s="1"/>
  <c r="B95" i="144"/>
  <c r="B96" i="144" s="1"/>
  <c r="B97" i="144" s="1"/>
  <c r="B98" i="144" s="1"/>
  <c r="B99" i="144" s="1"/>
  <c r="B100" i="144" s="1"/>
  <c r="B101" i="144" s="1"/>
  <c r="B102" i="144" s="1"/>
  <c r="B103" i="144" s="1"/>
  <c r="B104" i="144" s="1"/>
  <c r="B105" i="144" s="1"/>
  <c r="B106" i="144" s="1"/>
  <c r="B107" i="144" s="1"/>
  <c r="B108" i="144" s="1"/>
  <c r="B109" i="144" s="1"/>
  <c r="B110" i="144" s="1"/>
  <c r="B111" i="144" s="1"/>
  <c r="B112" i="144" s="1"/>
  <c r="B113" i="144" s="1"/>
  <c r="B114" i="144" s="1"/>
  <c r="B115" i="144" s="1"/>
  <c r="J94" i="144"/>
  <c r="W94" i="144" s="1"/>
  <c r="J85" i="144"/>
  <c r="W85" i="144" s="1"/>
  <c r="J84" i="144"/>
  <c r="J83" i="144"/>
  <c r="J82" i="144"/>
  <c r="V82" i="144" s="1"/>
  <c r="J81" i="144"/>
  <c r="J80" i="144"/>
  <c r="J79" i="144"/>
  <c r="J78" i="144"/>
  <c r="W78" i="144" s="1"/>
  <c r="J77" i="144"/>
  <c r="W77" i="144" s="1"/>
  <c r="J76" i="144"/>
  <c r="V76" i="144" s="1"/>
  <c r="J75" i="144"/>
  <c r="J74" i="144"/>
  <c r="J73" i="144"/>
  <c r="W73" i="144" s="1"/>
  <c r="J72" i="144"/>
  <c r="W72" i="144" s="1"/>
  <c r="J71" i="144"/>
  <c r="V71" i="144" s="1"/>
  <c r="J70" i="144"/>
  <c r="J69" i="144"/>
  <c r="W69" i="144" s="1"/>
  <c r="J68" i="144"/>
  <c r="W68" i="144" s="1"/>
  <c r="J67" i="144"/>
  <c r="W67" i="144" s="1"/>
  <c r="J66" i="144"/>
  <c r="V66" i="144" s="1"/>
  <c r="J65" i="144"/>
  <c r="V65" i="144" s="1"/>
  <c r="J64" i="144"/>
  <c r="J63" i="144"/>
  <c r="J62" i="144"/>
  <c r="J61" i="144"/>
  <c r="W61" i="144" s="1"/>
  <c r="B61" i="144"/>
  <c r="B62" i="144" s="1"/>
  <c r="B63" i="144" s="1"/>
  <c r="B64" i="144" s="1"/>
  <c r="B65" i="144" s="1"/>
  <c r="B66" i="144" s="1"/>
  <c r="B67" i="144" s="1"/>
  <c r="B68" i="144" s="1"/>
  <c r="B69" i="144" s="1"/>
  <c r="B70" i="144" s="1"/>
  <c r="B71" i="144" s="1"/>
  <c r="B72" i="144" s="1"/>
  <c r="B73" i="144" s="1"/>
  <c r="B74" i="144" s="1"/>
  <c r="B75" i="144" s="1"/>
  <c r="B76" i="144" s="1"/>
  <c r="B77" i="144" s="1"/>
  <c r="B78" i="144" s="1"/>
  <c r="B79" i="144" s="1"/>
  <c r="B80" i="144" s="1"/>
  <c r="B81" i="144" s="1"/>
  <c r="B82" i="144" s="1"/>
  <c r="J60" i="144"/>
  <c r="W51" i="144"/>
  <c r="V51" i="144"/>
  <c r="W50" i="144"/>
  <c r="V50" i="144"/>
  <c r="W49" i="144"/>
  <c r="V49" i="144"/>
  <c r="J48" i="144"/>
  <c r="W48" i="144" s="1"/>
  <c r="J47" i="144"/>
  <c r="W47" i="144" s="1"/>
  <c r="J46" i="144"/>
  <c r="W46" i="144" s="1"/>
  <c r="J45" i="144"/>
  <c r="J44" i="144"/>
  <c r="W44" i="144" s="1"/>
  <c r="J43" i="144"/>
  <c r="J42" i="144"/>
  <c r="W42" i="144" s="1"/>
  <c r="J41" i="144"/>
  <c r="J40" i="144"/>
  <c r="J39" i="144"/>
  <c r="J38" i="144"/>
  <c r="J37" i="144"/>
  <c r="J36" i="144"/>
  <c r="J35" i="144"/>
  <c r="J34" i="144"/>
  <c r="J33" i="144"/>
  <c r="J32" i="144"/>
  <c r="J31" i="144"/>
  <c r="J30" i="144"/>
  <c r="J29" i="144"/>
  <c r="J28" i="144"/>
  <c r="J27" i="144"/>
  <c r="J26" i="144"/>
  <c r="J25" i="144"/>
  <c r="W25" i="144" s="1"/>
  <c r="J24" i="144"/>
  <c r="J23" i="144"/>
  <c r="J22" i="144"/>
  <c r="J21" i="144"/>
  <c r="W21" i="144" s="1"/>
  <c r="J20" i="144"/>
  <c r="J19" i="144"/>
  <c r="N16" i="144"/>
  <c r="W16" i="144"/>
  <c r="N14" i="144"/>
  <c r="W14" i="144"/>
  <c r="N12" i="144"/>
  <c r="W12" i="144"/>
  <c r="N10" i="144"/>
  <c r="W10" i="144"/>
  <c r="N8" i="144"/>
  <c r="W8" i="144"/>
  <c r="I7" i="144"/>
  <c r="J7" i="144" s="1"/>
  <c r="B7" i="144"/>
  <c r="B8" i="144" s="1"/>
  <c r="B9" i="144" s="1"/>
  <c r="B10" i="144" s="1"/>
  <c r="B11" i="144" s="1"/>
  <c r="B12" i="144" s="1"/>
  <c r="B13" i="144" s="1"/>
  <c r="B14" i="144" s="1"/>
  <c r="B15" i="144" s="1"/>
  <c r="B16" i="144" s="1"/>
  <c r="B17" i="144" s="1"/>
  <c r="B18" i="144" s="1"/>
  <c r="B19" i="144" s="1"/>
  <c r="B20" i="144" s="1"/>
  <c r="B21" i="144" s="1"/>
  <c r="B22" i="144" s="1"/>
  <c r="B23" i="144" s="1"/>
  <c r="B24" i="144" s="1"/>
  <c r="B25" i="144" s="1"/>
  <c r="B26" i="144" s="1"/>
  <c r="B27" i="144" s="1"/>
  <c r="B28" i="144" s="1"/>
  <c r="B29" i="144" s="1"/>
  <c r="B30" i="144" s="1"/>
  <c r="B31" i="144" s="1"/>
  <c r="B32" i="144" s="1"/>
  <c r="B33" i="144" s="1"/>
  <c r="B34" i="144" s="1"/>
  <c r="B35" i="144" s="1"/>
  <c r="B36" i="144" s="1"/>
  <c r="B37" i="144" s="1"/>
  <c r="B38" i="144" s="1"/>
  <c r="B39" i="144" s="1"/>
  <c r="B40" i="144" s="1"/>
  <c r="B41" i="144" s="1"/>
  <c r="B42" i="144" s="1"/>
  <c r="B43" i="144" s="1"/>
  <c r="B44" i="144" s="1"/>
  <c r="B45" i="144" s="1"/>
  <c r="B46" i="144" s="1"/>
  <c r="B47" i="144" s="1"/>
  <c r="B48" i="144" s="1"/>
  <c r="B49" i="144" s="1"/>
  <c r="B50" i="144" s="1"/>
  <c r="B51" i="144" s="1"/>
  <c r="N6" i="144"/>
  <c r="I6" i="144"/>
  <c r="J6" i="144" s="1"/>
  <c r="W6" i="144" s="1"/>
  <c r="N4" i="144"/>
  <c r="V151" i="144" l="1"/>
  <c r="V184" i="144"/>
  <c r="W82" i="144"/>
  <c r="V146" i="144"/>
  <c r="V150" i="144"/>
  <c r="W180" i="144"/>
  <c r="V183" i="144"/>
  <c r="W249" i="144"/>
  <c r="V252" i="144"/>
  <c r="W95" i="144"/>
  <c r="V147" i="144"/>
  <c r="V186" i="144"/>
  <c r="V77" i="144"/>
  <c r="V213" i="144"/>
  <c r="W231" i="144"/>
  <c r="V102" i="144"/>
  <c r="W107" i="144"/>
  <c r="V141" i="144"/>
  <c r="V207" i="144"/>
  <c r="V203" i="144"/>
  <c r="W171" i="144"/>
  <c r="V67" i="144"/>
  <c r="W66" i="144"/>
  <c r="V167" i="144"/>
  <c r="V201" i="144"/>
  <c r="W131" i="144"/>
  <c r="W65" i="144"/>
  <c r="V230" i="144"/>
  <c r="V229" i="144"/>
  <c r="W196" i="144"/>
  <c r="V163" i="144"/>
  <c r="V232" i="144"/>
  <c r="V234" i="144"/>
  <c r="V199" i="144"/>
  <c r="V206" i="144"/>
  <c r="V209" i="144"/>
  <c r="W205" i="144"/>
  <c r="V208" i="144"/>
  <c r="V166" i="144"/>
  <c r="W175" i="144"/>
  <c r="W177" i="144"/>
  <c r="W168" i="144"/>
  <c r="W176" i="144"/>
  <c r="W130" i="144"/>
  <c r="V140" i="144"/>
  <c r="V145" i="144"/>
  <c r="W138" i="144"/>
  <c r="W128" i="144"/>
  <c r="W127" i="144"/>
  <c r="W129" i="144"/>
  <c r="V133" i="144"/>
  <c r="W112" i="144"/>
  <c r="W114" i="144"/>
  <c r="N18" i="144"/>
  <c r="V96" i="144"/>
  <c r="V108" i="144"/>
  <c r="W111" i="144"/>
  <c r="W113" i="144"/>
  <c r="W115" i="144"/>
  <c r="V68" i="144"/>
  <c r="V78" i="144"/>
  <c r="W7" i="144"/>
  <c r="V7" i="144"/>
  <c r="W97" i="144"/>
  <c r="V97" i="144"/>
  <c r="W15" i="144"/>
  <c r="V15" i="144"/>
  <c r="W19" i="144"/>
  <c r="V19" i="144"/>
  <c r="W22" i="144"/>
  <c r="V22" i="144"/>
  <c r="V144" i="144"/>
  <c r="W144" i="144"/>
  <c r="V11" i="144"/>
  <c r="W11" i="144"/>
  <c r="W18" i="144"/>
  <c r="V18" i="144"/>
  <c r="V28" i="144"/>
  <c r="W28" i="144"/>
  <c r="V36" i="144"/>
  <c r="W36" i="144"/>
  <c r="V41" i="144"/>
  <c r="W41" i="144"/>
  <c r="W45" i="144"/>
  <c r="V45" i="144"/>
  <c r="W64" i="144"/>
  <c r="V64" i="144"/>
  <c r="W103" i="144"/>
  <c r="V103" i="144"/>
  <c r="W17" i="144"/>
  <c r="V17" i="144"/>
  <c r="V20" i="144"/>
  <c r="W20" i="144"/>
  <c r="W23" i="144"/>
  <c r="V23" i="144"/>
  <c r="W26" i="144"/>
  <c r="V26" i="144"/>
  <c r="W29" i="144"/>
  <c r="V29" i="144"/>
  <c r="W31" i="144"/>
  <c r="V31" i="144"/>
  <c r="W34" i="144"/>
  <c r="V34" i="144"/>
  <c r="W37" i="144"/>
  <c r="V37" i="144"/>
  <c r="W39" i="144"/>
  <c r="V39" i="144"/>
  <c r="W62" i="144"/>
  <c r="V62" i="144"/>
  <c r="W79" i="144"/>
  <c r="V79" i="144"/>
  <c r="W109" i="144"/>
  <c r="V109" i="144"/>
  <c r="W13" i="144"/>
  <c r="V13" i="144"/>
  <c r="V33" i="144"/>
  <c r="W33" i="144"/>
  <c r="V9" i="144"/>
  <c r="W9" i="144"/>
  <c r="V24" i="144"/>
  <c r="W24" i="144"/>
  <c r="W27" i="144"/>
  <c r="V27" i="144"/>
  <c r="V30" i="144"/>
  <c r="W30" i="144"/>
  <c r="W32" i="144"/>
  <c r="V32" i="144"/>
  <c r="W35" i="144"/>
  <c r="V35" i="144"/>
  <c r="V38" i="144"/>
  <c r="W38" i="144"/>
  <c r="W40" i="144"/>
  <c r="V40" i="144"/>
  <c r="W43" i="144"/>
  <c r="V43" i="144"/>
  <c r="V63" i="144"/>
  <c r="W63" i="144"/>
  <c r="W215" i="144"/>
  <c r="V215" i="144"/>
  <c r="W235" i="144"/>
  <c r="V235" i="144"/>
  <c r="V16" i="144"/>
  <c r="V21" i="144"/>
  <c r="V25" i="144"/>
  <c r="V42" i="144"/>
  <c r="V44" i="144"/>
  <c r="J52" i="144"/>
  <c r="J86" i="144"/>
  <c r="W70" i="144"/>
  <c r="V70" i="144"/>
  <c r="W74" i="144"/>
  <c r="V74" i="144"/>
  <c r="W80" i="144"/>
  <c r="V80" i="144"/>
  <c r="J118" i="144"/>
  <c r="W98" i="144"/>
  <c r="V98" i="144"/>
  <c r="W104" i="144"/>
  <c r="V104" i="144"/>
  <c r="W135" i="144"/>
  <c r="V135" i="144"/>
  <c r="W143" i="144"/>
  <c r="V143" i="144"/>
  <c r="W170" i="144"/>
  <c r="V170" i="144"/>
  <c r="V173" i="144"/>
  <c r="W173" i="144"/>
  <c r="W197" i="144"/>
  <c r="V197" i="144"/>
  <c r="V211" i="144"/>
  <c r="W211" i="144"/>
  <c r="W237" i="144"/>
  <c r="V237" i="144"/>
  <c r="W245" i="144"/>
  <c r="V245" i="144"/>
  <c r="V12" i="144"/>
  <c r="V14" i="144"/>
  <c r="V46" i="144"/>
  <c r="V47" i="144"/>
  <c r="V48" i="144"/>
  <c r="V60" i="144"/>
  <c r="V61" i="144"/>
  <c r="W76" i="144"/>
  <c r="V85" i="144"/>
  <c r="W106" i="144"/>
  <c r="W110" i="144"/>
  <c r="W116" i="144"/>
  <c r="V116" i="144"/>
  <c r="W137" i="144"/>
  <c r="W162" i="144"/>
  <c r="V162" i="144"/>
  <c r="V165" i="144"/>
  <c r="W181" i="144"/>
  <c r="V181" i="144"/>
  <c r="V202" i="144"/>
  <c r="V233" i="144"/>
  <c r="W243" i="144"/>
  <c r="V243" i="144"/>
  <c r="V6" i="144"/>
  <c r="V8" i="144"/>
  <c r="V10" i="144"/>
  <c r="W60" i="144"/>
  <c r="V69" i="144"/>
  <c r="V72" i="144"/>
  <c r="V73" i="144"/>
  <c r="W75" i="144"/>
  <c r="V75" i="144"/>
  <c r="V100" i="144"/>
  <c r="V101" i="144"/>
  <c r="W105" i="144"/>
  <c r="V105" i="144"/>
  <c r="J153" i="144"/>
  <c r="V132" i="144"/>
  <c r="W134" i="144"/>
  <c r="V134" i="144"/>
  <c r="V136" i="144"/>
  <c r="W172" i="144"/>
  <c r="V172" i="144"/>
  <c r="V174" i="144"/>
  <c r="W174" i="144"/>
  <c r="W185" i="144"/>
  <c r="V185" i="144"/>
  <c r="J221" i="144"/>
  <c r="W195" i="144"/>
  <c r="V195" i="144"/>
  <c r="W198" i="144"/>
  <c r="V198" i="144"/>
  <c r="V210" i="144"/>
  <c r="W210" i="144"/>
  <c r="V212" i="144"/>
  <c r="W219" i="144"/>
  <c r="V219" i="144"/>
  <c r="W241" i="144"/>
  <c r="V241" i="144"/>
  <c r="W71" i="144"/>
  <c r="W99" i="144"/>
  <c r="V117" i="144"/>
  <c r="V139" i="144"/>
  <c r="J187" i="144"/>
  <c r="V161" i="144"/>
  <c r="W161" i="144"/>
  <c r="W164" i="144"/>
  <c r="V164" i="144"/>
  <c r="W178" i="144"/>
  <c r="V178" i="144"/>
  <c r="V182" i="144"/>
  <c r="W200" i="144"/>
  <c r="W204" i="144"/>
  <c r="W214" i="144"/>
  <c r="V214" i="144"/>
  <c r="V216" i="144"/>
  <c r="W220" i="144"/>
  <c r="V220" i="144"/>
  <c r="W239" i="144"/>
  <c r="V239" i="144"/>
  <c r="V247" i="144"/>
  <c r="W247" i="144"/>
  <c r="J253" i="144"/>
  <c r="V94" i="144"/>
  <c r="V126" i="144"/>
  <c r="V142" i="144"/>
  <c r="W236" i="144"/>
  <c r="V236" i="144"/>
  <c r="W238" i="144"/>
  <c r="V238" i="144"/>
  <c r="W240" i="144"/>
  <c r="V240" i="144"/>
  <c r="W242" i="144"/>
  <c r="V242" i="144"/>
  <c r="W244" i="144"/>
  <c r="V244" i="144"/>
  <c r="W246" i="144"/>
  <c r="V246" i="144"/>
  <c r="I45" i="143"/>
  <c r="H44" i="143"/>
  <c r="I44" i="143"/>
  <c r="H79" i="143"/>
  <c r="W253" i="144" l="1"/>
  <c r="P16" i="144" s="1"/>
  <c r="W52" i="144"/>
  <c r="P4" i="144" s="1"/>
  <c r="V253" i="144"/>
  <c r="O16" i="144" s="1"/>
  <c r="R16" i="144" s="1"/>
  <c r="W187" i="144"/>
  <c r="P12" i="144" s="1"/>
  <c r="W153" i="144"/>
  <c r="P10" i="144" s="1"/>
  <c r="W118" i="144"/>
  <c r="P8" i="144" s="1"/>
  <c r="V153" i="144"/>
  <c r="O10" i="144" s="1"/>
  <c r="V187" i="144"/>
  <c r="O12" i="144" s="1"/>
  <c r="W221" i="144"/>
  <c r="P14" i="144" s="1"/>
  <c r="V118" i="144"/>
  <c r="O8" i="144" s="1"/>
  <c r="V52" i="144"/>
  <c r="O4" i="144" s="1"/>
  <c r="V221" i="144"/>
  <c r="O14" i="144" s="1"/>
  <c r="V86" i="144"/>
  <c r="O6" i="144" s="1"/>
  <c r="W86" i="144"/>
  <c r="P6" i="144" s="1"/>
  <c r="H248" i="143"/>
  <c r="H247" i="143"/>
  <c r="H215" i="143"/>
  <c r="H214" i="143"/>
  <c r="H180" i="143"/>
  <c r="H145" i="143"/>
  <c r="P18" i="144" l="1"/>
  <c r="R14" i="144"/>
  <c r="Q14" i="144"/>
  <c r="R12" i="144"/>
  <c r="Q12" i="144"/>
  <c r="Q6" i="144"/>
  <c r="R6" i="144"/>
  <c r="Q4" i="144"/>
  <c r="R4" i="144"/>
  <c r="O18" i="144"/>
  <c r="R18" i="144" s="1"/>
  <c r="P20" i="144" s="1"/>
  <c r="Q10" i="144"/>
  <c r="R10" i="144"/>
  <c r="Q8" i="144"/>
  <c r="R8" i="144"/>
  <c r="H144" i="143"/>
  <c r="H78" i="143"/>
  <c r="Q18" i="144" l="1"/>
  <c r="H43" i="143"/>
  <c r="I43" i="143"/>
  <c r="I42" i="143"/>
  <c r="I41" i="143" l="1"/>
  <c r="I40" i="143"/>
  <c r="H77" i="143"/>
  <c r="H212" i="143"/>
  <c r="H210" i="143"/>
  <c r="H178" i="143"/>
  <c r="H141" i="143"/>
  <c r="H110" i="143"/>
  <c r="H109" i="143"/>
  <c r="H76" i="143"/>
  <c r="H74" i="143"/>
  <c r="H34" i="143"/>
  <c r="H39" i="143"/>
  <c r="I39" i="143"/>
  <c r="H38" i="143"/>
  <c r="I38" i="143"/>
  <c r="H37" i="143"/>
  <c r="I37" i="143"/>
  <c r="I36" i="143"/>
  <c r="I35" i="143"/>
  <c r="I34" i="143"/>
  <c r="H208" i="143" l="1"/>
  <c r="H207" i="143"/>
  <c r="H206" i="143"/>
  <c r="H173" i="143"/>
  <c r="H172" i="143"/>
  <c r="H139" i="143"/>
  <c r="H138" i="143"/>
  <c r="H137" i="143"/>
  <c r="H108" i="143"/>
  <c r="H107" i="143"/>
  <c r="H106" i="143"/>
  <c r="H73" i="143"/>
  <c r="H72" i="143"/>
  <c r="H71" i="143"/>
  <c r="I33" i="143"/>
  <c r="I32" i="143"/>
  <c r="H31" i="143"/>
  <c r="I31" i="143"/>
  <c r="H30" i="143"/>
  <c r="I30" i="143"/>
  <c r="H29" i="143"/>
  <c r="I29" i="143"/>
  <c r="I28" i="143"/>
  <c r="I27" i="143" l="1"/>
  <c r="I26" i="143"/>
  <c r="I25" i="143"/>
  <c r="I24" i="143"/>
  <c r="H70" i="143"/>
  <c r="H69" i="143"/>
  <c r="H135" i="143"/>
  <c r="H171" i="143"/>
  <c r="H170" i="143"/>
  <c r="H204" i="143"/>
  <c r="H203" i="143" l="1"/>
  <c r="H134" i="143"/>
  <c r="H103" i="143"/>
  <c r="I23" i="143"/>
  <c r="I22" i="143"/>
  <c r="I21" i="143" l="1"/>
  <c r="I20" i="143"/>
  <c r="H67" i="143"/>
  <c r="H133" i="143"/>
  <c r="H168" i="143"/>
  <c r="H202" i="143"/>
  <c r="H235" i="143" l="1"/>
  <c r="H201" i="143"/>
  <c r="H167" i="143"/>
  <c r="H132" i="143"/>
  <c r="H101" i="143"/>
  <c r="I19" i="143"/>
  <c r="I18" i="143"/>
  <c r="H17" i="143"/>
  <c r="I17" i="143"/>
  <c r="H16" i="143"/>
  <c r="I16" i="143"/>
  <c r="H65" i="143"/>
  <c r="H100" i="143"/>
  <c r="H200" i="143"/>
  <c r="H233" i="143"/>
  <c r="H130" i="143"/>
  <c r="H99" i="143"/>
  <c r="H64" i="143"/>
  <c r="I15" i="143"/>
  <c r="H14" i="143"/>
  <c r="I14" i="143"/>
  <c r="H197" i="143" l="1"/>
  <c r="H97" i="143"/>
  <c r="H63" i="143"/>
  <c r="I13" i="143"/>
  <c r="I12" i="143"/>
  <c r="H163" i="143" l="1"/>
  <c r="H96" i="143"/>
  <c r="H62" i="143"/>
  <c r="I11" i="143"/>
  <c r="H10" i="143"/>
  <c r="I10" i="143"/>
  <c r="I8" i="143" l="1"/>
  <c r="J8" i="143" s="1"/>
  <c r="I9" i="143"/>
  <c r="H95" i="143"/>
  <c r="H162" i="143"/>
  <c r="J162" i="143" s="1"/>
  <c r="V162" i="143" s="1"/>
  <c r="H196" i="143"/>
  <c r="H229" i="143"/>
  <c r="H195" i="143"/>
  <c r="H161" i="143"/>
  <c r="H60" i="143"/>
  <c r="H7" i="143"/>
  <c r="H6" i="143"/>
  <c r="J252" i="143"/>
  <c r="V252" i="143" s="1"/>
  <c r="J251" i="143"/>
  <c r="V251" i="143" s="1"/>
  <c r="J250" i="143"/>
  <c r="V250" i="143" s="1"/>
  <c r="J249" i="143"/>
  <c r="V249" i="143" s="1"/>
  <c r="J248" i="143"/>
  <c r="V248" i="143" s="1"/>
  <c r="J247" i="143"/>
  <c r="V247" i="143" s="1"/>
  <c r="J246" i="143"/>
  <c r="V246" i="143" s="1"/>
  <c r="J245" i="143"/>
  <c r="J244" i="143"/>
  <c r="J243" i="143"/>
  <c r="W243" i="143" s="1"/>
  <c r="J242" i="143"/>
  <c r="W242" i="143" s="1"/>
  <c r="J241" i="143"/>
  <c r="V241" i="143" s="1"/>
  <c r="J240" i="143"/>
  <c r="J239" i="143"/>
  <c r="J238" i="143"/>
  <c r="J237" i="143"/>
  <c r="J236" i="143"/>
  <c r="J235" i="143"/>
  <c r="J234" i="143"/>
  <c r="W234" i="143" s="1"/>
  <c r="J233" i="143"/>
  <c r="V233" i="143" s="1"/>
  <c r="J232" i="143"/>
  <c r="J231" i="143"/>
  <c r="W231" i="143" s="1"/>
  <c r="J230" i="143"/>
  <c r="W230" i="143" s="1"/>
  <c r="B230" i="143"/>
  <c r="B231" i="143" s="1"/>
  <c r="B232" i="143" s="1"/>
  <c r="B233" i="143" s="1"/>
  <c r="B234" i="143" s="1"/>
  <c r="B235" i="143" s="1"/>
  <c r="B236" i="143" s="1"/>
  <c r="B237" i="143" s="1"/>
  <c r="B238" i="143" s="1"/>
  <c r="B239" i="143" s="1"/>
  <c r="B240" i="143" s="1"/>
  <c r="B241" i="143" s="1"/>
  <c r="B242" i="143" s="1"/>
  <c r="B243" i="143" s="1"/>
  <c r="B244" i="143" s="1"/>
  <c r="B245" i="143" s="1"/>
  <c r="B246" i="143" s="1"/>
  <c r="B247" i="143" s="1"/>
  <c r="B248" i="143" s="1"/>
  <c r="B249" i="143" s="1"/>
  <c r="B250" i="143" s="1"/>
  <c r="B251" i="143" s="1"/>
  <c r="B252" i="143" s="1"/>
  <c r="J229" i="143"/>
  <c r="V229" i="143" s="1"/>
  <c r="J220" i="143"/>
  <c r="W220" i="143" s="1"/>
  <c r="J219" i="143"/>
  <c r="W219" i="143" s="1"/>
  <c r="J218" i="143"/>
  <c r="J217" i="143"/>
  <c r="V217" i="143" s="1"/>
  <c r="J216" i="143"/>
  <c r="V216" i="143" s="1"/>
  <c r="J215" i="143"/>
  <c r="W215" i="143" s="1"/>
  <c r="J214" i="143"/>
  <c r="W214" i="143" s="1"/>
  <c r="J213" i="143"/>
  <c r="W213" i="143" s="1"/>
  <c r="J212" i="143"/>
  <c r="V212" i="143" s="1"/>
  <c r="J211" i="143"/>
  <c r="V211" i="143" s="1"/>
  <c r="J210" i="143"/>
  <c r="W210" i="143" s="1"/>
  <c r="J209" i="143"/>
  <c r="W209" i="143" s="1"/>
  <c r="J208" i="143"/>
  <c r="V208" i="143" s="1"/>
  <c r="J207" i="143"/>
  <c r="J206" i="143"/>
  <c r="W206" i="143" s="1"/>
  <c r="J205" i="143"/>
  <c r="W205" i="143" s="1"/>
  <c r="J204" i="143"/>
  <c r="W204" i="143" s="1"/>
  <c r="J203" i="143"/>
  <c r="W203" i="143" s="1"/>
  <c r="J202" i="143"/>
  <c r="W202" i="143" s="1"/>
  <c r="J201" i="143"/>
  <c r="W201" i="143" s="1"/>
  <c r="J200" i="143"/>
  <c r="W200" i="143" s="1"/>
  <c r="J199" i="143"/>
  <c r="W199" i="143" s="1"/>
  <c r="J198" i="143"/>
  <c r="W198" i="143" s="1"/>
  <c r="J197" i="143"/>
  <c r="W197" i="143" s="1"/>
  <c r="J196" i="143"/>
  <c r="W196" i="143" s="1"/>
  <c r="B196" i="143"/>
  <c r="B197" i="143" s="1"/>
  <c r="B198" i="143" s="1"/>
  <c r="B199" i="143" s="1"/>
  <c r="B200" i="143" s="1"/>
  <c r="B201" i="143" s="1"/>
  <c r="B202" i="143" s="1"/>
  <c r="B203" i="143" s="1"/>
  <c r="B204" i="143" s="1"/>
  <c r="B205" i="143" s="1"/>
  <c r="B206" i="143" s="1"/>
  <c r="B207" i="143" s="1"/>
  <c r="B208" i="143" s="1"/>
  <c r="B209" i="143" s="1"/>
  <c r="B210" i="143" s="1"/>
  <c r="B211" i="143" s="1"/>
  <c r="B212" i="143" s="1"/>
  <c r="B213" i="143" s="1"/>
  <c r="B214" i="143" s="1"/>
  <c r="B215" i="143" s="1"/>
  <c r="B216" i="143" s="1"/>
  <c r="J195" i="143"/>
  <c r="W195" i="143" s="1"/>
  <c r="J186" i="143"/>
  <c r="J185" i="143"/>
  <c r="J184" i="143"/>
  <c r="J183" i="143"/>
  <c r="J182" i="143"/>
  <c r="J181" i="143"/>
  <c r="J180" i="143"/>
  <c r="W180" i="143" s="1"/>
  <c r="J179" i="143"/>
  <c r="W179" i="143" s="1"/>
  <c r="J178" i="143"/>
  <c r="V178" i="143" s="1"/>
  <c r="J177" i="143"/>
  <c r="J176" i="143"/>
  <c r="J175" i="143"/>
  <c r="J174" i="143"/>
  <c r="J173" i="143"/>
  <c r="J172" i="143"/>
  <c r="W172" i="143" s="1"/>
  <c r="J171" i="143"/>
  <c r="W171" i="143" s="1"/>
  <c r="J170" i="143"/>
  <c r="W170" i="143" s="1"/>
  <c r="J169" i="143"/>
  <c r="W169" i="143" s="1"/>
  <c r="J168" i="143"/>
  <c r="V168" i="143" s="1"/>
  <c r="J167" i="143"/>
  <c r="J166" i="143"/>
  <c r="W166" i="143" s="1"/>
  <c r="J165" i="143"/>
  <c r="W165" i="143" s="1"/>
  <c r="J164" i="143"/>
  <c r="W164" i="143" s="1"/>
  <c r="W163" i="143"/>
  <c r="J163" i="143"/>
  <c r="V163" i="143" s="1"/>
  <c r="B162" i="143"/>
  <c r="B163" i="143" s="1"/>
  <c r="B164" i="143" s="1"/>
  <c r="B165" i="143" s="1"/>
  <c r="B166" i="143" s="1"/>
  <c r="B167" i="143" s="1"/>
  <c r="B168" i="143" s="1"/>
  <c r="B169" i="143" s="1"/>
  <c r="B170" i="143" s="1"/>
  <c r="B171" i="143" s="1"/>
  <c r="B172" i="143" s="1"/>
  <c r="B173" i="143" s="1"/>
  <c r="B174" i="143" s="1"/>
  <c r="B175" i="143" s="1"/>
  <c r="B176" i="143" s="1"/>
  <c r="B177" i="143" s="1"/>
  <c r="B178" i="143" s="1"/>
  <c r="B179" i="143" s="1"/>
  <c r="B180" i="143" s="1"/>
  <c r="B181" i="143" s="1"/>
  <c r="B182" i="143" s="1"/>
  <c r="B183" i="143" s="1"/>
  <c r="B184" i="143" s="1"/>
  <c r="B185" i="143" s="1"/>
  <c r="B186" i="143" s="1"/>
  <c r="J161" i="143"/>
  <c r="W161" i="143" s="1"/>
  <c r="J152" i="143"/>
  <c r="W152" i="143" s="1"/>
  <c r="J151" i="143"/>
  <c r="W151" i="143" s="1"/>
  <c r="J150" i="143"/>
  <c r="W150" i="143" s="1"/>
  <c r="J149" i="143"/>
  <c r="W149" i="143" s="1"/>
  <c r="J148" i="143"/>
  <c r="W148" i="143" s="1"/>
  <c r="J147" i="143"/>
  <c r="W147" i="143" s="1"/>
  <c r="J146" i="143"/>
  <c r="W146" i="143" s="1"/>
  <c r="J145" i="143"/>
  <c r="W145" i="143" s="1"/>
  <c r="J144" i="143"/>
  <c r="J143" i="143"/>
  <c r="V143" i="143" s="1"/>
  <c r="J142" i="143"/>
  <c r="W142" i="143" s="1"/>
  <c r="J141" i="143"/>
  <c r="W141" i="143" s="1"/>
  <c r="J140" i="143"/>
  <c r="W140" i="143" s="1"/>
  <c r="J139" i="143"/>
  <c r="W139" i="143" s="1"/>
  <c r="J138" i="143"/>
  <c r="W138" i="143" s="1"/>
  <c r="J137" i="143"/>
  <c r="J136" i="143"/>
  <c r="W136" i="143" s="1"/>
  <c r="J135" i="143"/>
  <c r="V135" i="143" s="1"/>
  <c r="J134" i="143"/>
  <c r="W134" i="143" s="1"/>
  <c r="J133" i="143"/>
  <c r="V133" i="143" s="1"/>
  <c r="J132" i="143"/>
  <c r="W132" i="143" s="1"/>
  <c r="J131" i="143"/>
  <c r="J130" i="143"/>
  <c r="V130" i="143" s="1"/>
  <c r="J129" i="143"/>
  <c r="V129" i="143" s="1"/>
  <c r="J128" i="143"/>
  <c r="V128" i="143" s="1"/>
  <c r="J127" i="143"/>
  <c r="W127" i="143" s="1"/>
  <c r="B127" i="143"/>
  <c r="B128" i="143" s="1"/>
  <c r="B129" i="143" s="1"/>
  <c r="B130" i="143" s="1"/>
  <c r="B131" i="143" s="1"/>
  <c r="B132" i="143" s="1"/>
  <c r="B133" i="143" s="1"/>
  <c r="B134" i="143" s="1"/>
  <c r="B135" i="143" s="1"/>
  <c r="B136" i="143" s="1"/>
  <c r="B137" i="143" s="1"/>
  <c r="B138" i="143" s="1"/>
  <c r="B139" i="143" s="1"/>
  <c r="B140" i="143" s="1"/>
  <c r="B141" i="143" s="1"/>
  <c r="B142" i="143" s="1"/>
  <c r="B143" i="143" s="1"/>
  <c r="B144" i="143" s="1"/>
  <c r="B145" i="143" s="1"/>
  <c r="B146" i="143" s="1"/>
  <c r="B147" i="143" s="1"/>
  <c r="B148" i="143" s="1"/>
  <c r="B149" i="143" s="1"/>
  <c r="B150" i="143" s="1"/>
  <c r="B151" i="143" s="1"/>
  <c r="B152" i="143" s="1"/>
  <c r="J126" i="143"/>
  <c r="V126" i="143" s="1"/>
  <c r="W117" i="143"/>
  <c r="V117" i="143"/>
  <c r="J117" i="143"/>
  <c r="J116" i="143"/>
  <c r="W116" i="143" s="1"/>
  <c r="J115" i="143"/>
  <c r="W115" i="143" s="1"/>
  <c r="J114" i="143"/>
  <c r="J113" i="143"/>
  <c r="W113" i="143" s="1"/>
  <c r="J112" i="143"/>
  <c r="W112" i="143" s="1"/>
  <c r="J111" i="143"/>
  <c r="W111" i="143" s="1"/>
  <c r="J110" i="143"/>
  <c r="V110" i="143" s="1"/>
  <c r="J109" i="143"/>
  <c r="W109" i="143" s="1"/>
  <c r="J108" i="143"/>
  <c r="W108" i="143" s="1"/>
  <c r="J107" i="143"/>
  <c r="W107" i="143" s="1"/>
  <c r="J106" i="143"/>
  <c r="V106" i="143" s="1"/>
  <c r="J105" i="143"/>
  <c r="J104" i="143"/>
  <c r="V104" i="143" s="1"/>
  <c r="J103" i="143"/>
  <c r="J102" i="143"/>
  <c r="W102" i="143" s="1"/>
  <c r="J101" i="143"/>
  <c r="W101" i="143" s="1"/>
  <c r="J100" i="143"/>
  <c r="J99" i="143"/>
  <c r="V99" i="143" s="1"/>
  <c r="J98" i="143"/>
  <c r="W98" i="143" s="1"/>
  <c r="J97" i="143"/>
  <c r="J96" i="143"/>
  <c r="J95" i="143"/>
  <c r="V95" i="143" s="1"/>
  <c r="B95" i="143"/>
  <c r="B96" i="143" s="1"/>
  <c r="B97" i="143" s="1"/>
  <c r="B98" i="143" s="1"/>
  <c r="B99" i="143" s="1"/>
  <c r="B100" i="143" s="1"/>
  <c r="B101" i="143" s="1"/>
  <c r="B102" i="143" s="1"/>
  <c r="B103" i="143" s="1"/>
  <c r="B104" i="143" s="1"/>
  <c r="B105" i="143" s="1"/>
  <c r="B106" i="143" s="1"/>
  <c r="B107" i="143" s="1"/>
  <c r="B108" i="143" s="1"/>
  <c r="B109" i="143" s="1"/>
  <c r="B110" i="143" s="1"/>
  <c r="B111" i="143" s="1"/>
  <c r="B112" i="143" s="1"/>
  <c r="B113" i="143" s="1"/>
  <c r="B114" i="143" s="1"/>
  <c r="B115" i="143" s="1"/>
  <c r="J94" i="143"/>
  <c r="V94" i="143" s="1"/>
  <c r="J85" i="143"/>
  <c r="W85" i="143" s="1"/>
  <c r="J84" i="143"/>
  <c r="J83" i="143"/>
  <c r="J82" i="143"/>
  <c r="J81" i="143"/>
  <c r="J80" i="143"/>
  <c r="V80" i="143" s="1"/>
  <c r="J79" i="143"/>
  <c r="V79" i="143" s="1"/>
  <c r="J78" i="143"/>
  <c r="J77" i="143"/>
  <c r="J76" i="143"/>
  <c r="V76" i="143" s="1"/>
  <c r="J75" i="143"/>
  <c r="W75" i="143" s="1"/>
  <c r="J74" i="143"/>
  <c r="W74" i="143" s="1"/>
  <c r="J73" i="143"/>
  <c r="V73" i="143" s="1"/>
  <c r="J72" i="143"/>
  <c r="V72" i="143" s="1"/>
  <c r="J71" i="143"/>
  <c r="V71" i="143" s="1"/>
  <c r="J70" i="143"/>
  <c r="W70" i="143" s="1"/>
  <c r="J69" i="143"/>
  <c r="W69" i="143" s="1"/>
  <c r="J68" i="143"/>
  <c r="J67" i="143"/>
  <c r="J66" i="143"/>
  <c r="J65" i="143"/>
  <c r="W65" i="143" s="1"/>
  <c r="J64" i="143"/>
  <c r="W64" i="143" s="1"/>
  <c r="J63" i="143"/>
  <c r="W63" i="143" s="1"/>
  <c r="J62" i="143"/>
  <c r="W62" i="143" s="1"/>
  <c r="J61" i="143"/>
  <c r="V61" i="143" s="1"/>
  <c r="B61" i="143"/>
  <c r="B62" i="143" s="1"/>
  <c r="B63" i="143" s="1"/>
  <c r="B64" i="143" s="1"/>
  <c r="B65" i="143" s="1"/>
  <c r="B66" i="143" s="1"/>
  <c r="B67" i="143" s="1"/>
  <c r="B68" i="143" s="1"/>
  <c r="B69" i="143" s="1"/>
  <c r="B70" i="143" s="1"/>
  <c r="B71" i="143" s="1"/>
  <c r="B72" i="143" s="1"/>
  <c r="B73" i="143" s="1"/>
  <c r="B74" i="143" s="1"/>
  <c r="B75" i="143" s="1"/>
  <c r="B76" i="143" s="1"/>
  <c r="B77" i="143" s="1"/>
  <c r="B78" i="143" s="1"/>
  <c r="B79" i="143" s="1"/>
  <c r="B80" i="143" s="1"/>
  <c r="B81" i="143" s="1"/>
  <c r="B82" i="143" s="1"/>
  <c r="J60" i="143"/>
  <c r="V60" i="143" s="1"/>
  <c r="W51" i="143"/>
  <c r="V51" i="143"/>
  <c r="W50" i="143"/>
  <c r="V50" i="143"/>
  <c r="W49" i="143"/>
  <c r="V49" i="143"/>
  <c r="J48" i="143"/>
  <c r="W48" i="143" s="1"/>
  <c r="J47" i="143"/>
  <c r="W47" i="143" s="1"/>
  <c r="W46" i="143"/>
  <c r="J46" i="143"/>
  <c r="V46" i="143" s="1"/>
  <c r="J45" i="143"/>
  <c r="W45" i="143" s="1"/>
  <c r="J44" i="143"/>
  <c r="V44" i="143" s="1"/>
  <c r="J43" i="143"/>
  <c r="W43" i="143" s="1"/>
  <c r="J42" i="143"/>
  <c r="J41" i="143"/>
  <c r="W41" i="143" s="1"/>
  <c r="J40" i="143"/>
  <c r="V40" i="143" s="1"/>
  <c r="J39" i="143"/>
  <c r="W39" i="143" s="1"/>
  <c r="J38" i="143"/>
  <c r="J36" i="143"/>
  <c r="W36" i="143" s="1"/>
  <c r="J35" i="143"/>
  <c r="V35" i="143" s="1"/>
  <c r="J34" i="143"/>
  <c r="W34" i="143" s="1"/>
  <c r="J33" i="143"/>
  <c r="J32" i="143"/>
  <c r="W32" i="143" s="1"/>
  <c r="J31" i="143"/>
  <c r="V31" i="143" s="1"/>
  <c r="J30" i="143"/>
  <c r="W30" i="143" s="1"/>
  <c r="J29" i="143"/>
  <c r="J28" i="143"/>
  <c r="W28" i="143" s="1"/>
  <c r="J27" i="143"/>
  <c r="J26" i="143"/>
  <c r="V26" i="143" s="1"/>
  <c r="J25" i="143"/>
  <c r="W25" i="143" s="1"/>
  <c r="J24" i="143"/>
  <c r="V24" i="143" s="1"/>
  <c r="J23" i="143"/>
  <c r="W23" i="143" s="1"/>
  <c r="J22" i="143"/>
  <c r="V22" i="143" s="1"/>
  <c r="J21" i="143"/>
  <c r="W21" i="143" s="1"/>
  <c r="J20" i="143"/>
  <c r="V20" i="143" s="1"/>
  <c r="J19" i="143"/>
  <c r="J18" i="143"/>
  <c r="W18" i="143" s="1"/>
  <c r="J17" i="143"/>
  <c r="W17" i="143" s="1"/>
  <c r="N16" i="143"/>
  <c r="J16" i="143"/>
  <c r="V16" i="143" s="1"/>
  <c r="J15" i="143"/>
  <c r="V15" i="143" s="1"/>
  <c r="N14" i="143"/>
  <c r="J14" i="143"/>
  <c r="W14" i="143" s="1"/>
  <c r="J13" i="143"/>
  <c r="N12" i="143"/>
  <c r="J12" i="143"/>
  <c r="W12" i="143" s="1"/>
  <c r="J11" i="143"/>
  <c r="N10" i="143"/>
  <c r="J10" i="143"/>
  <c r="J9" i="143"/>
  <c r="W9" i="143" s="1"/>
  <c r="N8" i="143"/>
  <c r="I7" i="143"/>
  <c r="B7" i="143"/>
  <c r="B8" i="143" s="1"/>
  <c r="B9" i="143" s="1"/>
  <c r="B10" i="143" s="1"/>
  <c r="B11" i="143" s="1"/>
  <c r="B12" i="143" s="1"/>
  <c r="B13" i="143" s="1"/>
  <c r="B14" i="143" s="1"/>
  <c r="B15" i="143" s="1"/>
  <c r="B16" i="143" s="1"/>
  <c r="B17" i="143" s="1"/>
  <c r="B18" i="143" s="1"/>
  <c r="B19" i="143" s="1"/>
  <c r="B20" i="143" s="1"/>
  <c r="B21" i="143" s="1"/>
  <c r="B22" i="143" s="1"/>
  <c r="B23" i="143" s="1"/>
  <c r="B24" i="143" s="1"/>
  <c r="B25" i="143" s="1"/>
  <c r="B26" i="143" s="1"/>
  <c r="B27" i="143" s="1"/>
  <c r="B28" i="143" s="1"/>
  <c r="B29" i="143" s="1"/>
  <c r="B30" i="143" s="1"/>
  <c r="B31" i="143" s="1"/>
  <c r="B32" i="143" s="1"/>
  <c r="B33" i="143" s="1"/>
  <c r="B34" i="143" s="1"/>
  <c r="B35" i="143" s="1"/>
  <c r="B36" i="143" s="1"/>
  <c r="B37" i="143" s="1"/>
  <c r="B38" i="143" s="1"/>
  <c r="B39" i="143" s="1"/>
  <c r="B40" i="143" s="1"/>
  <c r="B41" i="143" s="1"/>
  <c r="B42" i="143" s="1"/>
  <c r="B43" i="143" s="1"/>
  <c r="B44" i="143" s="1"/>
  <c r="B45" i="143" s="1"/>
  <c r="B46" i="143" s="1"/>
  <c r="B47" i="143" s="1"/>
  <c r="B48" i="143" s="1"/>
  <c r="B49" i="143" s="1"/>
  <c r="B50" i="143" s="1"/>
  <c r="B51" i="143" s="1"/>
  <c r="N6" i="143"/>
  <c r="I6" i="143"/>
  <c r="J6" i="143" s="1"/>
  <c r="N4" i="143"/>
  <c r="V36" i="143" l="1"/>
  <c r="V48" i="143"/>
  <c r="V85" i="143"/>
  <c r="V115" i="143"/>
  <c r="V151" i="143"/>
  <c r="W216" i="143"/>
  <c r="V47" i="143"/>
  <c r="V180" i="143"/>
  <c r="V220" i="143"/>
  <c r="J7" i="143"/>
  <c r="W7" i="143" s="1"/>
  <c r="W72" i="143"/>
  <c r="V152" i="143"/>
  <c r="W211" i="143"/>
  <c r="W79" i="143"/>
  <c r="V215" i="143"/>
  <c r="W212" i="143"/>
  <c r="W143" i="143"/>
  <c r="V141" i="143"/>
  <c r="W110" i="143"/>
  <c r="V109" i="143"/>
  <c r="W76" i="143"/>
  <c r="V75" i="143"/>
  <c r="V139" i="143"/>
  <c r="W106" i="143"/>
  <c r="V70" i="143"/>
  <c r="W104" i="143"/>
  <c r="V170" i="143"/>
  <c r="V23" i="143"/>
  <c r="W133" i="143"/>
  <c r="V132" i="143"/>
  <c r="W16" i="143"/>
  <c r="V65" i="143"/>
  <c r="V98" i="143"/>
  <c r="V164" i="143"/>
  <c r="V63" i="143"/>
  <c r="W61" i="143"/>
  <c r="W95" i="143"/>
  <c r="V196" i="143"/>
  <c r="V195" i="143"/>
  <c r="V243" i="143"/>
  <c r="W241" i="143"/>
  <c r="V197" i="143"/>
  <c r="V199" i="143"/>
  <c r="V201" i="143"/>
  <c r="V203" i="143"/>
  <c r="V205" i="143"/>
  <c r="V210" i="143"/>
  <c r="V214" i="143"/>
  <c r="V213" i="143"/>
  <c r="W217" i="143"/>
  <c r="V198" i="143"/>
  <c r="V200" i="143"/>
  <c r="V202" i="143"/>
  <c r="V204" i="143"/>
  <c r="V206" i="143"/>
  <c r="V209" i="143"/>
  <c r="V169" i="143"/>
  <c r="V179" i="143"/>
  <c r="V161" i="143"/>
  <c r="W162" i="143"/>
  <c r="V165" i="143"/>
  <c r="V171" i="143"/>
  <c r="V166" i="143"/>
  <c r="V172" i="143"/>
  <c r="W130" i="143"/>
  <c r="V146" i="143"/>
  <c r="V150" i="143"/>
  <c r="V134" i="143"/>
  <c r="W135" i="143"/>
  <c r="V138" i="143"/>
  <c r="V140" i="143"/>
  <c r="W128" i="143"/>
  <c r="V148" i="143"/>
  <c r="V127" i="143"/>
  <c r="W129" i="143"/>
  <c r="V145" i="143"/>
  <c r="V147" i="143"/>
  <c r="V149" i="143"/>
  <c r="W94" i="143"/>
  <c r="V108" i="143"/>
  <c r="W99" i="143"/>
  <c r="V107" i="143"/>
  <c r="V111" i="143"/>
  <c r="W60" i="143"/>
  <c r="V69" i="143"/>
  <c r="W71" i="143"/>
  <c r="W73" i="143"/>
  <c r="V62" i="143"/>
  <c r="V64" i="143"/>
  <c r="W80" i="143"/>
  <c r="N18" i="143"/>
  <c r="V28" i="143"/>
  <c r="V32" i="143"/>
  <c r="V42" i="143"/>
  <c r="W42" i="143"/>
  <c r="V11" i="143"/>
  <c r="W11" i="143"/>
  <c r="V29" i="143"/>
  <c r="W29" i="143"/>
  <c r="V38" i="143"/>
  <c r="W38" i="143"/>
  <c r="V33" i="143"/>
  <c r="W33" i="143"/>
  <c r="W24" i="143"/>
  <c r="V41" i="143"/>
  <c r="V45" i="143"/>
  <c r="V10" i="143"/>
  <c r="W10" i="143"/>
  <c r="W13" i="143"/>
  <c r="V13" i="143"/>
  <c r="W19" i="143"/>
  <c r="V19" i="143"/>
  <c r="W6" i="143"/>
  <c r="V6" i="143"/>
  <c r="V8" i="143"/>
  <c r="W8" i="143"/>
  <c r="V27" i="143"/>
  <c r="W27" i="143"/>
  <c r="W20" i="143"/>
  <c r="W66" i="143"/>
  <c r="V66" i="143"/>
  <c r="J86" i="143"/>
  <c r="W100" i="143"/>
  <c r="V100" i="143"/>
  <c r="W103" i="143"/>
  <c r="V103" i="143"/>
  <c r="W105" i="143"/>
  <c r="V105" i="143"/>
  <c r="W137" i="143"/>
  <c r="V137" i="143"/>
  <c r="V18" i="143"/>
  <c r="V7" i="143"/>
  <c r="V14" i="143"/>
  <c r="W15" i="143"/>
  <c r="V17" i="143"/>
  <c r="W67" i="143"/>
  <c r="V67" i="143"/>
  <c r="J118" i="143"/>
  <c r="W96" i="143"/>
  <c r="V96" i="143"/>
  <c r="W131" i="143"/>
  <c r="V131" i="143"/>
  <c r="W144" i="143"/>
  <c r="V144" i="143"/>
  <c r="V9" i="143"/>
  <c r="V12" i="143"/>
  <c r="V21" i="143"/>
  <c r="W22" i="143"/>
  <c r="V25" i="143"/>
  <c r="W26" i="143"/>
  <c r="V30" i="143"/>
  <c r="W31" i="143"/>
  <c r="V34" i="143"/>
  <c r="W35" i="143"/>
  <c r="J37" i="143"/>
  <c r="V39" i="143"/>
  <c r="W40" i="143"/>
  <c r="V43" i="143"/>
  <c r="W44" i="143"/>
  <c r="W68" i="143"/>
  <c r="V68" i="143"/>
  <c r="V74" i="143"/>
  <c r="W77" i="143"/>
  <c r="V77" i="143"/>
  <c r="W97" i="143"/>
  <c r="V97" i="143"/>
  <c r="W114" i="143"/>
  <c r="V114" i="143"/>
  <c r="W78" i="143"/>
  <c r="V78" i="143"/>
  <c r="W82" i="143"/>
  <c r="V82" i="143"/>
  <c r="V167" i="143"/>
  <c r="W167" i="143"/>
  <c r="V174" i="143"/>
  <c r="W174" i="143"/>
  <c r="V176" i="143"/>
  <c r="W176" i="143"/>
  <c r="V182" i="143"/>
  <c r="W182" i="143"/>
  <c r="V184" i="143"/>
  <c r="W184" i="143"/>
  <c r="V186" i="143"/>
  <c r="W186" i="143"/>
  <c r="V207" i="143"/>
  <c r="W207" i="143"/>
  <c r="V232" i="143"/>
  <c r="W232" i="143"/>
  <c r="W235" i="143"/>
  <c r="V235" i="143"/>
  <c r="W239" i="143"/>
  <c r="V239" i="143"/>
  <c r="V245" i="143"/>
  <c r="W245" i="143"/>
  <c r="V101" i="143"/>
  <c r="V102" i="143"/>
  <c r="V112" i="143"/>
  <c r="V113" i="143"/>
  <c r="V116" i="143"/>
  <c r="J153" i="143"/>
  <c r="V136" i="143"/>
  <c r="V142" i="143"/>
  <c r="W178" i="143"/>
  <c r="J187" i="143"/>
  <c r="V219" i="143"/>
  <c r="W236" i="143"/>
  <c r="V236" i="143"/>
  <c r="V240" i="143"/>
  <c r="W240" i="143"/>
  <c r="V173" i="143"/>
  <c r="W173" i="143"/>
  <c r="V175" i="143"/>
  <c r="W175" i="143"/>
  <c r="V177" i="143"/>
  <c r="W177" i="143"/>
  <c r="V181" i="143"/>
  <c r="W181" i="143"/>
  <c r="V183" i="143"/>
  <c r="W183" i="143"/>
  <c r="V185" i="143"/>
  <c r="W185" i="143"/>
  <c r="V230" i="143"/>
  <c r="V231" i="143"/>
  <c r="V234" i="143"/>
  <c r="W237" i="143"/>
  <c r="V237" i="143"/>
  <c r="V242" i="143"/>
  <c r="W126" i="143"/>
  <c r="W168" i="143"/>
  <c r="J221" i="143"/>
  <c r="W208" i="143"/>
  <c r="V218" i="143"/>
  <c r="W218" i="143"/>
  <c r="W229" i="143"/>
  <c r="W233" i="143"/>
  <c r="W238" i="143"/>
  <c r="V238" i="143"/>
  <c r="W244" i="143"/>
  <c r="V244" i="143"/>
  <c r="J253" i="143"/>
  <c r="W246" i="143"/>
  <c r="W247" i="143"/>
  <c r="W248" i="143"/>
  <c r="W249" i="143"/>
  <c r="W250" i="143"/>
  <c r="W251" i="143"/>
  <c r="W252" i="143"/>
  <c r="H37" i="142"/>
  <c r="H245" i="142"/>
  <c r="H181" i="142"/>
  <c r="H180" i="142"/>
  <c r="H179" i="142"/>
  <c r="H178" i="142"/>
  <c r="H144" i="142"/>
  <c r="H114" i="142"/>
  <c r="H112" i="142"/>
  <c r="H79" i="142"/>
  <c r="H78" i="142"/>
  <c r="H77" i="142"/>
  <c r="W86" i="143" l="1"/>
  <c r="P6" i="143" s="1"/>
  <c r="V221" i="143"/>
  <c r="O14" i="143" s="1"/>
  <c r="R14" i="143" s="1"/>
  <c r="V118" i="143"/>
  <c r="O8" i="143" s="1"/>
  <c r="R8" i="143" s="1"/>
  <c r="W118" i="143"/>
  <c r="P8" i="143" s="1"/>
  <c r="V253" i="143"/>
  <c r="O16" i="143" s="1"/>
  <c r="R16" i="143" s="1"/>
  <c r="W221" i="143"/>
  <c r="P14" i="143" s="1"/>
  <c r="Q14" i="143" s="1"/>
  <c r="V187" i="143"/>
  <c r="O12" i="143" s="1"/>
  <c r="R12" i="143" s="1"/>
  <c r="W187" i="143"/>
  <c r="P12" i="143" s="1"/>
  <c r="V153" i="143"/>
  <c r="O10" i="143" s="1"/>
  <c r="R10" i="143" s="1"/>
  <c r="V86" i="143"/>
  <c r="O6" i="143" s="1"/>
  <c r="R6" i="143" s="1"/>
  <c r="W253" i="143"/>
  <c r="P16" i="143" s="1"/>
  <c r="W37" i="143"/>
  <c r="W52" i="143" s="1"/>
  <c r="P4" i="143" s="1"/>
  <c r="V37" i="143"/>
  <c r="J52" i="143"/>
  <c r="W153" i="143"/>
  <c r="P10" i="143" s="1"/>
  <c r="V52" i="143"/>
  <c r="O4" i="143" s="1"/>
  <c r="I45" i="142"/>
  <c r="I44" i="142"/>
  <c r="I43" i="142"/>
  <c r="I42" i="142"/>
  <c r="I41" i="142"/>
  <c r="I40" i="142"/>
  <c r="I39" i="142"/>
  <c r="I38" i="142"/>
  <c r="I37" i="142"/>
  <c r="I36" i="142"/>
  <c r="Q8" i="143" l="1"/>
  <c r="Q10" i="143"/>
  <c r="Q6" i="143"/>
  <c r="P18" i="143"/>
  <c r="Q12" i="143"/>
  <c r="R4" i="143"/>
  <c r="O18" i="143"/>
  <c r="R18" i="143" s="1"/>
  <c r="P20" i="143" s="1"/>
  <c r="Q4" i="143"/>
  <c r="H244" i="142"/>
  <c r="I35" i="142"/>
  <c r="I34" i="142"/>
  <c r="Q18" i="143" l="1"/>
  <c r="H242" i="142"/>
  <c r="H241" i="142"/>
  <c r="H209" i="142"/>
  <c r="H208" i="142"/>
  <c r="H173" i="142"/>
  <c r="H74" i="142"/>
  <c r="I33" i="142"/>
  <c r="I32" i="142"/>
  <c r="I31" i="142"/>
  <c r="I30" i="142"/>
  <c r="I29" i="142"/>
  <c r="I28" i="142"/>
  <c r="H71" i="142" l="1"/>
  <c r="H240" i="142" l="1"/>
  <c r="H207" i="142"/>
  <c r="H172" i="142"/>
  <c r="H105" i="142"/>
  <c r="H27" i="142"/>
  <c r="I27" i="142"/>
  <c r="I26" i="142"/>
  <c r="I25" i="142" l="1"/>
  <c r="I24" i="142"/>
  <c r="I23" i="142"/>
  <c r="I22" i="142"/>
  <c r="I21" i="142"/>
  <c r="H20" i="142"/>
  <c r="I20" i="142"/>
  <c r="H19" i="142"/>
  <c r="I19" i="142"/>
  <c r="I18" i="142"/>
  <c r="H68" i="142"/>
  <c r="H66" i="142"/>
  <c r="H104" i="142"/>
  <c r="H103" i="142"/>
  <c r="H101" i="142"/>
  <c r="H137" i="142"/>
  <c r="H136" i="142"/>
  <c r="H169" i="142"/>
  <c r="H168" i="142"/>
  <c r="H235" i="142"/>
  <c r="H17" i="142" l="1"/>
  <c r="I17" i="142"/>
  <c r="I16" i="142"/>
  <c r="H100" i="142"/>
  <c r="J100" i="142" s="1"/>
  <c r="W100" i="142" s="1"/>
  <c r="H234" i="142"/>
  <c r="H233" i="142"/>
  <c r="H167" i="142"/>
  <c r="H166" i="142"/>
  <c r="J166" i="142" s="1"/>
  <c r="V166" i="142" s="1"/>
  <c r="H131" i="142"/>
  <c r="H99" i="142"/>
  <c r="I8" i="142"/>
  <c r="J8" i="142" s="1"/>
  <c r="W8" i="142" s="1"/>
  <c r="I9" i="142"/>
  <c r="J9" i="142" s="1"/>
  <c r="W9" i="142" s="1"/>
  <c r="I10" i="142"/>
  <c r="I11" i="142"/>
  <c r="J11" i="142" s="1"/>
  <c r="W11" i="142" s="1"/>
  <c r="I12" i="142"/>
  <c r="I13" i="142"/>
  <c r="I14" i="142"/>
  <c r="I15" i="142"/>
  <c r="J15" i="142" s="1"/>
  <c r="W15" i="142" s="1"/>
  <c r="H13" i="142"/>
  <c r="J13" i="142" s="1"/>
  <c r="V13" i="142" s="1"/>
  <c r="H97" i="142"/>
  <c r="J97" i="142" s="1"/>
  <c r="H232" i="142"/>
  <c r="H231" i="142"/>
  <c r="H163" i="142"/>
  <c r="H96" i="142"/>
  <c r="H62" i="142"/>
  <c r="H9" i="142"/>
  <c r="H128" i="142"/>
  <c r="J128" i="142" s="1"/>
  <c r="W128" i="142" s="1"/>
  <c r="H197" i="142"/>
  <c r="J197" i="142" s="1"/>
  <c r="W197" i="142" s="1"/>
  <c r="H230" i="142"/>
  <c r="H229" i="142"/>
  <c r="I6" i="142"/>
  <c r="J6" i="142"/>
  <c r="W6" i="142" s="1"/>
  <c r="I7" i="142"/>
  <c r="H49" i="130"/>
  <c r="J252" i="142"/>
  <c r="V252" i="142" s="1"/>
  <c r="J251" i="142"/>
  <c r="V251" i="142" s="1"/>
  <c r="J250" i="142"/>
  <c r="V250" i="142" s="1"/>
  <c r="J249" i="142"/>
  <c r="V249" i="142" s="1"/>
  <c r="J248" i="142"/>
  <c r="V248" i="142" s="1"/>
  <c r="J247" i="142"/>
  <c r="V247" i="142" s="1"/>
  <c r="J246" i="142"/>
  <c r="V246" i="142" s="1"/>
  <c r="J245" i="142"/>
  <c r="J244" i="142"/>
  <c r="W244" i="142" s="1"/>
  <c r="J243" i="142"/>
  <c r="V243" i="142" s="1"/>
  <c r="J242" i="142"/>
  <c r="W242" i="142" s="1"/>
  <c r="J241" i="142"/>
  <c r="W241" i="142" s="1"/>
  <c r="J240" i="142"/>
  <c r="V240" i="142" s="1"/>
  <c r="J239" i="142"/>
  <c r="V239" i="142" s="1"/>
  <c r="J238" i="142"/>
  <c r="J237" i="142"/>
  <c r="J236" i="142"/>
  <c r="J235" i="142"/>
  <c r="J234" i="142"/>
  <c r="J233" i="142"/>
  <c r="W233" i="142" s="1"/>
  <c r="J232" i="142"/>
  <c r="W232" i="142" s="1"/>
  <c r="J231" i="142"/>
  <c r="W231" i="142" s="1"/>
  <c r="J230" i="142"/>
  <c r="V230" i="142" s="1"/>
  <c r="B230" i="142"/>
  <c r="B231" i="142" s="1"/>
  <c r="B232" i="142" s="1"/>
  <c r="B233" i="142" s="1"/>
  <c r="B234" i="142" s="1"/>
  <c r="B235" i="142" s="1"/>
  <c r="B236" i="142" s="1"/>
  <c r="B237" i="142" s="1"/>
  <c r="B238" i="142" s="1"/>
  <c r="B239" i="142" s="1"/>
  <c r="B240" i="142" s="1"/>
  <c r="B241" i="142" s="1"/>
  <c r="B242" i="142" s="1"/>
  <c r="B243" i="142" s="1"/>
  <c r="B244" i="142" s="1"/>
  <c r="B245" i="142" s="1"/>
  <c r="B246" i="142" s="1"/>
  <c r="B247" i="142" s="1"/>
  <c r="B248" i="142" s="1"/>
  <c r="B249" i="142" s="1"/>
  <c r="B250" i="142" s="1"/>
  <c r="B251" i="142" s="1"/>
  <c r="B252" i="142" s="1"/>
  <c r="J229" i="142"/>
  <c r="W220" i="142"/>
  <c r="J220" i="142"/>
  <c r="V220" i="142" s="1"/>
  <c r="J219" i="142"/>
  <c r="W219" i="142" s="1"/>
  <c r="J218" i="142"/>
  <c r="J217" i="142"/>
  <c r="V217" i="142" s="1"/>
  <c r="J216" i="142"/>
  <c r="W216" i="142" s="1"/>
  <c r="J215" i="142"/>
  <c r="W215" i="142" s="1"/>
  <c r="J214" i="142"/>
  <c r="W214" i="142" s="1"/>
  <c r="J213" i="142"/>
  <c r="V213" i="142" s="1"/>
  <c r="J212" i="142"/>
  <c r="J211" i="142"/>
  <c r="J210" i="142"/>
  <c r="W210" i="142" s="1"/>
  <c r="J209" i="142"/>
  <c r="W209" i="142" s="1"/>
  <c r="J208" i="142"/>
  <c r="W208" i="142" s="1"/>
  <c r="J207" i="142"/>
  <c r="W207" i="142" s="1"/>
  <c r="J206" i="142"/>
  <c r="W206" i="142" s="1"/>
  <c r="J205" i="142"/>
  <c r="W205" i="142" s="1"/>
  <c r="J204" i="142"/>
  <c r="W204" i="142" s="1"/>
  <c r="J203" i="142"/>
  <c r="W203" i="142" s="1"/>
  <c r="J202" i="142"/>
  <c r="W202" i="142" s="1"/>
  <c r="J201" i="142"/>
  <c r="W201" i="142" s="1"/>
  <c r="J200" i="142"/>
  <c r="W200" i="142" s="1"/>
  <c r="J199" i="142"/>
  <c r="W199" i="142" s="1"/>
  <c r="J198" i="142"/>
  <c r="W198" i="142" s="1"/>
  <c r="J196" i="142"/>
  <c r="W196" i="142" s="1"/>
  <c r="B196" i="142"/>
  <c r="B197" i="142" s="1"/>
  <c r="B198" i="142" s="1"/>
  <c r="B199" i="142" s="1"/>
  <c r="B200" i="142" s="1"/>
  <c r="B201" i="142" s="1"/>
  <c r="B202" i="142" s="1"/>
  <c r="B203" i="142" s="1"/>
  <c r="B204" i="142" s="1"/>
  <c r="B205" i="142" s="1"/>
  <c r="B206" i="142" s="1"/>
  <c r="B207" i="142" s="1"/>
  <c r="B208" i="142" s="1"/>
  <c r="B209" i="142" s="1"/>
  <c r="B210" i="142" s="1"/>
  <c r="B211" i="142" s="1"/>
  <c r="B212" i="142" s="1"/>
  <c r="B213" i="142" s="1"/>
  <c r="B214" i="142" s="1"/>
  <c r="B215" i="142" s="1"/>
  <c r="B216" i="142" s="1"/>
  <c r="J195" i="142"/>
  <c r="W186" i="142"/>
  <c r="V186" i="142"/>
  <c r="J186" i="142"/>
  <c r="J185" i="142"/>
  <c r="W185" i="142" s="1"/>
  <c r="J184" i="142"/>
  <c r="W184" i="142" s="1"/>
  <c r="J183" i="142"/>
  <c r="W183" i="142" s="1"/>
  <c r="J182" i="142"/>
  <c r="V182" i="142" s="1"/>
  <c r="J181" i="142"/>
  <c r="V181" i="142" s="1"/>
  <c r="J180" i="142"/>
  <c r="W180" i="142" s="1"/>
  <c r="J179" i="142"/>
  <c r="W179" i="142" s="1"/>
  <c r="J178" i="142"/>
  <c r="V178" i="142" s="1"/>
  <c r="J177" i="142"/>
  <c r="V177" i="142" s="1"/>
  <c r="J176" i="142"/>
  <c r="V176" i="142" s="1"/>
  <c r="J175" i="142"/>
  <c r="V175" i="142" s="1"/>
  <c r="J174" i="142"/>
  <c r="V174" i="142" s="1"/>
  <c r="J173" i="142"/>
  <c r="W173" i="142" s="1"/>
  <c r="J172" i="142"/>
  <c r="W172" i="142" s="1"/>
  <c r="J171" i="142"/>
  <c r="W171" i="142" s="1"/>
  <c r="J170" i="142"/>
  <c r="V170" i="142" s="1"/>
  <c r="J169" i="142"/>
  <c r="W169" i="142" s="1"/>
  <c r="J168" i="142"/>
  <c r="W168" i="142" s="1"/>
  <c r="J167" i="142"/>
  <c r="W167" i="142" s="1"/>
  <c r="J165" i="142"/>
  <c r="W165" i="142" s="1"/>
  <c r="J164" i="142"/>
  <c r="W164" i="142" s="1"/>
  <c r="J163" i="142"/>
  <c r="W163" i="142" s="1"/>
  <c r="J162" i="142"/>
  <c r="W162" i="142" s="1"/>
  <c r="B162" i="142"/>
  <c r="B163" i="142" s="1"/>
  <c r="B164" i="142" s="1"/>
  <c r="B165" i="142" s="1"/>
  <c r="B166" i="142" s="1"/>
  <c r="B167" i="142" s="1"/>
  <c r="B168" i="142" s="1"/>
  <c r="B169" i="142" s="1"/>
  <c r="B170" i="142" s="1"/>
  <c r="B171" i="142" s="1"/>
  <c r="B172" i="142" s="1"/>
  <c r="B173" i="142" s="1"/>
  <c r="B174" i="142" s="1"/>
  <c r="B175" i="142" s="1"/>
  <c r="B176" i="142" s="1"/>
  <c r="B177" i="142" s="1"/>
  <c r="B178" i="142" s="1"/>
  <c r="B179" i="142" s="1"/>
  <c r="B180" i="142" s="1"/>
  <c r="B181" i="142" s="1"/>
  <c r="B182" i="142" s="1"/>
  <c r="B183" i="142" s="1"/>
  <c r="B184" i="142" s="1"/>
  <c r="B185" i="142" s="1"/>
  <c r="B186" i="142" s="1"/>
  <c r="J161" i="142"/>
  <c r="W161" i="142" s="1"/>
  <c r="W152" i="142"/>
  <c r="J152" i="142"/>
  <c r="V152" i="142" s="1"/>
  <c r="J151" i="142"/>
  <c r="W151" i="142" s="1"/>
  <c r="J150" i="142"/>
  <c r="V150" i="142" s="1"/>
  <c r="J149" i="142"/>
  <c r="W149" i="142" s="1"/>
  <c r="J148" i="142"/>
  <c r="W148" i="142" s="1"/>
  <c r="J147" i="142"/>
  <c r="W147" i="142" s="1"/>
  <c r="J146" i="142"/>
  <c r="V146" i="142" s="1"/>
  <c r="J145" i="142"/>
  <c r="W145" i="142" s="1"/>
  <c r="J144" i="142"/>
  <c r="W144" i="142" s="1"/>
  <c r="J143" i="142"/>
  <c r="W143" i="142" s="1"/>
  <c r="J142" i="142"/>
  <c r="V142" i="142" s="1"/>
  <c r="J141" i="142"/>
  <c r="W141" i="142" s="1"/>
  <c r="J140" i="142"/>
  <c r="W140" i="142" s="1"/>
  <c r="J139" i="142"/>
  <c r="W139" i="142" s="1"/>
  <c r="J138" i="142"/>
  <c r="V138" i="142" s="1"/>
  <c r="J137" i="142"/>
  <c r="W137" i="142" s="1"/>
  <c r="J136" i="142"/>
  <c r="W136" i="142" s="1"/>
  <c r="J135" i="142"/>
  <c r="W135" i="142" s="1"/>
  <c r="J134" i="142"/>
  <c r="W134" i="142" s="1"/>
  <c r="J133" i="142"/>
  <c r="W133" i="142" s="1"/>
  <c r="J132" i="142"/>
  <c r="W132" i="142" s="1"/>
  <c r="J131" i="142"/>
  <c r="W131" i="142" s="1"/>
  <c r="J130" i="142"/>
  <c r="W130" i="142" s="1"/>
  <c r="J129" i="142"/>
  <c r="W129" i="142" s="1"/>
  <c r="J127" i="142"/>
  <c r="W127" i="142" s="1"/>
  <c r="B127" i="142"/>
  <c r="B128" i="142" s="1"/>
  <c r="B129" i="142" s="1"/>
  <c r="B130" i="142" s="1"/>
  <c r="B131" i="142" s="1"/>
  <c r="B132" i="142" s="1"/>
  <c r="B133" i="142" s="1"/>
  <c r="B134" i="142" s="1"/>
  <c r="B135" i="142" s="1"/>
  <c r="B136" i="142" s="1"/>
  <c r="B137" i="142" s="1"/>
  <c r="B138" i="142" s="1"/>
  <c r="B139" i="142" s="1"/>
  <c r="B140" i="142" s="1"/>
  <c r="B141" i="142" s="1"/>
  <c r="B142" i="142" s="1"/>
  <c r="B143" i="142" s="1"/>
  <c r="B144" i="142" s="1"/>
  <c r="B145" i="142" s="1"/>
  <c r="B146" i="142" s="1"/>
  <c r="B147" i="142" s="1"/>
  <c r="B148" i="142" s="1"/>
  <c r="B149" i="142" s="1"/>
  <c r="B150" i="142" s="1"/>
  <c r="B151" i="142" s="1"/>
  <c r="B152" i="142" s="1"/>
  <c r="J126" i="142"/>
  <c r="W126" i="142" s="1"/>
  <c r="J117" i="142"/>
  <c r="J116" i="142"/>
  <c r="W116" i="142" s="1"/>
  <c r="J115" i="142"/>
  <c r="V115" i="142" s="1"/>
  <c r="J114" i="142"/>
  <c r="V114" i="142" s="1"/>
  <c r="J113" i="142"/>
  <c r="V113" i="142" s="1"/>
  <c r="J112" i="142"/>
  <c r="J111" i="142"/>
  <c r="J110" i="142"/>
  <c r="J109" i="142"/>
  <c r="J108" i="142"/>
  <c r="J107" i="142"/>
  <c r="W107" i="142" s="1"/>
  <c r="J106" i="142"/>
  <c r="W106" i="142" s="1"/>
  <c r="J105" i="142"/>
  <c r="W105" i="142" s="1"/>
  <c r="J104" i="142"/>
  <c r="W104" i="142" s="1"/>
  <c r="J103" i="142"/>
  <c r="W103" i="142" s="1"/>
  <c r="J102" i="142"/>
  <c r="V102" i="142" s="1"/>
  <c r="J101" i="142"/>
  <c r="W101" i="142" s="1"/>
  <c r="J99" i="142"/>
  <c r="W99" i="142" s="1"/>
  <c r="J98" i="142"/>
  <c r="W98" i="142" s="1"/>
  <c r="J96" i="142"/>
  <c r="W96" i="142" s="1"/>
  <c r="J95" i="142"/>
  <c r="B95" i="142"/>
  <c r="B96" i="142" s="1"/>
  <c r="B97" i="142" s="1"/>
  <c r="B98" i="142" s="1"/>
  <c r="B99" i="142" s="1"/>
  <c r="B100" i="142" s="1"/>
  <c r="B101" i="142" s="1"/>
  <c r="B102" i="142" s="1"/>
  <c r="B103" i="142" s="1"/>
  <c r="B104" i="142" s="1"/>
  <c r="B105" i="142" s="1"/>
  <c r="B106" i="142" s="1"/>
  <c r="B107" i="142" s="1"/>
  <c r="B108" i="142" s="1"/>
  <c r="B109" i="142" s="1"/>
  <c r="B110" i="142" s="1"/>
  <c r="B111" i="142" s="1"/>
  <c r="B112" i="142" s="1"/>
  <c r="B113" i="142" s="1"/>
  <c r="B114" i="142" s="1"/>
  <c r="B115" i="142" s="1"/>
  <c r="J94" i="142"/>
  <c r="J85" i="142"/>
  <c r="W85" i="142" s="1"/>
  <c r="J84" i="142"/>
  <c r="J83" i="142"/>
  <c r="J82" i="142"/>
  <c r="J81" i="142"/>
  <c r="J80" i="142"/>
  <c r="J79" i="142"/>
  <c r="J78" i="142"/>
  <c r="J77" i="142"/>
  <c r="J76" i="142"/>
  <c r="W76" i="142" s="1"/>
  <c r="J75" i="142"/>
  <c r="V75" i="142" s="1"/>
  <c r="J74" i="142"/>
  <c r="J73" i="142"/>
  <c r="J72" i="142"/>
  <c r="W72" i="142" s="1"/>
  <c r="J71" i="142"/>
  <c r="W71" i="142" s="1"/>
  <c r="J70" i="142"/>
  <c r="V70" i="142" s="1"/>
  <c r="J69" i="142"/>
  <c r="V69" i="142" s="1"/>
  <c r="J68" i="142"/>
  <c r="V68" i="142" s="1"/>
  <c r="J67" i="142"/>
  <c r="V67" i="142" s="1"/>
  <c r="J66" i="142"/>
  <c r="J65" i="142"/>
  <c r="J64" i="142"/>
  <c r="J63" i="142"/>
  <c r="W63" i="142" s="1"/>
  <c r="J62" i="142"/>
  <c r="W62" i="142" s="1"/>
  <c r="B62" i="142"/>
  <c r="B63" i="142" s="1"/>
  <c r="B64" i="142" s="1"/>
  <c r="B65" i="142" s="1"/>
  <c r="B66" i="142" s="1"/>
  <c r="B67" i="142" s="1"/>
  <c r="B68" i="142" s="1"/>
  <c r="B69" i="142" s="1"/>
  <c r="B70" i="142" s="1"/>
  <c r="B71" i="142" s="1"/>
  <c r="B72" i="142" s="1"/>
  <c r="B73" i="142" s="1"/>
  <c r="B74" i="142" s="1"/>
  <c r="B75" i="142" s="1"/>
  <c r="B76" i="142" s="1"/>
  <c r="B77" i="142" s="1"/>
  <c r="B78" i="142" s="1"/>
  <c r="B79" i="142" s="1"/>
  <c r="B80" i="142" s="1"/>
  <c r="B81" i="142" s="1"/>
  <c r="B82" i="142" s="1"/>
  <c r="J61" i="142"/>
  <c r="W61" i="142" s="1"/>
  <c r="B61" i="142"/>
  <c r="J60" i="142"/>
  <c r="V60" i="142" s="1"/>
  <c r="W51" i="142"/>
  <c r="V51" i="142"/>
  <c r="W50" i="142"/>
  <c r="V50" i="142"/>
  <c r="W49" i="142"/>
  <c r="V49" i="142"/>
  <c r="J48" i="142"/>
  <c r="W48" i="142" s="1"/>
  <c r="J47" i="142"/>
  <c r="J46" i="142"/>
  <c r="J45" i="142"/>
  <c r="V45" i="142" s="1"/>
  <c r="J44" i="142"/>
  <c r="J43" i="142"/>
  <c r="J42" i="142"/>
  <c r="V42" i="142" s="1"/>
  <c r="J41" i="142"/>
  <c r="W41" i="142" s="1"/>
  <c r="J40" i="142"/>
  <c r="V40" i="142" s="1"/>
  <c r="J39" i="142"/>
  <c r="W39" i="142" s="1"/>
  <c r="J38" i="142"/>
  <c r="W38" i="142" s="1"/>
  <c r="J37" i="142"/>
  <c r="J36" i="142"/>
  <c r="W36" i="142" s="1"/>
  <c r="J35" i="142"/>
  <c r="J34" i="142"/>
  <c r="W34" i="142" s="1"/>
  <c r="V33" i="142"/>
  <c r="J33" i="142"/>
  <c r="W33" i="142" s="1"/>
  <c r="J32" i="142"/>
  <c r="V32" i="142" s="1"/>
  <c r="J31" i="142"/>
  <c r="J30" i="142"/>
  <c r="V30" i="142" s="1"/>
  <c r="J29" i="142"/>
  <c r="V29" i="142" s="1"/>
  <c r="J28" i="142"/>
  <c r="V28" i="142" s="1"/>
  <c r="J27" i="142"/>
  <c r="V27" i="142" s="1"/>
  <c r="J26" i="142"/>
  <c r="V26" i="142" s="1"/>
  <c r="J25" i="142"/>
  <c r="V25" i="142" s="1"/>
  <c r="J24" i="142"/>
  <c r="V24" i="142" s="1"/>
  <c r="J23" i="142"/>
  <c r="V23" i="142" s="1"/>
  <c r="J22" i="142"/>
  <c r="V22" i="142" s="1"/>
  <c r="J21" i="142"/>
  <c r="V21" i="142" s="1"/>
  <c r="J20" i="142"/>
  <c r="W20" i="142" s="1"/>
  <c r="J19" i="142"/>
  <c r="W19" i="142" s="1"/>
  <c r="J18" i="142"/>
  <c r="W18" i="142" s="1"/>
  <c r="J17" i="142"/>
  <c r="V17" i="142" s="1"/>
  <c r="N16" i="142"/>
  <c r="J16" i="142"/>
  <c r="W16" i="142" s="1"/>
  <c r="N14" i="142"/>
  <c r="J14" i="142"/>
  <c r="W14" i="142" s="1"/>
  <c r="N12" i="142"/>
  <c r="J12" i="142"/>
  <c r="V12" i="142" s="1"/>
  <c r="N10" i="142"/>
  <c r="J10" i="142"/>
  <c r="V10" i="142" s="1"/>
  <c r="N8" i="142"/>
  <c r="J7" i="142"/>
  <c r="V7" i="142" s="1"/>
  <c r="B7" i="142"/>
  <c r="B8" i="142" s="1"/>
  <c r="B9" i="142" s="1"/>
  <c r="B10" i="142" s="1"/>
  <c r="B11" i="142" s="1"/>
  <c r="B12" i="142" s="1"/>
  <c r="B13" i="142" s="1"/>
  <c r="B14" i="142" s="1"/>
  <c r="B15" i="142" s="1"/>
  <c r="B16" i="142" s="1"/>
  <c r="B17" i="142" s="1"/>
  <c r="B18" i="142" s="1"/>
  <c r="B19" i="142" s="1"/>
  <c r="B20" i="142" s="1"/>
  <c r="B21" i="142" s="1"/>
  <c r="B22" i="142" s="1"/>
  <c r="B23" i="142" s="1"/>
  <c r="B24" i="142" s="1"/>
  <c r="B25" i="142" s="1"/>
  <c r="B26" i="142" s="1"/>
  <c r="B27" i="142" s="1"/>
  <c r="B28" i="142" s="1"/>
  <c r="B29" i="142" s="1"/>
  <c r="B30" i="142" s="1"/>
  <c r="B31" i="142" s="1"/>
  <c r="B32" i="142" s="1"/>
  <c r="B33" i="142" s="1"/>
  <c r="B34" i="142" s="1"/>
  <c r="B35" i="142" s="1"/>
  <c r="B36" i="142" s="1"/>
  <c r="B37" i="142" s="1"/>
  <c r="B38" i="142" s="1"/>
  <c r="B39" i="142" s="1"/>
  <c r="B40" i="142" s="1"/>
  <c r="B41" i="142" s="1"/>
  <c r="B42" i="142" s="1"/>
  <c r="B43" i="142" s="1"/>
  <c r="B44" i="142" s="1"/>
  <c r="B45" i="142" s="1"/>
  <c r="B46" i="142" s="1"/>
  <c r="B47" i="142" s="1"/>
  <c r="B48" i="142" s="1"/>
  <c r="B49" i="142" s="1"/>
  <c r="B50" i="142" s="1"/>
  <c r="B51" i="142" s="1"/>
  <c r="N6" i="142"/>
  <c r="N4" i="142"/>
  <c r="W97" i="142" l="1"/>
  <c r="V97" i="142"/>
  <c r="W68" i="142"/>
  <c r="W182" i="142"/>
  <c r="V185" i="142"/>
  <c r="W114" i="142"/>
  <c r="V116" i="142"/>
  <c r="V216" i="142"/>
  <c r="V219" i="142"/>
  <c r="V85" i="142"/>
  <c r="V101" i="142"/>
  <c r="V104" i="142"/>
  <c r="W181" i="142"/>
  <c r="W217" i="142"/>
  <c r="V214" i="142"/>
  <c r="W177" i="142"/>
  <c r="W146" i="142"/>
  <c r="W142" i="142"/>
  <c r="W243" i="142"/>
  <c r="V242" i="142"/>
  <c r="V139" i="142"/>
  <c r="V106" i="142"/>
  <c r="W70" i="142"/>
  <c r="W240" i="142"/>
  <c r="V105" i="142"/>
  <c r="V20" i="142"/>
  <c r="W69" i="142"/>
  <c r="W67" i="142"/>
  <c r="V169" i="142"/>
  <c r="V99" i="142"/>
  <c r="V232" i="142"/>
  <c r="V61" i="142"/>
  <c r="W230" i="142"/>
  <c r="W17" i="142"/>
  <c r="V231" i="142"/>
  <c r="V241" i="142"/>
  <c r="V233" i="142"/>
  <c r="V196" i="142"/>
  <c r="V198" i="142"/>
  <c r="V200" i="142"/>
  <c r="V202" i="142"/>
  <c r="V204" i="142"/>
  <c r="V206" i="142"/>
  <c r="V208" i="142"/>
  <c r="V210" i="142"/>
  <c r="V215" i="142"/>
  <c r="V197" i="142"/>
  <c r="V199" i="142"/>
  <c r="V201" i="142"/>
  <c r="V203" i="142"/>
  <c r="V205" i="142"/>
  <c r="V207" i="142"/>
  <c r="V209" i="142"/>
  <c r="V180" i="142"/>
  <c r="V184" i="142"/>
  <c r="V162" i="142"/>
  <c r="W170" i="142"/>
  <c r="V183" i="142"/>
  <c r="V164" i="142"/>
  <c r="V167" i="142"/>
  <c r="V172" i="142"/>
  <c r="W175" i="142"/>
  <c r="V179" i="142"/>
  <c r="V126" i="142"/>
  <c r="V130" i="142"/>
  <c r="V134" i="142"/>
  <c r="V145" i="142"/>
  <c r="V141" i="142"/>
  <c r="V143" i="142"/>
  <c r="V148" i="142"/>
  <c r="V151" i="142"/>
  <c r="V128" i="142"/>
  <c r="V132" i="142"/>
  <c r="V136" i="142"/>
  <c r="W138" i="142"/>
  <c r="V127" i="142"/>
  <c r="V129" i="142"/>
  <c r="V131" i="142"/>
  <c r="V133" i="142"/>
  <c r="V135" i="142"/>
  <c r="V137" i="142"/>
  <c r="V96" i="142"/>
  <c r="V98" i="142"/>
  <c r="V100" i="142"/>
  <c r="W102" i="142"/>
  <c r="V107" i="142"/>
  <c r="W113" i="142"/>
  <c r="W115" i="142"/>
  <c r="N18" i="142"/>
  <c r="W60" i="142"/>
  <c r="V63" i="142"/>
  <c r="V76" i="142"/>
  <c r="V62" i="142"/>
  <c r="V72" i="142"/>
  <c r="W75" i="142"/>
  <c r="V39" i="142"/>
  <c r="V18" i="142"/>
  <c r="W32" i="142"/>
  <c r="V38" i="142"/>
  <c r="V19" i="142"/>
  <c r="V41" i="142"/>
  <c r="W40" i="142"/>
  <c r="W42" i="142"/>
  <c r="W45" i="142"/>
  <c r="V48" i="142"/>
  <c r="V11" i="142"/>
  <c r="W12" i="142"/>
  <c r="W13" i="142"/>
  <c r="V15" i="142"/>
  <c r="V16" i="142"/>
  <c r="V6" i="142"/>
  <c r="V14" i="142"/>
  <c r="W31" i="142"/>
  <c r="V31" i="142"/>
  <c r="W37" i="142"/>
  <c r="V37" i="142"/>
  <c r="W35" i="142"/>
  <c r="V35" i="142"/>
  <c r="W10" i="142"/>
  <c r="W21" i="142"/>
  <c r="W22" i="142"/>
  <c r="W23" i="142"/>
  <c r="W24" i="142"/>
  <c r="W25" i="142"/>
  <c r="W26" i="142"/>
  <c r="W27" i="142"/>
  <c r="W28" i="142"/>
  <c r="W29" i="142"/>
  <c r="W30" i="142"/>
  <c r="V34" i="142"/>
  <c r="V36" i="142"/>
  <c r="W43" i="142"/>
  <c r="V43" i="142"/>
  <c r="W46" i="142"/>
  <c r="V46" i="142"/>
  <c r="W74" i="142"/>
  <c r="V74" i="142"/>
  <c r="W77" i="142"/>
  <c r="V77" i="142"/>
  <c r="J86" i="142"/>
  <c r="W95" i="142"/>
  <c r="V95" i="142"/>
  <c r="V103" i="142"/>
  <c r="W110" i="142"/>
  <c r="V110" i="142"/>
  <c r="W44" i="142"/>
  <c r="V44" i="142"/>
  <c r="W47" i="142"/>
  <c r="V47" i="142"/>
  <c r="W64" i="142"/>
  <c r="V64" i="142"/>
  <c r="W78" i="142"/>
  <c r="V78" i="142"/>
  <c r="W111" i="142"/>
  <c r="V111" i="142"/>
  <c r="W117" i="142"/>
  <c r="V117" i="142"/>
  <c r="W7" i="142"/>
  <c r="V8" i="142"/>
  <c r="V9" i="142"/>
  <c r="W65" i="142"/>
  <c r="V65" i="142"/>
  <c r="W79" i="142"/>
  <c r="V79" i="142"/>
  <c r="W94" i="142"/>
  <c r="V94" i="142"/>
  <c r="W108" i="142"/>
  <c r="V108" i="142"/>
  <c r="W112" i="142"/>
  <c r="V112" i="142"/>
  <c r="J118" i="142"/>
  <c r="J52" i="142"/>
  <c r="W66" i="142"/>
  <c r="V66" i="142"/>
  <c r="V71" i="142"/>
  <c r="W73" i="142"/>
  <c r="V73" i="142"/>
  <c r="W80" i="142"/>
  <c r="V80" i="142"/>
  <c r="W82" i="142"/>
  <c r="V82" i="142"/>
  <c r="W109" i="142"/>
  <c r="V109" i="142"/>
  <c r="J221" i="142"/>
  <c r="W195" i="142"/>
  <c r="V212" i="142"/>
  <c r="W212" i="142"/>
  <c r="V234" i="142"/>
  <c r="W234" i="142"/>
  <c r="V236" i="142"/>
  <c r="W236" i="142"/>
  <c r="V238" i="142"/>
  <c r="W238" i="142"/>
  <c r="V245" i="142"/>
  <c r="W245" i="142"/>
  <c r="V140" i="142"/>
  <c r="V144" i="142"/>
  <c r="V149" i="142"/>
  <c r="W150" i="142"/>
  <c r="W153" i="142" s="1"/>
  <c r="P10" i="142" s="1"/>
  <c r="V161" i="142"/>
  <c r="V165" i="142"/>
  <c r="W166" i="142"/>
  <c r="V168" i="142"/>
  <c r="V173" i="142"/>
  <c r="W174" i="142"/>
  <c r="W178" i="142"/>
  <c r="V195" i="142"/>
  <c r="V229" i="142"/>
  <c r="J253" i="142"/>
  <c r="W229" i="142"/>
  <c r="J153" i="142"/>
  <c r="J187" i="142"/>
  <c r="V211" i="142"/>
  <c r="W211" i="142"/>
  <c r="V218" i="142"/>
  <c r="W218" i="142"/>
  <c r="V235" i="142"/>
  <c r="W235" i="142"/>
  <c r="V237" i="142"/>
  <c r="W237" i="142"/>
  <c r="V147" i="142"/>
  <c r="V163" i="142"/>
  <c r="V171" i="142"/>
  <c r="W176" i="142"/>
  <c r="W213" i="142"/>
  <c r="W239" i="142"/>
  <c r="W246" i="142"/>
  <c r="W247" i="142"/>
  <c r="W248" i="142"/>
  <c r="W249" i="142"/>
  <c r="W250" i="142"/>
  <c r="W251" i="142"/>
  <c r="W252" i="142"/>
  <c r="V244" i="142"/>
  <c r="H214" i="141"/>
  <c r="J184" i="141"/>
  <c r="V184" i="141" s="1"/>
  <c r="J182" i="141"/>
  <c r="V182" i="141" s="1"/>
  <c r="J181" i="141"/>
  <c r="V181" i="141" s="1"/>
  <c r="V52" i="142" l="1"/>
  <c r="O4" i="142" s="1"/>
  <c r="R4" i="142" s="1"/>
  <c r="V153" i="142"/>
  <c r="O10" i="142" s="1"/>
  <c r="Q10" i="142" s="1"/>
  <c r="W187" i="142"/>
  <c r="P12" i="142" s="1"/>
  <c r="V86" i="142"/>
  <c r="O6" i="142" s="1"/>
  <c r="R6" i="142" s="1"/>
  <c r="W86" i="142"/>
  <c r="P6" i="142" s="1"/>
  <c r="W52" i="142"/>
  <c r="P4" i="142" s="1"/>
  <c r="W221" i="142"/>
  <c r="P14" i="142" s="1"/>
  <c r="V187" i="142"/>
  <c r="O12" i="142" s="1"/>
  <c r="V118" i="142"/>
  <c r="O8" i="142" s="1"/>
  <c r="V253" i="142"/>
  <c r="O16" i="142" s="1"/>
  <c r="R16" i="142" s="1"/>
  <c r="V221" i="142"/>
  <c r="O14" i="142" s="1"/>
  <c r="W118" i="142"/>
  <c r="P8" i="142" s="1"/>
  <c r="W253" i="142"/>
  <c r="P16" i="142" s="1"/>
  <c r="W184" i="141"/>
  <c r="W181" i="141"/>
  <c r="W182" i="141"/>
  <c r="H43" i="141"/>
  <c r="Q4" i="142" l="1"/>
  <c r="R10" i="142"/>
  <c r="Q6" i="142"/>
  <c r="O18" i="142"/>
  <c r="R18" i="142" s="1"/>
  <c r="P20" i="142" s="1"/>
  <c r="P18" i="142"/>
  <c r="R8" i="142"/>
  <c r="Q8" i="142"/>
  <c r="R12" i="142"/>
  <c r="Q12" i="142"/>
  <c r="R14" i="142"/>
  <c r="Q14" i="142"/>
  <c r="H151" i="141"/>
  <c r="H150" i="141"/>
  <c r="J150" i="141"/>
  <c r="V150" i="141" s="1"/>
  <c r="J151" i="141"/>
  <c r="V151" i="141" s="1"/>
  <c r="H147" i="141"/>
  <c r="H117" i="141"/>
  <c r="J116" i="141"/>
  <c r="V116" i="141" s="1"/>
  <c r="H80" i="141"/>
  <c r="H81" i="141"/>
  <c r="H48" i="141"/>
  <c r="J48" i="141" s="1"/>
  <c r="I48" i="141"/>
  <c r="I47" i="141"/>
  <c r="J47" i="141" s="1"/>
  <c r="H46" i="141"/>
  <c r="I46" i="141"/>
  <c r="J46" i="141" s="1"/>
  <c r="I45" i="141"/>
  <c r="I44" i="141"/>
  <c r="I43" i="141"/>
  <c r="I42" i="141"/>
  <c r="I41" i="141"/>
  <c r="W151" i="141" l="1"/>
  <c r="Q18" i="142"/>
  <c r="W150" i="141"/>
  <c r="W116" i="141"/>
  <c r="H213" i="141"/>
  <c r="H179" i="141"/>
  <c r="H174" i="141"/>
  <c r="H113" i="141"/>
  <c r="H112" i="141"/>
  <c r="H108" i="141"/>
  <c r="I40" i="141"/>
  <c r="I39" i="141"/>
  <c r="H77" i="141"/>
  <c r="H76" i="141"/>
  <c r="H75" i="141"/>
  <c r="H74" i="141"/>
  <c r="H73" i="141"/>
  <c r="I33" i="141"/>
  <c r="I34" i="141"/>
  <c r="I35" i="141"/>
  <c r="I36" i="141"/>
  <c r="I37" i="141"/>
  <c r="I38" i="141"/>
  <c r="I32" i="141"/>
  <c r="I31" i="141"/>
  <c r="I47" i="138"/>
  <c r="J47" i="138" s="1"/>
  <c r="H36" i="141"/>
  <c r="H35" i="141"/>
  <c r="H31" i="141"/>
  <c r="J31" i="141" l="1"/>
  <c r="H245" i="141"/>
  <c r="H244" i="141"/>
  <c r="H211" i="141"/>
  <c r="H240" i="141" l="1"/>
  <c r="H239" i="141"/>
  <c r="H234" i="141"/>
  <c r="H232" i="141"/>
  <c r="H231" i="141"/>
  <c r="H230" i="141"/>
  <c r="H171" i="141"/>
  <c r="H168" i="141"/>
  <c r="H167" i="141"/>
  <c r="H166" i="141"/>
  <c r="H103" i="141"/>
  <c r="H102" i="141"/>
  <c r="H95" i="141"/>
  <c r="H94" i="141"/>
  <c r="H71" i="141"/>
  <c r="H67" i="141"/>
  <c r="H66" i="141"/>
  <c r="H64" i="141"/>
  <c r="H61" i="141"/>
  <c r="J252" i="141" l="1"/>
  <c r="W252" i="141" s="1"/>
  <c r="J251" i="141"/>
  <c r="W251" i="141" s="1"/>
  <c r="J250" i="141"/>
  <c r="W250" i="141" s="1"/>
  <c r="J249" i="141"/>
  <c r="J248" i="141"/>
  <c r="V248" i="141" s="1"/>
  <c r="J247" i="141"/>
  <c r="J246" i="141"/>
  <c r="V246" i="141" s="1"/>
  <c r="J245" i="141"/>
  <c r="J244" i="141"/>
  <c r="V244" i="141" s="1"/>
  <c r="J243" i="141"/>
  <c r="V243" i="141" s="1"/>
  <c r="J242" i="141"/>
  <c r="W242" i="141" s="1"/>
  <c r="J241" i="141"/>
  <c r="J240" i="141"/>
  <c r="W240" i="141" s="1"/>
  <c r="J239" i="141"/>
  <c r="W239" i="141" s="1"/>
  <c r="J238" i="141"/>
  <c r="W238" i="141" s="1"/>
  <c r="J237" i="141"/>
  <c r="J236" i="141"/>
  <c r="W236" i="141" s="1"/>
  <c r="J235" i="141"/>
  <c r="J234" i="141"/>
  <c r="J233" i="141"/>
  <c r="W233" i="141" s="1"/>
  <c r="J232" i="141"/>
  <c r="W232" i="141" s="1"/>
  <c r="J231" i="141"/>
  <c r="W231" i="141" s="1"/>
  <c r="J230" i="141"/>
  <c r="V230" i="141" s="1"/>
  <c r="B230" i="141"/>
  <c r="B231" i="141" s="1"/>
  <c r="B232" i="141" s="1"/>
  <c r="B233" i="141" s="1"/>
  <c r="B234" i="141" s="1"/>
  <c r="B235" i="141" s="1"/>
  <c r="B236" i="141" s="1"/>
  <c r="B237" i="141" s="1"/>
  <c r="B238" i="141" s="1"/>
  <c r="B239" i="141" s="1"/>
  <c r="B240" i="141" s="1"/>
  <c r="B241" i="141" s="1"/>
  <c r="B242" i="141" s="1"/>
  <c r="B243" i="141" s="1"/>
  <c r="B244" i="141" s="1"/>
  <c r="B245" i="141" s="1"/>
  <c r="B246" i="141" s="1"/>
  <c r="B247" i="141" s="1"/>
  <c r="B248" i="141" s="1"/>
  <c r="B249" i="141" s="1"/>
  <c r="B250" i="141" s="1"/>
  <c r="B251" i="141" s="1"/>
  <c r="B252" i="141" s="1"/>
  <c r="W229" i="141"/>
  <c r="J229" i="141"/>
  <c r="V229" i="141" s="1"/>
  <c r="J220" i="141"/>
  <c r="J219" i="141"/>
  <c r="V218" i="141"/>
  <c r="J218" i="141"/>
  <c r="W218" i="141" s="1"/>
  <c r="J217" i="141"/>
  <c r="V217" i="141" s="1"/>
  <c r="J216" i="141"/>
  <c r="W216" i="141" s="1"/>
  <c r="J215" i="141"/>
  <c r="W215" i="141" s="1"/>
  <c r="J214" i="141"/>
  <c r="W214" i="141" s="1"/>
  <c r="J213" i="141"/>
  <c r="W213" i="141" s="1"/>
  <c r="J212" i="141"/>
  <c r="W212" i="141" s="1"/>
  <c r="J211" i="141"/>
  <c r="W211" i="141" s="1"/>
  <c r="J210" i="141"/>
  <c r="V210" i="141" s="1"/>
  <c r="J209" i="141"/>
  <c r="W209" i="141" s="1"/>
  <c r="J208" i="141"/>
  <c r="W208" i="141" s="1"/>
  <c r="J207" i="141"/>
  <c r="W207" i="141" s="1"/>
  <c r="J206" i="141"/>
  <c r="V206" i="141" s="1"/>
  <c r="J205" i="141"/>
  <c r="J204" i="141"/>
  <c r="V204" i="141" s="1"/>
  <c r="B204" i="141"/>
  <c r="B205" i="141" s="1"/>
  <c r="B206" i="141" s="1"/>
  <c r="B207" i="141" s="1"/>
  <c r="B208" i="141" s="1"/>
  <c r="B209" i="141" s="1"/>
  <c r="B210" i="141" s="1"/>
  <c r="B211" i="141" s="1"/>
  <c r="B212" i="141" s="1"/>
  <c r="B213" i="141" s="1"/>
  <c r="B214" i="141" s="1"/>
  <c r="B215" i="141" s="1"/>
  <c r="B216" i="141" s="1"/>
  <c r="J203" i="141"/>
  <c r="V203" i="141" s="1"/>
  <c r="J202" i="141"/>
  <c r="V202" i="141" s="1"/>
  <c r="J201" i="141"/>
  <c r="W201" i="141" s="1"/>
  <c r="J200" i="141"/>
  <c r="W200" i="141" s="1"/>
  <c r="J199" i="141"/>
  <c r="W199" i="141" s="1"/>
  <c r="J198" i="141"/>
  <c r="W198" i="141" s="1"/>
  <c r="J197" i="141"/>
  <c r="V197" i="141" s="1"/>
  <c r="J196" i="141"/>
  <c r="B196" i="141"/>
  <c r="B197" i="141" s="1"/>
  <c r="B198" i="141" s="1"/>
  <c r="B199" i="141" s="1"/>
  <c r="B200" i="141" s="1"/>
  <c r="B201" i="141" s="1"/>
  <c r="B202" i="141" s="1"/>
  <c r="B203" i="141" s="1"/>
  <c r="J195" i="141"/>
  <c r="J186" i="141"/>
  <c r="V186" i="141" s="1"/>
  <c r="J185" i="141"/>
  <c r="W185" i="141" s="1"/>
  <c r="J183" i="141"/>
  <c r="V183" i="141" s="1"/>
  <c r="J180" i="141"/>
  <c r="W180" i="141" s="1"/>
  <c r="J179" i="141"/>
  <c r="W179" i="141" s="1"/>
  <c r="J178" i="141"/>
  <c r="W178" i="141" s="1"/>
  <c r="J177" i="141"/>
  <c r="V177" i="141" s="1"/>
  <c r="J176" i="141"/>
  <c r="J175" i="141"/>
  <c r="J174" i="141"/>
  <c r="V174" i="141" s="1"/>
  <c r="J173" i="141"/>
  <c r="V173" i="141" s="1"/>
  <c r="J172" i="141"/>
  <c r="W172" i="141" s="1"/>
  <c r="J171" i="141"/>
  <c r="W171" i="141" s="1"/>
  <c r="J170" i="141"/>
  <c r="W170" i="141" s="1"/>
  <c r="J169" i="141"/>
  <c r="J168" i="141"/>
  <c r="W168" i="141" s="1"/>
  <c r="J167" i="141"/>
  <c r="W167" i="141" s="1"/>
  <c r="J166" i="141"/>
  <c r="J165" i="141"/>
  <c r="J164" i="141"/>
  <c r="J163" i="141"/>
  <c r="V163" i="141" s="1"/>
  <c r="J162" i="141"/>
  <c r="W162" i="141" s="1"/>
  <c r="B162" i="141"/>
  <c r="B163" i="141" s="1"/>
  <c r="B164" i="141" s="1"/>
  <c r="B165" i="141" s="1"/>
  <c r="B166" i="141" s="1"/>
  <c r="B167" i="141" s="1"/>
  <c r="B168" i="141" s="1"/>
  <c r="B169" i="141" s="1"/>
  <c r="B170" i="141" s="1"/>
  <c r="B171" i="141" s="1"/>
  <c r="B172" i="141" s="1"/>
  <c r="B173" i="141" s="1"/>
  <c r="B174" i="141" s="1"/>
  <c r="B175" i="141" s="1"/>
  <c r="B176" i="141" s="1"/>
  <c r="B177" i="141" s="1"/>
  <c r="B178" i="141" s="1"/>
  <c r="B179" i="141" s="1"/>
  <c r="B180" i="141" s="1"/>
  <c r="B181" i="141" s="1"/>
  <c r="B182" i="141" s="1"/>
  <c r="B183" i="141" s="1"/>
  <c r="B184" i="141" s="1"/>
  <c r="B185" i="141" s="1"/>
  <c r="B186" i="141" s="1"/>
  <c r="J161" i="141"/>
  <c r="J152" i="141"/>
  <c r="W152" i="141" s="1"/>
  <c r="J149" i="141"/>
  <c r="J148" i="141"/>
  <c r="W148" i="141" s="1"/>
  <c r="J147" i="141"/>
  <c r="J146" i="141"/>
  <c r="V146" i="141" s="1"/>
  <c r="J145" i="141"/>
  <c r="V145" i="141" s="1"/>
  <c r="J144" i="141"/>
  <c r="V144" i="141" s="1"/>
  <c r="J143" i="141"/>
  <c r="J142" i="141"/>
  <c r="J141" i="141"/>
  <c r="J140" i="141"/>
  <c r="W140" i="141" s="1"/>
  <c r="J139" i="141"/>
  <c r="W139" i="141" s="1"/>
  <c r="J138" i="141"/>
  <c r="W138" i="141" s="1"/>
  <c r="J137" i="141"/>
  <c r="J136" i="141"/>
  <c r="V136" i="141" s="1"/>
  <c r="J135" i="141"/>
  <c r="W135" i="141" s="1"/>
  <c r="J134" i="141"/>
  <c r="W134" i="141" s="1"/>
  <c r="J133" i="141"/>
  <c r="J132" i="141"/>
  <c r="V132" i="141" s="1"/>
  <c r="J131" i="141"/>
  <c r="V131" i="141" s="1"/>
  <c r="J130" i="141"/>
  <c r="J129" i="141"/>
  <c r="B129" i="141"/>
  <c r="B130" i="141" s="1"/>
  <c r="B131" i="141" s="1"/>
  <c r="B132" i="141" s="1"/>
  <c r="B133" i="141" s="1"/>
  <c r="B134" i="141" s="1"/>
  <c r="B135" i="141" s="1"/>
  <c r="B136" i="141" s="1"/>
  <c r="B137" i="141" s="1"/>
  <c r="B138" i="141" s="1"/>
  <c r="B139" i="141" s="1"/>
  <c r="B140" i="141" s="1"/>
  <c r="B141" i="141" s="1"/>
  <c r="B142" i="141" s="1"/>
  <c r="B143" i="141" s="1"/>
  <c r="B144" i="141" s="1"/>
  <c r="B145" i="141" s="1"/>
  <c r="B146" i="141" s="1"/>
  <c r="B147" i="141" s="1"/>
  <c r="B148" i="141" s="1"/>
  <c r="B149" i="141" s="1"/>
  <c r="B150" i="141" s="1"/>
  <c r="B151" i="141" s="1"/>
  <c r="B152" i="141" s="1"/>
  <c r="J128" i="141"/>
  <c r="J127" i="141"/>
  <c r="W127" i="141" s="1"/>
  <c r="B127" i="141"/>
  <c r="B128" i="141" s="1"/>
  <c r="J126" i="141"/>
  <c r="W126" i="141" s="1"/>
  <c r="J117" i="141"/>
  <c r="J115" i="141"/>
  <c r="J114" i="141"/>
  <c r="J113" i="141"/>
  <c r="W113" i="141" s="1"/>
  <c r="J112" i="141"/>
  <c r="W112" i="141" s="1"/>
  <c r="J111" i="141"/>
  <c r="J110" i="141"/>
  <c r="J109" i="141"/>
  <c r="W109" i="141" s="1"/>
  <c r="J108" i="141"/>
  <c r="W108" i="141" s="1"/>
  <c r="J107" i="141"/>
  <c r="W107" i="141" s="1"/>
  <c r="J106" i="141"/>
  <c r="W106" i="141" s="1"/>
  <c r="J105" i="141"/>
  <c r="W105" i="141" s="1"/>
  <c r="J104" i="141"/>
  <c r="V104" i="141" s="1"/>
  <c r="J103" i="141"/>
  <c r="J102" i="141"/>
  <c r="J101" i="141"/>
  <c r="W101" i="141" s="1"/>
  <c r="J100" i="141"/>
  <c r="W100" i="141" s="1"/>
  <c r="J99" i="141"/>
  <c r="W99" i="141" s="1"/>
  <c r="J98" i="141"/>
  <c r="J97" i="141"/>
  <c r="J96" i="141"/>
  <c r="J95" i="141"/>
  <c r="W95" i="141" s="1"/>
  <c r="B95" i="141"/>
  <c r="B96" i="141" s="1"/>
  <c r="B97" i="141" s="1"/>
  <c r="B98" i="141" s="1"/>
  <c r="B99" i="141" s="1"/>
  <c r="B100" i="141" s="1"/>
  <c r="B101" i="141" s="1"/>
  <c r="B102" i="141" s="1"/>
  <c r="B103" i="141" s="1"/>
  <c r="B104" i="141" s="1"/>
  <c r="B105" i="141" s="1"/>
  <c r="B106" i="141" s="1"/>
  <c r="B107" i="141" s="1"/>
  <c r="B108" i="141" s="1"/>
  <c r="B109" i="141" s="1"/>
  <c r="B110" i="141" s="1"/>
  <c r="B111" i="141" s="1"/>
  <c r="B112" i="141" s="1"/>
  <c r="B113" i="141" s="1"/>
  <c r="B114" i="141" s="1"/>
  <c r="B115" i="141" s="1"/>
  <c r="J94" i="141"/>
  <c r="J85" i="141"/>
  <c r="J84" i="141"/>
  <c r="J83" i="141"/>
  <c r="J82" i="141"/>
  <c r="W82" i="141" s="1"/>
  <c r="J81" i="141"/>
  <c r="J80" i="141"/>
  <c r="W80" i="141" s="1"/>
  <c r="J79" i="141"/>
  <c r="V79" i="141" s="1"/>
  <c r="J78" i="141"/>
  <c r="V78" i="141" s="1"/>
  <c r="J77" i="141"/>
  <c r="J76" i="141"/>
  <c r="W76" i="141" s="1"/>
  <c r="J75" i="141"/>
  <c r="W75" i="141" s="1"/>
  <c r="J74" i="141"/>
  <c r="W74" i="141" s="1"/>
  <c r="J73" i="141"/>
  <c r="V73" i="141" s="1"/>
  <c r="J72" i="141"/>
  <c r="W72" i="141" s="1"/>
  <c r="J71" i="141"/>
  <c r="V71" i="141" s="1"/>
  <c r="J70" i="141"/>
  <c r="J69" i="141"/>
  <c r="J68" i="141"/>
  <c r="W68" i="141" s="1"/>
  <c r="J67" i="141"/>
  <c r="W67" i="141" s="1"/>
  <c r="J66" i="141"/>
  <c r="W66" i="141" s="1"/>
  <c r="W65" i="141"/>
  <c r="J65" i="141"/>
  <c r="V65" i="141" s="1"/>
  <c r="J64" i="141"/>
  <c r="V64" i="141" s="1"/>
  <c r="J63" i="141"/>
  <c r="J62" i="141"/>
  <c r="W62" i="141" s="1"/>
  <c r="J61" i="141"/>
  <c r="W61" i="141" s="1"/>
  <c r="B61" i="141"/>
  <c r="B62" i="141" s="1"/>
  <c r="B63" i="141" s="1"/>
  <c r="B64" i="141" s="1"/>
  <c r="B65" i="141" s="1"/>
  <c r="B66" i="141" s="1"/>
  <c r="B67" i="141" s="1"/>
  <c r="B68" i="141" s="1"/>
  <c r="B69" i="141" s="1"/>
  <c r="B70" i="141" s="1"/>
  <c r="B71" i="141" s="1"/>
  <c r="B72" i="141" s="1"/>
  <c r="B73" i="141" s="1"/>
  <c r="B74" i="141" s="1"/>
  <c r="B75" i="141" s="1"/>
  <c r="B76" i="141" s="1"/>
  <c r="B77" i="141" s="1"/>
  <c r="B78" i="141" s="1"/>
  <c r="B79" i="141" s="1"/>
  <c r="B80" i="141" s="1"/>
  <c r="B81" i="141" s="1"/>
  <c r="B82" i="141" s="1"/>
  <c r="J60" i="141"/>
  <c r="W60" i="141" s="1"/>
  <c r="W51" i="141"/>
  <c r="V51" i="141"/>
  <c r="W50" i="141"/>
  <c r="V50" i="141"/>
  <c r="W49" i="141"/>
  <c r="V49" i="141"/>
  <c r="W48" i="141"/>
  <c r="V48" i="141"/>
  <c r="W47" i="141"/>
  <c r="V47" i="141"/>
  <c r="W46" i="141"/>
  <c r="V46" i="141"/>
  <c r="J45" i="141"/>
  <c r="J44" i="141"/>
  <c r="V44" i="141" s="1"/>
  <c r="J43" i="141"/>
  <c r="W43" i="141" s="1"/>
  <c r="J42" i="141"/>
  <c r="V42" i="141" s="1"/>
  <c r="J41" i="141"/>
  <c r="J40" i="141"/>
  <c r="J39" i="141"/>
  <c r="W39" i="141" s="1"/>
  <c r="J38" i="141"/>
  <c r="V38" i="141" s="1"/>
  <c r="J37" i="141"/>
  <c r="J36" i="141"/>
  <c r="W36" i="141" s="1"/>
  <c r="J35" i="141"/>
  <c r="J34" i="141"/>
  <c r="J33" i="141"/>
  <c r="W33" i="141" s="1"/>
  <c r="J32" i="141"/>
  <c r="W31" i="141"/>
  <c r="J30" i="141"/>
  <c r="V30" i="141" s="1"/>
  <c r="J29" i="141"/>
  <c r="J28" i="141"/>
  <c r="W28" i="141" s="1"/>
  <c r="J27" i="141"/>
  <c r="V27" i="141" s="1"/>
  <c r="J26" i="141"/>
  <c r="J25" i="141"/>
  <c r="V25" i="141" s="1"/>
  <c r="J24" i="141"/>
  <c r="J23" i="141"/>
  <c r="J22" i="141"/>
  <c r="V22" i="141" s="1"/>
  <c r="J21" i="141"/>
  <c r="J20" i="141"/>
  <c r="V20" i="141" s="1"/>
  <c r="J19" i="141"/>
  <c r="J18" i="141"/>
  <c r="W18" i="141" s="1"/>
  <c r="J17" i="141"/>
  <c r="N16" i="141"/>
  <c r="J16" i="141"/>
  <c r="V16" i="141" s="1"/>
  <c r="J15" i="141"/>
  <c r="N14" i="141"/>
  <c r="J14" i="141"/>
  <c r="W14" i="141" s="1"/>
  <c r="J13" i="141"/>
  <c r="N12" i="141"/>
  <c r="J12" i="141"/>
  <c r="W12" i="141" s="1"/>
  <c r="J11" i="141"/>
  <c r="N10" i="141"/>
  <c r="J10" i="141"/>
  <c r="J9" i="141"/>
  <c r="N8" i="141"/>
  <c r="J8" i="141"/>
  <c r="B8" i="141"/>
  <c r="B9" i="141" s="1"/>
  <c r="B10" i="141" s="1"/>
  <c r="B11" i="141" s="1"/>
  <c r="B12" i="141" s="1"/>
  <c r="B13" i="141" s="1"/>
  <c r="B14" i="141" s="1"/>
  <c r="B15" i="141" s="1"/>
  <c r="B16" i="141" s="1"/>
  <c r="B17" i="141" s="1"/>
  <c r="B18" i="141" s="1"/>
  <c r="B19" i="141" s="1"/>
  <c r="B20" i="141" s="1"/>
  <c r="B21" i="141" s="1"/>
  <c r="B22" i="141" s="1"/>
  <c r="B23" i="141" s="1"/>
  <c r="B24" i="141" s="1"/>
  <c r="B25" i="141" s="1"/>
  <c r="B26" i="141" s="1"/>
  <c r="B27" i="141" s="1"/>
  <c r="B28" i="141" s="1"/>
  <c r="B29" i="141" s="1"/>
  <c r="B30" i="141" s="1"/>
  <c r="B31" i="141" s="1"/>
  <c r="B32" i="141" s="1"/>
  <c r="B33" i="141" s="1"/>
  <c r="B34" i="141" s="1"/>
  <c r="B35" i="141" s="1"/>
  <c r="B36" i="141" s="1"/>
  <c r="B37" i="141" s="1"/>
  <c r="B38" i="141" s="1"/>
  <c r="B39" i="141" s="1"/>
  <c r="B40" i="141" s="1"/>
  <c r="B41" i="141" s="1"/>
  <c r="B42" i="141" s="1"/>
  <c r="B43" i="141" s="1"/>
  <c r="B44" i="141" s="1"/>
  <c r="B45" i="141" s="1"/>
  <c r="B46" i="141" s="1"/>
  <c r="B47" i="141" s="1"/>
  <c r="B48" i="141" s="1"/>
  <c r="B49" i="141" s="1"/>
  <c r="B50" i="141" s="1"/>
  <c r="B51" i="141" s="1"/>
  <c r="J7" i="141"/>
  <c r="B7" i="141"/>
  <c r="N6" i="141"/>
  <c r="J6" i="141"/>
  <c r="N4" i="141"/>
  <c r="W183" i="141" l="1"/>
  <c r="W186" i="141"/>
  <c r="W230" i="141"/>
  <c r="V216" i="141"/>
  <c r="W163" i="141"/>
  <c r="V185" i="141"/>
  <c r="V170" i="141"/>
  <c r="V140" i="141"/>
  <c r="V152" i="141"/>
  <c r="W132" i="141"/>
  <c r="V135" i="141"/>
  <c r="V148" i="141"/>
  <c r="V100" i="141"/>
  <c r="W22" i="141"/>
  <c r="V108" i="141"/>
  <c r="W79" i="141"/>
  <c r="V213" i="141"/>
  <c r="V180" i="141"/>
  <c r="V178" i="141"/>
  <c r="W177" i="141"/>
  <c r="V113" i="141"/>
  <c r="V74" i="141"/>
  <c r="W73" i="141"/>
  <c r="V31" i="141"/>
  <c r="V212" i="141"/>
  <c r="W210" i="141"/>
  <c r="V209" i="141"/>
  <c r="W248" i="141"/>
  <c r="W243" i="141"/>
  <c r="V251" i="141"/>
  <c r="V250" i="141"/>
  <c r="V252" i="141"/>
  <c r="V240" i="141"/>
  <c r="V232" i="141"/>
  <c r="V200" i="141"/>
  <c r="W202" i="141"/>
  <c r="V208" i="141"/>
  <c r="V199" i="141"/>
  <c r="W203" i="141"/>
  <c r="W197" i="141"/>
  <c r="W206" i="141"/>
  <c r="V162" i="141"/>
  <c r="V168" i="141"/>
  <c r="W131" i="141"/>
  <c r="W136" i="141"/>
  <c r="V105" i="141"/>
  <c r="V101" i="141"/>
  <c r="V107" i="141"/>
  <c r="V66" i="141"/>
  <c r="V72" i="141"/>
  <c r="W27" i="141"/>
  <c r="W30" i="141"/>
  <c r="V18" i="141"/>
  <c r="V231" i="141"/>
  <c r="V239" i="141"/>
  <c r="W246" i="141"/>
  <c r="V236" i="141"/>
  <c r="V238" i="141"/>
  <c r="W244" i="141"/>
  <c r="V198" i="141"/>
  <c r="V207" i="141"/>
  <c r="V211" i="141"/>
  <c r="V215" i="141"/>
  <c r="V201" i="141"/>
  <c r="V214" i="141"/>
  <c r="V167" i="141"/>
  <c r="W173" i="141"/>
  <c r="V179" i="141"/>
  <c r="V172" i="141"/>
  <c r="W174" i="141"/>
  <c r="V126" i="141"/>
  <c r="V127" i="141"/>
  <c r="V139" i="141"/>
  <c r="W146" i="141"/>
  <c r="V138" i="141"/>
  <c r="W145" i="141"/>
  <c r="V60" i="141"/>
  <c r="V67" i="141"/>
  <c r="V75" i="141"/>
  <c r="V80" i="141"/>
  <c r="W20" i="141"/>
  <c r="W38" i="141"/>
  <c r="V43" i="141"/>
  <c r="V33" i="141"/>
  <c r="V39" i="141"/>
  <c r="W42" i="141"/>
  <c r="W44" i="141"/>
  <c r="V99" i="141"/>
  <c r="V106" i="141"/>
  <c r="V109" i="141"/>
  <c r="V112" i="141"/>
  <c r="W7" i="141"/>
  <c r="V7" i="141"/>
  <c r="V10" i="141"/>
  <c r="W10" i="141"/>
  <c r="V98" i="141"/>
  <c r="W98" i="141"/>
  <c r="W102" i="141"/>
  <c r="V102" i="141"/>
  <c r="N18" i="141"/>
  <c r="V12" i="141"/>
  <c r="W21" i="141"/>
  <c r="V21" i="141"/>
  <c r="W29" i="141"/>
  <c r="V29" i="141"/>
  <c r="W37" i="141"/>
  <c r="V37" i="141"/>
  <c r="W41" i="141"/>
  <c r="V41" i="141"/>
  <c r="W69" i="141"/>
  <c r="V69" i="141"/>
  <c r="W103" i="141"/>
  <c r="V103" i="141"/>
  <c r="W11" i="141"/>
  <c r="V11" i="141"/>
  <c r="V14" i="141"/>
  <c r="V19" i="141"/>
  <c r="W19" i="141"/>
  <c r="W32" i="141"/>
  <c r="V32" i="141"/>
  <c r="W63" i="141"/>
  <c r="V63" i="141"/>
  <c r="W77" i="141"/>
  <c r="V77" i="141"/>
  <c r="W117" i="141"/>
  <c r="V117" i="141"/>
  <c r="W8" i="141"/>
  <c r="V8" i="141"/>
  <c r="W9" i="141"/>
  <c r="V9" i="141"/>
  <c r="W34" i="141"/>
  <c r="V34" i="141"/>
  <c r="W70" i="141"/>
  <c r="V70" i="141"/>
  <c r="W96" i="141"/>
  <c r="V96" i="141"/>
  <c r="W142" i="141"/>
  <c r="V142" i="141"/>
  <c r="W24" i="141"/>
  <c r="V24" i="141"/>
  <c r="W40" i="141"/>
  <c r="V40" i="141"/>
  <c r="W15" i="141"/>
  <c r="V15" i="141"/>
  <c r="V17" i="141"/>
  <c r="W17" i="141"/>
  <c r="W26" i="141"/>
  <c r="V26" i="141"/>
  <c r="J52" i="141"/>
  <c r="V6" i="141"/>
  <c r="W6" i="141"/>
  <c r="V13" i="141"/>
  <c r="W13" i="141"/>
  <c r="W16" i="141"/>
  <c r="W23" i="141"/>
  <c r="V23" i="141"/>
  <c r="W25" i="141"/>
  <c r="V28" i="141"/>
  <c r="W35" i="141"/>
  <c r="V35" i="141"/>
  <c r="V36" i="141"/>
  <c r="W45" i="141"/>
  <c r="V45" i="141"/>
  <c r="V143" i="141"/>
  <c r="W143" i="141"/>
  <c r="V110" i="141"/>
  <c r="W110" i="141"/>
  <c r="V129" i="141"/>
  <c r="W129" i="141"/>
  <c r="W237" i="141"/>
  <c r="V237" i="141"/>
  <c r="V247" i="141"/>
  <c r="W247" i="141"/>
  <c r="W164" i="141"/>
  <c r="V164" i="141"/>
  <c r="W220" i="141"/>
  <c r="V220" i="141"/>
  <c r="V235" i="141"/>
  <c r="W235" i="141"/>
  <c r="W114" i="141"/>
  <c r="V114" i="141"/>
  <c r="W133" i="141"/>
  <c r="V133" i="141"/>
  <c r="W144" i="141"/>
  <c r="W195" i="141"/>
  <c r="J221" i="141"/>
  <c r="V195" i="141"/>
  <c r="V62" i="141"/>
  <c r="W71" i="141"/>
  <c r="V76" i="141"/>
  <c r="W85" i="141"/>
  <c r="V85" i="141"/>
  <c r="J118" i="141"/>
  <c r="W94" i="141"/>
  <c r="V95" i="141"/>
  <c r="W97" i="141"/>
  <c r="V97" i="141"/>
  <c r="W104" i="141"/>
  <c r="W137" i="141"/>
  <c r="V137" i="141"/>
  <c r="W149" i="141"/>
  <c r="V149" i="141"/>
  <c r="W161" i="141"/>
  <c r="J187" i="141"/>
  <c r="V161" i="141"/>
  <c r="V165" i="141"/>
  <c r="W165" i="141"/>
  <c r="W169" i="141"/>
  <c r="V169" i="141"/>
  <c r="V175" i="141"/>
  <c r="W175" i="141"/>
  <c r="W234" i="141"/>
  <c r="V234" i="141"/>
  <c r="V245" i="141"/>
  <c r="W245" i="141"/>
  <c r="W147" i="141"/>
  <c r="V147" i="141"/>
  <c r="W166" i="141"/>
  <c r="V166" i="141"/>
  <c r="V196" i="141"/>
  <c r="W196" i="141"/>
  <c r="W249" i="141"/>
  <c r="V249" i="141"/>
  <c r="V61" i="141"/>
  <c r="W64" i="141"/>
  <c r="V68" i="141"/>
  <c r="W78" i="141"/>
  <c r="V82" i="141"/>
  <c r="J86" i="141"/>
  <c r="V94" i="141"/>
  <c r="W111" i="141"/>
  <c r="V111" i="141"/>
  <c r="W115" i="141"/>
  <c r="V115" i="141"/>
  <c r="W128" i="141"/>
  <c r="V128" i="141"/>
  <c r="W130" i="141"/>
  <c r="V130" i="141"/>
  <c r="V134" i="141"/>
  <c r="W141" i="141"/>
  <c r="V141" i="141"/>
  <c r="V171" i="141"/>
  <c r="V176" i="141"/>
  <c r="W176" i="141"/>
  <c r="V205" i="141"/>
  <c r="W205" i="141"/>
  <c r="W219" i="141"/>
  <c r="V219" i="141"/>
  <c r="J253" i="141"/>
  <c r="V241" i="141"/>
  <c r="W241" i="141"/>
  <c r="J153" i="141"/>
  <c r="W204" i="141"/>
  <c r="W217" i="141"/>
  <c r="V233" i="141"/>
  <c r="V242" i="141"/>
  <c r="H243" i="140"/>
  <c r="H214" i="140"/>
  <c r="H147" i="140"/>
  <c r="J45" i="140"/>
  <c r="H45" i="140"/>
  <c r="I45" i="140"/>
  <c r="I44" i="140"/>
  <c r="J44" i="140" s="1"/>
  <c r="V253" i="141" l="1"/>
  <c r="O16" i="141" s="1"/>
  <c r="R16" i="141" s="1"/>
  <c r="W253" i="141"/>
  <c r="P16" i="141" s="1"/>
  <c r="V153" i="141"/>
  <c r="O10" i="141" s="1"/>
  <c r="R10" i="141" s="1"/>
  <c r="W86" i="141"/>
  <c r="P6" i="141" s="1"/>
  <c r="V52" i="141"/>
  <c r="O4" i="141" s="1"/>
  <c r="R4" i="141" s="1"/>
  <c r="V118" i="141"/>
  <c r="O8" i="141" s="1"/>
  <c r="R8" i="141" s="1"/>
  <c r="W187" i="141"/>
  <c r="P12" i="141" s="1"/>
  <c r="V221" i="141"/>
  <c r="O14" i="141" s="1"/>
  <c r="V86" i="141"/>
  <c r="O6" i="141" s="1"/>
  <c r="W118" i="141"/>
  <c r="P8" i="141" s="1"/>
  <c r="W153" i="141"/>
  <c r="P10" i="141" s="1"/>
  <c r="V187" i="141"/>
  <c r="O12" i="141" s="1"/>
  <c r="W221" i="141"/>
  <c r="P14" i="141" s="1"/>
  <c r="W52" i="141"/>
  <c r="P4" i="141" s="1"/>
  <c r="H146" i="140"/>
  <c r="H114" i="140"/>
  <c r="J43" i="140"/>
  <c r="I43" i="140"/>
  <c r="I42" i="140"/>
  <c r="J42" i="140" s="1"/>
  <c r="H213" i="140"/>
  <c r="J213" i="140"/>
  <c r="W213" i="140" s="1"/>
  <c r="J214" i="140"/>
  <c r="J212" i="140"/>
  <c r="W212" i="140" s="1"/>
  <c r="H113" i="140"/>
  <c r="H78" i="140"/>
  <c r="I41" i="140"/>
  <c r="J41" i="140" s="1"/>
  <c r="I40" i="140"/>
  <c r="J40" i="140" s="1"/>
  <c r="Q10" i="141" l="1"/>
  <c r="Q8" i="141"/>
  <c r="R12" i="141"/>
  <c r="Q12" i="141"/>
  <c r="R6" i="141"/>
  <c r="Q6" i="141"/>
  <c r="O18" i="141"/>
  <c r="R18" i="141" s="1"/>
  <c r="P20" i="141" s="1"/>
  <c r="R14" i="141"/>
  <c r="Q14" i="141"/>
  <c r="P18" i="141"/>
  <c r="Q4" i="141"/>
  <c r="V213" i="140"/>
  <c r="V212" i="140"/>
  <c r="Q18" i="141" l="1"/>
  <c r="H238" i="140"/>
  <c r="H174" i="140" l="1"/>
  <c r="H77" i="140"/>
  <c r="H75" i="140"/>
  <c r="J38" i="140"/>
  <c r="I39" i="140"/>
  <c r="J39" i="140" s="1"/>
  <c r="I38" i="140"/>
  <c r="J34" i="140"/>
  <c r="J37" i="140"/>
  <c r="H37" i="140"/>
  <c r="I37" i="140"/>
  <c r="H36" i="140"/>
  <c r="I36" i="140"/>
  <c r="J36" i="140" s="1"/>
  <c r="I35" i="140"/>
  <c r="J35" i="140" s="1"/>
  <c r="I34" i="140"/>
  <c r="H111" i="140"/>
  <c r="H110" i="140"/>
  <c r="H142" i="140"/>
  <c r="H141" i="140"/>
  <c r="H33" i="140" l="1"/>
  <c r="I33" i="140"/>
  <c r="J33" i="140" l="1"/>
  <c r="H32" i="140"/>
  <c r="I32" i="140"/>
  <c r="J32" i="140" s="1"/>
  <c r="I31" i="140"/>
  <c r="J31" i="140" s="1"/>
  <c r="H236" i="140" l="1"/>
  <c r="H235" i="140"/>
  <c r="H170" i="140"/>
  <c r="H106" i="140"/>
  <c r="H72" i="140"/>
  <c r="H30" i="140"/>
  <c r="I30" i="140"/>
  <c r="J30" i="140" s="1"/>
  <c r="I29" i="140"/>
  <c r="J29" i="140" s="1"/>
  <c r="I28" i="140"/>
  <c r="J28" i="140" s="1"/>
  <c r="H27" i="140"/>
  <c r="I27" i="140"/>
  <c r="J27" i="140" s="1"/>
  <c r="H71" i="140"/>
  <c r="H233" i="140"/>
  <c r="H168" i="140"/>
  <c r="H104" i="140"/>
  <c r="H70" i="140"/>
  <c r="H26" i="140"/>
  <c r="I26" i="140"/>
  <c r="J26" i="140" s="1"/>
  <c r="I25" i="140"/>
  <c r="J25" i="140" s="1"/>
  <c r="H201" i="140" l="1"/>
  <c r="H103" i="140"/>
  <c r="I24" i="140"/>
  <c r="J24" i="140" s="1"/>
  <c r="H23" i="140"/>
  <c r="I23" i="140"/>
  <c r="J23" i="140" l="1"/>
  <c r="H231" i="140"/>
  <c r="H230" i="140"/>
  <c r="H229" i="140"/>
  <c r="H165" i="140"/>
  <c r="H163" i="140"/>
  <c r="H131" i="140"/>
  <c r="H102" i="140"/>
  <c r="H101" i="140"/>
  <c r="H68" i="140"/>
  <c r="H67" i="140"/>
  <c r="J22" i="140"/>
  <c r="H22" i="140"/>
  <c r="I22" i="140"/>
  <c r="H21" i="140"/>
  <c r="I21" i="140"/>
  <c r="J21" i="140" s="1"/>
  <c r="I20" i="140"/>
  <c r="J20" i="140" s="1"/>
  <c r="I19" i="140"/>
  <c r="J19" i="140" s="1"/>
  <c r="H18" i="140"/>
  <c r="I18" i="140"/>
  <c r="J18" i="140" s="1"/>
  <c r="H17" i="140"/>
  <c r="I17" i="140"/>
  <c r="I16" i="140"/>
  <c r="J16" i="140" s="1"/>
  <c r="H15" i="140"/>
  <c r="I15" i="140"/>
  <c r="J17" i="140" l="1"/>
  <c r="J15" i="140"/>
  <c r="H196" i="140"/>
  <c r="H195" i="140"/>
  <c r="H162" i="140"/>
  <c r="H129" i="140"/>
  <c r="H98" i="140"/>
  <c r="H64" i="140"/>
  <c r="H14" i="140"/>
  <c r="I14" i="140"/>
  <c r="J14" i="140" s="1"/>
  <c r="I13" i="140"/>
  <c r="J13" i="140" s="1"/>
  <c r="H63" i="140" l="1"/>
  <c r="H128" i="140"/>
  <c r="H161" i="140"/>
  <c r="H194" i="140"/>
  <c r="J194" i="140" s="1"/>
  <c r="V194" i="140" s="1"/>
  <c r="H225" i="140"/>
  <c r="H192" i="140"/>
  <c r="H160" i="140"/>
  <c r="H127" i="140"/>
  <c r="H96" i="140"/>
  <c r="H10" i="140"/>
  <c r="H8" i="140"/>
  <c r="H61" i="140"/>
  <c r="J61" i="140" s="1"/>
  <c r="W61" i="140" s="1"/>
  <c r="H190" i="140"/>
  <c r="H223" i="140"/>
  <c r="H158" i="140"/>
  <c r="H125" i="140"/>
  <c r="H94" i="140"/>
  <c r="H6" i="140"/>
  <c r="J246" i="140"/>
  <c r="V246" i="140" s="1"/>
  <c r="J245" i="140"/>
  <c r="V245" i="140" s="1"/>
  <c r="J244" i="140"/>
  <c r="V244" i="140" s="1"/>
  <c r="J243" i="140"/>
  <c r="V243" i="140" s="1"/>
  <c r="J242" i="140"/>
  <c r="V242" i="140" s="1"/>
  <c r="J241" i="140"/>
  <c r="V241" i="140" s="1"/>
  <c r="J240" i="140"/>
  <c r="V240" i="140" s="1"/>
  <c r="J239" i="140"/>
  <c r="W239" i="140" s="1"/>
  <c r="J238" i="140"/>
  <c r="W238" i="140" s="1"/>
  <c r="J237" i="140"/>
  <c r="W237" i="140" s="1"/>
  <c r="J236" i="140"/>
  <c r="W236" i="140" s="1"/>
  <c r="J235" i="140"/>
  <c r="W235" i="140" s="1"/>
  <c r="J234" i="140"/>
  <c r="W234" i="140" s="1"/>
  <c r="J233" i="140"/>
  <c r="W233" i="140" s="1"/>
  <c r="J232" i="140"/>
  <c r="W232" i="140" s="1"/>
  <c r="J231" i="140"/>
  <c r="W231" i="140" s="1"/>
  <c r="J230" i="140"/>
  <c r="J229" i="140"/>
  <c r="J228" i="140"/>
  <c r="J227" i="140"/>
  <c r="W227" i="140" s="1"/>
  <c r="J226" i="140"/>
  <c r="V226" i="140" s="1"/>
  <c r="J225" i="140"/>
  <c r="J224" i="140"/>
  <c r="B224" i="140"/>
  <c r="B225" i="140" s="1"/>
  <c r="B226" i="140" s="1"/>
  <c r="B227" i="140" s="1"/>
  <c r="B228" i="140" s="1"/>
  <c r="B229" i="140" s="1"/>
  <c r="B230" i="140" s="1"/>
  <c r="B231" i="140" s="1"/>
  <c r="B232" i="140" s="1"/>
  <c r="B233" i="140" s="1"/>
  <c r="B234" i="140" s="1"/>
  <c r="B235" i="140" s="1"/>
  <c r="B236" i="140" s="1"/>
  <c r="B237" i="140" s="1"/>
  <c r="B238" i="140" s="1"/>
  <c r="B239" i="140" s="1"/>
  <c r="B240" i="140" s="1"/>
  <c r="B241" i="140" s="1"/>
  <c r="B242" i="140" s="1"/>
  <c r="B243" i="140" s="1"/>
  <c r="B244" i="140" s="1"/>
  <c r="B245" i="140" s="1"/>
  <c r="B246" i="140" s="1"/>
  <c r="J223" i="140"/>
  <c r="V214" i="140"/>
  <c r="J211" i="140"/>
  <c r="J210" i="140"/>
  <c r="W210" i="140" s="1"/>
  <c r="J209" i="140"/>
  <c r="W209" i="140" s="1"/>
  <c r="J208" i="140"/>
  <c r="W208" i="140" s="1"/>
  <c r="J207" i="140"/>
  <c r="J206" i="140"/>
  <c r="J205" i="140"/>
  <c r="W205" i="140" s="1"/>
  <c r="J204" i="140"/>
  <c r="W204" i="140" s="1"/>
  <c r="J203" i="140"/>
  <c r="V203" i="140" s="1"/>
  <c r="J202" i="140"/>
  <c r="V202" i="140" s="1"/>
  <c r="J201" i="140"/>
  <c r="V201" i="140" s="1"/>
  <c r="J200" i="140"/>
  <c r="V200" i="140" s="1"/>
  <c r="J199" i="140"/>
  <c r="V199" i="140" s="1"/>
  <c r="J198" i="140"/>
  <c r="V198" i="140" s="1"/>
  <c r="J197" i="140"/>
  <c r="W197" i="140" s="1"/>
  <c r="J196" i="140"/>
  <c r="W196" i="140" s="1"/>
  <c r="J195" i="140"/>
  <c r="W195" i="140" s="1"/>
  <c r="J193" i="140"/>
  <c r="V193" i="140" s="1"/>
  <c r="J192" i="140"/>
  <c r="V192" i="140" s="1"/>
  <c r="J191" i="140"/>
  <c r="W191" i="140" s="1"/>
  <c r="J190" i="140"/>
  <c r="V190" i="140" s="1"/>
  <c r="B190" i="140"/>
  <c r="B191" i="140" s="1"/>
  <c r="B192" i="140" s="1"/>
  <c r="B193" i="140" s="1"/>
  <c r="B194" i="140" s="1"/>
  <c r="B195" i="140" s="1"/>
  <c r="B196" i="140" s="1"/>
  <c r="B197" i="140" s="1"/>
  <c r="B198" i="140" s="1"/>
  <c r="B199" i="140" s="1"/>
  <c r="B200" i="140" s="1"/>
  <c r="B201" i="140" s="1"/>
  <c r="B202" i="140" s="1"/>
  <c r="B203" i="140" s="1"/>
  <c r="B204" i="140" s="1"/>
  <c r="B205" i="140" s="1"/>
  <c r="B206" i="140" s="1"/>
  <c r="B207" i="140" s="1"/>
  <c r="B208" i="140" s="1"/>
  <c r="B209" i="140" s="1"/>
  <c r="B210" i="140" s="1"/>
  <c r="J189" i="140"/>
  <c r="W189" i="140" s="1"/>
  <c r="J180" i="140"/>
  <c r="V180" i="140" s="1"/>
  <c r="J179" i="140"/>
  <c r="W179" i="140" s="1"/>
  <c r="J178" i="140"/>
  <c r="V178" i="140" s="1"/>
  <c r="J177" i="140"/>
  <c r="V177" i="140" s="1"/>
  <c r="J176" i="140"/>
  <c r="W176" i="140" s="1"/>
  <c r="J175" i="140"/>
  <c r="W175" i="140" s="1"/>
  <c r="J174" i="140"/>
  <c r="W174" i="140" s="1"/>
  <c r="J173" i="140"/>
  <c r="V173" i="140" s="1"/>
  <c r="J172" i="140"/>
  <c r="V172" i="140" s="1"/>
  <c r="J171" i="140"/>
  <c r="V171" i="140" s="1"/>
  <c r="J170" i="140"/>
  <c r="W170" i="140" s="1"/>
  <c r="J169" i="140"/>
  <c r="V169" i="140" s="1"/>
  <c r="J168" i="140"/>
  <c r="V168" i="140" s="1"/>
  <c r="J167" i="140"/>
  <c r="V167" i="140" s="1"/>
  <c r="J166" i="140"/>
  <c r="V166" i="140" s="1"/>
  <c r="J165" i="140"/>
  <c r="V165" i="140" s="1"/>
  <c r="J164" i="140"/>
  <c r="V164" i="140" s="1"/>
  <c r="J163" i="140"/>
  <c r="W163" i="140" s="1"/>
  <c r="J162" i="140"/>
  <c r="V162" i="140" s="1"/>
  <c r="J161" i="140"/>
  <c r="V161" i="140" s="1"/>
  <c r="J160" i="140"/>
  <c r="V160" i="140" s="1"/>
  <c r="J159" i="140"/>
  <c r="W159" i="140" s="1"/>
  <c r="B159" i="140"/>
  <c r="B160" i="140" s="1"/>
  <c r="B161" i="140" s="1"/>
  <c r="B162" i="140" s="1"/>
  <c r="B163" i="140" s="1"/>
  <c r="B164" i="140" s="1"/>
  <c r="B165" i="140" s="1"/>
  <c r="B166" i="140" s="1"/>
  <c r="B167" i="140" s="1"/>
  <c r="B168" i="140" s="1"/>
  <c r="B169" i="140" s="1"/>
  <c r="B170" i="140" s="1"/>
  <c r="B171" i="140" s="1"/>
  <c r="B172" i="140" s="1"/>
  <c r="B173" i="140" s="1"/>
  <c r="B174" i="140" s="1"/>
  <c r="B175" i="140" s="1"/>
  <c r="B176" i="140" s="1"/>
  <c r="B177" i="140" s="1"/>
  <c r="B178" i="140" s="1"/>
  <c r="B179" i="140" s="1"/>
  <c r="B180" i="140" s="1"/>
  <c r="J158" i="140"/>
  <c r="J149" i="140"/>
  <c r="V149" i="140" s="1"/>
  <c r="J148" i="140"/>
  <c r="V148" i="140" s="1"/>
  <c r="J147" i="140"/>
  <c r="V147" i="140" s="1"/>
  <c r="J146" i="140"/>
  <c r="V146" i="140" s="1"/>
  <c r="J145" i="140"/>
  <c r="V145" i="140" s="1"/>
  <c r="J144" i="140"/>
  <c r="W144" i="140" s="1"/>
  <c r="J143" i="140"/>
  <c r="V143" i="140" s="1"/>
  <c r="J142" i="140"/>
  <c r="W142" i="140" s="1"/>
  <c r="J141" i="140"/>
  <c r="J140" i="140"/>
  <c r="J139" i="140"/>
  <c r="W139" i="140" s="1"/>
  <c r="J138" i="140"/>
  <c r="J137" i="140"/>
  <c r="V137" i="140" s="1"/>
  <c r="J136" i="140"/>
  <c r="V136" i="140" s="1"/>
  <c r="J135" i="140"/>
  <c r="W135" i="140" s="1"/>
  <c r="J134" i="140"/>
  <c r="V134" i="140" s="1"/>
  <c r="J133" i="140"/>
  <c r="W133" i="140" s="1"/>
  <c r="J132" i="140"/>
  <c r="V132" i="140" s="1"/>
  <c r="J131" i="140"/>
  <c r="V131" i="140" s="1"/>
  <c r="J130" i="140"/>
  <c r="V130" i="140" s="1"/>
  <c r="J129" i="140"/>
  <c r="W129" i="140" s="1"/>
  <c r="J128" i="140"/>
  <c r="J127" i="140"/>
  <c r="J126" i="140"/>
  <c r="B126" i="140"/>
  <c r="B127" i="140" s="1"/>
  <c r="B128" i="140" s="1"/>
  <c r="B129" i="140" s="1"/>
  <c r="B130" i="140" s="1"/>
  <c r="B131" i="140" s="1"/>
  <c r="B132" i="140" s="1"/>
  <c r="B133" i="140" s="1"/>
  <c r="B134" i="140" s="1"/>
  <c r="B135" i="140" s="1"/>
  <c r="B136" i="140" s="1"/>
  <c r="B137" i="140" s="1"/>
  <c r="B138" i="140" s="1"/>
  <c r="B139" i="140" s="1"/>
  <c r="B140" i="140" s="1"/>
  <c r="B141" i="140" s="1"/>
  <c r="B142" i="140" s="1"/>
  <c r="B143" i="140" s="1"/>
  <c r="B144" i="140" s="1"/>
  <c r="B145" i="140" s="1"/>
  <c r="B146" i="140" s="1"/>
  <c r="B147" i="140" s="1"/>
  <c r="B148" i="140" s="1"/>
  <c r="B149" i="140" s="1"/>
  <c r="J125" i="140"/>
  <c r="W125" i="140" s="1"/>
  <c r="J116" i="140"/>
  <c r="W116" i="140" s="1"/>
  <c r="J115" i="140"/>
  <c r="W115" i="140" s="1"/>
  <c r="J114" i="140"/>
  <c r="J113" i="140"/>
  <c r="J112" i="140"/>
  <c r="W112" i="140" s="1"/>
  <c r="J111" i="140"/>
  <c r="W111" i="140" s="1"/>
  <c r="J110" i="140"/>
  <c r="W110" i="140" s="1"/>
  <c r="J109" i="140"/>
  <c r="W109" i="140" s="1"/>
  <c r="J108" i="140"/>
  <c r="W108" i="140" s="1"/>
  <c r="J107" i="140"/>
  <c r="J106" i="140"/>
  <c r="J105" i="140"/>
  <c r="W105" i="140" s="1"/>
  <c r="J104" i="140"/>
  <c r="W104" i="140" s="1"/>
  <c r="J103" i="140"/>
  <c r="W103" i="140" s="1"/>
  <c r="J102" i="140"/>
  <c r="V102" i="140" s="1"/>
  <c r="J101" i="140"/>
  <c r="W101" i="140" s="1"/>
  <c r="J100" i="140"/>
  <c r="W100" i="140" s="1"/>
  <c r="J99" i="140"/>
  <c r="J98" i="140"/>
  <c r="J97" i="140"/>
  <c r="J96" i="140"/>
  <c r="W96" i="140" s="1"/>
  <c r="J95" i="140"/>
  <c r="W95" i="140" s="1"/>
  <c r="B95" i="140"/>
  <c r="B96" i="140" s="1"/>
  <c r="B97" i="140" s="1"/>
  <c r="B98" i="140" s="1"/>
  <c r="B99" i="140" s="1"/>
  <c r="B100" i="140" s="1"/>
  <c r="B101" i="140" s="1"/>
  <c r="B102" i="140" s="1"/>
  <c r="B103" i="140" s="1"/>
  <c r="B104" i="140" s="1"/>
  <c r="B105" i="140" s="1"/>
  <c r="B106" i="140" s="1"/>
  <c r="B107" i="140" s="1"/>
  <c r="B108" i="140" s="1"/>
  <c r="B109" i="140" s="1"/>
  <c r="B110" i="140" s="1"/>
  <c r="B111" i="140" s="1"/>
  <c r="B112" i="140" s="1"/>
  <c r="B113" i="140" s="1"/>
  <c r="B114" i="140" s="1"/>
  <c r="B115" i="140" s="1"/>
  <c r="B116" i="140" s="1"/>
  <c r="J94" i="140"/>
  <c r="W94" i="140" s="1"/>
  <c r="J85" i="140"/>
  <c r="J84" i="140"/>
  <c r="J83" i="140"/>
  <c r="J82" i="140"/>
  <c r="W82" i="140" s="1"/>
  <c r="J81" i="140"/>
  <c r="J80" i="140"/>
  <c r="J79" i="140"/>
  <c r="J78" i="140"/>
  <c r="J77" i="140"/>
  <c r="W77" i="140" s="1"/>
  <c r="J76" i="140"/>
  <c r="W76" i="140" s="1"/>
  <c r="J75" i="140"/>
  <c r="V75" i="140" s="1"/>
  <c r="J74" i="140"/>
  <c r="W74" i="140" s="1"/>
  <c r="J73" i="140"/>
  <c r="J72" i="140"/>
  <c r="J71" i="140"/>
  <c r="W71" i="140" s="1"/>
  <c r="J70" i="140"/>
  <c r="W70" i="140" s="1"/>
  <c r="J69" i="140"/>
  <c r="W69" i="140" s="1"/>
  <c r="J68" i="140"/>
  <c r="W68" i="140" s="1"/>
  <c r="J67" i="140"/>
  <c r="W67" i="140" s="1"/>
  <c r="J66" i="140"/>
  <c r="V66" i="140" s="1"/>
  <c r="J65" i="140"/>
  <c r="J64" i="140"/>
  <c r="J63" i="140"/>
  <c r="W63" i="140" s="1"/>
  <c r="J62" i="140"/>
  <c r="W62" i="140" s="1"/>
  <c r="B61" i="140"/>
  <c r="B62" i="140" s="1"/>
  <c r="B63" i="140" s="1"/>
  <c r="B64" i="140" s="1"/>
  <c r="B65" i="140" s="1"/>
  <c r="B66" i="140" s="1"/>
  <c r="B67" i="140" s="1"/>
  <c r="B68" i="140" s="1"/>
  <c r="B69" i="140" s="1"/>
  <c r="B70" i="140" s="1"/>
  <c r="B71" i="140" s="1"/>
  <c r="B72" i="140" s="1"/>
  <c r="B73" i="140" s="1"/>
  <c r="B74" i="140" s="1"/>
  <c r="B75" i="140" s="1"/>
  <c r="B76" i="140" s="1"/>
  <c r="B77" i="140" s="1"/>
  <c r="B78" i="140" s="1"/>
  <c r="B79" i="140" s="1"/>
  <c r="B80" i="140" s="1"/>
  <c r="B81" i="140" s="1"/>
  <c r="B82" i="140" s="1"/>
  <c r="J60" i="140"/>
  <c r="V60" i="140" s="1"/>
  <c r="W51" i="140"/>
  <c r="V51" i="140"/>
  <c r="W50" i="140"/>
  <c r="V50" i="140"/>
  <c r="W49" i="140"/>
  <c r="V49" i="140"/>
  <c r="W48" i="140"/>
  <c r="V48" i="140"/>
  <c r="W47" i="140"/>
  <c r="W46" i="140"/>
  <c r="W45" i="140"/>
  <c r="V45" i="140"/>
  <c r="W43" i="140"/>
  <c r="W42" i="140"/>
  <c r="V42" i="140"/>
  <c r="W40" i="140"/>
  <c r="W39" i="140"/>
  <c r="V38" i="140"/>
  <c r="W38" i="140"/>
  <c r="V37" i="140"/>
  <c r="V36" i="140"/>
  <c r="W36" i="140"/>
  <c r="V35" i="140"/>
  <c r="W34" i="140"/>
  <c r="W30" i="140"/>
  <c r="V30" i="140"/>
  <c r="W28" i="140"/>
  <c r="W27" i="140"/>
  <c r="W25" i="140"/>
  <c r="V25" i="140"/>
  <c r="W23" i="140"/>
  <c r="W19" i="140"/>
  <c r="V19" i="140"/>
  <c r="W18" i="140"/>
  <c r="N16" i="140"/>
  <c r="W15" i="140"/>
  <c r="N14" i="140"/>
  <c r="W13" i="140"/>
  <c r="N12" i="140"/>
  <c r="I12" i="140"/>
  <c r="J12" i="140" s="1"/>
  <c r="I11" i="140"/>
  <c r="J11" i="140" s="1"/>
  <c r="W11" i="140" s="1"/>
  <c r="N10" i="140"/>
  <c r="I10" i="140"/>
  <c r="J10" i="140" s="1"/>
  <c r="I9" i="140"/>
  <c r="J9" i="140" s="1"/>
  <c r="W9" i="140" s="1"/>
  <c r="N8" i="140"/>
  <c r="I8" i="140"/>
  <c r="J8" i="140" s="1"/>
  <c r="I7" i="140"/>
  <c r="J7" i="140" s="1"/>
  <c r="B7" i="140"/>
  <c r="B8" i="140" s="1"/>
  <c r="B9" i="140" s="1"/>
  <c r="B10" i="140" s="1"/>
  <c r="B11" i="140" s="1"/>
  <c r="B12" i="140" s="1"/>
  <c r="B13" i="140" s="1"/>
  <c r="B14" i="140" s="1"/>
  <c r="B15" i="140" s="1"/>
  <c r="B16" i="140" s="1"/>
  <c r="B17" i="140" s="1"/>
  <c r="B18" i="140" s="1"/>
  <c r="B19" i="140" s="1"/>
  <c r="B20" i="140" s="1"/>
  <c r="B21" i="140" s="1"/>
  <c r="B22" i="140" s="1"/>
  <c r="B23" i="140" s="1"/>
  <c r="B24" i="140" s="1"/>
  <c r="B25" i="140" s="1"/>
  <c r="B26" i="140" s="1"/>
  <c r="B27" i="140" s="1"/>
  <c r="B28" i="140" s="1"/>
  <c r="B29" i="140" s="1"/>
  <c r="B30" i="140" s="1"/>
  <c r="B31" i="140" s="1"/>
  <c r="B32" i="140" s="1"/>
  <c r="B33" i="140" s="1"/>
  <c r="B34" i="140" s="1"/>
  <c r="B35" i="140" s="1"/>
  <c r="B36" i="140" s="1"/>
  <c r="B37" i="140" s="1"/>
  <c r="B38" i="140" s="1"/>
  <c r="B39" i="140" s="1"/>
  <c r="B40" i="140" s="1"/>
  <c r="B41" i="140" s="1"/>
  <c r="B42" i="140" s="1"/>
  <c r="B43" i="140" s="1"/>
  <c r="B44" i="140" s="1"/>
  <c r="B45" i="140" s="1"/>
  <c r="B46" i="140" s="1"/>
  <c r="B47" i="140" s="1"/>
  <c r="B48" i="140" s="1"/>
  <c r="B49" i="140" s="1"/>
  <c r="B50" i="140" s="1"/>
  <c r="B51" i="140" s="1"/>
  <c r="N6" i="140"/>
  <c r="I6" i="140"/>
  <c r="J6" i="140" s="1"/>
  <c r="N4" i="140"/>
  <c r="W131" i="140" l="1"/>
  <c r="V82" i="140"/>
  <c r="V116" i="140"/>
  <c r="V159" i="140"/>
  <c r="W211" i="140"/>
  <c r="V211" i="140"/>
  <c r="W75" i="140"/>
  <c r="W172" i="140"/>
  <c r="V74" i="140"/>
  <c r="V71" i="140"/>
  <c r="W168" i="140"/>
  <c r="V135" i="140"/>
  <c r="V142" i="140"/>
  <c r="W149" i="140"/>
  <c r="W202" i="140"/>
  <c r="V69" i="140"/>
  <c r="W164" i="140"/>
  <c r="W132" i="140"/>
  <c r="W102" i="140"/>
  <c r="V101" i="140"/>
  <c r="V68" i="140"/>
  <c r="W66" i="140"/>
  <c r="V227" i="140"/>
  <c r="W162" i="140"/>
  <c r="W226" i="140"/>
  <c r="V96" i="140"/>
  <c r="V62" i="140"/>
  <c r="W8" i="140"/>
  <c r="V8" i="140"/>
  <c r="V95" i="140"/>
  <c r="V189" i="140"/>
  <c r="V125" i="140"/>
  <c r="V94" i="140"/>
  <c r="W60" i="140"/>
  <c r="V231" i="140"/>
  <c r="V233" i="140"/>
  <c r="V235" i="140"/>
  <c r="V237" i="140"/>
  <c r="V239" i="140"/>
  <c r="W241" i="140"/>
  <c r="W243" i="140"/>
  <c r="W245" i="140"/>
  <c r="V232" i="140"/>
  <c r="V234" i="140"/>
  <c r="V236" i="140"/>
  <c r="V238" i="140"/>
  <c r="W240" i="140"/>
  <c r="W242" i="140"/>
  <c r="W244" i="140"/>
  <c r="W246" i="140"/>
  <c r="V209" i="140"/>
  <c r="W214" i="140"/>
  <c r="V204" i="140"/>
  <c r="V191" i="140"/>
  <c r="W193" i="140"/>
  <c r="V195" i="140"/>
  <c r="V197" i="140"/>
  <c r="W199" i="140"/>
  <c r="W201" i="140"/>
  <c r="W203" i="140"/>
  <c r="V205" i="140"/>
  <c r="V208" i="140"/>
  <c r="V210" i="140"/>
  <c r="W190" i="140"/>
  <c r="W192" i="140"/>
  <c r="W194" i="140"/>
  <c r="V196" i="140"/>
  <c r="W198" i="140"/>
  <c r="W200" i="140"/>
  <c r="V170" i="140"/>
  <c r="W166" i="140"/>
  <c r="V174" i="140"/>
  <c r="W161" i="140"/>
  <c r="V163" i="140"/>
  <c r="W178" i="140"/>
  <c r="W165" i="140"/>
  <c r="W167" i="140"/>
  <c r="W169" i="140"/>
  <c r="W171" i="140"/>
  <c r="W173" i="140"/>
  <c r="V175" i="140"/>
  <c r="W180" i="140"/>
  <c r="V176" i="140"/>
  <c r="W160" i="140"/>
  <c r="W177" i="140"/>
  <c r="V179" i="140"/>
  <c r="W147" i="140"/>
  <c r="V139" i="140"/>
  <c r="V144" i="140"/>
  <c r="W145" i="140"/>
  <c r="W137" i="140"/>
  <c r="V129" i="140"/>
  <c r="W130" i="140"/>
  <c r="V133" i="140"/>
  <c r="W134" i="140"/>
  <c r="W136" i="140"/>
  <c r="W143" i="140"/>
  <c r="W146" i="140"/>
  <c r="W148" i="140"/>
  <c r="V103" i="140"/>
  <c r="V105" i="140"/>
  <c r="V108" i="140"/>
  <c r="V110" i="140"/>
  <c r="V104" i="140"/>
  <c r="V100" i="140"/>
  <c r="V109" i="140"/>
  <c r="V112" i="140"/>
  <c r="V115" i="140"/>
  <c r="V111" i="140"/>
  <c r="V67" i="140"/>
  <c r="V77" i="140"/>
  <c r="V63" i="140"/>
  <c r="V70" i="140"/>
  <c r="V76" i="140"/>
  <c r="W6" i="140"/>
  <c r="V6" i="140"/>
  <c r="V12" i="140"/>
  <c r="W12" i="140"/>
  <c r="V14" i="140"/>
  <c r="W14" i="140"/>
  <c r="W17" i="140"/>
  <c r="V17" i="140"/>
  <c r="W24" i="140"/>
  <c r="V24" i="140"/>
  <c r="V26" i="140"/>
  <c r="W26" i="140"/>
  <c r="W31" i="140"/>
  <c r="V31" i="140"/>
  <c r="W44" i="140"/>
  <c r="V44" i="140"/>
  <c r="W21" i="140"/>
  <c r="V21" i="140"/>
  <c r="W16" i="140"/>
  <c r="V16" i="140"/>
  <c r="W22" i="140"/>
  <c r="V22" i="140"/>
  <c r="V32" i="140"/>
  <c r="W32" i="140"/>
  <c r="W41" i="140"/>
  <c r="V41" i="140"/>
  <c r="W7" i="140"/>
  <c r="V7" i="140"/>
  <c r="V10" i="140"/>
  <c r="W10" i="140"/>
  <c r="W20" i="140"/>
  <c r="V20" i="140"/>
  <c r="V33" i="140"/>
  <c r="W33" i="140"/>
  <c r="W98" i="140"/>
  <c r="V98" i="140"/>
  <c r="W107" i="140"/>
  <c r="V107" i="140"/>
  <c r="W113" i="140"/>
  <c r="V113" i="140"/>
  <c r="W141" i="140"/>
  <c r="V141" i="140"/>
  <c r="V9" i="140"/>
  <c r="V11" i="140"/>
  <c r="V13" i="140"/>
  <c r="V15" i="140"/>
  <c r="N18" i="140"/>
  <c r="V23" i="140"/>
  <c r="V27" i="140"/>
  <c r="V28" i="140"/>
  <c r="W37" i="140"/>
  <c r="V39" i="140"/>
  <c r="V40" i="140"/>
  <c r="V46" i="140"/>
  <c r="J86" i="140"/>
  <c r="W78" i="140"/>
  <c r="V78" i="140"/>
  <c r="W99" i="140"/>
  <c r="V99" i="140"/>
  <c r="W114" i="140"/>
  <c r="V114" i="140"/>
  <c r="W127" i="140"/>
  <c r="V127" i="140"/>
  <c r="W138" i="140"/>
  <c r="V138" i="140"/>
  <c r="V158" i="140"/>
  <c r="J181" i="140"/>
  <c r="W158" i="140"/>
  <c r="V18" i="140"/>
  <c r="W64" i="140"/>
  <c r="V64" i="140"/>
  <c r="W72" i="140"/>
  <c r="V72" i="140"/>
  <c r="W79" i="140"/>
  <c r="V79" i="140"/>
  <c r="W85" i="140"/>
  <c r="V85" i="140"/>
  <c r="J117" i="140"/>
  <c r="W128" i="140"/>
  <c r="V128" i="140"/>
  <c r="W140" i="140"/>
  <c r="V140" i="140"/>
  <c r="V34" i="140"/>
  <c r="W35" i="140"/>
  <c r="V43" i="140"/>
  <c r="V47" i="140"/>
  <c r="V61" i="140"/>
  <c r="W65" i="140"/>
  <c r="V65" i="140"/>
  <c r="W73" i="140"/>
  <c r="V73" i="140"/>
  <c r="W80" i="140"/>
  <c r="V80" i="140"/>
  <c r="W97" i="140"/>
  <c r="V97" i="140"/>
  <c r="W106" i="140"/>
  <c r="V106" i="140"/>
  <c r="W126" i="140"/>
  <c r="V126" i="140"/>
  <c r="W230" i="140"/>
  <c r="V230" i="140"/>
  <c r="W206" i="140"/>
  <c r="V206" i="140"/>
  <c r="W224" i="140"/>
  <c r="V224" i="140"/>
  <c r="W207" i="140"/>
  <c r="V207" i="140"/>
  <c r="W225" i="140"/>
  <c r="V225" i="140"/>
  <c r="W228" i="140"/>
  <c r="V228" i="140"/>
  <c r="J150" i="140"/>
  <c r="W223" i="140"/>
  <c r="J247" i="140"/>
  <c r="V223" i="140"/>
  <c r="W229" i="140"/>
  <c r="V229" i="140"/>
  <c r="J215" i="140"/>
  <c r="H179" i="139"/>
  <c r="W215" i="140" l="1"/>
  <c r="P14" i="140" s="1"/>
  <c r="V215" i="140"/>
  <c r="O14" i="140" s="1"/>
  <c r="V181" i="140"/>
  <c r="O12" i="140" s="1"/>
  <c r="R12" i="140" s="1"/>
  <c r="W181" i="140"/>
  <c r="P12" i="140" s="1"/>
  <c r="V150" i="140"/>
  <c r="O10" i="140" s="1"/>
  <c r="R10" i="140" s="1"/>
  <c r="W150" i="140"/>
  <c r="P10" i="140" s="1"/>
  <c r="W117" i="140"/>
  <c r="P8" i="140" s="1"/>
  <c r="V117" i="140"/>
  <c r="O8" i="140" s="1"/>
  <c r="R8" i="140" s="1"/>
  <c r="W86" i="140"/>
  <c r="P6" i="140" s="1"/>
  <c r="V86" i="140"/>
  <c r="O6" i="140" s="1"/>
  <c r="R6" i="140" s="1"/>
  <c r="V247" i="140"/>
  <c r="O16" i="140" s="1"/>
  <c r="R16" i="140" s="1"/>
  <c r="W29" i="140"/>
  <c r="W52" i="140" s="1"/>
  <c r="P4" i="140" s="1"/>
  <c r="V29" i="140"/>
  <c r="V52" i="140" s="1"/>
  <c r="O4" i="140" s="1"/>
  <c r="W247" i="140"/>
  <c r="P16" i="140" s="1"/>
  <c r="J52" i="140"/>
  <c r="I46" i="139"/>
  <c r="I45" i="139"/>
  <c r="H45" i="139"/>
  <c r="H80" i="139"/>
  <c r="H78" i="139"/>
  <c r="H77" i="139"/>
  <c r="H114" i="139"/>
  <c r="H113" i="139"/>
  <c r="H146" i="139"/>
  <c r="H211" i="139"/>
  <c r="H177" i="139"/>
  <c r="Q12" i="140" l="1"/>
  <c r="Q10" i="140"/>
  <c r="P18" i="140"/>
  <c r="Q14" i="140"/>
  <c r="R14" i="140"/>
  <c r="Q8" i="140"/>
  <c r="Q6" i="140"/>
  <c r="O18" i="140"/>
  <c r="R18" i="140" s="1"/>
  <c r="P20" i="140" s="1"/>
  <c r="R4" i="140"/>
  <c r="Q4" i="140"/>
  <c r="I44" i="139"/>
  <c r="I43" i="139"/>
  <c r="H42" i="139"/>
  <c r="I42" i="139"/>
  <c r="I41" i="139"/>
  <c r="I40" i="139"/>
  <c r="I39" i="139"/>
  <c r="Q18" i="140" l="1"/>
  <c r="I38" i="139"/>
  <c r="H37" i="139"/>
  <c r="I37" i="139"/>
  <c r="H36" i="139"/>
  <c r="I36" i="139"/>
  <c r="I35" i="139"/>
  <c r="H238" i="139" l="1"/>
  <c r="H207" i="139"/>
  <c r="H206" i="139"/>
  <c r="H204" i="139"/>
  <c r="H174" i="139"/>
  <c r="H171" i="139"/>
  <c r="H170" i="139"/>
  <c r="H111" i="139"/>
  <c r="H144" i="139"/>
  <c r="H143" i="139"/>
  <c r="H141" i="139"/>
  <c r="H139" i="139"/>
  <c r="H138" i="139"/>
  <c r="H110" i="139"/>
  <c r="H76" i="139"/>
  <c r="H107" i="139" l="1"/>
  <c r="H106" i="139"/>
  <c r="H73" i="139"/>
  <c r="H72" i="139"/>
  <c r="I34" i="139"/>
  <c r="H33" i="139"/>
  <c r="I33" i="139"/>
  <c r="I32" i="139"/>
  <c r="I31" i="139"/>
  <c r="I30" i="139"/>
  <c r="I24" i="139" l="1"/>
  <c r="I25" i="139"/>
  <c r="I26" i="139"/>
  <c r="I27" i="139"/>
  <c r="I28" i="139"/>
  <c r="I29" i="139"/>
  <c r="H29" i="139"/>
  <c r="H136" i="139"/>
  <c r="H70" i="139"/>
  <c r="H27" i="139"/>
  <c r="H103" i="139"/>
  <c r="H135" i="139"/>
  <c r="H198" i="139"/>
  <c r="H102" i="139"/>
  <c r="H68" i="139"/>
  <c r="I23" i="139"/>
  <c r="H22" i="139"/>
  <c r="I22" i="139"/>
  <c r="I21" i="139"/>
  <c r="I20" i="139"/>
  <c r="H17" i="139" l="1"/>
  <c r="H61" i="139"/>
  <c r="H195" i="139"/>
  <c r="J195" i="139" s="1"/>
  <c r="W195" i="139" s="1"/>
  <c r="H164" i="139"/>
  <c r="J164" i="139" s="1"/>
  <c r="V164" i="139" s="1"/>
  <c r="I19" i="139"/>
  <c r="I18" i="139"/>
  <c r="I17" i="139"/>
  <c r="I16" i="139"/>
  <c r="J16" i="139" s="1"/>
  <c r="H65" i="139"/>
  <c r="H99" i="139"/>
  <c r="H163" i="139"/>
  <c r="H228" i="139"/>
  <c r="J228" i="139" s="1"/>
  <c r="H226" i="139"/>
  <c r="H129" i="139"/>
  <c r="H64" i="139"/>
  <c r="I15" i="139"/>
  <c r="J15" i="139" s="1"/>
  <c r="H14" i="139"/>
  <c r="I14" i="139"/>
  <c r="I13" i="139"/>
  <c r="H12" i="139"/>
  <c r="J12" i="139" s="1"/>
  <c r="I12" i="139"/>
  <c r="H97" i="139"/>
  <c r="H128" i="139"/>
  <c r="H192" i="139"/>
  <c r="J192" i="139" s="1"/>
  <c r="H225" i="139"/>
  <c r="H224" i="139"/>
  <c r="H223" i="139"/>
  <c r="H191" i="139"/>
  <c r="J191" i="139" s="1"/>
  <c r="V191" i="139" s="1"/>
  <c r="H160" i="139"/>
  <c r="H96" i="139"/>
  <c r="H11" i="139"/>
  <c r="I11" i="139"/>
  <c r="J11" i="139" s="1"/>
  <c r="I10" i="139"/>
  <c r="I8" i="139"/>
  <c r="J8" i="139" s="1"/>
  <c r="W8" i="139" s="1"/>
  <c r="I9" i="139"/>
  <c r="J9" i="139"/>
  <c r="H126" i="139"/>
  <c r="H159" i="139"/>
  <c r="H190" i="139"/>
  <c r="H60" i="139"/>
  <c r="J60" i="139" s="1"/>
  <c r="H7" i="139"/>
  <c r="J244" i="139"/>
  <c r="V244" i="139" s="1"/>
  <c r="J243" i="139"/>
  <c r="V243" i="139" s="1"/>
  <c r="J242" i="139"/>
  <c r="V242" i="139" s="1"/>
  <c r="J241" i="139"/>
  <c r="V241" i="139" s="1"/>
  <c r="J240" i="139"/>
  <c r="V240" i="139" s="1"/>
  <c r="J239" i="139"/>
  <c r="V239" i="139" s="1"/>
  <c r="J238" i="139"/>
  <c r="V238" i="139" s="1"/>
  <c r="J237" i="139"/>
  <c r="J236" i="139"/>
  <c r="W236" i="139" s="1"/>
  <c r="J235" i="139"/>
  <c r="W235" i="139" s="1"/>
  <c r="W234" i="139"/>
  <c r="J234" i="139"/>
  <c r="V234" i="139" s="1"/>
  <c r="J233" i="139"/>
  <c r="V233" i="139" s="1"/>
  <c r="J232" i="139"/>
  <c r="J231" i="139"/>
  <c r="V231" i="139" s="1"/>
  <c r="J230" i="139"/>
  <c r="V230" i="139" s="1"/>
  <c r="J229" i="139"/>
  <c r="V229" i="139" s="1"/>
  <c r="J227" i="139"/>
  <c r="W227" i="139" s="1"/>
  <c r="J226" i="139"/>
  <c r="W226" i="139" s="1"/>
  <c r="J225" i="139"/>
  <c r="W225" i="139" s="1"/>
  <c r="J224" i="139"/>
  <c r="W224" i="139" s="1"/>
  <c r="J223" i="139"/>
  <c r="V223" i="139" s="1"/>
  <c r="J222" i="139"/>
  <c r="W222" i="139" s="1"/>
  <c r="B222" i="139"/>
  <c r="B223" i="139" s="1"/>
  <c r="B224" i="139" s="1"/>
  <c r="B225" i="139" s="1"/>
  <c r="B226" i="139" s="1"/>
  <c r="B227" i="139" s="1"/>
  <c r="B228" i="139" s="1"/>
  <c r="B229" i="139" s="1"/>
  <c r="B230" i="139" s="1"/>
  <c r="B231" i="139" s="1"/>
  <c r="B232" i="139" s="1"/>
  <c r="B233" i="139" s="1"/>
  <c r="B234" i="139" s="1"/>
  <c r="B235" i="139" s="1"/>
  <c r="B236" i="139" s="1"/>
  <c r="B237" i="139" s="1"/>
  <c r="B238" i="139" s="1"/>
  <c r="B239" i="139" s="1"/>
  <c r="B240" i="139" s="1"/>
  <c r="B241" i="139" s="1"/>
  <c r="B242" i="139" s="1"/>
  <c r="B243" i="139" s="1"/>
  <c r="B244" i="139" s="1"/>
  <c r="J221" i="139"/>
  <c r="V221" i="139" s="1"/>
  <c r="J212" i="139"/>
  <c r="W212" i="139" s="1"/>
  <c r="J211" i="139"/>
  <c r="J210" i="139"/>
  <c r="J209" i="139"/>
  <c r="J208" i="139"/>
  <c r="V208" i="139" s="1"/>
  <c r="J207" i="139"/>
  <c r="V207" i="139" s="1"/>
  <c r="J206" i="139"/>
  <c r="J205" i="139"/>
  <c r="W205" i="139" s="1"/>
  <c r="J204" i="139"/>
  <c r="W204" i="139" s="1"/>
  <c r="J203" i="139"/>
  <c r="W203" i="139" s="1"/>
  <c r="J202" i="139"/>
  <c r="W202" i="139" s="1"/>
  <c r="J201" i="139"/>
  <c r="W201" i="139" s="1"/>
  <c r="J200" i="139"/>
  <c r="W200" i="139" s="1"/>
  <c r="J199" i="139"/>
  <c r="W199" i="139" s="1"/>
  <c r="J198" i="139"/>
  <c r="W198" i="139" s="1"/>
  <c r="J197" i="139"/>
  <c r="W197" i="139" s="1"/>
  <c r="J196" i="139"/>
  <c r="W196" i="139" s="1"/>
  <c r="J194" i="139"/>
  <c r="V194" i="139" s="1"/>
  <c r="J193" i="139"/>
  <c r="V193" i="139" s="1"/>
  <c r="J190" i="139"/>
  <c r="V190" i="139" s="1"/>
  <c r="B190" i="139"/>
  <c r="B191" i="139" s="1"/>
  <c r="B192" i="139" s="1"/>
  <c r="B193" i="139" s="1"/>
  <c r="B194" i="139" s="1"/>
  <c r="B195" i="139" s="1"/>
  <c r="B196" i="139" s="1"/>
  <c r="B197" i="139" s="1"/>
  <c r="B198" i="139" s="1"/>
  <c r="B199" i="139" s="1"/>
  <c r="B200" i="139" s="1"/>
  <c r="B201" i="139" s="1"/>
  <c r="B202" i="139" s="1"/>
  <c r="B203" i="139" s="1"/>
  <c r="B204" i="139" s="1"/>
  <c r="B205" i="139" s="1"/>
  <c r="B206" i="139" s="1"/>
  <c r="B207" i="139" s="1"/>
  <c r="B208" i="139" s="1"/>
  <c r="B209" i="139" s="1"/>
  <c r="B210" i="139" s="1"/>
  <c r="J189" i="139"/>
  <c r="J180" i="139"/>
  <c r="V180" i="139" s="1"/>
  <c r="J179" i="139"/>
  <c r="W179" i="139" s="1"/>
  <c r="J178" i="139"/>
  <c r="V178" i="139" s="1"/>
  <c r="J177" i="139"/>
  <c r="J176" i="139"/>
  <c r="J175" i="139"/>
  <c r="J174" i="139"/>
  <c r="W174" i="139" s="1"/>
  <c r="J173" i="139"/>
  <c r="J172" i="139"/>
  <c r="W172" i="139" s="1"/>
  <c r="J171" i="139"/>
  <c r="V171" i="139" s="1"/>
  <c r="J170" i="139"/>
  <c r="W170" i="139" s="1"/>
  <c r="J169" i="139"/>
  <c r="W169" i="139" s="1"/>
  <c r="J168" i="139"/>
  <c r="V168" i="139" s="1"/>
  <c r="J167" i="139"/>
  <c r="V167" i="139" s="1"/>
  <c r="J166" i="139"/>
  <c r="W166" i="139" s="1"/>
  <c r="J165" i="139"/>
  <c r="W165" i="139" s="1"/>
  <c r="J163" i="139"/>
  <c r="V163" i="139" s="1"/>
  <c r="J162" i="139"/>
  <c r="W162" i="139" s="1"/>
  <c r="J161" i="139"/>
  <c r="V161" i="139" s="1"/>
  <c r="J160" i="139"/>
  <c r="V160" i="139" s="1"/>
  <c r="J159" i="139"/>
  <c r="V159" i="139" s="1"/>
  <c r="B159" i="139"/>
  <c r="B160" i="139" s="1"/>
  <c r="B161" i="139" s="1"/>
  <c r="B162" i="139" s="1"/>
  <c r="B163" i="139" s="1"/>
  <c r="B164" i="139" s="1"/>
  <c r="B165" i="139" s="1"/>
  <c r="B166" i="139" s="1"/>
  <c r="B167" i="139" s="1"/>
  <c r="B168" i="139" s="1"/>
  <c r="B169" i="139" s="1"/>
  <c r="B170" i="139" s="1"/>
  <c r="B171" i="139" s="1"/>
  <c r="B172" i="139" s="1"/>
  <c r="B173" i="139" s="1"/>
  <c r="B174" i="139" s="1"/>
  <c r="B175" i="139" s="1"/>
  <c r="B176" i="139" s="1"/>
  <c r="B177" i="139" s="1"/>
  <c r="B178" i="139" s="1"/>
  <c r="B179" i="139" s="1"/>
  <c r="B180" i="139" s="1"/>
  <c r="J158" i="139"/>
  <c r="J149" i="139"/>
  <c r="W149" i="139" s="1"/>
  <c r="J148" i="139"/>
  <c r="W148" i="139" s="1"/>
  <c r="J147" i="139"/>
  <c r="J146" i="139"/>
  <c r="V146" i="139" s="1"/>
  <c r="J145" i="139"/>
  <c r="V145" i="139" s="1"/>
  <c r="J144" i="139"/>
  <c r="V144" i="139" s="1"/>
  <c r="J143" i="139"/>
  <c r="J142" i="139"/>
  <c r="J141" i="139"/>
  <c r="J140" i="139"/>
  <c r="V140" i="139" s="1"/>
  <c r="J139" i="139"/>
  <c r="V139" i="139" s="1"/>
  <c r="J138" i="139"/>
  <c r="W138" i="139" s="1"/>
  <c r="J137" i="139"/>
  <c r="V137" i="139" s="1"/>
  <c r="J136" i="139"/>
  <c r="W136" i="139" s="1"/>
  <c r="J135" i="139"/>
  <c r="W135" i="139" s="1"/>
  <c r="J134" i="139"/>
  <c r="W134" i="139" s="1"/>
  <c r="J133" i="139"/>
  <c r="V133" i="139" s="1"/>
  <c r="J132" i="139"/>
  <c r="V132" i="139" s="1"/>
  <c r="J131" i="139"/>
  <c r="V131" i="139" s="1"/>
  <c r="J130" i="139"/>
  <c r="J129" i="139"/>
  <c r="V129" i="139" s="1"/>
  <c r="J128" i="139"/>
  <c r="V128" i="139" s="1"/>
  <c r="J127" i="139"/>
  <c r="W127" i="139" s="1"/>
  <c r="J126" i="139"/>
  <c r="W126" i="139" s="1"/>
  <c r="B126" i="139"/>
  <c r="B127" i="139" s="1"/>
  <c r="B128" i="139" s="1"/>
  <c r="B129" i="139" s="1"/>
  <c r="B130" i="139" s="1"/>
  <c r="B131" i="139" s="1"/>
  <c r="B132" i="139" s="1"/>
  <c r="B133" i="139" s="1"/>
  <c r="B134" i="139" s="1"/>
  <c r="B135" i="139" s="1"/>
  <c r="B136" i="139" s="1"/>
  <c r="B137" i="139" s="1"/>
  <c r="B138" i="139" s="1"/>
  <c r="B139" i="139" s="1"/>
  <c r="B140" i="139" s="1"/>
  <c r="B141" i="139" s="1"/>
  <c r="B142" i="139" s="1"/>
  <c r="B143" i="139" s="1"/>
  <c r="B144" i="139" s="1"/>
  <c r="B145" i="139" s="1"/>
  <c r="B146" i="139" s="1"/>
  <c r="B147" i="139" s="1"/>
  <c r="B148" i="139" s="1"/>
  <c r="B149" i="139" s="1"/>
  <c r="J125" i="139"/>
  <c r="J116" i="139"/>
  <c r="V116" i="139" s="1"/>
  <c r="J115" i="139"/>
  <c r="J114" i="139"/>
  <c r="J113" i="139"/>
  <c r="J112" i="139"/>
  <c r="V112" i="139" s="1"/>
  <c r="J111" i="139"/>
  <c r="V111" i="139" s="1"/>
  <c r="J110" i="139"/>
  <c r="W110" i="139" s="1"/>
  <c r="J109" i="139"/>
  <c r="W109" i="139" s="1"/>
  <c r="J108" i="139"/>
  <c r="W108" i="139" s="1"/>
  <c r="J107" i="139"/>
  <c r="V107" i="139" s="1"/>
  <c r="J106" i="139"/>
  <c r="W106" i="139" s="1"/>
  <c r="J105" i="139"/>
  <c r="W105" i="139" s="1"/>
  <c r="J104" i="139"/>
  <c r="W104" i="139" s="1"/>
  <c r="J103" i="139"/>
  <c r="V103" i="139" s="1"/>
  <c r="J102" i="139"/>
  <c r="V102" i="139" s="1"/>
  <c r="J101" i="139"/>
  <c r="W101" i="139" s="1"/>
  <c r="J100" i="139"/>
  <c r="W100" i="139" s="1"/>
  <c r="J99" i="139"/>
  <c r="V99" i="139" s="1"/>
  <c r="J98" i="139"/>
  <c r="V98" i="139" s="1"/>
  <c r="J97" i="139"/>
  <c r="W97" i="139" s="1"/>
  <c r="J96" i="139"/>
  <c r="W96" i="139" s="1"/>
  <c r="J95" i="139"/>
  <c r="B95" i="139"/>
  <c r="B96" i="139" s="1"/>
  <c r="B97" i="139" s="1"/>
  <c r="B98" i="139" s="1"/>
  <c r="B99" i="139" s="1"/>
  <c r="B100" i="139" s="1"/>
  <c r="B101" i="139" s="1"/>
  <c r="B102" i="139" s="1"/>
  <c r="B103" i="139" s="1"/>
  <c r="B104" i="139" s="1"/>
  <c r="B105" i="139" s="1"/>
  <c r="B106" i="139" s="1"/>
  <c r="B107" i="139" s="1"/>
  <c r="B108" i="139" s="1"/>
  <c r="B109" i="139" s="1"/>
  <c r="B110" i="139" s="1"/>
  <c r="B111" i="139" s="1"/>
  <c r="B112" i="139" s="1"/>
  <c r="B113" i="139" s="1"/>
  <c r="B114" i="139" s="1"/>
  <c r="B115" i="139" s="1"/>
  <c r="B116" i="139" s="1"/>
  <c r="J94" i="139"/>
  <c r="W94" i="139" s="1"/>
  <c r="J85" i="139"/>
  <c r="J84" i="139"/>
  <c r="J83" i="139"/>
  <c r="J82" i="139"/>
  <c r="W82" i="139" s="1"/>
  <c r="J81" i="139"/>
  <c r="J80" i="139"/>
  <c r="V80" i="139" s="1"/>
  <c r="J79" i="139"/>
  <c r="V79" i="139" s="1"/>
  <c r="J78" i="139"/>
  <c r="J77" i="139"/>
  <c r="J76" i="139"/>
  <c r="J75" i="139"/>
  <c r="J74" i="139"/>
  <c r="J73" i="139"/>
  <c r="W73" i="139" s="1"/>
  <c r="J72" i="139"/>
  <c r="W72" i="139" s="1"/>
  <c r="J71" i="139"/>
  <c r="W71" i="139" s="1"/>
  <c r="J70" i="139"/>
  <c r="W70" i="139" s="1"/>
  <c r="J69" i="139"/>
  <c r="V69" i="139" s="1"/>
  <c r="J68" i="139"/>
  <c r="V68" i="139" s="1"/>
  <c r="J67" i="139"/>
  <c r="V67" i="139" s="1"/>
  <c r="J66" i="139"/>
  <c r="V66" i="139" s="1"/>
  <c r="J65" i="139"/>
  <c r="J64" i="139"/>
  <c r="J63" i="139"/>
  <c r="W63" i="139" s="1"/>
  <c r="J62" i="139"/>
  <c r="W62" i="139" s="1"/>
  <c r="J61" i="139"/>
  <c r="V61" i="139" s="1"/>
  <c r="B61" i="139"/>
  <c r="B62" i="139" s="1"/>
  <c r="B63" i="139" s="1"/>
  <c r="B64" i="139" s="1"/>
  <c r="B65" i="139" s="1"/>
  <c r="B66" i="139" s="1"/>
  <c r="B67" i="139" s="1"/>
  <c r="B68" i="139" s="1"/>
  <c r="B69" i="139" s="1"/>
  <c r="B70" i="139" s="1"/>
  <c r="B71" i="139" s="1"/>
  <c r="B72" i="139" s="1"/>
  <c r="B73" i="139" s="1"/>
  <c r="B74" i="139" s="1"/>
  <c r="B75" i="139" s="1"/>
  <c r="B76" i="139" s="1"/>
  <c r="B77" i="139" s="1"/>
  <c r="B78" i="139" s="1"/>
  <c r="B79" i="139" s="1"/>
  <c r="B80" i="139" s="1"/>
  <c r="B81" i="139" s="1"/>
  <c r="B82" i="139" s="1"/>
  <c r="W51" i="139"/>
  <c r="V51" i="139"/>
  <c r="W50" i="139"/>
  <c r="V50" i="139"/>
  <c r="W49" i="139"/>
  <c r="V49" i="139"/>
  <c r="W48" i="139"/>
  <c r="V48" i="139"/>
  <c r="J47" i="139"/>
  <c r="V47" i="139" s="1"/>
  <c r="J46" i="139"/>
  <c r="J45" i="139"/>
  <c r="W45" i="139" s="1"/>
  <c r="J44" i="139"/>
  <c r="W44" i="139" s="1"/>
  <c r="J43" i="139"/>
  <c r="J42" i="139"/>
  <c r="W42" i="139" s="1"/>
  <c r="J41" i="139"/>
  <c r="J40" i="139"/>
  <c r="W40" i="139" s="1"/>
  <c r="J39" i="139"/>
  <c r="J38" i="139"/>
  <c r="W38" i="139" s="1"/>
  <c r="J36" i="139"/>
  <c r="W36" i="139" s="1"/>
  <c r="J35" i="139"/>
  <c r="W35" i="139" s="1"/>
  <c r="J34" i="139"/>
  <c r="J33" i="139"/>
  <c r="W33" i="139" s="1"/>
  <c r="J32" i="139"/>
  <c r="J31" i="139"/>
  <c r="V31" i="139" s="1"/>
  <c r="J29" i="139"/>
  <c r="W29" i="139" s="1"/>
  <c r="J28" i="139"/>
  <c r="V28" i="139" s="1"/>
  <c r="J27" i="139"/>
  <c r="V27" i="139" s="1"/>
  <c r="J26" i="139"/>
  <c r="W26" i="139" s="1"/>
  <c r="J25" i="139"/>
  <c r="V25" i="139" s="1"/>
  <c r="J24" i="139"/>
  <c r="J23" i="139"/>
  <c r="W23" i="139" s="1"/>
  <c r="J22" i="139"/>
  <c r="W22" i="139" s="1"/>
  <c r="J21" i="139"/>
  <c r="V21" i="139" s="1"/>
  <c r="J20" i="139"/>
  <c r="J19" i="139"/>
  <c r="V19" i="139" s="1"/>
  <c r="J18" i="139"/>
  <c r="J17" i="139"/>
  <c r="N16" i="139"/>
  <c r="N14" i="139"/>
  <c r="J14" i="139"/>
  <c r="J13" i="139"/>
  <c r="N12" i="139"/>
  <c r="N10" i="139"/>
  <c r="J10" i="139"/>
  <c r="W10" i="139" s="1"/>
  <c r="N8" i="139"/>
  <c r="I7" i="139"/>
  <c r="J7" i="139" s="1"/>
  <c r="B7" i="139"/>
  <c r="B8" i="139" s="1"/>
  <c r="B9" i="139" s="1"/>
  <c r="B10" i="139" s="1"/>
  <c r="B11" i="139" s="1"/>
  <c r="B12" i="139" s="1"/>
  <c r="B13" i="139" s="1"/>
  <c r="B14" i="139" s="1"/>
  <c r="B15" i="139" s="1"/>
  <c r="B16" i="139" s="1"/>
  <c r="B17" i="139" s="1"/>
  <c r="B18" i="139" s="1"/>
  <c r="B19" i="139" s="1"/>
  <c r="B20" i="139" s="1"/>
  <c r="B21" i="139" s="1"/>
  <c r="B22" i="139" s="1"/>
  <c r="B23" i="139" s="1"/>
  <c r="B24" i="139" s="1"/>
  <c r="B25" i="139" s="1"/>
  <c r="B26" i="139" s="1"/>
  <c r="B27" i="139" s="1"/>
  <c r="B28" i="139" s="1"/>
  <c r="B29" i="139" s="1"/>
  <c r="B30" i="139" s="1"/>
  <c r="B31" i="139" s="1"/>
  <c r="B32" i="139" s="1"/>
  <c r="B33" i="139" s="1"/>
  <c r="B34" i="139" s="1"/>
  <c r="B35" i="139" s="1"/>
  <c r="B36" i="139" s="1"/>
  <c r="B37" i="139" s="1"/>
  <c r="B38" i="139" s="1"/>
  <c r="B39" i="139" s="1"/>
  <c r="B40" i="139" s="1"/>
  <c r="B41" i="139" s="1"/>
  <c r="B42" i="139" s="1"/>
  <c r="B43" i="139" s="1"/>
  <c r="B44" i="139" s="1"/>
  <c r="B45" i="139" s="1"/>
  <c r="B46" i="139" s="1"/>
  <c r="B47" i="139" s="1"/>
  <c r="B48" i="139" s="1"/>
  <c r="B49" i="139" s="1"/>
  <c r="B50" i="139" s="1"/>
  <c r="B51" i="139" s="1"/>
  <c r="N6" i="139"/>
  <c r="I6" i="139"/>
  <c r="J6" i="139" s="1"/>
  <c r="N4" i="139"/>
  <c r="W167" i="139" l="1"/>
  <c r="V174" i="139"/>
  <c r="V109" i="139"/>
  <c r="V106" i="139"/>
  <c r="V169" i="139"/>
  <c r="V26" i="139"/>
  <c r="V105" i="139"/>
  <c r="V110" i="139"/>
  <c r="W160" i="139"/>
  <c r="W233" i="139"/>
  <c r="W243" i="139"/>
  <c r="V136" i="139"/>
  <c r="W168" i="139"/>
  <c r="W180" i="139"/>
  <c r="W190" i="139"/>
  <c r="W171" i="139"/>
  <c r="V200" i="139"/>
  <c r="V45" i="139"/>
  <c r="W69" i="139"/>
  <c r="V192" i="139"/>
  <c r="W192" i="139"/>
  <c r="W31" i="139"/>
  <c r="W28" i="139"/>
  <c r="V165" i="139"/>
  <c r="W244" i="139"/>
  <c r="W107" i="139"/>
  <c r="W111" i="139"/>
  <c r="W137" i="139"/>
  <c r="W140" i="139"/>
  <c r="V70" i="139"/>
  <c r="V72" i="139"/>
  <c r="W103" i="139"/>
  <c r="W102" i="139"/>
  <c r="V101" i="139"/>
  <c r="W133" i="139"/>
  <c r="W223" i="139"/>
  <c r="W164" i="139"/>
  <c r="W131" i="139"/>
  <c r="W99" i="139"/>
  <c r="W163" i="139"/>
  <c r="W194" i="139"/>
  <c r="V226" i="139"/>
  <c r="W193" i="139"/>
  <c r="V97" i="139"/>
  <c r="V62" i="139"/>
  <c r="V222" i="139"/>
  <c r="V225" i="139"/>
  <c r="W231" i="139"/>
  <c r="W239" i="139"/>
  <c r="V224" i="139"/>
  <c r="V235" i="139"/>
  <c r="W221" i="139"/>
  <c r="W241" i="139"/>
  <c r="V227" i="139"/>
  <c r="W230" i="139"/>
  <c r="W238" i="139"/>
  <c r="W240" i="139"/>
  <c r="W242" i="139"/>
  <c r="W191" i="139"/>
  <c r="W208" i="139"/>
  <c r="W207" i="139"/>
  <c r="W161" i="139"/>
  <c r="V166" i="139"/>
  <c r="V170" i="139"/>
  <c r="V179" i="139"/>
  <c r="W159" i="139"/>
  <c r="V172" i="139"/>
  <c r="W178" i="139"/>
  <c r="V135" i="139"/>
  <c r="V149" i="139"/>
  <c r="V127" i="139"/>
  <c r="W132" i="139"/>
  <c r="V134" i="139"/>
  <c r="V138" i="139"/>
  <c r="W139" i="139"/>
  <c r="W145" i="139"/>
  <c r="V148" i="139"/>
  <c r="V126" i="139"/>
  <c r="V94" i="139"/>
  <c r="V100" i="139"/>
  <c r="V104" i="139"/>
  <c r="V108" i="139"/>
  <c r="W112" i="139"/>
  <c r="V96" i="139"/>
  <c r="W80" i="139"/>
  <c r="V63" i="139"/>
  <c r="W66" i="139"/>
  <c r="W68" i="139"/>
  <c r="V71" i="139"/>
  <c r="W67" i="139"/>
  <c r="V38" i="139"/>
  <c r="V40" i="139"/>
  <c r="V42" i="139"/>
  <c r="V44" i="139"/>
  <c r="V35" i="139"/>
  <c r="V33" i="139"/>
  <c r="V17" i="139"/>
  <c r="W17" i="139"/>
  <c r="N18" i="139"/>
  <c r="V7" i="139"/>
  <c r="W7" i="139"/>
  <c r="V9" i="139"/>
  <c r="W9" i="139"/>
  <c r="V13" i="139"/>
  <c r="W13" i="139"/>
  <c r="V15" i="139"/>
  <c r="W15" i="139"/>
  <c r="W32" i="139"/>
  <c r="V32" i="139"/>
  <c r="W64" i="139"/>
  <c r="V64" i="139"/>
  <c r="V6" i="139"/>
  <c r="W6" i="139"/>
  <c r="W237" i="139"/>
  <c r="V237" i="139"/>
  <c r="V12" i="139"/>
  <c r="W12" i="139"/>
  <c r="V14" i="139"/>
  <c r="W14" i="139"/>
  <c r="W16" i="139"/>
  <c r="V16" i="139"/>
  <c r="W206" i="139"/>
  <c r="V206" i="139"/>
  <c r="V11" i="139"/>
  <c r="W11" i="139"/>
  <c r="W34" i="139"/>
  <c r="V34" i="139"/>
  <c r="W46" i="139"/>
  <c r="V46" i="139"/>
  <c r="W60" i="139"/>
  <c r="V60" i="139"/>
  <c r="J86" i="139"/>
  <c r="W209" i="139"/>
  <c r="V209" i="139"/>
  <c r="V22" i="139"/>
  <c r="V23" i="139"/>
  <c r="V36" i="139"/>
  <c r="W61" i="139"/>
  <c r="V73" i="139"/>
  <c r="W75" i="139"/>
  <c r="V75" i="139"/>
  <c r="W77" i="139"/>
  <c r="V77" i="139"/>
  <c r="W98" i="139"/>
  <c r="W128" i="139"/>
  <c r="V162" i="139"/>
  <c r="V198" i="139"/>
  <c r="V212" i="139"/>
  <c r="V8" i="139"/>
  <c r="V10" i="139"/>
  <c r="W19" i="139"/>
  <c r="W20" i="139"/>
  <c r="V20" i="139"/>
  <c r="W21" i="139"/>
  <c r="W25" i="139"/>
  <c r="W27" i="139"/>
  <c r="V29" i="139"/>
  <c r="J37" i="139"/>
  <c r="W79" i="139"/>
  <c r="W114" i="139"/>
  <c r="V114" i="139"/>
  <c r="W116" i="139"/>
  <c r="V142" i="139"/>
  <c r="W142" i="139"/>
  <c r="W144" i="139"/>
  <c r="W158" i="139"/>
  <c r="J181" i="139"/>
  <c r="V158" i="139"/>
  <c r="V196" i="139"/>
  <c r="V204" i="139"/>
  <c r="W210" i="139"/>
  <c r="V210" i="139"/>
  <c r="W18" i="139"/>
  <c r="V18" i="139"/>
  <c r="W39" i="139"/>
  <c r="V39" i="139"/>
  <c r="W41" i="139"/>
  <c r="V41" i="139"/>
  <c r="W43" i="139"/>
  <c r="V43" i="139"/>
  <c r="W65" i="139"/>
  <c r="V65" i="139"/>
  <c r="W85" i="139"/>
  <c r="V85" i="139"/>
  <c r="J117" i="139"/>
  <c r="W95" i="139"/>
  <c r="W113" i="139"/>
  <c r="V113" i="139"/>
  <c r="V115" i="139"/>
  <c r="W115" i="139"/>
  <c r="W125" i="139"/>
  <c r="J150" i="139"/>
  <c r="V125" i="139"/>
  <c r="W141" i="139"/>
  <c r="V141" i="139"/>
  <c r="V143" i="139"/>
  <c r="W143" i="139"/>
  <c r="W147" i="139"/>
  <c r="V147" i="139"/>
  <c r="W173" i="139"/>
  <c r="V173" i="139"/>
  <c r="W176" i="139"/>
  <c r="V176" i="139"/>
  <c r="W232" i="139"/>
  <c r="V232" i="139"/>
  <c r="W47" i="139"/>
  <c r="V82" i="139"/>
  <c r="V95" i="139"/>
  <c r="V130" i="139"/>
  <c r="W130" i="139"/>
  <c r="J245" i="139"/>
  <c r="W229" i="139"/>
  <c r="W24" i="139"/>
  <c r="V24" i="139"/>
  <c r="J30" i="139"/>
  <c r="W74" i="139"/>
  <c r="V74" i="139"/>
  <c r="W76" i="139"/>
  <c r="V76" i="139"/>
  <c r="W78" i="139"/>
  <c r="V78" i="139"/>
  <c r="W175" i="139"/>
  <c r="V175" i="139"/>
  <c r="V195" i="139"/>
  <c r="V202" i="139"/>
  <c r="W228" i="139"/>
  <c r="V228" i="139"/>
  <c r="W177" i="139"/>
  <c r="V177" i="139"/>
  <c r="J213" i="139"/>
  <c r="V189" i="139"/>
  <c r="W129" i="139"/>
  <c r="W146" i="139"/>
  <c r="W189" i="139"/>
  <c r="V197" i="139"/>
  <c r="V199" i="139"/>
  <c r="V201" i="139"/>
  <c r="V203" i="139"/>
  <c r="V205" i="139"/>
  <c r="V236" i="139"/>
  <c r="H210" i="138"/>
  <c r="H209" i="138"/>
  <c r="H179" i="138"/>
  <c r="H178" i="138"/>
  <c r="H147" i="138"/>
  <c r="H115" i="138"/>
  <c r="H113" i="138"/>
  <c r="H79" i="138"/>
  <c r="I46" i="138"/>
  <c r="J46" i="138" s="1"/>
  <c r="I45" i="138"/>
  <c r="J45" i="138" s="1"/>
  <c r="H44" i="138"/>
  <c r="J44" i="138" s="1"/>
  <c r="I44" i="138"/>
  <c r="V245" i="139" l="1"/>
  <c r="O16" i="139" s="1"/>
  <c r="R16" i="139" s="1"/>
  <c r="J52" i="139"/>
  <c r="W117" i="139"/>
  <c r="P8" i="139" s="1"/>
  <c r="W245" i="139"/>
  <c r="P16" i="139" s="1"/>
  <c r="V117" i="139"/>
  <c r="O8" i="139" s="1"/>
  <c r="R8" i="139" s="1"/>
  <c r="V150" i="139"/>
  <c r="O10" i="139" s="1"/>
  <c r="V213" i="139"/>
  <c r="O14" i="139" s="1"/>
  <c r="W150" i="139"/>
  <c r="P10" i="139" s="1"/>
  <c r="W86" i="139"/>
  <c r="P6" i="139" s="1"/>
  <c r="W181" i="139"/>
  <c r="P12" i="139" s="1"/>
  <c r="V37" i="139"/>
  <c r="W37" i="139"/>
  <c r="V86" i="139"/>
  <c r="O6" i="139" s="1"/>
  <c r="W213" i="139"/>
  <c r="P14" i="139" s="1"/>
  <c r="V30" i="139"/>
  <c r="W30" i="139"/>
  <c r="W52" i="139" s="1"/>
  <c r="P4" i="139" s="1"/>
  <c r="V181" i="139"/>
  <c r="O12" i="139" s="1"/>
  <c r="H43" i="138"/>
  <c r="I43" i="138"/>
  <c r="H42" i="138"/>
  <c r="J42" i="138" s="1"/>
  <c r="I42" i="138"/>
  <c r="J43" i="138" l="1"/>
  <c r="V52" i="139"/>
  <c r="O4" i="139" s="1"/>
  <c r="O18" i="139" s="1"/>
  <c r="R18" i="139" s="1"/>
  <c r="P20" i="139" s="1"/>
  <c r="Q8" i="139"/>
  <c r="P18" i="139"/>
  <c r="R12" i="139"/>
  <c r="Q12" i="139"/>
  <c r="R14" i="139"/>
  <c r="Q14" i="139"/>
  <c r="R6" i="139"/>
  <c r="Q6" i="139"/>
  <c r="R10" i="139"/>
  <c r="Q10" i="139"/>
  <c r="H41" i="138"/>
  <c r="I41" i="138"/>
  <c r="J41" i="138" s="1"/>
  <c r="H40" i="138"/>
  <c r="J40" i="138" s="1"/>
  <c r="I40" i="138"/>
  <c r="H39" i="138"/>
  <c r="I39" i="138"/>
  <c r="I38" i="138"/>
  <c r="H37" i="138"/>
  <c r="I37" i="138"/>
  <c r="I36" i="138"/>
  <c r="H35" i="138"/>
  <c r="I35" i="138"/>
  <c r="H34" i="138"/>
  <c r="I34" i="138"/>
  <c r="H33" i="138"/>
  <c r="I33" i="138"/>
  <c r="H32" i="138"/>
  <c r="I32" i="138"/>
  <c r="H74" i="138"/>
  <c r="H111" i="138"/>
  <c r="H142" i="138"/>
  <c r="H175" i="138"/>
  <c r="H172" i="138"/>
  <c r="H207" i="138"/>
  <c r="H206" i="138"/>
  <c r="H238" i="138"/>
  <c r="H237" i="138"/>
  <c r="H236" i="138"/>
  <c r="Q4" i="139" l="1"/>
  <c r="Q18" i="139" s="1"/>
  <c r="R4" i="139"/>
  <c r="H232" i="138"/>
  <c r="H141" i="138"/>
  <c r="H139" i="138"/>
  <c r="H73" i="138"/>
  <c r="H69" i="138"/>
  <c r="I31" i="138"/>
  <c r="H30" i="138"/>
  <c r="I30" i="138"/>
  <c r="I29" i="138"/>
  <c r="I28" i="138"/>
  <c r="H27" i="138"/>
  <c r="I27" i="138"/>
  <c r="H26" i="138"/>
  <c r="I26" i="138"/>
  <c r="I25" i="138"/>
  <c r="I24" i="138"/>
  <c r="H196" i="138" l="1"/>
  <c r="H195" i="138"/>
  <c r="I10" i="138" l="1"/>
  <c r="I11" i="138"/>
  <c r="J11" i="138"/>
  <c r="I12" i="138"/>
  <c r="J12" i="138" s="1"/>
  <c r="I13" i="138"/>
  <c r="I14" i="138"/>
  <c r="J14" i="138" s="1"/>
  <c r="I15" i="138"/>
  <c r="I16" i="138"/>
  <c r="J16" i="138" s="1"/>
  <c r="I17" i="138"/>
  <c r="I18" i="138"/>
  <c r="I19" i="138"/>
  <c r="J19" i="138"/>
  <c r="I20" i="138"/>
  <c r="I21" i="138"/>
  <c r="J21" i="138"/>
  <c r="I22" i="138"/>
  <c r="J22" i="138" s="1"/>
  <c r="I23" i="138"/>
  <c r="J23" i="138"/>
  <c r="I9" i="138"/>
  <c r="J9" i="138" s="1"/>
  <c r="H20" i="138" l="1"/>
  <c r="J20" i="138" s="1"/>
  <c r="H18" i="138"/>
  <c r="J18" i="138" s="1"/>
  <c r="H17" i="138"/>
  <c r="J17" i="138" s="1"/>
  <c r="H15" i="138"/>
  <c r="J15" i="138" s="1"/>
  <c r="H13" i="138"/>
  <c r="J13" i="138" s="1"/>
  <c r="H10" i="138"/>
  <c r="J10" i="138" s="1"/>
  <c r="H8" i="138"/>
  <c r="J8" i="138" s="1"/>
  <c r="H66" i="138"/>
  <c r="H64" i="138"/>
  <c r="H63" i="138"/>
  <c r="H62" i="138"/>
  <c r="H61" i="138"/>
  <c r="H99" i="138"/>
  <c r="H98" i="138"/>
  <c r="H96" i="138"/>
  <c r="H95" i="138"/>
  <c r="H133" i="138"/>
  <c r="H128" i="138"/>
  <c r="H162" i="138"/>
  <c r="H159" i="138"/>
  <c r="H229" i="138"/>
  <c r="H228" i="138"/>
  <c r="H227" i="138"/>
  <c r="H222" i="138"/>
  <c r="H189" i="138"/>
  <c r="H125" i="138" l="1"/>
  <c r="H60" i="138"/>
  <c r="J26" i="138"/>
  <c r="J244" i="138"/>
  <c r="V244" i="138" s="1"/>
  <c r="J243" i="138"/>
  <c r="V243" i="138" s="1"/>
  <c r="J242" i="138"/>
  <c r="V242" i="138" s="1"/>
  <c r="J241" i="138"/>
  <c r="V241" i="138" s="1"/>
  <c r="J240" i="138"/>
  <c r="V240" i="138" s="1"/>
  <c r="J239" i="138"/>
  <c r="V239" i="138" s="1"/>
  <c r="J238" i="138"/>
  <c r="V238" i="138" s="1"/>
  <c r="J237" i="138"/>
  <c r="V237" i="138" s="1"/>
  <c r="J236" i="138"/>
  <c r="W236" i="138" s="1"/>
  <c r="J235" i="138"/>
  <c r="J234" i="138"/>
  <c r="J233" i="138"/>
  <c r="W232" i="138"/>
  <c r="J232" i="138"/>
  <c r="V232" i="138" s="1"/>
  <c r="J231" i="138"/>
  <c r="W231" i="138" s="1"/>
  <c r="J230" i="138"/>
  <c r="W230" i="138" s="1"/>
  <c r="J229" i="138"/>
  <c r="W229" i="138" s="1"/>
  <c r="J228" i="138"/>
  <c r="V228" i="138" s="1"/>
  <c r="J227" i="138"/>
  <c r="V227" i="138" s="1"/>
  <c r="J226" i="138"/>
  <c r="V226" i="138" s="1"/>
  <c r="J225" i="138"/>
  <c r="V225" i="138" s="1"/>
  <c r="J224" i="138"/>
  <c r="V224" i="138" s="1"/>
  <c r="J223" i="138"/>
  <c r="V223" i="138" s="1"/>
  <c r="J222" i="138"/>
  <c r="V222" i="138" s="1"/>
  <c r="B222" i="138"/>
  <c r="B223" i="138" s="1"/>
  <c r="B224" i="138" s="1"/>
  <c r="B225" i="138" s="1"/>
  <c r="B226" i="138" s="1"/>
  <c r="B227" i="138" s="1"/>
  <c r="B228" i="138" s="1"/>
  <c r="B229" i="138" s="1"/>
  <c r="B230" i="138" s="1"/>
  <c r="B231" i="138" s="1"/>
  <c r="B232" i="138" s="1"/>
  <c r="B233" i="138" s="1"/>
  <c r="B234" i="138" s="1"/>
  <c r="B235" i="138" s="1"/>
  <c r="B236" i="138" s="1"/>
  <c r="B237" i="138" s="1"/>
  <c r="B238" i="138" s="1"/>
  <c r="B239" i="138" s="1"/>
  <c r="B240" i="138" s="1"/>
  <c r="B241" i="138" s="1"/>
  <c r="B242" i="138" s="1"/>
  <c r="B243" i="138" s="1"/>
  <c r="B244" i="138" s="1"/>
  <c r="J221" i="138"/>
  <c r="W221" i="138" s="1"/>
  <c r="J212" i="138"/>
  <c r="W212" i="138" s="1"/>
  <c r="J211" i="138"/>
  <c r="J210" i="138"/>
  <c r="V210" i="138" s="1"/>
  <c r="J209" i="138"/>
  <c r="W209" i="138" s="1"/>
  <c r="W208" i="138"/>
  <c r="J208" i="138"/>
  <c r="V208" i="138" s="1"/>
  <c r="J207" i="138"/>
  <c r="W207" i="138" s="1"/>
  <c r="J206" i="138"/>
  <c r="V206" i="138" s="1"/>
  <c r="J205" i="138"/>
  <c r="W205" i="138" s="1"/>
  <c r="J204" i="138"/>
  <c r="V204" i="138" s="1"/>
  <c r="J203" i="138"/>
  <c r="J202" i="138"/>
  <c r="J201" i="138"/>
  <c r="W201" i="138" s="1"/>
  <c r="J200" i="138"/>
  <c r="W200" i="138" s="1"/>
  <c r="J199" i="138"/>
  <c r="W199" i="138" s="1"/>
  <c r="J198" i="138"/>
  <c r="V198" i="138" s="1"/>
  <c r="J197" i="138"/>
  <c r="W197" i="138" s="1"/>
  <c r="J196" i="138"/>
  <c r="J195" i="138"/>
  <c r="J194" i="138"/>
  <c r="J193" i="138"/>
  <c r="J192" i="138"/>
  <c r="W192" i="138" s="1"/>
  <c r="J191" i="138"/>
  <c r="V191" i="138" s="1"/>
  <c r="J190" i="138"/>
  <c r="V190" i="138" s="1"/>
  <c r="B190" i="138"/>
  <c r="B191" i="138" s="1"/>
  <c r="B192" i="138" s="1"/>
  <c r="B193" i="138" s="1"/>
  <c r="B194" i="138" s="1"/>
  <c r="B195" i="138" s="1"/>
  <c r="B196" i="138" s="1"/>
  <c r="B197" i="138" s="1"/>
  <c r="B198" i="138" s="1"/>
  <c r="B199" i="138" s="1"/>
  <c r="B200" i="138" s="1"/>
  <c r="B201" i="138" s="1"/>
  <c r="B202" i="138" s="1"/>
  <c r="B203" i="138" s="1"/>
  <c r="B204" i="138" s="1"/>
  <c r="B205" i="138" s="1"/>
  <c r="B206" i="138" s="1"/>
  <c r="B207" i="138" s="1"/>
  <c r="B208" i="138" s="1"/>
  <c r="B209" i="138" s="1"/>
  <c r="B210" i="138" s="1"/>
  <c r="J189" i="138"/>
  <c r="V189" i="138" s="1"/>
  <c r="J180" i="138"/>
  <c r="J179" i="138"/>
  <c r="J178" i="138"/>
  <c r="J177" i="138"/>
  <c r="J176" i="138"/>
  <c r="J175" i="138"/>
  <c r="J174" i="138"/>
  <c r="J173" i="138"/>
  <c r="W173" i="138" s="1"/>
  <c r="J172" i="138"/>
  <c r="V172" i="138" s="1"/>
  <c r="J171" i="138"/>
  <c r="W171" i="138" s="1"/>
  <c r="J170" i="138"/>
  <c r="W170" i="138" s="1"/>
  <c r="J169" i="138"/>
  <c r="W169" i="138" s="1"/>
  <c r="J168" i="138"/>
  <c r="V168" i="138" s="1"/>
  <c r="J167" i="138"/>
  <c r="W167" i="138" s="1"/>
  <c r="J166" i="138"/>
  <c r="W166" i="138" s="1"/>
  <c r="J165" i="138"/>
  <c r="J164" i="138"/>
  <c r="J163" i="138"/>
  <c r="J162" i="138"/>
  <c r="J161" i="138"/>
  <c r="J160" i="138"/>
  <c r="W160" i="138" s="1"/>
  <c r="J159" i="138"/>
  <c r="W159" i="138" s="1"/>
  <c r="B159" i="138"/>
  <c r="B160" i="138" s="1"/>
  <c r="B161" i="138" s="1"/>
  <c r="B162" i="138" s="1"/>
  <c r="B163" i="138" s="1"/>
  <c r="B164" i="138" s="1"/>
  <c r="B165" i="138" s="1"/>
  <c r="B166" i="138" s="1"/>
  <c r="B167" i="138" s="1"/>
  <c r="B168" i="138" s="1"/>
  <c r="B169" i="138" s="1"/>
  <c r="B170" i="138" s="1"/>
  <c r="B171" i="138" s="1"/>
  <c r="B172" i="138" s="1"/>
  <c r="B173" i="138" s="1"/>
  <c r="B174" i="138" s="1"/>
  <c r="B175" i="138" s="1"/>
  <c r="B176" i="138" s="1"/>
  <c r="B177" i="138" s="1"/>
  <c r="B178" i="138" s="1"/>
  <c r="B179" i="138" s="1"/>
  <c r="B180" i="138" s="1"/>
  <c r="J158" i="138"/>
  <c r="W158" i="138" s="1"/>
  <c r="J149" i="138"/>
  <c r="J148" i="138"/>
  <c r="W148" i="138" s="1"/>
  <c r="J147" i="138"/>
  <c r="W147" i="138" s="1"/>
  <c r="V146" i="138"/>
  <c r="J146" i="138"/>
  <c r="W146" i="138" s="1"/>
  <c r="J145" i="138"/>
  <c r="W145" i="138" s="1"/>
  <c r="J144" i="138"/>
  <c r="W144" i="138" s="1"/>
  <c r="J143" i="138"/>
  <c r="W143" i="138" s="1"/>
  <c r="J142" i="138"/>
  <c r="W142" i="138" s="1"/>
  <c r="J141" i="138"/>
  <c r="W141" i="138" s="1"/>
  <c r="J140" i="138"/>
  <c r="W140" i="138" s="1"/>
  <c r="W139" i="138"/>
  <c r="J139" i="138"/>
  <c r="V139" i="138" s="1"/>
  <c r="J138" i="138"/>
  <c r="V138" i="138" s="1"/>
  <c r="J137" i="138"/>
  <c r="J136" i="138"/>
  <c r="J135" i="138"/>
  <c r="W135" i="138" s="1"/>
  <c r="J134" i="138"/>
  <c r="W134" i="138" s="1"/>
  <c r="J133" i="138"/>
  <c r="W133" i="138" s="1"/>
  <c r="J132" i="138"/>
  <c r="W132" i="138" s="1"/>
  <c r="J131" i="138"/>
  <c r="W131" i="138" s="1"/>
  <c r="J130" i="138"/>
  <c r="W130" i="138" s="1"/>
  <c r="J129" i="138"/>
  <c r="W129" i="138" s="1"/>
  <c r="J128" i="138"/>
  <c r="W128" i="138" s="1"/>
  <c r="J127" i="138"/>
  <c r="W127" i="138" s="1"/>
  <c r="B127" i="138"/>
  <c r="B128" i="138" s="1"/>
  <c r="B129" i="138" s="1"/>
  <c r="B130" i="138" s="1"/>
  <c r="B131" i="138" s="1"/>
  <c r="B132" i="138" s="1"/>
  <c r="B133" i="138" s="1"/>
  <c r="B134" i="138" s="1"/>
  <c r="B135" i="138" s="1"/>
  <c r="B136" i="138" s="1"/>
  <c r="B137" i="138" s="1"/>
  <c r="B138" i="138" s="1"/>
  <c r="B139" i="138" s="1"/>
  <c r="B140" i="138" s="1"/>
  <c r="B141" i="138" s="1"/>
  <c r="B142" i="138" s="1"/>
  <c r="B143" i="138" s="1"/>
  <c r="B144" i="138" s="1"/>
  <c r="B145" i="138" s="1"/>
  <c r="B146" i="138" s="1"/>
  <c r="B147" i="138" s="1"/>
  <c r="B148" i="138" s="1"/>
  <c r="B149" i="138" s="1"/>
  <c r="J126" i="138"/>
  <c r="V126" i="138" s="1"/>
  <c r="B126" i="138"/>
  <c r="J125" i="138"/>
  <c r="W116" i="138"/>
  <c r="J116" i="138"/>
  <c r="V116" i="138" s="1"/>
  <c r="J115" i="138"/>
  <c r="W115" i="138" s="1"/>
  <c r="W114" i="138"/>
  <c r="J114" i="138"/>
  <c r="V114" i="138" s="1"/>
  <c r="V113" i="138"/>
  <c r="J113" i="138"/>
  <c r="W113" i="138" s="1"/>
  <c r="J112" i="138"/>
  <c r="V112" i="138" s="1"/>
  <c r="J111" i="138"/>
  <c r="W111" i="138" s="1"/>
  <c r="J110" i="138"/>
  <c r="V110" i="138" s="1"/>
  <c r="J109" i="138"/>
  <c r="V109" i="138" s="1"/>
  <c r="J108" i="138"/>
  <c r="W108" i="138" s="1"/>
  <c r="J107" i="138"/>
  <c r="V107" i="138" s="1"/>
  <c r="J106" i="138"/>
  <c r="J105" i="138"/>
  <c r="J104" i="138"/>
  <c r="W104" i="138" s="1"/>
  <c r="V103" i="138"/>
  <c r="J103" i="138"/>
  <c r="W103" i="138" s="1"/>
  <c r="J102" i="138"/>
  <c r="V102" i="138" s="1"/>
  <c r="V101" i="138"/>
  <c r="J101" i="138"/>
  <c r="W101" i="138" s="1"/>
  <c r="J100" i="138"/>
  <c r="W100" i="138" s="1"/>
  <c r="J99" i="138"/>
  <c r="J98" i="138"/>
  <c r="W98" i="138" s="1"/>
  <c r="J97" i="138"/>
  <c r="W97" i="138" s="1"/>
  <c r="J96" i="138"/>
  <c r="W96" i="138" s="1"/>
  <c r="J95" i="138"/>
  <c r="V95" i="138" s="1"/>
  <c r="B95" i="138"/>
  <c r="B96" i="138" s="1"/>
  <c r="B97" i="138" s="1"/>
  <c r="B98" i="138" s="1"/>
  <c r="B99" i="138" s="1"/>
  <c r="B100" i="138" s="1"/>
  <c r="B101" i="138" s="1"/>
  <c r="B102" i="138" s="1"/>
  <c r="B103" i="138" s="1"/>
  <c r="B104" i="138" s="1"/>
  <c r="B105" i="138" s="1"/>
  <c r="B106" i="138" s="1"/>
  <c r="B107" i="138" s="1"/>
  <c r="B108" i="138" s="1"/>
  <c r="B109" i="138" s="1"/>
  <c r="B110" i="138" s="1"/>
  <c r="B111" i="138" s="1"/>
  <c r="B112" i="138" s="1"/>
  <c r="B113" i="138" s="1"/>
  <c r="B114" i="138" s="1"/>
  <c r="B115" i="138" s="1"/>
  <c r="B116" i="138" s="1"/>
  <c r="J94" i="138"/>
  <c r="V94" i="138" s="1"/>
  <c r="J85" i="138"/>
  <c r="W85" i="138" s="1"/>
  <c r="J84" i="138"/>
  <c r="J83" i="138"/>
  <c r="J82" i="138"/>
  <c r="V82" i="138" s="1"/>
  <c r="J81" i="138"/>
  <c r="J80" i="138"/>
  <c r="W80" i="138" s="1"/>
  <c r="J79" i="138"/>
  <c r="W79" i="138" s="1"/>
  <c r="J78" i="138"/>
  <c r="W78" i="138" s="1"/>
  <c r="J77" i="138"/>
  <c r="J76" i="138"/>
  <c r="V76" i="138" s="1"/>
  <c r="J75" i="138"/>
  <c r="V75" i="138" s="1"/>
  <c r="J74" i="138"/>
  <c r="W74" i="138" s="1"/>
  <c r="J73" i="138"/>
  <c r="W73" i="138" s="1"/>
  <c r="J72" i="138"/>
  <c r="W72" i="138" s="1"/>
  <c r="J71" i="138"/>
  <c r="W71" i="138" s="1"/>
  <c r="J70" i="138"/>
  <c r="J69" i="138"/>
  <c r="J68" i="138"/>
  <c r="J67" i="138"/>
  <c r="W67" i="138" s="1"/>
  <c r="J66" i="138"/>
  <c r="V66" i="138" s="1"/>
  <c r="J65" i="138"/>
  <c r="W65" i="138" s="1"/>
  <c r="J64" i="138"/>
  <c r="W64" i="138" s="1"/>
  <c r="J63" i="138"/>
  <c r="J62" i="138"/>
  <c r="J61" i="138"/>
  <c r="W61" i="138" s="1"/>
  <c r="B61" i="138"/>
  <c r="B62" i="138" s="1"/>
  <c r="B63" i="138" s="1"/>
  <c r="B64" i="138" s="1"/>
  <c r="B65" i="138" s="1"/>
  <c r="B66" i="138" s="1"/>
  <c r="B67" i="138" s="1"/>
  <c r="B68" i="138" s="1"/>
  <c r="B69" i="138" s="1"/>
  <c r="B70" i="138" s="1"/>
  <c r="B71" i="138" s="1"/>
  <c r="B72" i="138" s="1"/>
  <c r="B73" i="138" s="1"/>
  <c r="B74" i="138" s="1"/>
  <c r="B75" i="138" s="1"/>
  <c r="B76" i="138" s="1"/>
  <c r="B77" i="138" s="1"/>
  <c r="B78" i="138" s="1"/>
  <c r="B79" i="138" s="1"/>
  <c r="B80" i="138" s="1"/>
  <c r="B81" i="138" s="1"/>
  <c r="B82" i="138" s="1"/>
  <c r="J60" i="138"/>
  <c r="V60" i="138" s="1"/>
  <c r="W51" i="138"/>
  <c r="V51" i="138"/>
  <c r="W50" i="138"/>
  <c r="V50" i="138"/>
  <c r="W49" i="138"/>
  <c r="V49" i="138"/>
  <c r="W48" i="138"/>
  <c r="V48" i="138"/>
  <c r="W47" i="138"/>
  <c r="V47" i="138"/>
  <c r="W46" i="138"/>
  <c r="V46" i="138"/>
  <c r="W45" i="138"/>
  <c r="V45" i="138"/>
  <c r="W44" i="138"/>
  <c r="V44" i="138"/>
  <c r="W43" i="138"/>
  <c r="V43" i="138"/>
  <c r="W42" i="138"/>
  <c r="V42" i="138"/>
  <c r="W41" i="138"/>
  <c r="V41" i="138"/>
  <c r="W40" i="138"/>
  <c r="V40" i="138"/>
  <c r="J39" i="138"/>
  <c r="W39" i="138" s="1"/>
  <c r="J38" i="138"/>
  <c r="J37" i="138"/>
  <c r="W37" i="138" s="1"/>
  <c r="J36" i="138"/>
  <c r="V36" i="138" s="1"/>
  <c r="J35" i="138"/>
  <c r="J34" i="138"/>
  <c r="W34" i="138" s="1"/>
  <c r="J33" i="138"/>
  <c r="V33" i="138" s="1"/>
  <c r="J32" i="138"/>
  <c r="J31" i="138"/>
  <c r="W31" i="138" s="1"/>
  <c r="J30" i="138"/>
  <c r="V30" i="138" s="1"/>
  <c r="J29" i="138"/>
  <c r="J28" i="138"/>
  <c r="W26" i="138"/>
  <c r="V26" i="138"/>
  <c r="J25" i="138"/>
  <c r="J24" i="138"/>
  <c r="W22" i="138"/>
  <c r="V21" i="138"/>
  <c r="W17" i="138"/>
  <c r="N16" i="138"/>
  <c r="N14" i="138"/>
  <c r="W14" i="138"/>
  <c r="N12" i="138"/>
  <c r="W12" i="138"/>
  <c r="N10" i="138"/>
  <c r="V10" i="138"/>
  <c r="V9" i="138"/>
  <c r="W9" i="138"/>
  <c r="N8" i="138"/>
  <c r="I7" i="138"/>
  <c r="B7" i="138"/>
  <c r="B8" i="138" s="1"/>
  <c r="B9" i="138" s="1"/>
  <c r="B10" i="138" s="1"/>
  <c r="B11" i="138" s="1"/>
  <c r="B12" i="138" s="1"/>
  <c r="B13" i="138" s="1"/>
  <c r="B14" i="138" s="1"/>
  <c r="B15" i="138" s="1"/>
  <c r="B16" i="138" s="1"/>
  <c r="B17" i="138" s="1"/>
  <c r="B18" i="138" s="1"/>
  <c r="B19" i="138" s="1"/>
  <c r="B20" i="138" s="1"/>
  <c r="B21" i="138" s="1"/>
  <c r="B22" i="138" s="1"/>
  <c r="B23" i="138" s="1"/>
  <c r="B24" i="138" s="1"/>
  <c r="B25" i="138" s="1"/>
  <c r="B26" i="138" s="1"/>
  <c r="B27" i="138" s="1"/>
  <c r="B28" i="138" s="1"/>
  <c r="B29" i="138" s="1"/>
  <c r="B30" i="138" s="1"/>
  <c r="B31" i="138" s="1"/>
  <c r="B32" i="138" s="1"/>
  <c r="B33" i="138" s="1"/>
  <c r="B34" i="138" s="1"/>
  <c r="B35" i="138" s="1"/>
  <c r="B36" i="138" s="1"/>
  <c r="B37" i="138" s="1"/>
  <c r="B38" i="138" s="1"/>
  <c r="B39" i="138" s="1"/>
  <c r="B40" i="138" s="1"/>
  <c r="B41" i="138" s="1"/>
  <c r="B42" i="138" s="1"/>
  <c r="B43" i="138" s="1"/>
  <c r="B44" i="138" s="1"/>
  <c r="B45" i="138" s="1"/>
  <c r="B46" i="138" s="1"/>
  <c r="B47" i="138" s="1"/>
  <c r="B48" i="138" s="1"/>
  <c r="B49" i="138" s="1"/>
  <c r="B50" i="138" s="1"/>
  <c r="B51" i="138" s="1"/>
  <c r="N6" i="138"/>
  <c r="I6" i="138"/>
  <c r="J6" i="138" s="1"/>
  <c r="W6" i="138" s="1"/>
  <c r="N4" i="138"/>
  <c r="W94" i="138" l="1"/>
  <c r="W109" i="138"/>
  <c r="V207" i="138"/>
  <c r="V212" i="138"/>
  <c r="W7" i="138"/>
  <c r="J7" i="138"/>
  <c r="W82" i="138"/>
  <c r="V85" i="138"/>
  <c r="V171" i="138"/>
  <c r="W210" i="138"/>
  <c r="V209" i="138"/>
  <c r="V148" i="138"/>
  <c r="V147" i="138"/>
  <c r="V115" i="138"/>
  <c r="W75" i="138"/>
  <c r="W112" i="138"/>
  <c r="W110" i="138"/>
  <c r="V145" i="138"/>
  <c r="V144" i="138"/>
  <c r="V143" i="138"/>
  <c r="W206" i="138"/>
  <c r="V170" i="138"/>
  <c r="V200" i="138"/>
  <c r="V141" i="138"/>
  <c r="V72" i="138"/>
  <c r="V71" i="138"/>
  <c r="V31" i="138"/>
  <c r="V201" i="138"/>
  <c r="W204" i="138"/>
  <c r="V65" i="138"/>
  <c r="V64" i="138"/>
  <c r="W102" i="138"/>
  <c r="V96" i="138"/>
  <c r="W95" i="138"/>
  <c r="V134" i="138"/>
  <c r="V132" i="138"/>
  <c r="V130" i="138"/>
  <c r="V128" i="138"/>
  <c r="V127" i="138"/>
  <c r="W126" i="138"/>
  <c r="W190" i="138"/>
  <c r="V158" i="138"/>
  <c r="W222" i="138"/>
  <c r="W224" i="138"/>
  <c r="W226" i="138"/>
  <c r="W228" i="138"/>
  <c r="V231" i="138"/>
  <c r="W243" i="138"/>
  <c r="W223" i="138"/>
  <c r="W225" i="138"/>
  <c r="W227" i="138"/>
  <c r="W242" i="138"/>
  <c r="W244" i="138"/>
  <c r="V230" i="138"/>
  <c r="W239" i="138"/>
  <c r="W241" i="138"/>
  <c r="W238" i="138"/>
  <c r="W240" i="138"/>
  <c r="W198" i="138"/>
  <c r="V192" i="138"/>
  <c r="W189" i="138"/>
  <c r="V199" i="138"/>
  <c r="W191" i="138"/>
  <c r="V205" i="138"/>
  <c r="V160" i="138"/>
  <c r="W168" i="138"/>
  <c r="W172" i="138"/>
  <c r="V159" i="138"/>
  <c r="V169" i="138"/>
  <c r="V173" i="138"/>
  <c r="V129" i="138"/>
  <c r="V131" i="138"/>
  <c r="V133" i="138"/>
  <c r="V135" i="138"/>
  <c r="V140" i="138"/>
  <c r="V142" i="138"/>
  <c r="V97" i="138"/>
  <c r="V100" i="138"/>
  <c r="V108" i="138"/>
  <c r="V111" i="138"/>
  <c r="W107" i="138"/>
  <c r="N18" i="138"/>
  <c r="W60" i="138"/>
  <c r="V74" i="138"/>
  <c r="W66" i="138"/>
  <c r="V73" i="138"/>
  <c r="W76" i="138"/>
  <c r="V22" i="138"/>
  <c r="W36" i="138"/>
  <c r="V19" i="138"/>
  <c r="W19" i="138"/>
  <c r="V25" i="138"/>
  <c r="W25" i="138"/>
  <c r="W28" i="138"/>
  <c r="V28" i="138"/>
  <c r="V7" i="138"/>
  <c r="V34" i="138"/>
  <c r="W33" i="138"/>
  <c r="V37" i="138"/>
  <c r="W21" i="138"/>
  <c r="W30" i="138"/>
  <c r="V14" i="138"/>
  <c r="W69" i="138"/>
  <c r="V69" i="138"/>
  <c r="V12" i="138"/>
  <c r="V17" i="138"/>
  <c r="W20" i="138"/>
  <c r="V20" i="138"/>
  <c r="W23" i="138"/>
  <c r="V23" i="138"/>
  <c r="W35" i="138"/>
  <c r="V35" i="138"/>
  <c r="W38" i="138"/>
  <c r="V38" i="138"/>
  <c r="V39" i="138"/>
  <c r="V67" i="138"/>
  <c r="W70" i="138"/>
  <c r="V70" i="138"/>
  <c r="V6" i="138"/>
  <c r="W32" i="138"/>
  <c r="V32" i="138"/>
  <c r="W10" i="138"/>
  <c r="W8" i="138"/>
  <c r="V8" i="138"/>
  <c r="W15" i="138"/>
  <c r="V15" i="138"/>
  <c r="W24" i="138"/>
  <c r="V24" i="138"/>
  <c r="W29" i="138"/>
  <c r="V29" i="138"/>
  <c r="W62" i="138"/>
  <c r="V62" i="138"/>
  <c r="W77" i="138"/>
  <c r="V77" i="138"/>
  <c r="W99" i="138"/>
  <c r="V99" i="138"/>
  <c r="W105" i="138"/>
  <c r="V105" i="138"/>
  <c r="W11" i="138"/>
  <c r="V11" i="138"/>
  <c r="W13" i="138"/>
  <c r="V13" i="138"/>
  <c r="W16" i="138"/>
  <c r="V16" i="138"/>
  <c r="W18" i="138"/>
  <c r="V18" i="138"/>
  <c r="J27" i="138"/>
  <c r="J52" i="138" s="1"/>
  <c r="V61" i="138"/>
  <c r="W63" i="138"/>
  <c r="V63" i="138"/>
  <c r="W68" i="138"/>
  <c r="V68" i="138"/>
  <c r="W106" i="138"/>
  <c r="V106" i="138"/>
  <c r="J150" i="138"/>
  <c r="W125" i="138"/>
  <c r="V125" i="138"/>
  <c r="W176" i="138"/>
  <c r="V176" i="138"/>
  <c r="V78" i="138"/>
  <c r="V79" i="138"/>
  <c r="V80" i="138"/>
  <c r="J117" i="138"/>
  <c r="V98" i="138"/>
  <c r="V104" i="138"/>
  <c r="W138" i="138"/>
  <c r="W161" i="138"/>
  <c r="V161" i="138"/>
  <c r="W165" i="138"/>
  <c r="V165" i="138"/>
  <c r="W177" i="138"/>
  <c r="V177" i="138"/>
  <c r="W194" i="138"/>
  <c r="V194" i="138"/>
  <c r="W203" i="138"/>
  <c r="V203" i="138"/>
  <c r="V221" i="138"/>
  <c r="J245" i="138"/>
  <c r="W237" i="138"/>
  <c r="W180" i="138"/>
  <c r="V180" i="138"/>
  <c r="J86" i="138"/>
  <c r="W137" i="138"/>
  <c r="V137" i="138"/>
  <c r="J181" i="138"/>
  <c r="W162" i="138"/>
  <c r="V162" i="138"/>
  <c r="W174" i="138"/>
  <c r="V174" i="138"/>
  <c r="W178" i="138"/>
  <c r="V178" i="138"/>
  <c r="W195" i="138"/>
  <c r="V195" i="138"/>
  <c r="W233" i="138"/>
  <c r="V233" i="138"/>
  <c r="W136" i="138"/>
  <c r="V136" i="138"/>
  <c r="W164" i="138"/>
  <c r="V164" i="138"/>
  <c r="W193" i="138"/>
  <c r="V193" i="138"/>
  <c r="W202" i="138"/>
  <c r="V202" i="138"/>
  <c r="W235" i="138"/>
  <c r="V235" i="138"/>
  <c r="W149" i="138"/>
  <c r="V149" i="138"/>
  <c r="W163" i="138"/>
  <c r="V163" i="138"/>
  <c r="W175" i="138"/>
  <c r="V175" i="138"/>
  <c r="W179" i="138"/>
  <c r="V179" i="138"/>
  <c r="W196" i="138"/>
  <c r="V196" i="138"/>
  <c r="V229" i="138"/>
  <c r="W234" i="138"/>
  <c r="V234" i="138"/>
  <c r="V166" i="138"/>
  <c r="V167" i="138"/>
  <c r="V197" i="138"/>
  <c r="J213" i="138"/>
  <c r="V236" i="138"/>
  <c r="H205" i="137"/>
  <c r="H204" i="137"/>
  <c r="H203" i="137"/>
  <c r="H174" i="137"/>
  <c r="H110" i="137"/>
  <c r="H78" i="137"/>
  <c r="W117" i="138" l="1"/>
  <c r="P8" i="138" s="1"/>
  <c r="V117" i="138"/>
  <c r="O8" i="138" s="1"/>
  <c r="Q8" i="138" s="1"/>
  <c r="W86" i="138"/>
  <c r="P6" i="138" s="1"/>
  <c r="W245" i="138"/>
  <c r="P16" i="138" s="1"/>
  <c r="W213" i="138"/>
  <c r="P14" i="138" s="1"/>
  <c r="V213" i="138"/>
  <c r="O14" i="138" s="1"/>
  <c r="R14" i="138" s="1"/>
  <c r="V181" i="138"/>
  <c r="O12" i="138" s="1"/>
  <c r="R12" i="138" s="1"/>
  <c r="W181" i="138"/>
  <c r="P12" i="138" s="1"/>
  <c r="V86" i="138"/>
  <c r="O6" i="138" s="1"/>
  <c r="R6" i="138" s="1"/>
  <c r="R8" i="138"/>
  <c r="V245" i="138"/>
  <c r="O16" i="138" s="1"/>
  <c r="R16" i="138" s="1"/>
  <c r="W150" i="138"/>
  <c r="P10" i="138" s="1"/>
  <c r="W27" i="138"/>
  <c r="W52" i="138" s="1"/>
  <c r="P4" i="138" s="1"/>
  <c r="V27" i="138"/>
  <c r="V52" i="138"/>
  <c r="O4" i="138" s="1"/>
  <c r="V150" i="138"/>
  <c r="O10" i="138" s="1"/>
  <c r="H141" i="137"/>
  <c r="H77" i="137"/>
  <c r="H107" i="137"/>
  <c r="H171" i="137"/>
  <c r="H202" i="137"/>
  <c r="H237" i="137"/>
  <c r="H139" i="137"/>
  <c r="H106" i="137"/>
  <c r="H75" i="137"/>
  <c r="J37" i="137"/>
  <c r="J31" i="137"/>
  <c r="H39" i="137"/>
  <c r="J39" i="137" s="1"/>
  <c r="I39" i="137"/>
  <c r="H38" i="137"/>
  <c r="J38" i="137" s="1"/>
  <c r="I38" i="137"/>
  <c r="I37" i="137"/>
  <c r="I36" i="137"/>
  <c r="J36" i="137" s="1"/>
  <c r="H35" i="137"/>
  <c r="J35" i="137" s="1"/>
  <c r="I35" i="137"/>
  <c r="I34" i="137"/>
  <c r="J34" i="137" s="1"/>
  <c r="I33" i="137"/>
  <c r="J33" i="137" s="1"/>
  <c r="H32" i="137"/>
  <c r="J32" i="137" s="1"/>
  <c r="I32" i="137"/>
  <c r="I31" i="137"/>
  <c r="Q6" i="138" l="1"/>
  <c r="Q12" i="138"/>
  <c r="P18" i="138"/>
  <c r="Q14" i="138"/>
  <c r="R10" i="138"/>
  <c r="Q10" i="138"/>
  <c r="O18" i="138"/>
  <c r="R18" i="138" s="1"/>
  <c r="P20" i="138" s="1"/>
  <c r="R4" i="138"/>
  <c r="Q4" i="138"/>
  <c r="H30" i="137"/>
  <c r="J30" i="137" s="1"/>
  <c r="I30" i="137"/>
  <c r="I29" i="137"/>
  <c r="J29" i="137" s="1"/>
  <c r="J28" i="137"/>
  <c r="H28" i="137"/>
  <c r="I28" i="137"/>
  <c r="H27" i="137"/>
  <c r="I27" i="137"/>
  <c r="J27" i="137" s="1"/>
  <c r="H26" i="137"/>
  <c r="I26" i="137"/>
  <c r="I25" i="137"/>
  <c r="J25" i="137" s="1"/>
  <c r="H105" i="137"/>
  <c r="H104" i="137"/>
  <c r="H103" i="137"/>
  <c r="H138" i="137"/>
  <c r="H136" i="137"/>
  <c r="H168" i="137"/>
  <c r="H235" i="137"/>
  <c r="H233" i="137"/>
  <c r="H199" i="137"/>
  <c r="H198" i="137"/>
  <c r="Q18" i="138" l="1"/>
  <c r="H229" i="137"/>
  <c r="H196" i="137"/>
  <c r="H165" i="137"/>
  <c r="H101" i="137"/>
  <c r="H70" i="137"/>
  <c r="J22" i="137"/>
  <c r="I24" i="137"/>
  <c r="J24" i="137" s="1"/>
  <c r="I23" i="137"/>
  <c r="J23" i="137" s="1"/>
  <c r="I22" i="137"/>
  <c r="H21" i="137"/>
  <c r="I21" i="137"/>
  <c r="J21" i="137" s="1"/>
  <c r="H99" i="137" l="1"/>
  <c r="H68" i="137"/>
  <c r="H67" i="137"/>
  <c r="I20" i="137"/>
  <c r="J20" i="137" s="1"/>
  <c r="I19" i="137"/>
  <c r="J19" i="137" s="1"/>
  <c r="I18" i="137"/>
  <c r="J18" i="137" s="1"/>
  <c r="H17" i="137"/>
  <c r="I17" i="137"/>
  <c r="J17" i="137" s="1"/>
  <c r="I8" i="137" l="1"/>
  <c r="J8" i="137" s="1"/>
  <c r="I11" i="137"/>
  <c r="H11" i="137"/>
  <c r="I12" i="137"/>
  <c r="I15" i="137"/>
  <c r="J15" i="137" s="1"/>
  <c r="I16" i="137"/>
  <c r="J16" i="137"/>
  <c r="H12" i="137"/>
  <c r="H60" i="137"/>
  <c r="H193" i="137"/>
  <c r="H192" i="137"/>
  <c r="H161" i="137"/>
  <c r="H129" i="137"/>
  <c r="H127" i="137"/>
  <c r="H98" i="137"/>
  <c r="H97" i="137"/>
  <c r="H96" i="137"/>
  <c r="H66" i="137"/>
  <c r="H63" i="137"/>
  <c r="H62" i="137"/>
  <c r="I14" i="137"/>
  <c r="I13" i="137"/>
  <c r="J13" i="137" s="1"/>
  <c r="I10" i="137"/>
  <c r="I9" i="137"/>
  <c r="H14" i="137"/>
  <c r="J11" i="137" l="1"/>
  <c r="J14" i="137"/>
  <c r="J10" i="137"/>
  <c r="J9" i="137"/>
  <c r="V9" i="137" s="1"/>
  <c r="J12" i="137"/>
  <c r="H10" i="137"/>
  <c r="H9" i="137"/>
  <c r="H61" i="137"/>
  <c r="H126" i="137"/>
  <c r="H221" i="137"/>
  <c r="H158" i="137"/>
  <c r="H6" i="137"/>
  <c r="W244" i="137"/>
  <c r="J244" i="137"/>
  <c r="V244" i="137" s="1"/>
  <c r="J243" i="137"/>
  <c r="V243" i="137" s="1"/>
  <c r="W242" i="137"/>
  <c r="J242" i="137"/>
  <c r="V242" i="137" s="1"/>
  <c r="J241" i="137"/>
  <c r="V241" i="137" s="1"/>
  <c r="J240" i="137"/>
  <c r="V240" i="137" s="1"/>
  <c r="J239" i="137"/>
  <c r="V239" i="137" s="1"/>
  <c r="J238" i="137"/>
  <c r="W238" i="137" s="1"/>
  <c r="J237" i="137"/>
  <c r="W237" i="137" s="1"/>
  <c r="J236" i="137"/>
  <c r="J235" i="137"/>
  <c r="J234" i="137"/>
  <c r="J233" i="137"/>
  <c r="J232" i="137"/>
  <c r="W232" i="137" s="1"/>
  <c r="J231" i="137"/>
  <c r="W231" i="137" s="1"/>
  <c r="J230" i="137"/>
  <c r="W230" i="137" s="1"/>
  <c r="J229" i="137"/>
  <c r="W229" i="137" s="1"/>
  <c r="J228" i="137"/>
  <c r="W228" i="137" s="1"/>
  <c r="J227" i="137"/>
  <c r="W227" i="137" s="1"/>
  <c r="J226" i="137"/>
  <c r="W226" i="137" s="1"/>
  <c r="J225" i="137"/>
  <c r="V225" i="137" s="1"/>
  <c r="J224" i="137"/>
  <c r="V224" i="137" s="1"/>
  <c r="J223" i="137"/>
  <c r="J222" i="137"/>
  <c r="B222" i="137"/>
  <c r="B223" i="137" s="1"/>
  <c r="B224" i="137" s="1"/>
  <c r="B225" i="137" s="1"/>
  <c r="B226" i="137" s="1"/>
  <c r="B227" i="137" s="1"/>
  <c r="B228" i="137" s="1"/>
  <c r="B229" i="137" s="1"/>
  <c r="B230" i="137" s="1"/>
  <c r="B231" i="137" s="1"/>
  <c r="B232" i="137" s="1"/>
  <c r="B233" i="137" s="1"/>
  <c r="B234" i="137" s="1"/>
  <c r="B235" i="137" s="1"/>
  <c r="B236" i="137" s="1"/>
  <c r="B237" i="137" s="1"/>
  <c r="B238" i="137" s="1"/>
  <c r="B239" i="137" s="1"/>
  <c r="B240" i="137" s="1"/>
  <c r="B241" i="137" s="1"/>
  <c r="B242" i="137" s="1"/>
  <c r="B243" i="137" s="1"/>
  <c r="B244" i="137" s="1"/>
  <c r="J221" i="137"/>
  <c r="J212" i="137"/>
  <c r="V212" i="137" s="1"/>
  <c r="J211" i="137"/>
  <c r="J210" i="137"/>
  <c r="V210" i="137" s="1"/>
  <c r="J209" i="137"/>
  <c r="V209" i="137" s="1"/>
  <c r="W208" i="137"/>
  <c r="J208" i="137"/>
  <c r="V208" i="137" s="1"/>
  <c r="J207" i="137"/>
  <c r="J206" i="137"/>
  <c r="J205" i="137"/>
  <c r="J204" i="137"/>
  <c r="J203" i="137"/>
  <c r="J202" i="137"/>
  <c r="J201" i="137"/>
  <c r="J200" i="137"/>
  <c r="J199" i="137"/>
  <c r="W199" i="137" s="1"/>
  <c r="J198" i="137"/>
  <c r="W198" i="137" s="1"/>
  <c r="J197" i="137"/>
  <c r="W197" i="137" s="1"/>
  <c r="J196" i="137"/>
  <c r="W196" i="137" s="1"/>
  <c r="J195" i="137"/>
  <c r="W195" i="137" s="1"/>
  <c r="J194" i="137"/>
  <c r="V194" i="137" s="1"/>
  <c r="J193" i="137"/>
  <c r="V193" i="137" s="1"/>
  <c r="J192" i="137"/>
  <c r="J191" i="137"/>
  <c r="J190" i="137"/>
  <c r="B190" i="137"/>
  <c r="B191" i="137" s="1"/>
  <c r="B192" i="137" s="1"/>
  <c r="B193" i="137" s="1"/>
  <c r="B194" i="137" s="1"/>
  <c r="B195" i="137" s="1"/>
  <c r="B196" i="137" s="1"/>
  <c r="B197" i="137" s="1"/>
  <c r="B198" i="137" s="1"/>
  <c r="B199" i="137" s="1"/>
  <c r="B200" i="137" s="1"/>
  <c r="B201" i="137" s="1"/>
  <c r="B202" i="137" s="1"/>
  <c r="B203" i="137" s="1"/>
  <c r="B204" i="137" s="1"/>
  <c r="B205" i="137" s="1"/>
  <c r="B206" i="137" s="1"/>
  <c r="B207" i="137" s="1"/>
  <c r="B208" i="137" s="1"/>
  <c r="B209" i="137" s="1"/>
  <c r="B210" i="137" s="1"/>
  <c r="J189" i="137"/>
  <c r="J180" i="137"/>
  <c r="V180" i="137" s="1"/>
  <c r="J179" i="137"/>
  <c r="V179" i="137" s="1"/>
  <c r="J178" i="137"/>
  <c r="V178" i="137" s="1"/>
  <c r="J177" i="137"/>
  <c r="V177" i="137" s="1"/>
  <c r="V176" i="137"/>
  <c r="J176" i="137"/>
  <c r="W176" i="137" s="1"/>
  <c r="J175" i="137"/>
  <c r="J174" i="137"/>
  <c r="J173" i="137"/>
  <c r="W173" i="137" s="1"/>
  <c r="J172" i="137"/>
  <c r="W172" i="137" s="1"/>
  <c r="J171" i="137"/>
  <c r="W171" i="137" s="1"/>
  <c r="J170" i="137"/>
  <c r="W170" i="137" s="1"/>
  <c r="J169" i="137"/>
  <c r="V169" i="137" s="1"/>
  <c r="J168" i="137"/>
  <c r="V168" i="137" s="1"/>
  <c r="J167" i="137"/>
  <c r="V167" i="137" s="1"/>
  <c r="J166" i="137"/>
  <c r="V166" i="137" s="1"/>
  <c r="J165" i="137"/>
  <c r="V165" i="137" s="1"/>
  <c r="J164" i="137"/>
  <c r="V164" i="137" s="1"/>
  <c r="J163" i="137"/>
  <c r="J162" i="137"/>
  <c r="J161" i="137"/>
  <c r="J160" i="137"/>
  <c r="J159" i="137"/>
  <c r="B159" i="137"/>
  <c r="B160" i="137" s="1"/>
  <c r="B161" i="137" s="1"/>
  <c r="B162" i="137" s="1"/>
  <c r="B163" i="137" s="1"/>
  <c r="B164" i="137" s="1"/>
  <c r="B165" i="137" s="1"/>
  <c r="B166" i="137" s="1"/>
  <c r="B167" i="137" s="1"/>
  <c r="B168" i="137" s="1"/>
  <c r="B169" i="137" s="1"/>
  <c r="B170" i="137" s="1"/>
  <c r="B171" i="137" s="1"/>
  <c r="B172" i="137" s="1"/>
  <c r="B173" i="137" s="1"/>
  <c r="B174" i="137" s="1"/>
  <c r="B175" i="137" s="1"/>
  <c r="B176" i="137" s="1"/>
  <c r="B177" i="137" s="1"/>
  <c r="B178" i="137" s="1"/>
  <c r="B179" i="137" s="1"/>
  <c r="B180" i="137" s="1"/>
  <c r="J158" i="137"/>
  <c r="J149" i="137"/>
  <c r="J148" i="137"/>
  <c r="J147" i="137"/>
  <c r="J146" i="137"/>
  <c r="W146" i="137" s="1"/>
  <c r="J145" i="137"/>
  <c r="W145" i="137" s="1"/>
  <c r="J144" i="137"/>
  <c r="W144" i="137" s="1"/>
  <c r="J143" i="137"/>
  <c r="W143" i="137" s="1"/>
  <c r="J142" i="137"/>
  <c r="W142" i="137" s="1"/>
  <c r="J141" i="137"/>
  <c r="W141" i="137" s="1"/>
  <c r="J140" i="137"/>
  <c r="W140" i="137" s="1"/>
  <c r="J139" i="137"/>
  <c r="J138" i="137"/>
  <c r="V138" i="137" s="1"/>
  <c r="J137" i="137"/>
  <c r="J136" i="137"/>
  <c r="V136" i="137" s="1"/>
  <c r="V135" i="137"/>
  <c r="J135" i="137"/>
  <c r="W135" i="137" s="1"/>
  <c r="J134" i="137"/>
  <c r="W134" i="137" s="1"/>
  <c r="J133" i="137"/>
  <c r="J132" i="137"/>
  <c r="V132" i="137" s="1"/>
  <c r="J131" i="137"/>
  <c r="W131" i="137" s="1"/>
  <c r="J130" i="137"/>
  <c r="W130" i="137" s="1"/>
  <c r="J129" i="137"/>
  <c r="W129" i="137" s="1"/>
  <c r="J128" i="137"/>
  <c r="V128" i="137" s="1"/>
  <c r="J127" i="137"/>
  <c r="V127" i="137" s="1"/>
  <c r="J126" i="137"/>
  <c r="V126" i="137" s="1"/>
  <c r="B126" i="137"/>
  <c r="B127" i="137" s="1"/>
  <c r="B128" i="137" s="1"/>
  <c r="B129" i="137" s="1"/>
  <c r="B130" i="137" s="1"/>
  <c r="B131" i="137" s="1"/>
  <c r="B132" i="137" s="1"/>
  <c r="B133" i="137" s="1"/>
  <c r="B134" i="137" s="1"/>
  <c r="B135" i="137" s="1"/>
  <c r="B136" i="137" s="1"/>
  <c r="B137" i="137" s="1"/>
  <c r="B138" i="137" s="1"/>
  <c r="B139" i="137" s="1"/>
  <c r="B140" i="137" s="1"/>
  <c r="B141" i="137" s="1"/>
  <c r="B142" i="137" s="1"/>
  <c r="B143" i="137" s="1"/>
  <c r="B144" i="137" s="1"/>
  <c r="B145" i="137" s="1"/>
  <c r="B146" i="137" s="1"/>
  <c r="B147" i="137" s="1"/>
  <c r="B148" i="137" s="1"/>
  <c r="B149" i="137" s="1"/>
  <c r="J125" i="137"/>
  <c r="J116" i="137"/>
  <c r="V116" i="137" s="1"/>
  <c r="W115" i="137"/>
  <c r="J115" i="137"/>
  <c r="V115" i="137" s="1"/>
  <c r="J114" i="137"/>
  <c r="V114" i="137" s="1"/>
  <c r="W113" i="137"/>
  <c r="J113" i="137"/>
  <c r="V113" i="137" s="1"/>
  <c r="J112" i="137"/>
  <c r="V112" i="137" s="1"/>
  <c r="J111" i="137"/>
  <c r="V111" i="137" s="1"/>
  <c r="J110" i="137"/>
  <c r="V110" i="137" s="1"/>
  <c r="J109" i="137"/>
  <c r="V109" i="137" s="1"/>
  <c r="J108" i="137"/>
  <c r="J107" i="137"/>
  <c r="J106" i="137"/>
  <c r="J105" i="137"/>
  <c r="W105" i="137" s="1"/>
  <c r="J104" i="137"/>
  <c r="W104" i="137" s="1"/>
  <c r="J103" i="137"/>
  <c r="V103" i="137" s="1"/>
  <c r="J102" i="137"/>
  <c r="V102" i="137" s="1"/>
  <c r="J101" i="137"/>
  <c r="V101" i="137" s="1"/>
  <c r="J100" i="137"/>
  <c r="J99" i="137"/>
  <c r="J98" i="137"/>
  <c r="J97" i="137"/>
  <c r="W97" i="137" s="1"/>
  <c r="J96" i="137"/>
  <c r="V96" i="137" s="1"/>
  <c r="J95" i="137"/>
  <c r="V95" i="137" s="1"/>
  <c r="B95" i="137"/>
  <c r="B96" i="137" s="1"/>
  <c r="B97" i="137" s="1"/>
  <c r="B98" i="137" s="1"/>
  <c r="B99" i="137" s="1"/>
  <c r="B100" i="137" s="1"/>
  <c r="B101" i="137" s="1"/>
  <c r="B102" i="137" s="1"/>
  <c r="B103" i="137" s="1"/>
  <c r="B104" i="137" s="1"/>
  <c r="B105" i="137" s="1"/>
  <c r="B106" i="137" s="1"/>
  <c r="B107" i="137" s="1"/>
  <c r="B108" i="137" s="1"/>
  <c r="B109" i="137" s="1"/>
  <c r="B110" i="137" s="1"/>
  <c r="B111" i="137" s="1"/>
  <c r="B112" i="137" s="1"/>
  <c r="B113" i="137" s="1"/>
  <c r="B114" i="137" s="1"/>
  <c r="B115" i="137" s="1"/>
  <c r="B116" i="137" s="1"/>
  <c r="J94" i="137"/>
  <c r="W85" i="137"/>
  <c r="J85" i="137"/>
  <c r="V85" i="137" s="1"/>
  <c r="J84" i="137"/>
  <c r="J83" i="137"/>
  <c r="J82" i="137"/>
  <c r="W82" i="137" s="1"/>
  <c r="J81" i="137"/>
  <c r="J80" i="137"/>
  <c r="W80" i="137" s="1"/>
  <c r="J79" i="137"/>
  <c r="V79" i="137" s="1"/>
  <c r="J78" i="137"/>
  <c r="W78" i="137" s="1"/>
  <c r="J77" i="137"/>
  <c r="V77" i="137" s="1"/>
  <c r="J76" i="137"/>
  <c r="J75" i="137"/>
  <c r="J74" i="137"/>
  <c r="J73" i="137"/>
  <c r="J72" i="137"/>
  <c r="J71" i="137"/>
  <c r="W71" i="137" s="1"/>
  <c r="J70" i="137"/>
  <c r="V70" i="137" s="1"/>
  <c r="J69" i="137"/>
  <c r="W69" i="137" s="1"/>
  <c r="J68" i="137"/>
  <c r="W68" i="137" s="1"/>
  <c r="J67" i="137"/>
  <c r="W67" i="137" s="1"/>
  <c r="J66" i="137"/>
  <c r="W66" i="137" s="1"/>
  <c r="J65" i="137"/>
  <c r="J64" i="137"/>
  <c r="J63" i="137"/>
  <c r="W63" i="137" s="1"/>
  <c r="J62" i="137"/>
  <c r="W62" i="137" s="1"/>
  <c r="J61" i="137"/>
  <c r="W61" i="137" s="1"/>
  <c r="B61" i="137"/>
  <c r="B62" i="137" s="1"/>
  <c r="B63" i="137" s="1"/>
  <c r="B64" i="137" s="1"/>
  <c r="B65" i="137" s="1"/>
  <c r="B66" i="137" s="1"/>
  <c r="B67" i="137" s="1"/>
  <c r="B68" i="137" s="1"/>
  <c r="B69" i="137" s="1"/>
  <c r="B70" i="137" s="1"/>
  <c r="B71" i="137" s="1"/>
  <c r="B72" i="137" s="1"/>
  <c r="B73" i="137" s="1"/>
  <c r="B74" i="137" s="1"/>
  <c r="B75" i="137" s="1"/>
  <c r="B76" i="137" s="1"/>
  <c r="B77" i="137" s="1"/>
  <c r="B78" i="137" s="1"/>
  <c r="B79" i="137" s="1"/>
  <c r="B80" i="137" s="1"/>
  <c r="B81" i="137" s="1"/>
  <c r="B82" i="137" s="1"/>
  <c r="J60" i="137"/>
  <c r="V60" i="137" s="1"/>
  <c r="W51" i="137"/>
  <c r="V51" i="137"/>
  <c r="W50" i="137"/>
  <c r="V50" i="137"/>
  <c r="W49" i="137"/>
  <c r="V49" i="137"/>
  <c r="W48" i="137"/>
  <c r="V48" i="137"/>
  <c r="W47" i="137"/>
  <c r="V46" i="137"/>
  <c r="W45" i="137"/>
  <c r="W44" i="137"/>
  <c r="V44" i="137"/>
  <c r="W38" i="137"/>
  <c r="V38" i="137"/>
  <c r="W37" i="137"/>
  <c r="W34" i="137"/>
  <c r="W32" i="137"/>
  <c r="W31" i="137"/>
  <c r="V31" i="137"/>
  <c r="V30" i="137"/>
  <c r="W26" i="137"/>
  <c r="V26" i="137"/>
  <c r="W25" i="137"/>
  <c r="W23" i="137"/>
  <c r="W19" i="137"/>
  <c r="N16" i="137"/>
  <c r="W15" i="137"/>
  <c r="N14" i="137"/>
  <c r="N12" i="137"/>
  <c r="N10" i="137"/>
  <c r="N8" i="137"/>
  <c r="W8" i="137"/>
  <c r="I7" i="137"/>
  <c r="J7" i="137" s="1"/>
  <c r="B7" i="137"/>
  <c r="B8" i="137" s="1"/>
  <c r="B9" i="137" s="1"/>
  <c r="B10" i="137" s="1"/>
  <c r="B11" i="137" s="1"/>
  <c r="B12" i="137" s="1"/>
  <c r="B13" i="137" s="1"/>
  <c r="B14" i="137" s="1"/>
  <c r="B15" i="137" s="1"/>
  <c r="B16" i="137" s="1"/>
  <c r="B17" i="137" s="1"/>
  <c r="B18" i="137" s="1"/>
  <c r="B19" i="137" s="1"/>
  <c r="B20" i="137" s="1"/>
  <c r="B21" i="137" s="1"/>
  <c r="B22" i="137" s="1"/>
  <c r="B23" i="137" s="1"/>
  <c r="B24" i="137" s="1"/>
  <c r="B25" i="137" s="1"/>
  <c r="B26" i="137" s="1"/>
  <c r="B27" i="137" s="1"/>
  <c r="B28" i="137" s="1"/>
  <c r="B29" i="137" s="1"/>
  <c r="B30" i="137" s="1"/>
  <c r="B31" i="137" s="1"/>
  <c r="B32" i="137" s="1"/>
  <c r="B33" i="137" s="1"/>
  <c r="B34" i="137" s="1"/>
  <c r="B35" i="137" s="1"/>
  <c r="B36" i="137" s="1"/>
  <c r="B37" i="137" s="1"/>
  <c r="B38" i="137" s="1"/>
  <c r="B39" i="137" s="1"/>
  <c r="B40" i="137" s="1"/>
  <c r="B41" i="137" s="1"/>
  <c r="B42" i="137" s="1"/>
  <c r="B43" i="137" s="1"/>
  <c r="B44" i="137" s="1"/>
  <c r="B45" i="137" s="1"/>
  <c r="B46" i="137" s="1"/>
  <c r="B47" i="137" s="1"/>
  <c r="B48" i="137" s="1"/>
  <c r="B49" i="137" s="1"/>
  <c r="B50" i="137" s="1"/>
  <c r="B51" i="137" s="1"/>
  <c r="N6" i="137"/>
  <c r="I6" i="137"/>
  <c r="J6" i="137" s="1"/>
  <c r="N4" i="137"/>
  <c r="W111" i="137" l="1"/>
  <c r="W116" i="137"/>
  <c r="W136" i="137"/>
  <c r="W180" i="137"/>
  <c r="W241" i="137"/>
  <c r="W243" i="137"/>
  <c r="W109" i="137"/>
  <c r="V144" i="137"/>
  <c r="W212" i="137"/>
  <c r="W210" i="137"/>
  <c r="V146" i="137"/>
  <c r="V173" i="137"/>
  <c r="V172" i="137"/>
  <c r="W79" i="137"/>
  <c r="V142" i="137"/>
  <c r="W77" i="137"/>
  <c r="V171" i="137"/>
  <c r="V170" i="137"/>
  <c r="W103" i="137"/>
  <c r="W169" i="137"/>
  <c r="W168" i="137"/>
  <c r="W167" i="137"/>
  <c r="V198" i="137"/>
  <c r="V196" i="137"/>
  <c r="W166" i="137"/>
  <c r="W194" i="137"/>
  <c r="W164" i="137"/>
  <c r="W225" i="137"/>
  <c r="W224" i="137"/>
  <c r="V227" i="137"/>
  <c r="V229" i="137"/>
  <c r="V231" i="137"/>
  <c r="V237" i="137"/>
  <c r="W239" i="137"/>
  <c r="V228" i="137"/>
  <c r="V230" i="137"/>
  <c r="V232" i="137"/>
  <c r="V238" i="137"/>
  <c r="W240" i="137"/>
  <c r="W193" i="137"/>
  <c r="V195" i="137"/>
  <c r="V197" i="137"/>
  <c r="V199" i="137"/>
  <c r="W209" i="137"/>
  <c r="W177" i="137"/>
  <c r="W179" i="137"/>
  <c r="W165" i="137"/>
  <c r="W178" i="137"/>
  <c r="W127" i="137"/>
  <c r="V129" i="137"/>
  <c r="V134" i="137"/>
  <c r="V141" i="137"/>
  <c r="V143" i="137"/>
  <c r="V145" i="137"/>
  <c r="W126" i="137"/>
  <c r="W128" i="137"/>
  <c r="W96" i="137"/>
  <c r="W102" i="137"/>
  <c r="V105" i="137"/>
  <c r="W110" i="137"/>
  <c r="W112" i="137"/>
  <c r="W114" i="137"/>
  <c r="W95" i="137"/>
  <c r="W101" i="137"/>
  <c r="V80" i="137"/>
  <c r="V82" i="137"/>
  <c r="V63" i="137"/>
  <c r="W60" i="137"/>
  <c r="V62" i="137"/>
  <c r="V67" i="137"/>
  <c r="V69" i="137"/>
  <c r="V66" i="137"/>
  <c r="N18" i="137"/>
  <c r="V68" i="137"/>
  <c r="W70" i="137"/>
  <c r="W14" i="137"/>
  <c r="V14" i="137"/>
  <c r="W9" i="137"/>
  <c r="W12" i="137"/>
  <c r="V12" i="137"/>
  <c r="W24" i="137"/>
  <c r="V24" i="137"/>
  <c r="V40" i="137"/>
  <c r="W40" i="137"/>
  <c r="V43" i="137"/>
  <c r="W43" i="137"/>
  <c r="V11" i="137"/>
  <c r="W11" i="137"/>
  <c r="V18" i="137"/>
  <c r="W18" i="137"/>
  <c r="W27" i="137"/>
  <c r="V27" i="137"/>
  <c r="W35" i="137"/>
  <c r="V35" i="137"/>
  <c r="V41" i="137"/>
  <c r="W41" i="137"/>
  <c r="J52" i="137"/>
  <c r="W6" i="137"/>
  <c r="V6" i="137"/>
  <c r="W10" i="137"/>
  <c r="V10" i="137"/>
  <c r="V29" i="137"/>
  <c r="W29" i="137"/>
  <c r="W39" i="137"/>
  <c r="V39" i="137"/>
  <c r="W42" i="137"/>
  <c r="V42" i="137"/>
  <c r="W16" i="137"/>
  <c r="V16" i="137"/>
  <c r="W13" i="137"/>
  <c r="V13" i="137"/>
  <c r="V20" i="137"/>
  <c r="W20" i="137"/>
  <c r="V7" i="137"/>
  <c r="W7" i="137"/>
  <c r="V17" i="137"/>
  <c r="W17" i="137"/>
  <c r="V21" i="137"/>
  <c r="W21" i="137"/>
  <c r="V28" i="137"/>
  <c r="W28" i="137"/>
  <c r="V33" i="137"/>
  <c r="W33" i="137"/>
  <c r="V36" i="137"/>
  <c r="W36" i="137"/>
  <c r="W72" i="137"/>
  <c r="V72" i="137"/>
  <c r="W99" i="137"/>
  <c r="V99" i="137"/>
  <c r="W133" i="137"/>
  <c r="V133" i="137"/>
  <c r="J181" i="137"/>
  <c r="W158" i="137"/>
  <c r="V158" i="137"/>
  <c r="V15" i="137"/>
  <c r="V19" i="137"/>
  <c r="W30" i="137"/>
  <c r="V32" i="137"/>
  <c r="V34" i="137"/>
  <c r="V45" i="137"/>
  <c r="W46" i="137"/>
  <c r="W73" i="137"/>
  <c r="V73" i="137"/>
  <c r="W94" i="137"/>
  <c r="V94" i="137"/>
  <c r="J117" i="137"/>
  <c r="V97" i="137"/>
  <c r="W100" i="137"/>
  <c r="V100" i="137"/>
  <c r="W107" i="137"/>
  <c r="V107" i="137"/>
  <c r="J150" i="137"/>
  <c r="W125" i="137"/>
  <c r="V125" i="137"/>
  <c r="V139" i="137"/>
  <c r="W139" i="137"/>
  <c r="W147" i="137"/>
  <c r="V147" i="137"/>
  <c r="W106" i="137"/>
  <c r="V106" i="137"/>
  <c r="V8" i="137"/>
  <c r="V23" i="137"/>
  <c r="V25" i="137"/>
  <c r="V37" i="137"/>
  <c r="V47" i="137"/>
  <c r="V61" i="137"/>
  <c r="V71" i="137"/>
  <c r="W74" i="137"/>
  <c r="V74" i="137"/>
  <c r="V78" i="137"/>
  <c r="W108" i="137"/>
  <c r="V108" i="137"/>
  <c r="W65" i="137"/>
  <c r="V65" i="137"/>
  <c r="W76" i="137"/>
  <c r="V76" i="137"/>
  <c r="W64" i="137"/>
  <c r="V64" i="137"/>
  <c r="W75" i="137"/>
  <c r="V75" i="137"/>
  <c r="W98" i="137"/>
  <c r="V98" i="137"/>
  <c r="V104" i="137"/>
  <c r="V130" i="137"/>
  <c r="V137" i="137"/>
  <c r="W137" i="137"/>
  <c r="W159" i="137"/>
  <c r="V159" i="137"/>
  <c r="W163" i="137"/>
  <c r="V163" i="137"/>
  <c r="W174" i="137"/>
  <c r="V174" i="137"/>
  <c r="W189" i="137"/>
  <c r="J213" i="137"/>
  <c r="V189" i="137"/>
  <c r="W192" i="137"/>
  <c r="V192" i="137"/>
  <c r="W202" i="137"/>
  <c r="V202" i="137"/>
  <c r="W206" i="137"/>
  <c r="V206" i="137"/>
  <c r="W233" i="137"/>
  <c r="V233" i="137"/>
  <c r="J86" i="137"/>
  <c r="W148" i="137"/>
  <c r="V148" i="137"/>
  <c r="W160" i="137"/>
  <c r="V160" i="137"/>
  <c r="W175" i="137"/>
  <c r="V175" i="137"/>
  <c r="W203" i="137"/>
  <c r="V203" i="137"/>
  <c r="W207" i="137"/>
  <c r="V207" i="137"/>
  <c r="W222" i="137"/>
  <c r="V222" i="137"/>
  <c r="W234" i="137"/>
  <c r="V234" i="137"/>
  <c r="W149" i="137"/>
  <c r="V149" i="137"/>
  <c r="W161" i="137"/>
  <c r="V161" i="137"/>
  <c r="W190" i="137"/>
  <c r="V190" i="137"/>
  <c r="W200" i="137"/>
  <c r="V200" i="137"/>
  <c r="W204" i="137"/>
  <c r="V204" i="137"/>
  <c r="W223" i="137"/>
  <c r="V223" i="137"/>
  <c r="V226" i="137"/>
  <c r="W235" i="137"/>
  <c r="V235" i="137"/>
  <c r="V131" i="137"/>
  <c r="W132" i="137"/>
  <c r="W138" i="137"/>
  <c r="V140" i="137"/>
  <c r="W162" i="137"/>
  <c r="V162" i="137"/>
  <c r="W191" i="137"/>
  <c r="V191" i="137"/>
  <c r="W201" i="137"/>
  <c r="V201" i="137"/>
  <c r="W205" i="137"/>
  <c r="V205" i="137"/>
  <c r="W221" i="137"/>
  <c r="J245" i="137"/>
  <c r="V221" i="137"/>
  <c r="W236" i="137"/>
  <c r="V236" i="137"/>
  <c r="H209" i="136"/>
  <c r="H177" i="136"/>
  <c r="H147" i="136"/>
  <c r="H239" i="136"/>
  <c r="H207" i="136"/>
  <c r="H175" i="136"/>
  <c r="H78" i="136"/>
  <c r="H47" i="136"/>
  <c r="J47" i="136" s="1"/>
  <c r="I47" i="136"/>
  <c r="I46" i="136"/>
  <c r="J46" i="136" s="1"/>
  <c r="H45" i="136"/>
  <c r="J45" i="136" s="1"/>
  <c r="I45" i="136"/>
  <c r="I44" i="136"/>
  <c r="J44" i="136" s="1"/>
  <c r="I43" i="136"/>
  <c r="J43" i="136" s="1"/>
  <c r="I42" i="136"/>
  <c r="J42" i="136" s="1"/>
  <c r="H41" i="136"/>
  <c r="J41" i="136" s="1"/>
  <c r="I41" i="136"/>
  <c r="I40" i="136"/>
  <c r="J40" i="136" s="1"/>
  <c r="V245" i="137" l="1"/>
  <c r="O16" i="137" s="1"/>
  <c r="R16" i="137" s="1"/>
  <c r="W86" i="137"/>
  <c r="P6" i="137" s="1"/>
  <c r="V86" i="137"/>
  <c r="O6" i="137" s="1"/>
  <c r="R6" i="137" s="1"/>
  <c r="V213" i="137"/>
  <c r="O14" i="137" s="1"/>
  <c r="W22" i="137"/>
  <c r="W52" i="137" s="1"/>
  <c r="P4" i="137" s="1"/>
  <c r="V22" i="137"/>
  <c r="V52" i="137" s="1"/>
  <c r="O4" i="137" s="1"/>
  <c r="V150" i="137"/>
  <c r="O10" i="137" s="1"/>
  <c r="V181" i="137"/>
  <c r="O12" i="137" s="1"/>
  <c r="W245" i="137"/>
  <c r="P16" i="137" s="1"/>
  <c r="W150" i="137"/>
  <c r="P10" i="137" s="1"/>
  <c r="V117" i="137"/>
  <c r="O8" i="137" s="1"/>
  <c r="W181" i="137"/>
  <c r="P12" i="137" s="1"/>
  <c r="W213" i="137"/>
  <c r="P14" i="137" s="1"/>
  <c r="W117" i="137"/>
  <c r="P8" i="137" s="1"/>
  <c r="H174" i="136"/>
  <c r="H77" i="136"/>
  <c r="I39" i="136"/>
  <c r="J39" i="136" s="1"/>
  <c r="I38" i="136"/>
  <c r="J38" i="136" s="1"/>
  <c r="Q6" i="137" l="1"/>
  <c r="P18" i="137"/>
  <c r="R12" i="137"/>
  <c r="Q12" i="137"/>
  <c r="R14" i="137"/>
  <c r="Q14" i="137"/>
  <c r="Q8" i="137"/>
  <c r="R8" i="137"/>
  <c r="R10" i="137"/>
  <c r="Q10" i="137"/>
  <c r="O18" i="137"/>
  <c r="R18" i="137" s="1"/>
  <c r="P20" i="137" s="1"/>
  <c r="R4" i="137"/>
  <c r="Q4" i="137"/>
  <c r="H140" i="136"/>
  <c r="H109" i="136"/>
  <c r="H108" i="136"/>
  <c r="H76" i="136"/>
  <c r="J36" i="136"/>
  <c r="I37" i="136"/>
  <c r="J37" i="136" s="1"/>
  <c r="I36" i="136"/>
  <c r="J35" i="136"/>
  <c r="H35" i="136"/>
  <c r="I35" i="136"/>
  <c r="I34" i="136"/>
  <c r="J34" i="136" s="1"/>
  <c r="H33" i="136"/>
  <c r="J33" i="136" s="1"/>
  <c r="I33" i="136"/>
  <c r="I32" i="136"/>
  <c r="J32" i="136" s="1"/>
  <c r="H236" i="136"/>
  <c r="H170" i="136"/>
  <c r="H137" i="136"/>
  <c r="H106" i="136"/>
  <c r="J31" i="136"/>
  <c r="I31" i="136"/>
  <c r="H30" i="136"/>
  <c r="I30" i="136"/>
  <c r="J30" i="136" s="1"/>
  <c r="Q18" i="137" l="1"/>
  <c r="H233" i="136"/>
  <c r="H200" i="136"/>
  <c r="H29" i="136"/>
  <c r="J29" i="136" s="1"/>
  <c r="I29" i="136"/>
  <c r="I28" i="136"/>
  <c r="J28" i="136" s="1"/>
  <c r="I27" i="136"/>
  <c r="J27" i="136" s="1"/>
  <c r="I26" i="136"/>
  <c r="J26" i="136" s="1"/>
  <c r="H72" i="136"/>
  <c r="H71" i="136"/>
  <c r="H104" i="136"/>
  <c r="H70" i="136" l="1"/>
  <c r="H25" i="136"/>
  <c r="J25" i="136" s="1"/>
  <c r="I25" i="136"/>
  <c r="I24" i="136"/>
  <c r="J24" i="136" s="1"/>
  <c r="J20" i="136"/>
  <c r="J21" i="136"/>
  <c r="I23" i="136"/>
  <c r="J23" i="136" s="1"/>
  <c r="H22" i="136"/>
  <c r="J22" i="136" s="1"/>
  <c r="I22" i="136"/>
  <c r="H133" i="136"/>
  <c r="H132" i="136"/>
  <c r="H101" i="136"/>
  <c r="I21" i="136"/>
  <c r="I20" i="136"/>
  <c r="H195" i="136" l="1"/>
  <c r="H19" i="136"/>
  <c r="H18" i="136"/>
  <c r="I19" i="136" l="1"/>
  <c r="J19" i="136" s="1"/>
  <c r="I18" i="136"/>
  <c r="J18" i="136" s="1"/>
  <c r="J17" i="136"/>
  <c r="H17" i="136"/>
  <c r="I17" i="136"/>
  <c r="I16" i="136"/>
  <c r="J16" i="136" s="1"/>
  <c r="I15" i="136"/>
  <c r="J15" i="136" s="1"/>
  <c r="I14" i="136"/>
  <c r="J14" i="136" s="1"/>
  <c r="H100" i="136"/>
  <c r="H164" i="136"/>
  <c r="H163" i="136"/>
  <c r="H130" i="136"/>
  <c r="H65" i="136"/>
  <c r="H64" i="136"/>
  <c r="H98" i="136"/>
  <c r="H129" i="136"/>
  <c r="H193" i="136"/>
  <c r="H226" i="136"/>
  <c r="H224" i="136"/>
  <c r="H192" i="136"/>
  <c r="H128" i="136"/>
  <c r="H97" i="136"/>
  <c r="J12" i="136"/>
  <c r="J13" i="136"/>
  <c r="I13" i="136"/>
  <c r="I12" i="136"/>
  <c r="H223" i="136" l="1"/>
  <c r="I8" i="136"/>
  <c r="I9" i="136"/>
  <c r="J9" i="136" s="1"/>
  <c r="I10" i="136"/>
  <c r="J10" i="136"/>
  <c r="I11" i="136"/>
  <c r="H11" i="136"/>
  <c r="J11" i="136" s="1"/>
  <c r="H8" i="136"/>
  <c r="J8" i="136" s="1"/>
  <c r="H61" i="136"/>
  <c r="H95" i="136"/>
  <c r="H126" i="136"/>
  <c r="H159" i="136"/>
  <c r="H158" i="136"/>
  <c r="H125" i="136"/>
  <c r="H94" i="136"/>
  <c r="H7" i="136"/>
  <c r="J125" i="136" l="1"/>
  <c r="J126" i="136"/>
  <c r="J127" i="136"/>
  <c r="J128" i="136"/>
  <c r="J129" i="136"/>
  <c r="J130" i="136"/>
  <c r="J131" i="136"/>
  <c r="W131" i="136" s="1"/>
  <c r="J132" i="136"/>
  <c r="J133" i="136"/>
  <c r="J134" i="136"/>
  <c r="J135" i="136"/>
  <c r="W135" i="136" s="1"/>
  <c r="J136" i="136"/>
  <c r="W136" i="136" s="1"/>
  <c r="J137" i="136"/>
  <c r="J138" i="136"/>
  <c r="V138" i="136" s="1"/>
  <c r="J139" i="136"/>
  <c r="V139" i="136" s="1"/>
  <c r="J140" i="136"/>
  <c r="J141" i="136"/>
  <c r="J142" i="136"/>
  <c r="J143" i="136"/>
  <c r="J144" i="136"/>
  <c r="J145" i="136"/>
  <c r="J244" i="136"/>
  <c r="V244" i="136" s="1"/>
  <c r="W243" i="136"/>
  <c r="J243" i="136"/>
  <c r="V243" i="136" s="1"/>
  <c r="J242" i="136"/>
  <c r="V242" i="136" s="1"/>
  <c r="W241" i="136"/>
  <c r="J241" i="136"/>
  <c r="V241" i="136" s="1"/>
  <c r="J240" i="136"/>
  <c r="V240" i="136" s="1"/>
  <c r="J239" i="136"/>
  <c r="V239" i="136" s="1"/>
  <c r="J238" i="136"/>
  <c r="V238" i="136" s="1"/>
  <c r="J237" i="136"/>
  <c r="V237" i="136" s="1"/>
  <c r="J236" i="136"/>
  <c r="V236" i="136" s="1"/>
  <c r="J235" i="136"/>
  <c r="V235" i="136" s="1"/>
  <c r="J234" i="136"/>
  <c r="W234" i="136" s="1"/>
  <c r="J233" i="136"/>
  <c r="W233" i="136" s="1"/>
  <c r="J232" i="136"/>
  <c r="W232" i="136" s="1"/>
  <c r="J231" i="136"/>
  <c r="W231" i="136" s="1"/>
  <c r="J230" i="136"/>
  <c r="W230" i="136" s="1"/>
  <c r="J229" i="136"/>
  <c r="W229" i="136" s="1"/>
  <c r="J228" i="136"/>
  <c r="W228" i="136" s="1"/>
  <c r="J227" i="136"/>
  <c r="W227" i="136" s="1"/>
  <c r="J226" i="136"/>
  <c r="W226" i="136" s="1"/>
  <c r="J225" i="136"/>
  <c r="W225" i="136" s="1"/>
  <c r="J224" i="136"/>
  <c r="W224" i="136" s="1"/>
  <c r="J223" i="136"/>
  <c r="W223" i="136" s="1"/>
  <c r="B223" i="136"/>
  <c r="B224" i="136" s="1"/>
  <c r="B225" i="136" s="1"/>
  <c r="B226" i="136" s="1"/>
  <c r="B227" i="136" s="1"/>
  <c r="B228" i="136" s="1"/>
  <c r="B229" i="136" s="1"/>
  <c r="B230" i="136" s="1"/>
  <c r="B231" i="136" s="1"/>
  <c r="B232" i="136" s="1"/>
  <c r="B233" i="136" s="1"/>
  <c r="B234" i="136" s="1"/>
  <c r="B235" i="136" s="1"/>
  <c r="B236" i="136" s="1"/>
  <c r="B237" i="136" s="1"/>
  <c r="B238" i="136" s="1"/>
  <c r="B239" i="136" s="1"/>
  <c r="B240" i="136" s="1"/>
  <c r="B241" i="136" s="1"/>
  <c r="B242" i="136" s="1"/>
  <c r="B243" i="136" s="1"/>
  <c r="B244" i="136" s="1"/>
  <c r="J222" i="136"/>
  <c r="B222" i="136"/>
  <c r="J221" i="136"/>
  <c r="J212" i="136"/>
  <c r="V212" i="136" s="1"/>
  <c r="J211" i="136"/>
  <c r="J210" i="136"/>
  <c r="V210" i="136" s="1"/>
  <c r="J209" i="136"/>
  <c r="V209" i="136" s="1"/>
  <c r="J208" i="136"/>
  <c r="V208" i="136" s="1"/>
  <c r="J207" i="136"/>
  <c r="W207" i="136" s="1"/>
  <c r="J206" i="136"/>
  <c r="J205" i="136"/>
  <c r="J204" i="136"/>
  <c r="J203" i="136"/>
  <c r="J202" i="136"/>
  <c r="J201" i="136"/>
  <c r="W201" i="136" s="1"/>
  <c r="J200" i="136"/>
  <c r="W200" i="136" s="1"/>
  <c r="J199" i="136"/>
  <c r="W199" i="136" s="1"/>
  <c r="J198" i="136"/>
  <c r="W198" i="136" s="1"/>
  <c r="J197" i="136"/>
  <c r="W197" i="136" s="1"/>
  <c r="J196" i="136"/>
  <c r="V196" i="136" s="1"/>
  <c r="J195" i="136"/>
  <c r="J194" i="136"/>
  <c r="J193" i="136"/>
  <c r="J192" i="136"/>
  <c r="V192" i="136" s="1"/>
  <c r="J191" i="136"/>
  <c r="V191" i="136" s="1"/>
  <c r="B191" i="136"/>
  <c r="B192" i="136" s="1"/>
  <c r="B193" i="136" s="1"/>
  <c r="B194" i="136" s="1"/>
  <c r="B195" i="136" s="1"/>
  <c r="B196" i="136" s="1"/>
  <c r="B197" i="136" s="1"/>
  <c r="B198" i="136" s="1"/>
  <c r="B199" i="136" s="1"/>
  <c r="B200" i="136" s="1"/>
  <c r="B201" i="136" s="1"/>
  <c r="B202" i="136" s="1"/>
  <c r="B203" i="136" s="1"/>
  <c r="B204" i="136" s="1"/>
  <c r="B205" i="136" s="1"/>
  <c r="B206" i="136" s="1"/>
  <c r="B207" i="136" s="1"/>
  <c r="B208" i="136" s="1"/>
  <c r="B209" i="136" s="1"/>
  <c r="B210" i="136" s="1"/>
  <c r="J190" i="136"/>
  <c r="W190" i="136" s="1"/>
  <c r="B190" i="136"/>
  <c r="J189" i="136"/>
  <c r="V189" i="136" s="1"/>
  <c r="J180" i="136"/>
  <c r="W180" i="136" s="1"/>
  <c r="J179" i="136"/>
  <c r="W179" i="136" s="1"/>
  <c r="J178" i="136"/>
  <c r="W178" i="136" s="1"/>
  <c r="J177" i="136"/>
  <c r="W177" i="136" s="1"/>
  <c r="J176" i="136"/>
  <c r="W176" i="136" s="1"/>
  <c r="J175" i="136"/>
  <c r="W175" i="136" s="1"/>
  <c r="J174" i="136"/>
  <c r="W174" i="136" s="1"/>
  <c r="J173" i="136"/>
  <c r="W173" i="136" s="1"/>
  <c r="J172" i="136"/>
  <c r="W172" i="136" s="1"/>
  <c r="J171" i="136"/>
  <c r="W171" i="136" s="1"/>
  <c r="J170" i="136"/>
  <c r="W170" i="136" s="1"/>
  <c r="J169" i="136"/>
  <c r="W169" i="136" s="1"/>
  <c r="J168" i="136"/>
  <c r="W168" i="136" s="1"/>
  <c r="J167" i="136"/>
  <c r="W167" i="136" s="1"/>
  <c r="J166" i="136"/>
  <c r="W166" i="136" s="1"/>
  <c r="J165" i="136"/>
  <c r="W165" i="136" s="1"/>
  <c r="J164" i="136"/>
  <c r="W164" i="136" s="1"/>
  <c r="J163" i="136"/>
  <c r="W163" i="136" s="1"/>
  <c r="J162" i="136"/>
  <c r="V162" i="136" s="1"/>
  <c r="J161" i="136"/>
  <c r="W161" i="136" s="1"/>
  <c r="J160" i="136"/>
  <c r="J159" i="136"/>
  <c r="B159" i="136"/>
  <c r="B160" i="136" s="1"/>
  <c r="B161" i="136" s="1"/>
  <c r="B162" i="136" s="1"/>
  <c r="B163" i="136" s="1"/>
  <c r="B164" i="136" s="1"/>
  <c r="B165" i="136" s="1"/>
  <c r="B166" i="136" s="1"/>
  <c r="B167" i="136" s="1"/>
  <c r="B168" i="136" s="1"/>
  <c r="B169" i="136" s="1"/>
  <c r="B170" i="136" s="1"/>
  <c r="B171" i="136" s="1"/>
  <c r="B172" i="136" s="1"/>
  <c r="B173" i="136" s="1"/>
  <c r="B174" i="136" s="1"/>
  <c r="B175" i="136" s="1"/>
  <c r="B176" i="136" s="1"/>
  <c r="B177" i="136" s="1"/>
  <c r="B178" i="136" s="1"/>
  <c r="B179" i="136" s="1"/>
  <c r="B180" i="136" s="1"/>
  <c r="J158" i="136"/>
  <c r="J149" i="136"/>
  <c r="V149" i="136" s="1"/>
  <c r="J148" i="136"/>
  <c r="V148" i="136" s="1"/>
  <c r="J147" i="136"/>
  <c r="V147" i="136" s="1"/>
  <c r="J146" i="136"/>
  <c r="V126" i="136"/>
  <c r="B126" i="136"/>
  <c r="B127" i="136" s="1"/>
  <c r="B128" i="136" s="1"/>
  <c r="B129" i="136" s="1"/>
  <c r="B130" i="136" s="1"/>
  <c r="B131" i="136" s="1"/>
  <c r="B132" i="136" s="1"/>
  <c r="B133" i="136" s="1"/>
  <c r="B134" i="136" s="1"/>
  <c r="B135" i="136" s="1"/>
  <c r="B136" i="136" s="1"/>
  <c r="B137" i="136" s="1"/>
  <c r="B138" i="136" s="1"/>
  <c r="B139" i="136" s="1"/>
  <c r="B140" i="136" s="1"/>
  <c r="B141" i="136" s="1"/>
  <c r="B142" i="136" s="1"/>
  <c r="B143" i="136" s="1"/>
  <c r="B144" i="136" s="1"/>
  <c r="B145" i="136" s="1"/>
  <c r="B146" i="136" s="1"/>
  <c r="B147" i="136" s="1"/>
  <c r="B148" i="136" s="1"/>
  <c r="B149" i="136" s="1"/>
  <c r="W125" i="136"/>
  <c r="V125" i="136"/>
  <c r="J116" i="136"/>
  <c r="W116" i="136" s="1"/>
  <c r="J115" i="136"/>
  <c r="W115" i="136" s="1"/>
  <c r="J114" i="136"/>
  <c r="J113" i="136"/>
  <c r="W113" i="136" s="1"/>
  <c r="J112" i="136"/>
  <c r="J111" i="136"/>
  <c r="W111" i="136" s="1"/>
  <c r="J110" i="136"/>
  <c r="J109" i="136"/>
  <c r="W109" i="136" s="1"/>
  <c r="J108" i="136"/>
  <c r="W108" i="136" s="1"/>
  <c r="J107" i="136"/>
  <c r="V107" i="136" s="1"/>
  <c r="J106" i="136"/>
  <c r="V106" i="136" s="1"/>
  <c r="J105" i="136"/>
  <c r="J104" i="136"/>
  <c r="W104" i="136" s="1"/>
  <c r="J103" i="136"/>
  <c r="W103" i="136" s="1"/>
  <c r="J102" i="136"/>
  <c r="W102" i="136" s="1"/>
  <c r="J101" i="136"/>
  <c r="W101" i="136" s="1"/>
  <c r="J100" i="136"/>
  <c r="W100" i="136" s="1"/>
  <c r="J99" i="136"/>
  <c r="J98" i="136"/>
  <c r="J97" i="136"/>
  <c r="W97" i="136" s="1"/>
  <c r="J96" i="136"/>
  <c r="V96" i="136" s="1"/>
  <c r="J95" i="136"/>
  <c r="W95" i="136" s="1"/>
  <c r="B95" i="136"/>
  <c r="B96" i="136" s="1"/>
  <c r="B97" i="136" s="1"/>
  <c r="B98" i="136" s="1"/>
  <c r="B99" i="136" s="1"/>
  <c r="B100" i="136" s="1"/>
  <c r="B101" i="136" s="1"/>
  <c r="B102" i="136" s="1"/>
  <c r="B103" i="136" s="1"/>
  <c r="B104" i="136" s="1"/>
  <c r="B105" i="136" s="1"/>
  <c r="B106" i="136" s="1"/>
  <c r="B107" i="136" s="1"/>
  <c r="B108" i="136" s="1"/>
  <c r="B109" i="136" s="1"/>
  <c r="B110" i="136" s="1"/>
  <c r="B111" i="136" s="1"/>
  <c r="B112" i="136" s="1"/>
  <c r="B113" i="136" s="1"/>
  <c r="B114" i="136" s="1"/>
  <c r="B115" i="136" s="1"/>
  <c r="B116" i="136" s="1"/>
  <c r="J94" i="136"/>
  <c r="W85" i="136"/>
  <c r="J85" i="136"/>
  <c r="V85" i="136" s="1"/>
  <c r="J84" i="136"/>
  <c r="J83" i="136"/>
  <c r="J82" i="136"/>
  <c r="W82" i="136" s="1"/>
  <c r="J81" i="136"/>
  <c r="J80" i="136"/>
  <c r="W80" i="136" s="1"/>
  <c r="J79" i="136"/>
  <c r="W79" i="136" s="1"/>
  <c r="J78" i="136"/>
  <c r="V78" i="136" s="1"/>
  <c r="J77" i="136"/>
  <c r="V77" i="136" s="1"/>
  <c r="J76" i="136"/>
  <c r="V76" i="136" s="1"/>
  <c r="J75" i="136"/>
  <c r="W75" i="136" s="1"/>
  <c r="J74" i="136"/>
  <c r="J73" i="136"/>
  <c r="J72" i="136"/>
  <c r="J71" i="136"/>
  <c r="W71" i="136" s="1"/>
  <c r="J70" i="136"/>
  <c r="V70" i="136" s="1"/>
  <c r="W69" i="136"/>
  <c r="J69" i="136"/>
  <c r="V69" i="136" s="1"/>
  <c r="J68" i="136"/>
  <c r="W68" i="136" s="1"/>
  <c r="J67" i="136"/>
  <c r="J66" i="136"/>
  <c r="J65" i="136"/>
  <c r="W65" i="136" s="1"/>
  <c r="J64" i="136"/>
  <c r="W64" i="136" s="1"/>
  <c r="J63" i="136"/>
  <c r="V63" i="136" s="1"/>
  <c r="J62" i="136"/>
  <c r="V62" i="136" s="1"/>
  <c r="J61" i="136"/>
  <c r="B61" i="136"/>
  <c r="B62" i="136" s="1"/>
  <c r="B63" i="136" s="1"/>
  <c r="B64" i="136" s="1"/>
  <c r="B65" i="136" s="1"/>
  <c r="B66" i="136" s="1"/>
  <c r="B67" i="136" s="1"/>
  <c r="B68" i="136" s="1"/>
  <c r="B69" i="136" s="1"/>
  <c r="B70" i="136" s="1"/>
  <c r="B71" i="136" s="1"/>
  <c r="B72" i="136" s="1"/>
  <c r="B73" i="136" s="1"/>
  <c r="B74" i="136" s="1"/>
  <c r="B75" i="136" s="1"/>
  <c r="B76" i="136" s="1"/>
  <c r="B77" i="136" s="1"/>
  <c r="B78" i="136" s="1"/>
  <c r="B79" i="136" s="1"/>
  <c r="B80" i="136" s="1"/>
  <c r="B81" i="136" s="1"/>
  <c r="B82" i="136" s="1"/>
  <c r="J60" i="136"/>
  <c r="W51" i="136"/>
  <c r="V51" i="136"/>
  <c r="W50" i="136"/>
  <c r="V50" i="136"/>
  <c r="W49" i="136"/>
  <c r="V49" i="136"/>
  <c r="W48" i="136"/>
  <c r="V48" i="136"/>
  <c r="W47" i="136"/>
  <c r="V47" i="136"/>
  <c r="W46" i="136"/>
  <c r="V46" i="136"/>
  <c r="W45" i="136"/>
  <c r="V45" i="136"/>
  <c r="V43" i="136"/>
  <c r="W43" i="136"/>
  <c r="W42" i="136"/>
  <c r="V42" i="136"/>
  <c r="V39" i="136"/>
  <c r="W39" i="136"/>
  <c r="W38" i="136"/>
  <c r="V38" i="136"/>
  <c r="V36" i="136"/>
  <c r="W36" i="136"/>
  <c r="V33" i="136"/>
  <c r="W33" i="136"/>
  <c r="V30" i="136"/>
  <c r="V28" i="136"/>
  <c r="V26" i="136"/>
  <c r="W26" i="136"/>
  <c r="V24" i="136"/>
  <c r="W24" i="136"/>
  <c r="V23" i="136"/>
  <c r="V21" i="136"/>
  <c r="W21" i="136"/>
  <c r="V20" i="136"/>
  <c r="V19" i="136"/>
  <c r="W19" i="136"/>
  <c r="W18" i="136"/>
  <c r="V18" i="136"/>
  <c r="V16" i="136"/>
  <c r="N16" i="136"/>
  <c r="W16" i="136"/>
  <c r="V15" i="136"/>
  <c r="N14" i="136"/>
  <c r="W14" i="136"/>
  <c r="V13" i="136"/>
  <c r="N12" i="136"/>
  <c r="W12" i="136"/>
  <c r="N10" i="136"/>
  <c r="W10" i="136"/>
  <c r="V9" i="136"/>
  <c r="N8" i="136"/>
  <c r="I7" i="136"/>
  <c r="J7" i="136" s="1"/>
  <c r="V7" i="136" s="1"/>
  <c r="B7" i="136"/>
  <c r="B8" i="136" s="1"/>
  <c r="B9" i="136" s="1"/>
  <c r="B10" i="136" s="1"/>
  <c r="B11" i="136" s="1"/>
  <c r="B12" i="136" s="1"/>
  <c r="B13" i="136" s="1"/>
  <c r="B14" i="136" s="1"/>
  <c r="B15" i="136" s="1"/>
  <c r="B16" i="136" s="1"/>
  <c r="B17" i="136" s="1"/>
  <c r="B18" i="136" s="1"/>
  <c r="B19" i="136" s="1"/>
  <c r="B20" i="136" s="1"/>
  <c r="B21" i="136" s="1"/>
  <c r="B22" i="136" s="1"/>
  <c r="B23" i="136" s="1"/>
  <c r="B24" i="136" s="1"/>
  <c r="B25" i="136" s="1"/>
  <c r="B26" i="136" s="1"/>
  <c r="B27" i="136" s="1"/>
  <c r="B28" i="136" s="1"/>
  <c r="B29" i="136" s="1"/>
  <c r="B30" i="136" s="1"/>
  <c r="B31" i="136" s="1"/>
  <c r="B32" i="136" s="1"/>
  <c r="B33" i="136" s="1"/>
  <c r="B34" i="136" s="1"/>
  <c r="B35" i="136" s="1"/>
  <c r="B36" i="136" s="1"/>
  <c r="B37" i="136" s="1"/>
  <c r="B38" i="136" s="1"/>
  <c r="B39" i="136" s="1"/>
  <c r="B40" i="136" s="1"/>
  <c r="B41" i="136" s="1"/>
  <c r="B42" i="136" s="1"/>
  <c r="B43" i="136" s="1"/>
  <c r="B44" i="136" s="1"/>
  <c r="B45" i="136" s="1"/>
  <c r="B46" i="136" s="1"/>
  <c r="B47" i="136" s="1"/>
  <c r="B48" i="136" s="1"/>
  <c r="B49" i="136" s="1"/>
  <c r="B50" i="136" s="1"/>
  <c r="B51" i="136" s="1"/>
  <c r="N6" i="136"/>
  <c r="I6" i="136"/>
  <c r="J6" i="136" s="1"/>
  <c r="N4" i="136"/>
  <c r="V116" i="136" l="1"/>
  <c r="W148" i="136"/>
  <c r="V180" i="136"/>
  <c r="W212" i="136"/>
  <c r="W242" i="136"/>
  <c r="W244" i="136"/>
  <c r="V75" i="136"/>
  <c r="V82" i="136"/>
  <c r="W149" i="136"/>
  <c r="V179" i="136"/>
  <c r="V223" i="136"/>
  <c r="V233" i="136"/>
  <c r="W239" i="136"/>
  <c r="V207" i="136"/>
  <c r="W77" i="136"/>
  <c r="W139" i="136"/>
  <c r="V109" i="136"/>
  <c r="W107" i="136"/>
  <c r="W237" i="136"/>
  <c r="W235" i="136"/>
  <c r="V135" i="136"/>
  <c r="V231" i="136"/>
  <c r="V102" i="136"/>
  <c r="V229" i="136"/>
  <c r="W196" i="136"/>
  <c r="V100" i="136"/>
  <c r="V131" i="136"/>
  <c r="V225" i="136"/>
  <c r="V227" i="136"/>
  <c r="V163" i="136"/>
  <c r="W162" i="136"/>
  <c r="V161" i="136"/>
  <c r="W63" i="136"/>
  <c r="V95" i="136"/>
  <c r="V190" i="136"/>
  <c r="J52" i="136"/>
  <c r="V224" i="136"/>
  <c r="V226" i="136"/>
  <c r="V228" i="136"/>
  <c r="V230" i="136"/>
  <c r="V232" i="136"/>
  <c r="V234" i="136"/>
  <c r="W236" i="136"/>
  <c r="W238" i="136"/>
  <c r="W240" i="136"/>
  <c r="W189" i="136"/>
  <c r="W192" i="136"/>
  <c r="V198" i="136"/>
  <c r="V200" i="136"/>
  <c r="W208" i="136"/>
  <c r="W210" i="136"/>
  <c r="W191" i="136"/>
  <c r="V199" i="136"/>
  <c r="V201" i="136"/>
  <c r="W209" i="136"/>
  <c r="V164" i="136"/>
  <c r="V166" i="136"/>
  <c r="V168" i="136"/>
  <c r="V170" i="136"/>
  <c r="V172" i="136"/>
  <c r="V174" i="136"/>
  <c r="V176" i="136"/>
  <c r="V178" i="136"/>
  <c r="V165" i="136"/>
  <c r="V167" i="136"/>
  <c r="V169" i="136"/>
  <c r="V171" i="136"/>
  <c r="V173" i="136"/>
  <c r="V175" i="136"/>
  <c r="V177" i="136"/>
  <c r="V136" i="136"/>
  <c r="W147" i="136"/>
  <c r="W142" i="136"/>
  <c r="V142" i="136"/>
  <c r="V132" i="136"/>
  <c r="W132" i="136"/>
  <c r="W143" i="136"/>
  <c r="V143" i="136"/>
  <c r="W137" i="136"/>
  <c r="V137" i="136"/>
  <c r="V127" i="136"/>
  <c r="W127" i="136"/>
  <c r="W138" i="136"/>
  <c r="V101" i="136"/>
  <c r="V103" i="136"/>
  <c r="W106" i="136"/>
  <c r="V108" i="136"/>
  <c r="W96" i="136"/>
  <c r="W62" i="136"/>
  <c r="V80" i="136"/>
  <c r="N18" i="136"/>
  <c r="V65" i="136"/>
  <c r="V68" i="136"/>
  <c r="W70" i="136"/>
  <c r="W76" i="136"/>
  <c r="W78" i="136"/>
  <c r="V11" i="136"/>
  <c r="W11" i="136"/>
  <c r="W13" i="136"/>
  <c r="W29" i="136"/>
  <c r="V29" i="136"/>
  <c r="W17" i="136"/>
  <c r="V17" i="136"/>
  <c r="W27" i="136"/>
  <c r="V27" i="136"/>
  <c r="W28" i="136"/>
  <c r="W44" i="136"/>
  <c r="V44" i="136"/>
  <c r="W61" i="136"/>
  <c r="V61" i="136"/>
  <c r="V64" i="136"/>
  <c r="W66" i="136"/>
  <c r="V66" i="136"/>
  <c r="V71" i="136"/>
  <c r="W74" i="136"/>
  <c r="V74" i="136"/>
  <c r="J117" i="136"/>
  <c r="W94" i="136"/>
  <c r="V94" i="136"/>
  <c r="W99" i="136"/>
  <c r="V99" i="136"/>
  <c r="W133" i="136"/>
  <c r="V133" i="136"/>
  <c r="J213" i="136"/>
  <c r="W193" i="136"/>
  <c r="V193" i="136"/>
  <c r="W6" i="136"/>
  <c r="V6" i="136"/>
  <c r="W98" i="136"/>
  <c r="V98" i="136"/>
  <c r="W112" i="136"/>
  <c r="V112" i="136"/>
  <c r="W195" i="136"/>
  <c r="V195" i="136"/>
  <c r="W7" i="136"/>
  <c r="W9" i="136"/>
  <c r="W20" i="136"/>
  <c r="W23" i="136"/>
  <c r="W25" i="136"/>
  <c r="V25" i="136"/>
  <c r="W31" i="136"/>
  <c r="V31" i="136"/>
  <c r="W34" i="136"/>
  <c r="V34" i="136"/>
  <c r="W37" i="136"/>
  <c r="V37" i="136"/>
  <c r="W40" i="136"/>
  <c r="V40" i="136"/>
  <c r="W67" i="136"/>
  <c r="V67" i="136"/>
  <c r="V79" i="136"/>
  <c r="V97" i="136"/>
  <c r="W110" i="136"/>
  <c r="V110" i="136"/>
  <c r="W114" i="136"/>
  <c r="V114" i="136"/>
  <c r="W128" i="136"/>
  <c r="V128" i="136"/>
  <c r="W202" i="136"/>
  <c r="V202" i="136"/>
  <c r="W206" i="136"/>
  <c r="V206" i="136"/>
  <c r="W73" i="136"/>
  <c r="V73" i="136"/>
  <c r="W8" i="136"/>
  <c r="V8" i="136"/>
  <c r="W15" i="136"/>
  <c r="W22" i="136"/>
  <c r="V22" i="136"/>
  <c r="W30" i="136"/>
  <c r="W32" i="136"/>
  <c r="V32" i="136"/>
  <c r="W35" i="136"/>
  <c r="V35" i="136"/>
  <c r="W41" i="136"/>
  <c r="V41" i="136"/>
  <c r="W60" i="136"/>
  <c r="J86" i="136"/>
  <c r="V60" i="136"/>
  <c r="W72" i="136"/>
  <c r="V72" i="136"/>
  <c r="V10" i="136"/>
  <c r="V12" i="136"/>
  <c r="V14" i="136"/>
  <c r="W105" i="136"/>
  <c r="V105" i="136"/>
  <c r="W129" i="136"/>
  <c r="V129" i="136"/>
  <c r="W134" i="136"/>
  <c r="V134" i="136"/>
  <c r="W144" i="136"/>
  <c r="V144" i="136"/>
  <c r="J150" i="136"/>
  <c r="W159" i="136"/>
  <c r="V159" i="136"/>
  <c r="W203" i="136"/>
  <c r="V203" i="136"/>
  <c r="W222" i="136"/>
  <c r="V222" i="136"/>
  <c r="W130" i="136"/>
  <c r="V130" i="136"/>
  <c r="W140" i="136"/>
  <c r="V140" i="136"/>
  <c r="W145" i="136"/>
  <c r="V145" i="136"/>
  <c r="W160" i="136"/>
  <c r="V160" i="136"/>
  <c r="V197" i="136"/>
  <c r="W204" i="136"/>
  <c r="V204" i="136"/>
  <c r="V104" i="136"/>
  <c r="V111" i="136"/>
  <c r="V113" i="136"/>
  <c r="V115" i="136"/>
  <c r="W126" i="136"/>
  <c r="W141" i="136"/>
  <c r="V141" i="136"/>
  <c r="W146" i="136"/>
  <c r="V146" i="136"/>
  <c r="J181" i="136"/>
  <c r="W158" i="136"/>
  <c r="V158" i="136"/>
  <c r="W194" i="136"/>
  <c r="V194" i="136"/>
  <c r="W205" i="136"/>
  <c r="V205" i="136"/>
  <c r="W221" i="136"/>
  <c r="J245" i="136"/>
  <c r="V221" i="136"/>
  <c r="H146" i="135"/>
  <c r="H79" i="135"/>
  <c r="J44" i="135"/>
  <c r="I44" i="135"/>
  <c r="I43" i="135"/>
  <c r="J43" i="135" s="1"/>
  <c r="J42" i="135"/>
  <c r="I42" i="135"/>
  <c r="I41" i="135"/>
  <c r="J41" i="135" s="1"/>
  <c r="V245" i="136" l="1"/>
  <c r="O16" i="136" s="1"/>
  <c r="R16" i="136" s="1"/>
  <c r="V213" i="136"/>
  <c r="O14" i="136" s="1"/>
  <c r="R14" i="136" s="1"/>
  <c r="W213" i="136"/>
  <c r="P14" i="136" s="1"/>
  <c r="V150" i="136"/>
  <c r="O10" i="136" s="1"/>
  <c r="R10" i="136" s="1"/>
  <c r="W150" i="136"/>
  <c r="P10" i="136" s="1"/>
  <c r="W117" i="136"/>
  <c r="P8" i="136" s="1"/>
  <c r="W245" i="136"/>
  <c r="P16" i="136" s="1"/>
  <c r="V86" i="136"/>
  <c r="O6" i="136" s="1"/>
  <c r="V181" i="136"/>
  <c r="O12" i="136" s="1"/>
  <c r="V52" i="136"/>
  <c r="O4" i="136" s="1"/>
  <c r="W181" i="136"/>
  <c r="P12" i="136" s="1"/>
  <c r="W86" i="136"/>
  <c r="P6" i="136" s="1"/>
  <c r="W52" i="136"/>
  <c r="P4" i="136" s="1"/>
  <c r="V117" i="136"/>
  <c r="O8" i="136" s="1"/>
  <c r="H208" i="135"/>
  <c r="H144" i="135"/>
  <c r="H143" i="135"/>
  <c r="H110" i="135"/>
  <c r="H76" i="135"/>
  <c r="J39" i="135"/>
  <c r="I40" i="135"/>
  <c r="J40" i="135" s="1"/>
  <c r="I39" i="135"/>
  <c r="J38" i="135"/>
  <c r="H38" i="135"/>
  <c r="I38" i="135"/>
  <c r="I37" i="135"/>
  <c r="J37" i="135" s="1"/>
  <c r="Q10" i="136" l="1"/>
  <c r="Q14" i="136"/>
  <c r="P18" i="136"/>
  <c r="O18" i="136"/>
  <c r="R18" i="136" s="1"/>
  <c r="P20" i="136" s="1"/>
  <c r="R4" i="136"/>
  <c r="Q4" i="136"/>
  <c r="R8" i="136"/>
  <c r="Q8" i="136"/>
  <c r="R12" i="136"/>
  <c r="Q12" i="136"/>
  <c r="R6" i="136"/>
  <c r="Q6" i="136"/>
  <c r="H74" i="135"/>
  <c r="H235" i="135"/>
  <c r="H206" i="135"/>
  <c r="H142" i="135"/>
  <c r="H141" i="135"/>
  <c r="H140" i="135"/>
  <c r="H108" i="135"/>
  <c r="J33" i="135"/>
  <c r="H36" i="135"/>
  <c r="J36" i="135" s="1"/>
  <c r="I36" i="135"/>
  <c r="I35" i="135"/>
  <c r="J35" i="135" s="1"/>
  <c r="I34" i="135"/>
  <c r="J34" i="135" s="1"/>
  <c r="H33" i="135"/>
  <c r="I33" i="135"/>
  <c r="I32" i="135"/>
  <c r="J32" i="135" s="1"/>
  <c r="H31" i="135"/>
  <c r="J31" i="135" s="1"/>
  <c r="I31" i="135"/>
  <c r="Q18" i="136" l="1"/>
  <c r="H72" i="135"/>
  <c r="H30" i="135" l="1"/>
  <c r="J30" i="135" s="1"/>
  <c r="I30" i="135"/>
  <c r="H106" i="135"/>
  <c r="H202" i="135"/>
  <c r="H137" i="135" l="1"/>
  <c r="H135" i="135"/>
  <c r="H134" i="135"/>
  <c r="H104" i="135"/>
  <c r="H71" i="135"/>
  <c r="H69" i="135"/>
  <c r="J29" i="135"/>
  <c r="H29" i="135"/>
  <c r="I29" i="135"/>
  <c r="I28" i="135"/>
  <c r="J28" i="135" s="1"/>
  <c r="J27" i="135"/>
  <c r="H27" i="135"/>
  <c r="I27" i="135"/>
  <c r="H26" i="135"/>
  <c r="J26" i="135" s="1"/>
  <c r="I26" i="135"/>
  <c r="H25" i="135"/>
  <c r="I25" i="135"/>
  <c r="J25" i="135" s="1"/>
  <c r="I24" i="135"/>
  <c r="J24" i="135" s="1"/>
  <c r="H23" i="135"/>
  <c r="J23" i="135" s="1"/>
  <c r="I23" i="135"/>
  <c r="I22" i="135"/>
  <c r="J22" i="135" s="1"/>
  <c r="H197" i="135" l="1"/>
  <c r="H164" i="135"/>
  <c r="H133" i="135"/>
  <c r="H132" i="135"/>
  <c r="J132" i="135" s="1"/>
  <c r="W132" i="135" s="1"/>
  <c r="H67" i="135"/>
  <c r="H66" i="135"/>
  <c r="I21" i="135"/>
  <c r="J21" i="135" s="1"/>
  <c r="H20" i="135"/>
  <c r="J20" i="135" s="1"/>
  <c r="I20" i="135"/>
  <c r="J16" i="135"/>
  <c r="I19" i="135"/>
  <c r="J19" i="135" s="1"/>
  <c r="I18" i="135"/>
  <c r="J18" i="135" s="1"/>
  <c r="I17" i="135"/>
  <c r="J17" i="135" s="1"/>
  <c r="I16" i="135"/>
  <c r="H99" i="135"/>
  <c r="H131" i="135"/>
  <c r="H163" i="135"/>
  <c r="H196" i="135"/>
  <c r="H195" i="135"/>
  <c r="J195" i="135" s="1"/>
  <c r="V195" i="135" s="1"/>
  <c r="H130" i="135"/>
  <c r="H98" i="135"/>
  <c r="H64" i="135"/>
  <c r="H15" i="135"/>
  <c r="J15" i="135" s="1"/>
  <c r="I15" i="135"/>
  <c r="I14" i="135"/>
  <c r="J14" i="135" s="1"/>
  <c r="H13" i="135"/>
  <c r="J13" i="135" s="1"/>
  <c r="W13" i="135" s="1"/>
  <c r="I13" i="135"/>
  <c r="I8" i="135"/>
  <c r="I9" i="135"/>
  <c r="J9" i="135"/>
  <c r="V9" i="135" s="1"/>
  <c r="I10" i="135"/>
  <c r="J10" i="135" s="1"/>
  <c r="I11" i="135"/>
  <c r="J11" i="135"/>
  <c r="I12" i="135"/>
  <c r="J12" i="135" s="1"/>
  <c r="H97" i="135"/>
  <c r="H194" i="135"/>
  <c r="H193" i="135"/>
  <c r="J193" i="135" s="1"/>
  <c r="V193" i="135" s="1"/>
  <c r="H160" i="135"/>
  <c r="H128" i="135"/>
  <c r="H96" i="135"/>
  <c r="H62" i="135"/>
  <c r="H11" i="135"/>
  <c r="H8" i="135"/>
  <c r="J8" i="135" s="1"/>
  <c r="H61" i="135"/>
  <c r="H127" i="135"/>
  <c r="J127" i="135" s="1"/>
  <c r="W127" i="135" s="1"/>
  <c r="H191" i="135"/>
  <c r="H222" i="135"/>
  <c r="H158" i="135"/>
  <c r="H126" i="135"/>
  <c r="J126" i="135" s="1"/>
  <c r="V126" i="135" s="1"/>
  <c r="H94" i="135"/>
  <c r="H60" i="135"/>
  <c r="I6" i="135"/>
  <c r="I7" i="135"/>
  <c r="J7" i="135" s="1"/>
  <c r="W7" i="135" s="1"/>
  <c r="V29" i="135"/>
  <c r="W37" i="135"/>
  <c r="W43" i="135"/>
  <c r="W46" i="135"/>
  <c r="J244" i="135"/>
  <c r="V244" i="135" s="1"/>
  <c r="J243" i="135"/>
  <c r="V243" i="135" s="1"/>
  <c r="J242" i="135"/>
  <c r="V242" i="135" s="1"/>
  <c r="J241" i="135"/>
  <c r="V241" i="135" s="1"/>
  <c r="J240" i="135"/>
  <c r="V240" i="135" s="1"/>
  <c r="J239" i="135"/>
  <c r="V239" i="135" s="1"/>
  <c r="J238" i="135"/>
  <c r="V238" i="135" s="1"/>
  <c r="J237" i="135"/>
  <c r="V237" i="135" s="1"/>
  <c r="J236" i="135"/>
  <c r="V236" i="135" s="1"/>
  <c r="J235" i="135"/>
  <c r="V235" i="135" s="1"/>
  <c r="J234" i="135"/>
  <c r="V234" i="135" s="1"/>
  <c r="J233" i="135"/>
  <c r="V233" i="135" s="1"/>
  <c r="J232" i="135"/>
  <c r="V232" i="135" s="1"/>
  <c r="J231" i="135"/>
  <c r="W231" i="135" s="1"/>
  <c r="J230" i="135"/>
  <c r="V230" i="135" s="1"/>
  <c r="J229" i="135"/>
  <c r="V229" i="135" s="1"/>
  <c r="J228" i="135"/>
  <c r="V228" i="135" s="1"/>
  <c r="J227" i="135"/>
  <c r="W227" i="135" s="1"/>
  <c r="J226" i="135"/>
  <c r="V226" i="135" s="1"/>
  <c r="J225" i="135"/>
  <c r="W225" i="135" s="1"/>
  <c r="J224" i="135"/>
  <c r="W224" i="135" s="1"/>
  <c r="J223" i="135"/>
  <c r="W223" i="135" s="1"/>
  <c r="J222" i="135"/>
  <c r="B222" i="135"/>
  <c r="B223" i="135" s="1"/>
  <c r="B224" i="135" s="1"/>
  <c r="B225" i="135" s="1"/>
  <c r="B226" i="135" s="1"/>
  <c r="B227" i="135" s="1"/>
  <c r="B228" i="135" s="1"/>
  <c r="B229" i="135" s="1"/>
  <c r="B230" i="135" s="1"/>
  <c r="B231" i="135" s="1"/>
  <c r="B232" i="135" s="1"/>
  <c r="B233" i="135" s="1"/>
  <c r="B234" i="135" s="1"/>
  <c r="B235" i="135" s="1"/>
  <c r="B236" i="135" s="1"/>
  <c r="B237" i="135" s="1"/>
  <c r="B238" i="135" s="1"/>
  <c r="B239" i="135" s="1"/>
  <c r="B240" i="135" s="1"/>
  <c r="B241" i="135" s="1"/>
  <c r="B242" i="135" s="1"/>
  <c r="B243" i="135" s="1"/>
  <c r="B244" i="135" s="1"/>
  <c r="J221" i="135"/>
  <c r="J212" i="135"/>
  <c r="V212" i="135" s="1"/>
  <c r="J211" i="135"/>
  <c r="J210" i="135"/>
  <c r="V210" i="135" s="1"/>
  <c r="J209" i="135"/>
  <c r="V209" i="135" s="1"/>
  <c r="J208" i="135"/>
  <c r="W208" i="135" s="1"/>
  <c r="J207" i="135"/>
  <c r="W207" i="135" s="1"/>
  <c r="J206" i="135"/>
  <c r="W206" i="135" s="1"/>
  <c r="J205" i="135"/>
  <c r="W205" i="135" s="1"/>
  <c r="J204" i="135"/>
  <c r="W204" i="135" s="1"/>
  <c r="J203" i="135"/>
  <c r="W203" i="135" s="1"/>
  <c r="J202" i="135"/>
  <c r="W202" i="135" s="1"/>
  <c r="J201" i="135"/>
  <c r="J200" i="135"/>
  <c r="V200" i="135" s="1"/>
  <c r="J199" i="135"/>
  <c r="J198" i="135"/>
  <c r="W198" i="135" s="1"/>
  <c r="J197" i="135"/>
  <c r="W197" i="135" s="1"/>
  <c r="J196" i="135"/>
  <c r="W196" i="135" s="1"/>
  <c r="J194" i="135"/>
  <c r="J192" i="135"/>
  <c r="J191" i="135"/>
  <c r="V191" i="135" s="1"/>
  <c r="J190" i="135"/>
  <c r="B190" i="135"/>
  <c r="B191" i="135" s="1"/>
  <c r="B192" i="135" s="1"/>
  <c r="B193" i="135" s="1"/>
  <c r="B194" i="135" s="1"/>
  <c r="B195" i="135" s="1"/>
  <c r="B196" i="135" s="1"/>
  <c r="B197" i="135" s="1"/>
  <c r="B198" i="135" s="1"/>
  <c r="B199" i="135" s="1"/>
  <c r="B200" i="135" s="1"/>
  <c r="B201" i="135" s="1"/>
  <c r="B202" i="135" s="1"/>
  <c r="B203" i="135" s="1"/>
  <c r="B204" i="135" s="1"/>
  <c r="B205" i="135" s="1"/>
  <c r="B206" i="135" s="1"/>
  <c r="B207" i="135" s="1"/>
  <c r="B208" i="135" s="1"/>
  <c r="B209" i="135" s="1"/>
  <c r="B210" i="135" s="1"/>
  <c r="J189" i="135"/>
  <c r="W180" i="135"/>
  <c r="J180" i="135"/>
  <c r="V180" i="135" s="1"/>
  <c r="J179" i="135"/>
  <c r="J178" i="135"/>
  <c r="V178" i="135" s="1"/>
  <c r="J177" i="135"/>
  <c r="J176" i="135"/>
  <c r="V176" i="135" s="1"/>
  <c r="J175" i="135"/>
  <c r="J174" i="135"/>
  <c r="V174" i="135" s="1"/>
  <c r="J173" i="135"/>
  <c r="W173" i="135" s="1"/>
  <c r="J172" i="135"/>
  <c r="V172" i="135" s="1"/>
  <c r="J171" i="135"/>
  <c r="W171" i="135" s="1"/>
  <c r="J170" i="135"/>
  <c r="J169" i="135"/>
  <c r="V169" i="135" s="1"/>
  <c r="J168" i="135"/>
  <c r="J167" i="135"/>
  <c r="J166" i="135"/>
  <c r="V166" i="135" s="1"/>
  <c r="J165" i="135"/>
  <c r="J164" i="135"/>
  <c r="V164" i="135" s="1"/>
  <c r="J163" i="135"/>
  <c r="J162" i="135"/>
  <c r="V162" i="135" s="1"/>
  <c r="J161" i="135"/>
  <c r="J160" i="135"/>
  <c r="V160" i="135" s="1"/>
  <c r="J159" i="135"/>
  <c r="B159" i="135"/>
  <c r="B160" i="135" s="1"/>
  <c r="B161" i="135" s="1"/>
  <c r="B162" i="135" s="1"/>
  <c r="B163" i="135" s="1"/>
  <c r="B164" i="135" s="1"/>
  <c r="B165" i="135" s="1"/>
  <c r="B166" i="135" s="1"/>
  <c r="B167" i="135" s="1"/>
  <c r="B168" i="135" s="1"/>
  <c r="B169" i="135" s="1"/>
  <c r="B170" i="135" s="1"/>
  <c r="B171" i="135" s="1"/>
  <c r="B172" i="135" s="1"/>
  <c r="B173" i="135" s="1"/>
  <c r="B174" i="135" s="1"/>
  <c r="B175" i="135" s="1"/>
  <c r="B176" i="135" s="1"/>
  <c r="B177" i="135" s="1"/>
  <c r="B178" i="135" s="1"/>
  <c r="B179" i="135" s="1"/>
  <c r="B180" i="135" s="1"/>
  <c r="J158" i="135"/>
  <c r="W158" i="135" s="1"/>
  <c r="V149" i="135"/>
  <c r="J149" i="135"/>
  <c r="W149" i="135" s="1"/>
  <c r="V148" i="135"/>
  <c r="J148" i="135"/>
  <c r="W148" i="135" s="1"/>
  <c r="V147" i="135"/>
  <c r="J147" i="135"/>
  <c r="W147" i="135" s="1"/>
  <c r="J146" i="135"/>
  <c r="W146" i="135" s="1"/>
  <c r="J145" i="135"/>
  <c r="J144" i="135"/>
  <c r="V144" i="135" s="1"/>
  <c r="J143" i="135"/>
  <c r="V143" i="135" s="1"/>
  <c r="J142" i="135"/>
  <c r="W142" i="135" s="1"/>
  <c r="J141" i="135"/>
  <c r="V141" i="135" s="1"/>
  <c r="J140" i="135"/>
  <c r="V140" i="135" s="1"/>
  <c r="J139" i="135"/>
  <c r="J138" i="135"/>
  <c r="J137" i="135"/>
  <c r="W137" i="135" s="1"/>
  <c r="J136" i="135"/>
  <c r="W136" i="135" s="1"/>
  <c r="J135" i="135"/>
  <c r="W135" i="135" s="1"/>
  <c r="J134" i="135"/>
  <c r="W134" i="135" s="1"/>
  <c r="J133" i="135"/>
  <c r="V133" i="135" s="1"/>
  <c r="J131" i="135"/>
  <c r="W131" i="135" s="1"/>
  <c r="J130" i="135"/>
  <c r="V130" i="135" s="1"/>
  <c r="J129" i="135"/>
  <c r="W129" i="135" s="1"/>
  <c r="J128" i="135"/>
  <c r="W128" i="135" s="1"/>
  <c r="B126" i="135"/>
  <c r="B127" i="135" s="1"/>
  <c r="B128" i="135" s="1"/>
  <c r="B129" i="135" s="1"/>
  <c r="B130" i="135" s="1"/>
  <c r="B131" i="135" s="1"/>
  <c r="B132" i="135" s="1"/>
  <c r="B133" i="135" s="1"/>
  <c r="B134" i="135" s="1"/>
  <c r="B135" i="135" s="1"/>
  <c r="B136" i="135" s="1"/>
  <c r="B137" i="135" s="1"/>
  <c r="B138" i="135" s="1"/>
  <c r="B139" i="135" s="1"/>
  <c r="B140" i="135" s="1"/>
  <c r="B141" i="135" s="1"/>
  <c r="B142" i="135" s="1"/>
  <c r="B143" i="135" s="1"/>
  <c r="B144" i="135" s="1"/>
  <c r="B145" i="135" s="1"/>
  <c r="B146" i="135" s="1"/>
  <c r="B147" i="135" s="1"/>
  <c r="B148" i="135" s="1"/>
  <c r="B149" i="135" s="1"/>
  <c r="J125" i="135"/>
  <c r="V125" i="135" s="1"/>
  <c r="J116" i="135"/>
  <c r="W116" i="135" s="1"/>
  <c r="V115" i="135"/>
  <c r="J115" i="135"/>
  <c r="W115" i="135" s="1"/>
  <c r="J114" i="135"/>
  <c r="V114" i="135" s="1"/>
  <c r="J113" i="135"/>
  <c r="J112" i="135"/>
  <c r="J111" i="135"/>
  <c r="J110" i="135"/>
  <c r="J109" i="135"/>
  <c r="J108" i="135"/>
  <c r="J107" i="135"/>
  <c r="J106" i="135"/>
  <c r="W106" i="135" s="1"/>
  <c r="J105" i="135"/>
  <c r="W105" i="135" s="1"/>
  <c r="J104" i="135"/>
  <c r="W104" i="135" s="1"/>
  <c r="J103" i="135"/>
  <c r="W103" i="135" s="1"/>
  <c r="J102" i="135"/>
  <c r="W102" i="135" s="1"/>
  <c r="J101" i="135"/>
  <c r="V101" i="135" s="1"/>
  <c r="V100" i="135"/>
  <c r="J100" i="135"/>
  <c r="W100" i="135" s="1"/>
  <c r="J99" i="135"/>
  <c r="W99" i="135" s="1"/>
  <c r="J98" i="135"/>
  <c r="V98" i="135" s="1"/>
  <c r="J97" i="135"/>
  <c r="V97" i="135" s="1"/>
  <c r="J96" i="135"/>
  <c r="J95" i="135"/>
  <c r="B95" i="135"/>
  <c r="B96" i="135" s="1"/>
  <c r="B97" i="135" s="1"/>
  <c r="B98" i="135" s="1"/>
  <c r="B99" i="135" s="1"/>
  <c r="B100" i="135" s="1"/>
  <c r="B101" i="135" s="1"/>
  <c r="B102" i="135" s="1"/>
  <c r="B103" i="135" s="1"/>
  <c r="B104" i="135" s="1"/>
  <c r="B105" i="135" s="1"/>
  <c r="B106" i="135" s="1"/>
  <c r="B107" i="135" s="1"/>
  <c r="B108" i="135" s="1"/>
  <c r="B109" i="135" s="1"/>
  <c r="B110" i="135" s="1"/>
  <c r="B111" i="135" s="1"/>
  <c r="B112" i="135" s="1"/>
  <c r="B113" i="135" s="1"/>
  <c r="B114" i="135" s="1"/>
  <c r="B115" i="135" s="1"/>
  <c r="B116" i="135" s="1"/>
  <c r="J94" i="135"/>
  <c r="J85" i="135"/>
  <c r="W85" i="135" s="1"/>
  <c r="J84" i="135"/>
  <c r="J83" i="135"/>
  <c r="J82" i="135"/>
  <c r="J81" i="135"/>
  <c r="J80" i="135"/>
  <c r="V80" i="135" s="1"/>
  <c r="J79" i="135"/>
  <c r="J78" i="135"/>
  <c r="J77" i="135"/>
  <c r="J76" i="135"/>
  <c r="W76" i="135" s="1"/>
  <c r="J75" i="135"/>
  <c r="W75" i="135" s="1"/>
  <c r="J74" i="135"/>
  <c r="W74" i="135" s="1"/>
  <c r="J73" i="135"/>
  <c r="V73" i="135" s="1"/>
  <c r="J72" i="135"/>
  <c r="W72" i="135" s="1"/>
  <c r="J71" i="135"/>
  <c r="W71" i="135" s="1"/>
  <c r="J70" i="135"/>
  <c r="V70" i="135" s="1"/>
  <c r="J69" i="135"/>
  <c r="J68" i="135"/>
  <c r="J67" i="135"/>
  <c r="W67" i="135" s="1"/>
  <c r="J66" i="135"/>
  <c r="V66" i="135" s="1"/>
  <c r="J65" i="135"/>
  <c r="V65" i="135" s="1"/>
  <c r="J64" i="135"/>
  <c r="W64" i="135" s="1"/>
  <c r="J63" i="135"/>
  <c r="V63" i="135" s="1"/>
  <c r="J62" i="135"/>
  <c r="J61" i="135"/>
  <c r="B61" i="135"/>
  <c r="B62" i="135" s="1"/>
  <c r="B63" i="135" s="1"/>
  <c r="B64" i="135" s="1"/>
  <c r="B65" i="135" s="1"/>
  <c r="B66" i="135" s="1"/>
  <c r="B67" i="135" s="1"/>
  <c r="B68" i="135" s="1"/>
  <c r="B69" i="135" s="1"/>
  <c r="B70" i="135" s="1"/>
  <c r="B71" i="135" s="1"/>
  <c r="B72" i="135" s="1"/>
  <c r="B73" i="135" s="1"/>
  <c r="B74" i="135" s="1"/>
  <c r="B75" i="135" s="1"/>
  <c r="B76" i="135" s="1"/>
  <c r="B77" i="135" s="1"/>
  <c r="B78" i="135" s="1"/>
  <c r="B79" i="135" s="1"/>
  <c r="B80" i="135" s="1"/>
  <c r="B81" i="135" s="1"/>
  <c r="B82" i="135" s="1"/>
  <c r="J60" i="135"/>
  <c r="W60" i="135" s="1"/>
  <c r="W51" i="135"/>
  <c r="V51" i="135"/>
  <c r="W50" i="135"/>
  <c r="V50" i="135"/>
  <c r="W49" i="135"/>
  <c r="V49" i="135"/>
  <c r="W48" i="135"/>
  <c r="V48" i="135"/>
  <c r="V45" i="135"/>
  <c r="W41" i="135"/>
  <c r="V40" i="135"/>
  <c r="V38" i="135"/>
  <c r="V36" i="135"/>
  <c r="W34" i="135"/>
  <c r="W33" i="135"/>
  <c r="V26" i="135"/>
  <c r="N16" i="135"/>
  <c r="N14" i="135"/>
  <c r="N12" i="135"/>
  <c r="N10" i="135"/>
  <c r="N8" i="135"/>
  <c r="B7" i="135"/>
  <c r="B8" i="135" s="1"/>
  <c r="B9" i="135" s="1"/>
  <c r="B10" i="135" s="1"/>
  <c r="B11" i="135" s="1"/>
  <c r="B12" i="135" s="1"/>
  <c r="B13" i="135" s="1"/>
  <c r="B14" i="135" s="1"/>
  <c r="B15" i="135" s="1"/>
  <c r="B16" i="135" s="1"/>
  <c r="B17" i="135" s="1"/>
  <c r="B18" i="135" s="1"/>
  <c r="B19" i="135" s="1"/>
  <c r="B20" i="135" s="1"/>
  <c r="B21" i="135" s="1"/>
  <c r="B22" i="135" s="1"/>
  <c r="B23" i="135" s="1"/>
  <c r="B24" i="135" s="1"/>
  <c r="B25" i="135" s="1"/>
  <c r="B26" i="135" s="1"/>
  <c r="B27" i="135" s="1"/>
  <c r="B28" i="135" s="1"/>
  <c r="B29" i="135" s="1"/>
  <c r="B30" i="135" s="1"/>
  <c r="B31" i="135" s="1"/>
  <c r="B32" i="135" s="1"/>
  <c r="B33" i="135" s="1"/>
  <c r="B34" i="135" s="1"/>
  <c r="B35" i="135" s="1"/>
  <c r="B36" i="135" s="1"/>
  <c r="B37" i="135" s="1"/>
  <c r="B38" i="135" s="1"/>
  <c r="B39" i="135" s="1"/>
  <c r="B40" i="135" s="1"/>
  <c r="B41" i="135" s="1"/>
  <c r="B42" i="135" s="1"/>
  <c r="B43" i="135" s="1"/>
  <c r="B44" i="135" s="1"/>
  <c r="B45" i="135" s="1"/>
  <c r="B46" i="135" s="1"/>
  <c r="B47" i="135" s="1"/>
  <c r="B48" i="135" s="1"/>
  <c r="B49" i="135" s="1"/>
  <c r="B50" i="135" s="1"/>
  <c r="B51" i="135" s="1"/>
  <c r="N6" i="135"/>
  <c r="J6" i="135"/>
  <c r="N4" i="135"/>
  <c r="V85" i="135" l="1"/>
  <c r="V116" i="135"/>
  <c r="W133" i="135"/>
  <c r="W200" i="135"/>
  <c r="V173" i="135"/>
  <c r="W212" i="135"/>
  <c r="W239" i="135"/>
  <c r="W176" i="135"/>
  <c r="W143" i="135"/>
  <c r="V74" i="135"/>
  <c r="W73" i="135"/>
  <c r="W172" i="135"/>
  <c r="V72" i="135"/>
  <c r="V106" i="135"/>
  <c r="W169" i="135"/>
  <c r="V136" i="135"/>
  <c r="V104" i="135"/>
  <c r="V102" i="135"/>
  <c r="W66" i="135"/>
  <c r="V64" i="135"/>
  <c r="V198" i="135"/>
  <c r="W164" i="135"/>
  <c r="V132" i="135"/>
  <c r="W101" i="135"/>
  <c r="W65" i="135"/>
  <c r="W195" i="135"/>
  <c r="W162" i="135"/>
  <c r="W98" i="135"/>
  <c r="W193" i="135"/>
  <c r="V224" i="135"/>
  <c r="W126" i="135"/>
  <c r="W39" i="135"/>
  <c r="V39" i="135"/>
  <c r="V37" i="135"/>
  <c r="V71" i="135"/>
  <c r="V75" i="135"/>
  <c r="V223" i="135"/>
  <c r="V225" i="135"/>
  <c r="W191" i="135"/>
  <c r="V197" i="135"/>
  <c r="V203" i="135"/>
  <c r="V205" i="135"/>
  <c r="V207" i="135"/>
  <c r="V196" i="135"/>
  <c r="V202" i="135"/>
  <c r="V204" i="135"/>
  <c r="V206" i="135"/>
  <c r="V208" i="135"/>
  <c r="W160" i="135"/>
  <c r="V171" i="135"/>
  <c r="W174" i="135"/>
  <c r="N18" i="135"/>
  <c r="W166" i="135"/>
  <c r="W178" i="135"/>
  <c r="W125" i="135"/>
  <c r="V129" i="135"/>
  <c r="V131" i="135"/>
  <c r="V135" i="135"/>
  <c r="V142" i="135"/>
  <c r="V127" i="135"/>
  <c r="V134" i="135"/>
  <c r="V137" i="135"/>
  <c r="V146" i="135"/>
  <c r="W130" i="135"/>
  <c r="W141" i="135"/>
  <c r="W144" i="135"/>
  <c r="V99" i="135"/>
  <c r="V103" i="135"/>
  <c r="V6" i="135"/>
  <c r="W6" i="135"/>
  <c r="W16" i="135"/>
  <c r="V16" i="135"/>
  <c r="W61" i="135"/>
  <c r="V61" i="135"/>
  <c r="V11" i="135"/>
  <c r="W11" i="135"/>
  <c r="W19" i="135"/>
  <c r="V19" i="135"/>
  <c r="V22" i="135"/>
  <c r="W22" i="135"/>
  <c r="W25" i="135"/>
  <c r="V25" i="135"/>
  <c r="W27" i="135"/>
  <c r="V27" i="135"/>
  <c r="W32" i="135"/>
  <c r="V32" i="135"/>
  <c r="W95" i="135"/>
  <c r="V95" i="135"/>
  <c r="W107" i="135"/>
  <c r="V107" i="135"/>
  <c r="V14" i="135"/>
  <c r="W14" i="135"/>
  <c r="W21" i="135"/>
  <c r="V21" i="135"/>
  <c r="W24" i="135"/>
  <c r="V24" i="135"/>
  <c r="V17" i="135"/>
  <c r="W17" i="135"/>
  <c r="V28" i="135"/>
  <c r="W28" i="135"/>
  <c r="V8" i="135"/>
  <c r="W8" i="135"/>
  <c r="W15" i="135"/>
  <c r="V15" i="135"/>
  <c r="W20" i="135"/>
  <c r="V20" i="135"/>
  <c r="V23" i="135"/>
  <c r="W23" i="135"/>
  <c r="W30" i="135"/>
  <c r="V30" i="135"/>
  <c r="V10" i="135"/>
  <c r="W10" i="135"/>
  <c r="V12" i="135"/>
  <c r="W12" i="135"/>
  <c r="V18" i="135"/>
  <c r="W18" i="135"/>
  <c r="W31" i="135"/>
  <c r="V31" i="135"/>
  <c r="W42" i="135"/>
  <c r="V42" i="135"/>
  <c r="W44" i="135"/>
  <c r="V44" i="135"/>
  <c r="W77" i="135"/>
  <c r="V77" i="135"/>
  <c r="W68" i="135"/>
  <c r="V68" i="135"/>
  <c r="W108" i="135"/>
  <c r="V108" i="135"/>
  <c r="W35" i="135"/>
  <c r="V35" i="135"/>
  <c r="W110" i="135"/>
  <c r="V110" i="135"/>
  <c r="W112" i="135"/>
  <c r="V112" i="135"/>
  <c r="V161" i="135"/>
  <c r="W161" i="135"/>
  <c r="V177" i="135"/>
  <c r="W177" i="135"/>
  <c r="V192" i="135"/>
  <c r="W192" i="135"/>
  <c r="W201" i="135"/>
  <c r="V201" i="135"/>
  <c r="V7" i="135"/>
  <c r="W70" i="135"/>
  <c r="J86" i="135"/>
  <c r="W114" i="135"/>
  <c r="V175" i="135"/>
  <c r="W175" i="135"/>
  <c r="V190" i="135"/>
  <c r="W190" i="135"/>
  <c r="V199" i="135"/>
  <c r="W199" i="135"/>
  <c r="W9" i="135"/>
  <c r="W26" i="135"/>
  <c r="W29" i="135"/>
  <c r="V33" i="135"/>
  <c r="V34" i="135"/>
  <c r="V41" i="135"/>
  <c r="V43" i="135"/>
  <c r="V46" i="135"/>
  <c r="V60" i="135"/>
  <c r="W63" i="135"/>
  <c r="V67" i="135"/>
  <c r="W69" i="135"/>
  <c r="V69" i="135"/>
  <c r="W80" i="135"/>
  <c r="J117" i="135"/>
  <c r="W94" i="135"/>
  <c r="V105" i="135"/>
  <c r="W109" i="135"/>
  <c r="V109" i="135"/>
  <c r="W111" i="135"/>
  <c r="V111" i="135"/>
  <c r="W113" i="135"/>
  <c r="V113" i="135"/>
  <c r="W138" i="135"/>
  <c r="V138" i="135"/>
  <c r="W140" i="135"/>
  <c r="V165" i="135"/>
  <c r="W165" i="135"/>
  <c r="V170" i="135"/>
  <c r="W170" i="135"/>
  <c r="W210" i="135"/>
  <c r="W228" i="135"/>
  <c r="W235" i="135"/>
  <c r="W243" i="135"/>
  <c r="W96" i="135"/>
  <c r="V96" i="135"/>
  <c r="V139" i="135"/>
  <c r="W139" i="135"/>
  <c r="V13" i="135"/>
  <c r="W45" i="135"/>
  <c r="V76" i="135"/>
  <c r="W78" i="135"/>
  <c r="V78" i="135"/>
  <c r="W145" i="135"/>
  <c r="V145" i="135"/>
  <c r="V159" i="135"/>
  <c r="W159" i="135"/>
  <c r="W167" i="135"/>
  <c r="V167" i="135"/>
  <c r="W222" i="135"/>
  <c r="V222" i="135"/>
  <c r="W230" i="135"/>
  <c r="W237" i="135"/>
  <c r="W36" i="135"/>
  <c r="W38" i="135"/>
  <c r="W40" i="135"/>
  <c r="W62" i="135"/>
  <c r="V62" i="135"/>
  <c r="W79" i="135"/>
  <c r="V79" i="135"/>
  <c r="W82" i="135"/>
  <c r="V82" i="135"/>
  <c r="V94" i="135"/>
  <c r="W97" i="135"/>
  <c r="J150" i="135"/>
  <c r="V128" i="135"/>
  <c r="V163" i="135"/>
  <c r="W163" i="135"/>
  <c r="V168" i="135"/>
  <c r="W168" i="135"/>
  <c r="V179" i="135"/>
  <c r="W179" i="135"/>
  <c r="W194" i="135"/>
  <c r="V194" i="135"/>
  <c r="V227" i="135"/>
  <c r="W233" i="135"/>
  <c r="W241" i="135"/>
  <c r="J181" i="135"/>
  <c r="V158" i="135"/>
  <c r="V189" i="135"/>
  <c r="J213" i="135"/>
  <c r="J245" i="135"/>
  <c r="V221" i="135"/>
  <c r="W189" i="135"/>
  <c r="W209" i="135"/>
  <c r="W221" i="135"/>
  <c r="W226" i="135"/>
  <c r="W229" i="135"/>
  <c r="V231" i="135"/>
  <c r="W232" i="135"/>
  <c r="W234" i="135"/>
  <c r="W236" i="135"/>
  <c r="W238" i="135"/>
  <c r="W240" i="135"/>
  <c r="W242" i="135"/>
  <c r="W244" i="135"/>
  <c r="H81" i="134"/>
  <c r="H80" i="134"/>
  <c r="W86" i="135" l="1"/>
  <c r="P6" i="135" s="1"/>
  <c r="V150" i="135"/>
  <c r="O10" i="135" s="1"/>
  <c r="R10" i="135" s="1"/>
  <c r="V245" i="135"/>
  <c r="O16" i="135" s="1"/>
  <c r="R16" i="135" s="1"/>
  <c r="W181" i="135"/>
  <c r="P12" i="135" s="1"/>
  <c r="V213" i="135"/>
  <c r="O14" i="135" s="1"/>
  <c r="R14" i="135" s="1"/>
  <c r="V181" i="135"/>
  <c r="O12" i="135" s="1"/>
  <c r="V117" i="135"/>
  <c r="O8" i="135" s="1"/>
  <c r="V86" i="135"/>
  <c r="O6" i="135" s="1"/>
  <c r="V47" i="135"/>
  <c r="W47" i="135"/>
  <c r="W52" i="135" s="1"/>
  <c r="P4" i="135" s="1"/>
  <c r="W245" i="135"/>
  <c r="P16" i="135" s="1"/>
  <c r="W150" i="135"/>
  <c r="P10" i="135" s="1"/>
  <c r="W117" i="135"/>
  <c r="P8" i="135" s="1"/>
  <c r="J52" i="135"/>
  <c r="W213" i="135"/>
  <c r="P14" i="135" s="1"/>
  <c r="V52" i="135"/>
  <c r="O4" i="135" s="1"/>
  <c r="H209" i="134"/>
  <c r="H145" i="134"/>
  <c r="H114" i="134"/>
  <c r="H47" i="134"/>
  <c r="J47" i="134" s="1"/>
  <c r="I47" i="134"/>
  <c r="H46" i="134"/>
  <c r="J46" i="134" s="1"/>
  <c r="I46" i="134"/>
  <c r="H144" i="134"/>
  <c r="J44" i="134"/>
  <c r="J45" i="134"/>
  <c r="I45" i="134"/>
  <c r="H44" i="134"/>
  <c r="I44" i="134"/>
  <c r="Q10" i="135" l="1"/>
  <c r="Q14" i="135"/>
  <c r="P18" i="135"/>
  <c r="R4" i="135"/>
  <c r="O18" i="135"/>
  <c r="R18" i="135" s="1"/>
  <c r="P20" i="135" s="1"/>
  <c r="Q4" i="135"/>
  <c r="R8" i="135"/>
  <c r="Q8" i="135"/>
  <c r="R12" i="135"/>
  <c r="Q12" i="135"/>
  <c r="R6" i="135"/>
  <c r="Q6" i="135"/>
  <c r="H43" i="134"/>
  <c r="J43" i="134" s="1"/>
  <c r="I43" i="134"/>
  <c r="H42" i="134"/>
  <c r="J42" i="134" s="1"/>
  <c r="I42" i="134"/>
  <c r="Q18" i="135" l="1"/>
  <c r="H174" i="134"/>
  <c r="H142" i="134"/>
  <c r="H77" i="134"/>
  <c r="H76" i="134"/>
  <c r="H75" i="134"/>
  <c r="I41" i="134"/>
  <c r="J41" i="134" s="1"/>
  <c r="J40" i="134"/>
  <c r="H40" i="134"/>
  <c r="I40" i="134"/>
  <c r="H39" i="134"/>
  <c r="I39" i="134"/>
  <c r="J39" i="134" s="1"/>
  <c r="H38" i="134"/>
  <c r="J38" i="134" s="1"/>
  <c r="I38" i="134"/>
  <c r="H37" i="134"/>
  <c r="J37" i="134" s="1"/>
  <c r="I37" i="134"/>
  <c r="I36" i="134"/>
  <c r="J36" i="134" s="1"/>
  <c r="H232" i="134" l="1"/>
  <c r="H231" i="134"/>
  <c r="H201" i="134"/>
  <c r="H199" i="134"/>
  <c r="H171" i="134"/>
  <c r="H168" i="134"/>
  <c r="H139" i="134"/>
  <c r="H136" i="134"/>
  <c r="H135" i="134"/>
  <c r="H107" i="134"/>
  <c r="H105" i="134"/>
  <c r="H70" i="134"/>
  <c r="J33" i="134"/>
  <c r="I35" i="134"/>
  <c r="J35" i="134" s="1"/>
  <c r="I34" i="134"/>
  <c r="J34" i="134" s="1"/>
  <c r="H33" i="134"/>
  <c r="I33" i="134"/>
  <c r="I32" i="134"/>
  <c r="J32" i="134" s="1"/>
  <c r="H31" i="134"/>
  <c r="J31" i="134" s="1"/>
  <c r="I31" i="134"/>
  <c r="I30" i="134"/>
  <c r="J30" i="134" s="1"/>
  <c r="H29" i="134"/>
  <c r="I29" i="134"/>
  <c r="J29" i="134" s="1"/>
  <c r="I28" i="134"/>
  <c r="J28" i="134" s="1"/>
  <c r="I27" i="134"/>
  <c r="J27" i="134" s="1"/>
  <c r="I26" i="134"/>
  <c r="J26" i="134" s="1"/>
  <c r="H25" i="134" l="1"/>
  <c r="J25" i="134" s="1"/>
  <c r="I25" i="134"/>
  <c r="H24" i="134"/>
  <c r="J24" i="134" s="1"/>
  <c r="I24" i="134"/>
  <c r="H167" i="134"/>
  <c r="H68" i="134" l="1"/>
  <c r="I23" i="134"/>
  <c r="J23" i="134" s="1"/>
  <c r="I22" i="134"/>
  <c r="J22" i="134" s="1"/>
  <c r="H227" i="134" l="1"/>
  <c r="H228" i="134"/>
  <c r="H226" i="134" l="1"/>
  <c r="H194" i="134"/>
  <c r="H131" i="134"/>
  <c r="H130" i="134"/>
  <c r="H99" i="134"/>
  <c r="H67" i="134"/>
  <c r="H66" i="134"/>
  <c r="J19" i="134"/>
  <c r="H21" i="134"/>
  <c r="J21" i="134" s="1"/>
  <c r="I21" i="134"/>
  <c r="I20" i="134"/>
  <c r="J20" i="134" s="1"/>
  <c r="I19" i="134"/>
  <c r="I18" i="134"/>
  <c r="J18" i="134" s="1"/>
  <c r="I17" i="134"/>
  <c r="J17" i="134" s="1"/>
  <c r="H16" i="134"/>
  <c r="J16" i="134" s="1"/>
  <c r="I16" i="134"/>
  <c r="I8" i="134" l="1"/>
  <c r="J8" i="134" s="1"/>
  <c r="I9" i="134"/>
  <c r="J9" i="134"/>
  <c r="V9" i="134" s="1"/>
  <c r="I10" i="134"/>
  <c r="J10" i="134"/>
  <c r="I11" i="134"/>
  <c r="J11" i="134"/>
  <c r="I12" i="134"/>
  <c r="I13" i="134"/>
  <c r="J13" i="134"/>
  <c r="W13" i="134" s="1"/>
  <c r="I14" i="134"/>
  <c r="J14" i="134"/>
  <c r="I15" i="134"/>
  <c r="J15" i="134"/>
  <c r="H13" i="134"/>
  <c r="H12" i="134"/>
  <c r="J12" i="134" s="1"/>
  <c r="H9" i="134"/>
  <c r="H63" i="134"/>
  <c r="J63" i="134" s="1"/>
  <c r="W63" i="134" s="1"/>
  <c r="H61" i="134"/>
  <c r="H97" i="134"/>
  <c r="H95" i="134"/>
  <c r="H128" i="134"/>
  <c r="J128" i="134" s="1"/>
  <c r="V128" i="134" s="1"/>
  <c r="H127" i="134"/>
  <c r="H222" i="134"/>
  <c r="H158" i="134"/>
  <c r="H125" i="134"/>
  <c r="J125" i="134" s="1"/>
  <c r="W125" i="134" s="1"/>
  <c r="H7" i="134"/>
  <c r="J211" i="134"/>
  <c r="J210" i="134"/>
  <c r="W210" i="134" s="1"/>
  <c r="J209" i="134"/>
  <c r="W209" i="134" s="1"/>
  <c r="J207" i="134"/>
  <c r="V207" i="134" s="1"/>
  <c r="J206" i="134"/>
  <c r="W206" i="134" s="1"/>
  <c r="J205" i="134"/>
  <c r="W205" i="134" s="1"/>
  <c r="J204" i="134"/>
  <c r="W204" i="134" s="1"/>
  <c r="J244" i="134"/>
  <c r="J243" i="134"/>
  <c r="J242" i="134"/>
  <c r="J241" i="134"/>
  <c r="J240" i="134"/>
  <c r="W240" i="134" s="1"/>
  <c r="J239" i="134"/>
  <c r="W239" i="134" s="1"/>
  <c r="J238" i="134"/>
  <c r="W238" i="134" s="1"/>
  <c r="J237" i="134"/>
  <c r="W237" i="134" s="1"/>
  <c r="J236" i="134"/>
  <c r="V236" i="134" s="1"/>
  <c r="J235" i="134"/>
  <c r="V235" i="134" s="1"/>
  <c r="J234" i="134"/>
  <c r="V234" i="134" s="1"/>
  <c r="J233" i="134"/>
  <c r="J232" i="134"/>
  <c r="J231" i="134"/>
  <c r="W231" i="134" s="1"/>
  <c r="J230" i="134"/>
  <c r="V230" i="134" s="1"/>
  <c r="J229" i="134"/>
  <c r="V229" i="134" s="1"/>
  <c r="J228" i="134"/>
  <c r="J227" i="134"/>
  <c r="V226" i="134"/>
  <c r="J226" i="134"/>
  <c r="W226" i="134" s="1"/>
  <c r="J225" i="134"/>
  <c r="W225" i="134" s="1"/>
  <c r="J224" i="134"/>
  <c r="W224" i="134" s="1"/>
  <c r="J223" i="134"/>
  <c r="V223" i="134" s="1"/>
  <c r="B223" i="134"/>
  <c r="B224" i="134" s="1"/>
  <c r="B225" i="134" s="1"/>
  <c r="B226" i="134" s="1"/>
  <c r="B227" i="134" s="1"/>
  <c r="B228" i="134" s="1"/>
  <c r="B229" i="134" s="1"/>
  <c r="B230" i="134" s="1"/>
  <c r="B231" i="134" s="1"/>
  <c r="B232" i="134" s="1"/>
  <c r="B233" i="134" s="1"/>
  <c r="B234" i="134" s="1"/>
  <c r="B235" i="134" s="1"/>
  <c r="B236" i="134" s="1"/>
  <c r="B237" i="134" s="1"/>
  <c r="B238" i="134" s="1"/>
  <c r="B239" i="134" s="1"/>
  <c r="B240" i="134" s="1"/>
  <c r="B241" i="134" s="1"/>
  <c r="B242" i="134" s="1"/>
  <c r="B243" i="134" s="1"/>
  <c r="B244" i="134" s="1"/>
  <c r="J222" i="134"/>
  <c r="B222" i="134"/>
  <c r="J221" i="134"/>
  <c r="J212" i="134"/>
  <c r="W212" i="134" s="1"/>
  <c r="J208" i="134"/>
  <c r="W208" i="134" s="1"/>
  <c r="W207" i="134"/>
  <c r="V206" i="134"/>
  <c r="J203" i="134"/>
  <c r="V203" i="134" s="1"/>
  <c r="W202" i="134"/>
  <c r="J202" i="134"/>
  <c r="V202" i="134" s="1"/>
  <c r="J201" i="134"/>
  <c r="V201" i="134" s="1"/>
  <c r="J200" i="134"/>
  <c r="V200" i="134" s="1"/>
  <c r="J199" i="134"/>
  <c r="V199" i="134" s="1"/>
  <c r="J198" i="134"/>
  <c r="J197" i="134"/>
  <c r="J196" i="134"/>
  <c r="J195" i="134"/>
  <c r="W195" i="134" s="1"/>
  <c r="J194" i="134"/>
  <c r="W194" i="134" s="1"/>
  <c r="J193" i="134"/>
  <c r="V193" i="134" s="1"/>
  <c r="J192" i="134"/>
  <c r="J191" i="134"/>
  <c r="J190" i="134"/>
  <c r="B190" i="134"/>
  <c r="B191" i="134" s="1"/>
  <c r="B192" i="134" s="1"/>
  <c r="B193" i="134" s="1"/>
  <c r="B194" i="134" s="1"/>
  <c r="B195" i="134" s="1"/>
  <c r="B196" i="134" s="1"/>
  <c r="B197" i="134" s="1"/>
  <c r="B198" i="134" s="1"/>
  <c r="B199" i="134" s="1"/>
  <c r="B200" i="134" s="1"/>
  <c r="B201" i="134" s="1"/>
  <c r="B202" i="134" s="1"/>
  <c r="B203" i="134" s="1"/>
  <c r="B204" i="134" s="1"/>
  <c r="B205" i="134" s="1"/>
  <c r="B206" i="134" s="1"/>
  <c r="B207" i="134" s="1"/>
  <c r="B208" i="134" s="1"/>
  <c r="B209" i="134" s="1"/>
  <c r="B210" i="134" s="1"/>
  <c r="J189" i="134"/>
  <c r="V189" i="134" s="1"/>
  <c r="J180" i="134"/>
  <c r="V180" i="134" s="1"/>
  <c r="J179" i="134"/>
  <c r="J178" i="134"/>
  <c r="J177" i="134"/>
  <c r="J176" i="134"/>
  <c r="J175" i="134"/>
  <c r="J174" i="134"/>
  <c r="J173" i="134"/>
  <c r="J172" i="134"/>
  <c r="J171" i="134"/>
  <c r="J170" i="134"/>
  <c r="J169" i="134"/>
  <c r="J168" i="134"/>
  <c r="V167" i="134"/>
  <c r="J167" i="134"/>
  <c r="W167" i="134" s="1"/>
  <c r="J166" i="134"/>
  <c r="W166" i="134" s="1"/>
  <c r="J165" i="134"/>
  <c r="W165" i="134" s="1"/>
  <c r="J164" i="134"/>
  <c r="W164" i="134" s="1"/>
  <c r="J163" i="134"/>
  <c r="W163" i="134" s="1"/>
  <c r="J162" i="134"/>
  <c r="W162" i="134" s="1"/>
  <c r="J161" i="134"/>
  <c r="W161" i="134" s="1"/>
  <c r="J160" i="134"/>
  <c r="W160" i="134" s="1"/>
  <c r="J159" i="134"/>
  <c r="W159" i="134" s="1"/>
  <c r="B159" i="134"/>
  <c r="B160" i="134" s="1"/>
  <c r="B161" i="134" s="1"/>
  <c r="B162" i="134" s="1"/>
  <c r="B163" i="134" s="1"/>
  <c r="B164" i="134" s="1"/>
  <c r="B165" i="134" s="1"/>
  <c r="B166" i="134" s="1"/>
  <c r="B167" i="134" s="1"/>
  <c r="B168" i="134" s="1"/>
  <c r="B169" i="134" s="1"/>
  <c r="B170" i="134" s="1"/>
  <c r="B171" i="134" s="1"/>
  <c r="B172" i="134" s="1"/>
  <c r="B173" i="134" s="1"/>
  <c r="B174" i="134" s="1"/>
  <c r="B175" i="134" s="1"/>
  <c r="B176" i="134" s="1"/>
  <c r="B177" i="134" s="1"/>
  <c r="B178" i="134" s="1"/>
  <c r="B179" i="134" s="1"/>
  <c r="B180" i="134" s="1"/>
  <c r="J158" i="134"/>
  <c r="V158" i="134" s="1"/>
  <c r="V149" i="134"/>
  <c r="J149" i="134"/>
  <c r="W149" i="134" s="1"/>
  <c r="J148" i="134"/>
  <c r="W148" i="134" s="1"/>
  <c r="W147" i="134"/>
  <c r="V147" i="134"/>
  <c r="J147" i="134"/>
  <c r="J146" i="134"/>
  <c r="W146" i="134" s="1"/>
  <c r="J145" i="134"/>
  <c r="W145" i="134" s="1"/>
  <c r="J144" i="134"/>
  <c r="V144" i="134" s="1"/>
  <c r="J143" i="134"/>
  <c r="V143" i="134" s="1"/>
  <c r="J142" i="134"/>
  <c r="J141" i="134"/>
  <c r="J140" i="134"/>
  <c r="W140" i="134" s="1"/>
  <c r="J139" i="134"/>
  <c r="W139" i="134" s="1"/>
  <c r="J138" i="134"/>
  <c r="V138" i="134" s="1"/>
  <c r="J137" i="134"/>
  <c r="W137" i="134" s="1"/>
  <c r="J136" i="134"/>
  <c r="W136" i="134" s="1"/>
  <c r="J135" i="134"/>
  <c r="W135" i="134" s="1"/>
  <c r="J134" i="134"/>
  <c r="V134" i="134" s="1"/>
  <c r="J133" i="134"/>
  <c r="V133" i="134" s="1"/>
  <c r="J132" i="134"/>
  <c r="J131" i="134"/>
  <c r="W131" i="134" s="1"/>
  <c r="J130" i="134"/>
  <c r="V130" i="134" s="1"/>
  <c r="J129" i="134"/>
  <c r="V129" i="134" s="1"/>
  <c r="J127" i="134"/>
  <c r="J126" i="134"/>
  <c r="W126" i="134" s="1"/>
  <c r="B126" i="134"/>
  <c r="B127" i="134" s="1"/>
  <c r="B128" i="134" s="1"/>
  <c r="B129" i="134" s="1"/>
  <c r="B130" i="134" s="1"/>
  <c r="B131" i="134" s="1"/>
  <c r="B132" i="134" s="1"/>
  <c r="B133" i="134" s="1"/>
  <c r="B134" i="134" s="1"/>
  <c r="B135" i="134" s="1"/>
  <c r="B136" i="134" s="1"/>
  <c r="B137" i="134" s="1"/>
  <c r="B138" i="134" s="1"/>
  <c r="B139" i="134" s="1"/>
  <c r="B140" i="134" s="1"/>
  <c r="B141" i="134" s="1"/>
  <c r="B142" i="134" s="1"/>
  <c r="B143" i="134" s="1"/>
  <c r="B144" i="134" s="1"/>
  <c r="B145" i="134" s="1"/>
  <c r="B146" i="134" s="1"/>
  <c r="B147" i="134" s="1"/>
  <c r="B148" i="134" s="1"/>
  <c r="B149" i="134" s="1"/>
  <c r="J116" i="134"/>
  <c r="J115" i="134"/>
  <c r="J114" i="134"/>
  <c r="J113" i="134"/>
  <c r="W113" i="134" s="1"/>
  <c r="J112" i="134"/>
  <c r="J111" i="134"/>
  <c r="J110" i="134"/>
  <c r="W110" i="134" s="1"/>
  <c r="J109" i="134"/>
  <c r="W109" i="134" s="1"/>
  <c r="J108" i="134"/>
  <c r="V108" i="134" s="1"/>
  <c r="J107" i="134"/>
  <c r="W107" i="134" s="1"/>
  <c r="J106" i="134"/>
  <c r="W106" i="134" s="1"/>
  <c r="J105" i="134"/>
  <c r="W105" i="134" s="1"/>
  <c r="J104" i="134"/>
  <c r="V104" i="134" s="1"/>
  <c r="J103" i="134"/>
  <c r="J102" i="134"/>
  <c r="W102" i="134" s="1"/>
  <c r="J101" i="134"/>
  <c r="V101" i="134" s="1"/>
  <c r="J100" i="134"/>
  <c r="V100" i="134" s="1"/>
  <c r="J99" i="134"/>
  <c r="J98" i="134"/>
  <c r="W98" i="134" s="1"/>
  <c r="J97" i="134"/>
  <c r="W97" i="134" s="1"/>
  <c r="J96" i="134"/>
  <c r="V96" i="134" s="1"/>
  <c r="J95" i="134"/>
  <c r="W95" i="134" s="1"/>
  <c r="B95" i="134"/>
  <c r="B96" i="134" s="1"/>
  <c r="B97" i="134" s="1"/>
  <c r="B98" i="134" s="1"/>
  <c r="B99" i="134" s="1"/>
  <c r="B100" i="134" s="1"/>
  <c r="B101" i="134" s="1"/>
  <c r="B102" i="134" s="1"/>
  <c r="B103" i="134" s="1"/>
  <c r="B104" i="134" s="1"/>
  <c r="B105" i="134" s="1"/>
  <c r="B106" i="134" s="1"/>
  <c r="B107" i="134" s="1"/>
  <c r="B108" i="134" s="1"/>
  <c r="B109" i="134" s="1"/>
  <c r="B110" i="134" s="1"/>
  <c r="B111" i="134" s="1"/>
  <c r="B112" i="134" s="1"/>
  <c r="B113" i="134" s="1"/>
  <c r="B114" i="134" s="1"/>
  <c r="B115" i="134" s="1"/>
  <c r="B116" i="134" s="1"/>
  <c r="J94" i="134"/>
  <c r="W94" i="134" s="1"/>
  <c r="J85" i="134"/>
  <c r="J84" i="134"/>
  <c r="J83" i="134"/>
  <c r="J82" i="134"/>
  <c r="W82" i="134" s="1"/>
  <c r="J81" i="134"/>
  <c r="J80" i="134"/>
  <c r="J79" i="134"/>
  <c r="J78" i="134"/>
  <c r="V77" i="134"/>
  <c r="J77" i="134"/>
  <c r="W77" i="134" s="1"/>
  <c r="J76" i="134"/>
  <c r="W76" i="134" s="1"/>
  <c r="J75" i="134"/>
  <c r="W75" i="134" s="1"/>
  <c r="J74" i="134"/>
  <c r="W74" i="134" s="1"/>
  <c r="J73" i="134"/>
  <c r="V73" i="134" s="1"/>
  <c r="J72" i="134"/>
  <c r="V72" i="134" s="1"/>
  <c r="J71" i="134"/>
  <c r="J70" i="134"/>
  <c r="J69" i="134"/>
  <c r="J68" i="134"/>
  <c r="W68" i="134" s="1"/>
  <c r="J67" i="134"/>
  <c r="W67" i="134" s="1"/>
  <c r="J66" i="134"/>
  <c r="W66" i="134" s="1"/>
  <c r="J65" i="134"/>
  <c r="W65" i="134" s="1"/>
  <c r="J64" i="134"/>
  <c r="W64" i="134" s="1"/>
  <c r="J62" i="134"/>
  <c r="V62" i="134" s="1"/>
  <c r="J61" i="134"/>
  <c r="B61" i="134"/>
  <c r="B62" i="134" s="1"/>
  <c r="B63" i="134" s="1"/>
  <c r="B64" i="134" s="1"/>
  <c r="B65" i="134" s="1"/>
  <c r="B66" i="134" s="1"/>
  <c r="B67" i="134" s="1"/>
  <c r="B68" i="134" s="1"/>
  <c r="B69" i="134" s="1"/>
  <c r="B70" i="134" s="1"/>
  <c r="B71" i="134" s="1"/>
  <c r="B72" i="134" s="1"/>
  <c r="B73" i="134" s="1"/>
  <c r="B74" i="134" s="1"/>
  <c r="B75" i="134" s="1"/>
  <c r="B76" i="134" s="1"/>
  <c r="B77" i="134" s="1"/>
  <c r="B78" i="134" s="1"/>
  <c r="B79" i="134" s="1"/>
  <c r="B80" i="134" s="1"/>
  <c r="B81" i="134" s="1"/>
  <c r="B82" i="134" s="1"/>
  <c r="J60" i="134"/>
  <c r="W51" i="134"/>
  <c r="V51" i="134"/>
  <c r="W50" i="134"/>
  <c r="V50" i="134"/>
  <c r="W46" i="134"/>
  <c r="W44" i="134"/>
  <c r="V43" i="134"/>
  <c r="W38" i="134"/>
  <c r="V38" i="134"/>
  <c r="W36" i="134"/>
  <c r="V36" i="134"/>
  <c r="W35" i="134"/>
  <c r="V35" i="134"/>
  <c r="W32" i="134"/>
  <c r="V32" i="134"/>
  <c r="W31" i="134"/>
  <c r="V31" i="134"/>
  <c r="W29" i="134"/>
  <c r="V29" i="134"/>
  <c r="W28" i="134"/>
  <c r="W26" i="134"/>
  <c r="V26" i="134"/>
  <c r="V25" i="134"/>
  <c r="W24" i="134"/>
  <c r="W23" i="134"/>
  <c r="V19" i="134"/>
  <c r="N16" i="134"/>
  <c r="N14" i="134"/>
  <c r="N12" i="134"/>
  <c r="N10" i="134"/>
  <c r="N8" i="134"/>
  <c r="B8" i="134"/>
  <c r="B9" i="134" s="1"/>
  <c r="B10" i="134" s="1"/>
  <c r="B11" i="134" s="1"/>
  <c r="B12" i="134" s="1"/>
  <c r="B13" i="134" s="1"/>
  <c r="B14" i="134" s="1"/>
  <c r="B15" i="134" s="1"/>
  <c r="B16" i="134" s="1"/>
  <c r="B17" i="134" s="1"/>
  <c r="B18" i="134" s="1"/>
  <c r="B19" i="134" s="1"/>
  <c r="B20" i="134" s="1"/>
  <c r="B21" i="134" s="1"/>
  <c r="B22" i="134" s="1"/>
  <c r="B23" i="134" s="1"/>
  <c r="B24" i="134" s="1"/>
  <c r="B25" i="134" s="1"/>
  <c r="B26" i="134" s="1"/>
  <c r="B27" i="134" s="1"/>
  <c r="B28" i="134" s="1"/>
  <c r="B29" i="134" s="1"/>
  <c r="B30" i="134" s="1"/>
  <c r="B31" i="134" s="1"/>
  <c r="B32" i="134" s="1"/>
  <c r="B33" i="134" s="1"/>
  <c r="B34" i="134" s="1"/>
  <c r="B35" i="134" s="1"/>
  <c r="B36" i="134" s="1"/>
  <c r="B37" i="134" s="1"/>
  <c r="B38" i="134" s="1"/>
  <c r="B39" i="134" s="1"/>
  <c r="B40" i="134" s="1"/>
  <c r="B41" i="134" s="1"/>
  <c r="B42" i="134" s="1"/>
  <c r="B43" i="134" s="1"/>
  <c r="B44" i="134" s="1"/>
  <c r="B45" i="134" s="1"/>
  <c r="B46" i="134" s="1"/>
  <c r="B47" i="134" s="1"/>
  <c r="B48" i="134" s="1"/>
  <c r="B49" i="134" s="1"/>
  <c r="B50" i="134" s="1"/>
  <c r="B51" i="134" s="1"/>
  <c r="I7" i="134"/>
  <c r="J7" i="134" s="1"/>
  <c r="B7" i="134"/>
  <c r="N6" i="134"/>
  <c r="I6" i="134"/>
  <c r="J6" i="134" s="1"/>
  <c r="V6" i="134" s="1"/>
  <c r="N4" i="134"/>
  <c r="W96" i="134" l="1"/>
  <c r="W101" i="134"/>
  <c r="V146" i="134"/>
  <c r="W180" i="134"/>
  <c r="V136" i="134"/>
  <c r="V209" i="134"/>
  <c r="V208" i="134"/>
  <c r="W144" i="134"/>
  <c r="W143" i="134"/>
  <c r="V205" i="134"/>
  <c r="V204" i="134"/>
  <c r="V140" i="134"/>
  <c r="V109" i="134"/>
  <c r="W200" i="134"/>
  <c r="W138" i="134"/>
  <c r="V137" i="134"/>
  <c r="W108" i="134"/>
  <c r="V107" i="134"/>
  <c r="V105" i="134"/>
  <c r="W73" i="134"/>
  <c r="V75" i="134"/>
  <c r="W134" i="134"/>
  <c r="V102" i="134"/>
  <c r="V194" i="134"/>
  <c r="W133" i="134"/>
  <c r="W130" i="134"/>
  <c r="W100" i="134"/>
  <c r="V65" i="134"/>
  <c r="V63" i="134"/>
  <c r="V97" i="134"/>
  <c r="V95" i="134"/>
  <c r="W129" i="134"/>
  <c r="V126" i="134"/>
  <c r="V225" i="134"/>
  <c r="W158" i="134"/>
  <c r="V224" i="134"/>
  <c r="W230" i="134"/>
  <c r="W235" i="134"/>
  <c r="V237" i="134"/>
  <c r="V239" i="134"/>
  <c r="W223" i="134"/>
  <c r="W229" i="134"/>
  <c r="V231" i="134"/>
  <c r="W234" i="134"/>
  <c r="W236" i="134"/>
  <c r="V238" i="134"/>
  <c r="V240" i="134"/>
  <c r="W193" i="134"/>
  <c r="V195" i="134"/>
  <c r="W199" i="134"/>
  <c r="W201" i="134"/>
  <c r="W203" i="134"/>
  <c r="V210" i="134"/>
  <c r="V212" i="134"/>
  <c r="V160" i="134"/>
  <c r="V162" i="134"/>
  <c r="V164" i="134"/>
  <c r="V166" i="134"/>
  <c r="V159" i="134"/>
  <c r="V161" i="134"/>
  <c r="V163" i="134"/>
  <c r="V165" i="134"/>
  <c r="V125" i="134"/>
  <c r="V131" i="134"/>
  <c r="V135" i="134"/>
  <c r="V139" i="134"/>
  <c r="V145" i="134"/>
  <c r="W128" i="134"/>
  <c r="V148" i="134"/>
  <c r="V94" i="134"/>
  <c r="V106" i="134"/>
  <c r="V64" i="134"/>
  <c r="V74" i="134"/>
  <c r="N18" i="134"/>
  <c r="W11" i="134"/>
  <c r="V11" i="134"/>
  <c r="V8" i="134"/>
  <c r="W8" i="134"/>
  <c r="V10" i="134"/>
  <c r="W10" i="134"/>
  <c r="W14" i="134"/>
  <c r="V14" i="134"/>
  <c r="W15" i="134"/>
  <c r="V15" i="134"/>
  <c r="V40" i="134"/>
  <c r="W40" i="134"/>
  <c r="W48" i="134"/>
  <c r="V48" i="134"/>
  <c r="W78" i="134"/>
  <c r="V78" i="134"/>
  <c r="V132" i="134"/>
  <c r="W132" i="134"/>
  <c r="W17" i="134"/>
  <c r="V17" i="134"/>
  <c r="V42" i="134"/>
  <c r="W42" i="134"/>
  <c r="W99" i="134"/>
  <c r="V99" i="134"/>
  <c r="J117" i="134"/>
  <c r="W111" i="134"/>
  <c r="V111" i="134"/>
  <c r="V16" i="134"/>
  <c r="W16" i="134"/>
  <c r="V20" i="134"/>
  <c r="W20" i="134"/>
  <c r="W30" i="134"/>
  <c r="V30" i="134"/>
  <c r="V41" i="134"/>
  <c r="W41" i="134"/>
  <c r="V12" i="134"/>
  <c r="W12" i="134"/>
  <c r="V22" i="134"/>
  <c r="W22" i="134"/>
  <c r="W27" i="134"/>
  <c r="V27" i="134"/>
  <c r="W39" i="134"/>
  <c r="V39" i="134"/>
  <c r="W103" i="134"/>
  <c r="V103" i="134"/>
  <c r="V18" i="134"/>
  <c r="W18" i="134"/>
  <c r="W33" i="134"/>
  <c r="V33" i="134"/>
  <c r="W37" i="134"/>
  <c r="V37" i="134"/>
  <c r="W7" i="134"/>
  <c r="V7" i="134"/>
  <c r="W21" i="134"/>
  <c r="V21" i="134"/>
  <c r="V34" i="134"/>
  <c r="W34" i="134"/>
  <c r="V47" i="134"/>
  <c r="W47" i="134"/>
  <c r="W49" i="134"/>
  <c r="V49" i="134"/>
  <c r="W69" i="134"/>
  <c r="V69" i="134"/>
  <c r="W60" i="134"/>
  <c r="V60" i="134"/>
  <c r="V197" i="134"/>
  <c r="W197" i="134"/>
  <c r="V13" i="134"/>
  <c r="V23" i="134"/>
  <c r="W25" i="134"/>
  <c r="W70" i="134"/>
  <c r="V70" i="134"/>
  <c r="W104" i="134"/>
  <c r="W112" i="134"/>
  <c r="V112" i="134"/>
  <c r="V191" i="134"/>
  <c r="W191" i="134"/>
  <c r="W198" i="134"/>
  <c r="V198" i="134"/>
  <c r="W222" i="134"/>
  <c r="V222" i="134"/>
  <c r="V242" i="134"/>
  <c r="W242" i="134"/>
  <c r="W6" i="134"/>
  <c r="W9" i="134"/>
  <c r="W19" i="134"/>
  <c r="V28" i="134"/>
  <c r="W43" i="134"/>
  <c r="V46" i="134"/>
  <c r="W61" i="134"/>
  <c r="V61" i="134"/>
  <c r="W72" i="134"/>
  <c r="V76" i="134"/>
  <c r="W80" i="134"/>
  <c r="V80" i="134"/>
  <c r="V82" i="134"/>
  <c r="J86" i="134"/>
  <c r="V127" i="134"/>
  <c r="W127" i="134"/>
  <c r="V141" i="134"/>
  <c r="W141" i="134"/>
  <c r="V170" i="134"/>
  <c r="W170" i="134"/>
  <c r="V174" i="134"/>
  <c r="W174" i="134"/>
  <c r="V178" i="134"/>
  <c r="W178" i="134"/>
  <c r="J181" i="134"/>
  <c r="W192" i="134"/>
  <c r="V192" i="134"/>
  <c r="V243" i="134"/>
  <c r="W243" i="134"/>
  <c r="W79" i="134"/>
  <c r="V79" i="134"/>
  <c r="V24" i="134"/>
  <c r="V44" i="134"/>
  <c r="W62" i="134"/>
  <c r="V66" i="134"/>
  <c r="V68" i="134"/>
  <c r="W85" i="134"/>
  <c r="V85" i="134"/>
  <c r="V110" i="134"/>
  <c r="V67" i="134"/>
  <c r="W71" i="134"/>
  <c r="V71" i="134"/>
  <c r="V98" i="134"/>
  <c r="V113" i="134"/>
  <c r="V115" i="134"/>
  <c r="W115" i="134"/>
  <c r="V171" i="134"/>
  <c r="W171" i="134"/>
  <c r="V175" i="134"/>
  <c r="W175" i="134"/>
  <c r="W179" i="134"/>
  <c r="V179" i="134"/>
  <c r="J150" i="134"/>
  <c r="W142" i="134"/>
  <c r="V142" i="134"/>
  <c r="V168" i="134"/>
  <c r="W168" i="134"/>
  <c r="V172" i="134"/>
  <c r="W172" i="134"/>
  <c r="V176" i="134"/>
  <c r="W176" i="134"/>
  <c r="J213" i="134"/>
  <c r="V190" i="134"/>
  <c r="W190" i="134"/>
  <c r="V227" i="134"/>
  <c r="W227" i="134"/>
  <c r="V232" i="134"/>
  <c r="W232" i="134"/>
  <c r="V244" i="134"/>
  <c r="W244" i="134"/>
  <c r="V114" i="134"/>
  <c r="W114" i="134"/>
  <c r="V116" i="134"/>
  <c r="W116" i="134"/>
  <c r="V169" i="134"/>
  <c r="W169" i="134"/>
  <c r="V173" i="134"/>
  <c r="W173" i="134"/>
  <c r="V177" i="134"/>
  <c r="W177" i="134"/>
  <c r="V196" i="134"/>
  <c r="W196" i="134"/>
  <c r="V221" i="134"/>
  <c r="J245" i="134"/>
  <c r="W221" i="134"/>
  <c r="W228" i="134"/>
  <c r="V228" i="134"/>
  <c r="W233" i="134"/>
  <c r="V233" i="134"/>
  <c r="V241" i="134"/>
  <c r="W241" i="134"/>
  <c r="W189" i="134"/>
  <c r="J46" i="133"/>
  <c r="I49" i="133"/>
  <c r="J49" i="133" s="1"/>
  <c r="H48" i="133"/>
  <c r="I48" i="133"/>
  <c r="J48" i="133" s="1"/>
  <c r="H47" i="133"/>
  <c r="J47" i="133" s="1"/>
  <c r="I47" i="133"/>
  <c r="I46" i="133"/>
  <c r="H45" i="133"/>
  <c r="J45" i="133" s="1"/>
  <c r="I45" i="133"/>
  <c r="I44" i="133"/>
  <c r="J44" i="133" s="1"/>
  <c r="H81" i="133"/>
  <c r="H114" i="133"/>
  <c r="H148" i="133"/>
  <c r="H179" i="133"/>
  <c r="H241" i="133"/>
  <c r="J211" i="133"/>
  <c r="J210" i="133"/>
  <c r="J209" i="133"/>
  <c r="W181" i="134" l="1"/>
  <c r="P12" i="134" s="1"/>
  <c r="W117" i="134"/>
  <c r="P8" i="134" s="1"/>
  <c r="V213" i="134"/>
  <c r="O14" i="134" s="1"/>
  <c r="R14" i="134" s="1"/>
  <c r="V181" i="134"/>
  <c r="O12" i="134" s="1"/>
  <c r="V150" i="134"/>
  <c r="O10" i="134" s="1"/>
  <c r="R10" i="134" s="1"/>
  <c r="W150" i="134"/>
  <c r="P10" i="134" s="1"/>
  <c r="V117" i="134"/>
  <c r="O8" i="134" s="1"/>
  <c r="W245" i="134"/>
  <c r="P16" i="134" s="1"/>
  <c r="W86" i="134"/>
  <c r="P6" i="134" s="1"/>
  <c r="V86" i="134"/>
  <c r="O6" i="134" s="1"/>
  <c r="W213" i="134"/>
  <c r="P14" i="134" s="1"/>
  <c r="W45" i="134"/>
  <c r="W52" i="134" s="1"/>
  <c r="P4" i="134" s="1"/>
  <c r="V45" i="134"/>
  <c r="V52" i="134" s="1"/>
  <c r="O4" i="134" s="1"/>
  <c r="V245" i="134"/>
  <c r="O16" i="134" s="1"/>
  <c r="R16" i="134" s="1"/>
  <c r="J52" i="134"/>
  <c r="H237" i="133"/>
  <c r="J208" i="133"/>
  <c r="H78" i="133"/>
  <c r="H43" i="133"/>
  <c r="I43" i="133"/>
  <c r="H42" i="133"/>
  <c r="I42" i="133"/>
  <c r="J42" i="133" s="1"/>
  <c r="H41" i="133"/>
  <c r="I41" i="133"/>
  <c r="I40" i="133"/>
  <c r="J40" i="133" s="1"/>
  <c r="H111" i="133"/>
  <c r="H144" i="133"/>
  <c r="J41" i="133" l="1"/>
  <c r="J43" i="133"/>
  <c r="Q12" i="134"/>
  <c r="Q14" i="134"/>
  <c r="Q8" i="134"/>
  <c r="Q10" i="134"/>
  <c r="R12" i="134"/>
  <c r="P18" i="134"/>
  <c r="R8" i="134"/>
  <c r="O18" i="134"/>
  <c r="R18" i="134" s="1"/>
  <c r="P20" i="134" s="1"/>
  <c r="Q4" i="134"/>
  <c r="R4" i="134"/>
  <c r="R6" i="134"/>
  <c r="Q6" i="134"/>
  <c r="H203" i="133"/>
  <c r="J203" i="133" s="1"/>
  <c r="Q18" i="134" l="1"/>
  <c r="H110" i="133"/>
  <c r="J39" i="133"/>
  <c r="H39" i="133"/>
  <c r="I39" i="133"/>
  <c r="H38" i="133"/>
  <c r="J38" i="133" s="1"/>
  <c r="I38" i="133"/>
  <c r="I37" i="133"/>
  <c r="J37" i="133" s="1"/>
  <c r="I36" i="133"/>
  <c r="J36" i="133" s="1"/>
  <c r="H142" i="133"/>
  <c r="H236" i="133"/>
  <c r="H141" i="133"/>
  <c r="H76" i="133"/>
  <c r="H75" i="133"/>
  <c r="J74" i="133" l="1"/>
  <c r="H72" i="133"/>
  <c r="I30" i="133"/>
  <c r="J30" i="133"/>
  <c r="I31" i="133"/>
  <c r="I32" i="133"/>
  <c r="J32" i="133"/>
  <c r="I33" i="133"/>
  <c r="J33" i="133" s="1"/>
  <c r="I34" i="133"/>
  <c r="J34" i="133" s="1"/>
  <c r="I35" i="133"/>
  <c r="J35" i="133" s="1"/>
  <c r="H31" i="133"/>
  <c r="J76" i="133"/>
  <c r="J77" i="133"/>
  <c r="J72" i="133"/>
  <c r="J73" i="133"/>
  <c r="J75" i="133"/>
  <c r="H233" i="133"/>
  <c r="H139" i="133"/>
  <c r="J31" i="133" l="1"/>
  <c r="I29" i="133"/>
  <c r="J29" i="133" s="1"/>
  <c r="H28" i="133"/>
  <c r="I28" i="133"/>
  <c r="H105" i="133"/>
  <c r="H232" i="133"/>
  <c r="H231" i="133"/>
  <c r="H168" i="133"/>
  <c r="H135" i="133"/>
  <c r="H104" i="133"/>
  <c r="J28" i="133" l="1"/>
  <c r="H27" i="133"/>
  <c r="I27" i="133"/>
  <c r="J27" i="133" s="1"/>
  <c r="I26" i="133"/>
  <c r="J26" i="133" s="1"/>
  <c r="H103" i="133"/>
  <c r="I25" i="133"/>
  <c r="J25" i="133" s="1"/>
  <c r="I24" i="133"/>
  <c r="J24" i="133" s="1"/>
  <c r="H69" i="133"/>
  <c r="H230" i="133"/>
  <c r="H198" i="133"/>
  <c r="H133" i="133"/>
  <c r="H102" i="133"/>
  <c r="H23" i="133"/>
  <c r="I23" i="133"/>
  <c r="J23" i="133" s="1"/>
  <c r="J22" i="133"/>
  <c r="I22" i="133"/>
  <c r="I21" i="133" l="1"/>
  <c r="J21" i="133" s="1"/>
  <c r="W21" i="133" s="1"/>
  <c r="I20" i="133"/>
  <c r="J20" i="133" s="1"/>
  <c r="H101" i="133"/>
  <c r="H132" i="133"/>
  <c r="H228" i="133"/>
  <c r="H227" i="133"/>
  <c r="H196" i="133"/>
  <c r="H131" i="133"/>
  <c r="J131" i="133" s="1"/>
  <c r="V131" i="133" s="1"/>
  <c r="H100" i="133"/>
  <c r="H66" i="133"/>
  <c r="H19" i="133"/>
  <c r="I19" i="133"/>
  <c r="J19" i="133" s="1"/>
  <c r="H18" i="133"/>
  <c r="I18" i="133"/>
  <c r="J18" i="133" s="1"/>
  <c r="V18" i="133" s="1"/>
  <c r="J17" i="133"/>
  <c r="W17" i="133" s="1"/>
  <c r="I17" i="133"/>
  <c r="I16" i="133"/>
  <c r="J16" i="133" s="1"/>
  <c r="H65" i="133"/>
  <c r="H99" i="133"/>
  <c r="J99" i="133" s="1"/>
  <c r="W99" i="133" s="1"/>
  <c r="H130" i="133"/>
  <c r="H225" i="133"/>
  <c r="H194" i="133"/>
  <c r="I13" i="133"/>
  <c r="J13" i="133" s="1"/>
  <c r="I14" i="133"/>
  <c r="I15" i="133"/>
  <c r="I8" i="133"/>
  <c r="J8" i="133" s="1"/>
  <c r="I9" i="133"/>
  <c r="J9" i="133" s="1"/>
  <c r="I10" i="133"/>
  <c r="J10" i="133" s="1"/>
  <c r="W10" i="133" s="1"/>
  <c r="I11" i="133"/>
  <c r="J11" i="133" s="1"/>
  <c r="I12" i="133"/>
  <c r="H15" i="133"/>
  <c r="H14" i="133"/>
  <c r="H12" i="133"/>
  <c r="H13" i="133"/>
  <c r="H98" i="133"/>
  <c r="J98" i="133" s="1"/>
  <c r="W98" i="133" s="1"/>
  <c r="H128" i="133"/>
  <c r="H193" i="133"/>
  <c r="H223" i="133"/>
  <c r="H192" i="133"/>
  <c r="H127" i="133"/>
  <c r="H62" i="133"/>
  <c r="H126" i="133"/>
  <c r="H159" i="133"/>
  <c r="J159" i="133" s="1"/>
  <c r="H190" i="133"/>
  <c r="H222" i="133"/>
  <c r="J222" i="133" s="1"/>
  <c r="W222" i="133" s="1"/>
  <c r="H158" i="133"/>
  <c r="H60" i="133"/>
  <c r="J60" i="133" s="1"/>
  <c r="V60" i="133" s="1"/>
  <c r="J244" i="133"/>
  <c r="W244" i="133" s="1"/>
  <c r="J243" i="133"/>
  <c r="W243" i="133" s="1"/>
  <c r="J242" i="133"/>
  <c r="W242" i="133" s="1"/>
  <c r="J241" i="133"/>
  <c r="J240" i="133"/>
  <c r="V240" i="133" s="1"/>
  <c r="J239" i="133"/>
  <c r="W239" i="133" s="1"/>
  <c r="J238" i="133"/>
  <c r="J237" i="133"/>
  <c r="W237" i="133" s="1"/>
  <c r="J236" i="133"/>
  <c r="W236" i="133" s="1"/>
  <c r="J235" i="133"/>
  <c r="W235" i="133" s="1"/>
  <c r="J234" i="133"/>
  <c r="W234" i="133" s="1"/>
  <c r="J233" i="133"/>
  <c r="W233" i="133" s="1"/>
  <c r="J232" i="133"/>
  <c r="W232" i="133" s="1"/>
  <c r="J231" i="133"/>
  <c r="W231" i="133" s="1"/>
  <c r="J230" i="133"/>
  <c r="W230" i="133" s="1"/>
  <c r="J229" i="133"/>
  <c r="W229" i="133" s="1"/>
  <c r="J228" i="133"/>
  <c r="W228" i="133" s="1"/>
  <c r="J227" i="133"/>
  <c r="W227" i="133" s="1"/>
  <c r="J226" i="133"/>
  <c r="W226" i="133" s="1"/>
  <c r="J225" i="133"/>
  <c r="W225" i="133" s="1"/>
  <c r="J224" i="133"/>
  <c r="W224" i="133" s="1"/>
  <c r="J223" i="133"/>
  <c r="W223" i="133" s="1"/>
  <c r="B222" i="133"/>
  <c r="B223" i="133" s="1"/>
  <c r="B224" i="133" s="1"/>
  <c r="B225" i="133" s="1"/>
  <c r="B226" i="133" s="1"/>
  <c r="B227" i="133" s="1"/>
  <c r="B228" i="133" s="1"/>
  <c r="B229" i="133" s="1"/>
  <c r="B230" i="133" s="1"/>
  <c r="B231" i="133" s="1"/>
  <c r="B232" i="133" s="1"/>
  <c r="B233" i="133" s="1"/>
  <c r="B234" i="133" s="1"/>
  <c r="B235" i="133" s="1"/>
  <c r="B236" i="133" s="1"/>
  <c r="B237" i="133" s="1"/>
  <c r="B238" i="133" s="1"/>
  <c r="B239" i="133" s="1"/>
  <c r="B240" i="133" s="1"/>
  <c r="B241" i="133" s="1"/>
  <c r="B242" i="133" s="1"/>
  <c r="B243" i="133" s="1"/>
  <c r="B244" i="133" s="1"/>
  <c r="J221" i="133"/>
  <c r="V221" i="133" s="1"/>
  <c r="J212" i="133"/>
  <c r="V212" i="133" s="1"/>
  <c r="W209" i="133"/>
  <c r="W208" i="133"/>
  <c r="W207" i="133"/>
  <c r="W206" i="133"/>
  <c r="W205" i="133"/>
  <c r="V203" i="133"/>
  <c r="J202" i="133"/>
  <c r="V202" i="133" s="1"/>
  <c r="J201" i="133"/>
  <c r="V201" i="133" s="1"/>
  <c r="J200" i="133"/>
  <c r="J199" i="133"/>
  <c r="W199" i="133" s="1"/>
  <c r="J198" i="133"/>
  <c r="W198" i="133" s="1"/>
  <c r="J197" i="133"/>
  <c r="W197" i="133" s="1"/>
  <c r="J196" i="133"/>
  <c r="J195" i="133"/>
  <c r="V195" i="133" s="1"/>
  <c r="J194" i="133"/>
  <c r="V194" i="133" s="1"/>
  <c r="J193" i="133"/>
  <c r="J192" i="133"/>
  <c r="W192" i="133" s="1"/>
  <c r="J191" i="133"/>
  <c r="J190" i="133"/>
  <c r="V190" i="133" s="1"/>
  <c r="B190" i="133"/>
  <c r="B191" i="133" s="1"/>
  <c r="B192" i="133" s="1"/>
  <c r="B193" i="133" s="1"/>
  <c r="B194" i="133" s="1"/>
  <c r="B195" i="133" s="1"/>
  <c r="B196" i="133" s="1"/>
  <c r="B197" i="133" s="1"/>
  <c r="B198" i="133" s="1"/>
  <c r="B199" i="133" s="1"/>
  <c r="B200" i="133" s="1"/>
  <c r="B201" i="133" s="1"/>
  <c r="B202" i="133" s="1"/>
  <c r="B203" i="133" s="1"/>
  <c r="B204" i="133" s="1"/>
  <c r="B205" i="133" s="1"/>
  <c r="B206" i="133" s="1"/>
  <c r="B207" i="133" s="1"/>
  <c r="B208" i="133" s="1"/>
  <c r="B209" i="133" s="1"/>
  <c r="B210" i="133" s="1"/>
  <c r="J189" i="133"/>
  <c r="W189" i="133" s="1"/>
  <c r="J180" i="133"/>
  <c r="W180" i="133" s="1"/>
  <c r="J179" i="133"/>
  <c r="W179" i="133" s="1"/>
  <c r="J178" i="133"/>
  <c r="W178" i="133" s="1"/>
  <c r="J177" i="133"/>
  <c r="J176" i="133"/>
  <c r="V176" i="133" s="1"/>
  <c r="J175" i="133"/>
  <c r="J174" i="133"/>
  <c r="W174" i="133" s="1"/>
  <c r="J173" i="133"/>
  <c r="J172" i="133"/>
  <c r="V172" i="133" s="1"/>
  <c r="J171" i="133"/>
  <c r="J170" i="133"/>
  <c r="J169" i="133"/>
  <c r="W169" i="133" s="1"/>
  <c r="J168" i="133"/>
  <c r="W168" i="133" s="1"/>
  <c r="J167" i="133"/>
  <c r="V167" i="133" s="1"/>
  <c r="J166" i="133"/>
  <c r="V166" i="133" s="1"/>
  <c r="J165" i="133"/>
  <c r="W165" i="133" s="1"/>
  <c r="J164" i="133"/>
  <c r="J163" i="133"/>
  <c r="J162" i="133"/>
  <c r="J161" i="133"/>
  <c r="J160" i="133"/>
  <c r="B159" i="133"/>
  <c r="B160" i="133" s="1"/>
  <c r="B161" i="133" s="1"/>
  <c r="B162" i="133" s="1"/>
  <c r="B163" i="133" s="1"/>
  <c r="B164" i="133" s="1"/>
  <c r="B165" i="133" s="1"/>
  <c r="B166" i="133" s="1"/>
  <c r="B167" i="133" s="1"/>
  <c r="B168" i="133" s="1"/>
  <c r="B169" i="133" s="1"/>
  <c r="B170" i="133" s="1"/>
  <c r="B171" i="133" s="1"/>
  <c r="B172" i="133" s="1"/>
  <c r="B173" i="133" s="1"/>
  <c r="B174" i="133" s="1"/>
  <c r="B175" i="133" s="1"/>
  <c r="B176" i="133" s="1"/>
  <c r="B177" i="133" s="1"/>
  <c r="B178" i="133" s="1"/>
  <c r="B179" i="133" s="1"/>
  <c r="B180" i="133" s="1"/>
  <c r="J158" i="133"/>
  <c r="W158" i="133" s="1"/>
  <c r="J149" i="133"/>
  <c r="V149" i="133" s="1"/>
  <c r="J148" i="133"/>
  <c r="V148" i="133" s="1"/>
  <c r="J147" i="133"/>
  <c r="V147" i="133" s="1"/>
  <c r="J146" i="133"/>
  <c r="W146" i="133" s="1"/>
  <c r="J145" i="133"/>
  <c r="V145" i="133" s="1"/>
  <c r="J144" i="133"/>
  <c r="J143" i="133"/>
  <c r="J142" i="133"/>
  <c r="W142" i="133" s="1"/>
  <c r="J141" i="133"/>
  <c r="V141" i="133" s="1"/>
  <c r="J140" i="133"/>
  <c r="W140" i="133" s="1"/>
  <c r="J139" i="133"/>
  <c r="V139" i="133" s="1"/>
  <c r="J138" i="133"/>
  <c r="J137" i="133"/>
  <c r="W137" i="133" s="1"/>
  <c r="J136" i="133"/>
  <c r="W136" i="133" s="1"/>
  <c r="J135" i="133"/>
  <c r="V135" i="133" s="1"/>
  <c r="J134" i="133"/>
  <c r="W134" i="133" s="1"/>
  <c r="J133" i="133"/>
  <c r="V133" i="133" s="1"/>
  <c r="J132" i="133"/>
  <c r="J130" i="133"/>
  <c r="J129" i="133"/>
  <c r="V129" i="133" s="1"/>
  <c r="J128" i="133"/>
  <c r="W128" i="133" s="1"/>
  <c r="J127" i="133"/>
  <c r="J126" i="133"/>
  <c r="V126" i="133" s="1"/>
  <c r="B126" i="133"/>
  <c r="B127" i="133" s="1"/>
  <c r="B128" i="133" s="1"/>
  <c r="B129" i="133" s="1"/>
  <c r="B130" i="133" s="1"/>
  <c r="B131" i="133" s="1"/>
  <c r="B132" i="133" s="1"/>
  <c r="B133" i="133" s="1"/>
  <c r="B134" i="133" s="1"/>
  <c r="B135" i="133" s="1"/>
  <c r="B136" i="133" s="1"/>
  <c r="B137" i="133" s="1"/>
  <c r="B138" i="133" s="1"/>
  <c r="B139" i="133" s="1"/>
  <c r="B140" i="133" s="1"/>
  <c r="B141" i="133" s="1"/>
  <c r="B142" i="133" s="1"/>
  <c r="B143" i="133" s="1"/>
  <c r="B144" i="133" s="1"/>
  <c r="B145" i="133" s="1"/>
  <c r="B146" i="133" s="1"/>
  <c r="B147" i="133" s="1"/>
  <c r="B148" i="133" s="1"/>
  <c r="B149" i="133" s="1"/>
  <c r="J125" i="133"/>
  <c r="J116" i="133"/>
  <c r="V116" i="133" s="1"/>
  <c r="J115" i="133"/>
  <c r="V115" i="133" s="1"/>
  <c r="J114" i="133"/>
  <c r="V114" i="133" s="1"/>
  <c r="J113" i="133"/>
  <c r="V113" i="133" s="1"/>
  <c r="J112" i="133"/>
  <c r="V112" i="133" s="1"/>
  <c r="J111" i="133"/>
  <c r="V111" i="133" s="1"/>
  <c r="J110" i="133"/>
  <c r="V110" i="133" s="1"/>
  <c r="J109" i="133"/>
  <c r="V109" i="133" s="1"/>
  <c r="J108" i="133"/>
  <c r="V108" i="133" s="1"/>
  <c r="J107" i="133"/>
  <c r="V107" i="133" s="1"/>
  <c r="J106" i="133"/>
  <c r="W106" i="133" s="1"/>
  <c r="J105" i="133"/>
  <c r="W105" i="133" s="1"/>
  <c r="J104" i="133"/>
  <c r="J103" i="133"/>
  <c r="V103" i="133" s="1"/>
  <c r="J102" i="133"/>
  <c r="J101" i="133"/>
  <c r="V101" i="133" s="1"/>
  <c r="J100" i="133"/>
  <c r="V100" i="133" s="1"/>
  <c r="J97" i="133"/>
  <c r="W97" i="133" s="1"/>
  <c r="J96" i="133"/>
  <c r="W96" i="133" s="1"/>
  <c r="J95" i="133"/>
  <c r="W95" i="133" s="1"/>
  <c r="B95" i="133"/>
  <c r="B96" i="133" s="1"/>
  <c r="B97" i="133" s="1"/>
  <c r="B98" i="133" s="1"/>
  <c r="B99" i="133" s="1"/>
  <c r="B100" i="133" s="1"/>
  <c r="B101" i="133" s="1"/>
  <c r="B102" i="133" s="1"/>
  <c r="B103" i="133" s="1"/>
  <c r="B104" i="133" s="1"/>
  <c r="B105" i="133" s="1"/>
  <c r="B106" i="133" s="1"/>
  <c r="B107" i="133" s="1"/>
  <c r="B108" i="133" s="1"/>
  <c r="B109" i="133" s="1"/>
  <c r="B110" i="133" s="1"/>
  <c r="B111" i="133" s="1"/>
  <c r="B112" i="133" s="1"/>
  <c r="B113" i="133" s="1"/>
  <c r="B114" i="133" s="1"/>
  <c r="B115" i="133" s="1"/>
  <c r="B116" i="133" s="1"/>
  <c r="J94" i="133"/>
  <c r="J85" i="133"/>
  <c r="V85" i="133" s="1"/>
  <c r="J84" i="133"/>
  <c r="J83" i="133"/>
  <c r="J82" i="133"/>
  <c r="W82" i="133" s="1"/>
  <c r="J81" i="133"/>
  <c r="J80" i="133"/>
  <c r="J79" i="133"/>
  <c r="V79" i="133" s="1"/>
  <c r="J78" i="133"/>
  <c r="V77" i="133"/>
  <c r="V76" i="133"/>
  <c r="V75" i="133"/>
  <c r="W74" i="133"/>
  <c r="V72" i="133"/>
  <c r="J71" i="133"/>
  <c r="V71" i="133" s="1"/>
  <c r="J70" i="133"/>
  <c r="V70" i="133" s="1"/>
  <c r="J69" i="133"/>
  <c r="J68" i="133"/>
  <c r="V68" i="133" s="1"/>
  <c r="J67" i="133"/>
  <c r="W67" i="133" s="1"/>
  <c r="J66" i="133"/>
  <c r="J65" i="133"/>
  <c r="V65" i="133" s="1"/>
  <c r="J64" i="133"/>
  <c r="J63" i="133"/>
  <c r="V63" i="133" s="1"/>
  <c r="J62" i="133"/>
  <c r="W62" i="133" s="1"/>
  <c r="B62" i="133"/>
  <c r="B63" i="133" s="1"/>
  <c r="B64" i="133" s="1"/>
  <c r="B65" i="133" s="1"/>
  <c r="B66" i="133" s="1"/>
  <c r="B67" i="133" s="1"/>
  <c r="B68" i="133" s="1"/>
  <c r="B69" i="133" s="1"/>
  <c r="B70" i="133" s="1"/>
  <c r="B71" i="133" s="1"/>
  <c r="B72" i="133" s="1"/>
  <c r="B73" i="133" s="1"/>
  <c r="B74" i="133" s="1"/>
  <c r="B75" i="133" s="1"/>
  <c r="B76" i="133" s="1"/>
  <c r="B77" i="133" s="1"/>
  <c r="B78" i="133" s="1"/>
  <c r="B79" i="133" s="1"/>
  <c r="B80" i="133" s="1"/>
  <c r="B81" i="133" s="1"/>
  <c r="B82" i="133" s="1"/>
  <c r="J61" i="133"/>
  <c r="B61" i="133"/>
  <c r="W51" i="133"/>
  <c r="V51" i="133"/>
  <c r="W50" i="133"/>
  <c r="V50" i="133"/>
  <c r="W49" i="133"/>
  <c r="V49" i="133"/>
  <c r="W48" i="133"/>
  <c r="V48" i="133"/>
  <c r="V46" i="133"/>
  <c r="W45" i="133"/>
  <c r="V45" i="133"/>
  <c r="V43" i="133"/>
  <c r="W39" i="133"/>
  <c r="V39" i="133"/>
  <c r="V37" i="133"/>
  <c r="V35" i="133"/>
  <c r="W34" i="133"/>
  <c r="V34" i="133"/>
  <c r="W31" i="133"/>
  <c r="V31" i="133"/>
  <c r="W28" i="133"/>
  <c r="W27" i="133"/>
  <c r="V27" i="133"/>
  <c r="W25" i="133"/>
  <c r="W23" i="133"/>
  <c r="N16" i="133"/>
  <c r="N14" i="133"/>
  <c r="N12" i="133"/>
  <c r="N10" i="133"/>
  <c r="N8" i="133"/>
  <c r="I7" i="133"/>
  <c r="J7" i="133" s="1"/>
  <c r="W7" i="133" s="1"/>
  <c r="B7" i="133"/>
  <c r="B8" i="133" s="1"/>
  <c r="B9" i="133" s="1"/>
  <c r="B10" i="133" s="1"/>
  <c r="B11" i="133" s="1"/>
  <c r="B12" i="133" s="1"/>
  <c r="B13" i="133" s="1"/>
  <c r="B14" i="133" s="1"/>
  <c r="B15" i="133" s="1"/>
  <c r="B16" i="133" s="1"/>
  <c r="B17" i="133" s="1"/>
  <c r="B18" i="133" s="1"/>
  <c r="B19" i="133" s="1"/>
  <c r="B20" i="133" s="1"/>
  <c r="B21" i="133" s="1"/>
  <c r="B22" i="133" s="1"/>
  <c r="B23" i="133" s="1"/>
  <c r="B24" i="133" s="1"/>
  <c r="B25" i="133" s="1"/>
  <c r="B26" i="133" s="1"/>
  <c r="B27" i="133" s="1"/>
  <c r="B28" i="133" s="1"/>
  <c r="B29" i="133" s="1"/>
  <c r="B30" i="133" s="1"/>
  <c r="B31" i="133" s="1"/>
  <c r="B32" i="133" s="1"/>
  <c r="B33" i="133" s="1"/>
  <c r="B34" i="133" s="1"/>
  <c r="B35" i="133" s="1"/>
  <c r="B36" i="133" s="1"/>
  <c r="B37" i="133" s="1"/>
  <c r="B38" i="133" s="1"/>
  <c r="B39" i="133" s="1"/>
  <c r="B40" i="133" s="1"/>
  <c r="B41" i="133" s="1"/>
  <c r="B42" i="133" s="1"/>
  <c r="B43" i="133" s="1"/>
  <c r="B44" i="133" s="1"/>
  <c r="B45" i="133" s="1"/>
  <c r="B46" i="133" s="1"/>
  <c r="B47" i="133" s="1"/>
  <c r="B48" i="133" s="1"/>
  <c r="B49" i="133" s="1"/>
  <c r="B50" i="133" s="1"/>
  <c r="B51" i="133" s="1"/>
  <c r="N6" i="133"/>
  <c r="I6" i="133"/>
  <c r="J6" i="133" s="1"/>
  <c r="N4" i="133"/>
  <c r="V243" i="133" l="1"/>
  <c r="J12" i="133"/>
  <c r="W133" i="133"/>
  <c r="J15" i="133"/>
  <c r="V15" i="133" s="1"/>
  <c r="V244" i="133"/>
  <c r="J14" i="133"/>
  <c r="V82" i="133"/>
  <c r="W212" i="133"/>
  <c r="V17" i="133"/>
  <c r="W194" i="133"/>
  <c r="W240" i="133"/>
  <c r="W176" i="133"/>
  <c r="V146" i="133"/>
  <c r="V140" i="133"/>
  <c r="V105" i="133"/>
  <c r="W166" i="133"/>
  <c r="V227" i="133"/>
  <c r="V99" i="133"/>
  <c r="W195" i="133"/>
  <c r="V226" i="133"/>
  <c r="V225" i="133"/>
  <c r="V98" i="133"/>
  <c r="V97" i="133"/>
  <c r="V128" i="133"/>
  <c r="V224" i="133"/>
  <c r="V223" i="133"/>
  <c r="V96" i="133"/>
  <c r="V95" i="133"/>
  <c r="V239" i="133"/>
  <c r="J245" i="133"/>
  <c r="V222" i="133"/>
  <c r="V242" i="133"/>
  <c r="W190" i="133"/>
  <c r="V198" i="133"/>
  <c r="W201" i="133"/>
  <c r="W203" i="133"/>
  <c r="V197" i="133"/>
  <c r="W202" i="133"/>
  <c r="V165" i="133"/>
  <c r="V169" i="133"/>
  <c r="W172" i="133"/>
  <c r="V178" i="133"/>
  <c r="W167" i="133"/>
  <c r="V134" i="133"/>
  <c r="W139" i="133"/>
  <c r="W141" i="133"/>
  <c r="W129" i="133"/>
  <c r="V137" i="133"/>
  <c r="V142" i="133"/>
  <c r="V106" i="133"/>
  <c r="W103" i="133"/>
  <c r="V74" i="133"/>
  <c r="W76" i="133"/>
  <c r="W75" i="133"/>
  <c r="W77" i="133"/>
  <c r="W68" i="133"/>
  <c r="W63" i="133"/>
  <c r="N18" i="133"/>
  <c r="V67" i="133"/>
  <c r="V62" i="133"/>
  <c r="W12" i="133"/>
  <c r="V12" i="133"/>
  <c r="W16" i="133"/>
  <c r="V16" i="133"/>
  <c r="W19" i="133"/>
  <c r="V19" i="133"/>
  <c r="W24" i="133"/>
  <c r="V24" i="133"/>
  <c r="V8" i="133"/>
  <c r="W8" i="133"/>
  <c r="W26" i="133"/>
  <c r="V26" i="133"/>
  <c r="V29" i="133"/>
  <c r="W29" i="133"/>
  <c r="W13" i="133"/>
  <c r="V13" i="133"/>
  <c r="V6" i="133"/>
  <c r="W6" i="133"/>
  <c r="W9" i="133"/>
  <c r="V9" i="133"/>
  <c r="V11" i="133"/>
  <c r="W11" i="133"/>
  <c r="W14" i="133"/>
  <c r="V14" i="133"/>
  <c r="W20" i="133"/>
  <c r="V20" i="133"/>
  <c r="W22" i="133"/>
  <c r="V22" i="133"/>
  <c r="W18" i="133"/>
  <c r="V32" i="133"/>
  <c r="W32" i="133"/>
  <c r="W47" i="133"/>
  <c r="V47" i="133"/>
  <c r="W61" i="133"/>
  <c r="V61" i="133"/>
  <c r="W69" i="133"/>
  <c r="V69" i="133"/>
  <c r="W102" i="133"/>
  <c r="V102" i="133"/>
  <c r="W104" i="133"/>
  <c r="V104" i="133"/>
  <c r="J150" i="133"/>
  <c r="W125" i="133"/>
  <c r="V125" i="133"/>
  <c r="W127" i="133"/>
  <c r="V127" i="133"/>
  <c r="V144" i="133"/>
  <c r="W144" i="133"/>
  <c r="V7" i="133"/>
  <c r="W30" i="133"/>
  <c r="V30" i="133"/>
  <c r="W33" i="133"/>
  <c r="V33" i="133"/>
  <c r="W36" i="133"/>
  <c r="V36" i="133"/>
  <c r="W42" i="133"/>
  <c r="V42" i="133"/>
  <c r="W44" i="133"/>
  <c r="V44" i="133"/>
  <c r="W73" i="133"/>
  <c r="V73" i="133"/>
  <c r="W94" i="133"/>
  <c r="V94" i="133"/>
  <c r="J117" i="133"/>
  <c r="W132" i="133"/>
  <c r="V132" i="133"/>
  <c r="V138" i="133"/>
  <c r="W138" i="133"/>
  <c r="V10" i="133"/>
  <c r="V21" i="133"/>
  <c r="V23" i="133"/>
  <c r="V25" i="133"/>
  <c r="V28" i="133"/>
  <c r="W38" i="133"/>
  <c r="V38" i="133"/>
  <c r="W40" i="133"/>
  <c r="V40" i="133"/>
  <c r="W66" i="133"/>
  <c r="V66" i="133"/>
  <c r="W80" i="133"/>
  <c r="V80" i="133"/>
  <c r="W130" i="133"/>
  <c r="V130" i="133"/>
  <c r="W41" i="133"/>
  <c r="V41" i="133"/>
  <c r="W64" i="133"/>
  <c r="V64" i="133"/>
  <c r="W78" i="133"/>
  <c r="V78" i="133"/>
  <c r="W143" i="133"/>
  <c r="V143" i="133"/>
  <c r="W35" i="133"/>
  <c r="W37" i="133"/>
  <c r="W43" i="133"/>
  <c r="W46" i="133"/>
  <c r="W60" i="133"/>
  <c r="W65" i="133"/>
  <c r="W70" i="133"/>
  <c r="W71" i="133"/>
  <c r="W72" i="133"/>
  <c r="W79" i="133"/>
  <c r="W85" i="133"/>
  <c r="W100" i="133"/>
  <c r="W101" i="133"/>
  <c r="W107" i="133"/>
  <c r="W108" i="133"/>
  <c r="W109" i="133"/>
  <c r="W110" i="133"/>
  <c r="W111" i="133"/>
  <c r="W112" i="133"/>
  <c r="W113" i="133"/>
  <c r="W114" i="133"/>
  <c r="W115" i="133"/>
  <c r="W116" i="133"/>
  <c r="W126" i="133"/>
  <c r="W131" i="133"/>
  <c r="W135" i="133"/>
  <c r="W145" i="133"/>
  <c r="W159" i="133"/>
  <c r="V159" i="133"/>
  <c r="W163" i="133"/>
  <c r="V163" i="133"/>
  <c r="J213" i="133"/>
  <c r="W193" i="133"/>
  <c r="V193" i="133"/>
  <c r="W210" i="133"/>
  <c r="V210" i="133"/>
  <c r="J86" i="133"/>
  <c r="W148" i="133"/>
  <c r="J181" i="133"/>
  <c r="V158" i="133"/>
  <c r="W160" i="133"/>
  <c r="V160" i="133"/>
  <c r="W164" i="133"/>
  <c r="V164" i="133"/>
  <c r="V168" i="133"/>
  <c r="W170" i="133"/>
  <c r="V170" i="133"/>
  <c r="V191" i="133"/>
  <c r="W191" i="133"/>
  <c r="W200" i="133"/>
  <c r="V200" i="133"/>
  <c r="V204" i="133"/>
  <c r="W204" i="133"/>
  <c r="V241" i="133"/>
  <c r="W241" i="133"/>
  <c r="W161" i="133"/>
  <c r="V161" i="133"/>
  <c r="W171" i="133"/>
  <c r="V171" i="133"/>
  <c r="W175" i="133"/>
  <c r="V175" i="133"/>
  <c r="V177" i="133"/>
  <c r="W177" i="133"/>
  <c r="V196" i="133"/>
  <c r="W196" i="133"/>
  <c r="W238" i="133"/>
  <c r="V238" i="133"/>
  <c r="V136" i="133"/>
  <c r="W147" i="133"/>
  <c r="W149" i="133"/>
  <c r="W162" i="133"/>
  <c r="V162" i="133"/>
  <c r="V173" i="133"/>
  <c r="W173" i="133"/>
  <c r="V174" i="133"/>
  <c r="V179" i="133"/>
  <c r="V180" i="133"/>
  <c r="V192" i="133"/>
  <c r="V199" i="133"/>
  <c r="V205" i="133"/>
  <c r="V206" i="133"/>
  <c r="V207" i="133"/>
  <c r="V208" i="133"/>
  <c r="V209" i="133"/>
  <c r="W221" i="133"/>
  <c r="V228" i="133"/>
  <c r="V229" i="133"/>
  <c r="V230" i="133"/>
  <c r="V231" i="133"/>
  <c r="V232" i="133"/>
  <c r="V233" i="133"/>
  <c r="V234" i="133"/>
  <c r="V235" i="133"/>
  <c r="V236" i="133"/>
  <c r="V237" i="133"/>
  <c r="V189" i="133"/>
  <c r="H240" i="132"/>
  <c r="H239" i="132"/>
  <c r="H210" i="132"/>
  <c r="H179" i="132"/>
  <c r="H177" i="132"/>
  <c r="H146" i="132"/>
  <c r="H145" i="132"/>
  <c r="H80" i="132"/>
  <c r="H79" i="132"/>
  <c r="H47" i="132"/>
  <c r="I47" i="132"/>
  <c r="J47" i="132" s="1"/>
  <c r="H46" i="132"/>
  <c r="J46" i="132" s="1"/>
  <c r="I46" i="132"/>
  <c r="J45" i="132"/>
  <c r="I45" i="132"/>
  <c r="I44" i="132"/>
  <c r="J44" i="132" s="1"/>
  <c r="I43" i="132"/>
  <c r="J43" i="132" s="1"/>
  <c r="H42" i="132"/>
  <c r="J42" i="132" s="1"/>
  <c r="I42" i="132"/>
  <c r="J52" i="133" l="1"/>
  <c r="V117" i="133"/>
  <c r="O8" i="133" s="1"/>
  <c r="W15" i="133"/>
  <c r="V245" i="133"/>
  <c r="O16" i="133" s="1"/>
  <c r="R16" i="133" s="1"/>
  <c r="W181" i="133"/>
  <c r="P12" i="133" s="1"/>
  <c r="W245" i="133"/>
  <c r="P16" i="133" s="1"/>
  <c r="W213" i="133"/>
  <c r="P14" i="133" s="1"/>
  <c r="V213" i="133"/>
  <c r="O14" i="133" s="1"/>
  <c r="R14" i="133" s="1"/>
  <c r="V86" i="133"/>
  <c r="O6" i="133" s="1"/>
  <c r="R6" i="133" s="1"/>
  <c r="R8" i="133"/>
  <c r="W150" i="133"/>
  <c r="P10" i="133" s="1"/>
  <c r="W117" i="133"/>
  <c r="P8" i="133" s="1"/>
  <c r="Q8" i="133" s="1"/>
  <c r="W52" i="133"/>
  <c r="P4" i="133" s="1"/>
  <c r="W86" i="133"/>
  <c r="P6" i="133" s="1"/>
  <c r="V52" i="133"/>
  <c r="O4" i="133" s="1"/>
  <c r="V181" i="133"/>
  <c r="O12" i="133" s="1"/>
  <c r="V150" i="133"/>
  <c r="O10" i="133" s="1"/>
  <c r="H237" i="132"/>
  <c r="H176" i="132"/>
  <c r="H144" i="132"/>
  <c r="H78" i="132"/>
  <c r="H41" i="132"/>
  <c r="J41" i="132" s="1"/>
  <c r="I41" i="132"/>
  <c r="I40" i="132"/>
  <c r="J40" i="132" s="1"/>
  <c r="P18" i="133" l="1"/>
  <c r="Q6" i="133"/>
  <c r="Q14" i="133"/>
  <c r="Q10" i="133"/>
  <c r="R10" i="133"/>
  <c r="R12" i="133"/>
  <c r="Q12" i="133"/>
  <c r="O18" i="133"/>
  <c r="R18" i="133" s="1"/>
  <c r="P20" i="133" s="1"/>
  <c r="R4" i="133"/>
  <c r="Q4" i="133"/>
  <c r="H143" i="132"/>
  <c r="H205" i="132"/>
  <c r="H204" i="132"/>
  <c r="H175" i="132"/>
  <c r="H172" i="132"/>
  <c r="H174" i="132"/>
  <c r="H173" i="132"/>
  <c r="H140" i="132"/>
  <c r="H139" i="132"/>
  <c r="H107" i="132"/>
  <c r="H75" i="132"/>
  <c r="J34" i="132"/>
  <c r="J38" i="132"/>
  <c r="I39" i="132"/>
  <c r="J39" i="132" s="1"/>
  <c r="I38" i="132"/>
  <c r="H37" i="132"/>
  <c r="J37" i="132" s="1"/>
  <c r="I37" i="132"/>
  <c r="H36" i="132"/>
  <c r="J36" i="132" s="1"/>
  <c r="I36" i="132"/>
  <c r="H35" i="132"/>
  <c r="J35" i="132" s="1"/>
  <c r="I35" i="132"/>
  <c r="I34" i="132"/>
  <c r="I33" i="132"/>
  <c r="J33" i="132" s="1"/>
  <c r="H32" i="132"/>
  <c r="J32" i="132" s="1"/>
  <c r="I32" i="132"/>
  <c r="Q18" i="133" l="1"/>
  <c r="J29" i="132"/>
  <c r="I31" i="132"/>
  <c r="J31" i="132" s="1"/>
  <c r="I30" i="132"/>
  <c r="J30" i="132" s="1"/>
  <c r="H29" i="132"/>
  <c r="I29" i="132"/>
  <c r="I28" i="132"/>
  <c r="J28" i="132" s="1"/>
  <c r="I27" i="132"/>
  <c r="J27" i="132" s="1"/>
  <c r="H26" i="132"/>
  <c r="J26" i="132" s="1"/>
  <c r="I26" i="132"/>
  <c r="H25" i="132"/>
  <c r="I25" i="132"/>
  <c r="J25" i="132" s="1"/>
  <c r="H24" i="132"/>
  <c r="I24" i="132"/>
  <c r="J24" i="132" s="1"/>
  <c r="H23" i="132"/>
  <c r="J23" i="132" s="1"/>
  <c r="I23" i="132"/>
  <c r="H22" i="132"/>
  <c r="J22" i="132" s="1"/>
  <c r="I22" i="132"/>
  <c r="H73" i="132"/>
  <c r="H70" i="132"/>
  <c r="H69" i="132"/>
  <c r="H104" i="132" l="1"/>
  <c r="H103" i="132"/>
  <c r="H102" i="132"/>
  <c r="H138" i="132"/>
  <c r="H136" i="132"/>
  <c r="H171" i="132"/>
  <c r="H170" i="132"/>
  <c r="H168" i="132"/>
  <c r="H201" i="132"/>
  <c r="H200" i="132"/>
  <c r="H199" i="132"/>
  <c r="H227" i="132" l="1"/>
  <c r="H196" i="132"/>
  <c r="H166" i="132"/>
  <c r="H133" i="132"/>
  <c r="H132" i="132"/>
  <c r="H100" i="132"/>
  <c r="H68" i="132"/>
  <c r="H21" i="132"/>
  <c r="J21" i="132" s="1"/>
  <c r="I21" i="132"/>
  <c r="H20" i="132"/>
  <c r="J20" i="132" s="1"/>
  <c r="I20" i="132"/>
  <c r="H19" i="132"/>
  <c r="I19" i="132"/>
  <c r="J19" i="132" s="1"/>
  <c r="I18" i="132"/>
  <c r="J18" i="132" s="1"/>
  <c r="H193" i="132" l="1"/>
  <c r="H194" i="132"/>
  <c r="H164" i="132"/>
  <c r="H131" i="132"/>
  <c r="H130" i="132"/>
  <c r="H66" i="132"/>
  <c r="H65" i="132"/>
  <c r="I17" i="132"/>
  <c r="J17" i="132" s="1"/>
  <c r="I16" i="132"/>
  <c r="J16" i="132" s="1"/>
  <c r="H15" i="132"/>
  <c r="J15" i="132" s="1"/>
  <c r="I15" i="132"/>
  <c r="H14" i="132"/>
  <c r="J14" i="132" s="1"/>
  <c r="I14" i="132"/>
  <c r="H192" i="132" l="1"/>
  <c r="H129" i="132"/>
  <c r="H64" i="132"/>
  <c r="H191" i="132" l="1"/>
  <c r="H127" i="132"/>
  <c r="H126" i="132"/>
  <c r="H125" i="132"/>
  <c r="H94" i="132"/>
  <c r="H63" i="132"/>
  <c r="H61" i="132"/>
  <c r="I8" i="132"/>
  <c r="J8" i="132" s="1"/>
  <c r="I9" i="132"/>
  <c r="J9" i="132"/>
  <c r="I10" i="132"/>
  <c r="J10" i="132" s="1"/>
  <c r="I11" i="132"/>
  <c r="J11" i="132" s="1"/>
  <c r="I12" i="132"/>
  <c r="J12" i="132" s="1"/>
  <c r="W12" i="132" s="1"/>
  <c r="I13" i="132"/>
  <c r="J13" i="132"/>
  <c r="H7" i="132"/>
  <c r="H6" i="132"/>
  <c r="W243" i="132"/>
  <c r="V243" i="132"/>
  <c r="J243" i="132"/>
  <c r="J242" i="132"/>
  <c r="W242" i="132" s="1"/>
  <c r="J241" i="132"/>
  <c r="W241" i="132" s="1"/>
  <c r="W240" i="132"/>
  <c r="J240" i="132"/>
  <c r="V240" i="132" s="1"/>
  <c r="J239" i="132"/>
  <c r="W239" i="132" s="1"/>
  <c r="J238" i="132"/>
  <c r="W238" i="132" s="1"/>
  <c r="J237" i="132"/>
  <c r="W237" i="132" s="1"/>
  <c r="J236" i="132"/>
  <c r="V236" i="132" s="1"/>
  <c r="J235" i="132"/>
  <c r="W235" i="132" s="1"/>
  <c r="J234" i="132"/>
  <c r="V234" i="132" s="1"/>
  <c r="J233" i="132"/>
  <c r="V233" i="132" s="1"/>
  <c r="J232" i="132"/>
  <c r="J231" i="132"/>
  <c r="J230" i="132"/>
  <c r="W230" i="132" s="1"/>
  <c r="J229" i="132"/>
  <c r="W229" i="132" s="1"/>
  <c r="J228" i="132"/>
  <c r="W228" i="132" s="1"/>
  <c r="J227" i="132"/>
  <c r="W227" i="132" s="1"/>
  <c r="J226" i="132"/>
  <c r="W226" i="132" s="1"/>
  <c r="J225" i="132"/>
  <c r="J224" i="132"/>
  <c r="J223" i="132"/>
  <c r="W223" i="132" s="1"/>
  <c r="V222" i="132"/>
  <c r="J222" i="132"/>
  <c r="W222" i="132" s="1"/>
  <c r="J221" i="132"/>
  <c r="W221" i="132" s="1"/>
  <c r="B221" i="132"/>
  <c r="B222" i="132" s="1"/>
  <c r="B223" i="132" s="1"/>
  <c r="B224" i="132" s="1"/>
  <c r="B225" i="132" s="1"/>
  <c r="B226" i="132" s="1"/>
  <c r="B227" i="132" s="1"/>
  <c r="B228" i="132" s="1"/>
  <c r="B229" i="132" s="1"/>
  <c r="B230" i="132" s="1"/>
  <c r="B231" i="132" s="1"/>
  <c r="B232" i="132" s="1"/>
  <c r="B233" i="132" s="1"/>
  <c r="B234" i="132" s="1"/>
  <c r="B235" i="132" s="1"/>
  <c r="B236" i="132" s="1"/>
  <c r="B237" i="132" s="1"/>
  <c r="B238" i="132" s="1"/>
  <c r="B239" i="132" s="1"/>
  <c r="B240" i="132" s="1"/>
  <c r="B241" i="132" s="1"/>
  <c r="B242" i="132" s="1"/>
  <c r="B243" i="132" s="1"/>
  <c r="J220" i="132"/>
  <c r="W220" i="132" s="1"/>
  <c r="J211" i="132"/>
  <c r="W211" i="132" s="1"/>
  <c r="J210" i="132"/>
  <c r="W210" i="132" s="1"/>
  <c r="V209" i="132"/>
  <c r="J209" i="132"/>
  <c r="W209" i="132" s="1"/>
  <c r="J208" i="132"/>
  <c r="W208" i="132" s="1"/>
  <c r="J207" i="132"/>
  <c r="W207" i="132" s="1"/>
  <c r="J206" i="132"/>
  <c r="W206" i="132" s="1"/>
  <c r="J205" i="132"/>
  <c r="W205" i="132" s="1"/>
  <c r="J204" i="132"/>
  <c r="W204" i="132" s="1"/>
  <c r="J203" i="132"/>
  <c r="W203" i="132" s="1"/>
  <c r="J202" i="132"/>
  <c r="W202" i="132" s="1"/>
  <c r="J201" i="132"/>
  <c r="W201" i="132" s="1"/>
  <c r="J200" i="132"/>
  <c r="W200" i="132" s="1"/>
  <c r="J199" i="132"/>
  <c r="W199" i="132" s="1"/>
  <c r="J198" i="132"/>
  <c r="W198" i="132" s="1"/>
  <c r="J197" i="132"/>
  <c r="V197" i="132" s="1"/>
  <c r="J196" i="132"/>
  <c r="W196" i="132" s="1"/>
  <c r="J195" i="132"/>
  <c r="V195" i="132" s="1"/>
  <c r="J194" i="132"/>
  <c r="J193" i="132"/>
  <c r="W193" i="132" s="1"/>
  <c r="J192" i="132"/>
  <c r="J191" i="132"/>
  <c r="W191" i="132" s="1"/>
  <c r="B191" i="132"/>
  <c r="B192" i="132" s="1"/>
  <c r="B193" i="132" s="1"/>
  <c r="B194" i="132" s="1"/>
  <c r="B195" i="132" s="1"/>
  <c r="B196" i="132" s="1"/>
  <c r="B197" i="132" s="1"/>
  <c r="B198" i="132" s="1"/>
  <c r="B199" i="132" s="1"/>
  <c r="B200" i="132" s="1"/>
  <c r="B201" i="132" s="1"/>
  <c r="B202" i="132" s="1"/>
  <c r="B203" i="132" s="1"/>
  <c r="B204" i="132" s="1"/>
  <c r="B205" i="132" s="1"/>
  <c r="B206" i="132" s="1"/>
  <c r="B207" i="132" s="1"/>
  <c r="B208" i="132" s="1"/>
  <c r="B209" i="132" s="1"/>
  <c r="B210" i="132" s="1"/>
  <c r="B211" i="132" s="1"/>
  <c r="J190" i="132"/>
  <c r="W190" i="132" s="1"/>
  <c r="B190" i="132"/>
  <c r="J189" i="132"/>
  <c r="V189" i="132" s="1"/>
  <c r="J180" i="132"/>
  <c r="W180" i="132" s="1"/>
  <c r="J179" i="132"/>
  <c r="W179" i="132" s="1"/>
  <c r="J178" i="132"/>
  <c r="W178" i="132" s="1"/>
  <c r="J177" i="132"/>
  <c r="W177" i="132" s="1"/>
  <c r="J176" i="132"/>
  <c r="W176" i="132" s="1"/>
  <c r="J175" i="132"/>
  <c r="W175" i="132" s="1"/>
  <c r="J174" i="132"/>
  <c r="W174" i="132" s="1"/>
  <c r="J173" i="132"/>
  <c r="W173" i="132" s="1"/>
  <c r="J172" i="132"/>
  <c r="W172" i="132" s="1"/>
  <c r="J171" i="132"/>
  <c r="W171" i="132" s="1"/>
  <c r="J170" i="132"/>
  <c r="W170" i="132" s="1"/>
  <c r="J169" i="132"/>
  <c r="V169" i="132" s="1"/>
  <c r="J168" i="132"/>
  <c r="W168" i="132" s="1"/>
  <c r="J167" i="132"/>
  <c r="W167" i="132" s="1"/>
  <c r="J166" i="132"/>
  <c r="V166" i="132" s="1"/>
  <c r="J165" i="132"/>
  <c r="V165" i="132" s="1"/>
  <c r="J164" i="132"/>
  <c r="V164" i="132" s="1"/>
  <c r="J163" i="132"/>
  <c r="J162" i="132"/>
  <c r="J161" i="132"/>
  <c r="J160" i="132"/>
  <c r="J159" i="132"/>
  <c r="B159" i="132"/>
  <c r="B160" i="132" s="1"/>
  <c r="B161" i="132" s="1"/>
  <c r="B162" i="132" s="1"/>
  <c r="B163" i="132" s="1"/>
  <c r="B164" i="132" s="1"/>
  <c r="B165" i="132" s="1"/>
  <c r="B166" i="132" s="1"/>
  <c r="B167" i="132" s="1"/>
  <c r="B168" i="132" s="1"/>
  <c r="B169" i="132" s="1"/>
  <c r="B170" i="132" s="1"/>
  <c r="B171" i="132" s="1"/>
  <c r="B172" i="132" s="1"/>
  <c r="B173" i="132" s="1"/>
  <c r="B174" i="132" s="1"/>
  <c r="B175" i="132" s="1"/>
  <c r="B176" i="132" s="1"/>
  <c r="B177" i="132" s="1"/>
  <c r="B178" i="132" s="1"/>
  <c r="B179" i="132" s="1"/>
  <c r="B180" i="132" s="1"/>
  <c r="J158" i="132"/>
  <c r="J149" i="132"/>
  <c r="W149" i="132" s="1"/>
  <c r="W148" i="132"/>
  <c r="J148" i="132"/>
  <c r="V148" i="132" s="1"/>
  <c r="J147" i="132"/>
  <c r="W147" i="132" s="1"/>
  <c r="J146" i="132"/>
  <c r="W146" i="132" s="1"/>
  <c r="J145" i="132"/>
  <c r="V145" i="132" s="1"/>
  <c r="J144" i="132"/>
  <c r="W144" i="132" s="1"/>
  <c r="J143" i="132"/>
  <c r="J142" i="132"/>
  <c r="V142" i="132" s="1"/>
  <c r="J141" i="132"/>
  <c r="W141" i="132" s="1"/>
  <c r="J140" i="132"/>
  <c r="W140" i="132" s="1"/>
  <c r="J139" i="132"/>
  <c r="J138" i="132"/>
  <c r="W138" i="132" s="1"/>
  <c r="J137" i="132"/>
  <c r="W137" i="132" s="1"/>
  <c r="J136" i="132"/>
  <c r="J135" i="132"/>
  <c r="J134" i="132"/>
  <c r="J133" i="132"/>
  <c r="V133" i="132" s="1"/>
  <c r="J132" i="132"/>
  <c r="J131" i="132"/>
  <c r="V131" i="132" s="1"/>
  <c r="J130" i="132"/>
  <c r="V130" i="132" s="1"/>
  <c r="J129" i="132"/>
  <c r="V129" i="132" s="1"/>
  <c r="J128" i="132"/>
  <c r="J127" i="132"/>
  <c r="V127" i="132" s="1"/>
  <c r="J126" i="132"/>
  <c r="V126" i="132" s="1"/>
  <c r="B126" i="132"/>
  <c r="B127" i="132" s="1"/>
  <c r="B128" i="132" s="1"/>
  <c r="B129" i="132" s="1"/>
  <c r="B130" i="132" s="1"/>
  <c r="B131" i="132" s="1"/>
  <c r="B132" i="132" s="1"/>
  <c r="B133" i="132" s="1"/>
  <c r="B134" i="132" s="1"/>
  <c r="B135" i="132" s="1"/>
  <c r="B136" i="132" s="1"/>
  <c r="B137" i="132" s="1"/>
  <c r="B138" i="132" s="1"/>
  <c r="B139" i="132" s="1"/>
  <c r="B140" i="132" s="1"/>
  <c r="B141" i="132" s="1"/>
  <c r="B142" i="132" s="1"/>
  <c r="B143" i="132" s="1"/>
  <c r="B144" i="132" s="1"/>
  <c r="B145" i="132" s="1"/>
  <c r="B146" i="132" s="1"/>
  <c r="B147" i="132" s="1"/>
  <c r="B148" i="132" s="1"/>
  <c r="B149" i="132" s="1"/>
  <c r="J125" i="132"/>
  <c r="W125" i="132" s="1"/>
  <c r="J116" i="132"/>
  <c r="V116" i="132" s="1"/>
  <c r="J115" i="132"/>
  <c r="V115" i="132" s="1"/>
  <c r="J114" i="132"/>
  <c r="V114" i="132" s="1"/>
  <c r="J113" i="132"/>
  <c r="V113" i="132" s="1"/>
  <c r="J112" i="132"/>
  <c r="V112" i="132" s="1"/>
  <c r="W111" i="132"/>
  <c r="J111" i="132"/>
  <c r="V111" i="132" s="1"/>
  <c r="J110" i="132"/>
  <c r="V110" i="132" s="1"/>
  <c r="J109" i="132"/>
  <c r="V109" i="132" s="1"/>
  <c r="J108" i="132"/>
  <c r="V108" i="132" s="1"/>
  <c r="J107" i="132"/>
  <c r="V107" i="132" s="1"/>
  <c r="J106" i="132"/>
  <c r="V106" i="132" s="1"/>
  <c r="J105" i="132"/>
  <c r="J104" i="132"/>
  <c r="J103" i="132"/>
  <c r="J102" i="132"/>
  <c r="W102" i="132" s="1"/>
  <c r="J101" i="132"/>
  <c r="V101" i="132" s="1"/>
  <c r="J100" i="132"/>
  <c r="V100" i="132" s="1"/>
  <c r="J99" i="132"/>
  <c r="V99" i="132" s="1"/>
  <c r="J98" i="132"/>
  <c r="V98" i="132" s="1"/>
  <c r="J97" i="132"/>
  <c r="V97" i="132" s="1"/>
  <c r="J96" i="132"/>
  <c r="V96" i="132" s="1"/>
  <c r="J95" i="132"/>
  <c r="V95" i="132" s="1"/>
  <c r="B95" i="132"/>
  <c r="B96" i="132" s="1"/>
  <c r="B97" i="132" s="1"/>
  <c r="B98" i="132" s="1"/>
  <c r="B99" i="132" s="1"/>
  <c r="B100" i="132" s="1"/>
  <c r="B101" i="132" s="1"/>
  <c r="B102" i="132" s="1"/>
  <c r="B103" i="132" s="1"/>
  <c r="B104" i="132" s="1"/>
  <c r="B105" i="132" s="1"/>
  <c r="B106" i="132" s="1"/>
  <c r="B107" i="132" s="1"/>
  <c r="B108" i="132" s="1"/>
  <c r="B109" i="132" s="1"/>
  <c r="B110" i="132" s="1"/>
  <c r="B111" i="132" s="1"/>
  <c r="B112" i="132" s="1"/>
  <c r="B113" i="132" s="1"/>
  <c r="B114" i="132" s="1"/>
  <c r="B115" i="132" s="1"/>
  <c r="B116" i="132" s="1"/>
  <c r="J94" i="132"/>
  <c r="J85" i="132"/>
  <c r="W85" i="132" s="1"/>
  <c r="J84" i="132"/>
  <c r="J83" i="132"/>
  <c r="J82" i="132"/>
  <c r="V82" i="132" s="1"/>
  <c r="J81" i="132"/>
  <c r="J80" i="132"/>
  <c r="W80" i="132" s="1"/>
  <c r="J79" i="132"/>
  <c r="W79" i="132" s="1"/>
  <c r="J78" i="132"/>
  <c r="W78" i="132" s="1"/>
  <c r="J77" i="132"/>
  <c r="W77" i="132" s="1"/>
  <c r="J76" i="132"/>
  <c r="W76" i="132" s="1"/>
  <c r="J75" i="132"/>
  <c r="W75" i="132" s="1"/>
  <c r="J74" i="132"/>
  <c r="W74" i="132" s="1"/>
  <c r="J73" i="132"/>
  <c r="V73" i="132" s="1"/>
  <c r="J72" i="132"/>
  <c r="J71" i="132"/>
  <c r="J70" i="132"/>
  <c r="W70" i="132" s="1"/>
  <c r="J69" i="132"/>
  <c r="W69" i="132" s="1"/>
  <c r="J68" i="132"/>
  <c r="W68" i="132" s="1"/>
  <c r="J67" i="132"/>
  <c r="V67" i="132" s="1"/>
  <c r="J66" i="132"/>
  <c r="V66" i="132" s="1"/>
  <c r="J65" i="132"/>
  <c r="V65" i="132" s="1"/>
  <c r="J64" i="132"/>
  <c r="J63" i="132"/>
  <c r="J62" i="132"/>
  <c r="J61" i="132"/>
  <c r="W61" i="132" s="1"/>
  <c r="B61" i="132"/>
  <c r="B62" i="132" s="1"/>
  <c r="B63" i="132" s="1"/>
  <c r="B64" i="132" s="1"/>
  <c r="B65" i="132" s="1"/>
  <c r="B66" i="132" s="1"/>
  <c r="B67" i="132" s="1"/>
  <c r="B68" i="132" s="1"/>
  <c r="B69" i="132" s="1"/>
  <c r="B70" i="132" s="1"/>
  <c r="B71" i="132" s="1"/>
  <c r="B72" i="132" s="1"/>
  <c r="B73" i="132" s="1"/>
  <c r="B74" i="132" s="1"/>
  <c r="B75" i="132" s="1"/>
  <c r="B76" i="132" s="1"/>
  <c r="B77" i="132" s="1"/>
  <c r="B78" i="132" s="1"/>
  <c r="B79" i="132" s="1"/>
  <c r="B80" i="132" s="1"/>
  <c r="B81" i="132" s="1"/>
  <c r="B82" i="132" s="1"/>
  <c r="J60" i="132"/>
  <c r="W60" i="132" s="1"/>
  <c r="W51" i="132"/>
  <c r="V51" i="132"/>
  <c r="W50" i="132"/>
  <c r="V50" i="132"/>
  <c r="W49" i="132"/>
  <c r="V49" i="132"/>
  <c r="W48" i="132"/>
  <c r="V48" i="132"/>
  <c r="W47" i="132"/>
  <c r="V47" i="132"/>
  <c r="W46" i="132"/>
  <c r="V46" i="132"/>
  <c r="W45" i="132"/>
  <c r="V45" i="132"/>
  <c r="W44" i="132"/>
  <c r="V44" i="132"/>
  <c r="W43" i="132"/>
  <c r="V43" i="132"/>
  <c r="W42" i="132"/>
  <c r="V42" i="132"/>
  <c r="W41" i="132"/>
  <c r="V41" i="132"/>
  <c r="W40" i="132"/>
  <c r="V40" i="132"/>
  <c r="W39" i="132"/>
  <c r="V39" i="132"/>
  <c r="W38" i="132"/>
  <c r="V38" i="132"/>
  <c r="W37" i="132"/>
  <c r="V37" i="132"/>
  <c r="W36" i="132"/>
  <c r="V36" i="132"/>
  <c r="V35" i="132"/>
  <c r="W35" i="132"/>
  <c r="V34" i="132"/>
  <c r="V32" i="132"/>
  <c r="W32" i="132"/>
  <c r="V31" i="132"/>
  <c r="V29" i="132"/>
  <c r="W29" i="132"/>
  <c r="V28" i="132"/>
  <c r="W26" i="132"/>
  <c r="V26" i="132"/>
  <c r="W24" i="132"/>
  <c r="W21" i="132"/>
  <c r="W17" i="132"/>
  <c r="N16" i="132"/>
  <c r="N14" i="132"/>
  <c r="N12" i="132"/>
  <c r="N10" i="132"/>
  <c r="N8" i="132"/>
  <c r="I7" i="132"/>
  <c r="J7" i="132" s="1"/>
  <c r="W7" i="132" s="1"/>
  <c r="B7" i="132"/>
  <c r="B8" i="132" s="1"/>
  <c r="B9" i="132" s="1"/>
  <c r="B10" i="132" s="1"/>
  <c r="B11" i="132" s="1"/>
  <c r="B12" i="132" s="1"/>
  <c r="B13" i="132" s="1"/>
  <c r="B14" i="132" s="1"/>
  <c r="B15" i="132" s="1"/>
  <c r="B16" i="132" s="1"/>
  <c r="B17" i="132" s="1"/>
  <c r="B18" i="132" s="1"/>
  <c r="B19" i="132" s="1"/>
  <c r="B20" i="132" s="1"/>
  <c r="B21" i="132" s="1"/>
  <c r="B22" i="132" s="1"/>
  <c r="B23" i="132" s="1"/>
  <c r="B24" i="132" s="1"/>
  <c r="B25" i="132" s="1"/>
  <c r="B26" i="132" s="1"/>
  <c r="B27" i="132" s="1"/>
  <c r="B28" i="132" s="1"/>
  <c r="B29" i="132" s="1"/>
  <c r="B30" i="132" s="1"/>
  <c r="B31" i="132" s="1"/>
  <c r="B32" i="132" s="1"/>
  <c r="B33" i="132" s="1"/>
  <c r="B34" i="132" s="1"/>
  <c r="B35" i="132" s="1"/>
  <c r="B36" i="132" s="1"/>
  <c r="B37" i="132" s="1"/>
  <c r="B38" i="132" s="1"/>
  <c r="B39" i="132" s="1"/>
  <c r="B40" i="132" s="1"/>
  <c r="B41" i="132" s="1"/>
  <c r="B42" i="132" s="1"/>
  <c r="B43" i="132" s="1"/>
  <c r="B44" i="132" s="1"/>
  <c r="B45" i="132" s="1"/>
  <c r="B46" i="132" s="1"/>
  <c r="B47" i="132" s="1"/>
  <c r="B48" i="132" s="1"/>
  <c r="B49" i="132" s="1"/>
  <c r="B50" i="132" s="1"/>
  <c r="B51" i="132" s="1"/>
  <c r="N6" i="132"/>
  <c r="I6" i="132"/>
  <c r="J6" i="132" s="1"/>
  <c r="N4" i="132"/>
  <c r="W82" i="132" l="1"/>
  <c r="V85" i="132"/>
  <c r="W115" i="132"/>
  <c r="W169" i="132"/>
  <c r="W236" i="132"/>
  <c r="V239" i="132"/>
  <c r="V242" i="132"/>
  <c r="V149" i="132"/>
  <c r="W234" i="132"/>
  <c r="V241" i="132"/>
  <c r="W107" i="132"/>
  <c r="W116" i="132"/>
  <c r="W145" i="132"/>
  <c r="V211" i="132"/>
  <c r="V238" i="132"/>
  <c r="V210" i="132"/>
  <c r="V208" i="132"/>
  <c r="V179" i="132"/>
  <c r="V177" i="132"/>
  <c r="V147" i="132"/>
  <c r="V146" i="132"/>
  <c r="W114" i="132"/>
  <c r="W113" i="132"/>
  <c r="W112" i="132"/>
  <c r="V80" i="132"/>
  <c r="V79" i="132"/>
  <c r="V237" i="132"/>
  <c r="V207" i="132"/>
  <c r="V206" i="132"/>
  <c r="V144" i="132"/>
  <c r="V78" i="132"/>
  <c r="V141" i="132"/>
  <c r="W233" i="132"/>
  <c r="W142" i="132"/>
  <c r="V175" i="132"/>
  <c r="V173" i="132"/>
  <c r="V140" i="132"/>
  <c r="W110" i="132"/>
  <c r="W109" i="132"/>
  <c r="V77" i="132"/>
  <c r="V70" i="132"/>
  <c r="V69" i="132"/>
  <c r="V138" i="132"/>
  <c r="V171" i="132"/>
  <c r="V200" i="132"/>
  <c r="W197" i="132"/>
  <c r="V230" i="132"/>
  <c r="V228" i="132"/>
  <c r="V196" i="132"/>
  <c r="W166" i="132"/>
  <c r="W165" i="132"/>
  <c r="V68" i="132"/>
  <c r="W67" i="132"/>
  <c r="W99" i="132"/>
  <c r="W66" i="132"/>
  <c r="W97" i="132"/>
  <c r="V221" i="132"/>
  <c r="V220" i="132"/>
  <c r="V227" i="132"/>
  <c r="V223" i="132"/>
  <c r="V226" i="132"/>
  <c r="V229" i="132"/>
  <c r="V235" i="132"/>
  <c r="W189" i="132"/>
  <c r="V199" i="132"/>
  <c r="V204" i="132"/>
  <c r="W195" i="132"/>
  <c r="V198" i="132"/>
  <c r="V202" i="132"/>
  <c r="V190" i="132"/>
  <c r="V201" i="132"/>
  <c r="V203" i="132"/>
  <c r="V205" i="132"/>
  <c r="V168" i="132"/>
  <c r="W164" i="132"/>
  <c r="V167" i="132"/>
  <c r="W130" i="132"/>
  <c r="W126" i="132"/>
  <c r="V137" i="132"/>
  <c r="W133" i="132"/>
  <c r="W129" i="132"/>
  <c r="V102" i="132"/>
  <c r="W106" i="132"/>
  <c r="W96" i="132"/>
  <c r="W98" i="132"/>
  <c r="W100" i="132"/>
  <c r="W108" i="132"/>
  <c r="N18" i="132"/>
  <c r="W95" i="132"/>
  <c r="V61" i="132"/>
  <c r="V74" i="132"/>
  <c r="V76" i="132"/>
  <c r="W65" i="132"/>
  <c r="V75" i="132"/>
  <c r="V8" i="132"/>
  <c r="W8" i="132"/>
  <c r="V23" i="132"/>
  <c r="W23" i="132"/>
  <c r="V15" i="132"/>
  <c r="W15" i="132"/>
  <c r="W9" i="132"/>
  <c r="V9" i="132"/>
  <c r="V13" i="132"/>
  <c r="W13" i="132"/>
  <c r="W19" i="132"/>
  <c r="V19" i="132"/>
  <c r="V10" i="132"/>
  <c r="W10" i="132"/>
  <c r="V6" i="132"/>
  <c r="W6" i="132"/>
  <c r="V11" i="132"/>
  <c r="W11" i="132"/>
  <c r="V22" i="132"/>
  <c r="W22" i="132"/>
  <c r="W14" i="132"/>
  <c r="V14" i="132"/>
  <c r="V16" i="132"/>
  <c r="W16" i="132"/>
  <c r="W18" i="132"/>
  <c r="V18" i="132"/>
  <c r="V20" i="132"/>
  <c r="W20" i="132"/>
  <c r="W63" i="132"/>
  <c r="V63" i="132"/>
  <c r="W94" i="132"/>
  <c r="V94" i="132"/>
  <c r="V136" i="132"/>
  <c r="W136" i="132"/>
  <c r="V7" i="132"/>
  <c r="V17" i="132"/>
  <c r="V21" i="132"/>
  <c r="V24" i="132"/>
  <c r="W64" i="132"/>
  <c r="V64" i="132"/>
  <c r="W101" i="132"/>
  <c r="W132" i="132"/>
  <c r="V132" i="132"/>
  <c r="W134" i="132"/>
  <c r="V134" i="132"/>
  <c r="W161" i="132"/>
  <c r="V161" i="132"/>
  <c r="W232" i="132"/>
  <c r="V232" i="132"/>
  <c r="W27" i="132"/>
  <c r="V27" i="132"/>
  <c r="W72" i="132"/>
  <c r="V72" i="132"/>
  <c r="W105" i="132"/>
  <c r="V105" i="132"/>
  <c r="W194" i="132"/>
  <c r="V194" i="132"/>
  <c r="V12" i="132"/>
  <c r="W103" i="132"/>
  <c r="V103" i="132"/>
  <c r="J117" i="132"/>
  <c r="V128" i="132"/>
  <c r="W128" i="132"/>
  <c r="W135" i="132"/>
  <c r="V135" i="132"/>
  <c r="W192" i="132"/>
  <c r="V192" i="132"/>
  <c r="W33" i="132"/>
  <c r="V33" i="132"/>
  <c r="V60" i="132"/>
  <c r="J86" i="132"/>
  <c r="W28" i="132"/>
  <c r="W31" i="132"/>
  <c r="W34" i="132"/>
  <c r="W62" i="132"/>
  <c r="V62" i="132"/>
  <c r="W71" i="132"/>
  <c r="V71" i="132"/>
  <c r="W73" i="132"/>
  <c r="W104" i="132"/>
  <c r="V104" i="132"/>
  <c r="W139" i="132"/>
  <c r="V139" i="132"/>
  <c r="W143" i="132"/>
  <c r="V143" i="132"/>
  <c r="W159" i="132"/>
  <c r="V159" i="132"/>
  <c r="W163" i="132"/>
  <c r="V163" i="132"/>
  <c r="J244" i="132"/>
  <c r="W224" i="132"/>
  <c r="V224" i="132"/>
  <c r="W127" i="132"/>
  <c r="W131" i="132"/>
  <c r="J181" i="132"/>
  <c r="W158" i="132"/>
  <c r="V158" i="132"/>
  <c r="W160" i="132"/>
  <c r="V160" i="132"/>
  <c r="W162" i="132"/>
  <c r="V162" i="132"/>
  <c r="V170" i="132"/>
  <c r="V172" i="132"/>
  <c r="V174" i="132"/>
  <c r="V176" i="132"/>
  <c r="V178" i="132"/>
  <c r="V180" i="132"/>
  <c r="J212" i="132"/>
  <c r="W225" i="132"/>
  <c r="V225" i="132"/>
  <c r="J150" i="132"/>
  <c r="V125" i="132"/>
  <c r="V191" i="132"/>
  <c r="V193" i="132"/>
  <c r="W231" i="132"/>
  <c r="V231" i="132"/>
  <c r="H139" i="131"/>
  <c r="J35" i="131"/>
  <c r="I35" i="131"/>
  <c r="H34" i="131"/>
  <c r="I34" i="131"/>
  <c r="J34" i="131" s="1"/>
  <c r="W244" i="132" l="1"/>
  <c r="P16" i="132" s="1"/>
  <c r="W212" i="132"/>
  <c r="P14" i="132" s="1"/>
  <c r="V244" i="132"/>
  <c r="O16" i="132" s="1"/>
  <c r="R16" i="132" s="1"/>
  <c r="V212" i="132"/>
  <c r="O14" i="132" s="1"/>
  <c r="R14" i="132" s="1"/>
  <c r="W86" i="132"/>
  <c r="P6" i="132" s="1"/>
  <c r="V181" i="132"/>
  <c r="O12" i="132" s="1"/>
  <c r="R12" i="132" s="1"/>
  <c r="V150" i="132"/>
  <c r="O10" i="132" s="1"/>
  <c r="R10" i="132" s="1"/>
  <c r="W150" i="132"/>
  <c r="P10" i="132" s="1"/>
  <c r="W181" i="132"/>
  <c r="P12" i="132" s="1"/>
  <c r="W30" i="132"/>
  <c r="V30" i="132"/>
  <c r="V86" i="132"/>
  <c r="O6" i="132" s="1"/>
  <c r="W117" i="132"/>
  <c r="P8" i="132" s="1"/>
  <c r="V117" i="132"/>
  <c r="O8" i="132" s="1"/>
  <c r="V25" i="132"/>
  <c r="V52" i="132" s="1"/>
  <c r="O4" i="132" s="1"/>
  <c r="W25" i="132"/>
  <c r="W52" i="132" s="1"/>
  <c r="P4" i="132" s="1"/>
  <c r="J52" i="132"/>
  <c r="J32" i="131"/>
  <c r="J33" i="131"/>
  <c r="I33" i="131"/>
  <c r="I32" i="131"/>
  <c r="H74" i="131"/>
  <c r="H233" i="131"/>
  <c r="H232" i="131"/>
  <c r="H201" i="131"/>
  <c r="H170" i="131"/>
  <c r="H137" i="131"/>
  <c r="H73" i="131"/>
  <c r="I31" i="131"/>
  <c r="J31" i="131" s="1"/>
  <c r="H30" i="131"/>
  <c r="J30" i="131" s="1"/>
  <c r="I30" i="131"/>
  <c r="I29" i="131"/>
  <c r="J29" i="131" s="1"/>
  <c r="H28" i="131"/>
  <c r="I28" i="131"/>
  <c r="H72" i="131"/>
  <c r="H105" i="131"/>
  <c r="H136" i="131"/>
  <c r="H231" i="131"/>
  <c r="H199" i="131"/>
  <c r="H168" i="131"/>
  <c r="H71" i="131"/>
  <c r="H27" i="131"/>
  <c r="J27" i="131" s="1"/>
  <c r="I27" i="131"/>
  <c r="I26" i="131"/>
  <c r="J26" i="131" s="1"/>
  <c r="H25" i="131"/>
  <c r="J25" i="131" s="1"/>
  <c r="I25" i="131"/>
  <c r="I24" i="131"/>
  <c r="J24" i="131" s="1"/>
  <c r="H103" i="131"/>
  <c r="H134" i="131"/>
  <c r="J28" i="131" l="1"/>
  <c r="Q12" i="132"/>
  <c r="Q14" i="132"/>
  <c r="Q10" i="132"/>
  <c r="P18" i="132"/>
  <c r="R4" i="132"/>
  <c r="Q4" i="132"/>
  <c r="O18" i="132"/>
  <c r="R18" i="132" s="1"/>
  <c r="P20" i="132" s="1"/>
  <c r="R8" i="132"/>
  <c r="Q8" i="132"/>
  <c r="R6" i="132"/>
  <c r="Q6" i="132"/>
  <c r="H228" i="131"/>
  <c r="H133" i="131"/>
  <c r="H102" i="131"/>
  <c r="I23" i="131"/>
  <c r="J23" i="131" s="1"/>
  <c r="H22" i="131"/>
  <c r="J22" i="131" s="1"/>
  <c r="I22" i="131"/>
  <c r="I21" i="131"/>
  <c r="J21" i="131" s="1"/>
  <c r="I20" i="131"/>
  <c r="J20" i="131" s="1"/>
  <c r="Q18" i="132" l="1"/>
  <c r="J17" i="131"/>
  <c r="H19" i="131"/>
  <c r="J19" i="131" s="1"/>
  <c r="I19" i="131"/>
  <c r="H18" i="131"/>
  <c r="J18" i="131" s="1"/>
  <c r="I18" i="131"/>
  <c r="I17" i="131"/>
  <c r="I16" i="131"/>
  <c r="J16" i="131" s="1"/>
  <c r="H15" i="131"/>
  <c r="J15" i="131" s="1"/>
  <c r="I15" i="131"/>
  <c r="I14" i="131"/>
  <c r="J14" i="131" s="1"/>
  <c r="H68" i="131"/>
  <c r="H67" i="131"/>
  <c r="H101" i="131"/>
  <c r="H132" i="131"/>
  <c r="H164" i="131"/>
  <c r="H195" i="131"/>
  <c r="H194" i="131"/>
  <c r="H226" i="131"/>
  <c r="H225" i="131"/>
  <c r="H224" i="131"/>
  <c r="H223" i="131" l="1"/>
  <c r="H222" i="131"/>
  <c r="H190" i="131"/>
  <c r="H189" i="131"/>
  <c r="J189" i="131" s="1"/>
  <c r="H64" i="131"/>
  <c r="H94" i="131"/>
  <c r="H62" i="131"/>
  <c r="H61" i="131"/>
  <c r="J61" i="131" s="1"/>
  <c r="H60" i="131"/>
  <c r="I13" i="131"/>
  <c r="J13" i="131" s="1"/>
  <c r="J12" i="131"/>
  <c r="I12" i="131"/>
  <c r="I11" i="131"/>
  <c r="J11" i="131" s="1"/>
  <c r="W11" i="131" s="1"/>
  <c r="H10" i="131"/>
  <c r="J10" i="131" s="1"/>
  <c r="I10" i="131"/>
  <c r="I8" i="131"/>
  <c r="J8" i="131" s="1"/>
  <c r="I9" i="131"/>
  <c r="J9" i="131" s="1"/>
  <c r="H7" i="131"/>
  <c r="J243" i="131"/>
  <c r="V243" i="131" s="1"/>
  <c r="J242" i="131"/>
  <c r="V242" i="131" s="1"/>
  <c r="J241" i="131"/>
  <c r="V241" i="131" s="1"/>
  <c r="J240" i="131"/>
  <c r="W240" i="131" s="1"/>
  <c r="J239" i="131"/>
  <c r="W239" i="131" s="1"/>
  <c r="J238" i="131"/>
  <c r="J237" i="131"/>
  <c r="J236" i="131"/>
  <c r="W236" i="131" s="1"/>
  <c r="J235" i="131"/>
  <c r="W235" i="131" s="1"/>
  <c r="J234" i="131"/>
  <c r="W234" i="131" s="1"/>
  <c r="J233" i="131"/>
  <c r="V233" i="131" s="1"/>
  <c r="J232" i="131"/>
  <c r="J231" i="131"/>
  <c r="J230" i="131"/>
  <c r="J229" i="131"/>
  <c r="J228" i="131"/>
  <c r="J227" i="131"/>
  <c r="J226" i="131"/>
  <c r="J225" i="131"/>
  <c r="J224" i="131"/>
  <c r="W224" i="131" s="1"/>
  <c r="J223" i="131"/>
  <c r="J222" i="131"/>
  <c r="V222" i="131" s="1"/>
  <c r="J221" i="131"/>
  <c r="V221" i="131" s="1"/>
  <c r="B221" i="131"/>
  <c r="B222" i="131" s="1"/>
  <c r="B223" i="131" s="1"/>
  <c r="B224" i="131" s="1"/>
  <c r="B225" i="131" s="1"/>
  <c r="B226" i="131" s="1"/>
  <c r="B227" i="131" s="1"/>
  <c r="B228" i="131" s="1"/>
  <c r="B229" i="131" s="1"/>
  <c r="B230" i="131" s="1"/>
  <c r="B231" i="131" s="1"/>
  <c r="B232" i="131" s="1"/>
  <c r="B233" i="131" s="1"/>
  <c r="B234" i="131" s="1"/>
  <c r="B235" i="131" s="1"/>
  <c r="B236" i="131" s="1"/>
  <c r="B237" i="131" s="1"/>
  <c r="B238" i="131" s="1"/>
  <c r="B239" i="131" s="1"/>
  <c r="B240" i="131" s="1"/>
  <c r="B241" i="131" s="1"/>
  <c r="B242" i="131" s="1"/>
  <c r="B243" i="131" s="1"/>
  <c r="J220" i="131"/>
  <c r="V220" i="131" s="1"/>
  <c r="J211" i="131"/>
  <c r="J210" i="131"/>
  <c r="J209" i="131"/>
  <c r="J208" i="131"/>
  <c r="J207" i="131"/>
  <c r="J206" i="131"/>
  <c r="J205" i="131"/>
  <c r="J204" i="131"/>
  <c r="J203" i="131"/>
  <c r="J202" i="131"/>
  <c r="W202" i="131" s="1"/>
  <c r="J201" i="131"/>
  <c r="W201" i="131" s="1"/>
  <c r="J200" i="131"/>
  <c r="J199" i="131"/>
  <c r="J198" i="131"/>
  <c r="J197" i="131"/>
  <c r="J196" i="131"/>
  <c r="W196" i="131" s="1"/>
  <c r="J195" i="131"/>
  <c r="W195" i="131" s="1"/>
  <c r="J194" i="131"/>
  <c r="V194" i="131" s="1"/>
  <c r="J193" i="131"/>
  <c r="W193" i="131" s="1"/>
  <c r="J192" i="131"/>
  <c r="J191" i="131"/>
  <c r="J190" i="131"/>
  <c r="B190" i="131"/>
  <c r="B191" i="131" s="1"/>
  <c r="B192" i="131" s="1"/>
  <c r="B193" i="131" s="1"/>
  <c r="B194" i="131" s="1"/>
  <c r="B195" i="131" s="1"/>
  <c r="B196" i="131" s="1"/>
  <c r="B197" i="131" s="1"/>
  <c r="B198" i="131" s="1"/>
  <c r="B199" i="131" s="1"/>
  <c r="B200" i="131" s="1"/>
  <c r="B201" i="131" s="1"/>
  <c r="B202" i="131" s="1"/>
  <c r="B203" i="131" s="1"/>
  <c r="B204" i="131" s="1"/>
  <c r="B205" i="131" s="1"/>
  <c r="B206" i="131" s="1"/>
  <c r="B207" i="131" s="1"/>
  <c r="B208" i="131" s="1"/>
  <c r="B209" i="131" s="1"/>
  <c r="B210" i="131" s="1"/>
  <c r="B211" i="131" s="1"/>
  <c r="V180" i="131"/>
  <c r="J180" i="131"/>
  <c r="W180" i="131" s="1"/>
  <c r="J179" i="131"/>
  <c r="V179" i="131" s="1"/>
  <c r="W178" i="131"/>
  <c r="V178" i="131"/>
  <c r="J178" i="131"/>
  <c r="J177" i="131"/>
  <c r="W177" i="131" s="1"/>
  <c r="J176" i="131"/>
  <c r="W176" i="131" s="1"/>
  <c r="W175" i="131"/>
  <c r="J175" i="131"/>
  <c r="V175" i="131" s="1"/>
  <c r="V174" i="131"/>
  <c r="J174" i="131"/>
  <c r="W174" i="131" s="1"/>
  <c r="J173" i="131"/>
  <c r="V173" i="131" s="1"/>
  <c r="J172" i="131"/>
  <c r="W172" i="131" s="1"/>
  <c r="W171" i="131"/>
  <c r="J171" i="131"/>
  <c r="V171" i="131" s="1"/>
  <c r="J170" i="131"/>
  <c r="J169" i="131"/>
  <c r="J168" i="131"/>
  <c r="J167" i="131"/>
  <c r="J166" i="131"/>
  <c r="W166" i="131" s="1"/>
  <c r="J165" i="131"/>
  <c r="W165" i="131" s="1"/>
  <c r="J164" i="131"/>
  <c r="W164" i="131" s="1"/>
  <c r="J163" i="131"/>
  <c r="W163" i="131" s="1"/>
  <c r="J162" i="131"/>
  <c r="W162" i="131" s="1"/>
  <c r="J161" i="131"/>
  <c r="V161" i="131" s="1"/>
  <c r="J160" i="131"/>
  <c r="W160" i="131" s="1"/>
  <c r="J159" i="131"/>
  <c r="V159" i="131" s="1"/>
  <c r="B159" i="131"/>
  <c r="B160" i="131" s="1"/>
  <c r="B161" i="131" s="1"/>
  <c r="B162" i="131" s="1"/>
  <c r="B163" i="131" s="1"/>
  <c r="B164" i="131" s="1"/>
  <c r="B165" i="131" s="1"/>
  <c r="B166" i="131" s="1"/>
  <c r="B167" i="131" s="1"/>
  <c r="B168" i="131" s="1"/>
  <c r="B169" i="131" s="1"/>
  <c r="B170" i="131" s="1"/>
  <c r="B171" i="131" s="1"/>
  <c r="B172" i="131" s="1"/>
  <c r="B173" i="131" s="1"/>
  <c r="B174" i="131" s="1"/>
  <c r="B175" i="131" s="1"/>
  <c r="B176" i="131" s="1"/>
  <c r="B177" i="131" s="1"/>
  <c r="B178" i="131" s="1"/>
  <c r="B179" i="131" s="1"/>
  <c r="B180" i="131" s="1"/>
  <c r="J158" i="131"/>
  <c r="W149" i="131"/>
  <c r="V149" i="131"/>
  <c r="J149" i="131"/>
  <c r="V148" i="131"/>
  <c r="J148" i="131"/>
  <c r="W148" i="131" s="1"/>
  <c r="V147" i="131"/>
  <c r="J147" i="131"/>
  <c r="W147" i="131" s="1"/>
  <c r="J146" i="131"/>
  <c r="W146" i="131" s="1"/>
  <c r="J145" i="131"/>
  <c r="W145" i="131" s="1"/>
  <c r="J144" i="131"/>
  <c r="J143" i="131"/>
  <c r="J142" i="131"/>
  <c r="W142" i="131" s="1"/>
  <c r="V141" i="131"/>
  <c r="J141" i="131"/>
  <c r="W141" i="131" s="1"/>
  <c r="J140" i="131"/>
  <c r="W140" i="131" s="1"/>
  <c r="J139" i="131"/>
  <c r="W139" i="131" s="1"/>
  <c r="J138" i="131"/>
  <c r="W138" i="131" s="1"/>
  <c r="J137" i="131"/>
  <c r="V137" i="131" s="1"/>
  <c r="J136" i="131"/>
  <c r="W136" i="131" s="1"/>
  <c r="J135" i="131"/>
  <c r="W135" i="131" s="1"/>
  <c r="J134" i="131"/>
  <c r="W134" i="131" s="1"/>
  <c r="W133" i="131"/>
  <c r="J133" i="131"/>
  <c r="V133" i="131" s="1"/>
  <c r="J132" i="131"/>
  <c r="W132" i="131" s="1"/>
  <c r="J131" i="131"/>
  <c r="W131" i="131" s="1"/>
  <c r="J130" i="131"/>
  <c r="W130" i="131" s="1"/>
  <c r="J129" i="131"/>
  <c r="J128" i="131"/>
  <c r="J127" i="131"/>
  <c r="J126" i="131"/>
  <c r="B126" i="131"/>
  <c r="B127" i="131" s="1"/>
  <c r="B128" i="131" s="1"/>
  <c r="B129" i="131" s="1"/>
  <c r="B130" i="131" s="1"/>
  <c r="B131" i="131" s="1"/>
  <c r="B132" i="131" s="1"/>
  <c r="B133" i="131" s="1"/>
  <c r="B134" i="131" s="1"/>
  <c r="B135" i="131" s="1"/>
  <c r="B136" i="131" s="1"/>
  <c r="B137" i="131" s="1"/>
  <c r="B138" i="131" s="1"/>
  <c r="B139" i="131" s="1"/>
  <c r="B140" i="131" s="1"/>
  <c r="B141" i="131" s="1"/>
  <c r="B142" i="131" s="1"/>
  <c r="B143" i="131" s="1"/>
  <c r="B144" i="131" s="1"/>
  <c r="B145" i="131" s="1"/>
  <c r="B146" i="131" s="1"/>
  <c r="B147" i="131" s="1"/>
  <c r="B148" i="131" s="1"/>
  <c r="B149" i="131" s="1"/>
  <c r="J125" i="131"/>
  <c r="J116" i="131"/>
  <c r="J115" i="131"/>
  <c r="W115" i="131" s="1"/>
  <c r="J114" i="131"/>
  <c r="W114" i="131" s="1"/>
  <c r="J113" i="131"/>
  <c r="J112" i="131"/>
  <c r="J111" i="131"/>
  <c r="J110" i="131"/>
  <c r="J109" i="131"/>
  <c r="W109" i="131" s="1"/>
  <c r="J108" i="131"/>
  <c r="V108" i="131" s="1"/>
  <c r="J107" i="131"/>
  <c r="V107" i="131" s="1"/>
  <c r="J106" i="131"/>
  <c r="W106" i="131" s="1"/>
  <c r="J105" i="131"/>
  <c r="J104" i="131"/>
  <c r="J103" i="131"/>
  <c r="J102" i="131"/>
  <c r="J101" i="131"/>
  <c r="W101" i="131" s="1"/>
  <c r="J100" i="131"/>
  <c r="V100" i="131" s="1"/>
  <c r="J99" i="131"/>
  <c r="V99" i="131" s="1"/>
  <c r="J98" i="131"/>
  <c r="V98" i="131" s="1"/>
  <c r="J97" i="131"/>
  <c r="V97" i="131" s="1"/>
  <c r="J96" i="131"/>
  <c r="V96" i="131" s="1"/>
  <c r="J95" i="131"/>
  <c r="V95" i="131" s="1"/>
  <c r="B95" i="131"/>
  <c r="B96" i="131" s="1"/>
  <c r="B97" i="131" s="1"/>
  <c r="B98" i="131" s="1"/>
  <c r="B99" i="131" s="1"/>
  <c r="B100" i="131" s="1"/>
  <c r="B101" i="131" s="1"/>
  <c r="B102" i="131" s="1"/>
  <c r="B103" i="131" s="1"/>
  <c r="B104" i="131" s="1"/>
  <c r="B105" i="131" s="1"/>
  <c r="B106" i="131" s="1"/>
  <c r="B107" i="131" s="1"/>
  <c r="B108" i="131" s="1"/>
  <c r="B109" i="131" s="1"/>
  <c r="B110" i="131" s="1"/>
  <c r="B111" i="131" s="1"/>
  <c r="B112" i="131" s="1"/>
  <c r="B113" i="131" s="1"/>
  <c r="B114" i="131" s="1"/>
  <c r="B115" i="131" s="1"/>
  <c r="B116" i="131" s="1"/>
  <c r="J94" i="131"/>
  <c r="W94" i="131" s="1"/>
  <c r="J85" i="131"/>
  <c r="J84" i="131"/>
  <c r="J83" i="131"/>
  <c r="J82" i="131"/>
  <c r="V82" i="131" s="1"/>
  <c r="J81" i="131"/>
  <c r="J80" i="131"/>
  <c r="W80" i="131" s="1"/>
  <c r="W79" i="131"/>
  <c r="V79" i="131"/>
  <c r="J79" i="131"/>
  <c r="J78" i="131"/>
  <c r="V78" i="131" s="1"/>
  <c r="V77" i="131"/>
  <c r="J77" i="131"/>
  <c r="W77" i="131" s="1"/>
  <c r="J76" i="131"/>
  <c r="W76" i="131" s="1"/>
  <c r="J75" i="131"/>
  <c r="W75" i="131" s="1"/>
  <c r="J74" i="131"/>
  <c r="V74" i="131" s="1"/>
  <c r="J73" i="131"/>
  <c r="V73" i="131" s="1"/>
  <c r="J72" i="131"/>
  <c r="J71" i="131"/>
  <c r="J70" i="131"/>
  <c r="J69" i="131"/>
  <c r="J68" i="131"/>
  <c r="W68" i="131" s="1"/>
  <c r="J67" i="131"/>
  <c r="V67" i="131" s="1"/>
  <c r="J66" i="131"/>
  <c r="V66" i="131" s="1"/>
  <c r="J65" i="131"/>
  <c r="V65" i="131" s="1"/>
  <c r="J64" i="131"/>
  <c r="W64" i="131" s="1"/>
  <c r="J63" i="131"/>
  <c r="J62" i="131"/>
  <c r="B61" i="131"/>
  <c r="B62" i="131" s="1"/>
  <c r="B63" i="131" s="1"/>
  <c r="B64" i="131" s="1"/>
  <c r="B65" i="131" s="1"/>
  <c r="B66" i="131" s="1"/>
  <c r="B67" i="131" s="1"/>
  <c r="B68" i="131" s="1"/>
  <c r="B69" i="131" s="1"/>
  <c r="B70" i="131" s="1"/>
  <c r="B71" i="131" s="1"/>
  <c r="B72" i="131" s="1"/>
  <c r="B73" i="131" s="1"/>
  <c r="B74" i="131" s="1"/>
  <c r="B75" i="131" s="1"/>
  <c r="B76" i="131" s="1"/>
  <c r="B77" i="131" s="1"/>
  <c r="B78" i="131" s="1"/>
  <c r="B79" i="131" s="1"/>
  <c r="B80" i="131" s="1"/>
  <c r="B81" i="131" s="1"/>
  <c r="B82" i="131" s="1"/>
  <c r="J60" i="131"/>
  <c r="W60" i="131" s="1"/>
  <c r="W51" i="131"/>
  <c r="V51" i="131"/>
  <c r="W50" i="131"/>
  <c r="V50" i="131"/>
  <c r="V49" i="131"/>
  <c r="W49" i="131"/>
  <c r="W46" i="131"/>
  <c r="W45" i="131"/>
  <c r="V45" i="131"/>
  <c r="V42" i="131"/>
  <c r="W42" i="131"/>
  <c r="W41" i="131"/>
  <c r="V41" i="131"/>
  <c r="W39" i="131"/>
  <c r="W36" i="131"/>
  <c r="V36" i="131"/>
  <c r="V33" i="131"/>
  <c r="W33" i="131"/>
  <c r="W30" i="131"/>
  <c r="W29" i="131"/>
  <c r="V29" i="131"/>
  <c r="V26" i="131"/>
  <c r="W26" i="131"/>
  <c r="V23" i="131"/>
  <c r="W23" i="131"/>
  <c r="W20" i="131"/>
  <c r="W19" i="131"/>
  <c r="V18" i="131"/>
  <c r="W17" i="131"/>
  <c r="V17" i="131"/>
  <c r="N16" i="131"/>
  <c r="N14" i="131"/>
  <c r="N12" i="131"/>
  <c r="N10" i="131"/>
  <c r="N8" i="131"/>
  <c r="B8" i="131"/>
  <c r="B9" i="131" s="1"/>
  <c r="B10" i="131" s="1"/>
  <c r="B11" i="131" s="1"/>
  <c r="B12" i="131" s="1"/>
  <c r="B13" i="131" s="1"/>
  <c r="B14" i="131" s="1"/>
  <c r="B15" i="131" s="1"/>
  <c r="B16" i="131" s="1"/>
  <c r="B17" i="131" s="1"/>
  <c r="B18" i="131" s="1"/>
  <c r="B19" i="131" s="1"/>
  <c r="B20" i="131" s="1"/>
  <c r="B21" i="131" s="1"/>
  <c r="B22" i="131" s="1"/>
  <c r="B23" i="131" s="1"/>
  <c r="B24" i="131" s="1"/>
  <c r="B25" i="131" s="1"/>
  <c r="B26" i="131" s="1"/>
  <c r="B27" i="131" s="1"/>
  <c r="B28" i="131" s="1"/>
  <c r="B29" i="131" s="1"/>
  <c r="B30" i="131" s="1"/>
  <c r="B31" i="131" s="1"/>
  <c r="B32" i="131" s="1"/>
  <c r="B33" i="131" s="1"/>
  <c r="B34" i="131" s="1"/>
  <c r="B35" i="131" s="1"/>
  <c r="B36" i="131" s="1"/>
  <c r="B37" i="131" s="1"/>
  <c r="B38" i="131" s="1"/>
  <c r="B39" i="131" s="1"/>
  <c r="B40" i="131" s="1"/>
  <c r="B41" i="131" s="1"/>
  <c r="B42" i="131" s="1"/>
  <c r="B43" i="131" s="1"/>
  <c r="B44" i="131" s="1"/>
  <c r="B45" i="131" s="1"/>
  <c r="B46" i="131" s="1"/>
  <c r="B47" i="131" s="1"/>
  <c r="B48" i="131" s="1"/>
  <c r="B49" i="131" s="1"/>
  <c r="B50" i="131" s="1"/>
  <c r="B51" i="131" s="1"/>
  <c r="I7" i="131"/>
  <c r="J7" i="131" s="1"/>
  <c r="W7" i="131" s="1"/>
  <c r="B7" i="131"/>
  <c r="N6" i="131"/>
  <c r="I6" i="131"/>
  <c r="J6" i="131"/>
  <c r="N4" i="131"/>
  <c r="W243" i="131" l="1"/>
  <c r="W78" i="131"/>
  <c r="W179" i="131"/>
  <c r="V195" i="131"/>
  <c r="W242" i="131"/>
  <c r="V139" i="131"/>
  <c r="W108" i="131"/>
  <c r="W74" i="131"/>
  <c r="W233" i="131"/>
  <c r="W137" i="131"/>
  <c r="W73" i="131"/>
  <c r="V136" i="131"/>
  <c r="V135" i="131"/>
  <c r="V68" i="131"/>
  <c r="W67" i="131"/>
  <c r="W66" i="131"/>
  <c r="W65" i="131"/>
  <c r="V101" i="131"/>
  <c r="W99" i="131"/>
  <c r="V132" i="131"/>
  <c r="V131" i="131"/>
  <c r="V196" i="131"/>
  <c r="W194" i="131"/>
  <c r="V162" i="131"/>
  <c r="V193" i="131"/>
  <c r="V224" i="131"/>
  <c r="W221" i="131"/>
  <c r="W220" i="131"/>
  <c r="W159" i="131"/>
  <c r="W97" i="131"/>
  <c r="V64" i="131"/>
  <c r="W95" i="131"/>
  <c r="V60" i="131"/>
  <c r="W222" i="131"/>
  <c r="V235" i="131"/>
  <c r="V240" i="131"/>
  <c r="V236" i="131"/>
  <c r="V239" i="131"/>
  <c r="W241" i="131"/>
  <c r="V202" i="131"/>
  <c r="V201" i="131"/>
  <c r="V166" i="131"/>
  <c r="V177" i="131"/>
  <c r="V160" i="131"/>
  <c r="W161" i="131"/>
  <c r="V172" i="131"/>
  <c r="W173" i="131"/>
  <c r="V176" i="131"/>
  <c r="V164" i="131"/>
  <c r="V163" i="131"/>
  <c r="V165" i="131"/>
  <c r="V130" i="131"/>
  <c r="V134" i="131"/>
  <c r="V138" i="131"/>
  <c r="V146" i="131"/>
  <c r="V140" i="131"/>
  <c r="V142" i="131"/>
  <c r="V145" i="131"/>
  <c r="N18" i="131"/>
  <c r="W96" i="131"/>
  <c r="W98" i="131"/>
  <c r="W100" i="131"/>
  <c r="W107" i="131"/>
  <c r="V109" i="131"/>
  <c r="J86" i="131"/>
  <c r="V76" i="131"/>
  <c r="V80" i="131"/>
  <c r="W82" i="131"/>
  <c r="W10" i="131"/>
  <c r="V10" i="131"/>
  <c r="J52" i="131"/>
  <c r="V6" i="131"/>
  <c r="W6" i="131"/>
  <c r="W9" i="131"/>
  <c r="V9" i="131"/>
  <c r="V12" i="131"/>
  <c r="W12" i="131"/>
  <c r="W16" i="131"/>
  <c r="V16" i="131"/>
  <c r="V8" i="131"/>
  <c r="W8" i="131"/>
  <c r="V14" i="131"/>
  <c r="W14" i="131"/>
  <c r="V13" i="131"/>
  <c r="W13" i="131"/>
  <c r="W15" i="131"/>
  <c r="V15" i="131"/>
  <c r="W25" i="131"/>
  <c r="V25" i="131"/>
  <c r="W32" i="131"/>
  <c r="V32" i="131"/>
  <c r="W144" i="131"/>
  <c r="V144" i="131"/>
  <c r="W228" i="131"/>
  <c r="V228" i="131"/>
  <c r="W232" i="131"/>
  <c r="V232" i="131"/>
  <c r="V7" i="131"/>
  <c r="V11" i="131"/>
  <c r="W18" i="131"/>
  <c r="V30" i="131"/>
  <c r="W40" i="131"/>
  <c r="V40" i="131"/>
  <c r="W44" i="131"/>
  <c r="V44" i="131"/>
  <c r="W47" i="131"/>
  <c r="V47" i="131"/>
  <c r="W61" i="131"/>
  <c r="V61" i="131"/>
  <c r="W72" i="131"/>
  <c r="V72" i="131"/>
  <c r="V75" i="131"/>
  <c r="W103" i="131"/>
  <c r="V103" i="131"/>
  <c r="W113" i="131"/>
  <c r="V113" i="131"/>
  <c r="W158" i="131"/>
  <c r="V158" i="131"/>
  <c r="J181" i="131"/>
  <c r="W204" i="131"/>
  <c r="V204" i="131"/>
  <c r="W208" i="131"/>
  <c r="V208" i="131"/>
  <c r="W223" i="131"/>
  <c r="V223" i="131"/>
  <c r="W22" i="131"/>
  <c r="V22" i="131"/>
  <c r="W71" i="131"/>
  <c r="V71" i="131"/>
  <c r="W102" i="131"/>
  <c r="V102" i="131"/>
  <c r="V129" i="131"/>
  <c r="W129" i="131"/>
  <c r="W27" i="131"/>
  <c r="V27" i="131"/>
  <c r="W34" i="131"/>
  <c r="V34" i="131"/>
  <c r="W37" i="131"/>
  <c r="V37" i="131"/>
  <c r="W48" i="131"/>
  <c r="V48" i="131"/>
  <c r="W62" i="131"/>
  <c r="V62" i="131"/>
  <c r="W69" i="131"/>
  <c r="V69" i="131"/>
  <c r="W104" i="131"/>
  <c r="V104" i="131"/>
  <c r="W110" i="131"/>
  <c r="V110" i="131"/>
  <c r="W116" i="131"/>
  <c r="V116" i="131"/>
  <c r="W127" i="131"/>
  <c r="V127" i="131"/>
  <c r="W199" i="131"/>
  <c r="V199" i="131"/>
  <c r="W237" i="131"/>
  <c r="V237" i="131"/>
  <c r="W43" i="131"/>
  <c r="V43" i="131"/>
  <c r="W85" i="131"/>
  <c r="V85" i="131"/>
  <c r="W112" i="131"/>
  <c r="V112" i="131"/>
  <c r="V19" i="131"/>
  <c r="V20" i="131"/>
  <c r="W24" i="131"/>
  <c r="V24" i="131"/>
  <c r="W28" i="131"/>
  <c r="V28" i="131"/>
  <c r="W31" i="131"/>
  <c r="V31" i="131"/>
  <c r="W35" i="131"/>
  <c r="V35" i="131"/>
  <c r="W38" i="131"/>
  <c r="V38" i="131"/>
  <c r="V39" i="131"/>
  <c r="V46" i="131"/>
  <c r="W63" i="131"/>
  <c r="V63" i="131"/>
  <c r="W70" i="131"/>
  <c r="V70" i="131"/>
  <c r="W105" i="131"/>
  <c r="V105" i="131"/>
  <c r="W111" i="131"/>
  <c r="V111" i="131"/>
  <c r="W125" i="131"/>
  <c r="J150" i="131"/>
  <c r="V125" i="131"/>
  <c r="W168" i="131"/>
  <c r="V168" i="131"/>
  <c r="W169" i="131"/>
  <c r="V169" i="131"/>
  <c r="W190" i="131"/>
  <c r="V190" i="131"/>
  <c r="W200" i="131"/>
  <c r="V200" i="131"/>
  <c r="W205" i="131"/>
  <c r="V205" i="131"/>
  <c r="W209" i="131"/>
  <c r="V209" i="131"/>
  <c r="W225" i="131"/>
  <c r="V225" i="131"/>
  <c r="W229" i="131"/>
  <c r="V229" i="131"/>
  <c r="W238" i="131"/>
  <c r="V238" i="131"/>
  <c r="J117" i="131"/>
  <c r="V106" i="131"/>
  <c r="V114" i="131"/>
  <c r="V115" i="131"/>
  <c r="W126" i="131"/>
  <c r="V126" i="131"/>
  <c r="W128" i="131"/>
  <c r="V128" i="131"/>
  <c r="W170" i="131"/>
  <c r="V170" i="131"/>
  <c r="W191" i="131"/>
  <c r="V191" i="131"/>
  <c r="W197" i="131"/>
  <c r="V197" i="131"/>
  <c r="W206" i="131"/>
  <c r="V206" i="131"/>
  <c r="W210" i="131"/>
  <c r="V210" i="131"/>
  <c r="W226" i="131"/>
  <c r="V226" i="131"/>
  <c r="W230" i="131"/>
  <c r="V230" i="131"/>
  <c r="V234" i="131"/>
  <c r="V94" i="131"/>
  <c r="W143" i="131"/>
  <c r="V143" i="131"/>
  <c r="W167" i="131"/>
  <c r="V167" i="131"/>
  <c r="J212" i="131"/>
  <c r="W189" i="131"/>
  <c r="V189" i="131"/>
  <c r="W192" i="131"/>
  <c r="V192" i="131"/>
  <c r="W198" i="131"/>
  <c r="V198" i="131"/>
  <c r="W203" i="131"/>
  <c r="V203" i="131"/>
  <c r="W207" i="131"/>
  <c r="V207" i="131"/>
  <c r="W211" i="131"/>
  <c r="V211" i="131"/>
  <c r="W227" i="131"/>
  <c r="V227" i="131"/>
  <c r="W231" i="131"/>
  <c r="V231" i="131"/>
  <c r="J244" i="131"/>
  <c r="H241" i="130"/>
  <c r="H147" i="130"/>
  <c r="H84" i="130"/>
  <c r="J84" i="130" s="1"/>
  <c r="I49" i="130"/>
  <c r="J49" i="130" s="1"/>
  <c r="I48" i="130"/>
  <c r="J48" i="130" s="1"/>
  <c r="W244" i="131" l="1"/>
  <c r="P16" i="131" s="1"/>
  <c r="V244" i="131"/>
  <c r="O16" i="131" s="1"/>
  <c r="R16" i="131" s="1"/>
  <c r="V212" i="131"/>
  <c r="O14" i="131" s="1"/>
  <c r="R14" i="131" s="1"/>
  <c r="W117" i="131"/>
  <c r="P8" i="131" s="1"/>
  <c r="W86" i="131"/>
  <c r="P6" i="131" s="1"/>
  <c r="V86" i="131"/>
  <c r="O6" i="131" s="1"/>
  <c r="R6" i="131" s="1"/>
  <c r="W150" i="131"/>
  <c r="P10" i="131" s="1"/>
  <c r="W52" i="131"/>
  <c r="P4" i="131" s="1"/>
  <c r="W181" i="131"/>
  <c r="P12" i="131" s="1"/>
  <c r="W212" i="131"/>
  <c r="P14" i="131" s="1"/>
  <c r="W21" i="131"/>
  <c r="V21" i="131"/>
  <c r="V52" i="131" s="1"/>
  <c r="O4" i="131" s="1"/>
  <c r="V117" i="131"/>
  <c r="O8" i="131" s="1"/>
  <c r="V150" i="131"/>
  <c r="O10" i="131" s="1"/>
  <c r="V181" i="131"/>
  <c r="O12" i="131" s="1"/>
  <c r="J83" i="130"/>
  <c r="I47" i="130"/>
  <c r="J47" i="130" s="1"/>
  <c r="I46" i="130"/>
  <c r="J46" i="130" s="1"/>
  <c r="I45" i="130"/>
  <c r="J45" i="130" s="1"/>
  <c r="I44" i="130"/>
  <c r="J44" i="130" s="1"/>
  <c r="H82" i="130"/>
  <c r="H113" i="130"/>
  <c r="H238" i="130"/>
  <c r="H144" i="130"/>
  <c r="I43" i="130"/>
  <c r="J43" i="130" s="1"/>
  <c r="I42" i="130"/>
  <c r="J42" i="130" s="1"/>
  <c r="H143" i="130"/>
  <c r="H175" i="130"/>
  <c r="H237" i="130"/>
  <c r="H41" i="130"/>
  <c r="J41" i="130" s="1"/>
  <c r="I41" i="130"/>
  <c r="I40" i="130"/>
  <c r="J40" i="130" s="1"/>
  <c r="Q14" i="131" l="1"/>
  <c r="Q6" i="131"/>
  <c r="P18" i="131"/>
  <c r="O18" i="131"/>
  <c r="R18" i="131" s="1"/>
  <c r="P20" i="131" s="1"/>
  <c r="R4" i="131"/>
  <c r="Q4" i="131"/>
  <c r="R12" i="131"/>
  <c r="Q12" i="131"/>
  <c r="R10" i="131"/>
  <c r="Q10" i="131"/>
  <c r="R8" i="131"/>
  <c r="Q8" i="131"/>
  <c r="H110" i="130"/>
  <c r="H39" i="130"/>
  <c r="I39" i="130"/>
  <c r="J39" i="130" s="1"/>
  <c r="I38" i="130"/>
  <c r="J38" i="130" s="1"/>
  <c r="H37" i="130"/>
  <c r="I37" i="130"/>
  <c r="J37" i="130" s="1"/>
  <c r="I36" i="130"/>
  <c r="J36" i="130" s="1"/>
  <c r="Q18" i="131" l="1"/>
  <c r="H109" i="130"/>
  <c r="H234" i="130"/>
  <c r="H203" i="130"/>
  <c r="J35" i="130"/>
  <c r="I35" i="130"/>
  <c r="I34" i="130"/>
  <c r="J34" i="130" s="1"/>
  <c r="H75" i="130"/>
  <c r="H73" i="130"/>
  <c r="H72" i="130"/>
  <c r="J33" i="130"/>
  <c r="H233" i="130"/>
  <c r="H33" i="130"/>
  <c r="I33" i="130"/>
  <c r="I32" i="130"/>
  <c r="J32" i="130" s="1"/>
  <c r="H107" i="130"/>
  <c r="H139" i="130"/>
  <c r="H202" i="130"/>
  <c r="H232" i="130"/>
  <c r="H201" i="130"/>
  <c r="H170" i="130"/>
  <c r="I31" i="130"/>
  <c r="J31" i="130" s="1"/>
  <c r="I30" i="130"/>
  <c r="J30" i="130" s="1"/>
  <c r="I29" i="130" l="1"/>
  <c r="J29" i="130" s="1"/>
  <c r="I28" i="130"/>
  <c r="J28" i="130" s="1"/>
  <c r="H105" i="130"/>
  <c r="H200" i="130"/>
  <c r="I27" i="130" l="1"/>
  <c r="J27" i="130" s="1"/>
  <c r="H26" i="130"/>
  <c r="I26" i="130"/>
  <c r="J26" i="130" s="1"/>
  <c r="J24" i="130"/>
  <c r="I25" i="130"/>
  <c r="J25" i="130" s="1"/>
  <c r="I24" i="130"/>
  <c r="H69" i="130"/>
  <c r="H167" i="130"/>
  <c r="H197" i="130"/>
  <c r="H102" i="130"/>
  <c r="H68" i="130"/>
  <c r="I23" i="130"/>
  <c r="J23" i="130" s="1"/>
  <c r="H23" i="130"/>
  <c r="H22" i="130"/>
  <c r="I22" i="130"/>
  <c r="J22" i="130" l="1"/>
  <c r="H21" i="130"/>
  <c r="I21" i="130"/>
  <c r="J21" i="130" s="1"/>
  <c r="I20" i="130"/>
  <c r="J20" i="130" s="1"/>
  <c r="H132" i="130"/>
  <c r="H101" i="130"/>
  <c r="I19" i="130" l="1"/>
  <c r="J19" i="130" s="1"/>
  <c r="H195" i="130"/>
  <c r="I18" i="130"/>
  <c r="J18" i="130" s="1"/>
  <c r="I17" i="130"/>
  <c r="J17" i="130" s="1"/>
  <c r="H16" i="130"/>
  <c r="I16" i="130"/>
  <c r="J16" i="130" s="1"/>
  <c r="H65" i="130"/>
  <c r="H163" i="130"/>
  <c r="H225" i="130"/>
  <c r="H193" i="130"/>
  <c r="H129" i="130"/>
  <c r="I15" i="130"/>
  <c r="J15" i="130" s="1"/>
  <c r="W15" i="130" s="1"/>
  <c r="H14" i="130"/>
  <c r="I14" i="130"/>
  <c r="J14" i="130" s="1"/>
  <c r="I13" i="130"/>
  <c r="J13" i="130" s="1"/>
  <c r="I12" i="130"/>
  <c r="J12" i="130" s="1"/>
  <c r="W12" i="130" s="1"/>
  <c r="H63" i="130"/>
  <c r="H161" i="130"/>
  <c r="H192" i="130"/>
  <c r="H223" i="130"/>
  <c r="J223" i="130" s="1"/>
  <c r="W223" i="130" s="1"/>
  <c r="I11" i="130"/>
  <c r="J11" i="130" s="1"/>
  <c r="I10" i="130"/>
  <c r="J10" i="130" s="1"/>
  <c r="W10" i="130" s="1"/>
  <c r="H158" i="130"/>
  <c r="H61" i="130"/>
  <c r="J61" i="130" s="1"/>
  <c r="V61" i="130" s="1"/>
  <c r="I8" i="130"/>
  <c r="I9" i="130"/>
  <c r="H9" i="130"/>
  <c r="H8" i="130"/>
  <c r="H7" i="130"/>
  <c r="H6" i="130"/>
  <c r="J243" i="130"/>
  <c r="W243" i="130" s="1"/>
  <c r="J242" i="130"/>
  <c r="W242" i="130" s="1"/>
  <c r="J241" i="130"/>
  <c r="W241" i="130" s="1"/>
  <c r="J240" i="130"/>
  <c r="W240" i="130" s="1"/>
  <c r="J239" i="130"/>
  <c r="W239" i="130" s="1"/>
  <c r="J238" i="130"/>
  <c r="W238" i="130" s="1"/>
  <c r="J237" i="130"/>
  <c r="V237" i="130" s="1"/>
  <c r="J236" i="130"/>
  <c r="V236" i="130" s="1"/>
  <c r="J235" i="130"/>
  <c r="V235" i="130" s="1"/>
  <c r="J234" i="130"/>
  <c r="J233" i="130"/>
  <c r="W233" i="130" s="1"/>
  <c r="J232" i="130"/>
  <c r="W232" i="130" s="1"/>
  <c r="J231" i="130"/>
  <c r="W231" i="130" s="1"/>
  <c r="J230" i="130"/>
  <c r="W230" i="130" s="1"/>
  <c r="J229" i="130"/>
  <c r="W229" i="130" s="1"/>
  <c r="J228" i="130"/>
  <c r="W228" i="130" s="1"/>
  <c r="J227" i="130"/>
  <c r="W227" i="130" s="1"/>
  <c r="J226" i="130"/>
  <c r="W226" i="130" s="1"/>
  <c r="J225" i="130"/>
  <c r="W225" i="130" s="1"/>
  <c r="J224" i="130"/>
  <c r="W224" i="130" s="1"/>
  <c r="J222" i="130"/>
  <c r="W222" i="130" s="1"/>
  <c r="J221" i="130"/>
  <c r="V221" i="130" s="1"/>
  <c r="B221" i="130"/>
  <c r="B222" i="130" s="1"/>
  <c r="B223" i="130" s="1"/>
  <c r="B224" i="130" s="1"/>
  <c r="B225" i="130" s="1"/>
  <c r="B226" i="130" s="1"/>
  <c r="B227" i="130" s="1"/>
  <c r="B228" i="130" s="1"/>
  <c r="B229" i="130" s="1"/>
  <c r="B230" i="130" s="1"/>
  <c r="B231" i="130" s="1"/>
  <c r="B232" i="130" s="1"/>
  <c r="B233" i="130" s="1"/>
  <c r="B234" i="130" s="1"/>
  <c r="B235" i="130" s="1"/>
  <c r="B236" i="130" s="1"/>
  <c r="B237" i="130" s="1"/>
  <c r="B238" i="130" s="1"/>
  <c r="B239" i="130" s="1"/>
  <c r="B240" i="130" s="1"/>
  <c r="B241" i="130" s="1"/>
  <c r="B242" i="130" s="1"/>
  <c r="B243" i="130" s="1"/>
  <c r="J220" i="130"/>
  <c r="W220" i="130" s="1"/>
  <c r="W211" i="130"/>
  <c r="J211" i="130"/>
  <c r="V211" i="130" s="1"/>
  <c r="J210" i="130"/>
  <c r="W210" i="130" s="1"/>
  <c r="J209" i="130"/>
  <c r="V209" i="130" s="1"/>
  <c r="J208" i="130"/>
  <c r="W208" i="130" s="1"/>
  <c r="J207" i="130"/>
  <c r="W207" i="130" s="1"/>
  <c r="J206" i="130"/>
  <c r="W206" i="130" s="1"/>
  <c r="W205" i="130"/>
  <c r="J205" i="130"/>
  <c r="V205" i="130" s="1"/>
  <c r="J204" i="130"/>
  <c r="V204" i="130" s="1"/>
  <c r="J203" i="130"/>
  <c r="J202" i="130"/>
  <c r="J201" i="130"/>
  <c r="J200" i="130"/>
  <c r="J199" i="130"/>
  <c r="J198" i="130"/>
  <c r="J197" i="130"/>
  <c r="J196" i="130"/>
  <c r="J195" i="130"/>
  <c r="J194" i="130"/>
  <c r="W194" i="130" s="1"/>
  <c r="J193" i="130"/>
  <c r="J192" i="130"/>
  <c r="W192" i="130" s="1"/>
  <c r="J191" i="130"/>
  <c r="W191" i="130" s="1"/>
  <c r="J190" i="130"/>
  <c r="W190" i="130" s="1"/>
  <c r="B190" i="130"/>
  <c r="B191" i="130" s="1"/>
  <c r="B192" i="130" s="1"/>
  <c r="B193" i="130" s="1"/>
  <c r="B194" i="130" s="1"/>
  <c r="B195" i="130" s="1"/>
  <c r="B196" i="130" s="1"/>
  <c r="B197" i="130" s="1"/>
  <c r="B198" i="130" s="1"/>
  <c r="B199" i="130" s="1"/>
  <c r="B200" i="130" s="1"/>
  <c r="B201" i="130" s="1"/>
  <c r="B202" i="130" s="1"/>
  <c r="B203" i="130" s="1"/>
  <c r="B204" i="130" s="1"/>
  <c r="B205" i="130" s="1"/>
  <c r="B206" i="130" s="1"/>
  <c r="B207" i="130" s="1"/>
  <c r="B208" i="130" s="1"/>
  <c r="B209" i="130" s="1"/>
  <c r="B210" i="130" s="1"/>
  <c r="B211" i="130" s="1"/>
  <c r="J189" i="130"/>
  <c r="W189" i="130" s="1"/>
  <c r="J180" i="130"/>
  <c r="J179" i="130"/>
  <c r="J178" i="130"/>
  <c r="J177" i="130"/>
  <c r="J176" i="130"/>
  <c r="J175" i="130"/>
  <c r="W175" i="130" s="1"/>
  <c r="J174" i="130"/>
  <c r="W174" i="130" s="1"/>
  <c r="J173" i="130"/>
  <c r="W173" i="130" s="1"/>
  <c r="W172" i="130"/>
  <c r="J172" i="130"/>
  <c r="V172" i="130" s="1"/>
  <c r="J171" i="130"/>
  <c r="V171" i="130" s="1"/>
  <c r="J170" i="130"/>
  <c r="W170" i="130" s="1"/>
  <c r="J169" i="130"/>
  <c r="W169" i="130" s="1"/>
  <c r="J168" i="130"/>
  <c r="V168" i="130" s="1"/>
  <c r="J167" i="130"/>
  <c r="V167" i="130" s="1"/>
  <c r="B167" i="130"/>
  <c r="B168" i="130" s="1"/>
  <c r="B169" i="130" s="1"/>
  <c r="B170" i="130" s="1"/>
  <c r="B171" i="130" s="1"/>
  <c r="B172" i="130" s="1"/>
  <c r="B173" i="130" s="1"/>
  <c r="B174" i="130" s="1"/>
  <c r="B175" i="130" s="1"/>
  <c r="B176" i="130" s="1"/>
  <c r="B177" i="130" s="1"/>
  <c r="B178" i="130" s="1"/>
  <c r="B179" i="130" s="1"/>
  <c r="B180" i="130" s="1"/>
  <c r="J166" i="130"/>
  <c r="J165" i="130"/>
  <c r="J164" i="130"/>
  <c r="W164" i="130" s="1"/>
  <c r="J163" i="130"/>
  <c r="J162" i="130"/>
  <c r="W162" i="130" s="1"/>
  <c r="J161" i="130"/>
  <c r="W161" i="130" s="1"/>
  <c r="J160" i="130"/>
  <c r="W160" i="130" s="1"/>
  <c r="J159" i="130"/>
  <c r="W159" i="130" s="1"/>
  <c r="B159" i="130"/>
  <c r="B160" i="130" s="1"/>
  <c r="B161" i="130" s="1"/>
  <c r="B162" i="130" s="1"/>
  <c r="B163" i="130" s="1"/>
  <c r="B164" i="130" s="1"/>
  <c r="B165" i="130" s="1"/>
  <c r="B166" i="130" s="1"/>
  <c r="J158" i="130"/>
  <c r="W158" i="130" s="1"/>
  <c r="J149" i="130"/>
  <c r="W149" i="130" s="1"/>
  <c r="J148" i="130"/>
  <c r="J147" i="130"/>
  <c r="W147" i="130" s="1"/>
  <c r="J146" i="130"/>
  <c r="J145" i="130"/>
  <c r="W145" i="130" s="1"/>
  <c r="J144" i="130"/>
  <c r="J143" i="130"/>
  <c r="W143" i="130" s="1"/>
  <c r="J142" i="130"/>
  <c r="W142" i="130" s="1"/>
  <c r="J141" i="130"/>
  <c r="V141" i="130" s="1"/>
  <c r="J140" i="130"/>
  <c r="W140" i="130" s="1"/>
  <c r="J139" i="130"/>
  <c r="W139" i="130" s="1"/>
  <c r="J138" i="130"/>
  <c r="W138" i="130" s="1"/>
  <c r="J137" i="130"/>
  <c r="W137" i="130" s="1"/>
  <c r="J136" i="130"/>
  <c r="J135" i="130"/>
  <c r="V135" i="130" s="1"/>
  <c r="J134" i="130"/>
  <c r="W134" i="130" s="1"/>
  <c r="J133" i="130"/>
  <c r="J132" i="130"/>
  <c r="W132" i="130" s="1"/>
  <c r="J131" i="130"/>
  <c r="J130" i="130"/>
  <c r="V130" i="130" s="1"/>
  <c r="J129" i="130"/>
  <c r="W129" i="130" s="1"/>
  <c r="J128" i="130"/>
  <c r="W128" i="130" s="1"/>
  <c r="J127" i="130"/>
  <c r="W127" i="130" s="1"/>
  <c r="J126" i="130"/>
  <c r="B126" i="130"/>
  <c r="B127" i="130" s="1"/>
  <c r="B128" i="130" s="1"/>
  <c r="B129" i="130" s="1"/>
  <c r="B130" i="130" s="1"/>
  <c r="B131" i="130" s="1"/>
  <c r="B132" i="130" s="1"/>
  <c r="B133" i="130" s="1"/>
  <c r="B134" i="130" s="1"/>
  <c r="B135" i="130" s="1"/>
  <c r="B136" i="130" s="1"/>
  <c r="B137" i="130" s="1"/>
  <c r="B138" i="130" s="1"/>
  <c r="B139" i="130" s="1"/>
  <c r="B140" i="130" s="1"/>
  <c r="B141" i="130" s="1"/>
  <c r="B142" i="130" s="1"/>
  <c r="B143" i="130" s="1"/>
  <c r="B144" i="130" s="1"/>
  <c r="B145" i="130" s="1"/>
  <c r="B146" i="130" s="1"/>
  <c r="B147" i="130" s="1"/>
  <c r="B148" i="130" s="1"/>
  <c r="B149" i="130" s="1"/>
  <c r="J125" i="130"/>
  <c r="W125" i="130" s="1"/>
  <c r="J116" i="130"/>
  <c r="V116" i="130" s="1"/>
  <c r="J115" i="130"/>
  <c r="W115" i="130" s="1"/>
  <c r="J114" i="130"/>
  <c r="V114" i="130" s="1"/>
  <c r="J113" i="130"/>
  <c r="W113" i="130" s="1"/>
  <c r="J112" i="130"/>
  <c r="V112" i="130" s="1"/>
  <c r="J111" i="130"/>
  <c r="W111" i="130" s="1"/>
  <c r="J110" i="130"/>
  <c r="V110" i="130" s="1"/>
  <c r="J109" i="130"/>
  <c r="V109" i="130" s="1"/>
  <c r="J108" i="130"/>
  <c r="V108" i="130" s="1"/>
  <c r="J107" i="130"/>
  <c r="V107" i="130" s="1"/>
  <c r="J106" i="130"/>
  <c r="V106" i="130" s="1"/>
  <c r="J105" i="130"/>
  <c r="W105" i="130" s="1"/>
  <c r="J104" i="130"/>
  <c r="W104" i="130" s="1"/>
  <c r="J103" i="130"/>
  <c r="W103" i="130" s="1"/>
  <c r="J102" i="130"/>
  <c r="W102" i="130" s="1"/>
  <c r="J101" i="130"/>
  <c r="W101" i="130" s="1"/>
  <c r="J100" i="130"/>
  <c r="W100" i="130" s="1"/>
  <c r="J99" i="130"/>
  <c r="W99" i="130" s="1"/>
  <c r="J98" i="130"/>
  <c r="V98" i="130" s="1"/>
  <c r="J97" i="130"/>
  <c r="V97" i="130" s="1"/>
  <c r="J96" i="130"/>
  <c r="W96" i="130" s="1"/>
  <c r="J95" i="130"/>
  <c r="V95" i="130" s="1"/>
  <c r="B95" i="130"/>
  <c r="B96" i="130" s="1"/>
  <c r="B97" i="130" s="1"/>
  <c r="B98" i="130" s="1"/>
  <c r="B99" i="130" s="1"/>
  <c r="B100" i="130" s="1"/>
  <c r="B101" i="130" s="1"/>
  <c r="B102" i="130" s="1"/>
  <c r="B103" i="130" s="1"/>
  <c r="B104" i="130" s="1"/>
  <c r="B105" i="130" s="1"/>
  <c r="B106" i="130" s="1"/>
  <c r="B107" i="130" s="1"/>
  <c r="B108" i="130" s="1"/>
  <c r="B109" i="130" s="1"/>
  <c r="B110" i="130" s="1"/>
  <c r="B111" i="130" s="1"/>
  <c r="B112" i="130" s="1"/>
  <c r="B113" i="130" s="1"/>
  <c r="B114" i="130" s="1"/>
  <c r="B115" i="130" s="1"/>
  <c r="B116" i="130" s="1"/>
  <c r="J94" i="130"/>
  <c r="W94" i="130" s="1"/>
  <c r="J85" i="130"/>
  <c r="W85" i="130" s="1"/>
  <c r="J82" i="130"/>
  <c r="W82" i="130" s="1"/>
  <c r="J81" i="130"/>
  <c r="J80" i="130"/>
  <c r="V80" i="130" s="1"/>
  <c r="J79" i="130"/>
  <c r="W79" i="130" s="1"/>
  <c r="J78" i="130"/>
  <c r="V78" i="130" s="1"/>
  <c r="J77" i="130"/>
  <c r="V77" i="130" s="1"/>
  <c r="J76" i="130"/>
  <c r="V76" i="130" s="1"/>
  <c r="J75" i="130"/>
  <c r="V75" i="130" s="1"/>
  <c r="J74" i="130"/>
  <c r="V74" i="130" s="1"/>
  <c r="J73" i="130"/>
  <c r="W73" i="130" s="1"/>
  <c r="J72" i="130"/>
  <c r="W72" i="130" s="1"/>
  <c r="J71" i="130"/>
  <c r="V71" i="130" s="1"/>
  <c r="J70" i="130"/>
  <c r="W70" i="130" s="1"/>
  <c r="J69" i="130"/>
  <c r="W69" i="130" s="1"/>
  <c r="J68" i="130"/>
  <c r="W68" i="130" s="1"/>
  <c r="J67" i="130"/>
  <c r="V67" i="130" s="1"/>
  <c r="J66" i="130"/>
  <c r="W66" i="130" s="1"/>
  <c r="J65" i="130"/>
  <c r="V65" i="130" s="1"/>
  <c r="J64" i="130"/>
  <c r="V64" i="130" s="1"/>
  <c r="J63" i="130"/>
  <c r="V63" i="130" s="1"/>
  <c r="J62" i="130"/>
  <c r="W62" i="130" s="1"/>
  <c r="B61" i="130"/>
  <c r="B62" i="130" s="1"/>
  <c r="B63" i="130" s="1"/>
  <c r="B64" i="130" s="1"/>
  <c r="B65" i="130" s="1"/>
  <c r="B66" i="130" s="1"/>
  <c r="B67" i="130" s="1"/>
  <c r="B68" i="130" s="1"/>
  <c r="B69" i="130" s="1"/>
  <c r="B70" i="130" s="1"/>
  <c r="B71" i="130" s="1"/>
  <c r="B72" i="130" s="1"/>
  <c r="B73" i="130" s="1"/>
  <c r="B74" i="130" s="1"/>
  <c r="B75" i="130" s="1"/>
  <c r="B76" i="130" s="1"/>
  <c r="B77" i="130" s="1"/>
  <c r="B78" i="130" s="1"/>
  <c r="B79" i="130" s="1"/>
  <c r="B80" i="130" s="1"/>
  <c r="B81" i="130" s="1"/>
  <c r="B82" i="130" s="1"/>
  <c r="J60" i="130"/>
  <c r="V60" i="130" s="1"/>
  <c r="W51" i="130"/>
  <c r="V51" i="130"/>
  <c r="W50" i="130"/>
  <c r="V50" i="130"/>
  <c r="W49" i="130"/>
  <c r="V49" i="130"/>
  <c r="W48" i="130"/>
  <c r="V48" i="130"/>
  <c r="W47" i="130"/>
  <c r="V47" i="130"/>
  <c r="W46" i="130"/>
  <c r="V46" i="130"/>
  <c r="W45" i="130"/>
  <c r="V45" i="130"/>
  <c r="V42" i="130"/>
  <c r="W42" i="130"/>
  <c r="V41" i="130"/>
  <c r="W37" i="130"/>
  <c r="V37" i="130"/>
  <c r="W36" i="130"/>
  <c r="W32" i="130"/>
  <c r="W29" i="130"/>
  <c r="V29" i="130"/>
  <c r="W26" i="130"/>
  <c r="V26" i="130"/>
  <c r="W23" i="130"/>
  <c r="W22" i="130"/>
  <c r="V22" i="130"/>
  <c r="W20" i="130"/>
  <c r="N16" i="130"/>
  <c r="N14" i="130"/>
  <c r="N12" i="130"/>
  <c r="N10" i="130"/>
  <c r="N8" i="130"/>
  <c r="I7" i="130"/>
  <c r="J7" i="130" s="1"/>
  <c r="B7" i="130"/>
  <c r="B8" i="130" s="1"/>
  <c r="B9" i="130" s="1"/>
  <c r="B10" i="130" s="1"/>
  <c r="B11" i="130" s="1"/>
  <c r="B12" i="130" s="1"/>
  <c r="B13" i="130" s="1"/>
  <c r="B14" i="130" s="1"/>
  <c r="B15" i="130" s="1"/>
  <c r="B16" i="130" s="1"/>
  <c r="B17" i="130" s="1"/>
  <c r="B18" i="130" s="1"/>
  <c r="B19" i="130" s="1"/>
  <c r="B20" i="130" s="1"/>
  <c r="B21" i="130" s="1"/>
  <c r="B22" i="130" s="1"/>
  <c r="B23" i="130" s="1"/>
  <c r="B24" i="130" s="1"/>
  <c r="B25" i="130" s="1"/>
  <c r="B26" i="130" s="1"/>
  <c r="B27" i="130" s="1"/>
  <c r="B28" i="130" s="1"/>
  <c r="B29" i="130" s="1"/>
  <c r="B30" i="130" s="1"/>
  <c r="B31" i="130" s="1"/>
  <c r="B32" i="130" s="1"/>
  <c r="B33" i="130" s="1"/>
  <c r="B34" i="130" s="1"/>
  <c r="B35" i="130" s="1"/>
  <c r="B36" i="130" s="1"/>
  <c r="B37" i="130" s="1"/>
  <c r="B38" i="130" s="1"/>
  <c r="B39" i="130" s="1"/>
  <c r="B40" i="130" s="1"/>
  <c r="B41" i="130" s="1"/>
  <c r="B42" i="130" s="1"/>
  <c r="B43" i="130" s="1"/>
  <c r="B44" i="130" s="1"/>
  <c r="B45" i="130" s="1"/>
  <c r="B46" i="130" s="1"/>
  <c r="B47" i="130" s="1"/>
  <c r="B48" i="130" s="1"/>
  <c r="B49" i="130" s="1"/>
  <c r="B50" i="130" s="1"/>
  <c r="B51" i="130" s="1"/>
  <c r="N6" i="130"/>
  <c r="I6" i="130"/>
  <c r="J6" i="130" s="1"/>
  <c r="N4" i="130"/>
  <c r="V103" i="130" l="1"/>
  <c r="V139" i="130"/>
  <c r="V149" i="130"/>
  <c r="J9" i="130"/>
  <c r="J52" i="130" s="1"/>
  <c r="W74" i="130"/>
  <c r="V102" i="130"/>
  <c r="V138" i="130"/>
  <c r="W168" i="130"/>
  <c r="W237" i="130"/>
  <c r="J8" i="130"/>
  <c r="W8" i="130" s="1"/>
  <c r="V147" i="130"/>
  <c r="W116" i="130"/>
  <c r="V19" i="130"/>
  <c r="W19" i="130"/>
  <c r="W209" i="130"/>
  <c r="W17" i="130"/>
  <c r="V17" i="130"/>
  <c r="V85" i="130"/>
  <c r="V113" i="130"/>
  <c r="V145" i="130"/>
  <c r="V208" i="130"/>
  <c r="W236" i="130"/>
  <c r="V142" i="130"/>
  <c r="W109" i="130"/>
  <c r="W171" i="130"/>
  <c r="V170" i="130"/>
  <c r="V105" i="130"/>
  <c r="V104" i="130"/>
  <c r="V69" i="130"/>
  <c r="W167" i="130"/>
  <c r="V134" i="130"/>
  <c r="V101" i="130"/>
  <c r="V224" i="130"/>
  <c r="V100" i="130"/>
  <c r="V99" i="130"/>
  <c r="V129" i="130"/>
  <c r="W63" i="130"/>
  <c r="V161" i="130"/>
  <c r="W221" i="130"/>
  <c r="V160" i="130"/>
  <c r="V128" i="130"/>
  <c r="V223" i="130"/>
  <c r="W235" i="130"/>
  <c r="V238" i="130"/>
  <c r="V222" i="130"/>
  <c r="V191" i="130"/>
  <c r="W204" i="130"/>
  <c r="V207" i="130"/>
  <c r="V189" i="130"/>
  <c r="V190" i="130"/>
  <c r="V206" i="130"/>
  <c r="V210" i="130"/>
  <c r="V158" i="130"/>
  <c r="V159" i="130"/>
  <c r="V169" i="130"/>
  <c r="V173" i="130"/>
  <c r="V175" i="130"/>
  <c r="V174" i="130"/>
  <c r="V127" i="130"/>
  <c r="V132" i="130"/>
  <c r="V137" i="130"/>
  <c r="W141" i="130"/>
  <c r="W130" i="130"/>
  <c r="W135" i="130"/>
  <c r="V140" i="130"/>
  <c r="N18" i="130"/>
  <c r="W97" i="130"/>
  <c r="V111" i="130"/>
  <c r="V115" i="130"/>
  <c r="V94" i="130"/>
  <c r="V96" i="130"/>
  <c r="W107" i="130"/>
  <c r="W114" i="130"/>
  <c r="V73" i="130"/>
  <c r="W78" i="130"/>
  <c r="W76" i="130"/>
  <c r="V82" i="130"/>
  <c r="W65" i="130"/>
  <c r="V68" i="130"/>
  <c r="V70" i="130"/>
  <c r="V72" i="130"/>
  <c r="V62" i="130"/>
  <c r="W7" i="130"/>
  <c r="V7" i="130"/>
  <c r="V6" i="130"/>
  <c r="W6" i="130"/>
  <c r="V16" i="130"/>
  <c r="W16" i="130"/>
  <c r="W30" i="130"/>
  <c r="V30" i="130"/>
  <c r="V44" i="130"/>
  <c r="W44" i="130"/>
  <c r="W27" i="130"/>
  <c r="V27" i="130"/>
  <c r="V31" i="130"/>
  <c r="W31" i="130"/>
  <c r="W33" i="130"/>
  <c r="V33" i="130"/>
  <c r="W38" i="130"/>
  <c r="V38" i="130"/>
  <c r="W14" i="130"/>
  <c r="V14" i="130"/>
  <c r="V18" i="130"/>
  <c r="W18" i="130"/>
  <c r="W11" i="130"/>
  <c r="V11" i="130"/>
  <c r="W24" i="130"/>
  <c r="V24" i="130"/>
  <c r="V28" i="130"/>
  <c r="W28" i="130"/>
  <c r="W34" i="130"/>
  <c r="V34" i="130"/>
  <c r="V39" i="130"/>
  <c r="W39" i="130"/>
  <c r="W13" i="130"/>
  <c r="V13" i="130"/>
  <c r="V21" i="130"/>
  <c r="W21" i="130"/>
  <c r="V25" i="130"/>
  <c r="W25" i="130"/>
  <c r="V35" i="130"/>
  <c r="W35" i="130"/>
  <c r="W40" i="130"/>
  <c r="V40" i="130"/>
  <c r="W43" i="130"/>
  <c r="V43" i="130"/>
  <c r="V126" i="130"/>
  <c r="W126" i="130"/>
  <c r="V136" i="130"/>
  <c r="W136" i="130"/>
  <c r="W178" i="130"/>
  <c r="V178" i="130"/>
  <c r="V10" i="130"/>
  <c r="V12" i="130"/>
  <c r="V15" i="130"/>
  <c r="V23" i="130"/>
  <c r="V32" i="130"/>
  <c r="W41" i="130"/>
  <c r="W61" i="130"/>
  <c r="W64" i="130"/>
  <c r="V66" i="130"/>
  <c r="W67" i="130"/>
  <c r="W75" i="130"/>
  <c r="W77" i="130"/>
  <c r="V79" i="130"/>
  <c r="W80" i="130"/>
  <c r="V143" i="130"/>
  <c r="W165" i="130"/>
  <c r="V165" i="130"/>
  <c r="W195" i="130"/>
  <c r="V195" i="130"/>
  <c r="W234" i="130"/>
  <c r="W244" i="130" s="1"/>
  <c r="P16" i="130" s="1"/>
  <c r="V234" i="130"/>
  <c r="V8" i="130"/>
  <c r="V20" i="130"/>
  <c r="V36" i="130"/>
  <c r="W60" i="130"/>
  <c r="W71" i="130"/>
  <c r="W95" i="130"/>
  <c r="W98" i="130"/>
  <c r="W106" i="130"/>
  <c r="W108" i="130"/>
  <c r="W110" i="130"/>
  <c r="W112" i="130"/>
  <c r="W131" i="130"/>
  <c r="V131" i="130"/>
  <c r="W133" i="130"/>
  <c r="V133" i="130"/>
  <c r="W144" i="130"/>
  <c r="V144" i="130"/>
  <c r="W146" i="130"/>
  <c r="V146" i="130"/>
  <c r="W148" i="130"/>
  <c r="V148" i="130"/>
  <c r="W166" i="130"/>
  <c r="V166" i="130"/>
  <c r="W176" i="130"/>
  <c r="V176" i="130"/>
  <c r="W180" i="130"/>
  <c r="V180" i="130"/>
  <c r="W196" i="130"/>
  <c r="V196" i="130"/>
  <c r="J86" i="130"/>
  <c r="W163" i="130"/>
  <c r="V163" i="130"/>
  <c r="W193" i="130"/>
  <c r="V193" i="130"/>
  <c r="J181" i="130"/>
  <c r="W197" i="130"/>
  <c r="V197" i="130"/>
  <c r="W199" i="130"/>
  <c r="V199" i="130"/>
  <c r="W201" i="130"/>
  <c r="V201" i="130"/>
  <c r="W203" i="130"/>
  <c r="V203" i="130"/>
  <c r="J244" i="130"/>
  <c r="V220" i="130"/>
  <c r="V225" i="130"/>
  <c r="V227" i="130"/>
  <c r="V229" i="130"/>
  <c r="V231" i="130"/>
  <c r="V233" i="130"/>
  <c r="V239" i="130"/>
  <c r="V241" i="130"/>
  <c r="V243" i="130"/>
  <c r="W177" i="130"/>
  <c r="V177" i="130"/>
  <c r="W179" i="130"/>
  <c r="V179" i="130"/>
  <c r="J117" i="130"/>
  <c r="J150" i="130"/>
  <c r="V125" i="130"/>
  <c r="V162" i="130"/>
  <c r="V164" i="130"/>
  <c r="J212" i="130"/>
  <c r="V192" i="130"/>
  <c r="V194" i="130"/>
  <c r="W198" i="130"/>
  <c r="V198" i="130"/>
  <c r="W200" i="130"/>
  <c r="V200" i="130"/>
  <c r="W202" i="130"/>
  <c r="V202" i="130"/>
  <c r="V226" i="130"/>
  <c r="V228" i="130"/>
  <c r="V230" i="130"/>
  <c r="V232" i="130"/>
  <c r="V240" i="130"/>
  <c r="V242" i="130"/>
  <c r="H237" i="129"/>
  <c r="J44" i="129"/>
  <c r="I44" i="129"/>
  <c r="H43" i="129"/>
  <c r="I43" i="129"/>
  <c r="J43" i="129" s="1"/>
  <c r="W9" i="130" l="1"/>
  <c r="V9" i="130"/>
  <c r="V117" i="130"/>
  <c r="O8" i="130" s="1"/>
  <c r="R8" i="130" s="1"/>
  <c r="W181" i="130"/>
  <c r="P12" i="130" s="1"/>
  <c r="V212" i="130"/>
  <c r="O14" i="130" s="1"/>
  <c r="R14" i="130" s="1"/>
  <c r="W212" i="130"/>
  <c r="P14" i="130" s="1"/>
  <c r="V181" i="130"/>
  <c r="O12" i="130" s="1"/>
  <c r="R12" i="130" s="1"/>
  <c r="V150" i="130"/>
  <c r="O10" i="130" s="1"/>
  <c r="R10" i="130" s="1"/>
  <c r="W150" i="130"/>
  <c r="P10" i="130" s="1"/>
  <c r="V86" i="130"/>
  <c r="O6" i="130" s="1"/>
  <c r="R6" i="130" s="1"/>
  <c r="W52" i="130"/>
  <c r="P4" i="130" s="1"/>
  <c r="W86" i="130"/>
  <c r="P6" i="130" s="1"/>
  <c r="V244" i="130"/>
  <c r="O16" i="130" s="1"/>
  <c r="R16" i="130" s="1"/>
  <c r="W117" i="130"/>
  <c r="P8" i="130" s="1"/>
  <c r="V52" i="130"/>
  <c r="O4" i="130" s="1"/>
  <c r="H207" i="129"/>
  <c r="H174" i="129"/>
  <c r="H81" i="129"/>
  <c r="I42" i="129"/>
  <c r="J42" i="129" s="1"/>
  <c r="H41" i="129"/>
  <c r="I41" i="129"/>
  <c r="J41" i="129" s="1"/>
  <c r="Q8" i="130" l="1"/>
  <c r="Q6" i="130"/>
  <c r="Q14" i="130"/>
  <c r="Q10" i="130"/>
  <c r="Q12" i="130"/>
  <c r="P18" i="130"/>
  <c r="O18" i="130"/>
  <c r="R18" i="130" s="1"/>
  <c r="P20" i="130" s="1"/>
  <c r="R4" i="130"/>
  <c r="Q4" i="130"/>
  <c r="H235" i="129"/>
  <c r="H233" i="129"/>
  <c r="H232" i="129"/>
  <c r="H202" i="129"/>
  <c r="H171" i="129"/>
  <c r="H170" i="129"/>
  <c r="H141" i="129"/>
  <c r="H139" i="129"/>
  <c r="H80" i="129"/>
  <c r="H79" i="129"/>
  <c r="J32" i="129"/>
  <c r="J36" i="129"/>
  <c r="J40" i="129"/>
  <c r="H40" i="129"/>
  <c r="I40" i="129"/>
  <c r="I39" i="129"/>
  <c r="J39" i="129" s="1"/>
  <c r="I38" i="129"/>
  <c r="J38" i="129" s="1"/>
  <c r="I37" i="129"/>
  <c r="J37" i="129" s="1"/>
  <c r="I36" i="129"/>
  <c r="I35" i="129"/>
  <c r="J35" i="129" s="1"/>
  <c r="I34" i="129"/>
  <c r="J34" i="129" s="1"/>
  <c r="I33" i="129"/>
  <c r="J33" i="129" s="1"/>
  <c r="I32" i="129"/>
  <c r="Q18" i="130" l="1"/>
  <c r="H30" i="129"/>
  <c r="H165" i="129"/>
  <c r="H135" i="129"/>
  <c r="H104" i="129"/>
  <c r="H74" i="129"/>
  <c r="H72" i="129"/>
  <c r="H31" i="129"/>
  <c r="J31" i="129" s="1"/>
  <c r="I31" i="129"/>
  <c r="I30" i="129"/>
  <c r="I29" i="129"/>
  <c r="J29" i="129" s="1"/>
  <c r="I28" i="129"/>
  <c r="J28" i="129" s="1"/>
  <c r="H27" i="129"/>
  <c r="I27" i="129"/>
  <c r="I26" i="129"/>
  <c r="J26" i="129" s="1"/>
  <c r="J25" i="129"/>
  <c r="I25" i="129"/>
  <c r="I24" i="129"/>
  <c r="J24" i="129" s="1"/>
  <c r="J30" i="129" l="1"/>
  <c r="J27" i="129"/>
  <c r="I23" i="129"/>
  <c r="J23" i="129" s="1"/>
  <c r="I22" i="129"/>
  <c r="J22" i="129" s="1"/>
  <c r="H71" i="129"/>
  <c r="H133" i="129"/>
  <c r="H164" i="129"/>
  <c r="I21" i="129"/>
  <c r="J21" i="129" s="1"/>
  <c r="J20" i="129"/>
  <c r="I20" i="129"/>
  <c r="I19" i="129"/>
  <c r="J19" i="129" s="1"/>
  <c r="H18" i="129"/>
  <c r="I18" i="129"/>
  <c r="J18" i="129" s="1"/>
  <c r="J17" i="129"/>
  <c r="I17" i="129"/>
  <c r="H16" i="129"/>
  <c r="I16" i="129"/>
  <c r="J16" i="129" s="1"/>
  <c r="H68" i="129"/>
  <c r="H67" i="129"/>
  <c r="H194" i="129"/>
  <c r="H223" i="129"/>
  <c r="H160" i="129" l="1"/>
  <c r="H129" i="129"/>
  <c r="H97" i="129"/>
  <c r="H66" i="129"/>
  <c r="H63" i="129"/>
  <c r="I15" i="129"/>
  <c r="J15" i="129" s="1"/>
  <c r="J14" i="129"/>
  <c r="I14" i="129"/>
  <c r="H221" i="129" l="1"/>
  <c r="H190" i="129"/>
  <c r="H128" i="129"/>
  <c r="H95" i="129"/>
  <c r="H94" i="129"/>
  <c r="J11" i="129"/>
  <c r="J12" i="129"/>
  <c r="I13" i="129"/>
  <c r="J13" i="129" s="1"/>
  <c r="H12" i="129"/>
  <c r="I12" i="129"/>
  <c r="I11" i="129"/>
  <c r="I10" i="129"/>
  <c r="J10" i="129" s="1"/>
  <c r="I9" i="129" l="1"/>
  <c r="J9" i="129" s="1"/>
  <c r="I8" i="129"/>
  <c r="J8" i="129" s="1"/>
  <c r="H62" i="129"/>
  <c r="H93" i="129"/>
  <c r="H125" i="129"/>
  <c r="H218" i="129"/>
  <c r="J218" i="129" s="1"/>
  <c r="V218" i="129" s="1"/>
  <c r="H156" i="129"/>
  <c r="J156" i="129" s="1"/>
  <c r="H60" i="129"/>
  <c r="J60" i="129" s="1"/>
  <c r="J241" i="129"/>
  <c r="V241" i="129" s="1"/>
  <c r="J240" i="129"/>
  <c r="V240" i="129" s="1"/>
  <c r="J239" i="129"/>
  <c r="V239" i="129" s="1"/>
  <c r="J238" i="129"/>
  <c r="V238" i="129" s="1"/>
  <c r="J237" i="129"/>
  <c r="J236" i="129"/>
  <c r="W236" i="129" s="1"/>
  <c r="J235" i="129"/>
  <c r="W234" i="129"/>
  <c r="J234" i="129"/>
  <c r="V234" i="129" s="1"/>
  <c r="J233" i="129"/>
  <c r="V233" i="129" s="1"/>
  <c r="J232" i="129"/>
  <c r="V232" i="129" s="1"/>
  <c r="J231" i="129"/>
  <c r="V231" i="129" s="1"/>
  <c r="J230" i="129"/>
  <c r="V230" i="129" s="1"/>
  <c r="J229" i="129"/>
  <c r="J228" i="129"/>
  <c r="J227" i="129"/>
  <c r="J226" i="129"/>
  <c r="W226" i="129" s="1"/>
  <c r="J225" i="129"/>
  <c r="V225" i="129" s="1"/>
  <c r="J224" i="129"/>
  <c r="J223" i="129"/>
  <c r="J222" i="129"/>
  <c r="W222" i="129" s="1"/>
  <c r="J221" i="129"/>
  <c r="V221" i="129" s="1"/>
  <c r="J220" i="129"/>
  <c r="V220" i="129" s="1"/>
  <c r="J219" i="129"/>
  <c r="V219" i="129" s="1"/>
  <c r="B219" i="129"/>
  <c r="B220" i="129" s="1"/>
  <c r="B221" i="129" s="1"/>
  <c r="B222" i="129" s="1"/>
  <c r="B223" i="129" s="1"/>
  <c r="B224" i="129" s="1"/>
  <c r="B225" i="129" s="1"/>
  <c r="B226" i="129" s="1"/>
  <c r="B227" i="129" s="1"/>
  <c r="B228" i="129" s="1"/>
  <c r="B229" i="129" s="1"/>
  <c r="B230" i="129" s="1"/>
  <c r="B231" i="129" s="1"/>
  <c r="B232" i="129" s="1"/>
  <c r="B233" i="129" s="1"/>
  <c r="B234" i="129" s="1"/>
  <c r="B235" i="129" s="1"/>
  <c r="B236" i="129" s="1"/>
  <c r="B237" i="129" s="1"/>
  <c r="B238" i="129" s="1"/>
  <c r="B239" i="129" s="1"/>
  <c r="B240" i="129" s="1"/>
  <c r="B241" i="129" s="1"/>
  <c r="J209" i="129"/>
  <c r="W209" i="129" s="1"/>
  <c r="J208" i="129"/>
  <c r="W208" i="129" s="1"/>
  <c r="J207" i="129"/>
  <c r="W207" i="129" s="1"/>
  <c r="J206" i="129"/>
  <c r="W206" i="129" s="1"/>
  <c r="J205" i="129"/>
  <c r="W205" i="129" s="1"/>
  <c r="J204" i="129"/>
  <c r="V204" i="129" s="1"/>
  <c r="J203" i="129"/>
  <c r="W203" i="129" s="1"/>
  <c r="J202" i="129"/>
  <c r="W202" i="129" s="1"/>
  <c r="J201" i="129"/>
  <c r="V201" i="129" s="1"/>
  <c r="J200" i="129"/>
  <c r="W200" i="129" s="1"/>
  <c r="J199" i="129"/>
  <c r="W199" i="129" s="1"/>
  <c r="J198" i="129"/>
  <c r="W198" i="129" s="1"/>
  <c r="J197" i="129"/>
  <c r="W197" i="129" s="1"/>
  <c r="J196" i="129"/>
  <c r="V196" i="129" s="1"/>
  <c r="J195" i="129"/>
  <c r="V195" i="129" s="1"/>
  <c r="J194" i="129"/>
  <c r="W194" i="129" s="1"/>
  <c r="J193" i="129"/>
  <c r="V193" i="129" s="1"/>
  <c r="J192" i="129"/>
  <c r="V192" i="129" s="1"/>
  <c r="J191" i="129"/>
  <c r="V191" i="129" s="1"/>
  <c r="J190" i="129"/>
  <c r="V190" i="129" s="1"/>
  <c r="J189" i="129"/>
  <c r="V189" i="129" s="1"/>
  <c r="J188" i="129"/>
  <c r="V188" i="129" s="1"/>
  <c r="B188" i="129"/>
  <c r="B189" i="129" s="1"/>
  <c r="B190" i="129" s="1"/>
  <c r="B191" i="129" s="1"/>
  <c r="B192" i="129" s="1"/>
  <c r="B193" i="129" s="1"/>
  <c r="B194" i="129" s="1"/>
  <c r="B195" i="129" s="1"/>
  <c r="B196" i="129" s="1"/>
  <c r="B197" i="129" s="1"/>
  <c r="B198" i="129" s="1"/>
  <c r="B199" i="129" s="1"/>
  <c r="B200" i="129" s="1"/>
  <c r="B201" i="129" s="1"/>
  <c r="B202" i="129" s="1"/>
  <c r="B203" i="129" s="1"/>
  <c r="B204" i="129" s="1"/>
  <c r="B205" i="129" s="1"/>
  <c r="B206" i="129" s="1"/>
  <c r="B207" i="129" s="1"/>
  <c r="B208" i="129" s="1"/>
  <c r="B209" i="129" s="1"/>
  <c r="J187" i="129"/>
  <c r="W187" i="129" s="1"/>
  <c r="J178" i="129"/>
  <c r="J177" i="129"/>
  <c r="V177" i="129" s="1"/>
  <c r="J176" i="129"/>
  <c r="W176" i="129" s="1"/>
  <c r="J175" i="129"/>
  <c r="J174" i="129"/>
  <c r="V174" i="129" s="1"/>
  <c r="J173" i="129"/>
  <c r="J172" i="129"/>
  <c r="J171" i="129"/>
  <c r="W171" i="129" s="1"/>
  <c r="J170" i="129"/>
  <c r="W170" i="129" s="1"/>
  <c r="J169" i="129"/>
  <c r="W169" i="129" s="1"/>
  <c r="J168" i="129"/>
  <c r="J167" i="129"/>
  <c r="W167" i="129" s="1"/>
  <c r="J166" i="129"/>
  <c r="W166" i="129" s="1"/>
  <c r="J165" i="129"/>
  <c r="W165" i="129" s="1"/>
  <c r="J164" i="129"/>
  <c r="J163" i="129"/>
  <c r="J162" i="129"/>
  <c r="W162" i="129" s="1"/>
  <c r="J161" i="129"/>
  <c r="V161" i="129" s="1"/>
  <c r="J160" i="129"/>
  <c r="W160" i="129" s="1"/>
  <c r="J159" i="129"/>
  <c r="J158" i="129"/>
  <c r="W158" i="129" s="1"/>
  <c r="J157" i="129"/>
  <c r="W157" i="129" s="1"/>
  <c r="B157" i="129"/>
  <c r="B158" i="129" s="1"/>
  <c r="B159" i="129" s="1"/>
  <c r="B160" i="129" s="1"/>
  <c r="B161" i="129" s="1"/>
  <c r="B162" i="129" s="1"/>
  <c r="B163" i="129" s="1"/>
  <c r="B164" i="129" s="1"/>
  <c r="B165" i="129" s="1"/>
  <c r="B166" i="129" s="1"/>
  <c r="B167" i="129" s="1"/>
  <c r="B168" i="129" s="1"/>
  <c r="B169" i="129" s="1"/>
  <c r="B170" i="129" s="1"/>
  <c r="B171" i="129" s="1"/>
  <c r="B172" i="129" s="1"/>
  <c r="B173" i="129" s="1"/>
  <c r="B174" i="129" s="1"/>
  <c r="B175" i="129" s="1"/>
  <c r="B176" i="129" s="1"/>
  <c r="B177" i="129" s="1"/>
  <c r="B178" i="129" s="1"/>
  <c r="J147" i="129"/>
  <c r="W147" i="129" s="1"/>
  <c r="J146" i="129"/>
  <c r="J145" i="129"/>
  <c r="W145" i="129" s="1"/>
  <c r="J144" i="129"/>
  <c r="V144" i="129" s="1"/>
  <c r="J143" i="129"/>
  <c r="W143" i="129" s="1"/>
  <c r="J142" i="129"/>
  <c r="J141" i="129"/>
  <c r="W141" i="129" s="1"/>
  <c r="J140" i="129"/>
  <c r="V140" i="129" s="1"/>
  <c r="J139" i="129"/>
  <c r="J138" i="129"/>
  <c r="V138" i="129" s="1"/>
  <c r="J137" i="129"/>
  <c r="V137" i="129" s="1"/>
  <c r="J136" i="129"/>
  <c r="W136" i="129" s="1"/>
  <c r="J135" i="129"/>
  <c r="W135" i="129" s="1"/>
  <c r="J134" i="129"/>
  <c r="J133" i="129"/>
  <c r="W133" i="129" s="1"/>
  <c r="J132" i="129"/>
  <c r="W132" i="129" s="1"/>
  <c r="J131" i="129"/>
  <c r="V131" i="129" s="1"/>
  <c r="J130" i="129"/>
  <c r="W130" i="129" s="1"/>
  <c r="J129" i="129"/>
  <c r="V129" i="129" s="1"/>
  <c r="V128" i="129"/>
  <c r="J128" i="129"/>
  <c r="W128" i="129" s="1"/>
  <c r="J127" i="129"/>
  <c r="W127" i="129" s="1"/>
  <c r="J126" i="129"/>
  <c r="V126" i="129" s="1"/>
  <c r="J125" i="129"/>
  <c r="V125" i="129" s="1"/>
  <c r="J124" i="129"/>
  <c r="B124" i="129"/>
  <c r="B125" i="129" s="1"/>
  <c r="B126" i="129" s="1"/>
  <c r="B127" i="129" s="1"/>
  <c r="B128" i="129" s="1"/>
  <c r="B129" i="129" s="1"/>
  <c r="B130" i="129" s="1"/>
  <c r="B131" i="129" s="1"/>
  <c r="B132" i="129" s="1"/>
  <c r="B133" i="129" s="1"/>
  <c r="B134" i="129" s="1"/>
  <c r="B135" i="129" s="1"/>
  <c r="B136" i="129" s="1"/>
  <c r="B137" i="129" s="1"/>
  <c r="B138" i="129" s="1"/>
  <c r="B139" i="129" s="1"/>
  <c r="B140" i="129" s="1"/>
  <c r="B141" i="129" s="1"/>
  <c r="B142" i="129" s="1"/>
  <c r="B143" i="129" s="1"/>
  <c r="B144" i="129" s="1"/>
  <c r="B145" i="129" s="1"/>
  <c r="B146" i="129" s="1"/>
  <c r="B147" i="129" s="1"/>
  <c r="J123" i="129"/>
  <c r="J114" i="129"/>
  <c r="W114" i="129" s="1"/>
  <c r="J113" i="129"/>
  <c r="V113" i="129" s="1"/>
  <c r="J112" i="129"/>
  <c r="W112" i="129" s="1"/>
  <c r="J111" i="129"/>
  <c r="W111" i="129" s="1"/>
  <c r="J110" i="129"/>
  <c r="W110" i="129" s="1"/>
  <c r="J109" i="129"/>
  <c r="V109" i="129" s="1"/>
  <c r="W108" i="129"/>
  <c r="V108" i="129"/>
  <c r="J108" i="129"/>
  <c r="J107" i="129"/>
  <c r="W107" i="129" s="1"/>
  <c r="J106" i="129"/>
  <c r="V106" i="129" s="1"/>
  <c r="J105" i="129"/>
  <c r="V105" i="129" s="1"/>
  <c r="J104" i="129"/>
  <c r="V104" i="129" s="1"/>
  <c r="J103" i="129"/>
  <c r="V103" i="129" s="1"/>
  <c r="J102" i="129"/>
  <c r="V102" i="129" s="1"/>
  <c r="J101" i="129"/>
  <c r="W101" i="129" s="1"/>
  <c r="J100" i="129"/>
  <c r="J99" i="129"/>
  <c r="J98" i="129"/>
  <c r="J97" i="129"/>
  <c r="W97" i="129" s="1"/>
  <c r="J96" i="129"/>
  <c r="V96" i="129" s="1"/>
  <c r="J95" i="129"/>
  <c r="V95" i="129" s="1"/>
  <c r="J94" i="129"/>
  <c r="V94" i="129" s="1"/>
  <c r="J93" i="129"/>
  <c r="V93" i="129" s="1"/>
  <c r="B93" i="129"/>
  <c r="B94" i="129" s="1"/>
  <c r="B95" i="129" s="1"/>
  <c r="B96" i="129" s="1"/>
  <c r="B97" i="129" s="1"/>
  <c r="B98" i="129" s="1"/>
  <c r="B99" i="129" s="1"/>
  <c r="B100" i="129" s="1"/>
  <c r="B101" i="129" s="1"/>
  <c r="B102" i="129" s="1"/>
  <c r="B103" i="129" s="1"/>
  <c r="B104" i="129" s="1"/>
  <c r="B105" i="129" s="1"/>
  <c r="B106" i="129" s="1"/>
  <c r="B107" i="129" s="1"/>
  <c r="B108" i="129" s="1"/>
  <c r="B109" i="129" s="1"/>
  <c r="B110" i="129" s="1"/>
  <c r="B111" i="129" s="1"/>
  <c r="B112" i="129" s="1"/>
  <c r="B113" i="129" s="1"/>
  <c r="B114" i="129" s="1"/>
  <c r="J92" i="129"/>
  <c r="V92" i="129" s="1"/>
  <c r="J83" i="129"/>
  <c r="J82" i="129"/>
  <c r="J81" i="129"/>
  <c r="J80" i="129"/>
  <c r="V80" i="129" s="1"/>
  <c r="J79" i="129"/>
  <c r="W79" i="129" s="1"/>
  <c r="J78" i="129"/>
  <c r="W78" i="129" s="1"/>
  <c r="J77" i="129"/>
  <c r="J76" i="129"/>
  <c r="J75" i="129"/>
  <c r="J74" i="129"/>
  <c r="J73" i="129"/>
  <c r="J72" i="129"/>
  <c r="J71" i="129"/>
  <c r="W71" i="129" s="1"/>
  <c r="J70" i="129"/>
  <c r="W70" i="129" s="1"/>
  <c r="J69" i="129"/>
  <c r="W69" i="129" s="1"/>
  <c r="J68" i="129"/>
  <c r="V68" i="129" s="1"/>
  <c r="J67" i="129"/>
  <c r="V67" i="129" s="1"/>
  <c r="J66" i="129"/>
  <c r="W66" i="129" s="1"/>
  <c r="J65" i="129"/>
  <c r="J64" i="129"/>
  <c r="J63" i="129"/>
  <c r="J62" i="129"/>
  <c r="W62" i="129" s="1"/>
  <c r="J61" i="129"/>
  <c r="V61" i="129" s="1"/>
  <c r="B61" i="129"/>
  <c r="B62" i="129" s="1"/>
  <c r="B63" i="129" s="1"/>
  <c r="B64" i="129" s="1"/>
  <c r="B65" i="129" s="1"/>
  <c r="B66" i="129" s="1"/>
  <c r="B67" i="129" s="1"/>
  <c r="B68" i="129" s="1"/>
  <c r="B69" i="129" s="1"/>
  <c r="B70" i="129" s="1"/>
  <c r="B71" i="129" s="1"/>
  <c r="B72" i="129" s="1"/>
  <c r="B73" i="129" s="1"/>
  <c r="B74" i="129" s="1"/>
  <c r="B75" i="129" s="1"/>
  <c r="B76" i="129" s="1"/>
  <c r="B77" i="129" s="1"/>
  <c r="B78" i="129" s="1"/>
  <c r="B79" i="129" s="1"/>
  <c r="B80" i="129" s="1"/>
  <c r="B81" i="129" s="1"/>
  <c r="B82" i="129" s="1"/>
  <c r="B83" i="129" s="1"/>
  <c r="W51" i="129"/>
  <c r="V51" i="129"/>
  <c r="W50" i="129"/>
  <c r="V50" i="129"/>
  <c r="W49" i="129"/>
  <c r="V49" i="129"/>
  <c r="W47" i="129"/>
  <c r="W46" i="129"/>
  <c r="V46" i="129"/>
  <c r="W45" i="129"/>
  <c r="W44" i="129"/>
  <c r="W43" i="129"/>
  <c r="V43" i="129"/>
  <c r="W41" i="129"/>
  <c r="W40" i="129"/>
  <c r="W39" i="129"/>
  <c r="V39" i="129"/>
  <c r="W37" i="129"/>
  <c r="W36" i="129"/>
  <c r="V36" i="129"/>
  <c r="W34" i="129"/>
  <c r="W32" i="129"/>
  <c r="W29" i="129"/>
  <c r="W25" i="129"/>
  <c r="W23" i="129"/>
  <c r="W20" i="129"/>
  <c r="W18" i="129"/>
  <c r="N16" i="129"/>
  <c r="N14" i="129"/>
  <c r="N12" i="129"/>
  <c r="N10" i="129"/>
  <c r="N8" i="129"/>
  <c r="I7" i="129"/>
  <c r="J7" i="129" s="1"/>
  <c r="B7" i="129"/>
  <c r="B8" i="129" s="1"/>
  <c r="B9" i="129" s="1"/>
  <c r="B10" i="129" s="1"/>
  <c r="B11" i="129" s="1"/>
  <c r="B12" i="129" s="1"/>
  <c r="B13" i="129" s="1"/>
  <c r="B14" i="129" s="1"/>
  <c r="B15" i="129" s="1"/>
  <c r="B16" i="129" s="1"/>
  <c r="B17" i="129" s="1"/>
  <c r="B18" i="129" s="1"/>
  <c r="B19" i="129" s="1"/>
  <c r="B20" i="129" s="1"/>
  <c r="B21" i="129" s="1"/>
  <c r="B22" i="129" s="1"/>
  <c r="B23" i="129" s="1"/>
  <c r="B24" i="129" s="1"/>
  <c r="B25" i="129" s="1"/>
  <c r="B26" i="129" s="1"/>
  <c r="B27" i="129" s="1"/>
  <c r="B28" i="129" s="1"/>
  <c r="B29" i="129" s="1"/>
  <c r="B30" i="129" s="1"/>
  <c r="B31" i="129" s="1"/>
  <c r="B32" i="129" s="1"/>
  <c r="B33" i="129" s="1"/>
  <c r="B34" i="129" s="1"/>
  <c r="B35" i="129" s="1"/>
  <c r="B36" i="129" s="1"/>
  <c r="B37" i="129" s="1"/>
  <c r="B38" i="129" s="1"/>
  <c r="B39" i="129" s="1"/>
  <c r="B40" i="129" s="1"/>
  <c r="B41" i="129" s="1"/>
  <c r="B42" i="129" s="1"/>
  <c r="B43" i="129" s="1"/>
  <c r="B44" i="129" s="1"/>
  <c r="B45" i="129" s="1"/>
  <c r="B46" i="129" s="1"/>
  <c r="B47" i="129" s="1"/>
  <c r="B48" i="129" s="1"/>
  <c r="B49" i="129" s="1"/>
  <c r="B50" i="129" s="1"/>
  <c r="B51" i="129" s="1"/>
  <c r="N6" i="129"/>
  <c r="I6" i="129"/>
  <c r="J6" i="129" s="1"/>
  <c r="N4" i="129"/>
  <c r="W204" i="129" l="1"/>
  <c r="V143" i="129"/>
  <c r="V112" i="129"/>
  <c r="W232" i="129"/>
  <c r="V169" i="129"/>
  <c r="V141" i="129"/>
  <c r="W109" i="129"/>
  <c r="W138" i="129"/>
  <c r="W80" i="129"/>
  <c r="V78" i="129"/>
  <c r="W230" i="129"/>
  <c r="V202" i="129"/>
  <c r="V200" i="129"/>
  <c r="V135" i="129"/>
  <c r="V71" i="129"/>
  <c r="V130" i="129"/>
  <c r="V66" i="129"/>
  <c r="W94" i="129"/>
  <c r="V70" i="129"/>
  <c r="W113" i="129"/>
  <c r="W129" i="129"/>
  <c r="V198" i="129"/>
  <c r="V209" i="129"/>
  <c r="W241" i="129"/>
  <c r="W68" i="129"/>
  <c r="W96" i="129"/>
  <c r="W140" i="129"/>
  <c r="W161" i="129"/>
  <c r="V171" i="129"/>
  <c r="W174" i="129"/>
  <c r="W201" i="129"/>
  <c r="W231" i="129"/>
  <c r="W233" i="129"/>
  <c r="W240" i="129"/>
  <c r="W218" i="129"/>
  <c r="W219" i="129"/>
  <c r="W221" i="129"/>
  <c r="W238" i="129"/>
  <c r="W225" i="129"/>
  <c r="W220" i="129"/>
  <c r="W239" i="129"/>
  <c r="V199" i="129"/>
  <c r="V203" i="129"/>
  <c r="V207" i="129"/>
  <c r="V206" i="129"/>
  <c r="V208" i="129"/>
  <c r="V158" i="129"/>
  <c r="V160" i="129"/>
  <c r="V167" i="129"/>
  <c r="V157" i="129"/>
  <c r="V162" i="129"/>
  <c r="V165" i="129"/>
  <c r="W125" i="129"/>
  <c r="V127" i="129"/>
  <c r="W131" i="129"/>
  <c r="V133" i="129"/>
  <c r="W144" i="129"/>
  <c r="V147" i="129"/>
  <c r="W126" i="129"/>
  <c r="V145" i="129"/>
  <c r="W102" i="129"/>
  <c r="W104" i="129"/>
  <c r="W106" i="129"/>
  <c r="V111" i="129"/>
  <c r="W93" i="129"/>
  <c r="W95" i="129"/>
  <c r="V97" i="129"/>
  <c r="V110" i="129"/>
  <c r="V114" i="129"/>
  <c r="W92" i="129"/>
  <c r="V101" i="129"/>
  <c r="W103" i="129"/>
  <c r="W105" i="129"/>
  <c r="N18" i="129"/>
  <c r="W61" i="129"/>
  <c r="W67" i="129"/>
  <c r="V69" i="129"/>
  <c r="V79" i="129"/>
  <c r="V27" i="129"/>
  <c r="W27" i="129"/>
  <c r="V21" i="129"/>
  <c r="W21" i="129"/>
  <c r="W26" i="129"/>
  <c r="V26" i="129"/>
  <c r="V33" i="129"/>
  <c r="W33" i="129"/>
  <c r="W7" i="129"/>
  <c r="V7" i="129"/>
  <c r="W11" i="129"/>
  <c r="V11" i="129"/>
  <c r="W15" i="129"/>
  <c r="V15" i="129"/>
  <c r="W19" i="129"/>
  <c r="V19" i="129"/>
  <c r="W31" i="129"/>
  <c r="V31" i="129"/>
  <c r="W38" i="129"/>
  <c r="V38" i="129"/>
  <c r="W22" i="129"/>
  <c r="V22" i="129"/>
  <c r="W13" i="129"/>
  <c r="V13" i="129"/>
  <c r="W28" i="129"/>
  <c r="V28" i="129"/>
  <c r="W9" i="129"/>
  <c r="V9" i="129"/>
  <c r="W17" i="129"/>
  <c r="V17" i="129"/>
  <c r="J52" i="129"/>
  <c r="V6" i="129"/>
  <c r="W6" i="129"/>
  <c r="V8" i="129"/>
  <c r="W8" i="129"/>
  <c r="V10" i="129"/>
  <c r="W10" i="129"/>
  <c r="V12" i="129"/>
  <c r="W12" i="129"/>
  <c r="V14" i="129"/>
  <c r="W14" i="129"/>
  <c r="W16" i="129"/>
  <c r="V16" i="129"/>
  <c r="V24" i="129"/>
  <c r="W24" i="129"/>
  <c r="V30" i="129"/>
  <c r="W30" i="129"/>
  <c r="W35" i="129"/>
  <c r="V35" i="129"/>
  <c r="W42" i="129"/>
  <c r="V42" i="129"/>
  <c r="W48" i="129"/>
  <c r="V48" i="129"/>
  <c r="W72" i="129"/>
  <c r="V72" i="129"/>
  <c r="W64" i="129"/>
  <c r="V64" i="129"/>
  <c r="W76" i="129"/>
  <c r="V76" i="129"/>
  <c r="W100" i="129"/>
  <c r="V100" i="129"/>
  <c r="V178" i="129"/>
  <c r="W178" i="129"/>
  <c r="V23" i="129"/>
  <c r="V25" i="129"/>
  <c r="V29" i="129"/>
  <c r="V32" i="129"/>
  <c r="V34" i="129"/>
  <c r="V37" i="129"/>
  <c r="V40" i="129"/>
  <c r="V41" i="129"/>
  <c r="V44" i="129"/>
  <c r="V45" i="129"/>
  <c r="V47" i="129"/>
  <c r="V62" i="129"/>
  <c r="W65" i="129"/>
  <c r="V65" i="129"/>
  <c r="W73" i="129"/>
  <c r="V73" i="129"/>
  <c r="W77" i="129"/>
  <c r="V77" i="129"/>
  <c r="W82" i="129"/>
  <c r="V82" i="129"/>
  <c r="V107" i="129"/>
  <c r="V124" i="129"/>
  <c r="W124" i="129"/>
  <c r="V139" i="129"/>
  <c r="W139" i="129"/>
  <c r="W142" i="129"/>
  <c r="V142" i="129"/>
  <c r="W146" i="129"/>
  <c r="V146" i="129"/>
  <c r="J179" i="129"/>
  <c r="V156" i="129"/>
  <c r="W156" i="129"/>
  <c r="V172" i="129"/>
  <c r="W172" i="129"/>
  <c r="V18" i="129"/>
  <c r="V20" i="129"/>
  <c r="W74" i="129"/>
  <c r="V74" i="129"/>
  <c r="W83" i="129"/>
  <c r="V83" i="129"/>
  <c r="W98" i="129"/>
  <c r="V98" i="129"/>
  <c r="W159" i="129"/>
  <c r="V159" i="129"/>
  <c r="W163" i="129"/>
  <c r="V163" i="129"/>
  <c r="W168" i="129"/>
  <c r="V168" i="129"/>
  <c r="V173" i="129"/>
  <c r="W173" i="129"/>
  <c r="J84" i="129"/>
  <c r="W60" i="129"/>
  <c r="V60" i="129"/>
  <c r="W63" i="129"/>
  <c r="V63" i="129"/>
  <c r="W75" i="129"/>
  <c r="V75" i="129"/>
  <c r="W99" i="129"/>
  <c r="V99" i="129"/>
  <c r="J148" i="129"/>
  <c r="V123" i="129"/>
  <c r="W123" i="129"/>
  <c r="W134" i="129"/>
  <c r="V134" i="129"/>
  <c r="W164" i="129"/>
  <c r="V164" i="129"/>
  <c r="V175" i="129"/>
  <c r="W175" i="129"/>
  <c r="W223" i="129"/>
  <c r="V223" i="129"/>
  <c r="W189" i="129"/>
  <c r="W191" i="129"/>
  <c r="W193" i="129"/>
  <c r="W196" i="129"/>
  <c r="V205" i="129"/>
  <c r="W224" i="129"/>
  <c r="V224" i="129"/>
  <c r="W227" i="129"/>
  <c r="V227" i="129"/>
  <c r="J115" i="129"/>
  <c r="V222" i="129"/>
  <c r="W228" i="129"/>
  <c r="V228" i="129"/>
  <c r="W237" i="129"/>
  <c r="V237" i="129"/>
  <c r="V132" i="129"/>
  <c r="V136" i="129"/>
  <c r="W137" i="129"/>
  <c r="V166" i="129"/>
  <c r="V170" i="129"/>
  <c r="V176" i="129"/>
  <c r="W177" i="129"/>
  <c r="V187" i="129"/>
  <c r="J210" i="129"/>
  <c r="W188" i="129"/>
  <c r="W190" i="129"/>
  <c r="W192" i="129"/>
  <c r="V194" i="129"/>
  <c r="W195" i="129"/>
  <c r="V197" i="129"/>
  <c r="V226" i="129"/>
  <c r="W229" i="129"/>
  <c r="V229" i="129"/>
  <c r="W235" i="129"/>
  <c r="V235" i="129"/>
  <c r="V236" i="129"/>
  <c r="J242" i="129"/>
  <c r="H81" i="128"/>
  <c r="W242" i="129" l="1"/>
  <c r="P16" i="129" s="1"/>
  <c r="W210" i="129"/>
  <c r="P14" i="129" s="1"/>
  <c r="V242" i="129"/>
  <c r="O16" i="129" s="1"/>
  <c r="R16" i="129" s="1"/>
  <c r="V210" i="129"/>
  <c r="O14" i="129" s="1"/>
  <c r="R14" i="129" s="1"/>
  <c r="V115" i="129"/>
  <c r="O8" i="129" s="1"/>
  <c r="R8" i="129" s="1"/>
  <c r="W115" i="129"/>
  <c r="P8" i="129" s="1"/>
  <c r="V84" i="129"/>
  <c r="O6" i="129" s="1"/>
  <c r="R6" i="129" s="1"/>
  <c r="V52" i="129"/>
  <c r="O4" i="129" s="1"/>
  <c r="W84" i="129"/>
  <c r="P6" i="129" s="1"/>
  <c r="V148" i="129"/>
  <c r="O10" i="129" s="1"/>
  <c r="W179" i="129"/>
  <c r="P12" i="129" s="1"/>
  <c r="W148" i="129"/>
  <c r="P10" i="129" s="1"/>
  <c r="V179" i="129"/>
  <c r="O12" i="129" s="1"/>
  <c r="W52" i="129"/>
  <c r="P4" i="129" s="1"/>
  <c r="H246" i="128"/>
  <c r="H245" i="128"/>
  <c r="H243" i="128"/>
  <c r="H215" i="128"/>
  <c r="H182" i="128"/>
  <c r="H181" i="128"/>
  <c r="H179" i="128"/>
  <c r="H178" i="128"/>
  <c r="H148" i="128"/>
  <c r="H144" i="128"/>
  <c r="H114" i="128"/>
  <c r="H113" i="128"/>
  <c r="H111" i="128"/>
  <c r="H83" i="128"/>
  <c r="J41" i="128"/>
  <c r="J46" i="128"/>
  <c r="H46" i="128"/>
  <c r="I46" i="128"/>
  <c r="H45" i="128"/>
  <c r="J45" i="128" s="1"/>
  <c r="I45" i="128"/>
  <c r="H44" i="128"/>
  <c r="I44" i="128"/>
  <c r="J44" i="128" s="1"/>
  <c r="I43" i="128"/>
  <c r="J43" i="128" s="1"/>
  <c r="I42" i="128"/>
  <c r="J42" i="128" s="1"/>
  <c r="I41" i="128"/>
  <c r="H40" i="128"/>
  <c r="J40" i="128" s="1"/>
  <c r="I40" i="128"/>
  <c r="I39" i="128"/>
  <c r="J39" i="128" s="1"/>
  <c r="H38" i="128"/>
  <c r="J38" i="128" s="1"/>
  <c r="I38" i="128"/>
  <c r="Q6" i="129" l="1"/>
  <c r="Q8" i="129"/>
  <c r="Q14" i="129"/>
  <c r="R4" i="129"/>
  <c r="O18" i="129"/>
  <c r="R18" i="129" s="1"/>
  <c r="P20" i="129" s="1"/>
  <c r="Q4" i="129"/>
  <c r="P18" i="129"/>
  <c r="R12" i="129"/>
  <c r="Q12" i="129"/>
  <c r="R10" i="129"/>
  <c r="Q10" i="129"/>
  <c r="I37" i="128"/>
  <c r="J37" i="128" s="1"/>
  <c r="H36" i="128"/>
  <c r="I36" i="128"/>
  <c r="J36" i="128" s="1"/>
  <c r="Q18" i="129" l="1"/>
  <c r="J238" i="128"/>
  <c r="V238" i="128" s="1"/>
  <c r="W238" i="128"/>
  <c r="H173" i="128"/>
  <c r="J173" i="128" s="1"/>
  <c r="V173" i="128" s="1"/>
  <c r="J106" i="128"/>
  <c r="H34" i="128"/>
  <c r="I29" i="128"/>
  <c r="J29" i="128" s="1"/>
  <c r="I28" i="128"/>
  <c r="J28" i="128" s="1"/>
  <c r="J74" i="128"/>
  <c r="J138" i="128"/>
  <c r="H139" i="128"/>
  <c r="J139" i="128" s="1"/>
  <c r="H206" i="128"/>
  <c r="J205" i="128"/>
  <c r="J206" i="128"/>
  <c r="W173" i="128" l="1"/>
  <c r="I35" i="128" l="1"/>
  <c r="J35" i="128" s="1"/>
  <c r="I34" i="128"/>
  <c r="J34" i="128" s="1"/>
  <c r="H77" i="128"/>
  <c r="H110" i="128"/>
  <c r="H109" i="128"/>
  <c r="H176" i="128"/>
  <c r="H210" i="128"/>
  <c r="H240" i="128"/>
  <c r="H108" i="128"/>
  <c r="I33" i="128"/>
  <c r="J33" i="128" s="1"/>
  <c r="H32" i="128"/>
  <c r="I32" i="128"/>
  <c r="H140" i="128"/>
  <c r="H75" i="128"/>
  <c r="I31" i="128"/>
  <c r="J31" i="128" s="1"/>
  <c r="H30" i="128"/>
  <c r="I30" i="128"/>
  <c r="J30" i="128" l="1"/>
  <c r="J32" i="128"/>
  <c r="H73" i="128"/>
  <c r="H70" i="128"/>
  <c r="H204" i="128" l="1"/>
  <c r="H172" i="128"/>
  <c r="H137" i="128"/>
  <c r="H105" i="128"/>
  <c r="H27" i="128"/>
  <c r="I27" i="128"/>
  <c r="I26" i="128"/>
  <c r="J26" i="128" s="1"/>
  <c r="H25" i="128"/>
  <c r="J25" i="128" s="1"/>
  <c r="I25" i="128"/>
  <c r="H24" i="128"/>
  <c r="I24" i="128"/>
  <c r="H236" i="128"/>
  <c r="I23" i="128"/>
  <c r="J23" i="128" s="1"/>
  <c r="H22" i="128"/>
  <c r="I22" i="128"/>
  <c r="I21" i="128"/>
  <c r="J21" i="128" s="1"/>
  <c r="H20" i="128"/>
  <c r="I20" i="128"/>
  <c r="J20" i="128" s="1"/>
  <c r="H134" i="128"/>
  <c r="H169" i="128"/>
  <c r="H233" i="128"/>
  <c r="H200" i="128"/>
  <c r="H168" i="128"/>
  <c r="I19" i="128"/>
  <c r="J19" i="128" s="1"/>
  <c r="H18" i="128"/>
  <c r="I18" i="128"/>
  <c r="J18" i="128" s="1"/>
  <c r="J22" i="128" l="1"/>
  <c r="J24" i="128"/>
  <c r="J27" i="128"/>
  <c r="H232" i="128"/>
  <c r="J232" i="128" s="1"/>
  <c r="V232" i="128" s="1"/>
  <c r="H230" i="128"/>
  <c r="H199" i="128"/>
  <c r="J199" i="128" s="1"/>
  <c r="V199" i="128" s="1"/>
  <c r="H196" i="128"/>
  <c r="J196" i="128" s="1"/>
  <c r="V196" i="128" s="1"/>
  <c r="H195" i="128"/>
  <c r="J195" i="128" s="1"/>
  <c r="V195" i="128" s="1"/>
  <c r="H166" i="128"/>
  <c r="H165" i="128"/>
  <c r="J165" i="128" s="1"/>
  <c r="W165" i="128" s="1"/>
  <c r="H132" i="128"/>
  <c r="J132" i="128" s="1"/>
  <c r="W132" i="128" s="1"/>
  <c r="J129" i="128"/>
  <c r="V129" i="128" s="1"/>
  <c r="H127" i="128"/>
  <c r="H100" i="128"/>
  <c r="H98" i="128"/>
  <c r="H97" i="128"/>
  <c r="J97" i="128" s="1"/>
  <c r="W97" i="128" s="1"/>
  <c r="H96" i="128"/>
  <c r="H95" i="128"/>
  <c r="J95" i="128" s="1"/>
  <c r="H67" i="128"/>
  <c r="J67" i="128" s="1"/>
  <c r="W67" i="128" s="1"/>
  <c r="H66" i="128"/>
  <c r="J66" i="128" s="1"/>
  <c r="W66" i="128" s="1"/>
  <c r="H65" i="128"/>
  <c r="I8" i="128"/>
  <c r="J8" i="128"/>
  <c r="V8" i="128" s="1"/>
  <c r="I9" i="128"/>
  <c r="J9" i="128" s="1"/>
  <c r="I10" i="128"/>
  <c r="J10" i="128" s="1"/>
  <c r="I11" i="128"/>
  <c r="J11" i="128" s="1"/>
  <c r="I12" i="128"/>
  <c r="J12" i="128" s="1"/>
  <c r="I13" i="128"/>
  <c r="I14" i="128"/>
  <c r="I15" i="128"/>
  <c r="I16" i="128"/>
  <c r="J16" i="128" s="1"/>
  <c r="W16" i="128" s="1"/>
  <c r="I17" i="128"/>
  <c r="H17" i="128"/>
  <c r="H15" i="128"/>
  <c r="H14" i="128"/>
  <c r="H13" i="128"/>
  <c r="H12" i="128"/>
  <c r="H6" i="128"/>
  <c r="J251" i="128"/>
  <c r="V251" i="128" s="1"/>
  <c r="J250" i="128"/>
  <c r="V250" i="128" s="1"/>
  <c r="J249" i="128"/>
  <c r="V249" i="128" s="1"/>
  <c r="J248" i="128"/>
  <c r="V248" i="128" s="1"/>
  <c r="J247" i="128"/>
  <c r="J246" i="128"/>
  <c r="W246" i="128" s="1"/>
  <c r="J245" i="128"/>
  <c r="J244" i="128"/>
  <c r="V244" i="128" s="1"/>
  <c r="J243" i="128"/>
  <c r="V243" i="128" s="1"/>
  <c r="J242" i="128"/>
  <c r="V242" i="128" s="1"/>
  <c r="J241" i="128"/>
  <c r="V241" i="128" s="1"/>
  <c r="J240" i="128"/>
  <c r="V240" i="128" s="1"/>
  <c r="J239" i="128"/>
  <c r="J237" i="128"/>
  <c r="V237" i="128" s="1"/>
  <c r="J236" i="128"/>
  <c r="V236" i="128" s="1"/>
  <c r="J235" i="128"/>
  <c r="J234" i="128"/>
  <c r="V234" i="128" s="1"/>
  <c r="J233" i="128"/>
  <c r="J231" i="128"/>
  <c r="J230" i="128"/>
  <c r="V230" i="128" s="1"/>
  <c r="J229" i="128"/>
  <c r="V229" i="128" s="1"/>
  <c r="J228" i="128"/>
  <c r="V228" i="128" s="1"/>
  <c r="B228" i="128"/>
  <c r="B229" i="128" s="1"/>
  <c r="B230" i="128" s="1"/>
  <c r="B231" i="128" s="1"/>
  <c r="B232" i="128" s="1"/>
  <c r="B233" i="128" s="1"/>
  <c r="B234" i="128" s="1"/>
  <c r="B235" i="128" s="1"/>
  <c r="B236" i="128" s="1"/>
  <c r="B237" i="128" s="1"/>
  <c r="J227" i="128"/>
  <c r="V227" i="128" s="1"/>
  <c r="J218" i="128"/>
  <c r="W218" i="128" s="1"/>
  <c r="J217" i="128"/>
  <c r="W217" i="128" s="1"/>
  <c r="J216" i="128"/>
  <c r="W216" i="128" s="1"/>
  <c r="J215" i="128"/>
  <c r="W215" i="128" s="1"/>
  <c r="J214" i="128"/>
  <c r="J213" i="128"/>
  <c r="V213" i="128" s="1"/>
  <c r="J212" i="128"/>
  <c r="W212" i="128" s="1"/>
  <c r="J211" i="128"/>
  <c r="W211" i="128" s="1"/>
  <c r="J210" i="128"/>
  <c r="V210" i="128" s="1"/>
  <c r="J209" i="128"/>
  <c r="W209" i="128" s="1"/>
  <c r="J208" i="128"/>
  <c r="W208" i="128" s="1"/>
  <c r="J207" i="128"/>
  <c r="W207" i="128" s="1"/>
  <c r="J204" i="128"/>
  <c r="J203" i="128"/>
  <c r="V203" i="128" s="1"/>
  <c r="J202" i="128"/>
  <c r="J201" i="128"/>
  <c r="J200" i="128"/>
  <c r="V200" i="128" s="1"/>
  <c r="J198" i="128"/>
  <c r="V198" i="128" s="1"/>
  <c r="J197" i="128"/>
  <c r="V197" i="128" s="1"/>
  <c r="B195" i="128"/>
  <c r="B196" i="128" s="1"/>
  <c r="B197" i="128" s="1"/>
  <c r="B198" i="128" s="1"/>
  <c r="B199" i="128" s="1"/>
  <c r="B200" i="128" s="1"/>
  <c r="B201" i="128" s="1"/>
  <c r="B202" i="128" s="1"/>
  <c r="B203" i="128" s="1"/>
  <c r="B204" i="128" s="1"/>
  <c r="J194" i="128"/>
  <c r="V194" i="128" s="1"/>
  <c r="J185" i="128"/>
  <c r="V185" i="128" s="1"/>
  <c r="J184" i="128"/>
  <c r="J183" i="128"/>
  <c r="J182" i="128"/>
  <c r="V182" i="128" s="1"/>
  <c r="J181" i="128"/>
  <c r="J180" i="128"/>
  <c r="V180" i="128" s="1"/>
  <c r="J179" i="128"/>
  <c r="J178" i="128"/>
  <c r="W178" i="128" s="1"/>
  <c r="J177" i="128"/>
  <c r="W177" i="128" s="1"/>
  <c r="J176" i="128"/>
  <c r="W176" i="128" s="1"/>
  <c r="J175" i="128"/>
  <c r="W175" i="128" s="1"/>
  <c r="J174" i="128"/>
  <c r="W174" i="128" s="1"/>
  <c r="J172" i="128"/>
  <c r="W172" i="128" s="1"/>
  <c r="J171" i="128"/>
  <c r="W171" i="128" s="1"/>
  <c r="J170" i="128"/>
  <c r="W170" i="128" s="1"/>
  <c r="J169" i="128"/>
  <c r="W169" i="128" s="1"/>
  <c r="J168" i="128"/>
  <c r="W168" i="128" s="1"/>
  <c r="J167" i="128"/>
  <c r="W167" i="128" s="1"/>
  <c r="J166" i="128"/>
  <c r="W166" i="128" s="1"/>
  <c r="J164" i="128"/>
  <c r="V164" i="128" s="1"/>
  <c r="J163" i="128"/>
  <c r="B163" i="128"/>
  <c r="B164" i="128" s="1"/>
  <c r="B165" i="128" s="1"/>
  <c r="B166" i="128" s="1"/>
  <c r="B167" i="128" s="1"/>
  <c r="B168" i="128" s="1"/>
  <c r="B169" i="128" s="1"/>
  <c r="B170" i="128" s="1"/>
  <c r="B171" i="128" s="1"/>
  <c r="B172" i="128" s="1"/>
  <c r="J162" i="128"/>
  <c r="W162" i="128" s="1"/>
  <c r="J153" i="128"/>
  <c r="W153" i="128" s="1"/>
  <c r="J152" i="128"/>
  <c r="W152" i="128" s="1"/>
  <c r="J151" i="128"/>
  <c r="W151" i="128" s="1"/>
  <c r="J150" i="128"/>
  <c r="W150" i="128" s="1"/>
  <c r="J149" i="128"/>
  <c r="W149" i="128" s="1"/>
  <c r="J148" i="128"/>
  <c r="W148" i="128" s="1"/>
  <c r="J147" i="128"/>
  <c r="W147" i="128" s="1"/>
  <c r="J146" i="128"/>
  <c r="J145" i="128"/>
  <c r="V145" i="128" s="1"/>
  <c r="J144" i="128"/>
  <c r="V144" i="128" s="1"/>
  <c r="J143" i="128"/>
  <c r="J142" i="128"/>
  <c r="W142" i="128" s="1"/>
  <c r="J141" i="128"/>
  <c r="W141" i="128" s="1"/>
  <c r="J140" i="128"/>
  <c r="W140" i="128" s="1"/>
  <c r="J137" i="128"/>
  <c r="J136" i="128"/>
  <c r="J135" i="128"/>
  <c r="W135" i="128" s="1"/>
  <c r="J134" i="128"/>
  <c r="W134" i="128" s="1"/>
  <c r="J133" i="128"/>
  <c r="V133" i="128" s="1"/>
  <c r="J131" i="128"/>
  <c r="W131" i="128" s="1"/>
  <c r="J130" i="128"/>
  <c r="V130" i="128" s="1"/>
  <c r="J128" i="128"/>
  <c r="V128" i="128" s="1"/>
  <c r="B128" i="128"/>
  <c r="B129" i="128" s="1"/>
  <c r="B130" i="128" s="1"/>
  <c r="B131" i="128" s="1"/>
  <c r="B132" i="128" s="1"/>
  <c r="B133" i="128" s="1"/>
  <c r="B134" i="128" s="1"/>
  <c r="B135" i="128" s="1"/>
  <c r="B136" i="128" s="1"/>
  <c r="B137" i="128" s="1"/>
  <c r="J127" i="128"/>
  <c r="J118" i="128"/>
  <c r="V118" i="128" s="1"/>
  <c r="J117" i="128"/>
  <c r="W117" i="128" s="1"/>
  <c r="J116" i="128"/>
  <c r="W116" i="128" s="1"/>
  <c r="J115" i="128"/>
  <c r="W115" i="128" s="1"/>
  <c r="J114" i="128"/>
  <c r="V114" i="128" s="1"/>
  <c r="J113" i="128"/>
  <c r="W113" i="128" s="1"/>
  <c r="J112" i="128"/>
  <c r="W112" i="128" s="1"/>
  <c r="J111" i="128"/>
  <c r="J110" i="128"/>
  <c r="W110" i="128" s="1"/>
  <c r="J109" i="128"/>
  <c r="W109" i="128" s="1"/>
  <c r="J108" i="128"/>
  <c r="W108" i="128" s="1"/>
  <c r="J107" i="128"/>
  <c r="W107" i="128" s="1"/>
  <c r="J105" i="128"/>
  <c r="J104" i="128"/>
  <c r="W104" i="128" s="1"/>
  <c r="J103" i="128"/>
  <c r="W103" i="128" s="1"/>
  <c r="J102" i="128"/>
  <c r="W102" i="128" s="1"/>
  <c r="J101" i="128"/>
  <c r="W101" i="128" s="1"/>
  <c r="J100" i="128"/>
  <c r="J99" i="128"/>
  <c r="W99" i="128" s="1"/>
  <c r="J98" i="128"/>
  <c r="W98" i="128" s="1"/>
  <c r="J96" i="128"/>
  <c r="W96" i="128" s="1"/>
  <c r="B96" i="128"/>
  <c r="B97" i="128" s="1"/>
  <c r="B98" i="128" s="1"/>
  <c r="B99" i="128" s="1"/>
  <c r="B100" i="128" s="1"/>
  <c r="B101" i="128" s="1"/>
  <c r="B102" i="128" s="1"/>
  <c r="B103" i="128" s="1"/>
  <c r="B104" i="128" s="1"/>
  <c r="B105" i="128" s="1"/>
  <c r="J86" i="128"/>
  <c r="W86" i="128" s="1"/>
  <c r="J85" i="128"/>
  <c r="W85" i="128" s="1"/>
  <c r="J84" i="128"/>
  <c r="J83" i="128"/>
  <c r="J82" i="128"/>
  <c r="W82" i="128" s="1"/>
  <c r="J81" i="128"/>
  <c r="W81" i="128" s="1"/>
  <c r="J80" i="128"/>
  <c r="W80" i="128" s="1"/>
  <c r="J79" i="128"/>
  <c r="W79" i="128" s="1"/>
  <c r="J78" i="128"/>
  <c r="W78" i="128" s="1"/>
  <c r="J77" i="128"/>
  <c r="W77" i="128" s="1"/>
  <c r="J76" i="128"/>
  <c r="W76" i="128" s="1"/>
  <c r="J75" i="128"/>
  <c r="W75" i="128" s="1"/>
  <c r="J73" i="128"/>
  <c r="W73" i="128" s="1"/>
  <c r="J72" i="128"/>
  <c r="V72" i="128" s="1"/>
  <c r="J71" i="128"/>
  <c r="J70" i="128"/>
  <c r="V70" i="128" s="1"/>
  <c r="J69" i="128"/>
  <c r="J68" i="128"/>
  <c r="W68" i="128" s="1"/>
  <c r="J65" i="128"/>
  <c r="W65" i="128" s="1"/>
  <c r="J64" i="128"/>
  <c r="J63" i="128"/>
  <c r="B63" i="128"/>
  <c r="B64" i="128" s="1"/>
  <c r="B65" i="128" s="1"/>
  <c r="B66" i="128" s="1"/>
  <c r="B67" i="128" s="1"/>
  <c r="B68" i="128" s="1"/>
  <c r="B69" i="128" s="1"/>
  <c r="B70" i="128" s="1"/>
  <c r="B71" i="128" s="1"/>
  <c r="B72" i="128" s="1"/>
  <c r="B73" i="128" s="1"/>
  <c r="J62" i="128"/>
  <c r="W53" i="128"/>
  <c r="V53" i="128"/>
  <c r="W52" i="128"/>
  <c r="V52" i="128"/>
  <c r="W51" i="128"/>
  <c r="V51" i="128"/>
  <c r="V46" i="128"/>
  <c r="V44" i="128"/>
  <c r="W41" i="128"/>
  <c r="W38" i="128"/>
  <c r="V37" i="128"/>
  <c r="W35" i="128"/>
  <c r="V31" i="128"/>
  <c r="W26" i="128"/>
  <c r="V25" i="128"/>
  <c r="N16" i="128"/>
  <c r="N14" i="128"/>
  <c r="N12" i="128"/>
  <c r="N10" i="128"/>
  <c r="N8" i="128"/>
  <c r="I7" i="128"/>
  <c r="J7" i="128" s="1"/>
  <c r="V7" i="128" s="1"/>
  <c r="B7" i="128"/>
  <c r="B8" i="128" s="1"/>
  <c r="B9" i="128" s="1"/>
  <c r="B10" i="128" s="1"/>
  <c r="B11" i="128" s="1"/>
  <c r="B12" i="128" s="1"/>
  <c r="B13" i="128" s="1"/>
  <c r="B14" i="128" s="1"/>
  <c r="B15" i="128" s="1"/>
  <c r="B16" i="128" s="1"/>
  <c r="B17" i="128" s="1"/>
  <c r="B18" i="128" s="1"/>
  <c r="B19" i="128" s="1"/>
  <c r="B20" i="128" s="1"/>
  <c r="B21" i="128" s="1"/>
  <c r="B22" i="128" s="1"/>
  <c r="B23" i="128" s="1"/>
  <c r="B24" i="128" s="1"/>
  <c r="B25" i="128" s="1"/>
  <c r="B26" i="128" s="1"/>
  <c r="B27" i="128" s="1"/>
  <c r="N6" i="128"/>
  <c r="I6" i="128"/>
  <c r="N4" i="128"/>
  <c r="B238" i="128" l="1"/>
  <c r="B239" i="128" s="1"/>
  <c r="B240" i="128" s="1"/>
  <c r="B241" i="128" s="1"/>
  <c r="B242" i="128" s="1"/>
  <c r="B243" i="128" s="1"/>
  <c r="B244" i="128" s="1"/>
  <c r="B245" i="128" s="1"/>
  <c r="B246" i="128" s="1"/>
  <c r="B247" i="128" s="1"/>
  <c r="B248" i="128" s="1"/>
  <c r="B249" i="128" s="1"/>
  <c r="B250" i="128" s="1"/>
  <c r="B251" i="128" s="1"/>
  <c r="B173" i="128"/>
  <c r="B174" i="128" s="1"/>
  <c r="B175" i="128" s="1"/>
  <c r="B176" i="128" s="1"/>
  <c r="B177" i="128" s="1"/>
  <c r="B178" i="128" s="1"/>
  <c r="B179" i="128" s="1"/>
  <c r="B180" i="128" s="1"/>
  <c r="B181" i="128" s="1"/>
  <c r="B182" i="128" s="1"/>
  <c r="B183" i="128" s="1"/>
  <c r="B184" i="128" s="1"/>
  <c r="B185" i="128" s="1"/>
  <c r="B106" i="128"/>
  <c r="B107" i="128" s="1"/>
  <c r="B108" i="128" s="1"/>
  <c r="B109" i="128" s="1"/>
  <c r="B110" i="128" s="1"/>
  <c r="B111" i="128" s="1"/>
  <c r="B112" i="128" s="1"/>
  <c r="B113" i="128" s="1"/>
  <c r="B114" i="128" s="1"/>
  <c r="B115" i="128" s="1"/>
  <c r="B116" i="128" s="1"/>
  <c r="B117" i="128" s="1"/>
  <c r="B118" i="128" s="1"/>
  <c r="B28" i="128"/>
  <c r="B29" i="128" s="1"/>
  <c r="B30" i="128" s="1"/>
  <c r="B31" i="128" s="1"/>
  <c r="B32" i="128" s="1"/>
  <c r="B33" i="128" s="1"/>
  <c r="B34" i="128" s="1"/>
  <c r="B35" i="128" s="1"/>
  <c r="B36" i="128" s="1"/>
  <c r="B37" i="128" s="1"/>
  <c r="B38" i="128" s="1"/>
  <c r="B39" i="128" s="1"/>
  <c r="B40" i="128" s="1"/>
  <c r="B41" i="128" s="1"/>
  <c r="B42" i="128" s="1"/>
  <c r="B43" i="128" s="1"/>
  <c r="B44" i="128" s="1"/>
  <c r="B45" i="128" s="1"/>
  <c r="B46" i="128" s="1"/>
  <c r="B47" i="128" s="1"/>
  <c r="B48" i="128" s="1"/>
  <c r="B49" i="128" s="1"/>
  <c r="B50" i="128" s="1"/>
  <c r="B51" i="128" s="1"/>
  <c r="B52" i="128" s="1"/>
  <c r="B53" i="128" s="1"/>
  <c r="B74" i="128"/>
  <c r="B75" i="128" s="1"/>
  <c r="B76" i="128" s="1"/>
  <c r="B77" i="128" s="1"/>
  <c r="B78" i="128" s="1"/>
  <c r="B79" i="128" s="1"/>
  <c r="B80" i="128" s="1"/>
  <c r="B81" i="128" s="1"/>
  <c r="B82" i="128" s="1"/>
  <c r="B83" i="128" s="1"/>
  <c r="B84" i="128" s="1"/>
  <c r="B85" i="128" s="1"/>
  <c r="B86" i="128" s="1"/>
  <c r="B138" i="128"/>
  <c r="B139" i="128" s="1"/>
  <c r="B140" i="128" s="1"/>
  <c r="B141" i="128" s="1"/>
  <c r="B142" i="128" s="1"/>
  <c r="B143" i="128" s="1"/>
  <c r="B144" i="128" s="1"/>
  <c r="B145" i="128" s="1"/>
  <c r="B146" i="128" s="1"/>
  <c r="B147" i="128" s="1"/>
  <c r="B148" i="128" s="1"/>
  <c r="B149" i="128" s="1"/>
  <c r="B150" i="128" s="1"/>
  <c r="B151" i="128" s="1"/>
  <c r="B152" i="128" s="1"/>
  <c r="B153" i="128" s="1"/>
  <c r="B205" i="128"/>
  <c r="B206" i="128" s="1"/>
  <c r="B207" i="128" s="1"/>
  <c r="B208" i="128" s="1"/>
  <c r="B209" i="128" s="1"/>
  <c r="B210" i="128" s="1"/>
  <c r="B211" i="128" s="1"/>
  <c r="B212" i="128" s="1"/>
  <c r="B213" i="128" s="1"/>
  <c r="B214" i="128" s="1"/>
  <c r="B215" i="128" s="1"/>
  <c r="B216" i="128" s="1"/>
  <c r="B217" i="128" s="1"/>
  <c r="B218" i="128" s="1"/>
  <c r="V148" i="128"/>
  <c r="W118" i="128"/>
  <c r="W128" i="128"/>
  <c r="V216" i="128"/>
  <c r="V211" i="128"/>
  <c r="J15" i="128"/>
  <c r="W15" i="128" s="1"/>
  <c r="J6" i="128"/>
  <c r="V6" i="128" s="1"/>
  <c r="W144" i="128"/>
  <c r="V150" i="128"/>
  <c r="V168" i="128"/>
  <c r="W180" i="128"/>
  <c r="V218" i="128"/>
  <c r="J17" i="128"/>
  <c r="V17" i="128" s="1"/>
  <c r="J14" i="128"/>
  <c r="V14" i="128" s="1"/>
  <c r="J13" i="128"/>
  <c r="V13" i="128" s="1"/>
  <c r="V85" i="128"/>
  <c r="W133" i="128"/>
  <c r="V215" i="128"/>
  <c r="V217" i="128"/>
  <c r="V152" i="128"/>
  <c r="W185" i="128"/>
  <c r="V86" i="128"/>
  <c r="V209" i="128"/>
  <c r="W210" i="128"/>
  <c r="V207" i="128"/>
  <c r="V73" i="128"/>
  <c r="W236" i="128"/>
  <c r="V135" i="128"/>
  <c r="V166" i="128"/>
  <c r="W164" i="128"/>
  <c r="V132" i="128"/>
  <c r="W130" i="128"/>
  <c r="W237" i="128"/>
  <c r="W232" i="128"/>
  <c r="V208" i="128"/>
  <c r="V212" i="128"/>
  <c r="W203" i="128"/>
  <c r="V165" i="128"/>
  <c r="V167" i="128"/>
  <c r="V131" i="128"/>
  <c r="V147" i="128"/>
  <c r="V134" i="128"/>
  <c r="W145" i="128"/>
  <c r="V149" i="128"/>
  <c r="V151" i="128"/>
  <c r="V153" i="128"/>
  <c r="W129" i="128"/>
  <c r="W114" i="128"/>
  <c r="V117" i="128"/>
  <c r="V113" i="128"/>
  <c r="V101" i="128"/>
  <c r="V112" i="128"/>
  <c r="V116" i="128"/>
  <c r="V115" i="128"/>
  <c r="V102" i="128"/>
  <c r="W72" i="128"/>
  <c r="W70" i="128"/>
  <c r="V65" i="128"/>
  <c r="V75" i="128"/>
  <c r="V77" i="128"/>
  <c r="V79" i="128"/>
  <c r="V66" i="128"/>
  <c r="V76" i="128"/>
  <c r="V78" i="128"/>
  <c r="V34" i="128"/>
  <c r="W34" i="128"/>
  <c r="W20" i="128"/>
  <c r="V20" i="128"/>
  <c r="V23" i="128"/>
  <c r="W23" i="128"/>
  <c r="W18" i="128"/>
  <c r="V18" i="128"/>
  <c r="V40" i="128"/>
  <c r="W40" i="128"/>
  <c r="V50" i="128"/>
  <c r="W50" i="128"/>
  <c r="W31" i="128"/>
  <c r="V35" i="128"/>
  <c r="W44" i="128"/>
  <c r="V9" i="128"/>
  <c r="W9" i="128"/>
  <c r="W11" i="128"/>
  <c r="V11" i="128"/>
  <c r="V21" i="128"/>
  <c r="W21" i="128"/>
  <c r="V24" i="128"/>
  <c r="W24" i="128"/>
  <c r="W30" i="128"/>
  <c r="V30" i="128"/>
  <c r="W33" i="128"/>
  <c r="V33" i="128"/>
  <c r="V36" i="128"/>
  <c r="W36" i="128"/>
  <c r="W43" i="128"/>
  <c r="V43" i="128"/>
  <c r="W47" i="128"/>
  <c r="V47" i="128"/>
  <c r="W49" i="128"/>
  <c r="V49" i="128"/>
  <c r="W69" i="128"/>
  <c r="V69" i="128"/>
  <c r="W8" i="128"/>
  <c r="V10" i="128"/>
  <c r="W10" i="128"/>
  <c r="V16" i="128"/>
  <c r="W22" i="128"/>
  <c r="V22" i="128"/>
  <c r="V26" i="128"/>
  <c r="V38" i="128"/>
  <c r="V41" i="128"/>
  <c r="W45" i="128"/>
  <c r="V45" i="128"/>
  <c r="W48" i="128"/>
  <c r="V48" i="128"/>
  <c r="W63" i="128"/>
  <c r="V63" i="128"/>
  <c r="W83" i="128"/>
  <c r="V83" i="128"/>
  <c r="V100" i="128"/>
  <c r="W100" i="128"/>
  <c r="N18" i="128"/>
  <c r="V12" i="128"/>
  <c r="W12" i="128"/>
  <c r="W105" i="128"/>
  <c r="V105" i="128"/>
  <c r="W7" i="128"/>
  <c r="W19" i="128"/>
  <c r="V19" i="128"/>
  <c r="W17" i="128"/>
  <c r="W25" i="128"/>
  <c r="V27" i="128"/>
  <c r="W27" i="128"/>
  <c r="V32" i="128"/>
  <c r="W32" i="128"/>
  <c r="W37" i="128"/>
  <c r="W39" i="128"/>
  <c r="V39" i="128"/>
  <c r="V42" i="128"/>
  <c r="W42" i="128"/>
  <c r="J87" i="128"/>
  <c r="V64" i="128"/>
  <c r="W64" i="128"/>
  <c r="V71" i="128"/>
  <c r="W71" i="128"/>
  <c r="V111" i="128"/>
  <c r="W111" i="128"/>
  <c r="W136" i="128"/>
  <c r="V136" i="128"/>
  <c r="W181" i="128"/>
  <c r="V181" i="128"/>
  <c r="W184" i="128"/>
  <c r="V184" i="128"/>
  <c r="W202" i="128"/>
  <c r="V202" i="128"/>
  <c r="W214" i="128"/>
  <c r="V214" i="128"/>
  <c r="W239" i="128"/>
  <c r="V239" i="128"/>
  <c r="W46" i="128"/>
  <c r="V62" i="128"/>
  <c r="V67" i="128"/>
  <c r="V68" i="128"/>
  <c r="V80" i="128"/>
  <c r="V81" i="128"/>
  <c r="V82" i="128"/>
  <c r="J119" i="128"/>
  <c r="V103" i="128"/>
  <c r="V104" i="128"/>
  <c r="W137" i="128"/>
  <c r="V137" i="128"/>
  <c r="W143" i="128"/>
  <c r="V143" i="128"/>
  <c r="W179" i="128"/>
  <c r="V179" i="128"/>
  <c r="W62" i="128"/>
  <c r="V95" i="128"/>
  <c r="V96" i="128"/>
  <c r="V97" i="128"/>
  <c r="V98" i="128"/>
  <c r="V99" i="128"/>
  <c r="V107" i="128"/>
  <c r="V108" i="128"/>
  <c r="V109" i="128"/>
  <c r="V110" i="128"/>
  <c r="W146" i="128"/>
  <c r="V146" i="128"/>
  <c r="W163" i="128"/>
  <c r="V163" i="128"/>
  <c r="W235" i="128"/>
  <c r="V235" i="128"/>
  <c r="W247" i="128"/>
  <c r="V247" i="128"/>
  <c r="W95" i="128"/>
  <c r="W127" i="128"/>
  <c r="J154" i="128"/>
  <c r="V127" i="128"/>
  <c r="J186" i="128"/>
  <c r="W183" i="128"/>
  <c r="V183" i="128"/>
  <c r="W201" i="128"/>
  <c r="V201" i="128"/>
  <c r="W204" i="128"/>
  <c r="V204" i="128"/>
  <c r="W231" i="128"/>
  <c r="V231" i="128"/>
  <c r="W233" i="128"/>
  <c r="V233" i="128"/>
  <c r="W245" i="128"/>
  <c r="V245" i="128"/>
  <c r="V140" i="128"/>
  <c r="V141" i="128"/>
  <c r="V142" i="128"/>
  <c r="V169" i="128"/>
  <c r="V170" i="128"/>
  <c r="V171" i="128"/>
  <c r="V172" i="128"/>
  <c r="V174" i="128"/>
  <c r="V175" i="128"/>
  <c r="V176" i="128"/>
  <c r="V177" i="128"/>
  <c r="V178" i="128"/>
  <c r="W182" i="128"/>
  <c r="W194" i="128"/>
  <c r="W195" i="128"/>
  <c r="W196" i="128"/>
  <c r="W197" i="128"/>
  <c r="W198" i="128"/>
  <c r="W199" i="128"/>
  <c r="W200" i="128"/>
  <c r="W213" i="128"/>
  <c r="W227" i="128"/>
  <c r="W228" i="128"/>
  <c r="W229" i="128"/>
  <c r="W230" i="128"/>
  <c r="W234" i="128"/>
  <c r="W240" i="128"/>
  <c r="W241" i="128"/>
  <c r="W242" i="128"/>
  <c r="W243" i="128"/>
  <c r="W244" i="128"/>
  <c r="W248" i="128"/>
  <c r="W249" i="128"/>
  <c r="W250" i="128"/>
  <c r="W251" i="128"/>
  <c r="V162" i="128"/>
  <c r="V246" i="128"/>
  <c r="J252" i="128"/>
  <c r="J219" i="128"/>
  <c r="J144" i="127"/>
  <c r="V144" i="127" s="1"/>
  <c r="W14" i="128" l="1"/>
  <c r="V15" i="128"/>
  <c r="J54" i="128"/>
  <c r="W6" i="128"/>
  <c r="W54" i="128" s="1"/>
  <c r="P4" i="128" s="1"/>
  <c r="W13" i="128"/>
  <c r="W186" i="128"/>
  <c r="P12" i="128" s="1"/>
  <c r="W154" i="128"/>
  <c r="P10" i="128" s="1"/>
  <c r="W252" i="128"/>
  <c r="P16" i="128" s="1"/>
  <c r="V252" i="128"/>
  <c r="O16" i="128" s="1"/>
  <c r="R16" i="128" s="1"/>
  <c r="V219" i="128"/>
  <c r="O14" i="128" s="1"/>
  <c r="R14" i="128" s="1"/>
  <c r="V186" i="128"/>
  <c r="O12" i="128" s="1"/>
  <c r="R12" i="128" s="1"/>
  <c r="W119" i="128"/>
  <c r="P8" i="128" s="1"/>
  <c r="W87" i="128"/>
  <c r="P6" i="128" s="1"/>
  <c r="W219" i="128"/>
  <c r="P14" i="128" s="1"/>
  <c r="V154" i="128"/>
  <c r="O10" i="128" s="1"/>
  <c r="V54" i="128"/>
  <c r="O4" i="128" s="1"/>
  <c r="V119" i="128"/>
  <c r="O8" i="128" s="1"/>
  <c r="V87" i="128"/>
  <c r="O6" i="128" s="1"/>
  <c r="W144" i="127"/>
  <c r="H177" i="127"/>
  <c r="I48" i="127"/>
  <c r="J48" i="127" s="1"/>
  <c r="H47" i="127"/>
  <c r="I47" i="127"/>
  <c r="H238" i="127"/>
  <c r="H176" i="127"/>
  <c r="H80" i="127"/>
  <c r="H46" i="127"/>
  <c r="I46" i="127"/>
  <c r="I45" i="127"/>
  <c r="I44" i="127"/>
  <c r="I43" i="127"/>
  <c r="H175" i="127"/>
  <c r="H237" i="127"/>
  <c r="H236" i="127"/>
  <c r="H205" i="127"/>
  <c r="H174" i="127"/>
  <c r="H142" i="127"/>
  <c r="H110" i="127"/>
  <c r="I42" i="127"/>
  <c r="I41" i="127"/>
  <c r="Q14" i="128" l="1"/>
  <c r="Q12" i="128"/>
  <c r="P18" i="128"/>
  <c r="R6" i="128"/>
  <c r="Q6" i="128"/>
  <c r="R10" i="128"/>
  <c r="Q10" i="128"/>
  <c r="R8" i="128"/>
  <c r="Q8" i="128"/>
  <c r="R4" i="128"/>
  <c r="O18" i="128"/>
  <c r="R18" i="128" s="1"/>
  <c r="P20" i="128" s="1"/>
  <c r="Q4" i="128"/>
  <c r="J47" i="127"/>
  <c r="H77" i="127"/>
  <c r="I40" i="127"/>
  <c r="I39" i="127"/>
  <c r="I38" i="127"/>
  <c r="H37" i="127"/>
  <c r="I37" i="127"/>
  <c r="I36" i="127"/>
  <c r="H35" i="127"/>
  <c r="I35" i="127"/>
  <c r="I34" i="127"/>
  <c r="I33" i="127"/>
  <c r="I32" i="127"/>
  <c r="I31" i="127"/>
  <c r="H204" i="127"/>
  <c r="H235" i="127"/>
  <c r="H172" i="127"/>
  <c r="H140" i="127"/>
  <c r="H137" i="127"/>
  <c r="H107" i="127"/>
  <c r="Q18" i="128" l="1"/>
  <c r="H30" i="127"/>
  <c r="I30" i="127"/>
  <c r="I29" i="127"/>
  <c r="H72" i="127"/>
  <c r="H230" i="127"/>
  <c r="H229" i="127" l="1"/>
  <c r="H227" i="127"/>
  <c r="H226" i="127"/>
  <c r="H197" i="127"/>
  <c r="H195" i="127"/>
  <c r="H132" i="127"/>
  <c r="H102" i="127"/>
  <c r="H100" i="127"/>
  <c r="H69" i="127"/>
  <c r="I28" i="127"/>
  <c r="I27" i="127"/>
  <c r="H25" i="127" l="1"/>
  <c r="I26" i="127" l="1"/>
  <c r="I25" i="127"/>
  <c r="H24" i="127"/>
  <c r="I24" i="127"/>
  <c r="I23" i="127"/>
  <c r="I22" i="127"/>
  <c r="H225" i="127" l="1"/>
  <c r="H224" i="127"/>
  <c r="H223" i="127"/>
  <c r="H194" i="127"/>
  <c r="H163" i="127"/>
  <c r="H130" i="127"/>
  <c r="H98" i="127"/>
  <c r="H97" i="127"/>
  <c r="H67" i="127"/>
  <c r="H65" i="127"/>
  <c r="I21" i="127"/>
  <c r="I20" i="127"/>
  <c r="H19" i="127"/>
  <c r="I19" i="127"/>
  <c r="I18" i="127"/>
  <c r="H17" i="127"/>
  <c r="I17" i="127"/>
  <c r="H16" i="127"/>
  <c r="I16" i="127"/>
  <c r="I15" i="127"/>
  <c r="I14" i="127"/>
  <c r="H222" i="127"/>
  <c r="H159" i="127"/>
  <c r="H126" i="127"/>
  <c r="H63" i="127"/>
  <c r="H13" i="127"/>
  <c r="I13" i="127"/>
  <c r="H12" i="127"/>
  <c r="I12" i="127"/>
  <c r="H218" i="127" l="1"/>
  <c r="H157" i="127"/>
  <c r="H123" i="127"/>
  <c r="H62" i="127"/>
  <c r="H61" i="127"/>
  <c r="H60" i="127"/>
  <c r="I8" i="127"/>
  <c r="J8" i="127" s="1"/>
  <c r="V8" i="127" s="1"/>
  <c r="I9" i="127"/>
  <c r="J9" i="127" s="1"/>
  <c r="W9" i="127" s="1"/>
  <c r="I10" i="127"/>
  <c r="I11" i="127"/>
  <c r="J11" i="127" s="1"/>
  <c r="W11" i="127" s="1"/>
  <c r="H9" i="127"/>
  <c r="I7" i="127"/>
  <c r="J7" i="127" s="1"/>
  <c r="V7" i="127" s="1"/>
  <c r="H7" i="127"/>
  <c r="I6" i="127"/>
  <c r="J241" i="127"/>
  <c r="V241" i="127" s="1"/>
  <c r="J240" i="127"/>
  <c r="V240" i="127" s="1"/>
  <c r="J239" i="127"/>
  <c r="V239" i="127" s="1"/>
  <c r="J238" i="127"/>
  <c r="V238" i="127" s="1"/>
  <c r="J237" i="127"/>
  <c r="W237" i="127" s="1"/>
  <c r="J236" i="127"/>
  <c r="W236" i="127" s="1"/>
  <c r="J235" i="127"/>
  <c r="W235" i="127" s="1"/>
  <c r="J234" i="127"/>
  <c r="W234" i="127" s="1"/>
  <c r="J233" i="127"/>
  <c r="J232" i="127"/>
  <c r="J231" i="127"/>
  <c r="W231" i="127" s="1"/>
  <c r="J230" i="127"/>
  <c r="W230" i="127" s="1"/>
  <c r="J229" i="127"/>
  <c r="W229" i="127" s="1"/>
  <c r="J228" i="127"/>
  <c r="V228" i="127" s="1"/>
  <c r="J227" i="127"/>
  <c r="V227" i="127" s="1"/>
  <c r="J226" i="127"/>
  <c r="V226" i="127" s="1"/>
  <c r="J225" i="127"/>
  <c r="V225" i="127" s="1"/>
  <c r="J224" i="127"/>
  <c r="V224" i="127" s="1"/>
  <c r="J223" i="127"/>
  <c r="V223" i="127" s="1"/>
  <c r="J222" i="127"/>
  <c r="V222" i="127" s="1"/>
  <c r="J221" i="127"/>
  <c r="V221" i="127" s="1"/>
  <c r="J220" i="127"/>
  <c r="W220" i="127" s="1"/>
  <c r="J219" i="127"/>
  <c r="W219" i="127" s="1"/>
  <c r="B219" i="127"/>
  <c r="B220" i="127" s="1"/>
  <c r="B221" i="127" s="1"/>
  <c r="B222" i="127" s="1"/>
  <c r="B223" i="127" s="1"/>
  <c r="B224" i="127" s="1"/>
  <c r="B225" i="127" s="1"/>
  <c r="B226" i="127" s="1"/>
  <c r="B227" i="127" s="1"/>
  <c r="B228" i="127" s="1"/>
  <c r="B229" i="127" s="1"/>
  <c r="B230" i="127" s="1"/>
  <c r="B231" i="127" s="1"/>
  <c r="B232" i="127" s="1"/>
  <c r="B233" i="127" s="1"/>
  <c r="B234" i="127" s="1"/>
  <c r="B235" i="127" s="1"/>
  <c r="B236" i="127" s="1"/>
  <c r="B237" i="127" s="1"/>
  <c r="B238" i="127" s="1"/>
  <c r="B239" i="127" s="1"/>
  <c r="B240" i="127" s="1"/>
  <c r="B241" i="127" s="1"/>
  <c r="J218" i="127"/>
  <c r="W218" i="127" s="1"/>
  <c r="J209" i="127"/>
  <c r="W209" i="127" s="1"/>
  <c r="J208" i="127"/>
  <c r="W208" i="127" s="1"/>
  <c r="J207" i="127"/>
  <c r="J206" i="127"/>
  <c r="V206" i="127" s="1"/>
  <c r="J205" i="127"/>
  <c r="W205" i="127" s="1"/>
  <c r="J204" i="127"/>
  <c r="V204" i="127" s="1"/>
  <c r="J203" i="127"/>
  <c r="J202" i="127"/>
  <c r="J201" i="127"/>
  <c r="W201" i="127" s="1"/>
  <c r="J200" i="127"/>
  <c r="W200" i="127" s="1"/>
  <c r="J199" i="127"/>
  <c r="V199" i="127" s="1"/>
  <c r="J198" i="127"/>
  <c r="V198" i="127" s="1"/>
  <c r="J197" i="127"/>
  <c r="W197" i="127" s="1"/>
  <c r="J196" i="127"/>
  <c r="J195" i="127"/>
  <c r="J194" i="127"/>
  <c r="J193" i="127"/>
  <c r="W193" i="127" s="1"/>
  <c r="J192" i="127"/>
  <c r="V192" i="127" s="1"/>
  <c r="J191" i="127"/>
  <c r="W191" i="127" s="1"/>
  <c r="J190" i="127"/>
  <c r="W190" i="127" s="1"/>
  <c r="J189" i="127"/>
  <c r="V189" i="127" s="1"/>
  <c r="J188" i="127"/>
  <c r="W188" i="127" s="1"/>
  <c r="B188" i="127"/>
  <c r="B189" i="127" s="1"/>
  <c r="B190" i="127" s="1"/>
  <c r="B191" i="127" s="1"/>
  <c r="B192" i="127" s="1"/>
  <c r="B193" i="127" s="1"/>
  <c r="B194" i="127" s="1"/>
  <c r="B195" i="127" s="1"/>
  <c r="B196" i="127" s="1"/>
  <c r="B197" i="127" s="1"/>
  <c r="B198" i="127" s="1"/>
  <c r="B199" i="127" s="1"/>
  <c r="B200" i="127" s="1"/>
  <c r="B201" i="127" s="1"/>
  <c r="B202" i="127" s="1"/>
  <c r="B203" i="127" s="1"/>
  <c r="B204" i="127" s="1"/>
  <c r="B205" i="127" s="1"/>
  <c r="B206" i="127" s="1"/>
  <c r="B207" i="127" s="1"/>
  <c r="B208" i="127" s="1"/>
  <c r="B209" i="127" s="1"/>
  <c r="J187" i="127"/>
  <c r="W178" i="127"/>
  <c r="J178" i="127"/>
  <c r="V178" i="127" s="1"/>
  <c r="J177" i="127"/>
  <c r="V177" i="127" s="1"/>
  <c r="J176" i="127"/>
  <c r="V176" i="127" s="1"/>
  <c r="J175" i="127"/>
  <c r="V175" i="127" s="1"/>
  <c r="J174" i="127"/>
  <c r="V174" i="127" s="1"/>
  <c r="J173" i="127"/>
  <c r="W173" i="127" s="1"/>
  <c r="J172" i="127"/>
  <c r="J171" i="127"/>
  <c r="J170" i="127"/>
  <c r="W170" i="127" s="1"/>
  <c r="J169" i="127"/>
  <c r="W169" i="127" s="1"/>
  <c r="J168" i="127"/>
  <c r="W168" i="127" s="1"/>
  <c r="J167" i="127"/>
  <c r="W167" i="127" s="1"/>
  <c r="J166" i="127"/>
  <c r="W166" i="127" s="1"/>
  <c r="J165" i="127"/>
  <c r="V165" i="127" s="1"/>
  <c r="J164" i="127"/>
  <c r="V164" i="127" s="1"/>
  <c r="J163" i="127"/>
  <c r="V163" i="127" s="1"/>
  <c r="J162" i="127"/>
  <c r="V162" i="127" s="1"/>
  <c r="J161" i="127"/>
  <c r="W161" i="127" s="1"/>
  <c r="J160" i="127"/>
  <c r="W160" i="127" s="1"/>
  <c r="J159" i="127"/>
  <c r="W159" i="127" s="1"/>
  <c r="J158" i="127"/>
  <c r="V158" i="127" s="1"/>
  <c r="J157" i="127"/>
  <c r="W157" i="127" s="1"/>
  <c r="B157" i="127"/>
  <c r="B158" i="127" s="1"/>
  <c r="B159" i="127" s="1"/>
  <c r="B160" i="127" s="1"/>
  <c r="B161" i="127" s="1"/>
  <c r="B162" i="127" s="1"/>
  <c r="B163" i="127" s="1"/>
  <c r="B164" i="127" s="1"/>
  <c r="B165" i="127" s="1"/>
  <c r="B166" i="127" s="1"/>
  <c r="B167" i="127" s="1"/>
  <c r="B168" i="127" s="1"/>
  <c r="B169" i="127" s="1"/>
  <c r="B170" i="127" s="1"/>
  <c r="B171" i="127" s="1"/>
  <c r="B172" i="127" s="1"/>
  <c r="B173" i="127" s="1"/>
  <c r="B174" i="127" s="1"/>
  <c r="B175" i="127" s="1"/>
  <c r="B176" i="127" s="1"/>
  <c r="B177" i="127" s="1"/>
  <c r="B178" i="127" s="1"/>
  <c r="J156" i="127"/>
  <c r="J147" i="127"/>
  <c r="V147" i="127" s="1"/>
  <c r="J146" i="127"/>
  <c r="V146" i="127" s="1"/>
  <c r="J145" i="127"/>
  <c r="V145" i="127" s="1"/>
  <c r="J143" i="127"/>
  <c r="V143" i="127" s="1"/>
  <c r="J142" i="127"/>
  <c r="J141" i="127"/>
  <c r="J140" i="127"/>
  <c r="J139" i="127"/>
  <c r="J138" i="127"/>
  <c r="J137" i="127"/>
  <c r="J136" i="127"/>
  <c r="V136" i="127" s="1"/>
  <c r="J135" i="127"/>
  <c r="V135" i="127" s="1"/>
  <c r="J134" i="127"/>
  <c r="V134" i="127" s="1"/>
  <c r="J133" i="127"/>
  <c r="W133" i="127" s="1"/>
  <c r="J132" i="127"/>
  <c r="J131" i="127"/>
  <c r="J130" i="127"/>
  <c r="J129" i="127"/>
  <c r="V129" i="127" s="1"/>
  <c r="J128" i="127"/>
  <c r="V128" i="127" s="1"/>
  <c r="J127" i="127"/>
  <c r="W127" i="127" s="1"/>
  <c r="J126" i="127"/>
  <c r="W126" i="127" s="1"/>
  <c r="J125" i="127"/>
  <c r="W125" i="127" s="1"/>
  <c r="J124" i="127"/>
  <c r="W124" i="127" s="1"/>
  <c r="B124" i="127"/>
  <c r="B125" i="127" s="1"/>
  <c r="B126" i="127" s="1"/>
  <c r="B127" i="127" s="1"/>
  <c r="B128" i="127" s="1"/>
  <c r="B129" i="127" s="1"/>
  <c r="B130" i="127" s="1"/>
  <c r="B131" i="127" s="1"/>
  <c r="B132" i="127" s="1"/>
  <c r="B133" i="127" s="1"/>
  <c r="B134" i="127" s="1"/>
  <c r="B135" i="127" s="1"/>
  <c r="B136" i="127" s="1"/>
  <c r="B137" i="127" s="1"/>
  <c r="B138" i="127" s="1"/>
  <c r="B139" i="127" s="1"/>
  <c r="B140" i="127" s="1"/>
  <c r="B141" i="127" s="1"/>
  <c r="B142" i="127" s="1"/>
  <c r="B143" i="127" s="1"/>
  <c r="B144" i="127" s="1"/>
  <c r="B145" i="127" s="1"/>
  <c r="B146" i="127" s="1"/>
  <c r="B147" i="127" s="1"/>
  <c r="J123" i="127"/>
  <c r="W123" i="127" s="1"/>
  <c r="J114" i="127"/>
  <c r="W114" i="127" s="1"/>
  <c r="J113" i="127"/>
  <c r="W113" i="127" s="1"/>
  <c r="J112" i="127"/>
  <c r="W112" i="127" s="1"/>
  <c r="J111" i="127"/>
  <c r="W111" i="127" s="1"/>
  <c r="J110" i="127"/>
  <c r="V110" i="127" s="1"/>
  <c r="J109" i="127"/>
  <c r="V109" i="127" s="1"/>
  <c r="J108" i="127"/>
  <c r="V108" i="127" s="1"/>
  <c r="J107" i="127"/>
  <c r="V107" i="127" s="1"/>
  <c r="J106" i="127"/>
  <c r="V106" i="127" s="1"/>
  <c r="J105" i="127"/>
  <c r="V105" i="127" s="1"/>
  <c r="J104" i="127"/>
  <c r="V104" i="127" s="1"/>
  <c r="J103" i="127"/>
  <c r="V103" i="127" s="1"/>
  <c r="J102" i="127"/>
  <c r="V102" i="127" s="1"/>
  <c r="J101" i="127"/>
  <c r="V101" i="127" s="1"/>
  <c r="J100" i="127"/>
  <c r="J99" i="127"/>
  <c r="J98" i="127"/>
  <c r="J97" i="127"/>
  <c r="J96" i="127"/>
  <c r="V96" i="127" s="1"/>
  <c r="J95" i="127"/>
  <c r="W95" i="127" s="1"/>
  <c r="J94" i="127"/>
  <c r="W94" i="127" s="1"/>
  <c r="J93" i="127"/>
  <c r="W93" i="127" s="1"/>
  <c r="B93" i="127"/>
  <c r="B94" i="127" s="1"/>
  <c r="B95" i="127" s="1"/>
  <c r="B96" i="127" s="1"/>
  <c r="B97" i="127" s="1"/>
  <c r="B98" i="127" s="1"/>
  <c r="B99" i="127" s="1"/>
  <c r="B100" i="127" s="1"/>
  <c r="B101" i="127" s="1"/>
  <c r="B102" i="127" s="1"/>
  <c r="B103" i="127" s="1"/>
  <c r="B104" i="127" s="1"/>
  <c r="B105" i="127" s="1"/>
  <c r="B106" i="127" s="1"/>
  <c r="B107" i="127" s="1"/>
  <c r="B108" i="127" s="1"/>
  <c r="B109" i="127" s="1"/>
  <c r="B110" i="127" s="1"/>
  <c r="B111" i="127" s="1"/>
  <c r="B112" i="127" s="1"/>
  <c r="B113" i="127" s="1"/>
  <c r="B114" i="127" s="1"/>
  <c r="J92" i="127"/>
  <c r="W92" i="127" s="1"/>
  <c r="J83" i="127"/>
  <c r="J82" i="127"/>
  <c r="J81" i="127"/>
  <c r="J80" i="127"/>
  <c r="V80" i="127" s="1"/>
  <c r="J79" i="127"/>
  <c r="J78" i="127"/>
  <c r="J77" i="127"/>
  <c r="W77" i="127" s="1"/>
  <c r="J76" i="127"/>
  <c r="W76" i="127" s="1"/>
  <c r="J75" i="127"/>
  <c r="V75" i="127" s="1"/>
  <c r="J74" i="127"/>
  <c r="V74" i="127" s="1"/>
  <c r="J73" i="127"/>
  <c r="V73" i="127" s="1"/>
  <c r="J72" i="127"/>
  <c r="W72" i="127" s="1"/>
  <c r="J71" i="127"/>
  <c r="J70" i="127"/>
  <c r="J69" i="127"/>
  <c r="W69" i="127" s="1"/>
  <c r="J68" i="127"/>
  <c r="V68" i="127" s="1"/>
  <c r="J67" i="127"/>
  <c r="J66" i="127"/>
  <c r="J65" i="127"/>
  <c r="V65" i="127" s="1"/>
  <c r="J64" i="127"/>
  <c r="V64" i="127" s="1"/>
  <c r="J63" i="127"/>
  <c r="J62" i="127"/>
  <c r="J61" i="127"/>
  <c r="B61" i="127"/>
  <c r="B62" i="127" s="1"/>
  <c r="B63" i="127" s="1"/>
  <c r="B64" i="127" s="1"/>
  <c r="B65" i="127" s="1"/>
  <c r="B66" i="127" s="1"/>
  <c r="B67" i="127" s="1"/>
  <c r="B68" i="127" s="1"/>
  <c r="B69" i="127" s="1"/>
  <c r="B70" i="127" s="1"/>
  <c r="B71" i="127" s="1"/>
  <c r="B72" i="127" s="1"/>
  <c r="B73" i="127" s="1"/>
  <c r="B74" i="127" s="1"/>
  <c r="B75" i="127" s="1"/>
  <c r="B76" i="127" s="1"/>
  <c r="B77" i="127" s="1"/>
  <c r="B78" i="127" s="1"/>
  <c r="B79" i="127" s="1"/>
  <c r="B80" i="127" s="1"/>
  <c r="B81" i="127" s="1"/>
  <c r="B82" i="127" s="1"/>
  <c r="B83" i="127" s="1"/>
  <c r="J60" i="127"/>
  <c r="W51" i="127"/>
  <c r="V51" i="127"/>
  <c r="W50" i="127"/>
  <c r="V50" i="127"/>
  <c r="W49" i="127"/>
  <c r="V49" i="127"/>
  <c r="W48" i="127"/>
  <c r="V48" i="127"/>
  <c r="W47" i="127"/>
  <c r="V47" i="127"/>
  <c r="J46" i="127"/>
  <c r="W46" i="127" s="1"/>
  <c r="J45" i="127"/>
  <c r="V45" i="127" s="1"/>
  <c r="J44" i="127"/>
  <c r="J43" i="127"/>
  <c r="W43" i="127" s="1"/>
  <c r="J42" i="127"/>
  <c r="V42" i="127" s="1"/>
  <c r="J41" i="127"/>
  <c r="J40" i="127"/>
  <c r="W40" i="127" s="1"/>
  <c r="J39" i="127"/>
  <c r="J38" i="127"/>
  <c r="J37" i="127"/>
  <c r="V37" i="127" s="1"/>
  <c r="J36" i="127"/>
  <c r="J35" i="127"/>
  <c r="V35" i="127" s="1"/>
  <c r="J34" i="127"/>
  <c r="J33" i="127"/>
  <c r="W33" i="127" s="1"/>
  <c r="J32" i="127"/>
  <c r="V32" i="127" s="1"/>
  <c r="J31" i="127"/>
  <c r="J30" i="127"/>
  <c r="W30" i="127" s="1"/>
  <c r="J29" i="127"/>
  <c r="J28" i="127"/>
  <c r="J27" i="127"/>
  <c r="V27" i="127" s="1"/>
  <c r="J26" i="127"/>
  <c r="J25" i="127"/>
  <c r="W25" i="127" s="1"/>
  <c r="J24" i="127"/>
  <c r="J23" i="127"/>
  <c r="J22" i="127"/>
  <c r="W22" i="127" s="1"/>
  <c r="J21" i="127"/>
  <c r="J20" i="127"/>
  <c r="W20" i="127" s="1"/>
  <c r="J19" i="127"/>
  <c r="J18" i="127"/>
  <c r="W18" i="127" s="1"/>
  <c r="J17" i="127"/>
  <c r="W17" i="127" s="1"/>
  <c r="N16" i="127"/>
  <c r="J16" i="127"/>
  <c r="V16" i="127" s="1"/>
  <c r="J15" i="127"/>
  <c r="W15" i="127" s="1"/>
  <c r="N14" i="127"/>
  <c r="J14" i="127"/>
  <c r="V14" i="127" s="1"/>
  <c r="J13" i="127"/>
  <c r="W13" i="127" s="1"/>
  <c r="N12" i="127"/>
  <c r="J12" i="127"/>
  <c r="W12" i="127" s="1"/>
  <c r="N10" i="127"/>
  <c r="J10" i="127"/>
  <c r="V10" i="127" s="1"/>
  <c r="N8" i="127"/>
  <c r="B7" i="127"/>
  <c r="B8" i="127" s="1"/>
  <c r="B9" i="127" s="1"/>
  <c r="B10" i="127" s="1"/>
  <c r="B11" i="127" s="1"/>
  <c r="B12" i="127" s="1"/>
  <c r="B13" i="127" s="1"/>
  <c r="B14" i="127" s="1"/>
  <c r="B15" i="127" s="1"/>
  <c r="B16" i="127" s="1"/>
  <c r="B17" i="127" s="1"/>
  <c r="B18" i="127" s="1"/>
  <c r="B19" i="127" s="1"/>
  <c r="B20" i="127" s="1"/>
  <c r="B21" i="127" s="1"/>
  <c r="B22" i="127" s="1"/>
  <c r="B23" i="127" s="1"/>
  <c r="B24" i="127" s="1"/>
  <c r="B25" i="127" s="1"/>
  <c r="B26" i="127" s="1"/>
  <c r="B27" i="127" s="1"/>
  <c r="B28" i="127" s="1"/>
  <c r="B29" i="127" s="1"/>
  <c r="B30" i="127" s="1"/>
  <c r="B31" i="127" s="1"/>
  <c r="B32" i="127" s="1"/>
  <c r="B33" i="127" s="1"/>
  <c r="B34" i="127" s="1"/>
  <c r="B35" i="127" s="1"/>
  <c r="B36" i="127" s="1"/>
  <c r="B37" i="127" s="1"/>
  <c r="B38" i="127" s="1"/>
  <c r="B39" i="127" s="1"/>
  <c r="B40" i="127" s="1"/>
  <c r="B41" i="127" s="1"/>
  <c r="B42" i="127" s="1"/>
  <c r="B43" i="127" s="1"/>
  <c r="B44" i="127" s="1"/>
  <c r="B45" i="127" s="1"/>
  <c r="B46" i="127" s="1"/>
  <c r="B47" i="127" s="1"/>
  <c r="B48" i="127" s="1"/>
  <c r="B49" i="127" s="1"/>
  <c r="B50" i="127" s="1"/>
  <c r="B51" i="127" s="1"/>
  <c r="N6" i="127"/>
  <c r="J6" i="127"/>
  <c r="N4" i="127"/>
  <c r="W145" i="127" l="1"/>
  <c r="W174" i="127"/>
  <c r="V209" i="127"/>
  <c r="W241" i="127"/>
  <c r="V111" i="127"/>
  <c r="V114" i="127"/>
  <c r="W204" i="127"/>
  <c r="W240" i="127"/>
  <c r="W75" i="127"/>
  <c r="V125" i="127"/>
  <c r="W128" i="127"/>
  <c r="W147" i="127"/>
  <c r="W239" i="127"/>
  <c r="V208" i="127"/>
  <c r="W177" i="127"/>
  <c r="W146" i="127"/>
  <c r="V113" i="127"/>
  <c r="W80" i="127"/>
  <c r="W175" i="127"/>
  <c r="W206" i="127"/>
  <c r="V76" i="127"/>
  <c r="W74" i="127"/>
  <c r="V170" i="127"/>
  <c r="V169" i="127"/>
  <c r="W105" i="127"/>
  <c r="V168" i="127"/>
  <c r="W228" i="127"/>
  <c r="W227" i="127"/>
  <c r="W226" i="127"/>
  <c r="W198" i="127"/>
  <c r="V167" i="127"/>
  <c r="V166" i="127"/>
  <c r="W165" i="127"/>
  <c r="W164" i="127"/>
  <c r="W103" i="127"/>
  <c r="W225" i="127"/>
  <c r="W224" i="127"/>
  <c r="W223" i="127"/>
  <c r="W192" i="127"/>
  <c r="W163" i="127"/>
  <c r="W162" i="127"/>
  <c r="V161" i="127"/>
  <c r="W129" i="127"/>
  <c r="W65" i="127"/>
  <c r="W96" i="127"/>
  <c r="V127" i="127"/>
  <c r="V191" i="127"/>
  <c r="W222" i="127"/>
  <c r="V159" i="127"/>
  <c r="V126" i="127"/>
  <c r="V95" i="127"/>
  <c r="V220" i="127"/>
  <c r="W189" i="127"/>
  <c r="V188" i="127"/>
  <c r="W158" i="127"/>
  <c r="V157" i="127"/>
  <c r="V94" i="127"/>
  <c r="V124" i="127"/>
  <c r="V9" i="127"/>
  <c r="W7" i="127"/>
  <c r="V219" i="127"/>
  <c r="V231" i="127"/>
  <c r="V234" i="127"/>
  <c r="V236" i="127"/>
  <c r="W238" i="127"/>
  <c r="V218" i="127"/>
  <c r="W221" i="127"/>
  <c r="V230" i="127"/>
  <c r="V235" i="127"/>
  <c r="V237" i="127"/>
  <c r="V190" i="127"/>
  <c r="V197" i="127"/>
  <c r="V201" i="127"/>
  <c r="V205" i="127"/>
  <c r="W199" i="127"/>
  <c r="V160" i="127"/>
  <c r="V173" i="127"/>
  <c r="W176" i="127"/>
  <c r="V123" i="127"/>
  <c r="V133" i="127"/>
  <c r="W135" i="127"/>
  <c r="W134" i="127"/>
  <c r="W136" i="127"/>
  <c r="W143" i="127"/>
  <c r="V92" i="127"/>
  <c r="V93" i="127"/>
  <c r="W101" i="127"/>
  <c r="W109" i="127"/>
  <c r="W107" i="127"/>
  <c r="V112" i="127"/>
  <c r="V69" i="127"/>
  <c r="V77" i="127"/>
  <c r="V20" i="127"/>
  <c r="V13" i="127"/>
  <c r="V25" i="127"/>
  <c r="W32" i="127"/>
  <c r="W35" i="127"/>
  <c r="V46" i="127"/>
  <c r="J52" i="127"/>
  <c r="V6" i="127"/>
  <c r="W6" i="127"/>
  <c r="W34" i="127"/>
  <c r="V34" i="127"/>
  <c r="J84" i="127"/>
  <c r="W60" i="127"/>
  <c r="V60" i="127"/>
  <c r="W71" i="127"/>
  <c r="V71" i="127"/>
  <c r="W132" i="127"/>
  <c r="V132" i="127"/>
  <c r="W207" i="127"/>
  <c r="V207" i="127"/>
  <c r="W66" i="127"/>
  <c r="V66" i="127"/>
  <c r="J115" i="127"/>
  <c r="W130" i="127"/>
  <c r="V130" i="127"/>
  <c r="V12" i="127"/>
  <c r="W41" i="127"/>
  <c r="V41" i="127"/>
  <c r="V11" i="127"/>
  <c r="V15" i="127"/>
  <c r="W19" i="127"/>
  <c r="V19" i="127"/>
  <c r="W28" i="127"/>
  <c r="V28" i="127"/>
  <c r="W38" i="127"/>
  <c r="V38" i="127"/>
  <c r="V43" i="127"/>
  <c r="W79" i="127"/>
  <c r="V79" i="127"/>
  <c r="W99" i="127"/>
  <c r="V99" i="127"/>
  <c r="W8" i="127"/>
  <c r="V17" i="127"/>
  <c r="W21" i="127"/>
  <c r="V21" i="127"/>
  <c r="V22" i="127"/>
  <c r="W27" i="127"/>
  <c r="W29" i="127"/>
  <c r="V29" i="127"/>
  <c r="V30" i="127"/>
  <c r="V33" i="127"/>
  <c r="W37" i="127"/>
  <c r="W39" i="127"/>
  <c r="V39" i="127"/>
  <c r="V40" i="127"/>
  <c r="W45" i="127"/>
  <c r="W61" i="127"/>
  <c r="V61" i="127"/>
  <c r="W67" i="127"/>
  <c r="V67" i="127"/>
  <c r="W82" i="127"/>
  <c r="V82" i="127"/>
  <c r="W100" i="127"/>
  <c r="V100" i="127"/>
  <c r="W139" i="127"/>
  <c r="V139" i="127"/>
  <c r="W16" i="127"/>
  <c r="W23" i="127"/>
  <c r="V23" i="127"/>
  <c r="W31" i="127"/>
  <c r="V31" i="127"/>
  <c r="W63" i="127"/>
  <c r="V63" i="127"/>
  <c r="W78" i="127"/>
  <c r="V78" i="127"/>
  <c r="W98" i="127"/>
  <c r="V98" i="127"/>
  <c r="W187" i="127"/>
  <c r="J210" i="127"/>
  <c r="V187" i="127"/>
  <c r="W232" i="127"/>
  <c r="V232" i="127"/>
  <c r="N18" i="127"/>
  <c r="W24" i="127"/>
  <c r="V24" i="127"/>
  <c r="W68" i="127"/>
  <c r="W73" i="127"/>
  <c r="W10" i="127"/>
  <c r="W14" i="127"/>
  <c r="V18" i="127"/>
  <c r="W26" i="127"/>
  <c r="V26" i="127"/>
  <c r="W36" i="127"/>
  <c r="V36" i="127"/>
  <c r="W42" i="127"/>
  <c r="W44" i="127"/>
  <c r="V44" i="127"/>
  <c r="W62" i="127"/>
  <c r="V62" i="127"/>
  <c r="W64" i="127"/>
  <c r="W70" i="127"/>
  <c r="V70" i="127"/>
  <c r="W83" i="127"/>
  <c r="V83" i="127"/>
  <c r="W97" i="127"/>
  <c r="V97" i="127"/>
  <c r="W137" i="127"/>
  <c r="V137" i="127"/>
  <c r="W194" i="127"/>
  <c r="V194" i="127"/>
  <c r="W140" i="127"/>
  <c r="V140" i="127"/>
  <c r="W195" i="127"/>
  <c r="V195" i="127"/>
  <c r="W233" i="127"/>
  <c r="V233" i="127"/>
  <c r="V72" i="127"/>
  <c r="W102" i="127"/>
  <c r="W104" i="127"/>
  <c r="W106" i="127"/>
  <c r="W108" i="127"/>
  <c r="W110" i="127"/>
  <c r="W141" i="127"/>
  <c r="V141" i="127"/>
  <c r="W156" i="127"/>
  <c r="V156" i="127"/>
  <c r="J179" i="127"/>
  <c r="W171" i="127"/>
  <c r="V171" i="127"/>
  <c r="V193" i="127"/>
  <c r="W196" i="127"/>
  <c r="V196" i="127"/>
  <c r="V200" i="127"/>
  <c r="W202" i="127"/>
  <c r="V202" i="127"/>
  <c r="V229" i="127"/>
  <c r="W131" i="127"/>
  <c r="V131" i="127"/>
  <c r="W138" i="127"/>
  <c r="V138" i="127"/>
  <c r="W142" i="127"/>
  <c r="V142" i="127"/>
  <c r="W172" i="127"/>
  <c r="V172" i="127"/>
  <c r="W203" i="127"/>
  <c r="V203" i="127"/>
  <c r="J148" i="127"/>
  <c r="J242" i="127"/>
  <c r="H237" i="126"/>
  <c r="H206" i="126"/>
  <c r="H175" i="126"/>
  <c r="H143" i="126"/>
  <c r="H80" i="126"/>
  <c r="I46" i="126"/>
  <c r="J46" i="126" s="1"/>
  <c r="H45" i="126"/>
  <c r="J45" i="126" s="1"/>
  <c r="I45" i="126"/>
  <c r="W242" i="127" l="1"/>
  <c r="P16" i="127" s="1"/>
  <c r="V179" i="127"/>
  <c r="O12" i="127" s="1"/>
  <c r="R12" i="127" s="1"/>
  <c r="W148" i="127"/>
  <c r="P10" i="127" s="1"/>
  <c r="V148" i="127"/>
  <c r="O10" i="127" s="1"/>
  <c r="R10" i="127" s="1"/>
  <c r="V242" i="127"/>
  <c r="O16" i="127" s="1"/>
  <c r="R16" i="127" s="1"/>
  <c r="W179" i="127"/>
  <c r="P12" i="127" s="1"/>
  <c r="Q12" i="127" s="1"/>
  <c r="W115" i="127"/>
  <c r="P8" i="127" s="1"/>
  <c r="V115" i="127"/>
  <c r="O8" i="127" s="1"/>
  <c r="R8" i="127" s="1"/>
  <c r="V84" i="127"/>
  <c r="O6" i="127" s="1"/>
  <c r="W210" i="127"/>
  <c r="P14" i="127" s="1"/>
  <c r="W84" i="127"/>
  <c r="P6" i="127" s="1"/>
  <c r="W52" i="127"/>
  <c r="P4" i="127" s="1"/>
  <c r="V52" i="127"/>
  <c r="O4" i="127" s="1"/>
  <c r="V210" i="127"/>
  <c r="O14" i="127" s="1"/>
  <c r="J44" i="126"/>
  <c r="I44" i="126"/>
  <c r="I43" i="126"/>
  <c r="J43" i="126" s="1"/>
  <c r="H79" i="126"/>
  <c r="H142" i="126"/>
  <c r="H205" i="126"/>
  <c r="Q10" i="127" l="1"/>
  <c r="Q8" i="127"/>
  <c r="P18" i="127"/>
  <c r="R14" i="127"/>
  <c r="Q14" i="127"/>
  <c r="R6" i="127"/>
  <c r="Q6" i="127"/>
  <c r="R4" i="127"/>
  <c r="O18" i="127"/>
  <c r="R18" i="127" s="1"/>
  <c r="P20" i="127" s="1"/>
  <c r="Q4" i="127"/>
  <c r="H202" i="126"/>
  <c r="H171" i="126"/>
  <c r="H170" i="126"/>
  <c r="H201" i="126"/>
  <c r="H232" i="126"/>
  <c r="H231" i="126"/>
  <c r="Q18" i="127" l="1"/>
  <c r="H78" i="126"/>
  <c r="J42" i="126"/>
  <c r="H42" i="126"/>
  <c r="H73" i="126"/>
  <c r="H138" i="126"/>
  <c r="H137" i="126"/>
  <c r="H111" i="126"/>
  <c r="H75" i="126"/>
  <c r="I42" i="126"/>
  <c r="I41" i="126"/>
  <c r="J41" i="126" s="1"/>
  <c r="H40" i="126"/>
  <c r="J40" i="126" s="1"/>
  <c r="I40" i="126"/>
  <c r="I39" i="126"/>
  <c r="J39" i="126" s="1"/>
  <c r="H38" i="126"/>
  <c r="J38" i="126" s="1"/>
  <c r="I38" i="126"/>
  <c r="H37" i="126"/>
  <c r="I37" i="126"/>
  <c r="J37" i="126" l="1"/>
  <c r="H36" i="126"/>
  <c r="J36" i="126" s="1"/>
  <c r="I36" i="126"/>
  <c r="I35" i="126"/>
  <c r="J35" i="126" s="1"/>
  <c r="H34" i="126"/>
  <c r="J34" i="126" s="1"/>
  <c r="I34" i="126"/>
  <c r="I33" i="126"/>
  <c r="J33" i="126" s="1"/>
  <c r="H199" i="126" l="1"/>
  <c r="I32" i="126"/>
  <c r="J32" i="126" s="1"/>
  <c r="H31" i="126"/>
  <c r="I31" i="126"/>
  <c r="J31" i="126" s="1"/>
  <c r="H197" i="126" l="1"/>
  <c r="H195" i="126"/>
  <c r="H165" i="126"/>
  <c r="H134" i="126"/>
  <c r="H132" i="126"/>
  <c r="H71" i="126"/>
  <c r="H70" i="126"/>
  <c r="H69" i="126"/>
  <c r="J30" i="126"/>
  <c r="H30" i="126"/>
  <c r="I30" i="126"/>
  <c r="I29" i="126"/>
  <c r="J29" i="126" s="1"/>
  <c r="H28" i="126"/>
  <c r="J28" i="126" s="1"/>
  <c r="I28" i="126"/>
  <c r="H27" i="126"/>
  <c r="J27" i="126" s="1"/>
  <c r="I27" i="126"/>
  <c r="I26" i="126"/>
  <c r="J26" i="126" s="1"/>
  <c r="H25" i="126"/>
  <c r="I25" i="126"/>
  <c r="J25" i="126" s="1"/>
  <c r="I24" i="126"/>
  <c r="J24" i="126" s="1"/>
  <c r="I23" i="126"/>
  <c r="J23" i="126" s="1"/>
  <c r="H228" i="126" l="1"/>
  <c r="H193" i="126" l="1"/>
  <c r="H192" i="126"/>
  <c r="H191" i="126"/>
  <c r="H162" i="126"/>
  <c r="H131" i="126"/>
  <c r="H130" i="126"/>
  <c r="H128" i="126"/>
  <c r="H99" i="126"/>
  <c r="H97" i="126"/>
  <c r="H68" i="126" l="1"/>
  <c r="H67" i="126"/>
  <c r="H66" i="126"/>
  <c r="H65" i="126"/>
  <c r="H64" i="126"/>
  <c r="H22" i="126"/>
  <c r="J22" i="126" s="1"/>
  <c r="I22" i="126"/>
  <c r="H21" i="126"/>
  <c r="J21" i="126" s="1"/>
  <c r="I21" i="126"/>
  <c r="H20" i="126"/>
  <c r="J20" i="126" s="1"/>
  <c r="I20" i="126"/>
  <c r="I19" i="126"/>
  <c r="J19" i="126" s="1"/>
  <c r="I18" i="126"/>
  <c r="J18" i="126" s="1"/>
  <c r="I17" i="126"/>
  <c r="J17" i="126" s="1"/>
  <c r="I16" i="126"/>
  <c r="J16" i="126" s="1"/>
  <c r="I15" i="126"/>
  <c r="J15" i="126" s="1"/>
  <c r="H14" i="126"/>
  <c r="J14" i="126" s="1"/>
  <c r="I14" i="126"/>
  <c r="I8" i="126" l="1"/>
  <c r="J8" i="126" s="1"/>
  <c r="I9" i="126"/>
  <c r="J9" i="126"/>
  <c r="I10" i="126"/>
  <c r="I11" i="126"/>
  <c r="J11" i="126"/>
  <c r="I12" i="126"/>
  <c r="J12" i="126" s="1"/>
  <c r="W12" i="126" s="1"/>
  <c r="I13" i="126"/>
  <c r="H13" i="126"/>
  <c r="J13" i="126" s="1"/>
  <c r="H10" i="126"/>
  <c r="H63" i="126"/>
  <c r="J63" i="126" s="1"/>
  <c r="W63" i="126" s="1"/>
  <c r="H96" i="126"/>
  <c r="H220" i="126"/>
  <c r="H186" i="126"/>
  <c r="H155" i="126"/>
  <c r="J240" i="126"/>
  <c r="V240" i="126" s="1"/>
  <c r="J239" i="126"/>
  <c r="V239" i="126" s="1"/>
  <c r="J238" i="126"/>
  <c r="V238" i="126" s="1"/>
  <c r="J237" i="126"/>
  <c r="V237" i="126" s="1"/>
  <c r="J236" i="126"/>
  <c r="V236" i="126" s="1"/>
  <c r="J235" i="126"/>
  <c r="V235" i="126" s="1"/>
  <c r="J234" i="126"/>
  <c r="V234" i="126" s="1"/>
  <c r="J233" i="126"/>
  <c r="V233" i="126" s="1"/>
  <c r="J232" i="126"/>
  <c r="V232" i="126" s="1"/>
  <c r="J231" i="126"/>
  <c r="J230" i="126"/>
  <c r="J229" i="126"/>
  <c r="J228" i="126"/>
  <c r="J227" i="126"/>
  <c r="J226" i="126"/>
  <c r="J225" i="126"/>
  <c r="W225" i="126" s="1"/>
  <c r="J224" i="126"/>
  <c r="V224" i="126" s="1"/>
  <c r="J223" i="126"/>
  <c r="V223" i="126" s="1"/>
  <c r="J222" i="126"/>
  <c r="V222" i="126" s="1"/>
  <c r="J221" i="126"/>
  <c r="V221" i="126" s="1"/>
  <c r="J220" i="126"/>
  <c r="V220" i="126" s="1"/>
  <c r="J219" i="126"/>
  <c r="V219" i="126" s="1"/>
  <c r="J218" i="126"/>
  <c r="V218" i="126" s="1"/>
  <c r="B218" i="126"/>
  <c r="B219" i="126" s="1"/>
  <c r="B220" i="126" s="1"/>
  <c r="B221" i="126" s="1"/>
  <c r="B222" i="126" s="1"/>
  <c r="B223" i="126" s="1"/>
  <c r="B224" i="126" s="1"/>
  <c r="B225" i="126" s="1"/>
  <c r="B226" i="126" s="1"/>
  <c r="B227" i="126" s="1"/>
  <c r="B228" i="126" s="1"/>
  <c r="B229" i="126" s="1"/>
  <c r="B230" i="126" s="1"/>
  <c r="B231" i="126" s="1"/>
  <c r="B232" i="126" s="1"/>
  <c r="B233" i="126" s="1"/>
  <c r="B234" i="126" s="1"/>
  <c r="B235" i="126" s="1"/>
  <c r="B236" i="126" s="1"/>
  <c r="B237" i="126" s="1"/>
  <c r="B238" i="126" s="1"/>
  <c r="B239" i="126" s="1"/>
  <c r="B240" i="126" s="1"/>
  <c r="J217" i="126"/>
  <c r="V217" i="126" s="1"/>
  <c r="J208" i="126"/>
  <c r="W208" i="126" s="1"/>
  <c r="J207" i="126"/>
  <c r="W207" i="126" s="1"/>
  <c r="W206" i="126"/>
  <c r="J206" i="126"/>
  <c r="V206" i="126" s="1"/>
  <c r="J205" i="126"/>
  <c r="W205" i="126" s="1"/>
  <c r="J204" i="126"/>
  <c r="W204" i="126" s="1"/>
  <c r="J203" i="126"/>
  <c r="V203" i="126" s="1"/>
  <c r="J202" i="126"/>
  <c r="W202" i="126" s="1"/>
  <c r="J201" i="126"/>
  <c r="W201" i="126" s="1"/>
  <c r="J200" i="126"/>
  <c r="W200" i="126" s="1"/>
  <c r="J199" i="126"/>
  <c r="V199" i="126" s="1"/>
  <c r="J198" i="126"/>
  <c r="W198" i="126" s="1"/>
  <c r="J197" i="126"/>
  <c r="V197" i="126" s="1"/>
  <c r="J196" i="126"/>
  <c r="V196" i="126" s="1"/>
  <c r="J195" i="126"/>
  <c r="V195" i="126" s="1"/>
  <c r="J194" i="126"/>
  <c r="V194" i="126" s="1"/>
  <c r="J193" i="126"/>
  <c r="V193" i="126" s="1"/>
  <c r="J192" i="126"/>
  <c r="V192" i="126" s="1"/>
  <c r="J191" i="126"/>
  <c r="V191" i="126" s="1"/>
  <c r="J190" i="126"/>
  <c r="V190" i="126" s="1"/>
  <c r="J189" i="126"/>
  <c r="V189" i="126" s="1"/>
  <c r="J188" i="126"/>
  <c r="V188" i="126" s="1"/>
  <c r="J187" i="126"/>
  <c r="B187" i="126"/>
  <c r="B188" i="126" s="1"/>
  <c r="B189" i="126" s="1"/>
  <c r="B190" i="126" s="1"/>
  <c r="B191" i="126" s="1"/>
  <c r="B192" i="126" s="1"/>
  <c r="B193" i="126" s="1"/>
  <c r="B194" i="126" s="1"/>
  <c r="B195" i="126" s="1"/>
  <c r="B196" i="126" s="1"/>
  <c r="B197" i="126" s="1"/>
  <c r="B198" i="126" s="1"/>
  <c r="B199" i="126" s="1"/>
  <c r="B200" i="126" s="1"/>
  <c r="B201" i="126" s="1"/>
  <c r="B202" i="126" s="1"/>
  <c r="B203" i="126" s="1"/>
  <c r="B204" i="126" s="1"/>
  <c r="B205" i="126" s="1"/>
  <c r="B206" i="126" s="1"/>
  <c r="B207" i="126" s="1"/>
  <c r="B208" i="126" s="1"/>
  <c r="J186" i="126"/>
  <c r="J177" i="126"/>
  <c r="V177" i="126" s="1"/>
  <c r="J176" i="126"/>
  <c r="V176" i="126" s="1"/>
  <c r="J175" i="126"/>
  <c r="V175" i="126" s="1"/>
  <c r="J174" i="126"/>
  <c r="V174" i="126" s="1"/>
  <c r="W173" i="126"/>
  <c r="J173" i="126"/>
  <c r="V173" i="126" s="1"/>
  <c r="J172" i="126"/>
  <c r="J171" i="126"/>
  <c r="J170" i="126"/>
  <c r="J169" i="126"/>
  <c r="J168" i="126"/>
  <c r="J167" i="126"/>
  <c r="J166" i="126"/>
  <c r="J165" i="126"/>
  <c r="J164" i="126"/>
  <c r="J163" i="126"/>
  <c r="J162" i="126"/>
  <c r="W162" i="126" s="1"/>
  <c r="J161" i="126"/>
  <c r="W161" i="126" s="1"/>
  <c r="J160" i="126"/>
  <c r="W160" i="126" s="1"/>
  <c r="V159" i="126"/>
  <c r="J159" i="126"/>
  <c r="W159" i="126" s="1"/>
  <c r="J158" i="126"/>
  <c r="W158" i="126" s="1"/>
  <c r="J157" i="126"/>
  <c r="V157" i="126" s="1"/>
  <c r="J156" i="126"/>
  <c r="V156" i="126" s="1"/>
  <c r="B156" i="126"/>
  <c r="B157" i="126" s="1"/>
  <c r="B158" i="126" s="1"/>
  <c r="B159" i="126" s="1"/>
  <c r="B160" i="126" s="1"/>
  <c r="B161" i="126" s="1"/>
  <c r="B162" i="126" s="1"/>
  <c r="B163" i="126" s="1"/>
  <c r="B164" i="126" s="1"/>
  <c r="B165" i="126" s="1"/>
  <c r="B166" i="126" s="1"/>
  <c r="B167" i="126" s="1"/>
  <c r="B168" i="126" s="1"/>
  <c r="B169" i="126" s="1"/>
  <c r="B170" i="126" s="1"/>
  <c r="B171" i="126" s="1"/>
  <c r="B172" i="126" s="1"/>
  <c r="B173" i="126" s="1"/>
  <c r="B174" i="126" s="1"/>
  <c r="B175" i="126" s="1"/>
  <c r="B176" i="126" s="1"/>
  <c r="B177" i="126" s="1"/>
  <c r="J155" i="126"/>
  <c r="W146" i="126"/>
  <c r="V146" i="126"/>
  <c r="J146" i="126"/>
  <c r="J145" i="126"/>
  <c r="W145" i="126" s="1"/>
  <c r="J144" i="126"/>
  <c r="W144" i="126" s="1"/>
  <c r="J143" i="126"/>
  <c r="W143" i="126" s="1"/>
  <c r="J142" i="126"/>
  <c r="V142" i="126" s="1"/>
  <c r="J141" i="126"/>
  <c r="W141" i="126" s="1"/>
  <c r="J140" i="126"/>
  <c r="W140" i="126" s="1"/>
  <c r="J139" i="126"/>
  <c r="W139" i="126" s="1"/>
  <c r="J138" i="126"/>
  <c r="V138" i="126" s="1"/>
  <c r="J137" i="126"/>
  <c r="V137" i="126" s="1"/>
  <c r="J136" i="126"/>
  <c r="J135" i="126"/>
  <c r="J134" i="126"/>
  <c r="J133" i="126"/>
  <c r="J132" i="126"/>
  <c r="J131" i="126"/>
  <c r="W131" i="126" s="1"/>
  <c r="J130" i="126"/>
  <c r="W130" i="126" s="1"/>
  <c r="J129" i="126"/>
  <c r="W129" i="126" s="1"/>
  <c r="J128" i="126"/>
  <c r="W128" i="126" s="1"/>
  <c r="J127" i="126"/>
  <c r="V127" i="126" s="1"/>
  <c r="J126" i="126"/>
  <c r="W126" i="126" s="1"/>
  <c r="J125" i="126"/>
  <c r="V125" i="126" s="1"/>
  <c r="J124" i="126"/>
  <c r="B124" i="126"/>
  <c r="B125" i="126" s="1"/>
  <c r="B126" i="126" s="1"/>
  <c r="B127" i="126" s="1"/>
  <c r="B128" i="126" s="1"/>
  <c r="B129" i="126" s="1"/>
  <c r="B130" i="126" s="1"/>
  <c r="B131" i="126" s="1"/>
  <c r="B132" i="126" s="1"/>
  <c r="B133" i="126" s="1"/>
  <c r="B134" i="126" s="1"/>
  <c r="B135" i="126" s="1"/>
  <c r="B136" i="126" s="1"/>
  <c r="B137" i="126" s="1"/>
  <c r="B138" i="126" s="1"/>
  <c r="B139" i="126" s="1"/>
  <c r="B140" i="126" s="1"/>
  <c r="B141" i="126" s="1"/>
  <c r="B142" i="126" s="1"/>
  <c r="B143" i="126" s="1"/>
  <c r="B144" i="126" s="1"/>
  <c r="B145" i="126" s="1"/>
  <c r="B146" i="126" s="1"/>
  <c r="J123" i="126"/>
  <c r="J114" i="126"/>
  <c r="W114" i="126" s="1"/>
  <c r="J113" i="126"/>
  <c r="V113" i="126" s="1"/>
  <c r="J112" i="126"/>
  <c r="W112" i="126" s="1"/>
  <c r="J111" i="126"/>
  <c r="V111" i="126" s="1"/>
  <c r="J110" i="126"/>
  <c r="W110" i="126" s="1"/>
  <c r="J109" i="126"/>
  <c r="W109" i="126" s="1"/>
  <c r="J108" i="126"/>
  <c r="V108" i="126" s="1"/>
  <c r="J107" i="126"/>
  <c r="V107" i="126" s="1"/>
  <c r="J106" i="126"/>
  <c r="V106" i="126" s="1"/>
  <c r="J105" i="126"/>
  <c r="V105" i="126" s="1"/>
  <c r="J104" i="126"/>
  <c r="W104" i="126" s="1"/>
  <c r="J103" i="126"/>
  <c r="W103" i="126" s="1"/>
  <c r="J102" i="126"/>
  <c r="J101" i="126"/>
  <c r="W101" i="126" s="1"/>
  <c r="J100" i="126"/>
  <c r="W100" i="126" s="1"/>
  <c r="J99" i="126"/>
  <c r="W99" i="126" s="1"/>
  <c r="J98" i="126"/>
  <c r="J97" i="126"/>
  <c r="V97" i="126" s="1"/>
  <c r="J96" i="126"/>
  <c r="V96" i="126" s="1"/>
  <c r="J95" i="126"/>
  <c r="W95" i="126" s="1"/>
  <c r="J94" i="126"/>
  <c r="J93" i="126"/>
  <c r="W93" i="126" s="1"/>
  <c r="B93" i="126"/>
  <c r="B94" i="126" s="1"/>
  <c r="B95" i="126" s="1"/>
  <c r="B96" i="126" s="1"/>
  <c r="B97" i="126" s="1"/>
  <c r="B98" i="126" s="1"/>
  <c r="B99" i="126" s="1"/>
  <c r="B100" i="126" s="1"/>
  <c r="B101" i="126" s="1"/>
  <c r="B102" i="126" s="1"/>
  <c r="B103" i="126" s="1"/>
  <c r="B104" i="126" s="1"/>
  <c r="B105" i="126" s="1"/>
  <c r="B106" i="126" s="1"/>
  <c r="B107" i="126" s="1"/>
  <c r="B108" i="126" s="1"/>
  <c r="B109" i="126" s="1"/>
  <c r="B110" i="126" s="1"/>
  <c r="B111" i="126" s="1"/>
  <c r="B112" i="126" s="1"/>
  <c r="B113" i="126" s="1"/>
  <c r="B114" i="126" s="1"/>
  <c r="J92" i="126"/>
  <c r="V83" i="126"/>
  <c r="J83" i="126"/>
  <c r="W83" i="126" s="1"/>
  <c r="V82" i="126"/>
  <c r="J82" i="126"/>
  <c r="W82" i="126" s="1"/>
  <c r="J81" i="126"/>
  <c r="J80" i="126"/>
  <c r="W80" i="126" s="1"/>
  <c r="V79" i="126"/>
  <c r="J79" i="126"/>
  <c r="W79" i="126" s="1"/>
  <c r="J78" i="126"/>
  <c r="J77" i="126"/>
  <c r="V77" i="126" s="1"/>
  <c r="J76" i="126"/>
  <c r="V76" i="126" s="1"/>
  <c r="J75" i="126"/>
  <c r="J74" i="126"/>
  <c r="W74" i="126" s="1"/>
  <c r="J73" i="126"/>
  <c r="W73" i="126" s="1"/>
  <c r="J72" i="126"/>
  <c r="W72" i="126" s="1"/>
  <c r="J71" i="126"/>
  <c r="J70" i="126"/>
  <c r="V70" i="126" s="1"/>
  <c r="J69" i="126"/>
  <c r="V69" i="126" s="1"/>
  <c r="J68" i="126"/>
  <c r="V68" i="126" s="1"/>
  <c r="J67" i="126"/>
  <c r="W67" i="126" s="1"/>
  <c r="J66" i="126"/>
  <c r="W66" i="126" s="1"/>
  <c r="J65" i="126"/>
  <c r="W65" i="126" s="1"/>
  <c r="J64" i="126"/>
  <c r="W64" i="126" s="1"/>
  <c r="J62" i="126"/>
  <c r="W62" i="126" s="1"/>
  <c r="J61" i="126"/>
  <c r="W61" i="126" s="1"/>
  <c r="B61" i="126"/>
  <c r="B62" i="126" s="1"/>
  <c r="B63" i="126" s="1"/>
  <c r="B64" i="126" s="1"/>
  <c r="B65" i="126" s="1"/>
  <c r="B66" i="126" s="1"/>
  <c r="B67" i="126" s="1"/>
  <c r="B68" i="126" s="1"/>
  <c r="B69" i="126" s="1"/>
  <c r="B70" i="126" s="1"/>
  <c r="B71" i="126" s="1"/>
  <c r="B72" i="126" s="1"/>
  <c r="B73" i="126" s="1"/>
  <c r="B74" i="126" s="1"/>
  <c r="B75" i="126" s="1"/>
  <c r="B76" i="126" s="1"/>
  <c r="B77" i="126" s="1"/>
  <c r="B78" i="126" s="1"/>
  <c r="B79" i="126" s="1"/>
  <c r="B80" i="126" s="1"/>
  <c r="B81" i="126" s="1"/>
  <c r="B82" i="126" s="1"/>
  <c r="B83" i="126" s="1"/>
  <c r="J60" i="126"/>
  <c r="W60" i="126" s="1"/>
  <c r="W51" i="126"/>
  <c r="V51" i="126"/>
  <c r="W50" i="126"/>
  <c r="V50" i="126"/>
  <c r="W49" i="126"/>
  <c r="V49" i="126"/>
  <c r="W48" i="126"/>
  <c r="V48" i="126"/>
  <c r="W47" i="126"/>
  <c r="V47" i="126"/>
  <c r="W46" i="126"/>
  <c r="V46" i="126"/>
  <c r="W45" i="126"/>
  <c r="V45" i="126"/>
  <c r="W44" i="126"/>
  <c r="V44" i="126"/>
  <c r="V41" i="126"/>
  <c r="W41" i="126"/>
  <c r="V38" i="126"/>
  <c r="W38" i="126"/>
  <c r="W35" i="126"/>
  <c r="W33" i="126"/>
  <c r="W31" i="126"/>
  <c r="V30" i="126"/>
  <c r="W30" i="126"/>
  <c r="W28" i="126"/>
  <c r="W26" i="126"/>
  <c r="V25" i="126"/>
  <c r="W25" i="126"/>
  <c r="W23" i="126"/>
  <c r="V22" i="126"/>
  <c r="W22" i="126"/>
  <c r="W20" i="126"/>
  <c r="V18" i="126"/>
  <c r="V17" i="126"/>
  <c r="W17" i="126"/>
  <c r="N16" i="126"/>
  <c r="N14" i="126"/>
  <c r="W14" i="126"/>
  <c r="N12" i="126"/>
  <c r="N10" i="126"/>
  <c r="N8" i="126"/>
  <c r="I7" i="126"/>
  <c r="J7" i="126" s="1"/>
  <c r="B7" i="126"/>
  <c r="B8" i="126" s="1"/>
  <c r="B9" i="126" s="1"/>
  <c r="B10" i="126" s="1"/>
  <c r="B11" i="126" s="1"/>
  <c r="B12" i="126" s="1"/>
  <c r="B13" i="126" s="1"/>
  <c r="B14" i="126" s="1"/>
  <c r="B15" i="126" s="1"/>
  <c r="B16" i="126" s="1"/>
  <c r="B17" i="126" s="1"/>
  <c r="B18" i="126" s="1"/>
  <c r="B19" i="126" s="1"/>
  <c r="B20" i="126" s="1"/>
  <c r="B21" i="126" s="1"/>
  <c r="B22" i="126" s="1"/>
  <c r="B23" i="126" s="1"/>
  <c r="B24" i="126" s="1"/>
  <c r="B25" i="126" s="1"/>
  <c r="B26" i="126" s="1"/>
  <c r="B27" i="126" s="1"/>
  <c r="B28" i="126" s="1"/>
  <c r="B29" i="126" s="1"/>
  <c r="B30" i="126" s="1"/>
  <c r="B31" i="126" s="1"/>
  <c r="B32" i="126" s="1"/>
  <c r="B33" i="126" s="1"/>
  <c r="B34" i="126" s="1"/>
  <c r="B35" i="126" s="1"/>
  <c r="B36" i="126" s="1"/>
  <c r="B37" i="126" s="1"/>
  <c r="B38" i="126" s="1"/>
  <c r="B39" i="126" s="1"/>
  <c r="B40" i="126" s="1"/>
  <c r="B41" i="126" s="1"/>
  <c r="B42" i="126" s="1"/>
  <c r="B43" i="126" s="1"/>
  <c r="B44" i="126" s="1"/>
  <c r="B45" i="126" s="1"/>
  <c r="B46" i="126" s="1"/>
  <c r="B47" i="126" s="1"/>
  <c r="B48" i="126" s="1"/>
  <c r="B49" i="126" s="1"/>
  <c r="B50" i="126" s="1"/>
  <c r="B51" i="126" s="1"/>
  <c r="N6" i="126"/>
  <c r="I6" i="126"/>
  <c r="J6" i="126" s="1"/>
  <c r="N4" i="126"/>
  <c r="W96" i="126" l="1"/>
  <c r="V112" i="126"/>
  <c r="V114" i="126"/>
  <c r="V145" i="126"/>
  <c r="J10" i="126"/>
  <c r="W107" i="126"/>
  <c r="V110" i="126"/>
  <c r="V144" i="126"/>
  <c r="W176" i="126"/>
  <c r="V208" i="126"/>
  <c r="W105" i="126"/>
  <c r="W113" i="126"/>
  <c r="V143" i="126"/>
  <c r="W174" i="126"/>
  <c r="V207" i="126"/>
  <c r="W177" i="126"/>
  <c r="W175" i="126"/>
  <c r="W142" i="126"/>
  <c r="V205" i="126"/>
  <c r="W203" i="126"/>
  <c r="V202" i="126"/>
  <c r="V141" i="126"/>
  <c r="W138" i="126"/>
  <c r="W111" i="126"/>
  <c r="W199" i="126"/>
  <c r="V103" i="126"/>
  <c r="W70" i="126"/>
  <c r="V64" i="126"/>
  <c r="W127" i="126"/>
  <c r="W68" i="126"/>
  <c r="V66" i="126"/>
  <c r="V62" i="126"/>
  <c r="V126" i="126"/>
  <c r="W220" i="126"/>
  <c r="W222" i="126"/>
  <c r="W224" i="126"/>
  <c r="W221" i="126"/>
  <c r="W223" i="126"/>
  <c r="W190" i="126"/>
  <c r="W192" i="126"/>
  <c r="W194" i="126"/>
  <c r="W196" i="126"/>
  <c r="V198" i="126"/>
  <c r="V201" i="126"/>
  <c r="V200" i="126"/>
  <c r="V204" i="126"/>
  <c r="W189" i="126"/>
  <c r="W191" i="126"/>
  <c r="W193" i="126"/>
  <c r="W195" i="126"/>
  <c r="W197" i="126"/>
  <c r="V160" i="126"/>
  <c r="W157" i="126"/>
  <c r="W137" i="126"/>
  <c r="V140" i="126"/>
  <c r="V128" i="126"/>
  <c r="V139" i="126"/>
  <c r="V95" i="126"/>
  <c r="W97" i="126"/>
  <c r="V104" i="126"/>
  <c r="V109" i="126"/>
  <c r="W77" i="126"/>
  <c r="N18" i="126"/>
  <c r="V61" i="126"/>
  <c r="V63" i="126"/>
  <c r="V65" i="126"/>
  <c r="V67" i="126"/>
  <c r="W69" i="126"/>
  <c r="V80" i="126"/>
  <c r="V60" i="126"/>
  <c r="W76" i="126"/>
  <c r="W24" i="126"/>
  <c r="V24" i="126"/>
  <c r="W7" i="126"/>
  <c r="V7" i="126"/>
  <c r="V9" i="126"/>
  <c r="W9" i="126"/>
  <c r="W11" i="126"/>
  <c r="V11" i="126"/>
  <c r="W13" i="126"/>
  <c r="V13" i="126"/>
  <c r="V21" i="126"/>
  <c r="W21" i="126"/>
  <c r="V36" i="126"/>
  <c r="W36" i="126"/>
  <c r="W102" i="126"/>
  <c r="V102" i="126"/>
  <c r="W29" i="126"/>
  <c r="V29" i="126"/>
  <c r="W34" i="126"/>
  <c r="V34" i="126"/>
  <c r="V42" i="126"/>
  <c r="W42" i="126"/>
  <c r="W94" i="126"/>
  <c r="V94" i="126"/>
  <c r="W98" i="126"/>
  <c r="V98" i="126"/>
  <c r="W37" i="126"/>
  <c r="V37" i="126"/>
  <c r="V39" i="126"/>
  <c r="W39" i="126"/>
  <c r="W43" i="126"/>
  <c r="V43" i="126"/>
  <c r="W78" i="126"/>
  <c r="V78" i="126"/>
  <c r="V132" i="126"/>
  <c r="W132" i="126"/>
  <c r="W40" i="126"/>
  <c r="V40" i="126"/>
  <c r="W75" i="126"/>
  <c r="V75" i="126"/>
  <c r="V6" i="126"/>
  <c r="W6" i="126"/>
  <c r="J52" i="126"/>
  <c r="V15" i="126"/>
  <c r="W15" i="126"/>
  <c r="W19" i="126"/>
  <c r="V19" i="126"/>
  <c r="V8" i="126"/>
  <c r="W8" i="126"/>
  <c r="V10" i="126"/>
  <c r="W10" i="126"/>
  <c r="W16" i="126"/>
  <c r="V16" i="126"/>
  <c r="W27" i="126"/>
  <c r="V27" i="126"/>
  <c r="W32" i="126"/>
  <c r="V32" i="126"/>
  <c r="W71" i="126"/>
  <c r="J84" i="126"/>
  <c r="V71" i="126"/>
  <c r="W18" i="126"/>
  <c r="J115" i="126"/>
  <c r="V124" i="126"/>
  <c r="W124" i="126"/>
  <c r="V155" i="126"/>
  <c r="J178" i="126"/>
  <c r="W155" i="126"/>
  <c r="W165" i="126"/>
  <c r="V165" i="126"/>
  <c r="W169" i="126"/>
  <c r="V169" i="126"/>
  <c r="W227" i="126"/>
  <c r="V227" i="126"/>
  <c r="V231" i="126"/>
  <c r="W231" i="126"/>
  <c r="V72" i="126"/>
  <c r="V73" i="126"/>
  <c r="V74" i="126"/>
  <c r="V92" i="126"/>
  <c r="V93" i="126"/>
  <c r="V99" i="126"/>
  <c r="V100" i="126"/>
  <c r="V101" i="126"/>
  <c r="W106" i="126"/>
  <c r="V129" i="126"/>
  <c r="V131" i="126"/>
  <c r="V133" i="126"/>
  <c r="W133" i="126"/>
  <c r="V135" i="126"/>
  <c r="W135" i="126"/>
  <c r="V158" i="126"/>
  <c r="V162" i="126"/>
  <c r="W166" i="126"/>
  <c r="V166" i="126"/>
  <c r="W170" i="126"/>
  <c r="V170" i="126"/>
  <c r="V187" i="126"/>
  <c r="W187" i="126"/>
  <c r="W219" i="126"/>
  <c r="V225" i="126"/>
  <c r="W228" i="126"/>
  <c r="V228" i="126"/>
  <c r="V12" i="126"/>
  <c r="V14" i="126"/>
  <c r="V20" i="126"/>
  <c r="V23" i="126"/>
  <c r="V26" i="126"/>
  <c r="V28" i="126"/>
  <c r="V31" i="126"/>
  <c r="V33" i="126"/>
  <c r="V35" i="126"/>
  <c r="W92" i="126"/>
  <c r="J147" i="126"/>
  <c r="V123" i="126"/>
  <c r="W123" i="126"/>
  <c r="W163" i="126"/>
  <c r="V163" i="126"/>
  <c r="W167" i="126"/>
  <c r="V167" i="126"/>
  <c r="W171" i="126"/>
  <c r="V171" i="126"/>
  <c r="W229" i="126"/>
  <c r="V229" i="126"/>
  <c r="W108" i="126"/>
  <c r="W125" i="126"/>
  <c r="V130" i="126"/>
  <c r="V134" i="126"/>
  <c r="W134" i="126"/>
  <c r="V136" i="126"/>
  <c r="W136" i="126"/>
  <c r="W156" i="126"/>
  <c r="V161" i="126"/>
  <c r="W164" i="126"/>
  <c r="V164" i="126"/>
  <c r="W168" i="126"/>
  <c r="V168" i="126"/>
  <c r="V172" i="126"/>
  <c r="W172" i="126"/>
  <c r="J209" i="126"/>
  <c r="W186" i="126"/>
  <c r="V186" i="126"/>
  <c r="W226" i="126"/>
  <c r="V226" i="126"/>
  <c r="W230" i="126"/>
  <c r="V230" i="126"/>
  <c r="J241" i="126"/>
  <c r="W188" i="126"/>
  <c r="W217" i="126"/>
  <c r="W218" i="126"/>
  <c r="W232" i="126"/>
  <c r="W233" i="126"/>
  <c r="W234" i="126"/>
  <c r="W235" i="126"/>
  <c r="W236" i="126"/>
  <c r="W237" i="126"/>
  <c r="W238" i="126"/>
  <c r="W239" i="126"/>
  <c r="W240" i="126"/>
  <c r="H110" i="125"/>
  <c r="H173" i="125"/>
  <c r="H231" i="125"/>
  <c r="H172" i="125"/>
  <c r="H109" i="125"/>
  <c r="H78" i="125"/>
  <c r="H76" i="125"/>
  <c r="H75" i="125"/>
  <c r="J41" i="125"/>
  <c r="I43" i="125"/>
  <c r="J43" i="125" s="1"/>
  <c r="H42" i="125"/>
  <c r="J42" i="125" s="1"/>
  <c r="I42" i="125"/>
  <c r="I41" i="125"/>
  <c r="I40" i="125"/>
  <c r="J40" i="125" s="1"/>
  <c r="J35" i="125"/>
  <c r="J38" i="125"/>
  <c r="J39" i="125"/>
  <c r="H39" i="125"/>
  <c r="I39" i="125"/>
  <c r="I38" i="125"/>
  <c r="I37" i="125"/>
  <c r="J37" i="125" s="1"/>
  <c r="I36" i="125"/>
  <c r="J36" i="125" s="1"/>
  <c r="H35" i="125"/>
  <c r="I35" i="125"/>
  <c r="H34" i="125"/>
  <c r="J34" i="125" s="1"/>
  <c r="I34" i="125"/>
  <c r="H141" i="125"/>
  <c r="H137" i="125"/>
  <c r="W84" i="126" l="1"/>
  <c r="P6" i="126" s="1"/>
  <c r="V241" i="126"/>
  <c r="O16" i="126" s="1"/>
  <c r="R16" i="126" s="1"/>
  <c r="V209" i="126"/>
  <c r="O14" i="126" s="1"/>
  <c r="R14" i="126" s="1"/>
  <c r="V84" i="126"/>
  <c r="O6" i="126" s="1"/>
  <c r="W241" i="126"/>
  <c r="P16" i="126" s="1"/>
  <c r="W209" i="126"/>
  <c r="P14" i="126" s="1"/>
  <c r="W115" i="126"/>
  <c r="P8" i="126" s="1"/>
  <c r="V178" i="126"/>
  <c r="O12" i="126" s="1"/>
  <c r="W52" i="126"/>
  <c r="P4" i="126" s="1"/>
  <c r="W147" i="126"/>
  <c r="P10" i="126" s="1"/>
  <c r="V115" i="126"/>
  <c r="O8" i="126" s="1"/>
  <c r="V52" i="126"/>
  <c r="O4" i="126" s="1"/>
  <c r="V147" i="126"/>
  <c r="O10" i="126" s="1"/>
  <c r="W178" i="126"/>
  <c r="P12" i="126" s="1"/>
  <c r="J136" i="125"/>
  <c r="J137" i="125"/>
  <c r="J135" i="125"/>
  <c r="J134" i="125"/>
  <c r="Q6" i="126" l="1"/>
  <c r="Q14" i="126"/>
  <c r="R6" i="126"/>
  <c r="Q12" i="126"/>
  <c r="R12" i="126"/>
  <c r="R8" i="126"/>
  <c r="Q8" i="126"/>
  <c r="O18" i="126"/>
  <c r="R18" i="126" s="1"/>
  <c r="P20" i="126" s="1"/>
  <c r="R4" i="126"/>
  <c r="Q4" i="126"/>
  <c r="R10" i="126"/>
  <c r="Q10" i="126"/>
  <c r="P18" i="126"/>
  <c r="H33" i="125"/>
  <c r="I33" i="125"/>
  <c r="H32" i="125"/>
  <c r="J32" i="125" s="1"/>
  <c r="I32" i="125"/>
  <c r="J33" i="125" l="1"/>
  <c r="Q18" i="126"/>
  <c r="H198" i="125"/>
  <c r="H24" i="125"/>
  <c r="I31" i="125"/>
  <c r="J31" i="125" s="1"/>
  <c r="I30" i="125"/>
  <c r="J30" i="125" s="1"/>
  <c r="H226" i="125" l="1"/>
  <c r="H132" i="125"/>
  <c r="H102" i="125"/>
  <c r="H72" i="125"/>
  <c r="H71" i="125"/>
  <c r="H29" i="125"/>
  <c r="I29" i="125"/>
  <c r="H28" i="125"/>
  <c r="I28" i="125"/>
  <c r="J28" i="125" s="1"/>
  <c r="H27" i="125"/>
  <c r="I27" i="125"/>
  <c r="I26" i="125"/>
  <c r="J26" i="125" s="1"/>
  <c r="I25" i="125"/>
  <c r="J25" i="125" s="1"/>
  <c r="I24" i="125"/>
  <c r="J24" i="125" s="1"/>
  <c r="J27" i="125" l="1"/>
  <c r="J29" i="125"/>
  <c r="H225" i="125"/>
  <c r="H161" i="125"/>
  <c r="H129" i="125"/>
  <c r="H99" i="125"/>
  <c r="H98" i="125"/>
  <c r="H68" i="125"/>
  <c r="I23" i="125"/>
  <c r="J23" i="125" s="1"/>
  <c r="H22" i="125"/>
  <c r="I22" i="125"/>
  <c r="J22" i="125" s="1"/>
  <c r="I21" i="125"/>
  <c r="J21" i="125" s="1"/>
  <c r="I20" i="125"/>
  <c r="J20" i="125" s="1"/>
  <c r="I19" i="125"/>
  <c r="J19" i="125" s="1"/>
  <c r="I18" i="125"/>
  <c r="J18" i="125" s="1"/>
  <c r="H219" i="125" l="1"/>
  <c r="H189" i="125"/>
  <c r="H187" i="125"/>
  <c r="H158" i="125" l="1"/>
  <c r="H156" i="125"/>
  <c r="H126" i="125"/>
  <c r="H125" i="125"/>
  <c r="H96" i="125"/>
  <c r="H94" i="125"/>
  <c r="H92" i="125"/>
  <c r="J64" i="125"/>
  <c r="W64" i="125" s="1"/>
  <c r="I8" i="125"/>
  <c r="I9" i="125"/>
  <c r="J9" i="125"/>
  <c r="I10" i="125"/>
  <c r="I11" i="125"/>
  <c r="J11" i="125" s="1"/>
  <c r="W11" i="125" s="1"/>
  <c r="I12" i="125"/>
  <c r="J12" i="125" s="1"/>
  <c r="I13" i="125"/>
  <c r="I14" i="125"/>
  <c r="J14" i="125" s="1"/>
  <c r="I15" i="125"/>
  <c r="J15" i="125" s="1"/>
  <c r="W15" i="125" s="1"/>
  <c r="I16" i="125"/>
  <c r="J16" i="125" s="1"/>
  <c r="W16" i="125" s="1"/>
  <c r="I17" i="125"/>
  <c r="J17" i="125" s="1"/>
  <c r="H13" i="125"/>
  <c r="H10" i="125"/>
  <c r="H8" i="125"/>
  <c r="H6" i="125"/>
  <c r="J240" i="125"/>
  <c r="V240" i="125" s="1"/>
  <c r="J239" i="125"/>
  <c r="V239" i="125" s="1"/>
  <c r="J238" i="125"/>
  <c r="V238" i="125" s="1"/>
  <c r="J237" i="125"/>
  <c r="V237" i="125" s="1"/>
  <c r="J236" i="125"/>
  <c r="W236" i="125" s="1"/>
  <c r="J235" i="125"/>
  <c r="J234" i="125"/>
  <c r="J233" i="125"/>
  <c r="W233" i="125" s="1"/>
  <c r="J232" i="125"/>
  <c r="V232" i="125" s="1"/>
  <c r="J231" i="125"/>
  <c r="V231" i="125" s="1"/>
  <c r="J230" i="125"/>
  <c r="W230" i="125" s="1"/>
  <c r="J229" i="125"/>
  <c r="W229" i="125" s="1"/>
  <c r="J228" i="125"/>
  <c r="W228" i="125" s="1"/>
  <c r="J227" i="125"/>
  <c r="V227" i="125" s="1"/>
  <c r="J226" i="125"/>
  <c r="J225" i="125"/>
  <c r="J224" i="125"/>
  <c r="J223" i="125"/>
  <c r="V223" i="125" s="1"/>
  <c r="J222" i="125"/>
  <c r="J221" i="125"/>
  <c r="J220" i="125"/>
  <c r="J219" i="125"/>
  <c r="J218" i="125"/>
  <c r="B218" i="125"/>
  <c r="B219" i="125" s="1"/>
  <c r="B220" i="125" s="1"/>
  <c r="B221" i="125" s="1"/>
  <c r="B222" i="125" s="1"/>
  <c r="B223" i="125" s="1"/>
  <c r="B224" i="125" s="1"/>
  <c r="B225" i="125" s="1"/>
  <c r="B226" i="125" s="1"/>
  <c r="B227" i="125" s="1"/>
  <c r="B228" i="125" s="1"/>
  <c r="B229" i="125" s="1"/>
  <c r="B230" i="125" s="1"/>
  <c r="B231" i="125" s="1"/>
  <c r="B232" i="125" s="1"/>
  <c r="B233" i="125" s="1"/>
  <c r="B234" i="125" s="1"/>
  <c r="B235" i="125" s="1"/>
  <c r="B236" i="125" s="1"/>
  <c r="B237" i="125" s="1"/>
  <c r="B238" i="125" s="1"/>
  <c r="B239" i="125" s="1"/>
  <c r="B240" i="125" s="1"/>
  <c r="J217" i="125"/>
  <c r="J208" i="125"/>
  <c r="W208" i="125" s="1"/>
  <c r="J207" i="125"/>
  <c r="J206" i="125"/>
  <c r="J205" i="125"/>
  <c r="J204" i="125"/>
  <c r="W204" i="125" s="1"/>
  <c r="J203" i="125"/>
  <c r="V203" i="125" s="1"/>
  <c r="J202" i="125"/>
  <c r="J201" i="125"/>
  <c r="J200" i="125"/>
  <c r="J199" i="125"/>
  <c r="J198" i="125"/>
  <c r="W198" i="125" s="1"/>
  <c r="J197" i="125"/>
  <c r="J196" i="125"/>
  <c r="V196" i="125" s="1"/>
  <c r="J195" i="125"/>
  <c r="V195" i="125" s="1"/>
  <c r="J194" i="125"/>
  <c r="V194" i="125" s="1"/>
  <c r="J193" i="125"/>
  <c r="V193" i="125" s="1"/>
  <c r="J192" i="125"/>
  <c r="W192" i="125" s="1"/>
  <c r="J191" i="125"/>
  <c r="J190" i="125"/>
  <c r="J189" i="125"/>
  <c r="W189" i="125" s="1"/>
  <c r="J188" i="125"/>
  <c r="W188" i="125" s="1"/>
  <c r="J187" i="125"/>
  <c r="W187" i="125" s="1"/>
  <c r="B187" i="125"/>
  <c r="B188" i="125" s="1"/>
  <c r="B189" i="125" s="1"/>
  <c r="B190" i="125" s="1"/>
  <c r="B191" i="125" s="1"/>
  <c r="B192" i="125" s="1"/>
  <c r="B193" i="125" s="1"/>
  <c r="B194" i="125" s="1"/>
  <c r="B195" i="125" s="1"/>
  <c r="B196" i="125" s="1"/>
  <c r="B197" i="125" s="1"/>
  <c r="B198" i="125" s="1"/>
  <c r="B199" i="125" s="1"/>
  <c r="B200" i="125" s="1"/>
  <c r="B201" i="125" s="1"/>
  <c r="B202" i="125" s="1"/>
  <c r="B203" i="125" s="1"/>
  <c r="B204" i="125" s="1"/>
  <c r="B205" i="125" s="1"/>
  <c r="B206" i="125" s="1"/>
  <c r="B207" i="125" s="1"/>
  <c r="B208" i="125" s="1"/>
  <c r="J186" i="125"/>
  <c r="W186" i="125" s="1"/>
  <c r="J177" i="125"/>
  <c r="W177" i="125" s="1"/>
  <c r="J176" i="125"/>
  <c r="V176" i="125" s="1"/>
  <c r="J175" i="125"/>
  <c r="W175" i="125" s="1"/>
  <c r="J174" i="125"/>
  <c r="W174" i="125" s="1"/>
  <c r="J173" i="125"/>
  <c r="W173" i="125" s="1"/>
  <c r="J172" i="125"/>
  <c r="J171" i="125"/>
  <c r="J170" i="125"/>
  <c r="W170" i="125" s="1"/>
  <c r="J169" i="125"/>
  <c r="V169" i="125" s="1"/>
  <c r="J168" i="125"/>
  <c r="J167" i="125"/>
  <c r="J166" i="125"/>
  <c r="J165" i="125"/>
  <c r="J164" i="125"/>
  <c r="J163" i="125"/>
  <c r="J162" i="125"/>
  <c r="J161" i="125"/>
  <c r="W161" i="125" s="1"/>
  <c r="J160" i="125"/>
  <c r="W160" i="125" s="1"/>
  <c r="J159" i="125"/>
  <c r="W159" i="125" s="1"/>
  <c r="J158" i="125"/>
  <c r="W158" i="125" s="1"/>
  <c r="J157" i="125"/>
  <c r="W157" i="125" s="1"/>
  <c r="J156" i="125"/>
  <c r="W156" i="125" s="1"/>
  <c r="B156" i="125"/>
  <c r="B157" i="125" s="1"/>
  <c r="B158" i="125" s="1"/>
  <c r="B159" i="125" s="1"/>
  <c r="B160" i="125" s="1"/>
  <c r="B161" i="125" s="1"/>
  <c r="B162" i="125" s="1"/>
  <c r="B163" i="125" s="1"/>
  <c r="B164" i="125" s="1"/>
  <c r="B165" i="125" s="1"/>
  <c r="B166" i="125" s="1"/>
  <c r="B167" i="125" s="1"/>
  <c r="B168" i="125" s="1"/>
  <c r="B169" i="125" s="1"/>
  <c r="B170" i="125" s="1"/>
  <c r="B171" i="125" s="1"/>
  <c r="B172" i="125" s="1"/>
  <c r="B173" i="125" s="1"/>
  <c r="B174" i="125" s="1"/>
  <c r="B175" i="125" s="1"/>
  <c r="B176" i="125" s="1"/>
  <c r="B177" i="125" s="1"/>
  <c r="J155" i="125"/>
  <c r="W155" i="125" s="1"/>
  <c r="J146" i="125"/>
  <c r="J145" i="125"/>
  <c r="J144" i="125"/>
  <c r="J143" i="125"/>
  <c r="W143" i="125" s="1"/>
  <c r="J142" i="125"/>
  <c r="W142" i="125" s="1"/>
  <c r="J141" i="125"/>
  <c r="W141" i="125" s="1"/>
  <c r="J140" i="125"/>
  <c r="W140" i="125" s="1"/>
  <c r="J139" i="125"/>
  <c r="W139" i="125" s="1"/>
  <c r="J138" i="125"/>
  <c r="W138" i="125" s="1"/>
  <c r="W137" i="125"/>
  <c r="W136" i="125"/>
  <c r="J133" i="125"/>
  <c r="W133" i="125" s="1"/>
  <c r="J132" i="125"/>
  <c r="W132" i="125" s="1"/>
  <c r="J131" i="125"/>
  <c r="W131" i="125" s="1"/>
  <c r="J130" i="125"/>
  <c r="W130" i="125" s="1"/>
  <c r="J129" i="125"/>
  <c r="W129" i="125" s="1"/>
  <c r="J128" i="125"/>
  <c r="W128" i="125" s="1"/>
  <c r="J127" i="125"/>
  <c r="V127" i="125" s="1"/>
  <c r="J126" i="125"/>
  <c r="W126" i="125" s="1"/>
  <c r="J125" i="125"/>
  <c r="J124" i="125"/>
  <c r="V124" i="125" s="1"/>
  <c r="B124" i="125"/>
  <c r="B125" i="125" s="1"/>
  <c r="B126" i="125" s="1"/>
  <c r="B127" i="125" s="1"/>
  <c r="B128" i="125" s="1"/>
  <c r="B129" i="125" s="1"/>
  <c r="B130" i="125" s="1"/>
  <c r="B131" i="125" s="1"/>
  <c r="B132" i="125" s="1"/>
  <c r="B133" i="125" s="1"/>
  <c r="B134" i="125" s="1"/>
  <c r="B135" i="125" s="1"/>
  <c r="B136" i="125" s="1"/>
  <c r="B137" i="125" s="1"/>
  <c r="B138" i="125" s="1"/>
  <c r="B139" i="125" s="1"/>
  <c r="B140" i="125" s="1"/>
  <c r="B141" i="125" s="1"/>
  <c r="B142" i="125" s="1"/>
  <c r="B143" i="125" s="1"/>
  <c r="B144" i="125" s="1"/>
  <c r="B145" i="125" s="1"/>
  <c r="B146" i="125" s="1"/>
  <c r="J123" i="125"/>
  <c r="W123" i="125" s="1"/>
  <c r="J114" i="125"/>
  <c r="V114" i="125" s="1"/>
  <c r="J113" i="125"/>
  <c r="W113" i="125" s="1"/>
  <c r="J112" i="125"/>
  <c r="W112" i="125" s="1"/>
  <c r="J111" i="125"/>
  <c r="J110" i="125"/>
  <c r="W110" i="125" s="1"/>
  <c r="J109" i="125"/>
  <c r="V109" i="125" s="1"/>
  <c r="J108" i="125"/>
  <c r="W108" i="125" s="1"/>
  <c r="J107" i="125"/>
  <c r="J106" i="125"/>
  <c r="W106" i="125" s="1"/>
  <c r="J105" i="125"/>
  <c r="W105" i="125" s="1"/>
  <c r="J104" i="125"/>
  <c r="W104" i="125" s="1"/>
  <c r="J103" i="125"/>
  <c r="W103" i="125" s="1"/>
  <c r="J102" i="125"/>
  <c r="W102" i="125" s="1"/>
  <c r="J101" i="125"/>
  <c r="V101" i="125" s="1"/>
  <c r="J100" i="125"/>
  <c r="J99" i="125"/>
  <c r="J98" i="125"/>
  <c r="J97" i="125"/>
  <c r="J96" i="125"/>
  <c r="J95" i="125"/>
  <c r="J94" i="125"/>
  <c r="W94" i="125" s="1"/>
  <c r="J93" i="125"/>
  <c r="W93" i="125" s="1"/>
  <c r="B93" i="125"/>
  <c r="B94" i="125" s="1"/>
  <c r="B95" i="125" s="1"/>
  <c r="B96" i="125" s="1"/>
  <c r="B97" i="125" s="1"/>
  <c r="B98" i="125" s="1"/>
  <c r="B99" i="125" s="1"/>
  <c r="B100" i="125" s="1"/>
  <c r="B101" i="125" s="1"/>
  <c r="B102" i="125" s="1"/>
  <c r="B103" i="125" s="1"/>
  <c r="B104" i="125" s="1"/>
  <c r="B105" i="125" s="1"/>
  <c r="B106" i="125" s="1"/>
  <c r="B107" i="125" s="1"/>
  <c r="B108" i="125" s="1"/>
  <c r="B109" i="125" s="1"/>
  <c r="B110" i="125" s="1"/>
  <c r="B111" i="125" s="1"/>
  <c r="B112" i="125" s="1"/>
  <c r="B113" i="125" s="1"/>
  <c r="B114" i="125" s="1"/>
  <c r="J92" i="125"/>
  <c r="V92" i="125" s="1"/>
  <c r="J83" i="125"/>
  <c r="V83" i="125" s="1"/>
  <c r="J82" i="125"/>
  <c r="W82" i="125" s="1"/>
  <c r="J81" i="125"/>
  <c r="J80" i="125"/>
  <c r="W80" i="125" s="1"/>
  <c r="J79" i="125"/>
  <c r="W79" i="125" s="1"/>
  <c r="J78" i="125"/>
  <c r="V78" i="125" s="1"/>
  <c r="W77" i="125"/>
  <c r="J77" i="125"/>
  <c r="V77" i="125" s="1"/>
  <c r="J76" i="125"/>
  <c r="J75" i="125"/>
  <c r="W75" i="125" s="1"/>
  <c r="J74" i="125"/>
  <c r="W74" i="125" s="1"/>
  <c r="J73" i="125"/>
  <c r="W73" i="125" s="1"/>
  <c r="J72" i="125"/>
  <c r="V72" i="125" s="1"/>
  <c r="J71" i="125"/>
  <c r="V71" i="125" s="1"/>
  <c r="J70" i="125"/>
  <c r="V70" i="125" s="1"/>
  <c r="J69" i="125"/>
  <c r="J68" i="125"/>
  <c r="W68" i="125" s="1"/>
  <c r="J67" i="125"/>
  <c r="W67" i="125" s="1"/>
  <c r="J66" i="125"/>
  <c r="W66" i="125" s="1"/>
  <c r="J65" i="125"/>
  <c r="W65" i="125" s="1"/>
  <c r="J63" i="125"/>
  <c r="W63" i="125" s="1"/>
  <c r="J62" i="125"/>
  <c r="W62" i="125" s="1"/>
  <c r="J61" i="125"/>
  <c r="V61" i="125" s="1"/>
  <c r="B61" i="125"/>
  <c r="B62" i="125" s="1"/>
  <c r="B63" i="125" s="1"/>
  <c r="B64" i="125" s="1"/>
  <c r="B65" i="125" s="1"/>
  <c r="B66" i="125" s="1"/>
  <c r="B67" i="125" s="1"/>
  <c r="B68" i="125" s="1"/>
  <c r="B69" i="125" s="1"/>
  <c r="B70" i="125" s="1"/>
  <c r="B71" i="125" s="1"/>
  <c r="B72" i="125" s="1"/>
  <c r="B73" i="125" s="1"/>
  <c r="B74" i="125" s="1"/>
  <c r="B75" i="125" s="1"/>
  <c r="B76" i="125" s="1"/>
  <c r="B77" i="125" s="1"/>
  <c r="B78" i="125" s="1"/>
  <c r="B79" i="125" s="1"/>
  <c r="B80" i="125" s="1"/>
  <c r="B81" i="125" s="1"/>
  <c r="B82" i="125" s="1"/>
  <c r="B83" i="125" s="1"/>
  <c r="J60" i="125"/>
  <c r="W51" i="125"/>
  <c r="V51" i="125"/>
  <c r="W50" i="125"/>
  <c r="V50" i="125"/>
  <c r="W49" i="125"/>
  <c r="V49" i="125"/>
  <c r="W48" i="125"/>
  <c r="V48" i="125"/>
  <c r="V47" i="125"/>
  <c r="W45" i="125"/>
  <c r="V45" i="125"/>
  <c r="W43" i="125"/>
  <c r="V43" i="125"/>
  <c r="W42" i="125"/>
  <c r="V42" i="125"/>
  <c r="W40" i="125"/>
  <c r="W39" i="125"/>
  <c r="V39" i="125"/>
  <c r="V38" i="125"/>
  <c r="W36" i="125"/>
  <c r="W35" i="125"/>
  <c r="V35" i="125"/>
  <c r="W33" i="125"/>
  <c r="W32" i="125"/>
  <c r="V30" i="125"/>
  <c r="W30" i="125"/>
  <c r="W29" i="125"/>
  <c r="V29" i="125"/>
  <c r="W27" i="125"/>
  <c r="V27" i="125"/>
  <c r="W24" i="125"/>
  <c r="W21" i="125"/>
  <c r="N16" i="125"/>
  <c r="N14" i="125"/>
  <c r="N12" i="125"/>
  <c r="N10" i="125"/>
  <c r="N8" i="125"/>
  <c r="I7" i="125"/>
  <c r="J7" i="125" s="1"/>
  <c r="B7" i="125"/>
  <c r="B8" i="125" s="1"/>
  <c r="B9" i="125" s="1"/>
  <c r="B10" i="125" s="1"/>
  <c r="B11" i="125" s="1"/>
  <c r="B12" i="125" s="1"/>
  <c r="B13" i="125" s="1"/>
  <c r="B14" i="125" s="1"/>
  <c r="B15" i="125" s="1"/>
  <c r="B16" i="125" s="1"/>
  <c r="B17" i="125" s="1"/>
  <c r="B18" i="125" s="1"/>
  <c r="B19" i="125" s="1"/>
  <c r="B20" i="125" s="1"/>
  <c r="B21" i="125" s="1"/>
  <c r="B22" i="125" s="1"/>
  <c r="B23" i="125" s="1"/>
  <c r="B24" i="125" s="1"/>
  <c r="B25" i="125" s="1"/>
  <c r="B26" i="125" s="1"/>
  <c r="B27" i="125" s="1"/>
  <c r="B28" i="125" s="1"/>
  <c r="B29" i="125" s="1"/>
  <c r="B30" i="125" s="1"/>
  <c r="B31" i="125" s="1"/>
  <c r="B32" i="125" s="1"/>
  <c r="B33" i="125" s="1"/>
  <c r="B34" i="125" s="1"/>
  <c r="B35" i="125" s="1"/>
  <c r="B36" i="125" s="1"/>
  <c r="B37" i="125" s="1"/>
  <c r="B38" i="125" s="1"/>
  <c r="B39" i="125" s="1"/>
  <c r="B40" i="125" s="1"/>
  <c r="B41" i="125" s="1"/>
  <c r="B42" i="125" s="1"/>
  <c r="B43" i="125" s="1"/>
  <c r="B44" i="125" s="1"/>
  <c r="B45" i="125" s="1"/>
  <c r="B46" i="125" s="1"/>
  <c r="B47" i="125" s="1"/>
  <c r="B48" i="125" s="1"/>
  <c r="B49" i="125" s="1"/>
  <c r="B50" i="125" s="1"/>
  <c r="B51" i="125" s="1"/>
  <c r="N6" i="125"/>
  <c r="I6" i="125"/>
  <c r="J6" i="125" s="1"/>
  <c r="N4" i="125"/>
  <c r="V113" i="125" l="1"/>
  <c r="W78" i="125"/>
  <c r="V82" i="125"/>
  <c r="V228" i="125"/>
  <c r="W169" i="125"/>
  <c r="W176" i="125"/>
  <c r="W114" i="125"/>
  <c r="V104" i="125"/>
  <c r="W227" i="125"/>
  <c r="W72" i="125"/>
  <c r="W71" i="125"/>
  <c r="W83" i="125"/>
  <c r="V175" i="125"/>
  <c r="V177" i="125"/>
  <c r="W195" i="125"/>
  <c r="V130" i="125"/>
  <c r="V141" i="125"/>
  <c r="V170" i="125"/>
  <c r="V173" i="125"/>
  <c r="J13" i="125"/>
  <c r="W13" i="125" s="1"/>
  <c r="V208" i="125"/>
  <c r="V80" i="125"/>
  <c r="W101" i="125"/>
  <c r="V103" i="125"/>
  <c r="V132" i="125"/>
  <c r="V138" i="125"/>
  <c r="V143" i="125"/>
  <c r="V161" i="125"/>
  <c r="V230" i="125"/>
  <c r="W232" i="125"/>
  <c r="W239" i="125"/>
  <c r="J8" i="125"/>
  <c r="V102" i="125"/>
  <c r="W109" i="125"/>
  <c r="V137" i="125"/>
  <c r="W193" i="125"/>
  <c r="W223" i="125"/>
  <c r="W231" i="125"/>
  <c r="W240" i="125"/>
  <c r="J10" i="125"/>
  <c r="V160" i="125"/>
  <c r="V159" i="125"/>
  <c r="V158" i="125"/>
  <c r="V156" i="125"/>
  <c r="V128" i="125"/>
  <c r="W127" i="125"/>
  <c r="V126" i="125"/>
  <c r="V93" i="125"/>
  <c r="V64" i="125"/>
  <c r="V63" i="125"/>
  <c r="V229" i="125"/>
  <c r="W237" i="125"/>
  <c r="V236" i="125"/>
  <c r="W238" i="125"/>
  <c r="V187" i="125"/>
  <c r="V189" i="125"/>
  <c r="V192" i="125"/>
  <c r="V198" i="125"/>
  <c r="V186" i="125"/>
  <c r="W194" i="125"/>
  <c r="W196" i="125"/>
  <c r="V188" i="125"/>
  <c r="W203" i="125"/>
  <c r="V155" i="125"/>
  <c r="V157" i="125"/>
  <c r="V174" i="125"/>
  <c r="W124" i="125"/>
  <c r="V129" i="125"/>
  <c r="V136" i="125"/>
  <c r="V140" i="125"/>
  <c r="V139" i="125"/>
  <c r="V142" i="125"/>
  <c r="V105" i="125"/>
  <c r="V110" i="125"/>
  <c r="V62" i="125"/>
  <c r="V67" i="125"/>
  <c r="W70" i="125"/>
  <c r="V73" i="125"/>
  <c r="V75" i="125"/>
  <c r="V79" i="125"/>
  <c r="N18" i="125"/>
  <c r="V65" i="125"/>
  <c r="V15" i="125"/>
  <c r="V10" i="125"/>
  <c r="W10" i="125"/>
  <c r="V12" i="125"/>
  <c r="W12" i="125"/>
  <c r="W76" i="125"/>
  <c r="V76" i="125"/>
  <c r="W19" i="125"/>
  <c r="V19" i="125"/>
  <c r="V14" i="125"/>
  <c r="W14" i="125"/>
  <c r="W22" i="125"/>
  <c r="V22" i="125"/>
  <c r="W31" i="125"/>
  <c r="V31" i="125"/>
  <c r="W6" i="125"/>
  <c r="V6" i="125"/>
  <c r="W7" i="125"/>
  <c r="V7" i="125"/>
  <c r="W17" i="125"/>
  <c r="V17" i="125"/>
  <c r="V20" i="125"/>
  <c r="W20" i="125"/>
  <c r="W23" i="125"/>
  <c r="V23" i="125"/>
  <c r="W25" i="125"/>
  <c r="V25" i="125"/>
  <c r="J84" i="125"/>
  <c r="W8" i="125"/>
  <c r="V8" i="125"/>
  <c r="W9" i="125"/>
  <c r="V9" i="125"/>
  <c r="W18" i="125"/>
  <c r="V18" i="125"/>
  <c r="V26" i="125"/>
  <c r="W26" i="125"/>
  <c r="W28" i="125"/>
  <c r="V28" i="125"/>
  <c r="W69" i="125"/>
  <c r="V69" i="125"/>
  <c r="W125" i="125"/>
  <c r="V125" i="125"/>
  <c r="W145" i="125"/>
  <c r="V145" i="125"/>
  <c r="V13" i="125"/>
  <c r="V16" i="125"/>
  <c r="V21" i="125"/>
  <c r="V24" i="125"/>
  <c r="V36" i="125"/>
  <c r="V74" i="125"/>
  <c r="V94" i="125"/>
  <c r="W96" i="125"/>
  <c r="V96" i="125"/>
  <c r="W98" i="125"/>
  <c r="V98" i="125"/>
  <c r="W100" i="125"/>
  <c r="V100" i="125"/>
  <c r="V106" i="125"/>
  <c r="V108" i="125"/>
  <c r="W171" i="125"/>
  <c r="V171" i="125"/>
  <c r="W202" i="125"/>
  <c r="V202" i="125"/>
  <c r="W225" i="125"/>
  <c r="V225" i="125"/>
  <c r="W111" i="125"/>
  <c r="V111" i="125"/>
  <c r="W190" i="125"/>
  <c r="V190" i="125"/>
  <c r="V11" i="125"/>
  <c r="V32" i="125"/>
  <c r="V33" i="125"/>
  <c r="W38" i="125"/>
  <c r="V40" i="125"/>
  <c r="W47" i="125"/>
  <c r="W61" i="125"/>
  <c r="V66" i="125"/>
  <c r="V68" i="125"/>
  <c r="V112" i="125"/>
  <c r="V131" i="125"/>
  <c r="V133" i="125"/>
  <c r="V135" i="125"/>
  <c r="W135" i="125"/>
  <c r="W162" i="125"/>
  <c r="V162" i="125"/>
  <c r="J178" i="125"/>
  <c r="W166" i="125"/>
  <c r="V166" i="125"/>
  <c r="W172" i="125"/>
  <c r="V172" i="125"/>
  <c r="W197" i="125"/>
  <c r="V197" i="125"/>
  <c r="J209" i="125"/>
  <c r="W218" i="125"/>
  <c r="V218" i="125"/>
  <c r="W222" i="125"/>
  <c r="V222" i="125"/>
  <c r="W226" i="125"/>
  <c r="V226" i="125"/>
  <c r="W41" i="125"/>
  <c r="V41" i="125"/>
  <c r="W201" i="125"/>
  <c r="V201" i="125"/>
  <c r="J52" i="125"/>
  <c r="W37" i="125"/>
  <c r="V37" i="125"/>
  <c r="W44" i="125"/>
  <c r="V44" i="125"/>
  <c r="W46" i="125"/>
  <c r="V46" i="125"/>
  <c r="W60" i="125"/>
  <c r="V60" i="125"/>
  <c r="J115" i="125"/>
  <c r="W92" i="125"/>
  <c r="W95" i="125"/>
  <c r="V95" i="125"/>
  <c r="W97" i="125"/>
  <c r="V97" i="125"/>
  <c r="W99" i="125"/>
  <c r="V99" i="125"/>
  <c r="W107" i="125"/>
  <c r="V107" i="125"/>
  <c r="W144" i="125"/>
  <c r="V144" i="125"/>
  <c r="W163" i="125"/>
  <c r="V163" i="125"/>
  <c r="W167" i="125"/>
  <c r="V167" i="125"/>
  <c r="W205" i="125"/>
  <c r="V205" i="125"/>
  <c r="W219" i="125"/>
  <c r="V219" i="125"/>
  <c r="W224" i="125"/>
  <c r="V224" i="125"/>
  <c r="W234" i="125"/>
  <c r="V234" i="125"/>
  <c r="W146" i="125"/>
  <c r="V146" i="125"/>
  <c r="W164" i="125"/>
  <c r="V164" i="125"/>
  <c r="W168" i="125"/>
  <c r="V168" i="125"/>
  <c r="W191" i="125"/>
  <c r="V191" i="125"/>
  <c r="W199" i="125"/>
  <c r="V199" i="125"/>
  <c r="W206" i="125"/>
  <c r="V206" i="125"/>
  <c r="W217" i="125"/>
  <c r="J241" i="125"/>
  <c r="V217" i="125"/>
  <c r="W220" i="125"/>
  <c r="V220" i="125"/>
  <c r="W235" i="125"/>
  <c r="V235" i="125"/>
  <c r="J147" i="125"/>
  <c r="V123" i="125"/>
  <c r="W134" i="125"/>
  <c r="V134" i="125"/>
  <c r="W165" i="125"/>
  <c r="V165" i="125"/>
  <c r="W200" i="125"/>
  <c r="V200" i="125"/>
  <c r="V204" i="125"/>
  <c r="W207" i="125"/>
  <c r="V207" i="125"/>
  <c r="W221" i="125"/>
  <c r="V221" i="125"/>
  <c r="V233" i="125"/>
  <c r="H237" i="124"/>
  <c r="H235" i="124"/>
  <c r="H234" i="124"/>
  <c r="H207" i="124"/>
  <c r="H205" i="124"/>
  <c r="H204" i="124"/>
  <c r="H144" i="124"/>
  <c r="H141" i="124"/>
  <c r="H80" i="124"/>
  <c r="H79" i="124"/>
  <c r="H77" i="124"/>
  <c r="J47" i="124"/>
  <c r="I47" i="124"/>
  <c r="H46" i="124"/>
  <c r="J46" i="124" s="1"/>
  <c r="I46" i="124"/>
  <c r="H45" i="124"/>
  <c r="J45" i="124" s="1"/>
  <c r="I45" i="124"/>
  <c r="H44" i="124"/>
  <c r="J44" i="124" s="1"/>
  <c r="I44" i="124"/>
  <c r="I43" i="124"/>
  <c r="J43" i="124" s="1"/>
  <c r="I42" i="124"/>
  <c r="J42" i="124" s="1"/>
  <c r="J41" i="124"/>
  <c r="I41" i="124"/>
  <c r="J40" i="124"/>
  <c r="I40" i="124"/>
  <c r="W209" i="125" l="1"/>
  <c r="P14" i="125" s="1"/>
  <c r="W147" i="125"/>
  <c r="P10" i="125" s="1"/>
  <c r="V241" i="125"/>
  <c r="O16" i="125" s="1"/>
  <c r="R16" i="125" s="1"/>
  <c r="V209" i="125"/>
  <c r="O14" i="125" s="1"/>
  <c r="V178" i="125"/>
  <c r="O12" i="125" s="1"/>
  <c r="W178" i="125"/>
  <c r="P12" i="125" s="1"/>
  <c r="V115" i="125"/>
  <c r="O8" i="125" s="1"/>
  <c r="R8" i="125" s="1"/>
  <c r="W84" i="125"/>
  <c r="P6" i="125" s="1"/>
  <c r="W115" i="125"/>
  <c r="P8" i="125" s="1"/>
  <c r="V147" i="125"/>
  <c r="O10" i="125" s="1"/>
  <c r="W241" i="125"/>
  <c r="P16" i="125" s="1"/>
  <c r="V84" i="125"/>
  <c r="O6" i="125" s="1"/>
  <c r="V34" i="125"/>
  <c r="V52" i="125" s="1"/>
  <c r="O4" i="125" s="1"/>
  <c r="W34" i="125"/>
  <c r="W52" i="125" s="1"/>
  <c r="P4" i="125" s="1"/>
  <c r="H140" i="124"/>
  <c r="H107" i="124"/>
  <c r="Q14" i="125" l="1"/>
  <c r="R14" i="125"/>
  <c r="Q12" i="125"/>
  <c r="R12" i="125"/>
  <c r="P18" i="125"/>
  <c r="Q8" i="125"/>
  <c r="O18" i="125"/>
  <c r="R18" i="125" s="1"/>
  <c r="P20" i="125" s="1"/>
  <c r="R4" i="125"/>
  <c r="Q4" i="125"/>
  <c r="R6" i="125"/>
  <c r="Q6" i="125"/>
  <c r="R10" i="125"/>
  <c r="Q10" i="125"/>
  <c r="H233" i="124"/>
  <c r="H203" i="124"/>
  <c r="H172" i="124"/>
  <c r="H171" i="124"/>
  <c r="H76" i="124"/>
  <c r="J38" i="124"/>
  <c r="J39" i="124"/>
  <c r="I39" i="124"/>
  <c r="I38" i="124"/>
  <c r="J36" i="124"/>
  <c r="J37" i="124"/>
  <c r="I37" i="124"/>
  <c r="I36" i="124"/>
  <c r="Q18" i="125" l="1"/>
  <c r="H202" i="124"/>
  <c r="H232" i="124"/>
  <c r="H170" i="124" l="1"/>
  <c r="H74" i="124"/>
  <c r="J33" i="124"/>
  <c r="I35" i="124"/>
  <c r="J35" i="124" s="1"/>
  <c r="H34" i="124"/>
  <c r="J34" i="124" s="1"/>
  <c r="I34" i="124"/>
  <c r="I33" i="124"/>
  <c r="H32" i="124"/>
  <c r="J32" i="124" s="1"/>
  <c r="I32" i="124"/>
  <c r="H105" i="124"/>
  <c r="H169" i="124"/>
  <c r="H199" i="124"/>
  <c r="H168" i="124"/>
  <c r="I31" i="124"/>
  <c r="H30" i="124"/>
  <c r="I30" i="124"/>
  <c r="J30" i="124" s="1"/>
  <c r="J31" i="124"/>
  <c r="I29" i="124"/>
  <c r="J29" i="124" s="1"/>
  <c r="H28" i="124"/>
  <c r="J28" i="124" s="1"/>
  <c r="I28" i="124"/>
  <c r="H71" i="124"/>
  <c r="H103" i="124"/>
  <c r="H135" i="124"/>
  <c r="H197" i="124"/>
  <c r="H134" i="124"/>
  <c r="H70" i="124"/>
  <c r="J26" i="124"/>
  <c r="I27" i="124"/>
  <c r="J27" i="124" s="1"/>
  <c r="I26" i="124"/>
  <c r="J24" i="124"/>
  <c r="I25" i="124"/>
  <c r="J25" i="124" s="1"/>
  <c r="I24" i="124"/>
  <c r="H69" i="124"/>
  <c r="H101" i="124"/>
  <c r="H226" i="124"/>
  <c r="H225" i="124"/>
  <c r="H162" i="124"/>
  <c r="H23" i="124"/>
  <c r="J23" i="124" s="1"/>
  <c r="I23" i="124"/>
  <c r="J22" i="124"/>
  <c r="I22" i="124"/>
  <c r="H224" i="124" l="1"/>
  <c r="H193" i="124"/>
  <c r="H223" i="124"/>
  <c r="H222" i="124"/>
  <c r="H191" i="124"/>
  <c r="H190" i="124"/>
  <c r="H158" i="124"/>
  <c r="H217" i="124"/>
  <c r="H131" i="124"/>
  <c r="H128" i="124"/>
  <c r="H125" i="124"/>
  <c r="H95" i="124"/>
  <c r="H65" i="124"/>
  <c r="H62" i="124"/>
  <c r="H61" i="124"/>
  <c r="H60" i="124"/>
  <c r="I21" i="124"/>
  <c r="J21" i="124" s="1"/>
  <c r="I20" i="124"/>
  <c r="J20" i="124" s="1"/>
  <c r="H19" i="124"/>
  <c r="J19" i="124" s="1"/>
  <c r="I19" i="124"/>
  <c r="J18" i="124"/>
  <c r="I18" i="124"/>
  <c r="I17" i="124"/>
  <c r="J17" i="124" s="1"/>
  <c r="J16" i="124"/>
  <c r="I16" i="124"/>
  <c r="I15" i="124"/>
  <c r="J15" i="124" s="1"/>
  <c r="J14" i="124"/>
  <c r="I14" i="124"/>
  <c r="I13" i="124"/>
  <c r="J13" i="124" s="1"/>
  <c r="H12" i="124"/>
  <c r="J12" i="124" s="1"/>
  <c r="I12" i="124"/>
  <c r="J10" i="124"/>
  <c r="J11" i="124"/>
  <c r="I11" i="124"/>
  <c r="I10" i="124"/>
  <c r="I9" i="124"/>
  <c r="J9" i="124"/>
  <c r="H9" i="124"/>
  <c r="I8" i="124"/>
  <c r="J8" i="124" s="1"/>
  <c r="H7" i="124"/>
  <c r="W11" i="124" l="1"/>
  <c r="V15" i="124"/>
  <c r="J240" i="124"/>
  <c r="V240" i="124" s="1"/>
  <c r="J239" i="124"/>
  <c r="V239" i="124" s="1"/>
  <c r="J238" i="124"/>
  <c r="V238" i="124" s="1"/>
  <c r="J237" i="124"/>
  <c r="V237" i="124" s="1"/>
  <c r="J236" i="124"/>
  <c r="W236" i="124" s="1"/>
  <c r="J235" i="124"/>
  <c r="W235" i="124" s="1"/>
  <c r="J234" i="124"/>
  <c r="J233" i="124"/>
  <c r="J232" i="124"/>
  <c r="J231" i="124"/>
  <c r="J230" i="124"/>
  <c r="V229" i="124"/>
  <c r="J229" i="124"/>
  <c r="W229" i="124" s="1"/>
  <c r="J228" i="124"/>
  <c r="W228" i="124" s="1"/>
  <c r="J227" i="124"/>
  <c r="W227" i="124" s="1"/>
  <c r="J226" i="124"/>
  <c r="V226" i="124" s="1"/>
  <c r="J225" i="124"/>
  <c r="V225" i="124" s="1"/>
  <c r="J224" i="124"/>
  <c r="V224" i="124" s="1"/>
  <c r="J223" i="124"/>
  <c r="V223" i="124" s="1"/>
  <c r="J222" i="124"/>
  <c r="V222" i="124" s="1"/>
  <c r="J221" i="124"/>
  <c r="W221" i="124" s="1"/>
  <c r="J220" i="124"/>
  <c r="J219" i="124"/>
  <c r="B219" i="124"/>
  <c r="B220" i="124" s="1"/>
  <c r="B221" i="124" s="1"/>
  <c r="B222" i="124" s="1"/>
  <c r="B223" i="124" s="1"/>
  <c r="B224" i="124" s="1"/>
  <c r="B225" i="124" s="1"/>
  <c r="B226" i="124" s="1"/>
  <c r="B227" i="124" s="1"/>
  <c r="B228" i="124" s="1"/>
  <c r="B229" i="124" s="1"/>
  <c r="B230" i="124" s="1"/>
  <c r="B231" i="124" s="1"/>
  <c r="B232" i="124" s="1"/>
  <c r="B233" i="124" s="1"/>
  <c r="B234" i="124" s="1"/>
  <c r="B235" i="124" s="1"/>
  <c r="B236" i="124" s="1"/>
  <c r="B237" i="124" s="1"/>
  <c r="B238" i="124" s="1"/>
  <c r="B239" i="124" s="1"/>
  <c r="B240" i="124" s="1"/>
  <c r="J218" i="124"/>
  <c r="W218" i="124" s="1"/>
  <c r="B218" i="124"/>
  <c r="J217" i="124"/>
  <c r="V217" i="124" s="1"/>
  <c r="J208" i="124"/>
  <c r="J207" i="124"/>
  <c r="J206" i="124"/>
  <c r="J205" i="124"/>
  <c r="J204" i="124"/>
  <c r="W204" i="124" s="1"/>
  <c r="J203" i="124"/>
  <c r="W203" i="124" s="1"/>
  <c r="J202" i="124"/>
  <c r="V202" i="124" s="1"/>
  <c r="J201" i="124"/>
  <c r="W201" i="124" s="1"/>
  <c r="J200" i="124"/>
  <c r="W200" i="124" s="1"/>
  <c r="J199" i="124"/>
  <c r="W199" i="124" s="1"/>
  <c r="J198" i="124"/>
  <c r="V198" i="124" s="1"/>
  <c r="J197" i="124"/>
  <c r="W197" i="124" s="1"/>
  <c r="J196" i="124"/>
  <c r="W196" i="124" s="1"/>
  <c r="J195" i="124"/>
  <c r="W195" i="124" s="1"/>
  <c r="J194" i="124"/>
  <c r="V194" i="124" s="1"/>
  <c r="J193" i="124"/>
  <c r="W193" i="124" s="1"/>
  <c r="J192" i="124"/>
  <c r="W192" i="124" s="1"/>
  <c r="J191" i="124"/>
  <c r="W191" i="124" s="1"/>
  <c r="J190" i="124"/>
  <c r="J189" i="124"/>
  <c r="J188" i="124"/>
  <c r="J187" i="124"/>
  <c r="W187" i="124" s="1"/>
  <c r="B187" i="124"/>
  <c r="B188" i="124" s="1"/>
  <c r="B189" i="124" s="1"/>
  <c r="B190" i="124" s="1"/>
  <c r="B191" i="124" s="1"/>
  <c r="B192" i="124" s="1"/>
  <c r="B193" i="124" s="1"/>
  <c r="B194" i="124" s="1"/>
  <c r="B195" i="124" s="1"/>
  <c r="B196" i="124" s="1"/>
  <c r="B197" i="124" s="1"/>
  <c r="B198" i="124" s="1"/>
  <c r="B199" i="124" s="1"/>
  <c r="B200" i="124" s="1"/>
  <c r="B201" i="124" s="1"/>
  <c r="B202" i="124" s="1"/>
  <c r="B203" i="124" s="1"/>
  <c r="B204" i="124" s="1"/>
  <c r="B205" i="124" s="1"/>
  <c r="B206" i="124" s="1"/>
  <c r="B207" i="124" s="1"/>
  <c r="B208" i="124" s="1"/>
  <c r="J186" i="124"/>
  <c r="V186" i="124" s="1"/>
  <c r="J177" i="124"/>
  <c r="J176" i="124"/>
  <c r="J175" i="124"/>
  <c r="J174" i="124"/>
  <c r="J173" i="124"/>
  <c r="J172" i="124"/>
  <c r="J171" i="124"/>
  <c r="J170" i="124"/>
  <c r="W170" i="124" s="1"/>
  <c r="J169" i="124"/>
  <c r="W169" i="124" s="1"/>
  <c r="J168" i="124"/>
  <c r="W168" i="124" s="1"/>
  <c r="J167" i="124"/>
  <c r="W167" i="124" s="1"/>
  <c r="J166" i="124"/>
  <c r="W166" i="124" s="1"/>
  <c r="J165" i="124"/>
  <c r="W165" i="124" s="1"/>
  <c r="J164" i="124"/>
  <c r="V164" i="124" s="1"/>
  <c r="J163" i="124"/>
  <c r="W163" i="124" s="1"/>
  <c r="J162" i="124"/>
  <c r="W162" i="124" s="1"/>
  <c r="J161" i="124"/>
  <c r="V161" i="124" s="1"/>
  <c r="J160" i="124"/>
  <c r="V160" i="124" s="1"/>
  <c r="J159" i="124"/>
  <c r="W159" i="124" s="1"/>
  <c r="J158" i="124"/>
  <c r="W158" i="124" s="1"/>
  <c r="J157" i="124"/>
  <c r="J156" i="124"/>
  <c r="B156" i="124"/>
  <c r="B157" i="124" s="1"/>
  <c r="B158" i="124" s="1"/>
  <c r="B159" i="124" s="1"/>
  <c r="B160" i="124" s="1"/>
  <c r="B161" i="124" s="1"/>
  <c r="B162" i="124" s="1"/>
  <c r="B163" i="124" s="1"/>
  <c r="B164" i="124" s="1"/>
  <c r="B165" i="124" s="1"/>
  <c r="B166" i="124" s="1"/>
  <c r="B167" i="124" s="1"/>
  <c r="B168" i="124" s="1"/>
  <c r="B169" i="124" s="1"/>
  <c r="B170" i="124" s="1"/>
  <c r="B171" i="124" s="1"/>
  <c r="B172" i="124" s="1"/>
  <c r="B173" i="124" s="1"/>
  <c r="B174" i="124" s="1"/>
  <c r="B175" i="124" s="1"/>
  <c r="B176" i="124" s="1"/>
  <c r="B177" i="124" s="1"/>
  <c r="J155" i="124"/>
  <c r="J146" i="124"/>
  <c r="W146" i="124" s="1"/>
  <c r="J145" i="124"/>
  <c r="W145" i="124" s="1"/>
  <c r="W144" i="124"/>
  <c r="J144" i="124"/>
  <c r="V144" i="124" s="1"/>
  <c r="J143" i="124"/>
  <c r="W143" i="124" s="1"/>
  <c r="J142" i="124"/>
  <c r="V142" i="124" s="1"/>
  <c r="J141" i="124"/>
  <c r="W141" i="124" s="1"/>
  <c r="J140" i="124"/>
  <c r="W140" i="124" s="1"/>
  <c r="J139" i="124"/>
  <c r="J138" i="124"/>
  <c r="J137" i="124"/>
  <c r="J136" i="124"/>
  <c r="J135" i="124"/>
  <c r="W135" i="124" s="1"/>
  <c r="J134" i="124"/>
  <c r="W134" i="124" s="1"/>
  <c r="J133" i="124"/>
  <c r="W133" i="124" s="1"/>
  <c r="J132" i="124"/>
  <c r="W132" i="124" s="1"/>
  <c r="J131" i="124"/>
  <c r="W131" i="124" s="1"/>
  <c r="J130" i="124"/>
  <c r="V130" i="124" s="1"/>
  <c r="J129" i="124"/>
  <c r="W129" i="124" s="1"/>
  <c r="J128" i="124"/>
  <c r="W128" i="124" s="1"/>
  <c r="J127" i="124"/>
  <c r="W127" i="124" s="1"/>
  <c r="W126" i="124"/>
  <c r="J126" i="124"/>
  <c r="V126" i="124" s="1"/>
  <c r="J125" i="124"/>
  <c r="V125" i="124" s="1"/>
  <c r="B125" i="124"/>
  <c r="B126" i="124" s="1"/>
  <c r="B127" i="124" s="1"/>
  <c r="B128" i="124" s="1"/>
  <c r="B129" i="124" s="1"/>
  <c r="B130" i="124" s="1"/>
  <c r="B131" i="124" s="1"/>
  <c r="B132" i="124" s="1"/>
  <c r="B133" i="124" s="1"/>
  <c r="B134" i="124" s="1"/>
  <c r="B135" i="124" s="1"/>
  <c r="B136" i="124" s="1"/>
  <c r="B137" i="124" s="1"/>
  <c r="B138" i="124" s="1"/>
  <c r="B139" i="124" s="1"/>
  <c r="B140" i="124" s="1"/>
  <c r="B141" i="124" s="1"/>
  <c r="B142" i="124" s="1"/>
  <c r="B143" i="124" s="1"/>
  <c r="B144" i="124" s="1"/>
  <c r="B145" i="124" s="1"/>
  <c r="B146" i="124" s="1"/>
  <c r="J124" i="124"/>
  <c r="B124" i="124"/>
  <c r="J123" i="124"/>
  <c r="J114" i="124"/>
  <c r="J113" i="124"/>
  <c r="J112" i="124"/>
  <c r="J111" i="124"/>
  <c r="J110" i="124"/>
  <c r="J109" i="124"/>
  <c r="J108" i="124"/>
  <c r="J107" i="124"/>
  <c r="W107" i="124" s="1"/>
  <c r="J106" i="124"/>
  <c r="W106" i="124" s="1"/>
  <c r="J105" i="124"/>
  <c r="V105" i="124" s="1"/>
  <c r="J104" i="124"/>
  <c r="V104" i="124" s="1"/>
  <c r="J103" i="124"/>
  <c r="W103" i="124" s="1"/>
  <c r="J102" i="124"/>
  <c r="W102" i="124" s="1"/>
  <c r="J101" i="124"/>
  <c r="V101" i="124" s="1"/>
  <c r="J100" i="124"/>
  <c r="V100" i="124" s="1"/>
  <c r="J99" i="124"/>
  <c r="W99" i="124" s="1"/>
  <c r="J98" i="124"/>
  <c r="W98" i="124" s="1"/>
  <c r="J97" i="124"/>
  <c r="V97" i="124" s="1"/>
  <c r="J96" i="124"/>
  <c r="J95" i="124"/>
  <c r="W95" i="124" s="1"/>
  <c r="W94" i="124"/>
  <c r="V94" i="124"/>
  <c r="J94" i="124"/>
  <c r="J93" i="124"/>
  <c r="W93" i="124" s="1"/>
  <c r="B93" i="124"/>
  <c r="B94" i="124" s="1"/>
  <c r="B95" i="124" s="1"/>
  <c r="B96" i="124" s="1"/>
  <c r="B97" i="124" s="1"/>
  <c r="B98" i="124" s="1"/>
  <c r="B99" i="124" s="1"/>
  <c r="B100" i="124" s="1"/>
  <c r="B101" i="124" s="1"/>
  <c r="B102" i="124" s="1"/>
  <c r="B103" i="124" s="1"/>
  <c r="B104" i="124" s="1"/>
  <c r="B105" i="124" s="1"/>
  <c r="B106" i="124" s="1"/>
  <c r="B107" i="124" s="1"/>
  <c r="B108" i="124" s="1"/>
  <c r="B109" i="124" s="1"/>
  <c r="B110" i="124" s="1"/>
  <c r="B111" i="124" s="1"/>
  <c r="B112" i="124" s="1"/>
  <c r="B113" i="124" s="1"/>
  <c r="B114" i="124" s="1"/>
  <c r="J92" i="124"/>
  <c r="W92" i="124" s="1"/>
  <c r="J83" i="124"/>
  <c r="W83" i="124" s="1"/>
  <c r="J82" i="124"/>
  <c r="W82" i="124" s="1"/>
  <c r="J81" i="124"/>
  <c r="J80" i="124"/>
  <c r="W80" i="124" s="1"/>
  <c r="J79" i="124"/>
  <c r="V79" i="124" s="1"/>
  <c r="J78" i="124"/>
  <c r="J77" i="124"/>
  <c r="J76" i="124"/>
  <c r="J75" i="124"/>
  <c r="W75" i="124" s="1"/>
  <c r="J74" i="124"/>
  <c r="W74" i="124" s="1"/>
  <c r="J73" i="124"/>
  <c r="V73" i="124" s="1"/>
  <c r="J72" i="124"/>
  <c r="J71" i="124"/>
  <c r="W71" i="124" s="1"/>
  <c r="J70" i="124"/>
  <c r="V70" i="124" s="1"/>
  <c r="J69" i="124"/>
  <c r="W69" i="124" s="1"/>
  <c r="J68" i="124"/>
  <c r="W68" i="124" s="1"/>
  <c r="J67" i="124"/>
  <c r="V67" i="124" s="1"/>
  <c r="J66" i="124"/>
  <c r="J65" i="124"/>
  <c r="J64" i="124"/>
  <c r="J63" i="124"/>
  <c r="W63" i="124" s="1"/>
  <c r="J62" i="124"/>
  <c r="W62" i="124" s="1"/>
  <c r="J61" i="124"/>
  <c r="W61" i="124" s="1"/>
  <c r="B61" i="124"/>
  <c r="B62" i="124" s="1"/>
  <c r="B63" i="124" s="1"/>
  <c r="B64" i="124" s="1"/>
  <c r="B65" i="124" s="1"/>
  <c r="B66" i="124" s="1"/>
  <c r="B67" i="124" s="1"/>
  <c r="B68" i="124" s="1"/>
  <c r="B69" i="124" s="1"/>
  <c r="B70" i="124" s="1"/>
  <c r="B71" i="124" s="1"/>
  <c r="B72" i="124" s="1"/>
  <c r="B73" i="124" s="1"/>
  <c r="B74" i="124" s="1"/>
  <c r="B75" i="124" s="1"/>
  <c r="B76" i="124" s="1"/>
  <c r="B77" i="124" s="1"/>
  <c r="B78" i="124" s="1"/>
  <c r="B79" i="124" s="1"/>
  <c r="B80" i="124" s="1"/>
  <c r="B81" i="124" s="1"/>
  <c r="B82" i="124" s="1"/>
  <c r="B83" i="124" s="1"/>
  <c r="J60" i="124"/>
  <c r="W60" i="124" s="1"/>
  <c r="W51" i="124"/>
  <c r="V51" i="124"/>
  <c r="W50" i="124"/>
  <c r="V50" i="124"/>
  <c r="W49" i="124"/>
  <c r="V49" i="124"/>
  <c r="W48" i="124"/>
  <c r="V48" i="124"/>
  <c r="W47" i="124"/>
  <c r="V47" i="124"/>
  <c r="W46" i="124"/>
  <c r="V46" i="124"/>
  <c r="W45" i="124"/>
  <c r="V45" i="124"/>
  <c r="W43" i="124"/>
  <c r="V43" i="124"/>
  <c r="V42" i="124"/>
  <c r="W40" i="124"/>
  <c r="W38" i="124"/>
  <c r="V37" i="124"/>
  <c r="W36" i="124"/>
  <c r="V35" i="124"/>
  <c r="W33" i="124"/>
  <c r="W32" i="124"/>
  <c r="V31" i="124"/>
  <c r="W30" i="124"/>
  <c r="V29" i="124"/>
  <c r="W27" i="124"/>
  <c r="W26" i="124"/>
  <c r="V26" i="124"/>
  <c r="V25" i="124"/>
  <c r="V23" i="124"/>
  <c r="W23" i="124"/>
  <c r="W22" i="124"/>
  <c r="W20" i="124"/>
  <c r="W18" i="124"/>
  <c r="N16" i="124"/>
  <c r="N14" i="124"/>
  <c r="W14" i="124"/>
  <c r="W13" i="124"/>
  <c r="N12" i="124"/>
  <c r="N10" i="124"/>
  <c r="V10" i="124"/>
  <c r="W9" i="124"/>
  <c r="V9" i="124"/>
  <c r="N8" i="124"/>
  <c r="I7" i="124"/>
  <c r="J7" i="124" s="1"/>
  <c r="V7" i="124" s="1"/>
  <c r="B7" i="124"/>
  <c r="B8" i="124" s="1"/>
  <c r="B9" i="124" s="1"/>
  <c r="B10" i="124" s="1"/>
  <c r="B11" i="124" s="1"/>
  <c r="B12" i="124" s="1"/>
  <c r="B13" i="124" s="1"/>
  <c r="B14" i="124" s="1"/>
  <c r="B15" i="124" s="1"/>
  <c r="B16" i="124" s="1"/>
  <c r="B17" i="124" s="1"/>
  <c r="B18" i="124" s="1"/>
  <c r="B19" i="124" s="1"/>
  <c r="B20" i="124" s="1"/>
  <c r="B21" i="124" s="1"/>
  <c r="B22" i="124" s="1"/>
  <c r="B23" i="124" s="1"/>
  <c r="B24" i="124" s="1"/>
  <c r="B25" i="124" s="1"/>
  <c r="B26" i="124" s="1"/>
  <c r="B27" i="124" s="1"/>
  <c r="B28" i="124" s="1"/>
  <c r="B29" i="124" s="1"/>
  <c r="B30" i="124" s="1"/>
  <c r="B31" i="124" s="1"/>
  <c r="B32" i="124" s="1"/>
  <c r="B33" i="124" s="1"/>
  <c r="B34" i="124" s="1"/>
  <c r="B35" i="124" s="1"/>
  <c r="B36" i="124" s="1"/>
  <c r="B37" i="124" s="1"/>
  <c r="B38" i="124" s="1"/>
  <c r="B39" i="124" s="1"/>
  <c r="B40" i="124" s="1"/>
  <c r="B41" i="124" s="1"/>
  <c r="B42" i="124" s="1"/>
  <c r="B43" i="124" s="1"/>
  <c r="B44" i="124" s="1"/>
  <c r="B45" i="124" s="1"/>
  <c r="B46" i="124" s="1"/>
  <c r="B47" i="124" s="1"/>
  <c r="B48" i="124" s="1"/>
  <c r="B49" i="124" s="1"/>
  <c r="B50" i="124" s="1"/>
  <c r="B51" i="124" s="1"/>
  <c r="N6" i="124"/>
  <c r="I6" i="124"/>
  <c r="J6" i="124" s="1"/>
  <c r="N4" i="124"/>
  <c r="W101" i="124" l="1"/>
  <c r="W104" i="124"/>
  <c r="W130" i="124"/>
  <c r="V146" i="124"/>
  <c r="W240" i="124"/>
  <c r="V145" i="124"/>
  <c r="W164" i="124"/>
  <c r="W194" i="124"/>
  <c r="W238" i="124"/>
  <c r="V83" i="124"/>
  <c r="W105" i="124"/>
  <c r="W142" i="124"/>
  <c r="V141" i="124"/>
  <c r="V80" i="124"/>
  <c r="V203" i="124"/>
  <c r="V166" i="124"/>
  <c r="W198" i="124"/>
  <c r="W202" i="124"/>
  <c r="V201" i="124"/>
  <c r="V170" i="124"/>
  <c r="V199" i="124"/>
  <c r="V168" i="124"/>
  <c r="V71" i="124"/>
  <c r="V228" i="124"/>
  <c r="V197" i="124"/>
  <c r="W70" i="124"/>
  <c r="V69" i="124"/>
  <c r="V195" i="124"/>
  <c r="V163" i="124"/>
  <c r="W161" i="124"/>
  <c r="W100" i="124"/>
  <c r="V193" i="124"/>
  <c r="V191" i="124"/>
  <c r="W160" i="124"/>
  <c r="V159" i="124"/>
  <c r="V221" i="124"/>
  <c r="W217" i="124"/>
  <c r="V131" i="124"/>
  <c r="V129" i="124"/>
  <c r="V127" i="124"/>
  <c r="W125" i="124"/>
  <c r="W237" i="124"/>
  <c r="W239" i="124"/>
  <c r="V218" i="124"/>
  <c r="W222" i="124"/>
  <c r="W224" i="124"/>
  <c r="W226" i="124"/>
  <c r="V235" i="124"/>
  <c r="W223" i="124"/>
  <c r="W225" i="124"/>
  <c r="V236" i="124"/>
  <c r="V187" i="124"/>
  <c r="V192" i="124"/>
  <c r="V196" i="124"/>
  <c r="V200" i="124"/>
  <c r="V204" i="124"/>
  <c r="V158" i="124"/>
  <c r="V162" i="124"/>
  <c r="V165" i="124"/>
  <c r="V167" i="124"/>
  <c r="V169" i="124"/>
  <c r="V128" i="124"/>
  <c r="V132" i="124"/>
  <c r="V134" i="124"/>
  <c r="V140" i="124"/>
  <c r="V143" i="124"/>
  <c r="V133" i="124"/>
  <c r="V135" i="124"/>
  <c r="V92" i="124"/>
  <c r="V93" i="124"/>
  <c r="V99" i="124"/>
  <c r="V103" i="124"/>
  <c r="V107" i="124"/>
  <c r="V98" i="124"/>
  <c r="V102" i="124"/>
  <c r="V106" i="124"/>
  <c r="N18" i="124"/>
  <c r="V60" i="124"/>
  <c r="V61" i="124"/>
  <c r="V68" i="124"/>
  <c r="V74" i="124"/>
  <c r="W67" i="124"/>
  <c r="V20" i="124"/>
  <c r="V22" i="124"/>
  <c r="W29" i="124"/>
  <c r="V32" i="124"/>
  <c r="V38" i="124"/>
  <c r="V36" i="124"/>
  <c r="W16" i="124"/>
  <c r="V16" i="124"/>
  <c r="W64" i="124"/>
  <c r="V64" i="124"/>
  <c r="W76" i="124"/>
  <c r="V76" i="124"/>
  <c r="V6" i="124"/>
  <c r="J52" i="124"/>
  <c r="W6" i="124"/>
  <c r="W19" i="124"/>
  <c r="V19" i="124"/>
  <c r="W44" i="124"/>
  <c r="V44" i="124"/>
  <c r="W108" i="124"/>
  <c r="V108" i="124"/>
  <c r="V12" i="124"/>
  <c r="W12" i="124"/>
  <c r="W39" i="124"/>
  <c r="V39" i="124"/>
  <c r="W72" i="124"/>
  <c r="V72" i="124"/>
  <c r="W96" i="124"/>
  <c r="V96" i="124"/>
  <c r="W41" i="124"/>
  <c r="V41" i="124"/>
  <c r="V8" i="124"/>
  <c r="W8" i="124"/>
  <c r="W24" i="124"/>
  <c r="V24" i="124"/>
  <c r="W28" i="124"/>
  <c r="V28" i="124"/>
  <c r="W21" i="124"/>
  <c r="V21" i="124"/>
  <c r="J84" i="124"/>
  <c r="J115" i="124"/>
  <c r="W208" i="124"/>
  <c r="V208" i="124"/>
  <c r="W17" i="124"/>
  <c r="V17" i="124"/>
  <c r="W34" i="124"/>
  <c r="V34" i="124"/>
  <c r="V13" i="124"/>
  <c r="W25" i="124"/>
  <c r="V27" i="124"/>
  <c r="W42" i="124"/>
  <c r="V62" i="124"/>
  <c r="W66" i="124"/>
  <c r="V66" i="124"/>
  <c r="W7" i="124"/>
  <c r="V11" i="124"/>
  <c r="V14" i="124"/>
  <c r="W15" i="124"/>
  <c r="W31" i="124"/>
  <c r="V33" i="124"/>
  <c r="V40" i="124"/>
  <c r="W79" i="124"/>
  <c r="V82" i="124"/>
  <c r="W97" i="124"/>
  <c r="J147" i="124"/>
  <c r="W123" i="124"/>
  <c r="W124" i="124"/>
  <c r="V124" i="124"/>
  <c r="W137" i="124"/>
  <c r="V137" i="124"/>
  <c r="W174" i="124"/>
  <c r="V174" i="124"/>
  <c r="W188" i="124"/>
  <c r="V188" i="124"/>
  <c r="W231" i="124"/>
  <c r="V231" i="124"/>
  <c r="W109" i="124"/>
  <c r="V109" i="124"/>
  <c r="W112" i="124"/>
  <c r="V112" i="124"/>
  <c r="W10" i="124"/>
  <c r="W73" i="124"/>
  <c r="V75" i="124"/>
  <c r="W77" i="124"/>
  <c r="V77" i="124"/>
  <c r="V95" i="124"/>
  <c r="W110" i="124"/>
  <c r="V110" i="124"/>
  <c r="W156" i="124"/>
  <c r="V156" i="124"/>
  <c r="V18" i="124"/>
  <c r="V30" i="124"/>
  <c r="W35" i="124"/>
  <c r="W37" i="124"/>
  <c r="V63" i="124"/>
  <c r="W65" i="124"/>
  <c r="V65" i="124"/>
  <c r="W78" i="124"/>
  <c r="V78" i="124"/>
  <c r="W114" i="124"/>
  <c r="V114" i="124"/>
  <c r="V123" i="124"/>
  <c r="W138" i="124"/>
  <c r="V138" i="124"/>
  <c r="W171" i="124"/>
  <c r="V171" i="124"/>
  <c r="W175" i="124"/>
  <c r="V175" i="124"/>
  <c r="W189" i="124"/>
  <c r="V189" i="124"/>
  <c r="W207" i="124"/>
  <c r="V207" i="124"/>
  <c r="V227" i="124"/>
  <c r="W232" i="124"/>
  <c r="V232" i="124"/>
  <c r="W111" i="124"/>
  <c r="V111" i="124"/>
  <c r="W113" i="124"/>
  <c r="V113" i="124"/>
  <c r="W139" i="124"/>
  <c r="V139" i="124"/>
  <c r="W157" i="124"/>
  <c r="V157" i="124"/>
  <c r="W172" i="124"/>
  <c r="V172" i="124"/>
  <c r="W176" i="124"/>
  <c r="V176" i="124"/>
  <c r="J209" i="124"/>
  <c r="W190" i="124"/>
  <c r="V190" i="124"/>
  <c r="W205" i="124"/>
  <c r="V205" i="124"/>
  <c r="W219" i="124"/>
  <c r="V219" i="124"/>
  <c r="W233" i="124"/>
  <c r="V233" i="124"/>
  <c r="W136" i="124"/>
  <c r="V136" i="124"/>
  <c r="J178" i="124"/>
  <c r="W155" i="124"/>
  <c r="V155" i="124"/>
  <c r="W173" i="124"/>
  <c r="V173" i="124"/>
  <c r="W177" i="124"/>
  <c r="V177" i="124"/>
  <c r="W206" i="124"/>
  <c r="V206" i="124"/>
  <c r="W220" i="124"/>
  <c r="V220" i="124"/>
  <c r="W230" i="124"/>
  <c r="V230" i="124"/>
  <c r="W234" i="124"/>
  <c r="V234" i="124"/>
  <c r="W186" i="124"/>
  <c r="J241" i="124"/>
  <c r="H237" i="123"/>
  <c r="H205" i="123"/>
  <c r="H79" i="123"/>
  <c r="H45" i="123"/>
  <c r="I45" i="123"/>
  <c r="J45" i="123" s="1"/>
  <c r="H44" i="123"/>
  <c r="J44" i="123" s="1"/>
  <c r="I44" i="123"/>
  <c r="W241" i="124" l="1"/>
  <c r="P16" i="124" s="1"/>
  <c r="V115" i="124"/>
  <c r="O8" i="124" s="1"/>
  <c r="R8" i="124" s="1"/>
  <c r="V241" i="124"/>
  <c r="O16" i="124" s="1"/>
  <c r="R16" i="124" s="1"/>
  <c r="V209" i="124"/>
  <c r="O14" i="124" s="1"/>
  <c r="R14" i="124" s="1"/>
  <c r="V178" i="124"/>
  <c r="O12" i="124" s="1"/>
  <c r="R12" i="124" s="1"/>
  <c r="W115" i="124"/>
  <c r="P8" i="124" s="1"/>
  <c r="V84" i="124"/>
  <c r="O6" i="124" s="1"/>
  <c r="R6" i="124" s="1"/>
  <c r="W84" i="124"/>
  <c r="P6" i="124" s="1"/>
  <c r="W178" i="124"/>
  <c r="P12" i="124" s="1"/>
  <c r="W52" i="124"/>
  <c r="P4" i="124" s="1"/>
  <c r="W209" i="124"/>
  <c r="P14" i="124" s="1"/>
  <c r="W147" i="124"/>
  <c r="P10" i="124" s="1"/>
  <c r="V147" i="124"/>
  <c r="O10" i="124" s="1"/>
  <c r="V52" i="124"/>
  <c r="O4" i="124" s="1"/>
  <c r="H234" i="123"/>
  <c r="H204" i="123"/>
  <c r="H171" i="123"/>
  <c r="H141" i="123"/>
  <c r="H139" i="123"/>
  <c r="H108" i="123"/>
  <c r="H107" i="123"/>
  <c r="J42" i="123"/>
  <c r="I43" i="123"/>
  <c r="J43" i="123" s="1"/>
  <c r="I42" i="123"/>
  <c r="H41" i="123"/>
  <c r="J41" i="123" s="1"/>
  <c r="I41" i="123"/>
  <c r="H40" i="123"/>
  <c r="J40" i="123" s="1"/>
  <c r="I40" i="123"/>
  <c r="I39" i="123"/>
  <c r="J39" i="123" s="1"/>
  <c r="H38" i="123"/>
  <c r="I38" i="123"/>
  <c r="J38" i="123" s="1"/>
  <c r="H37" i="123"/>
  <c r="J37" i="123" s="1"/>
  <c r="I37" i="123"/>
  <c r="H36" i="123"/>
  <c r="J36" i="123" s="1"/>
  <c r="I36" i="123"/>
  <c r="H76" i="123"/>
  <c r="H75" i="123"/>
  <c r="H74" i="123"/>
  <c r="I35" i="123"/>
  <c r="J35" i="123" s="1"/>
  <c r="J34" i="123"/>
  <c r="I34" i="123"/>
  <c r="Q8" i="124" l="1"/>
  <c r="Q6" i="124"/>
  <c r="Q14" i="124"/>
  <c r="Q12" i="124"/>
  <c r="P18" i="124"/>
  <c r="R4" i="124"/>
  <c r="Q4" i="124"/>
  <c r="O18" i="124"/>
  <c r="R18" i="124" s="1"/>
  <c r="P20" i="124" s="1"/>
  <c r="R10" i="124"/>
  <c r="Q10" i="124"/>
  <c r="H230" i="123"/>
  <c r="H136" i="123"/>
  <c r="H73" i="123"/>
  <c r="I33" i="123"/>
  <c r="J33" i="123" s="1"/>
  <c r="I32" i="123"/>
  <c r="J32" i="123" s="1"/>
  <c r="H31" i="123"/>
  <c r="J31" i="123" s="1"/>
  <c r="I31" i="123"/>
  <c r="J29" i="123"/>
  <c r="I30" i="123"/>
  <c r="J30" i="123" s="1"/>
  <c r="H72" i="123"/>
  <c r="H71" i="123"/>
  <c r="H29" i="123"/>
  <c r="I29" i="123"/>
  <c r="I28" i="123"/>
  <c r="J28" i="123" s="1"/>
  <c r="Q18" i="124" l="1"/>
  <c r="I27" i="123"/>
  <c r="J27" i="123" s="1"/>
  <c r="J26" i="123"/>
  <c r="I26" i="123"/>
  <c r="H70" i="123"/>
  <c r="H165" i="123"/>
  <c r="H227" i="123"/>
  <c r="H132" i="123"/>
  <c r="I25" i="123"/>
  <c r="J25" i="123" s="1"/>
  <c r="J24" i="123"/>
  <c r="I24" i="123"/>
  <c r="H22" i="123" l="1"/>
  <c r="J22" i="123" s="1"/>
  <c r="I23" i="123"/>
  <c r="J23" i="123" s="1"/>
  <c r="V23" i="123" s="1"/>
  <c r="I22" i="123"/>
  <c r="H100" i="123"/>
  <c r="H131" i="123"/>
  <c r="H163" i="123"/>
  <c r="H193" i="123"/>
  <c r="H67" i="123"/>
  <c r="J19" i="123"/>
  <c r="H21" i="123"/>
  <c r="I21" i="123"/>
  <c r="J21" i="123" s="1"/>
  <c r="I20" i="123"/>
  <c r="J20" i="123" s="1"/>
  <c r="V20" i="123" s="1"/>
  <c r="I19" i="123"/>
  <c r="H18" i="123"/>
  <c r="I18" i="123"/>
  <c r="J18" i="123" s="1"/>
  <c r="W18" i="123" s="1"/>
  <c r="H97" i="123"/>
  <c r="H17" i="123"/>
  <c r="J17" i="123" s="1"/>
  <c r="I17" i="123"/>
  <c r="I16" i="123"/>
  <c r="J16" i="123" s="1"/>
  <c r="H190" i="123"/>
  <c r="H222" i="123"/>
  <c r="H96" i="123"/>
  <c r="H64" i="123"/>
  <c r="H15" i="123"/>
  <c r="J15" i="123" s="1"/>
  <c r="I15" i="123"/>
  <c r="I14" i="123"/>
  <c r="J14" i="123" s="1"/>
  <c r="W14" i="123" s="1"/>
  <c r="J12" i="123"/>
  <c r="J13" i="123"/>
  <c r="I13" i="123"/>
  <c r="I12" i="123"/>
  <c r="H95" i="123"/>
  <c r="H220" i="123"/>
  <c r="H219" i="123"/>
  <c r="H188" i="123"/>
  <c r="H157" i="123"/>
  <c r="H125" i="123"/>
  <c r="H94" i="123"/>
  <c r="H62" i="123"/>
  <c r="I8" i="123"/>
  <c r="J8" i="123" s="1"/>
  <c r="I9" i="123"/>
  <c r="J9" i="123"/>
  <c r="V9" i="123" s="1"/>
  <c r="I10" i="123"/>
  <c r="I11" i="123"/>
  <c r="H11" i="123"/>
  <c r="J11" i="123" s="1"/>
  <c r="H10" i="123"/>
  <c r="J10" i="123" s="1"/>
  <c r="H124" i="123"/>
  <c r="H218" i="123"/>
  <c r="H186" i="123"/>
  <c r="H123" i="123"/>
  <c r="H6" i="123"/>
  <c r="J240" i="123"/>
  <c r="V240" i="123" s="1"/>
  <c r="J239" i="123"/>
  <c r="V239" i="123" s="1"/>
  <c r="J238" i="123"/>
  <c r="V238" i="123" s="1"/>
  <c r="J237" i="123"/>
  <c r="V237" i="123" s="1"/>
  <c r="J236" i="123"/>
  <c r="V236" i="123" s="1"/>
  <c r="J235" i="123"/>
  <c r="V235" i="123" s="1"/>
  <c r="J234" i="123"/>
  <c r="V234" i="123" s="1"/>
  <c r="J233" i="123"/>
  <c r="V233" i="123" s="1"/>
  <c r="J232" i="123"/>
  <c r="V232" i="123" s="1"/>
  <c r="J231" i="123"/>
  <c r="V231" i="123" s="1"/>
  <c r="J230" i="123"/>
  <c r="V230" i="123" s="1"/>
  <c r="J229" i="123"/>
  <c r="V229" i="123" s="1"/>
  <c r="J228" i="123"/>
  <c r="V228" i="123" s="1"/>
  <c r="J227" i="123"/>
  <c r="V227" i="123" s="1"/>
  <c r="J226" i="123"/>
  <c r="V226" i="123" s="1"/>
  <c r="J225" i="123"/>
  <c r="W225" i="123" s="1"/>
  <c r="J224" i="123"/>
  <c r="W224" i="123" s="1"/>
  <c r="J223" i="123"/>
  <c r="W223" i="123" s="1"/>
  <c r="J222" i="123"/>
  <c r="W222" i="123" s="1"/>
  <c r="J221" i="123"/>
  <c r="V221" i="123" s="1"/>
  <c r="J220" i="123"/>
  <c r="V220" i="123" s="1"/>
  <c r="J219" i="123"/>
  <c r="V219" i="123" s="1"/>
  <c r="J218" i="123"/>
  <c r="V218" i="123" s="1"/>
  <c r="B218" i="123"/>
  <c r="B219" i="123" s="1"/>
  <c r="B220" i="123" s="1"/>
  <c r="B221" i="123" s="1"/>
  <c r="B222" i="123" s="1"/>
  <c r="B223" i="123" s="1"/>
  <c r="B224" i="123" s="1"/>
  <c r="B225" i="123" s="1"/>
  <c r="B226" i="123" s="1"/>
  <c r="B227" i="123" s="1"/>
  <c r="B228" i="123" s="1"/>
  <c r="B229" i="123" s="1"/>
  <c r="B230" i="123" s="1"/>
  <c r="B231" i="123" s="1"/>
  <c r="B232" i="123" s="1"/>
  <c r="B233" i="123" s="1"/>
  <c r="B234" i="123" s="1"/>
  <c r="B235" i="123" s="1"/>
  <c r="B236" i="123" s="1"/>
  <c r="B237" i="123" s="1"/>
  <c r="B238" i="123" s="1"/>
  <c r="B239" i="123" s="1"/>
  <c r="B240" i="123" s="1"/>
  <c r="J217" i="123"/>
  <c r="W217" i="123" s="1"/>
  <c r="J208" i="123"/>
  <c r="V208" i="123" s="1"/>
  <c r="J207" i="123"/>
  <c r="V207" i="123" s="1"/>
  <c r="J206" i="123"/>
  <c r="V206" i="123" s="1"/>
  <c r="J205" i="123"/>
  <c r="V205" i="123" s="1"/>
  <c r="J204" i="123"/>
  <c r="V204" i="123" s="1"/>
  <c r="J203" i="123"/>
  <c r="W203" i="123" s="1"/>
  <c r="J202" i="123"/>
  <c r="V202" i="123" s="1"/>
  <c r="J201" i="123"/>
  <c r="V201" i="123" s="1"/>
  <c r="J200" i="123"/>
  <c r="V200" i="123" s="1"/>
  <c r="J199" i="123"/>
  <c r="V199" i="123" s="1"/>
  <c r="J198" i="123"/>
  <c r="W198" i="123" s="1"/>
  <c r="J197" i="123"/>
  <c r="V197" i="123" s="1"/>
  <c r="J196" i="123"/>
  <c r="V196" i="123" s="1"/>
  <c r="J195" i="123"/>
  <c r="V195" i="123" s="1"/>
  <c r="J194" i="123"/>
  <c r="V194" i="123" s="1"/>
  <c r="J193" i="123"/>
  <c r="V193" i="123" s="1"/>
  <c r="J192" i="123"/>
  <c r="V192" i="123" s="1"/>
  <c r="J191" i="123"/>
  <c r="V191" i="123" s="1"/>
  <c r="J190" i="123"/>
  <c r="W190" i="123" s="1"/>
  <c r="J189" i="123"/>
  <c r="V189" i="123" s="1"/>
  <c r="J188" i="123"/>
  <c r="W188" i="123" s="1"/>
  <c r="B188" i="123"/>
  <c r="B189" i="123" s="1"/>
  <c r="B190" i="123" s="1"/>
  <c r="B191" i="123" s="1"/>
  <c r="B192" i="123" s="1"/>
  <c r="B193" i="123" s="1"/>
  <c r="B194" i="123" s="1"/>
  <c r="B195" i="123" s="1"/>
  <c r="B196" i="123" s="1"/>
  <c r="B197" i="123" s="1"/>
  <c r="B198" i="123" s="1"/>
  <c r="B199" i="123" s="1"/>
  <c r="B200" i="123" s="1"/>
  <c r="B201" i="123" s="1"/>
  <c r="B202" i="123" s="1"/>
  <c r="B203" i="123" s="1"/>
  <c r="B204" i="123" s="1"/>
  <c r="B205" i="123" s="1"/>
  <c r="B206" i="123" s="1"/>
  <c r="B207" i="123" s="1"/>
  <c r="B208" i="123" s="1"/>
  <c r="J187" i="123"/>
  <c r="B187" i="123"/>
  <c r="J186" i="123"/>
  <c r="W186" i="123" s="1"/>
  <c r="J177" i="123"/>
  <c r="V177" i="123" s="1"/>
  <c r="J176" i="123"/>
  <c r="V176" i="123" s="1"/>
  <c r="J175" i="123"/>
  <c r="V175" i="123" s="1"/>
  <c r="J174" i="123"/>
  <c r="V174" i="123" s="1"/>
  <c r="J173" i="123"/>
  <c r="V173" i="123" s="1"/>
  <c r="J172" i="123"/>
  <c r="J171" i="123"/>
  <c r="W171" i="123" s="1"/>
  <c r="J170" i="123"/>
  <c r="W170" i="123" s="1"/>
  <c r="J169" i="123"/>
  <c r="W169" i="123" s="1"/>
  <c r="J168" i="123"/>
  <c r="W168" i="123" s="1"/>
  <c r="J167" i="123"/>
  <c r="W167" i="123" s="1"/>
  <c r="J166" i="123"/>
  <c r="W166" i="123" s="1"/>
  <c r="J165" i="123"/>
  <c r="W165" i="123" s="1"/>
  <c r="J164" i="123"/>
  <c r="W164" i="123" s="1"/>
  <c r="J163" i="123"/>
  <c r="J162" i="123"/>
  <c r="W162" i="123" s="1"/>
  <c r="J161" i="123"/>
  <c r="V161" i="123" s="1"/>
  <c r="J160" i="123"/>
  <c r="W160" i="123" s="1"/>
  <c r="J159" i="123"/>
  <c r="W159" i="123" s="1"/>
  <c r="J158" i="123"/>
  <c r="W158" i="123" s="1"/>
  <c r="J157" i="123"/>
  <c r="W157" i="123" s="1"/>
  <c r="J156" i="123"/>
  <c r="W156" i="123" s="1"/>
  <c r="B156" i="123"/>
  <c r="B157" i="123" s="1"/>
  <c r="B158" i="123" s="1"/>
  <c r="B159" i="123" s="1"/>
  <c r="B160" i="123" s="1"/>
  <c r="B161" i="123" s="1"/>
  <c r="B162" i="123" s="1"/>
  <c r="B163" i="123" s="1"/>
  <c r="B164" i="123" s="1"/>
  <c r="B165" i="123" s="1"/>
  <c r="B166" i="123" s="1"/>
  <c r="B167" i="123" s="1"/>
  <c r="B168" i="123" s="1"/>
  <c r="B169" i="123" s="1"/>
  <c r="B170" i="123" s="1"/>
  <c r="B171" i="123" s="1"/>
  <c r="B172" i="123" s="1"/>
  <c r="B173" i="123" s="1"/>
  <c r="B174" i="123" s="1"/>
  <c r="B175" i="123" s="1"/>
  <c r="B176" i="123" s="1"/>
  <c r="B177" i="123" s="1"/>
  <c r="J155" i="123"/>
  <c r="V155" i="123" s="1"/>
  <c r="J146" i="123"/>
  <c r="W146" i="123" s="1"/>
  <c r="J145" i="123"/>
  <c r="W145" i="123" s="1"/>
  <c r="J144" i="123"/>
  <c r="V144" i="123" s="1"/>
  <c r="J143" i="123"/>
  <c r="W143" i="123" s="1"/>
  <c r="J142" i="123"/>
  <c r="W142" i="123" s="1"/>
  <c r="J141" i="123"/>
  <c r="W141" i="123" s="1"/>
  <c r="J140" i="123"/>
  <c r="W140" i="123" s="1"/>
  <c r="J139" i="123"/>
  <c r="V139" i="123" s="1"/>
  <c r="J138" i="123"/>
  <c r="J137" i="123"/>
  <c r="W137" i="123" s="1"/>
  <c r="J136" i="123"/>
  <c r="W136" i="123" s="1"/>
  <c r="J135" i="123"/>
  <c r="W135" i="123" s="1"/>
  <c r="J134" i="123"/>
  <c r="W134" i="123" s="1"/>
  <c r="J133" i="123"/>
  <c r="V133" i="123" s="1"/>
  <c r="J132" i="123"/>
  <c r="W132" i="123" s="1"/>
  <c r="J131" i="123"/>
  <c r="V131" i="123" s="1"/>
  <c r="J130" i="123"/>
  <c r="J129" i="123"/>
  <c r="W129" i="123" s="1"/>
  <c r="J128" i="123"/>
  <c r="W128" i="123" s="1"/>
  <c r="J127" i="123"/>
  <c r="W127" i="123" s="1"/>
  <c r="J126" i="123"/>
  <c r="W126" i="123" s="1"/>
  <c r="J125" i="123"/>
  <c r="W125" i="123" s="1"/>
  <c r="J124" i="123"/>
  <c r="W124" i="123" s="1"/>
  <c r="B124" i="123"/>
  <c r="B125" i="123" s="1"/>
  <c r="B126" i="123" s="1"/>
  <c r="B127" i="123" s="1"/>
  <c r="B128" i="123" s="1"/>
  <c r="B129" i="123" s="1"/>
  <c r="B130" i="123" s="1"/>
  <c r="B131" i="123" s="1"/>
  <c r="B132" i="123" s="1"/>
  <c r="B133" i="123" s="1"/>
  <c r="B134" i="123" s="1"/>
  <c r="B135" i="123" s="1"/>
  <c r="B136" i="123" s="1"/>
  <c r="B137" i="123" s="1"/>
  <c r="B138" i="123" s="1"/>
  <c r="B139" i="123" s="1"/>
  <c r="B140" i="123" s="1"/>
  <c r="B141" i="123" s="1"/>
  <c r="B142" i="123" s="1"/>
  <c r="B143" i="123" s="1"/>
  <c r="B144" i="123" s="1"/>
  <c r="B145" i="123" s="1"/>
  <c r="B146" i="123" s="1"/>
  <c r="J123" i="123"/>
  <c r="W123" i="123" s="1"/>
  <c r="J114" i="123"/>
  <c r="V114" i="123" s="1"/>
  <c r="J113" i="123"/>
  <c r="V113" i="123" s="1"/>
  <c r="J112" i="123"/>
  <c r="V112" i="123" s="1"/>
  <c r="J111" i="123"/>
  <c r="J110" i="123"/>
  <c r="W110" i="123" s="1"/>
  <c r="J109" i="123"/>
  <c r="W109" i="123" s="1"/>
  <c r="J108" i="123"/>
  <c r="W108" i="123" s="1"/>
  <c r="J107" i="123"/>
  <c r="W107" i="123" s="1"/>
  <c r="J106" i="123"/>
  <c r="W106" i="123" s="1"/>
  <c r="J105" i="123"/>
  <c r="W105" i="123" s="1"/>
  <c r="J104" i="123"/>
  <c r="W104" i="123" s="1"/>
  <c r="J103" i="123"/>
  <c r="W103" i="123" s="1"/>
  <c r="J102" i="123"/>
  <c r="W102" i="123" s="1"/>
  <c r="J101" i="123"/>
  <c r="W101" i="123" s="1"/>
  <c r="J100" i="123"/>
  <c r="W100" i="123" s="1"/>
  <c r="J99" i="123"/>
  <c r="W99" i="123" s="1"/>
  <c r="J98" i="123"/>
  <c r="W98" i="123" s="1"/>
  <c r="J97" i="123"/>
  <c r="W97" i="123" s="1"/>
  <c r="J96" i="123"/>
  <c r="W96" i="123" s="1"/>
  <c r="J95" i="123"/>
  <c r="W95" i="123" s="1"/>
  <c r="J94" i="123"/>
  <c r="W94" i="123" s="1"/>
  <c r="J93" i="123"/>
  <c r="W93" i="123" s="1"/>
  <c r="B93" i="123"/>
  <c r="B94" i="123" s="1"/>
  <c r="B95" i="123" s="1"/>
  <c r="B96" i="123" s="1"/>
  <c r="B97" i="123" s="1"/>
  <c r="B98" i="123" s="1"/>
  <c r="B99" i="123" s="1"/>
  <c r="B100" i="123" s="1"/>
  <c r="B101" i="123" s="1"/>
  <c r="B102" i="123" s="1"/>
  <c r="B103" i="123" s="1"/>
  <c r="B104" i="123" s="1"/>
  <c r="B105" i="123" s="1"/>
  <c r="B106" i="123" s="1"/>
  <c r="B107" i="123" s="1"/>
  <c r="B108" i="123" s="1"/>
  <c r="B109" i="123" s="1"/>
  <c r="B110" i="123" s="1"/>
  <c r="B111" i="123" s="1"/>
  <c r="B112" i="123" s="1"/>
  <c r="B113" i="123" s="1"/>
  <c r="B114" i="123" s="1"/>
  <c r="J92" i="123"/>
  <c r="J83" i="123"/>
  <c r="V83" i="123" s="1"/>
  <c r="W82" i="123"/>
  <c r="J82" i="123"/>
  <c r="V82" i="123" s="1"/>
  <c r="J81" i="123"/>
  <c r="J80" i="123"/>
  <c r="W80" i="123" s="1"/>
  <c r="J79" i="123"/>
  <c r="W79" i="123" s="1"/>
  <c r="J78" i="123"/>
  <c r="W78" i="123" s="1"/>
  <c r="J77" i="123"/>
  <c r="W77" i="123" s="1"/>
  <c r="J76" i="123"/>
  <c r="V76" i="123" s="1"/>
  <c r="J75" i="123"/>
  <c r="W75" i="123" s="1"/>
  <c r="J74" i="123"/>
  <c r="J73" i="123"/>
  <c r="V73" i="123" s="1"/>
  <c r="J72" i="123"/>
  <c r="J71" i="123"/>
  <c r="W71" i="123" s="1"/>
  <c r="J70" i="123"/>
  <c r="W70" i="123" s="1"/>
  <c r="J69" i="123"/>
  <c r="W69" i="123" s="1"/>
  <c r="J68" i="123"/>
  <c r="W68" i="123" s="1"/>
  <c r="J67" i="123"/>
  <c r="W67" i="123" s="1"/>
  <c r="J66" i="123"/>
  <c r="W66" i="123" s="1"/>
  <c r="J65" i="123"/>
  <c r="W65" i="123" s="1"/>
  <c r="J64" i="123"/>
  <c r="W64" i="123" s="1"/>
  <c r="J63" i="123"/>
  <c r="W63" i="123" s="1"/>
  <c r="J62" i="123"/>
  <c r="W62" i="123" s="1"/>
  <c r="J61" i="123"/>
  <c r="B61" i="123"/>
  <c r="B62" i="123" s="1"/>
  <c r="B63" i="123" s="1"/>
  <c r="B64" i="123" s="1"/>
  <c r="B65" i="123" s="1"/>
  <c r="B66" i="123" s="1"/>
  <c r="B67" i="123" s="1"/>
  <c r="B68" i="123" s="1"/>
  <c r="B69" i="123" s="1"/>
  <c r="B70" i="123" s="1"/>
  <c r="B71" i="123" s="1"/>
  <c r="B72" i="123" s="1"/>
  <c r="B73" i="123" s="1"/>
  <c r="B74" i="123" s="1"/>
  <c r="B75" i="123" s="1"/>
  <c r="B76" i="123" s="1"/>
  <c r="B77" i="123" s="1"/>
  <c r="B78" i="123" s="1"/>
  <c r="B79" i="123" s="1"/>
  <c r="B80" i="123" s="1"/>
  <c r="B81" i="123" s="1"/>
  <c r="B82" i="123" s="1"/>
  <c r="B83" i="123" s="1"/>
  <c r="J60" i="123"/>
  <c r="W51" i="123"/>
  <c r="V51" i="123"/>
  <c r="W50" i="123"/>
  <c r="V50" i="123"/>
  <c r="W49" i="123"/>
  <c r="V49" i="123"/>
  <c r="W48" i="123"/>
  <c r="V48" i="123"/>
  <c r="W47" i="123"/>
  <c r="V47" i="123"/>
  <c r="W46" i="123"/>
  <c r="V46" i="123"/>
  <c r="V39" i="123"/>
  <c r="W39" i="123"/>
  <c r="V37" i="123"/>
  <c r="V36" i="123"/>
  <c r="W36" i="123"/>
  <c r="W35" i="123"/>
  <c r="V35" i="123"/>
  <c r="V33" i="123"/>
  <c r="W33" i="123"/>
  <c r="V31" i="123"/>
  <c r="W31" i="123"/>
  <c r="V29" i="123"/>
  <c r="V28" i="123"/>
  <c r="W28" i="123"/>
  <c r="V26" i="123"/>
  <c r="V25" i="123"/>
  <c r="W25" i="123"/>
  <c r="W19" i="123"/>
  <c r="V19" i="123"/>
  <c r="N16" i="123"/>
  <c r="N14" i="123"/>
  <c r="N12" i="123"/>
  <c r="W12" i="123"/>
  <c r="N10" i="123"/>
  <c r="N8" i="123"/>
  <c r="I7" i="123"/>
  <c r="J7" i="123" s="1"/>
  <c r="W7" i="123" s="1"/>
  <c r="B7" i="123"/>
  <c r="B8" i="123" s="1"/>
  <c r="B9" i="123" s="1"/>
  <c r="B10" i="123" s="1"/>
  <c r="B11" i="123" s="1"/>
  <c r="B12" i="123" s="1"/>
  <c r="B13" i="123" s="1"/>
  <c r="B14" i="123" s="1"/>
  <c r="B15" i="123" s="1"/>
  <c r="B16" i="123" s="1"/>
  <c r="B17" i="123" s="1"/>
  <c r="B18" i="123" s="1"/>
  <c r="B19" i="123" s="1"/>
  <c r="B20" i="123" s="1"/>
  <c r="B21" i="123" s="1"/>
  <c r="B22" i="123" s="1"/>
  <c r="B23" i="123" s="1"/>
  <c r="B24" i="123" s="1"/>
  <c r="B25" i="123" s="1"/>
  <c r="B26" i="123" s="1"/>
  <c r="B27" i="123" s="1"/>
  <c r="B28" i="123" s="1"/>
  <c r="B29" i="123" s="1"/>
  <c r="B30" i="123" s="1"/>
  <c r="B31" i="123" s="1"/>
  <c r="B32" i="123" s="1"/>
  <c r="B33" i="123" s="1"/>
  <c r="B34" i="123" s="1"/>
  <c r="B35" i="123" s="1"/>
  <c r="B36" i="123" s="1"/>
  <c r="B37" i="123" s="1"/>
  <c r="B38" i="123" s="1"/>
  <c r="B39" i="123" s="1"/>
  <c r="B40" i="123" s="1"/>
  <c r="B41" i="123" s="1"/>
  <c r="B42" i="123" s="1"/>
  <c r="B43" i="123" s="1"/>
  <c r="B44" i="123" s="1"/>
  <c r="B45" i="123" s="1"/>
  <c r="B46" i="123" s="1"/>
  <c r="B47" i="123" s="1"/>
  <c r="B48" i="123" s="1"/>
  <c r="B49" i="123" s="1"/>
  <c r="B50" i="123" s="1"/>
  <c r="B51" i="123" s="1"/>
  <c r="N6" i="123"/>
  <c r="I6" i="123"/>
  <c r="J6" i="123" s="1"/>
  <c r="N4" i="123"/>
  <c r="V17" i="123" l="1"/>
  <c r="W17" i="123"/>
  <c r="W22" i="123"/>
  <c r="V22" i="123"/>
  <c r="W76" i="123"/>
  <c r="W112" i="123"/>
  <c r="W114" i="123"/>
  <c r="V66" i="123"/>
  <c r="W83" i="123"/>
  <c r="W113" i="123"/>
  <c r="V123" i="123"/>
  <c r="W174" i="123"/>
  <c r="V79" i="123"/>
  <c r="V77" i="123"/>
  <c r="V75" i="123"/>
  <c r="W240" i="123"/>
  <c r="W239" i="123"/>
  <c r="W208" i="123"/>
  <c r="W206" i="123"/>
  <c r="V143" i="123"/>
  <c r="W144" i="123"/>
  <c r="V67" i="123"/>
  <c r="V65" i="123"/>
  <c r="W191" i="123"/>
  <c r="V127" i="123"/>
  <c r="V64" i="123"/>
  <c r="V63" i="123"/>
  <c r="W219" i="123"/>
  <c r="V157" i="123"/>
  <c r="V62" i="123"/>
  <c r="W221" i="123"/>
  <c r="V223" i="123"/>
  <c r="V225" i="123"/>
  <c r="W227" i="123"/>
  <c r="W229" i="123"/>
  <c r="W231" i="123"/>
  <c r="W233" i="123"/>
  <c r="W235" i="123"/>
  <c r="W237" i="123"/>
  <c r="V222" i="123"/>
  <c r="V224" i="123"/>
  <c r="W226" i="123"/>
  <c r="W228" i="123"/>
  <c r="W230" i="123"/>
  <c r="W232" i="123"/>
  <c r="W234" i="123"/>
  <c r="W236" i="123"/>
  <c r="W238" i="123"/>
  <c r="V190" i="123"/>
  <c r="W161" i="123"/>
  <c r="V160" i="123"/>
  <c r="V169" i="123"/>
  <c r="V165" i="123"/>
  <c r="V125" i="123"/>
  <c r="W133" i="123"/>
  <c r="V136" i="123"/>
  <c r="W131" i="123"/>
  <c r="V129" i="123"/>
  <c r="V132" i="123"/>
  <c r="V124" i="123"/>
  <c r="V126" i="123"/>
  <c r="V128" i="123"/>
  <c r="V137" i="123"/>
  <c r="V93" i="123"/>
  <c r="J115" i="123"/>
  <c r="V97" i="123"/>
  <c r="V95" i="123"/>
  <c r="V92" i="123"/>
  <c r="V94" i="123"/>
  <c r="V96" i="123"/>
  <c r="V98" i="123"/>
  <c r="N18" i="123"/>
  <c r="W73" i="123"/>
  <c r="V78" i="123"/>
  <c r="V80" i="123"/>
  <c r="V15" i="123"/>
  <c r="W15" i="123"/>
  <c r="V13" i="123"/>
  <c r="W13" i="123"/>
  <c r="W16" i="123"/>
  <c r="V16" i="123"/>
  <c r="W34" i="123"/>
  <c r="V34" i="123"/>
  <c r="W40" i="123"/>
  <c r="V40" i="123"/>
  <c r="W11" i="123"/>
  <c r="V11" i="123"/>
  <c r="V8" i="123"/>
  <c r="W8" i="123"/>
  <c r="W30" i="123"/>
  <c r="V30" i="123"/>
  <c r="J52" i="123"/>
  <c r="W6" i="123"/>
  <c r="V6" i="123"/>
  <c r="W27" i="123"/>
  <c r="V27" i="123"/>
  <c r="W32" i="123"/>
  <c r="V32" i="123"/>
  <c r="V10" i="123"/>
  <c r="W10" i="123"/>
  <c r="W21" i="123"/>
  <c r="V21" i="123"/>
  <c r="W24" i="123"/>
  <c r="V24" i="123"/>
  <c r="W38" i="123"/>
  <c r="V38" i="123"/>
  <c r="V18" i="123"/>
  <c r="W20" i="123"/>
  <c r="W23" i="123"/>
  <c r="W26" i="123"/>
  <c r="W29" i="123"/>
  <c r="W37" i="123"/>
  <c r="W43" i="123"/>
  <c r="V43" i="123"/>
  <c r="W45" i="123"/>
  <c r="V45" i="123"/>
  <c r="V7" i="123"/>
  <c r="J84" i="123"/>
  <c r="W60" i="123"/>
  <c r="V60" i="123"/>
  <c r="W74" i="123"/>
  <c r="V74" i="123"/>
  <c r="V172" i="123"/>
  <c r="W172" i="123"/>
  <c r="W9" i="123"/>
  <c r="V12" i="123"/>
  <c r="V14" i="123"/>
  <c r="W41" i="123"/>
  <c r="V41" i="123"/>
  <c r="V44" i="123"/>
  <c r="W44" i="123"/>
  <c r="W72" i="123"/>
  <c r="V72" i="123"/>
  <c r="V130" i="123"/>
  <c r="W130" i="123"/>
  <c r="V138" i="123"/>
  <c r="W138" i="123"/>
  <c r="W163" i="123"/>
  <c r="V163" i="123"/>
  <c r="W187" i="123"/>
  <c r="V187" i="123"/>
  <c r="V42" i="123"/>
  <c r="W42" i="123"/>
  <c r="W61" i="123"/>
  <c r="V61" i="123"/>
  <c r="W111" i="123"/>
  <c r="V111" i="123"/>
  <c r="V68" i="123"/>
  <c r="V69" i="123"/>
  <c r="V70" i="123"/>
  <c r="V71" i="123"/>
  <c r="W92" i="123"/>
  <c r="V99" i="123"/>
  <c r="V100" i="123"/>
  <c r="V101" i="123"/>
  <c r="V102" i="123"/>
  <c r="V103" i="123"/>
  <c r="V104" i="123"/>
  <c r="V105" i="123"/>
  <c r="V106" i="123"/>
  <c r="V107" i="123"/>
  <c r="V108" i="123"/>
  <c r="V109" i="123"/>
  <c r="V110" i="123"/>
  <c r="V134" i="123"/>
  <c r="V135" i="123"/>
  <c r="V140" i="123"/>
  <c r="V142" i="123"/>
  <c r="V146" i="123"/>
  <c r="V156" i="123"/>
  <c r="V159" i="123"/>
  <c r="V164" i="123"/>
  <c r="V168" i="123"/>
  <c r="W173" i="123"/>
  <c r="W177" i="123"/>
  <c r="V186" i="123"/>
  <c r="V188" i="123"/>
  <c r="W189" i="123"/>
  <c r="W192" i="123"/>
  <c r="W194" i="123"/>
  <c r="W196" i="123"/>
  <c r="V198" i="123"/>
  <c r="W199" i="123"/>
  <c r="W201" i="123"/>
  <c r="V203" i="123"/>
  <c r="W204" i="123"/>
  <c r="W139" i="123"/>
  <c r="V141" i="123"/>
  <c r="V145" i="123"/>
  <c r="W155" i="123"/>
  <c r="V158" i="123"/>
  <c r="V162" i="123"/>
  <c r="V167" i="123"/>
  <c r="V171" i="123"/>
  <c r="W176" i="123"/>
  <c r="J178" i="123"/>
  <c r="J147" i="123"/>
  <c r="V166" i="123"/>
  <c r="V170" i="123"/>
  <c r="W175" i="123"/>
  <c r="W193" i="123"/>
  <c r="W195" i="123"/>
  <c r="W197" i="123"/>
  <c r="W200" i="123"/>
  <c r="W202" i="123"/>
  <c r="W205" i="123"/>
  <c r="W207" i="123"/>
  <c r="J241" i="123"/>
  <c r="V217" i="123"/>
  <c r="W218" i="123"/>
  <c r="W220" i="123"/>
  <c r="J209" i="123"/>
  <c r="H204" i="122"/>
  <c r="H140" i="122"/>
  <c r="H141" i="122"/>
  <c r="H111" i="122"/>
  <c r="H43" i="122"/>
  <c r="I44" i="122"/>
  <c r="J44" i="122" s="1"/>
  <c r="I45" i="122"/>
  <c r="J45" i="122" s="1"/>
  <c r="H44" i="122"/>
  <c r="V241" i="123" l="1"/>
  <c r="O16" i="123" s="1"/>
  <c r="R16" i="123" s="1"/>
  <c r="W241" i="123"/>
  <c r="P16" i="123" s="1"/>
  <c r="W209" i="123"/>
  <c r="P14" i="123" s="1"/>
  <c r="V209" i="123"/>
  <c r="O14" i="123" s="1"/>
  <c r="R14" i="123" s="1"/>
  <c r="V178" i="123"/>
  <c r="O12" i="123" s="1"/>
  <c r="R12" i="123" s="1"/>
  <c r="V147" i="123"/>
  <c r="O10" i="123" s="1"/>
  <c r="R10" i="123" s="1"/>
  <c r="W147" i="123"/>
  <c r="P10" i="123" s="1"/>
  <c r="V115" i="123"/>
  <c r="O8" i="123" s="1"/>
  <c r="W115" i="123"/>
  <c r="P8" i="123" s="1"/>
  <c r="V84" i="123"/>
  <c r="O6" i="123" s="1"/>
  <c r="W84" i="123"/>
  <c r="P6" i="123" s="1"/>
  <c r="V52" i="123"/>
  <c r="O4" i="123" s="1"/>
  <c r="W178" i="123"/>
  <c r="P12" i="123" s="1"/>
  <c r="W52" i="123"/>
  <c r="P4" i="123" s="1"/>
  <c r="H203" i="122"/>
  <c r="H172" i="122"/>
  <c r="H138" i="122"/>
  <c r="H78" i="122"/>
  <c r="J41" i="122"/>
  <c r="I43" i="122"/>
  <c r="J43" i="122" s="1"/>
  <c r="I42" i="122"/>
  <c r="J42" i="122" s="1"/>
  <c r="I41" i="122"/>
  <c r="H40" i="122"/>
  <c r="I40" i="122"/>
  <c r="I39" i="122"/>
  <c r="J39" i="122" s="1"/>
  <c r="H38" i="122"/>
  <c r="I38" i="122"/>
  <c r="J38" i="122" s="1"/>
  <c r="I37" i="122"/>
  <c r="J37" i="122" s="1"/>
  <c r="I36" i="122"/>
  <c r="J36" i="122" s="1"/>
  <c r="J40" i="122" l="1"/>
  <c r="Q14" i="123"/>
  <c r="P18" i="123"/>
  <c r="Q12" i="123"/>
  <c r="Q10" i="123"/>
  <c r="Q8" i="123"/>
  <c r="R8" i="123"/>
  <c r="R6" i="123"/>
  <c r="Q6" i="123"/>
  <c r="O18" i="123"/>
  <c r="R18" i="123" s="1"/>
  <c r="P20" i="123" s="1"/>
  <c r="R4" i="123"/>
  <c r="Q4" i="123"/>
  <c r="I35" i="122"/>
  <c r="J35" i="122" s="1"/>
  <c r="H34" i="122"/>
  <c r="I34" i="122"/>
  <c r="H226" i="122"/>
  <c r="H222" i="122"/>
  <c r="H199" i="122"/>
  <c r="H198" i="122"/>
  <c r="J34" i="122" l="1"/>
  <c r="Q18" i="123"/>
  <c r="H192" i="122"/>
  <c r="H163" i="122"/>
  <c r="H135" i="122"/>
  <c r="H132" i="122"/>
  <c r="H131" i="122"/>
  <c r="H130" i="122"/>
  <c r="H128" i="122"/>
  <c r="H99" i="122"/>
  <c r="H74" i="122"/>
  <c r="H72" i="122"/>
  <c r="H68" i="122"/>
  <c r="H33" i="122"/>
  <c r="J33" i="122" s="1"/>
  <c r="I33" i="122"/>
  <c r="H32" i="122"/>
  <c r="I32" i="122"/>
  <c r="I31" i="122"/>
  <c r="J31" i="122" s="1"/>
  <c r="H30" i="122"/>
  <c r="I30" i="122"/>
  <c r="J30" i="122" s="1"/>
  <c r="I29" i="122"/>
  <c r="J29" i="122" s="1"/>
  <c r="I28" i="122"/>
  <c r="J28" i="122" s="1"/>
  <c r="H27" i="122"/>
  <c r="I27" i="122"/>
  <c r="J27" i="122" s="1"/>
  <c r="I26" i="122"/>
  <c r="J26" i="122" s="1"/>
  <c r="H25" i="122"/>
  <c r="J25" i="122" s="1"/>
  <c r="I25" i="122"/>
  <c r="I24" i="122"/>
  <c r="J24" i="122" s="1"/>
  <c r="H23" i="122"/>
  <c r="I23" i="122"/>
  <c r="I22" i="122"/>
  <c r="J22" i="122" s="1"/>
  <c r="I21" i="122"/>
  <c r="J21" i="122" s="1"/>
  <c r="I20" i="122"/>
  <c r="J20" i="122" s="1"/>
  <c r="I19" i="122"/>
  <c r="J19" i="122" s="1"/>
  <c r="H18" i="122"/>
  <c r="I18" i="122"/>
  <c r="J18" i="122" s="1"/>
  <c r="I17" i="122"/>
  <c r="J17" i="122" s="1"/>
  <c r="I16" i="122"/>
  <c r="J16" i="122" s="1"/>
  <c r="J32" i="122" l="1"/>
  <c r="J23" i="122"/>
  <c r="H190" i="122"/>
  <c r="H189" i="122"/>
  <c r="H187" i="122"/>
  <c r="H158" i="122"/>
  <c r="H156" i="122"/>
  <c r="H62" i="122"/>
  <c r="H61" i="122"/>
  <c r="H60" i="122"/>
  <c r="I15" i="122"/>
  <c r="J15" i="122" s="1"/>
  <c r="H14" i="122"/>
  <c r="H9" i="122"/>
  <c r="N16" i="122" l="1"/>
  <c r="J240" i="122"/>
  <c r="V240" i="122" s="1"/>
  <c r="J239" i="122"/>
  <c r="V239" i="122" s="1"/>
  <c r="J238" i="122"/>
  <c r="V238" i="122" s="1"/>
  <c r="J237" i="122"/>
  <c r="V237" i="122" s="1"/>
  <c r="J236" i="122"/>
  <c r="J235" i="122"/>
  <c r="J234" i="122"/>
  <c r="W234" i="122" s="1"/>
  <c r="J233" i="122"/>
  <c r="W233" i="122" s="1"/>
  <c r="J232" i="122"/>
  <c r="W232" i="122" s="1"/>
  <c r="J231" i="122"/>
  <c r="V231" i="122" s="1"/>
  <c r="J230" i="122"/>
  <c r="J229" i="122"/>
  <c r="J228" i="122"/>
  <c r="W228" i="122" s="1"/>
  <c r="J227" i="122"/>
  <c r="W227" i="122" s="1"/>
  <c r="J226" i="122"/>
  <c r="W226" i="122" s="1"/>
  <c r="J225" i="122"/>
  <c r="V225" i="122" s="1"/>
  <c r="J224" i="122"/>
  <c r="V224" i="122" s="1"/>
  <c r="J223" i="122"/>
  <c r="V223" i="122" s="1"/>
  <c r="J222" i="122"/>
  <c r="V222" i="122" s="1"/>
  <c r="J221" i="122"/>
  <c r="V221" i="122" s="1"/>
  <c r="J220" i="122"/>
  <c r="V220" i="122" s="1"/>
  <c r="J219" i="122"/>
  <c r="W219" i="122" s="1"/>
  <c r="J218" i="122"/>
  <c r="W218" i="122" s="1"/>
  <c r="B218" i="122"/>
  <c r="B219" i="122" s="1"/>
  <c r="B220" i="122" s="1"/>
  <c r="B221" i="122" s="1"/>
  <c r="B222" i="122" s="1"/>
  <c r="B223" i="122" s="1"/>
  <c r="B224" i="122" s="1"/>
  <c r="B225" i="122" s="1"/>
  <c r="B226" i="122" s="1"/>
  <c r="B227" i="122" s="1"/>
  <c r="B228" i="122" s="1"/>
  <c r="B229" i="122" s="1"/>
  <c r="B230" i="122" s="1"/>
  <c r="B231" i="122" s="1"/>
  <c r="B232" i="122" s="1"/>
  <c r="B233" i="122" s="1"/>
  <c r="B234" i="122" s="1"/>
  <c r="B235" i="122" s="1"/>
  <c r="B236" i="122" s="1"/>
  <c r="B237" i="122" s="1"/>
  <c r="B238" i="122" s="1"/>
  <c r="B239" i="122" s="1"/>
  <c r="B240" i="122" s="1"/>
  <c r="J217" i="122"/>
  <c r="W217" i="122" s="1"/>
  <c r="J208" i="122"/>
  <c r="W208" i="122" s="1"/>
  <c r="J207" i="122"/>
  <c r="V207" i="122" s="1"/>
  <c r="J206" i="122"/>
  <c r="W206" i="122" s="1"/>
  <c r="J205" i="122"/>
  <c r="W205" i="122" s="1"/>
  <c r="J204" i="122"/>
  <c r="W204" i="122" s="1"/>
  <c r="J203" i="122"/>
  <c r="V203" i="122" s="1"/>
  <c r="J202" i="122"/>
  <c r="W202" i="122" s="1"/>
  <c r="J201" i="122"/>
  <c r="W201" i="122" s="1"/>
  <c r="J200" i="122"/>
  <c r="W200" i="122" s="1"/>
  <c r="J199" i="122"/>
  <c r="V199" i="122" s="1"/>
  <c r="J198" i="122"/>
  <c r="V198" i="122" s="1"/>
  <c r="J197" i="122"/>
  <c r="W197" i="122" s="1"/>
  <c r="J196" i="122"/>
  <c r="W196" i="122" s="1"/>
  <c r="J195" i="122"/>
  <c r="W195" i="122" s="1"/>
  <c r="J194" i="122"/>
  <c r="V194" i="122" s="1"/>
  <c r="J193" i="122"/>
  <c r="J192" i="122"/>
  <c r="J191" i="122"/>
  <c r="W191" i="122" s="1"/>
  <c r="J190" i="122"/>
  <c r="W190" i="122" s="1"/>
  <c r="J189" i="122"/>
  <c r="W189" i="122" s="1"/>
  <c r="J188" i="122"/>
  <c r="W188" i="122" s="1"/>
  <c r="J187" i="122"/>
  <c r="V187" i="122" s="1"/>
  <c r="B187" i="122"/>
  <c r="B188" i="122" s="1"/>
  <c r="B189" i="122" s="1"/>
  <c r="B190" i="122" s="1"/>
  <c r="B191" i="122" s="1"/>
  <c r="B192" i="122" s="1"/>
  <c r="B193" i="122" s="1"/>
  <c r="B194" i="122" s="1"/>
  <c r="B195" i="122" s="1"/>
  <c r="B196" i="122" s="1"/>
  <c r="B197" i="122" s="1"/>
  <c r="B198" i="122" s="1"/>
  <c r="B199" i="122" s="1"/>
  <c r="B200" i="122" s="1"/>
  <c r="B201" i="122" s="1"/>
  <c r="B202" i="122" s="1"/>
  <c r="B203" i="122" s="1"/>
  <c r="B204" i="122" s="1"/>
  <c r="B205" i="122" s="1"/>
  <c r="B206" i="122" s="1"/>
  <c r="B207" i="122" s="1"/>
  <c r="B208" i="122" s="1"/>
  <c r="J186" i="122"/>
  <c r="V186" i="122" s="1"/>
  <c r="J177" i="122"/>
  <c r="J176" i="122"/>
  <c r="W176" i="122" s="1"/>
  <c r="W175" i="122"/>
  <c r="J175" i="122"/>
  <c r="V175" i="122" s="1"/>
  <c r="J174" i="122"/>
  <c r="W174" i="122" s="1"/>
  <c r="J173" i="122"/>
  <c r="V173" i="122" s="1"/>
  <c r="J172" i="122"/>
  <c r="W172" i="122" s="1"/>
  <c r="J171" i="122"/>
  <c r="V171" i="122" s="1"/>
  <c r="J170" i="122"/>
  <c r="V170" i="122" s="1"/>
  <c r="J169" i="122"/>
  <c r="W169" i="122" s="1"/>
  <c r="J168" i="122"/>
  <c r="W168" i="122" s="1"/>
  <c r="J167" i="122"/>
  <c r="V167" i="122" s="1"/>
  <c r="J166" i="122"/>
  <c r="W166" i="122" s="1"/>
  <c r="J165" i="122"/>
  <c r="J164" i="122"/>
  <c r="V164" i="122" s="1"/>
  <c r="J163" i="122"/>
  <c r="V163" i="122" s="1"/>
  <c r="J162" i="122"/>
  <c r="V162" i="122" s="1"/>
  <c r="J161" i="122"/>
  <c r="V161" i="122" s="1"/>
  <c r="J160" i="122"/>
  <c r="W160" i="122" s="1"/>
  <c r="J159" i="122"/>
  <c r="W159" i="122" s="1"/>
  <c r="J158" i="122"/>
  <c r="W158" i="122" s="1"/>
  <c r="J157" i="122"/>
  <c r="J156" i="122"/>
  <c r="B156" i="122"/>
  <c r="B157" i="122" s="1"/>
  <c r="B158" i="122" s="1"/>
  <c r="B159" i="122" s="1"/>
  <c r="B160" i="122" s="1"/>
  <c r="B161" i="122" s="1"/>
  <c r="B162" i="122" s="1"/>
  <c r="B163" i="122" s="1"/>
  <c r="B164" i="122" s="1"/>
  <c r="B165" i="122" s="1"/>
  <c r="B166" i="122" s="1"/>
  <c r="B167" i="122" s="1"/>
  <c r="B168" i="122" s="1"/>
  <c r="B169" i="122" s="1"/>
  <c r="B170" i="122" s="1"/>
  <c r="B171" i="122" s="1"/>
  <c r="B172" i="122" s="1"/>
  <c r="B173" i="122" s="1"/>
  <c r="B174" i="122" s="1"/>
  <c r="B175" i="122" s="1"/>
  <c r="B176" i="122" s="1"/>
  <c r="B177" i="122" s="1"/>
  <c r="J155" i="122"/>
  <c r="J146" i="122"/>
  <c r="V146" i="122" s="1"/>
  <c r="J145" i="122"/>
  <c r="J144" i="122"/>
  <c r="J143" i="122"/>
  <c r="J142" i="122"/>
  <c r="V142" i="122" s="1"/>
  <c r="J141" i="122"/>
  <c r="V141" i="122" s="1"/>
  <c r="J140" i="122"/>
  <c r="W140" i="122" s="1"/>
  <c r="J139" i="122"/>
  <c r="W139" i="122" s="1"/>
  <c r="J138" i="122"/>
  <c r="W138" i="122" s="1"/>
  <c r="J137" i="122"/>
  <c r="W137" i="122" s="1"/>
  <c r="J136" i="122"/>
  <c r="J135" i="122"/>
  <c r="J134" i="122"/>
  <c r="J133" i="122"/>
  <c r="J132" i="122"/>
  <c r="V132" i="122" s="1"/>
  <c r="J131" i="122"/>
  <c r="W131" i="122" s="1"/>
  <c r="J130" i="122"/>
  <c r="J129" i="122"/>
  <c r="J128" i="122"/>
  <c r="J127" i="122"/>
  <c r="V127" i="122" s="1"/>
  <c r="J126" i="122"/>
  <c r="V126" i="122" s="1"/>
  <c r="J125" i="122"/>
  <c r="V125" i="122" s="1"/>
  <c r="J124" i="122"/>
  <c r="V124" i="122" s="1"/>
  <c r="B124" i="122"/>
  <c r="B125" i="122" s="1"/>
  <c r="B126" i="122" s="1"/>
  <c r="B127" i="122" s="1"/>
  <c r="B128" i="122" s="1"/>
  <c r="B129" i="122" s="1"/>
  <c r="B130" i="122" s="1"/>
  <c r="B131" i="122" s="1"/>
  <c r="B132" i="122" s="1"/>
  <c r="B133" i="122" s="1"/>
  <c r="B134" i="122" s="1"/>
  <c r="B135" i="122" s="1"/>
  <c r="B136" i="122" s="1"/>
  <c r="B137" i="122" s="1"/>
  <c r="B138" i="122" s="1"/>
  <c r="B139" i="122" s="1"/>
  <c r="B140" i="122" s="1"/>
  <c r="B141" i="122" s="1"/>
  <c r="B142" i="122" s="1"/>
  <c r="B143" i="122" s="1"/>
  <c r="B144" i="122" s="1"/>
  <c r="B145" i="122" s="1"/>
  <c r="B146" i="122" s="1"/>
  <c r="J123" i="122"/>
  <c r="V123" i="122" s="1"/>
  <c r="V114" i="122"/>
  <c r="J114" i="122"/>
  <c r="W114" i="122" s="1"/>
  <c r="J113" i="122"/>
  <c r="V113" i="122" s="1"/>
  <c r="J112" i="122"/>
  <c r="V112" i="122" s="1"/>
  <c r="J111" i="122"/>
  <c r="V111" i="122" s="1"/>
  <c r="J110" i="122"/>
  <c r="V110" i="122" s="1"/>
  <c r="J109" i="122"/>
  <c r="V109" i="122" s="1"/>
  <c r="J108" i="122"/>
  <c r="V108" i="122" s="1"/>
  <c r="J107" i="122"/>
  <c r="V107" i="122" s="1"/>
  <c r="J106" i="122"/>
  <c r="V106" i="122" s="1"/>
  <c r="J105" i="122"/>
  <c r="V105" i="122" s="1"/>
  <c r="J104" i="122"/>
  <c r="V104" i="122" s="1"/>
  <c r="J103" i="122"/>
  <c r="V103" i="122" s="1"/>
  <c r="J102" i="122"/>
  <c r="W102" i="122" s="1"/>
  <c r="J101" i="122"/>
  <c r="W101" i="122" s="1"/>
  <c r="J100" i="122"/>
  <c r="W100" i="122" s="1"/>
  <c r="J99" i="122"/>
  <c r="W99" i="122" s="1"/>
  <c r="J98" i="122"/>
  <c r="W98" i="122" s="1"/>
  <c r="J97" i="122"/>
  <c r="J96" i="122"/>
  <c r="W96" i="122" s="1"/>
  <c r="J95" i="122"/>
  <c r="W95" i="122" s="1"/>
  <c r="J94" i="122"/>
  <c r="W94" i="122" s="1"/>
  <c r="J93" i="122"/>
  <c r="W93" i="122" s="1"/>
  <c r="B93" i="122"/>
  <c r="B94" i="122" s="1"/>
  <c r="B95" i="122" s="1"/>
  <c r="B96" i="122" s="1"/>
  <c r="B97" i="122" s="1"/>
  <c r="B98" i="122" s="1"/>
  <c r="B99" i="122" s="1"/>
  <c r="B100" i="122" s="1"/>
  <c r="B101" i="122" s="1"/>
  <c r="B102" i="122" s="1"/>
  <c r="B103" i="122" s="1"/>
  <c r="B104" i="122" s="1"/>
  <c r="B105" i="122" s="1"/>
  <c r="B106" i="122" s="1"/>
  <c r="B107" i="122" s="1"/>
  <c r="B108" i="122" s="1"/>
  <c r="B109" i="122" s="1"/>
  <c r="B110" i="122" s="1"/>
  <c r="B111" i="122" s="1"/>
  <c r="B112" i="122" s="1"/>
  <c r="B113" i="122" s="1"/>
  <c r="B114" i="122" s="1"/>
  <c r="J92" i="122"/>
  <c r="J83" i="122"/>
  <c r="W83" i="122" s="1"/>
  <c r="J82" i="122"/>
  <c r="W82" i="122" s="1"/>
  <c r="J81" i="122"/>
  <c r="J80" i="122"/>
  <c r="W80" i="122" s="1"/>
  <c r="J79" i="122"/>
  <c r="V79" i="122" s="1"/>
  <c r="J78" i="122"/>
  <c r="W78" i="122" s="1"/>
  <c r="J77" i="122"/>
  <c r="W77" i="122" s="1"/>
  <c r="J76" i="122"/>
  <c r="W76" i="122" s="1"/>
  <c r="J75" i="122"/>
  <c r="W75" i="122" s="1"/>
  <c r="J74" i="122"/>
  <c r="J73" i="122"/>
  <c r="J72" i="122"/>
  <c r="J71" i="122"/>
  <c r="J70" i="122"/>
  <c r="W70" i="122" s="1"/>
  <c r="J69" i="122"/>
  <c r="V69" i="122" s="1"/>
  <c r="J68" i="122"/>
  <c r="W68" i="122" s="1"/>
  <c r="J67" i="122"/>
  <c r="V67" i="122" s="1"/>
  <c r="J66" i="122"/>
  <c r="J65" i="122"/>
  <c r="J64" i="122"/>
  <c r="W64" i="122" s="1"/>
  <c r="J63" i="122"/>
  <c r="W63" i="122" s="1"/>
  <c r="J62" i="122"/>
  <c r="V62" i="122" s="1"/>
  <c r="J61" i="122"/>
  <c r="V61" i="122" s="1"/>
  <c r="B61" i="122"/>
  <c r="B62" i="122" s="1"/>
  <c r="B63" i="122" s="1"/>
  <c r="B64" i="122" s="1"/>
  <c r="B65" i="122" s="1"/>
  <c r="B66" i="122" s="1"/>
  <c r="B67" i="122" s="1"/>
  <c r="B68" i="122" s="1"/>
  <c r="B69" i="122" s="1"/>
  <c r="B70" i="122" s="1"/>
  <c r="B71" i="122" s="1"/>
  <c r="B72" i="122" s="1"/>
  <c r="B73" i="122" s="1"/>
  <c r="B74" i="122" s="1"/>
  <c r="B75" i="122" s="1"/>
  <c r="B76" i="122" s="1"/>
  <c r="B77" i="122" s="1"/>
  <c r="B78" i="122" s="1"/>
  <c r="B79" i="122" s="1"/>
  <c r="B80" i="122" s="1"/>
  <c r="B81" i="122" s="1"/>
  <c r="B82" i="122" s="1"/>
  <c r="B83" i="122" s="1"/>
  <c r="J60" i="122"/>
  <c r="W51" i="122"/>
  <c r="V51" i="122"/>
  <c r="V49" i="122"/>
  <c r="W46" i="122"/>
  <c r="V45" i="122"/>
  <c r="V43" i="122"/>
  <c r="W43" i="122"/>
  <c r="W42" i="122"/>
  <c r="V42" i="122"/>
  <c r="V39" i="122"/>
  <c r="W36" i="122"/>
  <c r="V33" i="122"/>
  <c r="W33" i="122"/>
  <c r="V32" i="122"/>
  <c r="V30" i="122"/>
  <c r="W27" i="122"/>
  <c r="W24" i="122"/>
  <c r="V24" i="122"/>
  <c r="V21" i="122"/>
  <c r="W21" i="122"/>
  <c r="V20" i="122"/>
  <c r="V18" i="122"/>
  <c r="V16" i="122"/>
  <c r="V15" i="122"/>
  <c r="N14" i="122"/>
  <c r="I14" i="122"/>
  <c r="J14" i="122" s="1"/>
  <c r="I13" i="122"/>
  <c r="J13" i="122" s="1"/>
  <c r="N12" i="122"/>
  <c r="I12" i="122"/>
  <c r="J12" i="122" s="1"/>
  <c r="I11" i="122"/>
  <c r="J11" i="122" s="1"/>
  <c r="W11" i="122" s="1"/>
  <c r="N10" i="122"/>
  <c r="I10" i="122"/>
  <c r="J10" i="122" s="1"/>
  <c r="I9" i="122"/>
  <c r="J9" i="122" s="1"/>
  <c r="W9" i="122" s="1"/>
  <c r="N8" i="122"/>
  <c r="I8" i="122"/>
  <c r="J8" i="122" s="1"/>
  <c r="W8" i="122" s="1"/>
  <c r="I7" i="122"/>
  <c r="J7" i="122" s="1"/>
  <c r="V7" i="122" s="1"/>
  <c r="B7" i="122"/>
  <c r="B8" i="122" s="1"/>
  <c r="B9" i="122" s="1"/>
  <c r="B10" i="122" s="1"/>
  <c r="B11" i="122" s="1"/>
  <c r="B12" i="122" s="1"/>
  <c r="B13" i="122" s="1"/>
  <c r="B14" i="122" s="1"/>
  <c r="B15" i="122" s="1"/>
  <c r="B16" i="122" s="1"/>
  <c r="B17" i="122" s="1"/>
  <c r="B18" i="122" s="1"/>
  <c r="B19" i="122" s="1"/>
  <c r="B20" i="122" s="1"/>
  <c r="B21" i="122" s="1"/>
  <c r="B22" i="122" s="1"/>
  <c r="B23" i="122" s="1"/>
  <c r="B24" i="122" s="1"/>
  <c r="B25" i="122" s="1"/>
  <c r="B26" i="122" s="1"/>
  <c r="B27" i="122" s="1"/>
  <c r="B28" i="122" s="1"/>
  <c r="B29" i="122" s="1"/>
  <c r="B30" i="122" s="1"/>
  <c r="B31" i="122" s="1"/>
  <c r="B32" i="122" s="1"/>
  <c r="B33" i="122" s="1"/>
  <c r="B34" i="122" s="1"/>
  <c r="B35" i="122" s="1"/>
  <c r="B36" i="122" s="1"/>
  <c r="B37" i="122" s="1"/>
  <c r="B38" i="122" s="1"/>
  <c r="B39" i="122" s="1"/>
  <c r="B40" i="122" s="1"/>
  <c r="B41" i="122" s="1"/>
  <c r="B42" i="122" s="1"/>
  <c r="B43" i="122" s="1"/>
  <c r="B44" i="122" s="1"/>
  <c r="B45" i="122" s="1"/>
  <c r="B46" i="122" s="1"/>
  <c r="B47" i="122" s="1"/>
  <c r="B48" i="122" s="1"/>
  <c r="B49" i="122" s="1"/>
  <c r="B50" i="122" s="1"/>
  <c r="B51" i="122" s="1"/>
  <c r="N6" i="122"/>
  <c r="I6" i="122"/>
  <c r="J6" i="122" s="1"/>
  <c r="N4" i="122"/>
  <c r="V166" i="122" l="1"/>
  <c r="W198" i="122"/>
  <c r="V227" i="122"/>
  <c r="V234" i="122"/>
  <c r="W142" i="122"/>
  <c r="W146" i="122"/>
  <c r="W207" i="122"/>
  <c r="W109" i="122"/>
  <c r="V174" i="122"/>
  <c r="V206" i="122"/>
  <c r="V218" i="122"/>
  <c r="W69" i="122"/>
  <c r="W111" i="122"/>
  <c r="W203" i="122"/>
  <c r="V202" i="122"/>
  <c r="W171" i="122"/>
  <c r="W170" i="122"/>
  <c r="V140" i="122"/>
  <c r="W199" i="122"/>
  <c r="V195" i="122"/>
  <c r="W167" i="122"/>
  <c r="V131" i="122"/>
  <c r="V189" i="122"/>
  <c r="W187" i="122"/>
  <c r="V158" i="122"/>
  <c r="W126" i="122"/>
  <c r="W124" i="122"/>
  <c r="V64" i="122"/>
  <c r="W62" i="122"/>
  <c r="V217" i="122"/>
  <c r="W220" i="122"/>
  <c r="W222" i="122"/>
  <c r="W224" i="122"/>
  <c r="V228" i="122"/>
  <c r="V233" i="122"/>
  <c r="W237" i="122"/>
  <c r="W239" i="122"/>
  <c r="V219" i="122"/>
  <c r="W221" i="122"/>
  <c r="W223" i="122"/>
  <c r="W225" i="122"/>
  <c r="V232" i="122"/>
  <c r="W238" i="122"/>
  <c r="W240" i="122"/>
  <c r="W186" i="122"/>
  <c r="V188" i="122"/>
  <c r="V191" i="122"/>
  <c r="V197" i="122"/>
  <c r="V201" i="122"/>
  <c r="V205" i="122"/>
  <c r="V190" i="122"/>
  <c r="W194" i="122"/>
  <c r="V196" i="122"/>
  <c r="V200" i="122"/>
  <c r="V204" i="122"/>
  <c r="V208" i="122"/>
  <c r="V160" i="122"/>
  <c r="W164" i="122"/>
  <c r="V169" i="122"/>
  <c r="V168" i="122"/>
  <c r="V172" i="122"/>
  <c r="W173" i="122"/>
  <c r="V176" i="122"/>
  <c r="W162" i="122"/>
  <c r="V159" i="122"/>
  <c r="W161" i="122"/>
  <c r="W163" i="122"/>
  <c r="N18" i="122"/>
  <c r="W123" i="122"/>
  <c r="V137" i="122"/>
  <c r="V139" i="122"/>
  <c r="W141" i="122"/>
  <c r="W125" i="122"/>
  <c r="W127" i="122"/>
  <c r="W132" i="122"/>
  <c r="V138" i="122"/>
  <c r="V98" i="122"/>
  <c r="V100" i="122"/>
  <c r="V102" i="122"/>
  <c r="W107" i="122"/>
  <c r="W105" i="122"/>
  <c r="W113" i="122"/>
  <c r="V99" i="122"/>
  <c r="V101" i="122"/>
  <c r="W103" i="122"/>
  <c r="V83" i="122"/>
  <c r="W61" i="122"/>
  <c r="V63" i="122"/>
  <c r="V70" i="122"/>
  <c r="W18" i="122"/>
  <c r="W20" i="122"/>
  <c r="W30" i="122"/>
  <c r="W13" i="122"/>
  <c r="V13" i="122"/>
  <c r="W7" i="122"/>
  <c r="W15" i="122"/>
  <c r="V9" i="122"/>
  <c r="V10" i="122"/>
  <c r="W10" i="122"/>
  <c r="J52" i="122"/>
  <c r="W28" i="122"/>
  <c r="V28" i="122"/>
  <c r="W44" i="122"/>
  <c r="V44" i="122"/>
  <c r="W48" i="122"/>
  <c r="V48" i="122"/>
  <c r="W74" i="122"/>
  <c r="V74" i="122"/>
  <c r="W145" i="122"/>
  <c r="V145" i="122"/>
  <c r="V8" i="122"/>
  <c r="V11" i="122"/>
  <c r="W12" i="122"/>
  <c r="V12" i="122"/>
  <c r="W25" i="122"/>
  <c r="V25" i="122"/>
  <c r="W29" i="122"/>
  <c r="V29" i="122"/>
  <c r="W37" i="122"/>
  <c r="V37" i="122"/>
  <c r="W39" i="122"/>
  <c r="W41" i="122"/>
  <c r="V41" i="122"/>
  <c r="V46" i="122"/>
  <c r="V68" i="122"/>
  <c r="W71" i="122"/>
  <c r="V71" i="122"/>
  <c r="V80" i="122"/>
  <c r="V82" i="122"/>
  <c r="W135" i="122"/>
  <c r="V135" i="122"/>
  <c r="W143" i="122"/>
  <c r="V143" i="122"/>
  <c r="W235" i="122"/>
  <c r="V235" i="122"/>
  <c r="W19" i="122"/>
  <c r="V19" i="122"/>
  <c r="W66" i="122"/>
  <c r="V66" i="122"/>
  <c r="W26" i="122"/>
  <c r="V26" i="122"/>
  <c r="W34" i="122"/>
  <c r="V34" i="122"/>
  <c r="W50" i="122"/>
  <c r="V50" i="122"/>
  <c r="W72" i="122"/>
  <c r="V72" i="122"/>
  <c r="W130" i="122"/>
  <c r="V130" i="122"/>
  <c r="W133" i="122"/>
  <c r="V133" i="122"/>
  <c r="W193" i="122"/>
  <c r="V193" i="122"/>
  <c r="W40" i="122"/>
  <c r="V40" i="122"/>
  <c r="W165" i="122"/>
  <c r="V165" i="122"/>
  <c r="V6" i="122"/>
  <c r="W17" i="122"/>
  <c r="V17" i="122"/>
  <c r="W22" i="122"/>
  <c r="V22" i="122"/>
  <c r="V27" i="122"/>
  <c r="W32" i="122"/>
  <c r="W38" i="122"/>
  <c r="V38" i="122"/>
  <c r="V60" i="122"/>
  <c r="J84" i="122"/>
  <c r="W6" i="122"/>
  <c r="W14" i="122"/>
  <c r="V14" i="122"/>
  <c r="W16" i="122"/>
  <c r="W23" i="122"/>
  <c r="V23" i="122"/>
  <c r="W31" i="122"/>
  <c r="V31" i="122"/>
  <c r="W35" i="122"/>
  <c r="V35" i="122"/>
  <c r="V36" i="122"/>
  <c r="W45" i="122"/>
  <c r="W47" i="122"/>
  <c r="V47" i="122"/>
  <c r="W49" i="122"/>
  <c r="W60" i="122"/>
  <c r="W65" i="122"/>
  <c r="V65" i="122"/>
  <c r="W67" i="122"/>
  <c r="W73" i="122"/>
  <c r="V73" i="122"/>
  <c r="W79" i="122"/>
  <c r="W97" i="122"/>
  <c r="V97" i="122"/>
  <c r="W128" i="122"/>
  <c r="V128" i="122"/>
  <c r="W157" i="122"/>
  <c r="V157" i="122"/>
  <c r="W177" i="122"/>
  <c r="V177" i="122"/>
  <c r="J115" i="122"/>
  <c r="W136" i="122"/>
  <c r="V136" i="122"/>
  <c r="J178" i="122"/>
  <c r="W155" i="122"/>
  <c r="V155" i="122"/>
  <c r="W236" i="122"/>
  <c r="V236" i="122"/>
  <c r="V75" i="122"/>
  <c r="V76" i="122"/>
  <c r="V77" i="122"/>
  <c r="V78" i="122"/>
  <c r="V92" i="122"/>
  <c r="V93" i="122"/>
  <c r="V94" i="122"/>
  <c r="V95" i="122"/>
  <c r="V96" i="122"/>
  <c r="W104" i="122"/>
  <c r="W106" i="122"/>
  <c r="W108" i="122"/>
  <c r="W110" i="122"/>
  <c r="W112" i="122"/>
  <c r="V226" i="122"/>
  <c r="W229" i="122"/>
  <c r="V229" i="122"/>
  <c r="W231" i="122"/>
  <c r="W92" i="122"/>
  <c r="W129" i="122"/>
  <c r="V129" i="122"/>
  <c r="W134" i="122"/>
  <c r="V134" i="122"/>
  <c r="W144" i="122"/>
  <c r="V144" i="122"/>
  <c r="W156" i="122"/>
  <c r="V156" i="122"/>
  <c r="W192" i="122"/>
  <c r="V192" i="122"/>
  <c r="W230" i="122"/>
  <c r="V230" i="122"/>
  <c r="J147" i="122"/>
  <c r="J241" i="122"/>
  <c r="J209" i="122"/>
  <c r="W52" i="122" l="1"/>
  <c r="P4" i="122" s="1"/>
  <c r="V241" i="122"/>
  <c r="O16" i="122" s="1"/>
  <c r="R16" i="122" s="1"/>
  <c r="V209" i="122"/>
  <c r="O14" i="122" s="1"/>
  <c r="R14" i="122" s="1"/>
  <c r="V178" i="122"/>
  <c r="O12" i="122" s="1"/>
  <c r="R12" i="122" s="1"/>
  <c r="W241" i="122"/>
  <c r="P16" i="122" s="1"/>
  <c r="W209" i="122"/>
  <c r="P14" i="122" s="1"/>
  <c r="W147" i="122"/>
  <c r="P10" i="122" s="1"/>
  <c r="V147" i="122"/>
  <c r="O10" i="122" s="1"/>
  <c r="W115" i="122"/>
  <c r="P8" i="122" s="1"/>
  <c r="V115" i="122"/>
  <c r="O8" i="122" s="1"/>
  <c r="W178" i="122"/>
  <c r="P12" i="122" s="1"/>
  <c r="W84" i="122"/>
  <c r="P6" i="122" s="1"/>
  <c r="V84" i="122"/>
  <c r="O6" i="122" s="1"/>
  <c r="V52" i="122"/>
  <c r="O4" i="122" s="1"/>
  <c r="H177" i="121"/>
  <c r="H146" i="121"/>
  <c r="H145" i="121"/>
  <c r="H144" i="121"/>
  <c r="J145" i="121"/>
  <c r="V145" i="121" s="1"/>
  <c r="H114" i="121"/>
  <c r="H82" i="121"/>
  <c r="H81" i="121"/>
  <c r="H50" i="121"/>
  <c r="I50" i="121"/>
  <c r="J50" i="121" s="1"/>
  <c r="I49" i="121"/>
  <c r="J49" i="121" s="1"/>
  <c r="I48" i="121"/>
  <c r="J48" i="121" s="1"/>
  <c r="I47" i="121"/>
  <c r="J47" i="121" s="1"/>
  <c r="I46" i="121"/>
  <c r="J46" i="121" s="1"/>
  <c r="I45" i="121"/>
  <c r="J45" i="121" s="1"/>
  <c r="Q14" i="122" l="1"/>
  <c r="Q12" i="122"/>
  <c r="Q10" i="122"/>
  <c r="R10" i="122"/>
  <c r="P18" i="122"/>
  <c r="O18" i="122"/>
  <c r="R18" i="122" s="1"/>
  <c r="P20" i="122" s="1"/>
  <c r="R4" i="122"/>
  <c r="Q4" i="122"/>
  <c r="Q6" i="122"/>
  <c r="R6" i="122"/>
  <c r="R8" i="122"/>
  <c r="Q8" i="122"/>
  <c r="W145" i="121"/>
  <c r="H237" i="121"/>
  <c r="H236" i="121"/>
  <c r="H235" i="121"/>
  <c r="Q18" i="122" l="1"/>
  <c r="H143" i="121"/>
  <c r="H141" i="121"/>
  <c r="H80" i="121" l="1"/>
  <c r="H79" i="121"/>
  <c r="H74" i="121"/>
  <c r="H44" i="121"/>
  <c r="J44" i="121" s="1"/>
  <c r="I44" i="121"/>
  <c r="I43" i="121"/>
  <c r="J43" i="121" s="1"/>
  <c r="I42" i="121"/>
  <c r="J42" i="121" s="1"/>
  <c r="I41" i="121"/>
  <c r="J41" i="121" s="1"/>
  <c r="H40" i="121"/>
  <c r="J40" i="121" s="1"/>
  <c r="I40" i="121"/>
  <c r="I39" i="121"/>
  <c r="J39" i="121" s="1"/>
  <c r="I38" i="121"/>
  <c r="J38" i="121" s="1"/>
  <c r="I37" i="121"/>
  <c r="J37" i="121" s="1"/>
  <c r="H36" i="121"/>
  <c r="I36" i="121"/>
  <c r="J36" i="121" s="1"/>
  <c r="I35" i="121"/>
  <c r="J35" i="121" s="1"/>
  <c r="I34" i="121"/>
  <c r="J34" i="121" s="1"/>
  <c r="I33" i="121"/>
  <c r="J33" i="121" s="1"/>
  <c r="H32" i="121"/>
  <c r="J32" i="121"/>
  <c r="I32" i="121"/>
  <c r="H232" i="121" l="1"/>
  <c r="H231" i="121"/>
  <c r="H230" i="121" l="1"/>
  <c r="H229" i="121"/>
  <c r="H165" i="121"/>
  <c r="H136" i="121"/>
  <c r="H134" i="121"/>
  <c r="H103" i="121"/>
  <c r="H71" i="121"/>
  <c r="J26" i="121"/>
  <c r="H31" i="121"/>
  <c r="I31" i="121"/>
  <c r="J31" i="121" s="1"/>
  <c r="I30" i="121"/>
  <c r="J30" i="121" s="1"/>
  <c r="I29" i="121"/>
  <c r="J29" i="121" s="1"/>
  <c r="I28" i="121"/>
  <c r="J28" i="121" s="1"/>
  <c r="H27" i="121"/>
  <c r="I27" i="121"/>
  <c r="J27" i="121" s="1"/>
  <c r="I26" i="121"/>
  <c r="H25" i="121" l="1"/>
  <c r="I25" i="121"/>
  <c r="J25" i="121" s="1"/>
  <c r="I24" i="121"/>
  <c r="J24" i="121" s="1"/>
  <c r="I23" i="121"/>
  <c r="J23" i="121" s="1"/>
  <c r="I22" i="121"/>
  <c r="J22" i="121" s="1"/>
  <c r="H68" i="121"/>
  <c r="H133" i="121"/>
  <c r="H132" i="121"/>
  <c r="H195" i="121"/>
  <c r="H226" i="121"/>
  <c r="H194" i="121"/>
  <c r="H193" i="121" l="1"/>
  <c r="H130" i="121"/>
  <c r="H67" i="121"/>
  <c r="J20" i="121"/>
  <c r="I21" i="121"/>
  <c r="J21" i="121" s="1"/>
  <c r="I20" i="121"/>
  <c r="H19" i="121"/>
  <c r="I19" i="121"/>
  <c r="J19" i="121" s="1"/>
  <c r="I18" i="121"/>
  <c r="J18" i="121" s="1"/>
  <c r="H66" i="121"/>
  <c r="H129" i="121"/>
  <c r="H161" i="121"/>
  <c r="H192" i="121"/>
  <c r="H128" i="121"/>
  <c r="H65" i="121"/>
  <c r="J17" i="121"/>
  <c r="H17" i="121"/>
  <c r="I17" i="121"/>
  <c r="I16" i="121"/>
  <c r="J16" i="121" s="1"/>
  <c r="H220" i="121" l="1"/>
  <c r="H188" i="121"/>
  <c r="H157" i="121"/>
  <c r="H123" i="121"/>
  <c r="H63" i="121"/>
  <c r="I15" i="121" l="1"/>
  <c r="J15" i="121" s="1"/>
  <c r="I14" i="121"/>
  <c r="J14" i="121" s="1"/>
  <c r="H13" i="121"/>
  <c r="I13" i="121"/>
  <c r="J13" i="121" s="1"/>
  <c r="I12" i="121"/>
  <c r="J12" i="121" s="1"/>
  <c r="I11" i="121"/>
  <c r="J11" i="121" s="1"/>
  <c r="J10" i="121"/>
  <c r="I10" i="121"/>
  <c r="I9" i="121"/>
  <c r="J9" i="121" s="1"/>
  <c r="I8" i="121"/>
  <c r="H8" i="121"/>
  <c r="J8" i="121" l="1"/>
  <c r="H60" i="121"/>
  <c r="J240" i="121"/>
  <c r="J239" i="121"/>
  <c r="W239" i="121" s="1"/>
  <c r="J238" i="121"/>
  <c r="W238" i="121" s="1"/>
  <c r="J237" i="121"/>
  <c r="W237" i="121" s="1"/>
  <c r="J236" i="121"/>
  <c r="J235" i="121"/>
  <c r="W235" i="121" s="1"/>
  <c r="J234" i="121"/>
  <c r="W234" i="121" s="1"/>
  <c r="J233" i="121"/>
  <c r="W233" i="121" s="1"/>
  <c r="J232" i="121"/>
  <c r="W232" i="121" s="1"/>
  <c r="J231" i="121"/>
  <c r="J230" i="121"/>
  <c r="W230" i="121" s="1"/>
  <c r="J229" i="121"/>
  <c r="W229" i="121" s="1"/>
  <c r="J228" i="121"/>
  <c r="W228" i="121" s="1"/>
  <c r="J227" i="121"/>
  <c r="W227" i="121" s="1"/>
  <c r="J226" i="121"/>
  <c r="V226" i="121" s="1"/>
  <c r="J225" i="121"/>
  <c r="W225" i="121" s="1"/>
  <c r="J224" i="121"/>
  <c r="W224" i="121" s="1"/>
  <c r="J223" i="121"/>
  <c r="W223" i="121" s="1"/>
  <c r="J222" i="121"/>
  <c r="V222" i="121" s="1"/>
  <c r="J221" i="121"/>
  <c r="W221" i="121" s="1"/>
  <c r="J220" i="121"/>
  <c r="W220" i="121" s="1"/>
  <c r="J219" i="121"/>
  <c r="W219" i="121" s="1"/>
  <c r="J218" i="121"/>
  <c r="V218" i="121" s="1"/>
  <c r="B218" i="121"/>
  <c r="B219" i="121" s="1"/>
  <c r="B220" i="121" s="1"/>
  <c r="B221" i="121" s="1"/>
  <c r="B222" i="121" s="1"/>
  <c r="B223" i="121" s="1"/>
  <c r="B224" i="121" s="1"/>
  <c r="B225" i="121" s="1"/>
  <c r="B226" i="121" s="1"/>
  <c r="B227" i="121" s="1"/>
  <c r="B228" i="121" s="1"/>
  <c r="B229" i="121" s="1"/>
  <c r="B230" i="121" s="1"/>
  <c r="B231" i="121" s="1"/>
  <c r="B232" i="121" s="1"/>
  <c r="B233" i="121" s="1"/>
  <c r="B234" i="121" s="1"/>
  <c r="B235" i="121" s="1"/>
  <c r="B236" i="121" s="1"/>
  <c r="B237" i="121" s="1"/>
  <c r="B238" i="121" s="1"/>
  <c r="B239" i="121" s="1"/>
  <c r="B240" i="121" s="1"/>
  <c r="J217" i="121"/>
  <c r="V217" i="121" s="1"/>
  <c r="J208" i="121"/>
  <c r="W208" i="121" s="1"/>
  <c r="J207" i="121"/>
  <c r="W207" i="121" s="1"/>
  <c r="J206" i="121"/>
  <c r="J205" i="121"/>
  <c r="W205" i="121" s="1"/>
  <c r="J204" i="121"/>
  <c r="W204" i="121" s="1"/>
  <c r="J203" i="121"/>
  <c r="W203" i="121" s="1"/>
  <c r="J202" i="121"/>
  <c r="J201" i="121"/>
  <c r="J200" i="121"/>
  <c r="V200" i="121" s="1"/>
  <c r="J199" i="121"/>
  <c r="V199" i="121" s="1"/>
  <c r="J198" i="121"/>
  <c r="W198" i="121" s="1"/>
  <c r="J197" i="121"/>
  <c r="J196" i="121"/>
  <c r="W196" i="121" s="1"/>
  <c r="J195" i="121"/>
  <c r="W195" i="121" s="1"/>
  <c r="J194" i="121"/>
  <c r="W194" i="121" s="1"/>
  <c r="J193" i="121"/>
  <c r="W193" i="121" s="1"/>
  <c r="J192" i="121"/>
  <c r="J191" i="121"/>
  <c r="V191" i="121" s="1"/>
  <c r="J190" i="121"/>
  <c r="V190" i="121" s="1"/>
  <c r="J189" i="121"/>
  <c r="V189" i="121" s="1"/>
  <c r="J188" i="121"/>
  <c r="W188" i="121" s="1"/>
  <c r="J187" i="121"/>
  <c r="B187" i="121"/>
  <c r="B188" i="121" s="1"/>
  <c r="B189" i="121" s="1"/>
  <c r="B190" i="121" s="1"/>
  <c r="B191" i="121" s="1"/>
  <c r="B192" i="121" s="1"/>
  <c r="B193" i="121" s="1"/>
  <c r="B194" i="121" s="1"/>
  <c r="B195" i="121" s="1"/>
  <c r="B196" i="121" s="1"/>
  <c r="B197" i="121" s="1"/>
  <c r="B198" i="121" s="1"/>
  <c r="B199" i="121" s="1"/>
  <c r="B200" i="121" s="1"/>
  <c r="B201" i="121" s="1"/>
  <c r="B202" i="121" s="1"/>
  <c r="B203" i="121" s="1"/>
  <c r="B204" i="121" s="1"/>
  <c r="B205" i="121" s="1"/>
  <c r="B206" i="121" s="1"/>
  <c r="B207" i="121" s="1"/>
  <c r="B208" i="121" s="1"/>
  <c r="J186" i="121"/>
  <c r="W186" i="121" s="1"/>
  <c r="J177" i="121"/>
  <c r="W177" i="121" s="1"/>
  <c r="J176" i="121"/>
  <c r="W176" i="121" s="1"/>
  <c r="J175" i="121"/>
  <c r="W175" i="121" s="1"/>
  <c r="J174" i="121"/>
  <c r="W174" i="121" s="1"/>
  <c r="J173" i="121"/>
  <c r="W173" i="121" s="1"/>
  <c r="J172" i="121"/>
  <c r="V172" i="121" s="1"/>
  <c r="J171" i="121"/>
  <c r="W171" i="121" s="1"/>
  <c r="J170" i="121"/>
  <c r="W170" i="121" s="1"/>
  <c r="J169" i="121"/>
  <c r="V169" i="121" s="1"/>
  <c r="J168" i="121"/>
  <c r="W168" i="121" s="1"/>
  <c r="J167" i="121"/>
  <c r="W167" i="121" s="1"/>
  <c r="J166" i="121"/>
  <c r="W166" i="121" s="1"/>
  <c r="J165" i="121"/>
  <c r="V165" i="121" s="1"/>
  <c r="J164" i="121"/>
  <c r="W164" i="121" s="1"/>
  <c r="J163" i="121"/>
  <c r="W163" i="121" s="1"/>
  <c r="J162" i="121"/>
  <c r="W162" i="121" s="1"/>
  <c r="J161" i="121"/>
  <c r="V161" i="121" s="1"/>
  <c r="J160" i="121"/>
  <c r="J159" i="121"/>
  <c r="V159" i="121" s="1"/>
  <c r="J158" i="121"/>
  <c r="V158" i="121" s="1"/>
  <c r="J157" i="121"/>
  <c r="V157" i="121" s="1"/>
  <c r="J156" i="121"/>
  <c r="B156" i="121"/>
  <c r="B157" i="121" s="1"/>
  <c r="B158" i="121" s="1"/>
  <c r="B159" i="121" s="1"/>
  <c r="B160" i="121" s="1"/>
  <c r="B161" i="121" s="1"/>
  <c r="B162" i="121" s="1"/>
  <c r="B163" i="121" s="1"/>
  <c r="B164" i="121" s="1"/>
  <c r="B165" i="121" s="1"/>
  <c r="B166" i="121" s="1"/>
  <c r="B167" i="121" s="1"/>
  <c r="B168" i="121" s="1"/>
  <c r="B169" i="121" s="1"/>
  <c r="B170" i="121" s="1"/>
  <c r="J155" i="121"/>
  <c r="V155" i="121" s="1"/>
  <c r="J146" i="121"/>
  <c r="J144" i="121"/>
  <c r="W144" i="121" s="1"/>
  <c r="J143" i="121"/>
  <c r="V143" i="121" s="1"/>
  <c r="J142" i="121"/>
  <c r="W142" i="121" s="1"/>
  <c r="J141" i="121"/>
  <c r="J140" i="121"/>
  <c r="W140" i="121" s="1"/>
  <c r="J139" i="121"/>
  <c r="V139" i="121" s="1"/>
  <c r="J138" i="121"/>
  <c r="W138" i="121" s="1"/>
  <c r="J137" i="121"/>
  <c r="J136" i="121"/>
  <c r="W136" i="121" s="1"/>
  <c r="J135" i="121"/>
  <c r="V135" i="121" s="1"/>
  <c r="J134" i="121"/>
  <c r="W134" i="121" s="1"/>
  <c r="J133" i="121"/>
  <c r="J132" i="121"/>
  <c r="W132" i="121" s="1"/>
  <c r="J131" i="121"/>
  <c r="V131" i="121" s="1"/>
  <c r="J130" i="121"/>
  <c r="W130" i="121" s="1"/>
  <c r="J129" i="121"/>
  <c r="V129" i="121" s="1"/>
  <c r="J128" i="121"/>
  <c r="W128" i="121" s="1"/>
  <c r="J127" i="121"/>
  <c r="W127" i="121" s="1"/>
  <c r="J126" i="121"/>
  <c r="W126" i="121" s="1"/>
  <c r="J125" i="121"/>
  <c r="W125" i="121" s="1"/>
  <c r="J124" i="121"/>
  <c r="W124" i="121" s="1"/>
  <c r="B124" i="121"/>
  <c r="B125" i="121" s="1"/>
  <c r="B126" i="121" s="1"/>
  <c r="B127" i="121" s="1"/>
  <c r="B128" i="121" s="1"/>
  <c r="B129" i="121" s="1"/>
  <c r="B130" i="121" s="1"/>
  <c r="B131" i="121" s="1"/>
  <c r="B132" i="121" s="1"/>
  <c r="B133" i="121" s="1"/>
  <c r="B134" i="121" s="1"/>
  <c r="B135" i="121" s="1"/>
  <c r="B136" i="121" s="1"/>
  <c r="B137" i="121" s="1"/>
  <c r="B138" i="121" s="1"/>
  <c r="B139" i="121" s="1"/>
  <c r="B140" i="121" s="1"/>
  <c r="B141" i="121" s="1"/>
  <c r="B142" i="121" s="1"/>
  <c r="B143" i="121" s="1"/>
  <c r="B144" i="121" s="1"/>
  <c r="B145" i="121" s="1"/>
  <c r="B146" i="121" s="1"/>
  <c r="J123" i="121"/>
  <c r="W123" i="121" s="1"/>
  <c r="J114" i="121"/>
  <c r="J113" i="121"/>
  <c r="W113" i="121" s="1"/>
  <c r="J112" i="121"/>
  <c r="V112" i="121" s="1"/>
  <c r="J111" i="121"/>
  <c r="W111" i="121" s="1"/>
  <c r="J110" i="121"/>
  <c r="J109" i="121"/>
  <c r="W109" i="121" s="1"/>
  <c r="J108" i="121"/>
  <c r="V108" i="121" s="1"/>
  <c r="J107" i="121"/>
  <c r="W107" i="121" s="1"/>
  <c r="J106" i="121"/>
  <c r="W105" i="121"/>
  <c r="J105" i="121"/>
  <c r="V105" i="121" s="1"/>
  <c r="J104" i="121"/>
  <c r="V104" i="121" s="1"/>
  <c r="J103" i="121"/>
  <c r="W103" i="121" s="1"/>
  <c r="J102" i="121"/>
  <c r="J101" i="121"/>
  <c r="V101" i="121" s="1"/>
  <c r="J100" i="121"/>
  <c r="V100" i="121" s="1"/>
  <c r="J99" i="121"/>
  <c r="W99" i="121" s="1"/>
  <c r="J98" i="121"/>
  <c r="J97" i="121"/>
  <c r="V97" i="121" s="1"/>
  <c r="J96" i="121"/>
  <c r="V96" i="121" s="1"/>
  <c r="J95" i="121"/>
  <c r="W95" i="121" s="1"/>
  <c r="J94" i="121"/>
  <c r="J93" i="121"/>
  <c r="V93" i="121" s="1"/>
  <c r="B93" i="121"/>
  <c r="B94" i="121" s="1"/>
  <c r="B95" i="121" s="1"/>
  <c r="B96" i="121" s="1"/>
  <c r="B97" i="121" s="1"/>
  <c r="B98" i="121" s="1"/>
  <c r="B99" i="121" s="1"/>
  <c r="B100" i="121" s="1"/>
  <c r="B101" i="121" s="1"/>
  <c r="B102" i="121" s="1"/>
  <c r="B103" i="121" s="1"/>
  <c r="B104" i="121" s="1"/>
  <c r="B105" i="121" s="1"/>
  <c r="B106" i="121" s="1"/>
  <c r="B107" i="121" s="1"/>
  <c r="B108" i="121" s="1"/>
  <c r="B109" i="121" s="1"/>
  <c r="B110" i="121" s="1"/>
  <c r="B111" i="121" s="1"/>
  <c r="B112" i="121" s="1"/>
  <c r="B113" i="121" s="1"/>
  <c r="B114" i="121" s="1"/>
  <c r="J92" i="121"/>
  <c r="W92" i="121" s="1"/>
  <c r="J83" i="121"/>
  <c r="V83" i="121" s="1"/>
  <c r="J82" i="121"/>
  <c r="W82" i="121" s="1"/>
  <c r="J81" i="121"/>
  <c r="J80" i="121"/>
  <c r="V80" i="121" s="1"/>
  <c r="J79" i="121"/>
  <c r="J78" i="121"/>
  <c r="V78" i="121" s="1"/>
  <c r="J77" i="121"/>
  <c r="V77" i="121" s="1"/>
  <c r="J76" i="121"/>
  <c r="W76" i="121" s="1"/>
  <c r="J75" i="121"/>
  <c r="W75" i="121" s="1"/>
  <c r="J74" i="121"/>
  <c r="J73" i="121"/>
  <c r="J72" i="121"/>
  <c r="W72" i="121" s="1"/>
  <c r="J71" i="121"/>
  <c r="V71" i="121" s="1"/>
  <c r="J70" i="121"/>
  <c r="V70" i="121" s="1"/>
  <c r="J69" i="121"/>
  <c r="W69" i="121" s="1"/>
  <c r="J68" i="121"/>
  <c r="V68" i="121" s="1"/>
  <c r="J67" i="121"/>
  <c r="W67" i="121" s="1"/>
  <c r="J66" i="121"/>
  <c r="J65" i="121"/>
  <c r="J64" i="121"/>
  <c r="J63" i="121"/>
  <c r="W63" i="121" s="1"/>
  <c r="J62" i="121"/>
  <c r="V62" i="121" s="1"/>
  <c r="J61" i="121"/>
  <c r="V61" i="121" s="1"/>
  <c r="B61" i="121"/>
  <c r="B62" i="121" s="1"/>
  <c r="B63" i="121" s="1"/>
  <c r="B64" i="121" s="1"/>
  <c r="B65" i="121" s="1"/>
  <c r="B66" i="121" s="1"/>
  <c r="B67" i="121" s="1"/>
  <c r="B68" i="121" s="1"/>
  <c r="B69" i="121" s="1"/>
  <c r="B70" i="121" s="1"/>
  <c r="B71" i="121" s="1"/>
  <c r="B72" i="121" s="1"/>
  <c r="B73" i="121" s="1"/>
  <c r="B74" i="121" s="1"/>
  <c r="B75" i="121" s="1"/>
  <c r="B76" i="121" s="1"/>
  <c r="B77" i="121" s="1"/>
  <c r="B78" i="121" s="1"/>
  <c r="B79" i="121" s="1"/>
  <c r="B80" i="121" s="1"/>
  <c r="B81" i="121" s="1"/>
  <c r="B82" i="121" s="1"/>
  <c r="B83" i="121" s="1"/>
  <c r="J60" i="121"/>
  <c r="W60" i="121" s="1"/>
  <c r="W51" i="121"/>
  <c r="V51" i="121"/>
  <c r="W50" i="121"/>
  <c r="V50" i="121"/>
  <c r="W49" i="121"/>
  <c r="V49" i="121"/>
  <c r="W48" i="121"/>
  <c r="V48" i="121"/>
  <c r="W47" i="121"/>
  <c r="V47" i="121"/>
  <c r="W46" i="121"/>
  <c r="V46" i="121"/>
  <c r="W45" i="121"/>
  <c r="V45" i="121"/>
  <c r="W44" i="121"/>
  <c r="V44" i="121"/>
  <c r="W43" i="121"/>
  <c r="V43" i="121"/>
  <c r="W42" i="121"/>
  <c r="V42" i="121"/>
  <c r="W41" i="121"/>
  <c r="V41" i="121"/>
  <c r="W40" i="121"/>
  <c r="V40" i="121"/>
  <c r="W38" i="121"/>
  <c r="V38" i="121"/>
  <c r="W35" i="121"/>
  <c r="W34" i="121"/>
  <c r="V34" i="121"/>
  <c r="W31" i="121"/>
  <c r="V31" i="121"/>
  <c r="W28" i="121"/>
  <c r="V28" i="121"/>
  <c r="W26" i="121"/>
  <c r="W25" i="121"/>
  <c r="W24" i="121"/>
  <c r="V24" i="121"/>
  <c r="V23" i="121"/>
  <c r="W23" i="121"/>
  <c r="V22" i="121"/>
  <c r="V21" i="121"/>
  <c r="W20" i="121"/>
  <c r="W19" i="121"/>
  <c r="V18" i="121"/>
  <c r="W15" i="121"/>
  <c r="N14" i="121"/>
  <c r="W13" i="121"/>
  <c r="N12" i="121"/>
  <c r="W11" i="121"/>
  <c r="N10" i="121"/>
  <c r="N8" i="121"/>
  <c r="I7" i="121"/>
  <c r="J7" i="121" s="1"/>
  <c r="W7" i="121" s="1"/>
  <c r="B7" i="121"/>
  <c r="B8" i="121" s="1"/>
  <c r="B9" i="121" s="1"/>
  <c r="B10" i="121" s="1"/>
  <c r="B11" i="121" s="1"/>
  <c r="B12" i="121" s="1"/>
  <c r="B13" i="121" s="1"/>
  <c r="B14" i="121" s="1"/>
  <c r="B15" i="121" s="1"/>
  <c r="B16" i="121" s="1"/>
  <c r="B17" i="121" s="1"/>
  <c r="B18" i="121" s="1"/>
  <c r="B19" i="121" s="1"/>
  <c r="B20" i="121" s="1"/>
  <c r="B21" i="121" s="1"/>
  <c r="B22" i="121" s="1"/>
  <c r="B23" i="121" s="1"/>
  <c r="B24" i="121" s="1"/>
  <c r="B25" i="121" s="1"/>
  <c r="B26" i="121" s="1"/>
  <c r="B27" i="121" s="1"/>
  <c r="B28" i="121" s="1"/>
  <c r="B29" i="121" s="1"/>
  <c r="B30" i="121" s="1"/>
  <c r="B31" i="121" s="1"/>
  <c r="B32" i="121" s="1"/>
  <c r="B33" i="121" s="1"/>
  <c r="B34" i="121" s="1"/>
  <c r="B35" i="121" s="1"/>
  <c r="B36" i="121" s="1"/>
  <c r="B37" i="121" s="1"/>
  <c r="B38" i="121" s="1"/>
  <c r="B39" i="121" s="1"/>
  <c r="B40" i="121" s="1"/>
  <c r="B41" i="121" s="1"/>
  <c r="B42" i="121" s="1"/>
  <c r="B43" i="121" s="1"/>
  <c r="B44" i="121" s="1"/>
  <c r="B45" i="121" s="1"/>
  <c r="B46" i="121" s="1"/>
  <c r="B47" i="121" s="1"/>
  <c r="B48" i="121" s="1"/>
  <c r="B49" i="121" s="1"/>
  <c r="B50" i="121" s="1"/>
  <c r="B51" i="121" s="1"/>
  <c r="N6" i="121"/>
  <c r="I6" i="121"/>
  <c r="J6" i="121" s="1"/>
  <c r="W6" i="121" s="1"/>
  <c r="N4" i="121"/>
  <c r="B171" i="121" l="1"/>
  <c r="B172" i="121" s="1"/>
  <c r="B173" i="121" s="1"/>
  <c r="B174" i="121" s="1"/>
  <c r="B175" i="121" s="1"/>
  <c r="B176" i="121" s="1"/>
  <c r="B177" i="121" s="1"/>
  <c r="V164" i="121"/>
  <c r="V208" i="121"/>
  <c r="V207" i="121"/>
  <c r="V176" i="121"/>
  <c r="V175" i="121"/>
  <c r="W80" i="121"/>
  <c r="V126" i="121"/>
  <c r="W112" i="121"/>
  <c r="V82" i="121"/>
  <c r="V204" i="121"/>
  <c r="W199" i="121"/>
  <c r="V174" i="121"/>
  <c r="W172" i="121"/>
  <c r="W169" i="121"/>
  <c r="V168" i="121"/>
  <c r="W143" i="121"/>
  <c r="V138" i="121"/>
  <c r="V238" i="121"/>
  <c r="V233" i="121"/>
  <c r="V229" i="121"/>
  <c r="V228" i="121"/>
  <c r="W165" i="121"/>
  <c r="W135" i="121"/>
  <c r="W101" i="121"/>
  <c r="V194" i="121"/>
  <c r="V225" i="121"/>
  <c r="V67" i="121"/>
  <c r="W129" i="121"/>
  <c r="W161" i="121"/>
  <c r="V224" i="121"/>
  <c r="V128" i="121"/>
  <c r="V221" i="121"/>
  <c r="V220" i="121"/>
  <c r="W190" i="121"/>
  <c r="V188" i="121"/>
  <c r="V124" i="121"/>
  <c r="W217" i="121"/>
  <c r="W83" i="121"/>
  <c r="W93" i="121"/>
  <c r="V109" i="121"/>
  <c r="V111" i="121"/>
  <c r="V113" i="121"/>
  <c r="V125" i="121"/>
  <c r="V130" i="121"/>
  <c r="V142" i="121"/>
  <c r="V173" i="121"/>
  <c r="V177" i="121"/>
  <c r="W218" i="121"/>
  <c r="W222" i="121"/>
  <c r="W226" i="121"/>
  <c r="W68" i="121"/>
  <c r="W71" i="121"/>
  <c r="W97" i="121"/>
  <c r="V237" i="121"/>
  <c r="V219" i="121"/>
  <c r="V223" i="121"/>
  <c r="V227" i="121"/>
  <c r="V230" i="121"/>
  <c r="V232" i="121"/>
  <c r="V234" i="121"/>
  <c r="V193" i="121"/>
  <c r="V196" i="121"/>
  <c r="V198" i="121"/>
  <c r="W189" i="121"/>
  <c r="V195" i="121"/>
  <c r="W200" i="121"/>
  <c r="V203" i="121"/>
  <c r="W157" i="121"/>
  <c r="V163" i="121"/>
  <c r="V167" i="121"/>
  <c r="V171" i="121"/>
  <c r="V162" i="121"/>
  <c r="V166" i="121"/>
  <c r="V170" i="121"/>
  <c r="V123" i="121"/>
  <c r="V127" i="121"/>
  <c r="W131" i="121"/>
  <c r="V134" i="121"/>
  <c r="W139" i="121"/>
  <c r="V92" i="121"/>
  <c r="W96" i="121"/>
  <c r="W100" i="121"/>
  <c r="W104" i="121"/>
  <c r="W108" i="121"/>
  <c r="V95" i="121"/>
  <c r="V99" i="121"/>
  <c r="V103" i="121"/>
  <c r="V107" i="121"/>
  <c r="W62" i="121"/>
  <c r="W70" i="121"/>
  <c r="V75" i="121"/>
  <c r="V69" i="121"/>
  <c r="V72" i="121"/>
  <c r="W78" i="121"/>
  <c r="W61" i="121"/>
  <c r="V63" i="121"/>
  <c r="W9" i="121"/>
  <c r="V9" i="121"/>
  <c r="V6" i="121"/>
  <c r="V8" i="121"/>
  <c r="W8" i="121"/>
  <c r="V14" i="121"/>
  <c r="W14" i="121"/>
  <c r="V10" i="121"/>
  <c r="W10" i="121"/>
  <c r="V16" i="121"/>
  <c r="W16" i="121"/>
  <c r="V12" i="121"/>
  <c r="W12" i="121"/>
  <c r="V17" i="121"/>
  <c r="W17" i="121"/>
  <c r="N18" i="121"/>
  <c r="W66" i="121"/>
  <c r="V66" i="121"/>
  <c r="W94" i="121"/>
  <c r="V94" i="121"/>
  <c r="W98" i="121"/>
  <c r="V98" i="121"/>
  <c r="W102" i="121"/>
  <c r="V102" i="121"/>
  <c r="W106" i="121"/>
  <c r="V106" i="121"/>
  <c r="W110" i="121"/>
  <c r="V110" i="121"/>
  <c r="W114" i="121"/>
  <c r="V114" i="121"/>
  <c r="W141" i="121"/>
  <c r="V141" i="121"/>
  <c r="W187" i="121"/>
  <c r="V187" i="121"/>
  <c r="W206" i="121"/>
  <c r="V206" i="121"/>
  <c r="W236" i="121"/>
  <c r="V236" i="121"/>
  <c r="V7" i="121"/>
  <c r="V11" i="121"/>
  <c r="V13" i="121"/>
  <c r="V15" i="121"/>
  <c r="V19" i="121"/>
  <c r="V20" i="121"/>
  <c r="W21" i="121"/>
  <c r="W22" i="121"/>
  <c r="V25" i="121"/>
  <c r="V26" i="121"/>
  <c r="V35" i="121"/>
  <c r="V79" i="121"/>
  <c r="W79" i="121"/>
  <c r="W137" i="121"/>
  <c r="V137" i="121"/>
  <c r="W160" i="121"/>
  <c r="V160" i="121"/>
  <c r="W202" i="121"/>
  <c r="V202" i="121"/>
  <c r="J209" i="121"/>
  <c r="W37" i="121"/>
  <c r="V37" i="121"/>
  <c r="J52" i="121"/>
  <c r="W29" i="121"/>
  <c r="V29" i="121"/>
  <c r="W32" i="121"/>
  <c r="V32" i="121"/>
  <c r="W64" i="121"/>
  <c r="V64" i="121"/>
  <c r="W73" i="121"/>
  <c r="V73" i="121"/>
  <c r="W133" i="121"/>
  <c r="V133" i="121"/>
  <c r="V192" i="121"/>
  <c r="W192" i="121"/>
  <c r="J241" i="121"/>
  <c r="W231" i="121"/>
  <c r="V231" i="121"/>
  <c r="W18" i="121"/>
  <c r="W30" i="121"/>
  <c r="V30" i="121"/>
  <c r="W33" i="121"/>
  <c r="V33" i="121"/>
  <c r="W36" i="121"/>
  <c r="V36" i="121"/>
  <c r="W39" i="121"/>
  <c r="V39" i="121"/>
  <c r="W65" i="121"/>
  <c r="V65" i="121"/>
  <c r="W74" i="121"/>
  <c r="V74" i="121"/>
  <c r="W146" i="121"/>
  <c r="V146" i="121"/>
  <c r="V156" i="121"/>
  <c r="W156" i="121"/>
  <c r="W197" i="121"/>
  <c r="V197" i="121"/>
  <c r="W201" i="121"/>
  <c r="V201" i="121"/>
  <c r="W240" i="121"/>
  <c r="V240" i="121"/>
  <c r="J147" i="121"/>
  <c r="J84" i="121"/>
  <c r="V132" i="121"/>
  <c r="V136" i="121"/>
  <c r="V140" i="121"/>
  <c r="V144" i="121"/>
  <c r="W155" i="121"/>
  <c r="W159" i="121"/>
  <c r="V186" i="121"/>
  <c r="W191" i="121"/>
  <c r="V205" i="121"/>
  <c r="V235" i="121"/>
  <c r="V239" i="121"/>
  <c r="V60" i="121"/>
  <c r="V76" i="121"/>
  <c r="W77" i="121"/>
  <c r="J115" i="121"/>
  <c r="W158" i="121"/>
  <c r="J178" i="121"/>
  <c r="H232" i="120"/>
  <c r="H201" i="120"/>
  <c r="H39" i="120"/>
  <c r="J39" i="120" s="1"/>
  <c r="I39" i="120"/>
  <c r="J38" i="120"/>
  <c r="I38" i="120"/>
  <c r="V241" i="121" l="1"/>
  <c r="O16" i="121" s="1"/>
  <c r="R16" i="121" s="1"/>
  <c r="V115" i="121"/>
  <c r="O8" i="121" s="1"/>
  <c r="R8" i="121" s="1"/>
  <c r="V147" i="121"/>
  <c r="O10" i="121" s="1"/>
  <c r="R10" i="121" s="1"/>
  <c r="V178" i="121"/>
  <c r="O12" i="121" s="1"/>
  <c r="R12" i="121" s="1"/>
  <c r="W241" i="121"/>
  <c r="P16" i="121" s="1"/>
  <c r="W209" i="121"/>
  <c r="P14" i="121" s="1"/>
  <c r="W147" i="121"/>
  <c r="P10" i="121" s="1"/>
  <c r="W115" i="121"/>
  <c r="P8" i="121" s="1"/>
  <c r="V84" i="121"/>
  <c r="O6" i="121" s="1"/>
  <c r="R6" i="121" s="1"/>
  <c r="W84" i="121"/>
  <c r="P6" i="121" s="1"/>
  <c r="V209" i="121"/>
  <c r="O14" i="121" s="1"/>
  <c r="W27" i="121"/>
  <c r="W52" i="121" s="1"/>
  <c r="P4" i="121" s="1"/>
  <c r="V27" i="121"/>
  <c r="V52" i="121" s="1"/>
  <c r="O4" i="121" s="1"/>
  <c r="W178" i="121"/>
  <c r="P12" i="121" s="1"/>
  <c r="I37" i="120"/>
  <c r="J37" i="120" s="1"/>
  <c r="I36" i="120"/>
  <c r="J36" i="120"/>
  <c r="Q12" i="121" l="1"/>
  <c r="Q10" i="121"/>
  <c r="Q8" i="121"/>
  <c r="P18" i="121"/>
  <c r="Q6" i="121"/>
  <c r="O18" i="121"/>
  <c r="R18" i="121" s="1"/>
  <c r="P20" i="121" s="1"/>
  <c r="R4" i="121"/>
  <c r="Q4" i="121"/>
  <c r="R14" i="121"/>
  <c r="Q14" i="121"/>
  <c r="I35" i="120"/>
  <c r="J35" i="120" s="1"/>
  <c r="I34" i="120"/>
  <c r="J34" i="120" s="1"/>
  <c r="H77" i="120"/>
  <c r="H230" i="120"/>
  <c r="Q18" i="121" l="1"/>
  <c r="H196" i="120"/>
  <c r="H73" i="120"/>
  <c r="H72" i="120"/>
  <c r="J33" i="120"/>
  <c r="I33" i="120"/>
  <c r="H32" i="120"/>
  <c r="I32" i="120"/>
  <c r="J32" i="120" s="1"/>
  <c r="I31" i="120"/>
  <c r="J31" i="120" s="1"/>
  <c r="I30" i="120"/>
  <c r="J30" i="120" s="1"/>
  <c r="H29" i="120"/>
  <c r="J29" i="120" s="1"/>
  <c r="I29" i="120"/>
  <c r="I28" i="120"/>
  <c r="J28" i="120" s="1"/>
  <c r="J27" i="120"/>
  <c r="H27" i="120"/>
  <c r="I27" i="120"/>
  <c r="H26" i="120"/>
  <c r="J26" i="120" s="1"/>
  <c r="I26" i="120"/>
  <c r="H70" i="120"/>
  <c r="J25" i="120" l="1"/>
  <c r="I25" i="120"/>
  <c r="I24" i="120"/>
  <c r="J24" i="120" s="1"/>
  <c r="H192" i="120" l="1"/>
  <c r="H131" i="120"/>
  <c r="H66" i="120"/>
  <c r="J23" i="120"/>
  <c r="I23" i="120"/>
  <c r="H22" i="120"/>
  <c r="I22" i="120"/>
  <c r="J22" i="120" s="1"/>
  <c r="I21" i="120"/>
  <c r="J21" i="120" s="1"/>
  <c r="I20" i="120"/>
  <c r="J20" i="120" s="1"/>
  <c r="I19" i="120"/>
  <c r="J19" i="120" s="1"/>
  <c r="I18" i="120"/>
  <c r="J18" i="120" s="1"/>
  <c r="H188" i="120" l="1"/>
  <c r="H159" i="120"/>
  <c r="H123" i="120"/>
  <c r="H94" i="120"/>
  <c r="J94" i="120" s="1"/>
  <c r="W94" i="120" s="1"/>
  <c r="H92" i="120"/>
  <c r="H64" i="120"/>
  <c r="H63" i="120"/>
  <c r="I8" i="120"/>
  <c r="J8" i="120" s="1"/>
  <c r="W8" i="120" s="1"/>
  <c r="I9" i="120"/>
  <c r="J9" i="120"/>
  <c r="I10" i="120"/>
  <c r="J10" i="120"/>
  <c r="I11" i="120"/>
  <c r="I12" i="120"/>
  <c r="J12" i="120"/>
  <c r="V12" i="120" s="1"/>
  <c r="I13" i="120"/>
  <c r="J13" i="120"/>
  <c r="V13" i="120" s="1"/>
  <c r="I14" i="120"/>
  <c r="I15" i="120"/>
  <c r="J15" i="120"/>
  <c r="I16" i="120"/>
  <c r="J16" i="120"/>
  <c r="I17" i="120"/>
  <c r="H17" i="120"/>
  <c r="J17" i="120" s="1"/>
  <c r="H14" i="120"/>
  <c r="J14" i="120" s="1"/>
  <c r="H13" i="120"/>
  <c r="H11" i="120"/>
  <c r="J11" i="120" s="1"/>
  <c r="W11" i="120" s="1"/>
  <c r="H10" i="120"/>
  <c r="W239" i="120"/>
  <c r="J239" i="120"/>
  <c r="V239" i="120" s="1"/>
  <c r="J238" i="120"/>
  <c r="V238" i="120" s="1"/>
  <c r="J237" i="120"/>
  <c r="V237" i="120" s="1"/>
  <c r="J236" i="120"/>
  <c r="V236" i="120" s="1"/>
  <c r="J235" i="120"/>
  <c r="V235" i="120" s="1"/>
  <c r="J234" i="120"/>
  <c r="V234" i="120" s="1"/>
  <c r="J233" i="120"/>
  <c r="V233" i="120" s="1"/>
  <c r="J232" i="120"/>
  <c r="V232" i="120" s="1"/>
  <c r="J231" i="120"/>
  <c r="W231" i="120" s="1"/>
  <c r="J230" i="120"/>
  <c r="W230" i="120" s="1"/>
  <c r="J229" i="120"/>
  <c r="W229" i="120" s="1"/>
  <c r="J228" i="120"/>
  <c r="W228" i="120" s="1"/>
  <c r="J227" i="120"/>
  <c r="J226" i="120"/>
  <c r="J225" i="120"/>
  <c r="W225" i="120" s="1"/>
  <c r="J224" i="120"/>
  <c r="W224" i="120" s="1"/>
  <c r="J223" i="120"/>
  <c r="W223" i="120" s="1"/>
  <c r="J222" i="120"/>
  <c r="V222" i="120" s="1"/>
  <c r="J221" i="120"/>
  <c r="V221" i="120" s="1"/>
  <c r="J220" i="120"/>
  <c r="W220" i="120" s="1"/>
  <c r="J219" i="120"/>
  <c r="W219" i="120" s="1"/>
  <c r="J218" i="120"/>
  <c r="W218" i="120" s="1"/>
  <c r="J217" i="120"/>
  <c r="B217" i="120"/>
  <c r="B218" i="120" s="1"/>
  <c r="B219" i="120" s="1"/>
  <c r="B220" i="120" s="1"/>
  <c r="B221" i="120" s="1"/>
  <c r="B222" i="120" s="1"/>
  <c r="B223" i="120" s="1"/>
  <c r="B224" i="120" s="1"/>
  <c r="B225" i="120" s="1"/>
  <c r="B226" i="120" s="1"/>
  <c r="B227" i="120" s="1"/>
  <c r="B228" i="120" s="1"/>
  <c r="B229" i="120" s="1"/>
  <c r="B230" i="120" s="1"/>
  <c r="B231" i="120" s="1"/>
  <c r="B232" i="120" s="1"/>
  <c r="B233" i="120" s="1"/>
  <c r="B234" i="120" s="1"/>
  <c r="B235" i="120" s="1"/>
  <c r="B236" i="120" s="1"/>
  <c r="B237" i="120" s="1"/>
  <c r="B238" i="120" s="1"/>
  <c r="B239" i="120" s="1"/>
  <c r="J216" i="120"/>
  <c r="J207" i="120"/>
  <c r="V207" i="120" s="1"/>
  <c r="J206" i="120"/>
  <c r="V206" i="120" s="1"/>
  <c r="J205" i="120"/>
  <c r="V205" i="120" s="1"/>
  <c r="J204" i="120"/>
  <c r="V204" i="120" s="1"/>
  <c r="J203" i="120"/>
  <c r="W203" i="120" s="1"/>
  <c r="J202" i="120"/>
  <c r="J201" i="120"/>
  <c r="J200" i="120"/>
  <c r="J199" i="120"/>
  <c r="J198" i="120"/>
  <c r="V198" i="120" s="1"/>
  <c r="J197" i="120"/>
  <c r="W197" i="120" s="1"/>
  <c r="J196" i="120"/>
  <c r="V196" i="120" s="1"/>
  <c r="J195" i="120"/>
  <c r="J194" i="120"/>
  <c r="J193" i="120"/>
  <c r="J192" i="120"/>
  <c r="W191" i="120"/>
  <c r="J191" i="120"/>
  <c r="V191" i="120" s="1"/>
  <c r="J190" i="120"/>
  <c r="W190" i="120" s="1"/>
  <c r="J189" i="120"/>
  <c r="V189" i="120" s="1"/>
  <c r="J188" i="120"/>
  <c r="V188" i="120" s="1"/>
  <c r="J187" i="120"/>
  <c r="V187" i="120" s="1"/>
  <c r="J186" i="120"/>
  <c r="V186" i="120" s="1"/>
  <c r="B186" i="120"/>
  <c r="B187" i="120" s="1"/>
  <c r="B188" i="120" s="1"/>
  <c r="B189" i="120" s="1"/>
  <c r="B190" i="120" s="1"/>
  <c r="B191" i="120" s="1"/>
  <c r="B192" i="120" s="1"/>
  <c r="B193" i="120" s="1"/>
  <c r="B194" i="120" s="1"/>
  <c r="B195" i="120" s="1"/>
  <c r="B196" i="120" s="1"/>
  <c r="B197" i="120" s="1"/>
  <c r="B198" i="120" s="1"/>
  <c r="B199" i="120" s="1"/>
  <c r="B200" i="120" s="1"/>
  <c r="B201" i="120" s="1"/>
  <c r="B202" i="120" s="1"/>
  <c r="B203" i="120" s="1"/>
  <c r="B204" i="120" s="1"/>
  <c r="B205" i="120" s="1"/>
  <c r="B206" i="120" s="1"/>
  <c r="B207" i="120" s="1"/>
  <c r="J185" i="120"/>
  <c r="V185" i="120" s="1"/>
  <c r="J176" i="120"/>
  <c r="J175" i="120"/>
  <c r="J174" i="120"/>
  <c r="J173" i="120"/>
  <c r="J172" i="120"/>
  <c r="J171" i="120"/>
  <c r="J170" i="120"/>
  <c r="J169" i="120"/>
  <c r="J168" i="120"/>
  <c r="J167" i="120"/>
  <c r="J166" i="120"/>
  <c r="J165" i="120"/>
  <c r="J164" i="120"/>
  <c r="V164" i="120" s="1"/>
  <c r="J163" i="120"/>
  <c r="W163" i="120" s="1"/>
  <c r="J162" i="120"/>
  <c r="W162" i="120" s="1"/>
  <c r="J161" i="120"/>
  <c r="V161" i="120" s="1"/>
  <c r="J160" i="120"/>
  <c r="W160" i="120" s="1"/>
  <c r="J159" i="120"/>
  <c r="W159" i="120" s="1"/>
  <c r="J158" i="120"/>
  <c r="W158" i="120" s="1"/>
  <c r="J157" i="120"/>
  <c r="V157" i="120" s="1"/>
  <c r="J156" i="120"/>
  <c r="W156" i="120" s="1"/>
  <c r="J155" i="120"/>
  <c r="B155" i="120"/>
  <c r="B156" i="120" s="1"/>
  <c r="B157" i="120" s="1"/>
  <c r="B158" i="120" s="1"/>
  <c r="B159" i="120" s="1"/>
  <c r="B160" i="120" s="1"/>
  <c r="B161" i="120" s="1"/>
  <c r="B162" i="120" s="1"/>
  <c r="B163" i="120" s="1"/>
  <c r="B164" i="120" s="1"/>
  <c r="B165" i="120" s="1"/>
  <c r="B166" i="120" s="1"/>
  <c r="B167" i="120" s="1"/>
  <c r="B168" i="120" s="1"/>
  <c r="B169" i="120" s="1"/>
  <c r="B170" i="120" s="1"/>
  <c r="B171" i="120" s="1"/>
  <c r="B172" i="120" s="1"/>
  <c r="B173" i="120" s="1"/>
  <c r="B174" i="120" s="1"/>
  <c r="B175" i="120" s="1"/>
  <c r="B176" i="120" s="1"/>
  <c r="J154" i="120"/>
  <c r="W154" i="120" s="1"/>
  <c r="J145" i="120"/>
  <c r="W145" i="120" s="1"/>
  <c r="J144" i="120"/>
  <c r="W144" i="120" s="1"/>
  <c r="J143" i="120"/>
  <c r="W143" i="120" s="1"/>
  <c r="J142" i="120"/>
  <c r="J141" i="120"/>
  <c r="V141" i="120" s="1"/>
  <c r="J140" i="120"/>
  <c r="V140" i="120" s="1"/>
  <c r="J139" i="120"/>
  <c r="V139" i="120" s="1"/>
  <c r="J138" i="120"/>
  <c r="V138" i="120" s="1"/>
  <c r="J137" i="120"/>
  <c r="V137" i="120" s="1"/>
  <c r="J136" i="120"/>
  <c r="V136" i="120" s="1"/>
  <c r="J135" i="120"/>
  <c r="J134" i="120"/>
  <c r="J133" i="120"/>
  <c r="J132" i="120"/>
  <c r="W132" i="120" s="1"/>
  <c r="J131" i="120"/>
  <c r="W131" i="120" s="1"/>
  <c r="J130" i="120"/>
  <c r="V130" i="120" s="1"/>
  <c r="J129" i="120"/>
  <c r="W129" i="120" s="1"/>
  <c r="W128" i="120"/>
  <c r="J128" i="120"/>
  <c r="V128" i="120" s="1"/>
  <c r="J127" i="120"/>
  <c r="J126" i="120"/>
  <c r="J125" i="120"/>
  <c r="W125" i="120" s="1"/>
  <c r="J124" i="120"/>
  <c r="V124" i="120" s="1"/>
  <c r="B124" i="120"/>
  <c r="B125" i="120" s="1"/>
  <c r="B126" i="120" s="1"/>
  <c r="B127" i="120" s="1"/>
  <c r="B128" i="120" s="1"/>
  <c r="B129" i="120" s="1"/>
  <c r="B130" i="120" s="1"/>
  <c r="B131" i="120" s="1"/>
  <c r="B132" i="120" s="1"/>
  <c r="B133" i="120" s="1"/>
  <c r="B134" i="120" s="1"/>
  <c r="B135" i="120" s="1"/>
  <c r="B136" i="120" s="1"/>
  <c r="B137" i="120" s="1"/>
  <c r="B138" i="120" s="1"/>
  <c r="B139" i="120" s="1"/>
  <c r="B140" i="120" s="1"/>
  <c r="B141" i="120" s="1"/>
  <c r="B142" i="120" s="1"/>
  <c r="B143" i="120" s="1"/>
  <c r="B144" i="120" s="1"/>
  <c r="B145" i="120" s="1"/>
  <c r="J123" i="120"/>
  <c r="J114" i="120"/>
  <c r="J113" i="120"/>
  <c r="V113" i="120" s="1"/>
  <c r="J112" i="120"/>
  <c r="J111" i="120"/>
  <c r="V111" i="120" s="1"/>
  <c r="J110" i="120"/>
  <c r="W110" i="120" s="1"/>
  <c r="V109" i="120"/>
  <c r="J109" i="120"/>
  <c r="W109" i="120" s="1"/>
  <c r="J108" i="120"/>
  <c r="W108" i="120" s="1"/>
  <c r="J107" i="120"/>
  <c r="W107" i="120" s="1"/>
  <c r="J106" i="120"/>
  <c r="W106" i="120" s="1"/>
  <c r="J105" i="120"/>
  <c r="W105" i="120" s="1"/>
  <c r="J104" i="120"/>
  <c r="W104" i="120" s="1"/>
  <c r="J103" i="120"/>
  <c r="J102" i="120"/>
  <c r="V102" i="120" s="1"/>
  <c r="J101" i="120"/>
  <c r="J100" i="120"/>
  <c r="V100" i="120" s="1"/>
  <c r="J99" i="120"/>
  <c r="J98" i="120"/>
  <c r="V98" i="120" s="1"/>
  <c r="J97" i="120"/>
  <c r="J96" i="120"/>
  <c r="V96" i="120" s="1"/>
  <c r="V95" i="120"/>
  <c r="J95" i="120"/>
  <c r="W95" i="120" s="1"/>
  <c r="J93" i="120"/>
  <c r="W93" i="120" s="1"/>
  <c r="B93" i="120"/>
  <c r="B94" i="120" s="1"/>
  <c r="B95" i="120" s="1"/>
  <c r="B96" i="120" s="1"/>
  <c r="B97" i="120" s="1"/>
  <c r="B98" i="120" s="1"/>
  <c r="B99" i="120" s="1"/>
  <c r="B100" i="120" s="1"/>
  <c r="B101" i="120" s="1"/>
  <c r="B102" i="120" s="1"/>
  <c r="B103" i="120" s="1"/>
  <c r="B104" i="120" s="1"/>
  <c r="B105" i="120" s="1"/>
  <c r="B106" i="120" s="1"/>
  <c r="B107" i="120" s="1"/>
  <c r="B108" i="120" s="1"/>
  <c r="B109" i="120" s="1"/>
  <c r="B110" i="120" s="1"/>
  <c r="B111" i="120" s="1"/>
  <c r="B112" i="120" s="1"/>
  <c r="B113" i="120" s="1"/>
  <c r="B114" i="120" s="1"/>
  <c r="J92" i="120"/>
  <c r="W92" i="120" s="1"/>
  <c r="J83" i="120"/>
  <c r="W83" i="120" s="1"/>
  <c r="J82" i="120"/>
  <c r="W82" i="120" s="1"/>
  <c r="J81" i="120"/>
  <c r="J80" i="120"/>
  <c r="V80" i="120" s="1"/>
  <c r="J79" i="120"/>
  <c r="J78" i="120"/>
  <c r="J77" i="120"/>
  <c r="J76" i="120"/>
  <c r="J75" i="120"/>
  <c r="W75" i="120" s="1"/>
  <c r="W74" i="120"/>
  <c r="J74" i="120"/>
  <c r="V74" i="120" s="1"/>
  <c r="J73" i="120"/>
  <c r="W73" i="120" s="1"/>
  <c r="J72" i="120"/>
  <c r="W72" i="120" s="1"/>
  <c r="J71" i="120"/>
  <c r="W71" i="120" s="1"/>
  <c r="W70" i="120"/>
  <c r="J70" i="120"/>
  <c r="V70" i="120" s="1"/>
  <c r="J69" i="120"/>
  <c r="W69" i="120" s="1"/>
  <c r="J68" i="120"/>
  <c r="W68" i="120" s="1"/>
  <c r="J67" i="120"/>
  <c r="W67" i="120" s="1"/>
  <c r="J66" i="120"/>
  <c r="V66" i="120" s="1"/>
  <c r="J65" i="120"/>
  <c r="V64" i="120"/>
  <c r="J64" i="120"/>
  <c r="W64" i="120" s="1"/>
  <c r="J63" i="120"/>
  <c r="V63" i="120" s="1"/>
  <c r="J62" i="120"/>
  <c r="W62" i="120" s="1"/>
  <c r="J61" i="120"/>
  <c r="W61" i="120" s="1"/>
  <c r="B61" i="120"/>
  <c r="B62" i="120" s="1"/>
  <c r="B63" i="120" s="1"/>
  <c r="B64" i="120" s="1"/>
  <c r="B65" i="120" s="1"/>
  <c r="B66" i="120" s="1"/>
  <c r="B67" i="120" s="1"/>
  <c r="B68" i="120" s="1"/>
  <c r="B69" i="120" s="1"/>
  <c r="B70" i="120" s="1"/>
  <c r="B71" i="120" s="1"/>
  <c r="B72" i="120" s="1"/>
  <c r="B73" i="120" s="1"/>
  <c r="B74" i="120" s="1"/>
  <c r="B75" i="120" s="1"/>
  <c r="B76" i="120" s="1"/>
  <c r="B77" i="120" s="1"/>
  <c r="B78" i="120" s="1"/>
  <c r="B79" i="120" s="1"/>
  <c r="B80" i="120" s="1"/>
  <c r="B81" i="120" s="1"/>
  <c r="B82" i="120" s="1"/>
  <c r="B83" i="120" s="1"/>
  <c r="J60" i="120"/>
  <c r="W60" i="120" s="1"/>
  <c r="W51" i="120"/>
  <c r="V51" i="120"/>
  <c r="W50" i="120"/>
  <c r="V50" i="120"/>
  <c r="W49" i="120"/>
  <c r="V49" i="120"/>
  <c r="W48" i="120"/>
  <c r="V48" i="120"/>
  <c r="W47" i="120"/>
  <c r="V47" i="120"/>
  <c r="W46" i="120"/>
  <c r="V46" i="120"/>
  <c r="W45" i="120"/>
  <c r="V45" i="120"/>
  <c r="W44" i="120"/>
  <c r="W43" i="120"/>
  <c r="V43" i="120"/>
  <c r="W42" i="120"/>
  <c r="W41" i="120"/>
  <c r="V41" i="120"/>
  <c r="W40" i="120"/>
  <c r="W39" i="120"/>
  <c r="V39" i="120"/>
  <c r="W37" i="120"/>
  <c r="V37" i="120"/>
  <c r="V36" i="120"/>
  <c r="V34" i="120"/>
  <c r="W34" i="120"/>
  <c r="V33" i="120"/>
  <c r="W31" i="120"/>
  <c r="V31" i="120"/>
  <c r="W29" i="120"/>
  <c r="W28" i="120"/>
  <c r="W27" i="120"/>
  <c r="W24" i="120"/>
  <c r="W23" i="120"/>
  <c r="W20" i="120"/>
  <c r="W18" i="120"/>
  <c r="N14" i="120"/>
  <c r="W13" i="120"/>
  <c r="N12" i="120"/>
  <c r="N10" i="120"/>
  <c r="W9" i="120"/>
  <c r="N8" i="120"/>
  <c r="I7" i="120"/>
  <c r="J7" i="120" s="1"/>
  <c r="W7" i="120" s="1"/>
  <c r="B7" i="120"/>
  <c r="B8" i="120" s="1"/>
  <c r="B9" i="120" s="1"/>
  <c r="B10" i="120" s="1"/>
  <c r="B11" i="120" s="1"/>
  <c r="B12" i="120" s="1"/>
  <c r="B13" i="120" s="1"/>
  <c r="B14" i="120" s="1"/>
  <c r="B15" i="120" s="1"/>
  <c r="B16" i="120" s="1"/>
  <c r="B17" i="120" s="1"/>
  <c r="B18" i="120" s="1"/>
  <c r="B19" i="120" s="1"/>
  <c r="B20" i="120" s="1"/>
  <c r="B21" i="120" s="1"/>
  <c r="B22" i="120" s="1"/>
  <c r="B23" i="120" s="1"/>
  <c r="B24" i="120" s="1"/>
  <c r="B25" i="120" s="1"/>
  <c r="B26" i="120" s="1"/>
  <c r="B27" i="120" s="1"/>
  <c r="B28" i="120" s="1"/>
  <c r="B29" i="120" s="1"/>
  <c r="B30" i="120" s="1"/>
  <c r="B31" i="120" s="1"/>
  <c r="B32" i="120" s="1"/>
  <c r="B33" i="120" s="1"/>
  <c r="B34" i="120" s="1"/>
  <c r="B35" i="120" s="1"/>
  <c r="B36" i="120" s="1"/>
  <c r="B37" i="120" s="1"/>
  <c r="B38" i="120" s="1"/>
  <c r="B39" i="120" s="1"/>
  <c r="B40" i="120" s="1"/>
  <c r="B41" i="120" s="1"/>
  <c r="B42" i="120" s="1"/>
  <c r="B43" i="120" s="1"/>
  <c r="B44" i="120" s="1"/>
  <c r="B45" i="120" s="1"/>
  <c r="B46" i="120" s="1"/>
  <c r="B47" i="120" s="1"/>
  <c r="B48" i="120" s="1"/>
  <c r="B49" i="120" s="1"/>
  <c r="B50" i="120" s="1"/>
  <c r="B51" i="120" s="1"/>
  <c r="N6" i="120"/>
  <c r="I6" i="120"/>
  <c r="J6" i="120"/>
  <c r="N4" i="120"/>
  <c r="W113" i="120" l="1"/>
  <c r="W140" i="120"/>
  <c r="V145" i="120"/>
  <c r="W206" i="120"/>
  <c r="W237" i="120"/>
  <c r="V83" i="120"/>
  <c r="W111" i="120"/>
  <c r="W138" i="120"/>
  <c r="V144" i="120"/>
  <c r="W205" i="120"/>
  <c r="W207" i="120"/>
  <c r="W236" i="120"/>
  <c r="W238" i="120"/>
  <c r="V107" i="120"/>
  <c r="W136" i="120"/>
  <c r="V73" i="120"/>
  <c r="V71" i="120"/>
  <c r="W102" i="120"/>
  <c r="V225" i="120"/>
  <c r="V69" i="120"/>
  <c r="V67" i="120"/>
  <c r="V220" i="120"/>
  <c r="V218" i="120"/>
  <c r="W189" i="120"/>
  <c r="V156" i="120"/>
  <c r="W63" i="120"/>
  <c r="V62" i="120"/>
  <c r="V60" i="120"/>
  <c r="V61" i="120"/>
  <c r="V68" i="120"/>
  <c r="V72" i="120"/>
  <c r="W222" i="120"/>
  <c r="V224" i="120"/>
  <c r="V228" i="120"/>
  <c r="V230" i="120"/>
  <c r="W232" i="120"/>
  <c r="W234" i="120"/>
  <c r="V219" i="120"/>
  <c r="W221" i="120"/>
  <c r="V223" i="120"/>
  <c r="V229" i="120"/>
  <c r="V231" i="120"/>
  <c r="W233" i="120"/>
  <c r="W235" i="120"/>
  <c r="W198" i="120"/>
  <c r="W204" i="120"/>
  <c r="V203" i="120"/>
  <c r="W187" i="120"/>
  <c r="W186" i="120"/>
  <c r="W188" i="120"/>
  <c r="V190" i="120"/>
  <c r="V197" i="120"/>
  <c r="W185" i="120"/>
  <c r="W196" i="120"/>
  <c r="W161" i="120"/>
  <c r="W164" i="120"/>
  <c r="W157" i="120"/>
  <c r="V160" i="120"/>
  <c r="V159" i="120"/>
  <c r="V163" i="120"/>
  <c r="V158" i="120"/>
  <c r="V162" i="120"/>
  <c r="V143" i="120"/>
  <c r="W137" i="120"/>
  <c r="W139" i="120"/>
  <c r="W141" i="120"/>
  <c r="W124" i="120"/>
  <c r="V131" i="120"/>
  <c r="V125" i="120"/>
  <c r="W130" i="120"/>
  <c r="V132" i="120"/>
  <c r="V104" i="120"/>
  <c r="V106" i="120"/>
  <c r="V108" i="120"/>
  <c r="V110" i="120"/>
  <c r="V105" i="120"/>
  <c r="V94" i="120"/>
  <c r="W96" i="120"/>
  <c r="V92" i="120"/>
  <c r="V93" i="120"/>
  <c r="W100" i="120"/>
  <c r="W98" i="120"/>
  <c r="J52" i="120"/>
  <c r="W6" i="120"/>
  <c r="V6" i="120"/>
  <c r="V15" i="120"/>
  <c r="W15" i="120"/>
  <c r="W21" i="120"/>
  <c r="V21" i="120"/>
  <c r="V17" i="120"/>
  <c r="W17" i="120"/>
  <c r="W76" i="120"/>
  <c r="V76" i="120"/>
  <c r="V22" i="120"/>
  <c r="W22" i="120"/>
  <c r="W25" i="120"/>
  <c r="V25" i="120"/>
  <c r="W38" i="120"/>
  <c r="V38" i="120"/>
  <c r="V10" i="120"/>
  <c r="W10" i="120"/>
  <c r="V14" i="120"/>
  <c r="W14" i="120"/>
  <c r="W16" i="120"/>
  <c r="V16" i="120"/>
  <c r="V19" i="120"/>
  <c r="W19" i="120"/>
  <c r="V26" i="120"/>
  <c r="W26" i="120"/>
  <c r="W35" i="120"/>
  <c r="V35" i="120"/>
  <c r="W65" i="120"/>
  <c r="V65" i="120"/>
  <c r="W30" i="120"/>
  <c r="V30" i="120"/>
  <c r="W195" i="120"/>
  <c r="V195" i="120"/>
  <c r="V11" i="120"/>
  <c r="V18" i="120"/>
  <c r="V27" i="120"/>
  <c r="W36" i="120"/>
  <c r="V40" i="120"/>
  <c r="V42" i="120"/>
  <c r="V44" i="120"/>
  <c r="J84" i="120"/>
  <c r="W66" i="120"/>
  <c r="W78" i="120"/>
  <c r="V78" i="120"/>
  <c r="V99" i="120"/>
  <c r="W99" i="120"/>
  <c r="V114" i="120"/>
  <c r="W114" i="120"/>
  <c r="W155" i="120"/>
  <c r="V155" i="120"/>
  <c r="W32" i="120"/>
  <c r="V32" i="120"/>
  <c r="W174" i="120"/>
  <c r="V174" i="120"/>
  <c r="W227" i="120"/>
  <c r="V227" i="120"/>
  <c r="V7" i="120"/>
  <c r="V9" i="120"/>
  <c r="V20" i="120"/>
  <c r="V24" i="120"/>
  <c r="V29" i="120"/>
  <c r="W80" i="120"/>
  <c r="V82" i="120"/>
  <c r="V97" i="120"/>
  <c r="W97" i="120"/>
  <c r="V112" i="120"/>
  <c r="W112" i="120"/>
  <c r="J146" i="120"/>
  <c r="W123" i="120"/>
  <c r="W133" i="120"/>
  <c r="V133" i="120"/>
  <c r="W142" i="120"/>
  <c r="V142" i="120"/>
  <c r="W199" i="120"/>
  <c r="V199" i="120"/>
  <c r="W216" i="120"/>
  <c r="J240" i="120"/>
  <c r="V216" i="120"/>
  <c r="V101" i="120"/>
  <c r="W101" i="120"/>
  <c r="W166" i="120"/>
  <c r="V166" i="120"/>
  <c r="W170" i="120"/>
  <c r="V170" i="120"/>
  <c r="W12" i="120"/>
  <c r="N18" i="120"/>
  <c r="V23" i="120"/>
  <c r="V8" i="120"/>
  <c r="V28" i="120"/>
  <c r="W33" i="120"/>
  <c r="V75" i="120"/>
  <c r="W77" i="120"/>
  <c r="V77" i="120"/>
  <c r="W79" i="120"/>
  <c r="V79" i="120"/>
  <c r="W103" i="120"/>
  <c r="V103" i="120"/>
  <c r="V123" i="120"/>
  <c r="V129" i="120"/>
  <c r="W134" i="120"/>
  <c r="V134" i="120"/>
  <c r="W165" i="120"/>
  <c r="V165" i="120"/>
  <c r="W169" i="120"/>
  <c r="V169" i="120"/>
  <c r="W173" i="120"/>
  <c r="V173" i="120"/>
  <c r="W194" i="120"/>
  <c r="V194" i="120"/>
  <c r="W200" i="120"/>
  <c r="V200" i="120"/>
  <c r="W226" i="120"/>
  <c r="V226" i="120"/>
  <c r="J115" i="120"/>
  <c r="W126" i="120"/>
  <c r="V126" i="120"/>
  <c r="W135" i="120"/>
  <c r="V135" i="120"/>
  <c r="J177" i="120"/>
  <c r="W167" i="120"/>
  <c r="V167" i="120"/>
  <c r="W171" i="120"/>
  <c r="V171" i="120"/>
  <c r="W175" i="120"/>
  <c r="V175" i="120"/>
  <c r="W192" i="120"/>
  <c r="V192" i="120"/>
  <c r="W201" i="120"/>
  <c r="V201" i="120"/>
  <c r="W127" i="120"/>
  <c r="V127" i="120"/>
  <c r="W168" i="120"/>
  <c r="V168" i="120"/>
  <c r="W172" i="120"/>
  <c r="V172" i="120"/>
  <c r="W176" i="120"/>
  <c r="V176" i="120"/>
  <c r="W193" i="120"/>
  <c r="V193" i="120"/>
  <c r="W202" i="120"/>
  <c r="V202" i="120"/>
  <c r="W217" i="120"/>
  <c r="V217" i="120"/>
  <c r="J208" i="120"/>
  <c r="V154" i="120"/>
  <c r="H232" i="119"/>
  <c r="H204" i="119"/>
  <c r="H202" i="119"/>
  <c r="H142" i="119"/>
  <c r="H111" i="119"/>
  <c r="H80" i="119"/>
  <c r="H44" i="119"/>
  <c r="I44" i="119"/>
  <c r="H43" i="119"/>
  <c r="I43" i="119"/>
  <c r="H42" i="119"/>
  <c r="I42" i="119"/>
  <c r="H41" i="119"/>
  <c r="I41" i="119"/>
  <c r="I40" i="119"/>
  <c r="J40" i="119" s="1"/>
  <c r="H39" i="119"/>
  <c r="I39" i="119"/>
  <c r="J39" i="119" s="1"/>
  <c r="H38" i="119"/>
  <c r="I38" i="119"/>
  <c r="I37" i="119"/>
  <c r="J37" i="119" s="1"/>
  <c r="J42" i="119" l="1"/>
  <c r="J44" i="119"/>
  <c r="J38" i="119"/>
  <c r="J41" i="119"/>
  <c r="J43" i="119"/>
  <c r="W177" i="120"/>
  <c r="P12" i="120" s="1"/>
  <c r="V84" i="120"/>
  <c r="O6" i="120" s="1"/>
  <c r="R6" i="120" s="1"/>
  <c r="W84" i="120"/>
  <c r="P6" i="120" s="1"/>
  <c r="V208" i="120"/>
  <c r="O14" i="120" s="1"/>
  <c r="R14" i="120" s="1"/>
  <c r="W208" i="120"/>
  <c r="P14" i="120" s="1"/>
  <c r="W115" i="120"/>
  <c r="P8" i="120" s="1"/>
  <c r="V115" i="120"/>
  <c r="O8" i="120" s="1"/>
  <c r="Q8" i="120" s="1"/>
  <c r="W240" i="120"/>
  <c r="P16" i="120" s="1"/>
  <c r="V52" i="120"/>
  <c r="O4" i="120" s="1"/>
  <c r="V177" i="120"/>
  <c r="O12" i="120" s="1"/>
  <c r="W52" i="120"/>
  <c r="P4" i="120" s="1"/>
  <c r="W146" i="120"/>
  <c r="P10" i="120" s="1"/>
  <c r="V146" i="120"/>
  <c r="O10" i="120" s="1"/>
  <c r="V240" i="120"/>
  <c r="O16" i="120" s="1"/>
  <c r="I36" i="119"/>
  <c r="J36" i="119" s="1"/>
  <c r="I35" i="119"/>
  <c r="J35" i="119" s="1"/>
  <c r="H76" i="119"/>
  <c r="Q6" i="120" l="1"/>
  <c r="Q14" i="120"/>
  <c r="R8" i="120"/>
  <c r="O18" i="120"/>
  <c r="R18" i="120" s="1"/>
  <c r="P20" i="120" s="1"/>
  <c r="R4" i="120"/>
  <c r="Q4" i="120"/>
  <c r="R10" i="120"/>
  <c r="Q10" i="120"/>
  <c r="P18" i="120"/>
  <c r="Q16" i="120"/>
  <c r="R16" i="120"/>
  <c r="R12" i="120"/>
  <c r="Q12" i="120"/>
  <c r="H165" i="119"/>
  <c r="H136" i="119"/>
  <c r="H135" i="119"/>
  <c r="H103" i="119"/>
  <c r="H75" i="119"/>
  <c r="H72" i="119"/>
  <c r="H66" i="119"/>
  <c r="H34" i="119"/>
  <c r="J34" i="119" s="1"/>
  <c r="I34" i="119"/>
  <c r="I33" i="119"/>
  <c r="J33" i="119" s="1"/>
  <c r="H32" i="119"/>
  <c r="I32" i="119"/>
  <c r="H31" i="119"/>
  <c r="I31" i="119"/>
  <c r="J31" i="119" s="1"/>
  <c r="I30" i="119"/>
  <c r="J30" i="119" s="1"/>
  <c r="H227" i="119"/>
  <c r="H226" i="119"/>
  <c r="H223" i="119"/>
  <c r="H199" i="119"/>
  <c r="H197" i="119"/>
  <c r="H196" i="119"/>
  <c r="H195" i="119"/>
  <c r="H192" i="119"/>
  <c r="J32" i="119" l="1"/>
  <c r="Q18" i="120"/>
  <c r="I29" i="119"/>
  <c r="J29" i="119" s="1"/>
  <c r="I28" i="119"/>
  <c r="J28" i="119" s="1"/>
  <c r="I27" i="119"/>
  <c r="J27" i="119" s="1"/>
  <c r="I26" i="119"/>
  <c r="J26" i="119" s="1"/>
  <c r="I25" i="119"/>
  <c r="J25" i="119" s="1"/>
  <c r="I24" i="119"/>
  <c r="J24" i="119" s="1"/>
  <c r="H133" i="119" l="1"/>
  <c r="H129" i="119"/>
  <c r="I23" i="119"/>
  <c r="J23" i="119" s="1"/>
  <c r="I22" i="119"/>
  <c r="J22" i="119" s="1"/>
  <c r="I21" i="119"/>
  <c r="J21" i="119" s="1"/>
  <c r="I20" i="119" l="1"/>
  <c r="J20" i="119" s="1"/>
  <c r="H19" i="119"/>
  <c r="I19" i="119"/>
  <c r="I18" i="119"/>
  <c r="J18" i="119" s="1"/>
  <c r="I17" i="119"/>
  <c r="J17" i="119" s="1"/>
  <c r="J19" i="119" l="1"/>
  <c r="H221" i="119"/>
  <c r="H217" i="119"/>
  <c r="H190" i="119"/>
  <c r="J190" i="119" s="1"/>
  <c r="V190" i="119" s="1"/>
  <c r="H155" i="119"/>
  <c r="J155" i="119" s="1"/>
  <c r="W155" i="119" s="1"/>
  <c r="H154" i="119"/>
  <c r="H128" i="119"/>
  <c r="H127" i="119"/>
  <c r="H126" i="119"/>
  <c r="J126" i="119" s="1"/>
  <c r="W126" i="119" s="1"/>
  <c r="H123" i="119"/>
  <c r="H65" i="119"/>
  <c r="H64" i="119"/>
  <c r="I8" i="119"/>
  <c r="J8" i="119" s="1"/>
  <c r="I9" i="119"/>
  <c r="I10" i="119"/>
  <c r="I11" i="119"/>
  <c r="I12" i="119"/>
  <c r="J12" i="119" s="1"/>
  <c r="V12" i="119" s="1"/>
  <c r="I13" i="119"/>
  <c r="J13" i="119" s="1"/>
  <c r="I14" i="119"/>
  <c r="I15" i="119"/>
  <c r="I16" i="119"/>
  <c r="J16" i="119" s="1"/>
  <c r="H14" i="119"/>
  <c r="H15" i="119"/>
  <c r="J15" i="119" s="1"/>
  <c r="H11" i="119"/>
  <c r="H10" i="119"/>
  <c r="H9" i="119"/>
  <c r="J9" i="119" s="1"/>
  <c r="W9" i="119" s="1"/>
  <c r="H6" i="119"/>
  <c r="J239" i="119"/>
  <c r="V239" i="119" s="1"/>
  <c r="J238" i="119"/>
  <c r="V238" i="119" s="1"/>
  <c r="J237" i="119"/>
  <c r="V237" i="119" s="1"/>
  <c r="J236" i="119"/>
  <c r="V236" i="119" s="1"/>
  <c r="J235" i="119"/>
  <c r="V235" i="119" s="1"/>
  <c r="J234" i="119"/>
  <c r="V234" i="119" s="1"/>
  <c r="J233" i="119"/>
  <c r="V233" i="119" s="1"/>
  <c r="J232" i="119"/>
  <c r="W232" i="119" s="1"/>
  <c r="J231" i="119"/>
  <c r="W231" i="119" s="1"/>
  <c r="J230" i="119"/>
  <c r="W230" i="119" s="1"/>
  <c r="J229" i="119"/>
  <c r="W229" i="119" s="1"/>
  <c r="J228" i="119"/>
  <c r="W228" i="119" s="1"/>
  <c r="J227" i="119"/>
  <c r="W227" i="119" s="1"/>
  <c r="J226" i="119"/>
  <c r="J225" i="119"/>
  <c r="J224" i="119"/>
  <c r="W224" i="119" s="1"/>
  <c r="J223" i="119"/>
  <c r="V223" i="119" s="1"/>
  <c r="J222" i="119"/>
  <c r="V222" i="119" s="1"/>
  <c r="J221" i="119"/>
  <c r="V221" i="119" s="1"/>
  <c r="J220" i="119"/>
  <c r="V220" i="119" s="1"/>
  <c r="J219" i="119"/>
  <c r="J218" i="119"/>
  <c r="J217" i="119"/>
  <c r="W217" i="119" s="1"/>
  <c r="B217" i="119"/>
  <c r="B218" i="119" s="1"/>
  <c r="B219" i="119" s="1"/>
  <c r="B220" i="119" s="1"/>
  <c r="B221" i="119" s="1"/>
  <c r="B222" i="119" s="1"/>
  <c r="B223" i="119" s="1"/>
  <c r="B224" i="119" s="1"/>
  <c r="B225" i="119" s="1"/>
  <c r="B226" i="119" s="1"/>
  <c r="B227" i="119" s="1"/>
  <c r="B228" i="119" s="1"/>
  <c r="B229" i="119" s="1"/>
  <c r="B230" i="119" s="1"/>
  <c r="B231" i="119" s="1"/>
  <c r="B232" i="119" s="1"/>
  <c r="B233" i="119" s="1"/>
  <c r="B234" i="119" s="1"/>
  <c r="B235" i="119" s="1"/>
  <c r="B236" i="119" s="1"/>
  <c r="B237" i="119" s="1"/>
  <c r="B238" i="119" s="1"/>
  <c r="B239" i="119" s="1"/>
  <c r="J216" i="119"/>
  <c r="V216" i="119" s="1"/>
  <c r="J207" i="119"/>
  <c r="J206" i="119"/>
  <c r="J205" i="119"/>
  <c r="J204" i="119"/>
  <c r="J203" i="119"/>
  <c r="J202" i="119"/>
  <c r="J201" i="119"/>
  <c r="J200" i="119"/>
  <c r="J199" i="119"/>
  <c r="J198" i="119"/>
  <c r="W198" i="119" s="1"/>
  <c r="J197" i="119"/>
  <c r="W197" i="119" s="1"/>
  <c r="J196" i="119"/>
  <c r="V196" i="119" s="1"/>
  <c r="J195" i="119"/>
  <c r="V195" i="119" s="1"/>
  <c r="J194" i="119"/>
  <c r="V194" i="119" s="1"/>
  <c r="J193" i="119"/>
  <c r="V193" i="119" s="1"/>
  <c r="J192" i="119"/>
  <c r="V192" i="119" s="1"/>
  <c r="J191" i="119"/>
  <c r="V191" i="119" s="1"/>
  <c r="J189" i="119"/>
  <c r="W189" i="119" s="1"/>
  <c r="J188" i="119"/>
  <c r="W188" i="119" s="1"/>
  <c r="J187" i="119"/>
  <c r="W187" i="119" s="1"/>
  <c r="J186" i="119"/>
  <c r="W186" i="119" s="1"/>
  <c r="B186" i="119"/>
  <c r="B187" i="119" s="1"/>
  <c r="B188" i="119" s="1"/>
  <c r="B189" i="119" s="1"/>
  <c r="B190" i="119" s="1"/>
  <c r="B191" i="119" s="1"/>
  <c r="B192" i="119" s="1"/>
  <c r="B193" i="119" s="1"/>
  <c r="B194" i="119" s="1"/>
  <c r="B195" i="119" s="1"/>
  <c r="B196" i="119" s="1"/>
  <c r="B197" i="119" s="1"/>
  <c r="B198" i="119" s="1"/>
  <c r="B199" i="119" s="1"/>
  <c r="B200" i="119" s="1"/>
  <c r="B201" i="119" s="1"/>
  <c r="B202" i="119" s="1"/>
  <c r="B203" i="119" s="1"/>
  <c r="B204" i="119" s="1"/>
  <c r="B205" i="119" s="1"/>
  <c r="B206" i="119" s="1"/>
  <c r="B207" i="119" s="1"/>
  <c r="J185" i="119"/>
  <c r="W185" i="119" s="1"/>
  <c r="J176" i="119"/>
  <c r="W176" i="119" s="1"/>
  <c r="J175" i="119"/>
  <c r="W175" i="119" s="1"/>
  <c r="J174" i="119"/>
  <c r="W174" i="119" s="1"/>
  <c r="J173" i="119"/>
  <c r="V173" i="119" s="1"/>
  <c r="J172" i="119"/>
  <c r="W172" i="119" s="1"/>
  <c r="J171" i="119"/>
  <c r="W171" i="119" s="1"/>
  <c r="J170" i="119"/>
  <c r="W170" i="119" s="1"/>
  <c r="J169" i="119"/>
  <c r="V169" i="119" s="1"/>
  <c r="J168" i="119"/>
  <c r="W168" i="119" s="1"/>
  <c r="J167" i="119"/>
  <c r="W167" i="119" s="1"/>
  <c r="J166" i="119"/>
  <c r="W166" i="119" s="1"/>
  <c r="J165" i="119"/>
  <c r="W165" i="119" s="1"/>
  <c r="J164" i="119"/>
  <c r="W164" i="119" s="1"/>
  <c r="J163" i="119"/>
  <c r="W163" i="119" s="1"/>
  <c r="J162" i="119"/>
  <c r="V162" i="119" s="1"/>
  <c r="J161" i="119"/>
  <c r="V161" i="119" s="1"/>
  <c r="J160" i="119"/>
  <c r="W160" i="119" s="1"/>
  <c r="J159" i="119"/>
  <c r="W159" i="119" s="1"/>
  <c r="J158" i="119"/>
  <c r="J157" i="119"/>
  <c r="J156" i="119"/>
  <c r="W156" i="119" s="1"/>
  <c r="B155" i="119"/>
  <c r="B156" i="119" s="1"/>
  <c r="B157" i="119" s="1"/>
  <c r="B158" i="119" s="1"/>
  <c r="B159" i="119" s="1"/>
  <c r="B160" i="119" s="1"/>
  <c r="B161" i="119" s="1"/>
  <c r="B162" i="119" s="1"/>
  <c r="B163" i="119" s="1"/>
  <c r="B164" i="119" s="1"/>
  <c r="B165" i="119" s="1"/>
  <c r="B166" i="119" s="1"/>
  <c r="B167" i="119" s="1"/>
  <c r="B168" i="119" s="1"/>
  <c r="B169" i="119" s="1"/>
  <c r="B170" i="119" s="1"/>
  <c r="B171" i="119" s="1"/>
  <c r="B172" i="119" s="1"/>
  <c r="B173" i="119" s="1"/>
  <c r="B174" i="119" s="1"/>
  <c r="B175" i="119" s="1"/>
  <c r="B176" i="119" s="1"/>
  <c r="J154" i="119"/>
  <c r="V154" i="119" s="1"/>
  <c r="J145" i="119"/>
  <c r="W145" i="119" s="1"/>
  <c r="J144" i="119"/>
  <c r="V144" i="119" s="1"/>
  <c r="J143" i="119"/>
  <c r="W143" i="119" s="1"/>
  <c r="J142" i="119"/>
  <c r="W142" i="119" s="1"/>
  <c r="J141" i="119"/>
  <c r="W141" i="119" s="1"/>
  <c r="J140" i="119"/>
  <c r="V140" i="119" s="1"/>
  <c r="J139" i="119"/>
  <c r="W139" i="119" s="1"/>
  <c r="J138" i="119"/>
  <c r="W138" i="119" s="1"/>
  <c r="J137" i="119"/>
  <c r="W137" i="119" s="1"/>
  <c r="J136" i="119"/>
  <c r="V136" i="119" s="1"/>
  <c r="J135" i="119"/>
  <c r="W135" i="119" s="1"/>
  <c r="J134" i="119"/>
  <c r="W134" i="119" s="1"/>
  <c r="J133" i="119"/>
  <c r="W133" i="119" s="1"/>
  <c r="J132" i="119"/>
  <c r="V132" i="119" s="1"/>
  <c r="J131" i="119"/>
  <c r="V131" i="119" s="1"/>
  <c r="J130" i="119"/>
  <c r="J129" i="119"/>
  <c r="J128" i="119"/>
  <c r="W128" i="119" s="1"/>
  <c r="J127" i="119"/>
  <c r="W127" i="119" s="1"/>
  <c r="J125" i="119"/>
  <c r="V125" i="119" s="1"/>
  <c r="J124" i="119"/>
  <c r="V124" i="119" s="1"/>
  <c r="B124" i="119"/>
  <c r="B125" i="119" s="1"/>
  <c r="B126" i="119" s="1"/>
  <c r="B127" i="119" s="1"/>
  <c r="B128" i="119" s="1"/>
  <c r="B129" i="119" s="1"/>
  <c r="B130" i="119" s="1"/>
  <c r="B131" i="119" s="1"/>
  <c r="B132" i="119" s="1"/>
  <c r="B133" i="119" s="1"/>
  <c r="B134" i="119" s="1"/>
  <c r="B135" i="119" s="1"/>
  <c r="B136" i="119" s="1"/>
  <c r="B137" i="119" s="1"/>
  <c r="B138" i="119" s="1"/>
  <c r="B139" i="119" s="1"/>
  <c r="B140" i="119" s="1"/>
  <c r="B141" i="119" s="1"/>
  <c r="B142" i="119" s="1"/>
  <c r="B143" i="119" s="1"/>
  <c r="B144" i="119" s="1"/>
  <c r="B145" i="119" s="1"/>
  <c r="J123" i="119"/>
  <c r="W123" i="119" s="1"/>
  <c r="J114" i="119"/>
  <c r="W114" i="119" s="1"/>
  <c r="J113" i="119"/>
  <c r="J112" i="119"/>
  <c r="W112" i="119" s="1"/>
  <c r="J111" i="119"/>
  <c r="W111" i="119" s="1"/>
  <c r="J110" i="119"/>
  <c r="W110" i="119" s="1"/>
  <c r="J109" i="119"/>
  <c r="J108" i="119"/>
  <c r="W108" i="119" s="1"/>
  <c r="J107" i="119"/>
  <c r="W107" i="119" s="1"/>
  <c r="J106" i="119"/>
  <c r="W106" i="119" s="1"/>
  <c r="J105" i="119"/>
  <c r="J104" i="119"/>
  <c r="W104" i="119" s="1"/>
  <c r="J103" i="119"/>
  <c r="W103" i="119" s="1"/>
  <c r="J102" i="119"/>
  <c r="W102" i="119" s="1"/>
  <c r="J101" i="119"/>
  <c r="J100" i="119"/>
  <c r="W100" i="119" s="1"/>
  <c r="J99" i="119"/>
  <c r="W99" i="119" s="1"/>
  <c r="J98" i="119"/>
  <c r="V98" i="119" s="1"/>
  <c r="J97" i="119"/>
  <c r="W97" i="119" s="1"/>
  <c r="J96" i="119"/>
  <c r="W96" i="119" s="1"/>
  <c r="J95" i="119"/>
  <c r="W95" i="119" s="1"/>
  <c r="J94" i="119"/>
  <c r="V94" i="119" s="1"/>
  <c r="J93" i="119"/>
  <c r="V93" i="119" s="1"/>
  <c r="B93" i="119"/>
  <c r="B94" i="119" s="1"/>
  <c r="B95" i="119" s="1"/>
  <c r="B96" i="119" s="1"/>
  <c r="B97" i="119" s="1"/>
  <c r="B98" i="119" s="1"/>
  <c r="B99" i="119" s="1"/>
  <c r="B100" i="119" s="1"/>
  <c r="B101" i="119" s="1"/>
  <c r="B102" i="119" s="1"/>
  <c r="B103" i="119" s="1"/>
  <c r="B104" i="119" s="1"/>
  <c r="B105" i="119" s="1"/>
  <c r="B106" i="119" s="1"/>
  <c r="B107" i="119" s="1"/>
  <c r="B108" i="119" s="1"/>
  <c r="B109" i="119" s="1"/>
  <c r="B110" i="119" s="1"/>
  <c r="B111" i="119" s="1"/>
  <c r="B112" i="119" s="1"/>
  <c r="B113" i="119" s="1"/>
  <c r="B114" i="119" s="1"/>
  <c r="J92" i="119"/>
  <c r="J83" i="119"/>
  <c r="V83" i="119" s="1"/>
  <c r="J82" i="119"/>
  <c r="V82" i="119" s="1"/>
  <c r="J81" i="119"/>
  <c r="J80" i="119"/>
  <c r="J79" i="119"/>
  <c r="J78" i="119"/>
  <c r="J77" i="119"/>
  <c r="W77" i="119" s="1"/>
  <c r="J76" i="119"/>
  <c r="W76" i="119" s="1"/>
  <c r="J75" i="119"/>
  <c r="W75" i="119" s="1"/>
  <c r="J74" i="119"/>
  <c r="W74" i="119" s="1"/>
  <c r="J73" i="119"/>
  <c r="V73" i="119" s="1"/>
  <c r="J72" i="119"/>
  <c r="V72" i="119" s="1"/>
  <c r="J71" i="119"/>
  <c r="W71" i="119" s="1"/>
  <c r="J70" i="119"/>
  <c r="V70" i="119" s="1"/>
  <c r="J69" i="119"/>
  <c r="W69" i="119" s="1"/>
  <c r="J68" i="119"/>
  <c r="W68" i="119" s="1"/>
  <c r="J67" i="119"/>
  <c r="J66" i="119"/>
  <c r="J65" i="119"/>
  <c r="W65" i="119" s="1"/>
  <c r="J64" i="119"/>
  <c r="V64" i="119" s="1"/>
  <c r="J63" i="119"/>
  <c r="J62" i="119"/>
  <c r="J61" i="119"/>
  <c r="W61" i="119" s="1"/>
  <c r="B61" i="119"/>
  <c r="B62" i="119" s="1"/>
  <c r="B63" i="119" s="1"/>
  <c r="B64" i="119" s="1"/>
  <c r="B65" i="119" s="1"/>
  <c r="B66" i="119" s="1"/>
  <c r="B67" i="119" s="1"/>
  <c r="B68" i="119" s="1"/>
  <c r="B69" i="119" s="1"/>
  <c r="B70" i="119" s="1"/>
  <c r="B71" i="119" s="1"/>
  <c r="B72" i="119" s="1"/>
  <c r="B73" i="119" s="1"/>
  <c r="B74" i="119" s="1"/>
  <c r="B75" i="119" s="1"/>
  <c r="B76" i="119" s="1"/>
  <c r="B77" i="119" s="1"/>
  <c r="B78" i="119" s="1"/>
  <c r="B79" i="119" s="1"/>
  <c r="B80" i="119" s="1"/>
  <c r="B81" i="119" s="1"/>
  <c r="B82" i="119" s="1"/>
  <c r="B83" i="119" s="1"/>
  <c r="J60" i="119"/>
  <c r="V60" i="119" s="1"/>
  <c r="W51" i="119"/>
  <c r="V51" i="119"/>
  <c r="W50" i="119"/>
  <c r="V50" i="119"/>
  <c r="V49" i="119"/>
  <c r="W49" i="119"/>
  <c r="V48" i="119"/>
  <c r="W48" i="119"/>
  <c r="W47" i="119"/>
  <c r="W46" i="119"/>
  <c r="V46" i="119"/>
  <c r="W44" i="119"/>
  <c r="W43" i="119"/>
  <c r="W40" i="119"/>
  <c r="W37" i="119"/>
  <c r="W36" i="119"/>
  <c r="V36" i="119"/>
  <c r="V33" i="119"/>
  <c r="W33" i="119"/>
  <c r="W30" i="119"/>
  <c r="V29" i="119"/>
  <c r="W27" i="119"/>
  <c r="W24" i="119"/>
  <c r="V21" i="119"/>
  <c r="W21" i="119"/>
  <c r="V19" i="119"/>
  <c r="W18" i="119"/>
  <c r="N14" i="119"/>
  <c r="N12" i="119"/>
  <c r="N10" i="119"/>
  <c r="N8" i="119"/>
  <c r="I7" i="119"/>
  <c r="J7" i="119" s="1"/>
  <c r="B7" i="119"/>
  <c r="B8" i="119" s="1"/>
  <c r="B9" i="119" s="1"/>
  <c r="B10" i="119" s="1"/>
  <c r="B11" i="119" s="1"/>
  <c r="B12" i="119" s="1"/>
  <c r="B13" i="119" s="1"/>
  <c r="B14" i="119" s="1"/>
  <c r="B15" i="119" s="1"/>
  <c r="B16" i="119" s="1"/>
  <c r="B17" i="119" s="1"/>
  <c r="B18" i="119" s="1"/>
  <c r="B19" i="119" s="1"/>
  <c r="B20" i="119" s="1"/>
  <c r="B21" i="119" s="1"/>
  <c r="B22" i="119" s="1"/>
  <c r="B23" i="119" s="1"/>
  <c r="B24" i="119" s="1"/>
  <c r="B25" i="119" s="1"/>
  <c r="B26" i="119" s="1"/>
  <c r="B27" i="119" s="1"/>
  <c r="B28" i="119" s="1"/>
  <c r="B29" i="119" s="1"/>
  <c r="B30" i="119" s="1"/>
  <c r="B31" i="119" s="1"/>
  <c r="B32" i="119" s="1"/>
  <c r="B33" i="119" s="1"/>
  <c r="N6" i="119"/>
  <c r="I6" i="119"/>
  <c r="N4" i="119"/>
  <c r="V143" i="119" l="1"/>
  <c r="J6" i="119"/>
  <c r="J11" i="119"/>
  <c r="W11" i="119" s="1"/>
  <c r="W83" i="119"/>
  <c r="V175" i="119"/>
  <c r="W238" i="119"/>
  <c r="J14" i="119"/>
  <c r="V14" i="119" s="1"/>
  <c r="J10" i="119"/>
  <c r="V10" i="119" s="1"/>
  <c r="W82" i="119"/>
  <c r="W144" i="119"/>
  <c r="W162" i="119"/>
  <c r="W237" i="119"/>
  <c r="W239" i="119"/>
  <c r="V114" i="119"/>
  <c r="W124" i="119"/>
  <c r="V145" i="119"/>
  <c r="V176" i="119"/>
  <c r="V112" i="119"/>
  <c r="W131" i="119"/>
  <c r="B34" i="119"/>
  <c r="B35" i="119" s="1"/>
  <c r="B36" i="119" s="1"/>
  <c r="B37" i="119" s="1"/>
  <c r="B38" i="119" s="1"/>
  <c r="B39" i="119" s="1"/>
  <c r="B40" i="119" s="1"/>
  <c r="B41" i="119" s="1"/>
  <c r="B42" i="119" s="1"/>
  <c r="B43" i="119" s="1"/>
  <c r="B44" i="119" s="1"/>
  <c r="B45" i="119" s="1"/>
  <c r="B46" i="119" s="1"/>
  <c r="B47" i="119" s="1"/>
  <c r="B48" i="119" s="1"/>
  <c r="B49" i="119" s="1"/>
  <c r="B50" i="119" s="1"/>
  <c r="B51" i="119" s="1"/>
  <c r="W235" i="119"/>
  <c r="W233" i="119"/>
  <c r="W173" i="119"/>
  <c r="V172" i="119"/>
  <c r="W140" i="119"/>
  <c r="V139" i="119"/>
  <c r="W169" i="119"/>
  <c r="V231" i="119"/>
  <c r="V168" i="119"/>
  <c r="V165" i="119"/>
  <c r="V164" i="119"/>
  <c r="W161" i="119"/>
  <c r="V160" i="119"/>
  <c r="W136" i="119"/>
  <c r="V135" i="119"/>
  <c r="V71" i="119"/>
  <c r="W70" i="119"/>
  <c r="V69" i="119"/>
  <c r="V229" i="119"/>
  <c r="V227" i="119"/>
  <c r="W223" i="119"/>
  <c r="V197" i="119"/>
  <c r="W195" i="119"/>
  <c r="W193" i="119"/>
  <c r="W191" i="119"/>
  <c r="W132" i="119"/>
  <c r="W221" i="119"/>
  <c r="V189" i="119"/>
  <c r="V188" i="119"/>
  <c r="V155" i="119"/>
  <c r="W125" i="119"/>
  <c r="V123" i="119"/>
  <c r="W64" i="119"/>
  <c r="V61" i="119"/>
  <c r="W222" i="119"/>
  <c r="W216" i="119"/>
  <c r="V228" i="119"/>
  <c r="V230" i="119"/>
  <c r="V232" i="119"/>
  <c r="W234" i="119"/>
  <c r="W236" i="119"/>
  <c r="W220" i="119"/>
  <c r="J208" i="119"/>
  <c r="V187" i="119"/>
  <c r="V185" i="119"/>
  <c r="V186" i="119"/>
  <c r="W190" i="119"/>
  <c r="W192" i="119"/>
  <c r="W194" i="119"/>
  <c r="W196" i="119"/>
  <c r="V198" i="119"/>
  <c r="V156" i="119"/>
  <c r="V159" i="119"/>
  <c r="V163" i="119"/>
  <c r="V167" i="119"/>
  <c r="V171" i="119"/>
  <c r="V166" i="119"/>
  <c r="V170" i="119"/>
  <c r="V174" i="119"/>
  <c r="V127" i="119"/>
  <c r="V134" i="119"/>
  <c r="V138" i="119"/>
  <c r="V142" i="119"/>
  <c r="V126" i="119"/>
  <c r="V133" i="119"/>
  <c r="V137" i="119"/>
  <c r="V141" i="119"/>
  <c r="V128" i="119"/>
  <c r="V100" i="119"/>
  <c r="V104" i="119"/>
  <c r="V108" i="119"/>
  <c r="W93" i="119"/>
  <c r="V95" i="119"/>
  <c r="V97" i="119"/>
  <c r="V102" i="119"/>
  <c r="V110" i="119"/>
  <c r="W94" i="119"/>
  <c r="V96" i="119"/>
  <c r="W98" i="119"/>
  <c r="V106" i="119"/>
  <c r="V68" i="119"/>
  <c r="W72" i="119"/>
  <c r="V74" i="119"/>
  <c r="V76" i="119"/>
  <c r="N18" i="119"/>
  <c r="W73" i="119"/>
  <c r="V75" i="119"/>
  <c r="V77" i="119"/>
  <c r="V44" i="119"/>
  <c r="V37" i="119"/>
  <c r="V40" i="119"/>
  <c r="V43" i="119"/>
  <c r="V47" i="119"/>
  <c r="W19" i="119"/>
  <c r="V24" i="119"/>
  <c r="V27" i="119"/>
  <c r="V30" i="119"/>
  <c r="W15" i="119"/>
  <c r="V15" i="119"/>
  <c r="W8" i="119"/>
  <c r="V8" i="119"/>
  <c r="W13" i="119"/>
  <c r="V13" i="119"/>
  <c r="V11" i="119"/>
  <c r="V6" i="119"/>
  <c r="W6" i="119"/>
  <c r="W7" i="119"/>
  <c r="V7" i="119"/>
  <c r="W16" i="119"/>
  <c r="V16" i="119"/>
  <c r="W62" i="119"/>
  <c r="V62" i="119"/>
  <c r="W80" i="119"/>
  <c r="V80" i="119"/>
  <c r="V9" i="119"/>
  <c r="W29" i="119"/>
  <c r="W38" i="119"/>
  <c r="V38" i="119"/>
  <c r="W41" i="119"/>
  <c r="V41" i="119"/>
  <c r="W63" i="119"/>
  <c r="V63" i="119"/>
  <c r="W66" i="119"/>
  <c r="V66" i="119"/>
  <c r="W105" i="119"/>
  <c r="V105" i="119"/>
  <c r="W199" i="119"/>
  <c r="V199" i="119"/>
  <c r="W203" i="119"/>
  <c r="V203" i="119"/>
  <c r="W207" i="119"/>
  <c r="V207" i="119"/>
  <c r="W225" i="119"/>
  <c r="V225" i="119"/>
  <c r="W17" i="119"/>
  <c r="V17" i="119"/>
  <c r="W20" i="119"/>
  <c r="V20" i="119"/>
  <c r="W22" i="119"/>
  <c r="V22" i="119"/>
  <c r="W25" i="119"/>
  <c r="V25" i="119"/>
  <c r="W28" i="119"/>
  <c r="V28" i="119"/>
  <c r="W31" i="119"/>
  <c r="V31" i="119"/>
  <c r="W34" i="119"/>
  <c r="V34" i="119"/>
  <c r="W39" i="119"/>
  <c r="V39" i="119"/>
  <c r="W42" i="119"/>
  <c r="V42" i="119"/>
  <c r="J84" i="119"/>
  <c r="W67" i="119"/>
  <c r="V67" i="119"/>
  <c r="W78" i="119"/>
  <c r="V78" i="119"/>
  <c r="W92" i="119"/>
  <c r="V92" i="119"/>
  <c r="J115" i="119"/>
  <c r="W101" i="119"/>
  <c r="V101" i="119"/>
  <c r="W129" i="119"/>
  <c r="V129" i="119"/>
  <c r="J146" i="119"/>
  <c r="W12" i="119"/>
  <c r="W109" i="119"/>
  <c r="V109" i="119"/>
  <c r="W23" i="119"/>
  <c r="V23" i="119"/>
  <c r="W26" i="119"/>
  <c r="V26" i="119"/>
  <c r="W32" i="119"/>
  <c r="V32" i="119"/>
  <c r="W35" i="119"/>
  <c r="V35" i="119"/>
  <c r="V65" i="119"/>
  <c r="W79" i="119"/>
  <c r="V79" i="119"/>
  <c r="W113" i="119"/>
  <c r="V113" i="119"/>
  <c r="W158" i="119"/>
  <c r="V158" i="119"/>
  <c r="V18" i="119"/>
  <c r="W60" i="119"/>
  <c r="W130" i="119"/>
  <c r="W146" i="119" s="1"/>
  <c r="P10" i="119" s="1"/>
  <c r="V130" i="119"/>
  <c r="W200" i="119"/>
  <c r="V200" i="119"/>
  <c r="W204" i="119"/>
  <c r="V204" i="119"/>
  <c r="W218" i="119"/>
  <c r="V218" i="119"/>
  <c r="W226" i="119"/>
  <c r="V226" i="119"/>
  <c r="W201" i="119"/>
  <c r="V201" i="119"/>
  <c r="W205" i="119"/>
  <c r="V205" i="119"/>
  <c r="V217" i="119"/>
  <c r="W219" i="119"/>
  <c r="V219" i="119"/>
  <c r="V224" i="119"/>
  <c r="V99" i="119"/>
  <c r="V103" i="119"/>
  <c r="V107" i="119"/>
  <c r="V111" i="119"/>
  <c r="J177" i="119"/>
  <c r="W157" i="119"/>
  <c r="V157" i="119"/>
  <c r="W202" i="119"/>
  <c r="V202" i="119"/>
  <c r="W206" i="119"/>
  <c r="V206" i="119"/>
  <c r="W154" i="119"/>
  <c r="J240" i="119"/>
  <c r="J48" i="118"/>
  <c r="J49" i="118"/>
  <c r="W10" i="119" l="1"/>
  <c r="W14" i="119"/>
  <c r="J52" i="119"/>
  <c r="W84" i="119"/>
  <c r="P6" i="119" s="1"/>
  <c r="V177" i="119"/>
  <c r="O12" i="119" s="1"/>
  <c r="R12" i="119" s="1"/>
  <c r="W240" i="119"/>
  <c r="P16" i="119" s="1"/>
  <c r="V240" i="119"/>
  <c r="O16" i="119" s="1"/>
  <c r="R16" i="119" s="1"/>
  <c r="W208" i="119"/>
  <c r="P14" i="119" s="1"/>
  <c r="V208" i="119"/>
  <c r="O14" i="119" s="1"/>
  <c r="R14" i="119" s="1"/>
  <c r="V146" i="119"/>
  <c r="O10" i="119" s="1"/>
  <c r="R10" i="119" s="1"/>
  <c r="V84" i="119"/>
  <c r="O6" i="119" s="1"/>
  <c r="R6" i="119" s="1"/>
  <c r="V115" i="119"/>
  <c r="O8" i="119" s="1"/>
  <c r="W177" i="119"/>
  <c r="P12" i="119" s="1"/>
  <c r="Q12" i="119" s="1"/>
  <c r="W45" i="119"/>
  <c r="W52" i="119" s="1"/>
  <c r="P4" i="119" s="1"/>
  <c r="V45" i="119"/>
  <c r="V52" i="119" s="1"/>
  <c r="O4" i="119" s="1"/>
  <c r="W115" i="119"/>
  <c r="P8" i="119" s="1"/>
  <c r="H174" i="118"/>
  <c r="H78" i="118"/>
  <c r="J46" i="118"/>
  <c r="J47" i="118"/>
  <c r="I47" i="118"/>
  <c r="I46" i="118"/>
  <c r="H45" i="118"/>
  <c r="J45" i="118" s="1"/>
  <c r="I45" i="118"/>
  <c r="I44" i="118"/>
  <c r="J44" i="118" s="1"/>
  <c r="J43" i="118"/>
  <c r="I43" i="118"/>
  <c r="I42" i="118"/>
  <c r="J42" i="118" s="1"/>
  <c r="I41" i="118"/>
  <c r="Q16" i="119" l="1"/>
  <c r="Q10" i="119"/>
  <c r="P18" i="119"/>
  <c r="Q6" i="119"/>
  <c r="Q14" i="119"/>
  <c r="O18" i="119"/>
  <c r="R18" i="119" s="1"/>
  <c r="P20" i="119" s="1"/>
  <c r="R4" i="119"/>
  <c r="Q4" i="119"/>
  <c r="R8" i="119"/>
  <c r="Q8" i="119"/>
  <c r="H40" i="118"/>
  <c r="Q18" i="119" l="1"/>
  <c r="J41" i="118"/>
  <c r="I40" i="118"/>
  <c r="J40" i="118" s="1"/>
  <c r="J33" i="118" l="1"/>
  <c r="J36" i="118"/>
  <c r="J37" i="118"/>
  <c r="I39" i="118"/>
  <c r="J39" i="118" s="1"/>
  <c r="I38" i="118"/>
  <c r="J38" i="118" s="1"/>
  <c r="I37" i="118"/>
  <c r="I36" i="118"/>
  <c r="I35" i="118"/>
  <c r="J35" i="118" s="1"/>
  <c r="I34" i="118"/>
  <c r="J34" i="118" s="1"/>
  <c r="H33" i="118"/>
  <c r="I33" i="118"/>
  <c r="I32" i="118"/>
  <c r="J32" i="118" s="1"/>
  <c r="I31" i="118"/>
  <c r="J31" i="118" s="1"/>
  <c r="I30" i="118"/>
  <c r="J30" i="118" s="1"/>
  <c r="H74" i="118"/>
  <c r="H72" i="118"/>
  <c r="H233" i="118"/>
  <c r="H199" i="118"/>
  <c r="H197" i="118"/>
  <c r="H29" i="118" l="1"/>
  <c r="J29" i="118" s="1"/>
  <c r="I29" i="118"/>
  <c r="I28" i="118"/>
  <c r="J28" i="118" s="1"/>
  <c r="H226" i="118" l="1"/>
  <c r="H225" i="118"/>
  <c r="H224" i="118"/>
  <c r="J27" i="118"/>
  <c r="H27" i="118"/>
  <c r="I27" i="118"/>
  <c r="I26" i="118"/>
  <c r="J26" i="118" s="1"/>
  <c r="I25" i="118" l="1"/>
  <c r="J25" i="118" s="1"/>
  <c r="H24" i="118"/>
  <c r="J24" i="118" s="1"/>
  <c r="I24" i="118"/>
  <c r="H130" i="118" l="1"/>
  <c r="H99" i="118"/>
  <c r="H67" i="118"/>
  <c r="I23" i="118"/>
  <c r="J23" i="118" s="1"/>
  <c r="H22" i="118"/>
  <c r="I22" i="118"/>
  <c r="J22" i="118" s="1"/>
  <c r="I21" i="118"/>
  <c r="J21" i="118" s="1"/>
  <c r="H20" i="118"/>
  <c r="J20" i="118" s="1"/>
  <c r="I20" i="118"/>
  <c r="H129" i="118" l="1"/>
  <c r="H66" i="118"/>
  <c r="H19" i="118"/>
  <c r="J19" i="118" s="1"/>
  <c r="I19" i="118"/>
  <c r="H18" i="118"/>
  <c r="J18" i="118" s="1"/>
  <c r="I18" i="118"/>
  <c r="I17" i="118" l="1"/>
  <c r="J17" i="118" s="1"/>
  <c r="H16" i="118"/>
  <c r="J16" i="118" s="1"/>
  <c r="I16" i="118"/>
  <c r="H65" i="118"/>
  <c r="H159" i="118"/>
  <c r="H190" i="118"/>
  <c r="H220" i="118" l="1"/>
  <c r="H219" i="118"/>
  <c r="H127" i="118"/>
  <c r="H158" i="118"/>
  <c r="H157" i="118"/>
  <c r="H64" i="118" l="1"/>
  <c r="J64" i="118" s="1"/>
  <c r="V64" i="118" s="1"/>
  <c r="I15" i="118"/>
  <c r="J15" i="118" s="1"/>
  <c r="H14" i="118"/>
  <c r="J14" i="118" s="1"/>
  <c r="W14" i="118" s="1"/>
  <c r="I14" i="118"/>
  <c r="H95" i="118"/>
  <c r="H63" i="118"/>
  <c r="I13" i="118"/>
  <c r="J13" i="118" s="1"/>
  <c r="J12" i="118"/>
  <c r="W12" i="118" s="1"/>
  <c r="H12" i="118"/>
  <c r="I12" i="118"/>
  <c r="I11" i="118"/>
  <c r="J11" i="118" s="1"/>
  <c r="I9" i="118"/>
  <c r="J9" i="118" s="1"/>
  <c r="I10" i="118"/>
  <c r="J10" i="118"/>
  <c r="W10" i="118" s="1"/>
  <c r="H62" i="118"/>
  <c r="J62" i="118" s="1"/>
  <c r="H218" i="118"/>
  <c r="H217" i="118"/>
  <c r="H124" i="118"/>
  <c r="H93" i="118"/>
  <c r="I8" i="118"/>
  <c r="J8" i="118" s="1"/>
  <c r="H92" i="118"/>
  <c r="H7" i="118"/>
  <c r="H6" i="118"/>
  <c r="J130" i="118"/>
  <c r="H92" i="117"/>
  <c r="H99" i="117"/>
  <c r="H105" i="117"/>
  <c r="H123" i="117"/>
  <c r="H128" i="117"/>
  <c r="H129" i="117"/>
  <c r="H130" i="117"/>
  <c r="H133" i="117"/>
  <c r="H141" i="117"/>
  <c r="H157" i="117"/>
  <c r="H161" i="117"/>
  <c r="H162" i="117"/>
  <c r="H172" i="117"/>
  <c r="H174" i="117"/>
  <c r="J194" i="118"/>
  <c r="J216" i="118"/>
  <c r="J231" i="118"/>
  <c r="J239" i="118"/>
  <c r="V239" i="118" s="1"/>
  <c r="J238" i="118"/>
  <c r="V238" i="118" s="1"/>
  <c r="J237" i="118"/>
  <c r="V237" i="118" s="1"/>
  <c r="J236" i="118"/>
  <c r="V236" i="118" s="1"/>
  <c r="J235" i="118"/>
  <c r="V235" i="118" s="1"/>
  <c r="J234" i="118"/>
  <c r="V234" i="118" s="1"/>
  <c r="J233" i="118"/>
  <c r="W233" i="118" s="1"/>
  <c r="J232" i="118"/>
  <c r="W232" i="118" s="1"/>
  <c r="J230" i="118"/>
  <c r="J229" i="118"/>
  <c r="J228" i="118"/>
  <c r="V228" i="118" s="1"/>
  <c r="J227" i="118"/>
  <c r="W227" i="118" s="1"/>
  <c r="J226" i="118"/>
  <c r="V226" i="118" s="1"/>
  <c r="J225" i="118"/>
  <c r="V225" i="118" s="1"/>
  <c r="J224" i="118"/>
  <c r="V224" i="118" s="1"/>
  <c r="J223" i="118"/>
  <c r="V223" i="118" s="1"/>
  <c r="J222" i="118"/>
  <c r="V222" i="118" s="1"/>
  <c r="J221" i="118"/>
  <c r="V221" i="118" s="1"/>
  <c r="J220" i="118"/>
  <c r="V220" i="118" s="1"/>
  <c r="J219" i="118"/>
  <c r="V219" i="118" s="1"/>
  <c r="J218" i="118"/>
  <c r="V218" i="118" s="1"/>
  <c r="J217" i="118"/>
  <c r="W217" i="118" s="1"/>
  <c r="B217" i="118"/>
  <c r="B218" i="118" s="1"/>
  <c r="B219" i="118" s="1"/>
  <c r="B220" i="118" s="1"/>
  <c r="B221" i="118" s="1"/>
  <c r="B222" i="118" s="1"/>
  <c r="B223" i="118" s="1"/>
  <c r="B224" i="118" s="1"/>
  <c r="B225" i="118" s="1"/>
  <c r="B226" i="118" s="1"/>
  <c r="B227" i="118" s="1"/>
  <c r="B228" i="118" s="1"/>
  <c r="B229" i="118" s="1"/>
  <c r="B230" i="118" s="1"/>
  <c r="B231" i="118" s="1"/>
  <c r="B232" i="118" s="1"/>
  <c r="B233" i="118" s="1"/>
  <c r="B234" i="118" s="1"/>
  <c r="B235" i="118" s="1"/>
  <c r="B236" i="118" s="1"/>
  <c r="B237" i="118" s="1"/>
  <c r="B238" i="118" s="1"/>
  <c r="B239" i="118" s="1"/>
  <c r="W207" i="118"/>
  <c r="J207" i="118"/>
  <c r="V207" i="118" s="1"/>
  <c r="J206" i="118"/>
  <c r="V206" i="118" s="1"/>
  <c r="J205" i="118"/>
  <c r="V205" i="118" s="1"/>
  <c r="J204" i="118"/>
  <c r="V204" i="118" s="1"/>
  <c r="J203" i="118"/>
  <c r="V203" i="118" s="1"/>
  <c r="J202" i="118"/>
  <c r="W202" i="118" s="1"/>
  <c r="J201" i="118"/>
  <c r="W201" i="118" s="1"/>
  <c r="J200" i="118"/>
  <c r="W200" i="118" s="1"/>
  <c r="J199" i="118"/>
  <c r="W199" i="118" s="1"/>
  <c r="J198" i="118"/>
  <c r="J197" i="118"/>
  <c r="J196" i="118"/>
  <c r="J195" i="118"/>
  <c r="J193" i="118"/>
  <c r="W193" i="118" s="1"/>
  <c r="J192" i="118"/>
  <c r="V192" i="118" s="1"/>
  <c r="J191" i="118"/>
  <c r="J190" i="118"/>
  <c r="V190" i="118" s="1"/>
  <c r="B190" i="118"/>
  <c r="B191" i="118" s="1"/>
  <c r="B192" i="118" s="1"/>
  <c r="B193" i="118" s="1"/>
  <c r="B194" i="118" s="1"/>
  <c r="B195" i="118" s="1"/>
  <c r="B196" i="118" s="1"/>
  <c r="B197" i="118" s="1"/>
  <c r="B198" i="118" s="1"/>
  <c r="B199" i="118" s="1"/>
  <c r="B200" i="118" s="1"/>
  <c r="B201" i="118" s="1"/>
  <c r="B202" i="118" s="1"/>
  <c r="B203" i="118" s="1"/>
  <c r="B204" i="118" s="1"/>
  <c r="B205" i="118" s="1"/>
  <c r="B206" i="118" s="1"/>
  <c r="B207" i="118" s="1"/>
  <c r="J189" i="118"/>
  <c r="J188" i="118"/>
  <c r="J187" i="118"/>
  <c r="J186" i="118"/>
  <c r="B186" i="118"/>
  <c r="B187" i="118" s="1"/>
  <c r="B188" i="118" s="1"/>
  <c r="B189" i="118" s="1"/>
  <c r="J185" i="118"/>
  <c r="J176" i="118"/>
  <c r="V176" i="118" s="1"/>
  <c r="W175" i="118"/>
  <c r="J175" i="118"/>
  <c r="V175" i="118" s="1"/>
  <c r="J174" i="118"/>
  <c r="V174" i="118" s="1"/>
  <c r="J173" i="118"/>
  <c r="W173" i="118" s="1"/>
  <c r="J172" i="118"/>
  <c r="J171" i="118"/>
  <c r="J170" i="118"/>
  <c r="J169" i="118"/>
  <c r="J168" i="118"/>
  <c r="J167" i="118"/>
  <c r="J166" i="118"/>
  <c r="J165" i="118"/>
  <c r="J164" i="118"/>
  <c r="J163" i="118"/>
  <c r="J162" i="118"/>
  <c r="J161" i="118"/>
  <c r="W161" i="118" s="1"/>
  <c r="J160" i="118"/>
  <c r="V160" i="118" s="1"/>
  <c r="J159" i="118"/>
  <c r="V159" i="118" s="1"/>
  <c r="J158" i="118"/>
  <c r="V158" i="118" s="1"/>
  <c r="J157" i="118"/>
  <c r="V157" i="118" s="1"/>
  <c r="J156" i="118"/>
  <c r="W156" i="118" s="1"/>
  <c r="J155" i="118"/>
  <c r="W155" i="118" s="1"/>
  <c r="B155" i="118"/>
  <c r="B156" i="118" s="1"/>
  <c r="B157" i="118" s="1"/>
  <c r="B158" i="118" s="1"/>
  <c r="B159" i="118" s="1"/>
  <c r="B160" i="118" s="1"/>
  <c r="B161" i="118" s="1"/>
  <c r="B162" i="118" s="1"/>
  <c r="B163" i="118" s="1"/>
  <c r="B164" i="118" s="1"/>
  <c r="B165" i="118" s="1"/>
  <c r="B166" i="118" s="1"/>
  <c r="B167" i="118" s="1"/>
  <c r="B168" i="118" s="1"/>
  <c r="B169" i="118" s="1"/>
  <c r="B170" i="118" s="1"/>
  <c r="B171" i="118" s="1"/>
  <c r="B172" i="118" s="1"/>
  <c r="B173" i="118" s="1"/>
  <c r="B174" i="118" s="1"/>
  <c r="B175" i="118" s="1"/>
  <c r="B176" i="118" s="1"/>
  <c r="J154" i="118"/>
  <c r="W154" i="118" s="1"/>
  <c r="J145" i="118"/>
  <c r="W145" i="118" s="1"/>
  <c r="W144" i="118"/>
  <c r="V144" i="118"/>
  <c r="J144" i="118"/>
  <c r="J143" i="118"/>
  <c r="W143" i="118" s="1"/>
  <c r="J142" i="118"/>
  <c r="W142" i="118" s="1"/>
  <c r="J141" i="118"/>
  <c r="V141" i="118" s="1"/>
  <c r="J140" i="118"/>
  <c r="V140" i="118" s="1"/>
  <c r="J139" i="118"/>
  <c r="J138" i="118"/>
  <c r="V138" i="118" s="1"/>
  <c r="J137" i="118"/>
  <c r="V137" i="118" s="1"/>
  <c r="J136" i="118"/>
  <c r="V136" i="118" s="1"/>
  <c r="J135" i="118"/>
  <c r="J134" i="118"/>
  <c r="V134" i="118" s="1"/>
  <c r="J133" i="118"/>
  <c r="V133" i="118" s="1"/>
  <c r="J132" i="118"/>
  <c r="W132" i="118" s="1"/>
  <c r="J131" i="118"/>
  <c r="W131" i="118" s="1"/>
  <c r="J129" i="118"/>
  <c r="J128" i="118"/>
  <c r="W128" i="118" s="1"/>
  <c r="J127" i="118"/>
  <c r="J126" i="118"/>
  <c r="J125" i="118"/>
  <c r="J124" i="118"/>
  <c r="B124" i="118"/>
  <c r="B125" i="118" s="1"/>
  <c r="B126" i="118" s="1"/>
  <c r="B127" i="118" s="1"/>
  <c r="B128" i="118" s="1"/>
  <c r="B129" i="118" s="1"/>
  <c r="B130" i="118" s="1"/>
  <c r="B131" i="118" s="1"/>
  <c r="B132" i="118" s="1"/>
  <c r="B133" i="118" s="1"/>
  <c r="B134" i="118" s="1"/>
  <c r="B135" i="118" s="1"/>
  <c r="B136" i="118" s="1"/>
  <c r="B137" i="118" s="1"/>
  <c r="B138" i="118" s="1"/>
  <c r="B139" i="118" s="1"/>
  <c r="B140" i="118" s="1"/>
  <c r="B141" i="118" s="1"/>
  <c r="B142" i="118" s="1"/>
  <c r="B143" i="118" s="1"/>
  <c r="B144" i="118" s="1"/>
  <c r="B145" i="118" s="1"/>
  <c r="J123" i="118"/>
  <c r="W114" i="118"/>
  <c r="J114" i="118"/>
  <c r="V114" i="118" s="1"/>
  <c r="W113" i="118"/>
  <c r="J113" i="118"/>
  <c r="V113" i="118" s="1"/>
  <c r="J112" i="118"/>
  <c r="V112" i="118" s="1"/>
  <c r="J111" i="118"/>
  <c r="V111" i="118" s="1"/>
  <c r="J110" i="118"/>
  <c r="V110" i="118" s="1"/>
  <c r="J109" i="118"/>
  <c r="V109" i="118" s="1"/>
  <c r="J108" i="118"/>
  <c r="V108" i="118" s="1"/>
  <c r="J107" i="118"/>
  <c r="V107" i="118" s="1"/>
  <c r="J106" i="118"/>
  <c r="V106" i="118" s="1"/>
  <c r="J105" i="118"/>
  <c r="V105" i="118" s="1"/>
  <c r="J104" i="118"/>
  <c r="J103" i="118"/>
  <c r="J102" i="118"/>
  <c r="J101" i="118"/>
  <c r="J100" i="118"/>
  <c r="J99" i="118"/>
  <c r="J98" i="118"/>
  <c r="W98" i="118" s="1"/>
  <c r="J97" i="118"/>
  <c r="W97" i="118" s="1"/>
  <c r="J96" i="118"/>
  <c r="W96" i="118" s="1"/>
  <c r="J95" i="118"/>
  <c r="W95" i="118" s="1"/>
  <c r="J94" i="118"/>
  <c r="W94" i="118" s="1"/>
  <c r="J93" i="118"/>
  <c r="W93" i="118" s="1"/>
  <c r="B93" i="118"/>
  <c r="B94" i="118" s="1"/>
  <c r="B95" i="118" s="1"/>
  <c r="B96" i="118" s="1"/>
  <c r="B97" i="118" s="1"/>
  <c r="B98" i="118" s="1"/>
  <c r="B99" i="118" s="1"/>
  <c r="B100" i="118" s="1"/>
  <c r="B101" i="118" s="1"/>
  <c r="B102" i="118" s="1"/>
  <c r="B103" i="118" s="1"/>
  <c r="B104" i="118" s="1"/>
  <c r="B105" i="118" s="1"/>
  <c r="B106" i="118" s="1"/>
  <c r="B107" i="118" s="1"/>
  <c r="B108" i="118" s="1"/>
  <c r="B109" i="118" s="1"/>
  <c r="B110" i="118" s="1"/>
  <c r="B111" i="118" s="1"/>
  <c r="B112" i="118" s="1"/>
  <c r="B113" i="118" s="1"/>
  <c r="B114" i="118" s="1"/>
  <c r="J92" i="118"/>
  <c r="W92" i="118" s="1"/>
  <c r="J83" i="118"/>
  <c r="J82" i="118"/>
  <c r="J81" i="118"/>
  <c r="J80" i="118"/>
  <c r="V80" i="118" s="1"/>
  <c r="J79" i="118"/>
  <c r="W79" i="118" s="1"/>
  <c r="J78" i="118"/>
  <c r="V78" i="118" s="1"/>
  <c r="J77" i="118"/>
  <c r="V77" i="118" s="1"/>
  <c r="J76" i="118"/>
  <c r="V76" i="118" s="1"/>
  <c r="J75" i="118"/>
  <c r="V75" i="118" s="1"/>
  <c r="J74" i="118"/>
  <c r="V74" i="118" s="1"/>
  <c r="J73" i="118"/>
  <c r="V73" i="118" s="1"/>
  <c r="J72" i="118"/>
  <c r="V72" i="118" s="1"/>
  <c r="J71" i="118"/>
  <c r="V71" i="118" s="1"/>
  <c r="J70" i="118"/>
  <c r="V70" i="118" s="1"/>
  <c r="J69" i="118"/>
  <c r="J68" i="118"/>
  <c r="W68" i="118" s="1"/>
  <c r="J67" i="118"/>
  <c r="W67" i="118" s="1"/>
  <c r="J66" i="118"/>
  <c r="W66" i="118" s="1"/>
  <c r="J65" i="118"/>
  <c r="V65" i="118" s="1"/>
  <c r="J63" i="118"/>
  <c r="V63" i="118" s="1"/>
  <c r="J61" i="118"/>
  <c r="W61" i="118" s="1"/>
  <c r="B61" i="118"/>
  <c r="B62" i="118" s="1"/>
  <c r="B63" i="118" s="1"/>
  <c r="B64" i="118" s="1"/>
  <c r="B65" i="118" s="1"/>
  <c r="B66" i="118" s="1"/>
  <c r="B67" i="118" s="1"/>
  <c r="B68" i="118" s="1"/>
  <c r="B69" i="118" s="1"/>
  <c r="B70" i="118" s="1"/>
  <c r="B71" i="118" s="1"/>
  <c r="B72" i="118" s="1"/>
  <c r="B73" i="118" s="1"/>
  <c r="B74" i="118" s="1"/>
  <c r="B75" i="118" s="1"/>
  <c r="B76" i="118" s="1"/>
  <c r="B77" i="118" s="1"/>
  <c r="B78" i="118" s="1"/>
  <c r="B79" i="118" s="1"/>
  <c r="B80" i="118" s="1"/>
  <c r="B81" i="118" s="1"/>
  <c r="B82" i="118" s="1"/>
  <c r="B83" i="118" s="1"/>
  <c r="J60" i="118"/>
  <c r="W60" i="118" s="1"/>
  <c r="W51" i="118"/>
  <c r="V51" i="118"/>
  <c r="W50" i="118"/>
  <c r="V50" i="118"/>
  <c r="W49" i="118"/>
  <c r="V49" i="118"/>
  <c r="W48" i="118"/>
  <c r="V48" i="118"/>
  <c r="V46" i="118"/>
  <c r="W46" i="118"/>
  <c r="V45" i="118"/>
  <c r="W43" i="118"/>
  <c r="W42" i="118"/>
  <c r="V42" i="118"/>
  <c r="W40" i="118"/>
  <c r="W39" i="118"/>
  <c r="V39" i="118"/>
  <c r="V38" i="118"/>
  <c r="V37" i="118"/>
  <c r="W37" i="118"/>
  <c r="W36" i="118"/>
  <c r="V36" i="118"/>
  <c r="W34" i="118"/>
  <c r="V34" i="118"/>
  <c r="W33" i="118"/>
  <c r="V33" i="118"/>
  <c r="V31" i="118"/>
  <c r="W31" i="118"/>
  <c r="W30" i="118"/>
  <c r="V30" i="118"/>
  <c r="W28" i="118"/>
  <c r="V28" i="118"/>
  <c r="W27" i="118"/>
  <c r="V27" i="118"/>
  <c r="V25" i="118"/>
  <c r="W25" i="118"/>
  <c r="V24" i="118"/>
  <c r="W22" i="118"/>
  <c r="V22" i="118"/>
  <c r="V20" i="118"/>
  <c r="W20" i="118"/>
  <c r="V18" i="118"/>
  <c r="W18" i="118"/>
  <c r="N14" i="118"/>
  <c r="N12" i="118"/>
  <c r="N10" i="118"/>
  <c r="N8" i="118"/>
  <c r="I7" i="118"/>
  <c r="J7" i="118" s="1"/>
  <c r="B7" i="118"/>
  <c r="B8" i="118" s="1"/>
  <c r="B9" i="118" s="1"/>
  <c r="B10" i="118" s="1"/>
  <c r="B11" i="118" s="1"/>
  <c r="B12" i="118" s="1"/>
  <c r="B13" i="118" s="1"/>
  <c r="B14" i="118" s="1"/>
  <c r="B15" i="118" s="1"/>
  <c r="B16" i="118" s="1"/>
  <c r="B17" i="118" s="1"/>
  <c r="B18" i="118" s="1"/>
  <c r="B19" i="118" s="1"/>
  <c r="B20" i="118" s="1"/>
  <c r="B21" i="118" s="1"/>
  <c r="B22" i="118" s="1"/>
  <c r="B23" i="118" s="1"/>
  <c r="B24" i="118" s="1"/>
  <c r="B25" i="118" s="1"/>
  <c r="B26" i="118" s="1"/>
  <c r="B27" i="118" s="1"/>
  <c r="B28" i="118" s="1"/>
  <c r="B29" i="118" s="1"/>
  <c r="B30" i="118" s="1"/>
  <c r="B31" i="118" s="1"/>
  <c r="B32" i="118" s="1"/>
  <c r="B33" i="118" s="1"/>
  <c r="B34" i="118" s="1"/>
  <c r="B35" i="118" s="1"/>
  <c r="B36" i="118" s="1"/>
  <c r="B37" i="118" s="1"/>
  <c r="B38" i="118" s="1"/>
  <c r="B39" i="118" s="1"/>
  <c r="B40" i="118" s="1"/>
  <c r="B41" i="118" s="1"/>
  <c r="N6" i="118"/>
  <c r="I6" i="118"/>
  <c r="N4" i="118"/>
  <c r="B42" i="118" l="1"/>
  <c r="B43" i="118" s="1"/>
  <c r="B44" i="118" s="1"/>
  <c r="B45" i="118" s="1"/>
  <c r="B46" i="118" s="1"/>
  <c r="B47" i="118" s="1"/>
  <c r="B48" i="118" s="1"/>
  <c r="B49" i="118" s="1"/>
  <c r="B50" i="118" s="1"/>
  <c r="B51" i="118" s="1"/>
  <c r="J6" i="118"/>
  <c r="W176" i="118"/>
  <c r="V202" i="118"/>
  <c r="W228" i="118"/>
  <c r="W239" i="118"/>
  <c r="V145" i="118"/>
  <c r="W107" i="118"/>
  <c r="W238" i="118"/>
  <c r="W237" i="118"/>
  <c r="W111" i="118"/>
  <c r="W109" i="118"/>
  <c r="W78" i="118"/>
  <c r="V94" i="118"/>
  <c r="W192" i="118"/>
  <c r="W190" i="118"/>
  <c r="W160" i="118"/>
  <c r="W137" i="118"/>
  <c r="W140" i="118"/>
  <c r="V143" i="118"/>
  <c r="W141" i="118"/>
  <c r="W158" i="118"/>
  <c r="W174" i="118"/>
  <c r="V200" i="118"/>
  <c r="W206" i="118"/>
  <c r="W204" i="118"/>
  <c r="V217" i="118"/>
  <c r="W219" i="118"/>
  <c r="W221" i="118"/>
  <c r="W223" i="118"/>
  <c r="W225" i="118"/>
  <c r="V227" i="118"/>
  <c r="V232" i="118"/>
  <c r="W234" i="118"/>
  <c r="W236" i="118"/>
  <c r="W218" i="118"/>
  <c r="W220" i="118"/>
  <c r="W222" i="118"/>
  <c r="W224" i="118"/>
  <c r="W226" i="118"/>
  <c r="V233" i="118"/>
  <c r="W235" i="118"/>
  <c r="V193" i="118"/>
  <c r="V199" i="118"/>
  <c r="V201" i="118"/>
  <c r="W203" i="118"/>
  <c r="W205" i="118"/>
  <c r="W159" i="118"/>
  <c r="V173" i="118"/>
  <c r="V132" i="118"/>
  <c r="V142" i="118"/>
  <c r="W136" i="118"/>
  <c r="V131" i="118"/>
  <c r="V96" i="118"/>
  <c r="W106" i="118"/>
  <c r="W108" i="118"/>
  <c r="W110" i="118"/>
  <c r="W112" i="118"/>
  <c r="V98" i="118"/>
  <c r="W76" i="118"/>
  <c r="V60" i="118"/>
  <c r="V61" i="118"/>
  <c r="W64" i="118"/>
  <c r="W74" i="118"/>
  <c r="W72" i="118"/>
  <c r="W65" i="118"/>
  <c r="V68" i="118"/>
  <c r="W71" i="118"/>
  <c r="W73" i="118"/>
  <c r="W75" i="118"/>
  <c r="W77" i="118"/>
  <c r="V79" i="118"/>
  <c r="W80" i="118"/>
  <c r="W6" i="118"/>
  <c r="V6" i="118"/>
  <c r="W16" i="118"/>
  <c r="V16" i="118"/>
  <c r="V15" i="118"/>
  <c r="W15" i="118"/>
  <c r="W62" i="118"/>
  <c r="V62" i="118"/>
  <c r="W7" i="118"/>
  <c r="V7" i="118"/>
  <c r="W130" i="118"/>
  <c r="V130" i="118"/>
  <c r="V9" i="118"/>
  <c r="W9" i="118"/>
  <c r="W32" i="118"/>
  <c r="V32" i="118"/>
  <c r="W99" i="118"/>
  <c r="V99" i="118"/>
  <c r="W11" i="118"/>
  <c r="V11" i="118"/>
  <c r="W47" i="118"/>
  <c r="V47" i="118"/>
  <c r="W13" i="118"/>
  <c r="V13" i="118"/>
  <c r="V8" i="118"/>
  <c r="W8" i="118"/>
  <c r="W26" i="118"/>
  <c r="V26" i="118"/>
  <c r="W69" i="118"/>
  <c r="V69" i="118"/>
  <c r="W19" i="118"/>
  <c r="V19" i="118"/>
  <c r="J146" i="118"/>
  <c r="W123" i="118"/>
  <c r="V123" i="118"/>
  <c r="V127" i="118"/>
  <c r="W127" i="118"/>
  <c r="W83" i="118"/>
  <c r="V83" i="118"/>
  <c r="V93" i="118"/>
  <c r="V97" i="118"/>
  <c r="V135" i="118"/>
  <c r="W135" i="118"/>
  <c r="V139" i="118"/>
  <c r="W139" i="118"/>
  <c r="W166" i="118"/>
  <c r="V166" i="118"/>
  <c r="V10" i="118"/>
  <c r="V12" i="118"/>
  <c r="V14" i="118"/>
  <c r="W24" i="118"/>
  <c r="W38" i="118"/>
  <c r="V40" i="118"/>
  <c r="W45" i="118"/>
  <c r="V66" i="118"/>
  <c r="V67" i="118"/>
  <c r="J84" i="118"/>
  <c r="V92" i="118"/>
  <c r="W105" i="118"/>
  <c r="J115" i="118"/>
  <c r="W124" i="118"/>
  <c r="V124" i="118"/>
  <c r="W126" i="118"/>
  <c r="V126" i="118"/>
  <c r="V128" i="118"/>
  <c r="W196" i="118"/>
  <c r="V196" i="118"/>
  <c r="W125" i="118"/>
  <c r="V125" i="118"/>
  <c r="W129" i="118"/>
  <c r="V129" i="118"/>
  <c r="W165" i="118"/>
  <c r="V165" i="118"/>
  <c r="W169" i="118"/>
  <c r="V169" i="118"/>
  <c r="W186" i="118"/>
  <c r="V186" i="118"/>
  <c r="W191" i="118"/>
  <c r="V191" i="118"/>
  <c r="N18" i="118"/>
  <c r="V43" i="118"/>
  <c r="W63" i="118"/>
  <c r="W70" i="118"/>
  <c r="V95" i="118"/>
  <c r="W101" i="118"/>
  <c r="V101" i="118"/>
  <c r="W103" i="118"/>
  <c r="V103" i="118"/>
  <c r="W133" i="118"/>
  <c r="W162" i="118"/>
  <c r="V162" i="118"/>
  <c r="W170" i="118"/>
  <c r="V170" i="118"/>
  <c r="W17" i="118"/>
  <c r="V17" i="118"/>
  <c r="W21" i="118"/>
  <c r="V21" i="118"/>
  <c r="W23" i="118"/>
  <c r="V23" i="118"/>
  <c r="W29" i="118"/>
  <c r="V29" i="118"/>
  <c r="W35" i="118"/>
  <c r="V35" i="118"/>
  <c r="W44" i="118"/>
  <c r="V44" i="118"/>
  <c r="W82" i="118"/>
  <c r="V82" i="118"/>
  <c r="W100" i="118"/>
  <c r="V100" i="118"/>
  <c r="W102" i="118"/>
  <c r="V102" i="118"/>
  <c r="W104" i="118"/>
  <c r="V104" i="118"/>
  <c r="W189" i="118"/>
  <c r="V189" i="118"/>
  <c r="W197" i="118"/>
  <c r="V197" i="118"/>
  <c r="W229" i="118"/>
  <c r="V229" i="118"/>
  <c r="W163" i="118"/>
  <c r="V163" i="118"/>
  <c r="W167" i="118"/>
  <c r="V167" i="118"/>
  <c r="W171" i="118"/>
  <c r="V171" i="118"/>
  <c r="W187" i="118"/>
  <c r="V187" i="118"/>
  <c r="W194" i="118"/>
  <c r="V194" i="118"/>
  <c r="W198" i="118"/>
  <c r="V198" i="118"/>
  <c r="W230" i="118"/>
  <c r="V230" i="118"/>
  <c r="W134" i="118"/>
  <c r="W138" i="118"/>
  <c r="W157" i="118"/>
  <c r="V161" i="118"/>
  <c r="W164" i="118"/>
  <c r="V164" i="118"/>
  <c r="W168" i="118"/>
  <c r="V168" i="118"/>
  <c r="W172" i="118"/>
  <c r="V172" i="118"/>
  <c r="W185" i="118"/>
  <c r="J208" i="118"/>
  <c r="V185" i="118"/>
  <c r="W188" i="118"/>
  <c r="V188" i="118"/>
  <c r="W195" i="118"/>
  <c r="V195" i="118"/>
  <c r="W216" i="118"/>
  <c r="V216" i="118"/>
  <c r="J240" i="118"/>
  <c r="W231" i="118"/>
  <c r="V231" i="118"/>
  <c r="J177" i="118"/>
  <c r="V154" i="118"/>
  <c r="V155" i="118"/>
  <c r="V156" i="118"/>
  <c r="W115" i="118" l="1"/>
  <c r="P8" i="118" s="1"/>
  <c r="V240" i="118"/>
  <c r="O16" i="118" s="1"/>
  <c r="R16" i="118" s="1"/>
  <c r="W208" i="118"/>
  <c r="P14" i="118" s="1"/>
  <c r="W177" i="118"/>
  <c r="P12" i="118" s="1"/>
  <c r="V84" i="118"/>
  <c r="O6" i="118" s="1"/>
  <c r="W84" i="118"/>
  <c r="P6" i="118" s="1"/>
  <c r="W240" i="118"/>
  <c r="P16" i="118" s="1"/>
  <c r="V146" i="118"/>
  <c r="O10" i="118" s="1"/>
  <c r="V208" i="118"/>
  <c r="O14" i="118" s="1"/>
  <c r="V41" i="118"/>
  <c r="V52" i="118" s="1"/>
  <c r="O4" i="118" s="1"/>
  <c r="W41" i="118"/>
  <c r="W52" i="118" s="1"/>
  <c r="P4" i="118" s="1"/>
  <c r="V115" i="118"/>
  <c r="O8" i="118" s="1"/>
  <c r="W146" i="118"/>
  <c r="P10" i="118" s="1"/>
  <c r="V177" i="118"/>
  <c r="O12" i="118" s="1"/>
  <c r="J52" i="118"/>
  <c r="H79" i="117"/>
  <c r="Q6" i="118" l="1"/>
  <c r="R6" i="118"/>
  <c r="Q16" i="118"/>
  <c r="O18" i="118"/>
  <c r="R18" i="118" s="1"/>
  <c r="P20" i="118" s="1"/>
  <c r="R4" i="118"/>
  <c r="Q4" i="118"/>
  <c r="P18" i="118"/>
  <c r="R12" i="118"/>
  <c r="Q12" i="118"/>
  <c r="R14" i="118"/>
  <c r="Q14" i="118"/>
  <c r="R8" i="118"/>
  <c r="Q8" i="118"/>
  <c r="R10" i="118"/>
  <c r="Q10" i="118"/>
  <c r="I47" i="117"/>
  <c r="J47" i="117" s="1"/>
  <c r="H46" i="117"/>
  <c r="I46" i="117"/>
  <c r="I45" i="117"/>
  <c r="I44" i="117"/>
  <c r="J46" i="117" l="1"/>
  <c r="Q18" i="118"/>
  <c r="H234" i="117" l="1"/>
  <c r="H231" i="117"/>
  <c r="H229" i="117"/>
  <c r="H203" i="117"/>
  <c r="H198" i="117"/>
  <c r="I43" i="117"/>
  <c r="I42" i="117"/>
  <c r="H41" i="117"/>
  <c r="I41" i="117"/>
  <c r="I40" i="117"/>
  <c r="I39" i="117"/>
  <c r="H38" i="117"/>
  <c r="I38" i="117"/>
  <c r="I37" i="117"/>
  <c r="H36" i="117"/>
  <c r="I36" i="117"/>
  <c r="H35" i="117"/>
  <c r="I35" i="117"/>
  <c r="I34" i="117"/>
  <c r="I33" i="117"/>
  <c r="I32" i="117"/>
  <c r="I31" i="117" l="1"/>
  <c r="H30" i="117"/>
  <c r="I30" i="117"/>
  <c r="H29" i="117"/>
  <c r="I29" i="117"/>
  <c r="I28" i="117"/>
  <c r="I27" i="117"/>
  <c r="I26" i="117"/>
  <c r="H70" i="117"/>
  <c r="H227" i="117"/>
  <c r="H194" i="117" l="1"/>
  <c r="H191" i="117"/>
  <c r="H190" i="117"/>
  <c r="H69" i="117"/>
  <c r="H67" i="117"/>
  <c r="H66" i="117"/>
  <c r="H25" i="117"/>
  <c r="I25" i="117"/>
  <c r="I24" i="117"/>
  <c r="H23" i="117"/>
  <c r="I23" i="117"/>
  <c r="H22" i="117"/>
  <c r="I22" i="117"/>
  <c r="I21" i="117"/>
  <c r="H20" i="117"/>
  <c r="I20" i="117"/>
  <c r="H19" i="117"/>
  <c r="I19" i="117"/>
  <c r="I18" i="117"/>
  <c r="I17" i="117"/>
  <c r="I16" i="117" l="1"/>
  <c r="H15" i="117" l="1"/>
  <c r="I15" i="117"/>
  <c r="I14" i="117"/>
  <c r="H189" i="117"/>
  <c r="H218" i="117"/>
  <c r="H63" i="117"/>
  <c r="H62" i="117"/>
  <c r="H13" i="117"/>
  <c r="I13" i="117"/>
  <c r="I12" i="117"/>
  <c r="I11" i="117"/>
  <c r="I10" i="117"/>
  <c r="I9" i="117"/>
  <c r="I8" i="117"/>
  <c r="I7" i="117"/>
  <c r="H11" i="117"/>
  <c r="H10" i="117"/>
  <c r="H9" i="117"/>
  <c r="H8" i="117"/>
  <c r="H61" i="117"/>
  <c r="H216" i="117"/>
  <c r="I6" i="117"/>
  <c r="J239" i="117" l="1"/>
  <c r="W239" i="117" s="1"/>
  <c r="J238" i="117"/>
  <c r="W238" i="117" s="1"/>
  <c r="J237" i="117"/>
  <c r="W237" i="117" s="1"/>
  <c r="J236" i="117"/>
  <c r="W236" i="117" s="1"/>
  <c r="J235" i="117"/>
  <c r="W235" i="117" s="1"/>
  <c r="J234" i="117"/>
  <c r="W234" i="117" s="1"/>
  <c r="J233" i="117"/>
  <c r="W233" i="117" s="1"/>
  <c r="J232" i="117"/>
  <c r="W232" i="117" s="1"/>
  <c r="J231" i="117"/>
  <c r="W231" i="117" s="1"/>
  <c r="J230" i="117"/>
  <c r="W230" i="117" s="1"/>
  <c r="J229" i="117"/>
  <c r="W229" i="117" s="1"/>
  <c r="J228" i="117"/>
  <c r="W228" i="117" s="1"/>
  <c r="J227" i="117"/>
  <c r="W227" i="117" s="1"/>
  <c r="J226" i="117"/>
  <c r="W226" i="117" s="1"/>
  <c r="J225" i="117"/>
  <c r="W225" i="117" s="1"/>
  <c r="J224" i="117"/>
  <c r="V224" i="117" s="1"/>
  <c r="J223" i="117"/>
  <c r="W223" i="117" s="1"/>
  <c r="J222" i="117"/>
  <c r="W222" i="117" s="1"/>
  <c r="J221" i="117"/>
  <c r="W221" i="117" s="1"/>
  <c r="J220" i="117"/>
  <c r="V220" i="117" s="1"/>
  <c r="J219" i="117"/>
  <c r="W219" i="117" s="1"/>
  <c r="J218" i="117"/>
  <c r="W218" i="117" s="1"/>
  <c r="J217" i="117"/>
  <c r="W217" i="117" s="1"/>
  <c r="B217" i="117"/>
  <c r="B218" i="117" s="1"/>
  <c r="B219" i="117" s="1"/>
  <c r="B220" i="117" s="1"/>
  <c r="B221" i="117" s="1"/>
  <c r="B222" i="117" s="1"/>
  <c r="B223" i="117" s="1"/>
  <c r="B224" i="117" s="1"/>
  <c r="B225" i="117" s="1"/>
  <c r="B226" i="117" s="1"/>
  <c r="B227" i="117" s="1"/>
  <c r="B228" i="117" s="1"/>
  <c r="B229" i="117" s="1"/>
  <c r="B230" i="117" s="1"/>
  <c r="B231" i="117" s="1"/>
  <c r="B232" i="117" s="1"/>
  <c r="B233" i="117" s="1"/>
  <c r="B234" i="117" s="1"/>
  <c r="B235" i="117" s="1"/>
  <c r="B236" i="117" s="1"/>
  <c r="B237" i="117" s="1"/>
  <c r="B238" i="117" s="1"/>
  <c r="B239" i="117" s="1"/>
  <c r="J216" i="117"/>
  <c r="V216" i="117" s="1"/>
  <c r="J207" i="117"/>
  <c r="W207" i="117" s="1"/>
  <c r="J206" i="117"/>
  <c r="W206" i="117" s="1"/>
  <c r="J205" i="117"/>
  <c r="W205" i="117" s="1"/>
  <c r="J204" i="117"/>
  <c r="W204" i="117" s="1"/>
  <c r="J203" i="117"/>
  <c r="W203" i="117" s="1"/>
  <c r="J202" i="117"/>
  <c r="W202" i="117" s="1"/>
  <c r="J201" i="117"/>
  <c r="W201" i="117" s="1"/>
  <c r="J200" i="117"/>
  <c r="W200" i="117" s="1"/>
  <c r="W199" i="117"/>
  <c r="V199" i="117"/>
  <c r="J199" i="117"/>
  <c r="J198" i="117"/>
  <c r="W198" i="117" s="1"/>
  <c r="J197" i="117"/>
  <c r="J196" i="117"/>
  <c r="J195" i="117"/>
  <c r="J194" i="117"/>
  <c r="J193" i="117"/>
  <c r="W193" i="117" s="1"/>
  <c r="J192" i="117"/>
  <c r="W192" i="117" s="1"/>
  <c r="J191" i="117"/>
  <c r="W191" i="117" s="1"/>
  <c r="J190" i="117"/>
  <c r="W190" i="117" s="1"/>
  <c r="J189" i="117"/>
  <c r="W189" i="117" s="1"/>
  <c r="W188" i="117"/>
  <c r="J188" i="117"/>
  <c r="V188" i="117" s="1"/>
  <c r="J187" i="117"/>
  <c r="W187" i="117" s="1"/>
  <c r="J186" i="117"/>
  <c r="W186" i="117" s="1"/>
  <c r="B186" i="117"/>
  <c r="B187" i="117" s="1"/>
  <c r="B188" i="117" s="1"/>
  <c r="B189" i="117" s="1"/>
  <c r="B190" i="117" s="1"/>
  <c r="B191" i="117" s="1"/>
  <c r="B192" i="117" s="1"/>
  <c r="B193" i="117" s="1"/>
  <c r="B194" i="117" s="1"/>
  <c r="B195" i="117" s="1"/>
  <c r="B196" i="117" s="1"/>
  <c r="B197" i="117" s="1"/>
  <c r="B198" i="117" s="1"/>
  <c r="B199" i="117" s="1"/>
  <c r="B200" i="117" s="1"/>
  <c r="B201" i="117" s="1"/>
  <c r="B202" i="117" s="1"/>
  <c r="B203" i="117" s="1"/>
  <c r="B204" i="117" s="1"/>
  <c r="B205" i="117" s="1"/>
  <c r="B206" i="117" s="1"/>
  <c r="B207" i="117" s="1"/>
  <c r="J185" i="117"/>
  <c r="W185" i="117" s="1"/>
  <c r="J176" i="117"/>
  <c r="W176" i="117" s="1"/>
  <c r="V175" i="117"/>
  <c r="J175" i="117"/>
  <c r="W175" i="117" s="1"/>
  <c r="J174" i="117"/>
  <c r="W174" i="117" s="1"/>
  <c r="J173" i="117"/>
  <c r="W173" i="117" s="1"/>
  <c r="J172" i="117"/>
  <c r="W172" i="117" s="1"/>
  <c r="J171" i="117"/>
  <c r="W171" i="117" s="1"/>
  <c r="J170" i="117"/>
  <c r="W170" i="117" s="1"/>
  <c r="J169" i="117"/>
  <c r="V169" i="117" s="1"/>
  <c r="J168" i="117"/>
  <c r="W168" i="117" s="1"/>
  <c r="J167" i="117"/>
  <c r="W167" i="117" s="1"/>
  <c r="J166" i="117"/>
  <c r="W166" i="117" s="1"/>
  <c r="J165" i="117"/>
  <c r="W165" i="117" s="1"/>
  <c r="J164" i="117"/>
  <c r="W164" i="117" s="1"/>
  <c r="J163" i="117"/>
  <c r="W163" i="117" s="1"/>
  <c r="J162" i="117"/>
  <c r="V162" i="117" s="1"/>
  <c r="J161" i="117"/>
  <c r="W161" i="117" s="1"/>
  <c r="J160" i="117"/>
  <c r="J159" i="117"/>
  <c r="J158" i="117"/>
  <c r="J157" i="117"/>
  <c r="J156" i="117"/>
  <c r="J155" i="117"/>
  <c r="B155" i="117"/>
  <c r="B156" i="117" s="1"/>
  <c r="B157" i="117" s="1"/>
  <c r="B158" i="117" s="1"/>
  <c r="B159" i="117" s="1"/>
  <c r="B160" i="117" s="1"/>
  <c r="B161" i="117" s="1"/>
  <c r="B162" i="117" s="1"/>
  <c r="B163" i="117" s="1"/>
  <c r="B164" i="117" s="1"/>
  <c r="B165" i="117" s="1"/>
  <c r="B166" i="117" s="1"/>
  <c r="B167" i="117" s="1"/>
  <c r="B168" i="117" s="1"/>
  <c r="B169" i="117" s="1"/>
  <c r="B170" i="117" s="1"/>
  <c r="B171" i="117" s="1"/>
  <c r="B172" i="117" s="1"/>
  <c r="B173" i="117" s="1"/>
  <c r="B174" i="117" s="1"/>
  <c r="B175" i="117" s="1"/>
  <c r="B176" i="117" s="1"/>
  <c r="J154" i="117"/>
  <c r="W145" i="117"/>
  <c r="J145" i="117"/>
  <c r="V145" i="117" s="1"/>
  <c r="J144" i="117"/>
  <c r="V144" i="117" s="1"/>
  <c r="J143" i="117"/>
  <c r="W143" i="117" s="1"/>
  <c r="J142" i="117"/>
  <c r="V142" i="117" s="1"/>
  <c r="J141" i="117"/>
  <c r="W141" i="117" s="1"/>
  <c r="J140" i="117"/>
  <c r="W140" i="117" s="1"/>
  <c r="J139" i="117"/>
  <c r="W139" i="117" s="1"/>
  <c r="J138" i="117"/>
  <c r="V138" i="117" s="1"/>
  <c r="J137" i="117"/>
  <c r="W137" i="117" s="1"/>
  <c r="J136" i="117"/>
  <c r="V136" i="117" s="1"/>
  <c r="J135" i="117"/>
  <c r="W135" i="117" s="1"/>
  <c r="J134" i="117"/>
  <c r="V134" i="117" s="1"/>
  <c r="J133" i="117"/>
  <c r="W133" i="117" s="1"/>
  <c r="J132" i="117"/>
  <c r="J131" i="117"/>
  <c r="J130" i="117"/>
  <c r="J129" i="117"/>
  <c r="J128" i="117"/>
  <c r="J127" i="117"/>
  <c r="J126" i="117"/>
  <c r="J125" i="117"/>
  <c r="B125" i="117"/>
  <c r="B126" i="117" s="1"/>
  <c r="B127" i="117" s="1"/>
  <c r="B128" i="117" s="1"/>
  <c r="B129" i="117" s="1"/>
  <c r="B130" i="117" s="1"/>
  <c r="B131" i="117" s="1"/>
  <c r="B132" i="117" s="1"/>
  <c r="B133" i="117" s="1"/>
  <c r="B134" i="117" s="1"/>
  <c r="B135" i="117" s="1"/>
  <c r="B136" i="117" s="1"/>
  <c r="B137" i="117" s="1"/>
  <c r="B138" i="117" s="1"/>
  <c r="B139" i="117" s="1"/>
  <c r="B140" i="117" s="1"/>
  <c r="B141" i="117" s="1"/>
  <c r="B142" i="117" s="1"/>
  <c r="B143" i="117" s="1"/>
  <c r="B144" i="117" s="1"/>
  <c r="B145" i="117" s="1"/>
  <c r="J124" i="117"/>
  <c r="B124" i="117"/>
  <c r="J123" i="117"/>
  <c r="W114" i="117"/>
  <c r="V114" i="117"/>
  <c r="J114" i="117"/>
  <c r="J113" i="117"/>
  <c r="W113" i="117" s="1"/>
  <c r="J112" i="117"/>
  <c r="W112" i="117" s="1"/>
  <c r="J111" i="117"/>
  <c r="V111" i="117" s="1"/>
  <c r="J110" i="117"/>
  <c r="V110" i="117" s="1"/>
  <c r="J109" i="117"/>
  <c r="J108" i="117"/>
  <c r="W108" i="117" s="1"/>
  <c r="J107" i="117"/>
  <c r="J106" i="117"/>
  <c r="W106" i="117" s="1"/>
  <c r="V105" i="117"/>
  <c r="J105" i="117"/>
  <c r="W105" i="117" s="1"/>
  <c r="J104" i="117"/>
  <c r="W104" i="117" s="1"/>
  <c r="J103" i="117"/>
  <c r="W103" i="117" s="1"/>
  <c r="J102" i="117"/>
  <c r="W102" i="117" s="1"/>
  <c r="J101" i="117"/>
  <c r="W101" i="117" s="1"/>
  <c r="J100" i="117"/>
  <c r="W100" i="117" s="1"/>
  <c r="J99" i="117"/>
  <c r="W99" i="117" s="1"/>
  <c r="J98" i="117"/>
  <c r="V98" i="117" s="1"/>
  <c r="J97" i="117"/>
  <c r="W97" i="117" s="1"/>
  <c r="J96" i="117"/>
  <c r="J95" i="117"/>
  <c r="J94" i="117"/>
  <c r="W94" i="117" s="1"/>
  <c r="J93" i="117"/>
  <c r="W93" i="117" s="1"/>
  <c r="B93" i="117"/>
  <c r="B94" i="117" s="1"/>
  <c r="B95" i="117" s="1"/>
  <c r="B96" i="117" s="1"/>
  <c r="B97" i="117" s="1"/>
  <c r="B98" i="117" s="1"/>
  <c r="B99" i="117" s="1"/>
  <c r="B100" i="117" s="1"/>
  <c r="B101" i="117" s="1"/>
  <c r="B102" i="117" s="1"/>
  <c r="B103" i="117" s="1"/>
  <c r="B104" i="117" s="1"/>
  <c r="B105" i="117" s="1"/>
  <c r="B106" i="117" s="1"/>
  <c r="B107" i="117" s="1"/>
  <c r="B108" i="117" s="1"/>
  <c r="B109" i="117" s="1"/>
  <c r="B110" i="117" s="1"/>
  <c r="B111" i="117" s="1"/>
  <c r="B112" i="117" s="1"/>
  <c r="B113" i="117" s="1"/>
  <c r="B114" i="117" s="1"/>
  <c r="J92" i="117"/>
  <c r="W92" i="117" s="1"/>
  <c r="J83" i="117"/>
  <c r="J82" i="117"/>
  <c r="J81" i="117"/>
  <c r="J80" i="117"/>
  <c r="W80" i="117" s="1"/>
  <c r="J79" i="117"/>
  <c r="W79" i="117" s="1"/>
  <c r="J78" i="117"/>
  <c r="W78" i="117" s="1"/>
  <c r="J77" i="117"/>
  <c r="V77" i="117" s="1"/>
  <c r="J76" i="117"/>
  <c r="J75" i="117"/>
  <c r="J74" i="117"/>
  <c r="J73" i="117"/>
  <c r="J72" i="117"/>
  <c r="J71" i="117"/>
  <c r="J70" i="117"/>
  <c r="J69" i="117"/>
  <c r="W69" i="117" s="1"/>
  <c r="J68" i="117"/>
  <c r="W68" i="117" s="1"/>
  <c r="J67" i="117"/>
  <c r="W67" i="117" s="1"/>
  <c r="J66" i="117"/>
  <c r="W66" i="117" s="1"/>
  <c r="J65" i="117"/>
  <c r="J64" i="117"/>
  <c r="J63" i="117"/>
  <c r="W63" i="117" s="1"/>
  <c r="J62" i="117"/>
  <c r="W62" i="117" s="1"/>
  <c r="B62" i="117"/>
  <c r="B63" i="117" s="1"/>
  <c r="B64" i="117" s="1"/>
  <c r="B65" i="117" s="1"/>
  <c r="B66" i="117" s="1"/>
  <c r="B67" i="117" s="1"/>
  <c r="B68" i="117" s="1"/>
  <c r="B69" i="117" s="1"/>
  <c r="B70" i="117" s="1"/>
  <c r="B71" i="117" s="1"/>
  <c r="B72" i="117" s="1"/>
  <c r="B73" i="117" s="1"/>
  <c r="B74" i="117" s="1"/>
  <c r="B75" i="117" s="1"/>
  <c r="B76" i="117" s="1"/>
  <c r="B77" i="117" s="1"/>
  <c r="B78" i="117" s="1"/>
  <c r="B79" i="117" s="1"/>
  <c r="B80" i="117" s="1"/>
  <c r="B81" i="117" s="1"/>
  <c r="B82" i="117" s="1"/>
  <c r="B83" i="117" s="1"/>
  <c r="J61" i="117"/>
  <c r="W61" i="117" s="1"/>
  <c r="B61" i="117"/>
  <c r="J60" i="117"/>
  <c r="W60" i="117" s="1"/>
  <c r="W51" i="117"/>
  <c r="V51" i="117"/>
  <c r="W50" i="117"/>
  <c r="V50" i="117"/>
  <c r="W49" i="117"/>
  <c r="V49" i="117"/>
  <c r="W48" i="117"/>
  <c r="V48" i="117"/>
  <c r="W47" i="117"/>
  <c r="V47" i="117"/>
  <c r="W46" i="117"/>
  <c r="V46" i="117"/>
  <c r="J45" i="117"/>
  <c r="V45" i="117" s="1"/>
  <c r="J44" i="117"/>
  <c r="J43" i="117"/>
  <c r="V43" i="117" s="1"/>
  <c r="J42" i="117"/>
  <c r="J41" i="117"/>
  <c r="W41" i="117" s="1"/>
  <c r="J40" i="117"/>
  <c r="J39" i="117"/>
  <c r="W39" i="117" s="1"/>
  <c r="J38" i="117"/>
  <c r="V38" i="117" s="1"/>
  <c r="J36" i="117"/>
  <c r="W36" i="117" s="1"/>
  <c r="J35" i="117"/>
  <c r="W35" i="117" s="1"/>
  <c r="J34" i="117"/>
  <c r="J33" i="117"/>
  <c r="J32" i="117"/>
  <c r="W32" i="117" s="1"/>
  <c r="J31" i="117"/>
  <c r="J30" i="117"/>
  <c r="W30" i="117" s="1"/>
  <c r="J29" i="117"/>
  <c r="V29" i="117" s="1"/>
  <c r="J28" i="117"/>
  <c r="J27" i="117"/>
  <c r="V27" i="117" s="1"/>
  <c r="J26" i="117"/>
  <c r="J25" i="117"/>
  <c r="W25" i="117" s="1"/>
  <c r="J24" i="117"/>
  <c r="V24" i="117" s="1"/>
  <c r="J23" i="117"/>
  <c r="J22" i="117"/>
  <c r="W22" i="117" s="1"/>
  <c r="J21" i="117"/>
  <c r="V21" i="117" s="1"/>
  <c r="J20" i="117"/>
  <c r="J19" i="117"/>
  <c r="W19" i="117" s="1"/>
  <c r="J18" i="117"/>
  <c r="J17" i="117"/>
  <c r="W17" i="117" s="1"/>
  <c r="J16" i="117"/>
  <c r="W16" i="117" s="1"/>
  <c r="J15" i="117"/>
  <c r="N14" i="117"/>
  <c r="J14" i="117"/>
  <c r="V14" i="117" s="1"/>
  <c r="J13" i="117"/>
  <c r="V13" i="117" s="1"/>
  <c r="N12" i="117"/>
  <c r="J12" i="117"/>
  <c r="W12" i="117" s="1"/>
  <c r="J11" i="117"/>
  <c r="V11" i="117" s="1"/>
  <c r="N10" i="117"/>
  <c r="J10" i="117"/>
  <c r="W10" i="117" s="1"/>
  <c r="J9" i="117"/>
  <c r="V9" i="117" s="1"/>
  <c r="N8" i="117"/>
  <c r="J8" i="117"/>
  <c r="J7" i="117"/>
  <c r="B7" i="117"/>
  <c r="B8" i="117" s="1"/>
  <c r="B9" i="117" s="1"/>
  <c r="B10" i="117" s="1"/>
  <c r="B11" i="117" s="1"/>
  <c r="B12" i="117" s="1"/>
  <c r="B13" i="117" s="1"/>
  <c r="B14" i="117" s="1"/>
  <c r="B15" i="117" s="1"/>
  <c r="B16" i="117" s="1"/>
  <c r="B17" i="117" s="1"/>
  <c r="B18" i="117" s="1"/>
  <c r="B19" i="117" s="1"/>
  <c r="B20" i="117" s="1"/>
  <c r="B21" i="117" s="1"/>
  <c r="B22" i="117" s="1"/>
  <c r="B23" i="117" s="1"/>
  <c r="B24" i="117" s="1"/>
  <c r="B25" i="117" s="1"/>
  <c r="B26" i="117" s="1"/>
  <c r="B27" i="117" s="1"/>
  <c r="B28" i="117" s="1"/>
  <c r="B29" i="117" s="1"/>
  <c r="B30" i="117" s="1"/>
  <c r="B31" i="117" s="1"/>
  <c r="B32" i="117" s="1"/>
  <c r="B33" i="117" s="1"/>
  <c r="B34" i="117" s="1"/>
  <c r="B35" i="117" s="1"/>
  <c r="B36" i="117" s="1"/>
  <c r="B37" i="117" s="1"/>
  <c r="B38" i="117" s="1"/>
  <c r="B39" i="117" s="1"/>
  <c r="B40" i="117" s="1"/>
  <c r="B41" i="117" s="1"/>
  <c r="B42" i="117" s="1"/>
  <c r="B43" i="117" s="1"/>
  <c r="B44" i="117" s="1"/>
  <c r="B45" i="117" s="1"/>
  <c r="B46" i="117" s="1"/>
  <c r="B47" i="117" s="1"/>
  <c r="B48" i="117" s="1"/>
  <c r="B49" i="117" s="1"/>
  <c r="B50" i="117" s="1"/>
  <c r="B51" i="117" s="1"/>
  <c r="N6" i="117"/>
  <c r="J6" i="117"/>
  <c r="V6" i="117" s="1"/>
  <c r="N4" i="117"/>
  <c r="W38" i="117" l="1"/>
  <c r="V113" i="117"/>
  <c r="V206" i="117"/>
  <c r="V238" i="117"/>
  <c r="V176" i="117"/>
  <c r="V35" i="117"/>
  <c r="V207" i="117"/>
  <c r="V237" i="117"/>
  <c r="V239" i="117"/>
  <c r="W144" i="117"/>
  <c r="V164" i="117"/>
  <c r="W134" i="117"/>
  <c r="W111" i="117"/>
  <c r="W98" i="117"/>
  <c r="V236" i="117"/>
  <c r="V205" i="117"/>
  <c r="V173" i="117"/>
  <c r="V143" i="117"/>
  <c r="W142" i="117"/>
  <c r="V80" i="117"/>
  <c r="V203" i="117"/>
  <c r="V201" i="117"/>
  <c r="V198" i="117"/>
  <c r="V171" i="117"/>
  <c r="W169" i="117"/>
  <c r="V168" i="117"/>
  <c r="V141" i="117"/>
  <c r="W138" i="117"/>
  <c r="V137" i="117"/>
  <c r="V106" i="117"/>
  <c r="W77" i="117"/>
  <c r="V39" i="117"/>
  <c r="W27" i="117"/>
  <c r="V165" i="117"/>
  <c r="V133" i="117"/>
  <c r="V225" i="117"/>
  <c r="W224" i="117"/>
  <c r="V223" i="117"/>
  <c r="V221" i="117"/>
  <c r="V192" i="117"/>
  <c r="V191" i="117"/>
  <c r="W162" i="117"/>
  <c r="V161" i="117"/>
  <c r="V99" i="117"/>
  <c r="V97" i="117"/>
  <c r="V68" i="117"/>
  <c r="V66" i="117"/>
  <c r="W24" i="117"/>
  <c r="W220" i="117"/>
  <c r="V219" i="117"/>
  <c r="V187" i="117"/>
  <c r="V63" i="117"/>
  <c r="W9" i="117"/>
  <c r="V93" i="117"/>
  <c r="V217" i="117"/>
  <c r="W11" i="117"/>
  <c r="V19" i="117"/>
  <c r="W29" i="117"/>
  <c r="V36" i="117"/>
  <c r="V41" i="117"/>
  <c r="W43" i="117"/>
  <c r="V22" i="117"/>
  <c r="V32" i="117"/>
  <c r="V10" i="117"/>
  <c r="W14" i="117"/>
  <c r="V30" i="117"/>
  <c r="V62" i="117"/>
  <c r="V79" i="117"/>
  <c r="V60" i="117"/>
  <c r="V61" i="117"/>
  <c r="V67" i="117"/>
  <c r="V69" i="117"/>
  <c r="V78" i="117"/>
  <c r="V92" i="117"/>
  <c r="V100" i="117"/>
  <c r="V102" i="117"/>
  <c r="V104" i="117"/>
  <c r="W110" i="117"/>
  <c r="V108" i="117"/>
  <c r="V112" i="117"/>
  <c r="V94" i="117"/>
  <c r="V101" i="117"/>
  <c r="V103" i="117"/>
  <c r="V140" i="117"/>
  <c r="V135" i="117"/>
  <c r="W136" i="117"/>
  <c r="V139" i="117"/>
  <c r="V163" i="117"/>
  <c r="V167" i="117"/>
  <c r="V166" i="117"/>
  <c r="V170" i="117"/>
  <c r="V172" i="117"/>
  <c r="V174" i="117"/>
  <c r="V185" i="117"/>
  <c r="V186" i="117"/>
  <c r="V190" i="117"/>
  <c r="V189" i="117"/>
  <c r="V193" i="117"/>
  <c r="V200" i="117"/>
  <c r="V202" i="117"/>
  <c r="V204" i="117"/>
  <c r="J240" i="117"/>
  <c r="V218" i="117"/>
  <c r="V222" i="117"/>
  <c r="V226" i="117"/>
  <c r="V228" i="117"/>
  <c r="V230" i="117"/>
  <c r="V232" i="117"/>
  <c r="V234" i="117"/>
  <c r="W216" i="117"/>
  <c r="W240" i="117" s="1"/>
  <c r="P16" i="117" s="1"/>
  <c r="V227" i="117"/>
  <c r="V229" i="117"/>
  <c r="V231" i="117"/>
  <c r="V233" i="117"/>
  <c r="V235" i="117"/>
  <c r="W26" i="117"/>
  <c r="V26" i="117"/>
  <c r="W8" i="117"/>
  <c r="V8" i="117"/>
  <c r="V18" i="117"/>
  <c r="W18" i="117"/>
  <c r="W28" i="117"/>
  <c r="V28" i="117"/>
  <c r="V7" i="117"/>
  <c r="W7" i="117"/>
  <c r="W23" i="117"/>
  <c r="V23" i="117"/>
  <c r="W33" i="117"/>
  <c r="V33" i="117"/>
  <c r="W65" i="117"/>
  <c r="V65" i="117"/>
  <c r="W76" i="117"/>
  <c r="V76" i="117"/>
  <c r="W96" i="117"/>
  <c r="V96" i="117"/>
  <c r="W127" i="117"/>
  <c r="V127" i="117"/>
  <c r="W159" i="117"/>
  <c r="V159" i="117"/>
  <c r="V12" i="117"/>
  <c r="W13" i="117"/>
  <c r="V16" i="117"/>
  <c r="V17" i="117"/>
  <c r="W20" i="117"/>
  <c r="V20" i="117"/>
  <c r="W21" i="117"/>
  <c r="V25" i="117"/>
  <c r="W34" i="117"/>
  <c r="V34" i="117"/>
  <c r="W42" i="117"/>
  <c r="V42" i="117"/>
  <c r="W73" i="117"/>
  <c r="V73" i="117"/>
  <c r="W82" i="117"/>
  <c r="V82" i="117"/>
  <c r="W31" i="117"/>
  <c r="V31" i="117"/>
  <c r="W155" i="117"/>
  <c r="V155" i="117"/>
  <c r="J37" i="117"/>
  <c r="J52" i="117" s="1"/>
  <c r="W45" i="117"/>
  <c r="J84" i="117"/>
  <c r="W70" i="117"/>
  <c r="V70" i="117"/>
  <c r="W74" i="117"/>
  <c r="V74" i="117"/>
  <c r="W83" i="117"/>
  <c r="V83" i="117"/>
  <c r="W109" i="117"/>
  <c r="V109" i="117"/>
  <c r="W123" i="117"/>
  <c r="J146" i="117"/>
  <c r="V123" i="117"/>
  <c r="W125" i="117"/>
  <c r="V125" i="117"/>
  <c r="W197" i="117"/>
  <c r="V197" i="117"/>
  <c r="W40" i="117"/>
  <c r="V40" i="117"/>
  <c r="W72" i="117"/>
  <c r="V72" i="117"/>
  <c r="N18" i="117"/>
  <c r="W6" i="117"/>
  <c r="W15" i="117"/>
  <c r="V15" i="117"/>
  <c r="W44" i="117"/>
  <c r="V44" i="117"/>
  <c r="W64" i="117"/>
  <c r="V64" i="117"/>
  <c r="W71" i="117"/>
  <c r="V71" i="117"/>
  <c r="W75" i="117"/>
  <c r="V75" i="117"/>
  <c r="W95" i="117"/>
  <c r="V95" i="117"/>
  <c r="W107" i="117"/>
  <c r="V107" i="117"/>
  <c r="W130" i="117"/>
  <c r="V130" i="117"/>
  <c r="W131" i="117"/>
  <c r="V131" i="117"/>
  <c r="W156" i="117"/>
  <c r="V156" i="117"/>
  <c r="W160" i="117"/>
  <c r="V160" i="117"/>
  <c r="W194" i="117"/>
  <c r="V194" i="117"/>
  <c r="J115" i="117"/>
  <c r="W124" i="117"/>
  <c r="V124" i="117"/>
  <c r="W126" i="117"/>
  <c r="V126" i="117"/>
  <c r="W128" i="117"/>
  <c r="V128" i="117"/>
  <c r="W132" i="117"/>
  <c r="V132" i="117"/>
  <c r="J177" i="117"/>
  <c r="W154" i="117"/>
  <c r="V154" i="117"/>
  <c r="W157" i="117"/>
  <c r="V157" i="117"/>
  <c r="W195" i="117"/>
  <c r="V195" i="117"/>
  <c r="W129" i="117"/>
  <c r="V129" i="117"/>
  <c r="W158" i="117"/>
  <c r="V158" i="117"/>
  <c r="J208" i="117"/>
  <c r="W196" i="117"/>
  <c r="V196" i="117"/>
  <c r="W208" i="117" l="1"/>
  <c r="P14" i="117" s="1"/>
  <c r="W84" i="117"/>
  <c r="P6" i="117" s="1"/>
  <c r="V240" i="117"/>
  <c r="O16" i="117" s="1"/>
  <c r="R16" i="117" s="1"/>
  <c r="V84" i="117"/>
  <c r="O6" i="117" s="1"/>
  <c r="R6" i="117" s="1"/>
  <c r="W115" i="117"/>
  <c r="P8" i="117" s="1"/>
  <c r="V115" i="117"/>
  <c r="O8" i="117" s="1"/>
  <c r="R8" i="117" s="1"/>
  <c r="V208" i="117"/>
  <c r="O14" i="117" s="1"/>
  <c r="R14" i="117" s="1"/>
  <c r="V146" i="117"/>
  <c r="O10" i="117" s="1"/>
  <c r="V177" i="117"/>
  <c r="O12" i="117" s="1"/>
  <c r="W146" i="117"/>
  <c r="P10" i="117" s="1"/>
  <c r="W37" i="117"/>
  <c r="W52" i="117" s="1"/>
  <c r="P4" i="117" s="1"/>
  <c r="V37" i="117"/>
  <c r="V52" i="117" s="1"/>
  <c r="O4" i="117" s="1"/>
  <c r="W177" i="117"/>
  <c r="P12" i="117" s="1"/>
  <c r="Q16" i="117" l="1"/>
  <c r="Q6" i="117"/>
  <c r="Q14" i="117"/>
  <c r="Q8" i="117"/>
  <c r="P18" i="117"/>
  <c r="O18" i="117"/>
  <c r="R18" i="117" s="1"/>
  <c r="P20" i="117" s="1"/>
  <c r="R4" i="117"/>
  <c r="Q4" i="117"/>
  <c r="R10" i="117"/>
  <c r="Q10" i="117"/>
  <c r="R12" i="117"/>
  <c r="Q12" i="117"/>
  <c r="Q18" i="117" l="1"/>
  <c r="H45" i="116" l="1"/>
  <c r="J45" i="116" s="1"/>
  <c r="I45" i="116"/>
  <c r="H44" i="116"/>
  <c r="J44" i="116" s="1"/>
  <c r="I44" i="116"/>
  <c r="J43" i="116"/>
  <c r="H43" i="116"/>
  <c r="I43" i="116"/>
  <c r="H42" i="116"/>
  <c r="J42" i="116" s="1"/>
  <c r="I42" i="116"/>
  <c r="H78" i="116"/>
  <c r="H111" i="116"/>
  <c r="H110" i="116"/>
  <c r="J40" i="116"/>
  <c r="I41" i="116"/>
  <c r="J41" i="116" s="1"/>
  <c r="H40" i="116"/>
  <c r="I40" i="116"/>
  <c r="J39" i="116"/>
  <c r="I39" i="116"/>
  <c r="I38" i="116"/>
  <c r="J38" i="116" s="1"/>
  <c r="H76" i="116"/>
  <c r="H109" i="116"/>
  <c r="H139" i="116"/>
  <c r="H170" i="116"/>
  <c r="H200" i="116"/>
  <c r="H169" i="116"/>
  <c r="H37" i="116"/>
  <c r="J37" i="116" s="1"/>
  <c r="I37" i="116"/>
  <c r="J36" i="116"/>
  <c r="I36" i="116"/>
  <c r="J34" i="116" l="1"/>
  <c r="J35" i="116"/>
  <c r="I35" i="116"/>
  <c r="I34" i="116"/>
  <c r="I33" i="116"/>
  <c r="J33" i="116" s="1"/>
  <c r="H32" i="116"/>
  <c r="J32" i="116" s="1"/>
  <c r="I32" i="116"/>
  <c r="J29" i="116"/>
  <c r="H31" i="116"/>
  <c r="J31" i="116" s="1"/>
  <c r="I31" i="116"/>
  <c r="I30" i="116"/>
  <c r="J30" i="116" s="1"/>
  <c r="H29" i="116"/>
  <c r="I29" i="116"/>
  <c r="H28" i="116"/>
  <c r="J28" i="116" s="1"/>
  <c r="I28" i="116"/>
  <c r="H106" i="116"/>
  <c r="H198" i="116"/>
  <c r="H197" i="116"/>
  <c r="J79" i="113" l="1"/>
  <c r="V79" i="113" s="1"/>
  <c r="J80" i="113"/>
  <c r="V80" i="113" s="1"/>
  <c r="W80" i="113"/>
  <c r="J81" i="113"/>
  <c r="J82" i="113"/>
  <c r="W82" i="113" s="1"/>
  <c r="V82" i="113"/>
  <c r="J83" i="113"/>
  <c r="W83" i="113" s="1"/>
  <c r="W79" i="113" l="1"/>
  <c r="V83" i="113"/>
  <c r="H27" i="116"/>
  <c r="H226" i="116" l="1"/>
  <c r="H194" i="116"/>
  <c r="H193" i="116"/>
  <c r="H160" i="116"/>
  <c r="H132" i="116"/>
  <c r="H100" i="116"/>
  <c r="H70" i="116"/>
  <c r="H67" i="116"/>
  <c r="H66" i="116"/>
  <c r="I27" i="116"/>
  <c r="J27" i="116" s="1"/>
  <c r="I26" i="116" l="1"/>
  <c r="J26" i="116" s="1"/>
  <c r="H25" i="116"/>
  <c r="J25" i="116" s="1"/>
  <c r="I25" i="116"/>
  <c r="I24" i="116"/>
  <c r="J24" i="116" s="1"/>
  <c r="H23" i="116"/>
  <c r="J23" i="116" s="1"/>
  <c r="I23" i="116"/>
  <c r="I22" i="116"/>
  <c r="J22" i="116" s="1"/>
  <c r="I21" i="116" l="1"/>
  <c r="J21" i="116" s="1"/>
  <c r="I20" i="116"/>
  <c r="J20" i="116" s="1"/>
  <c r="J19" i="116"/>
  <c r="I19" i="116"/>
  <c r="I18" i="116"/>
  <c r="J18" i="116" s="1"/>
  <c r="H16" i="116" l="1"/>
  <c r="B124" i="116" l="1"/>
  <c r="J124" i="116"/>
  <c r="V124" i="116" s="1"/>
  <c r="W124" i="116"/>
  <c r="H65" i="116"/>
  <c r="I17" i="116"/>
  <c r="J17" i="116" s="1"/>
  <c r="I16" i="116"/>
  <c r="J16" i="116" s="1"/>
  <c r="H98" i="116"/>
  <c r="H96" i="116"/>
  <c r="H95" i="116"/>
  <c r="H64" i="116"/>
  <c r="H61" i="116" l="1"/>
  <c r="H93" i="116"/>
  <c r="H186" i="116"/>
  <c r="H220" i="116" l="1"/>
  <c r="H15" i="116"/>
  <c r="I15" i="116"/>
  <c r="I14" i="116"/>
  <c r="J14" i="116" s="1"/>
  <c r="W14" i="116" s="1"/>
  <c r="I13" i="116"/>
  <c r="J13" i="116" s="1"/>
  <c r="H12" i="116"/>
  <c r="I12" i="116"/>
  <c r="I11" i="116"/>
  <c r="J11" i="116" s="1"/>
  <c r="V11" i="116" s="1"/>
  <c r="I10" i="116"/>
  <c r="J10" i="116" s="1"/>
  <c r="V10" i="116" s="1"/>
  <c r="I8" i="116"/>
  <c r="I9" i="116"/>
  <c r="H9" i="116"/>
  <c r="J9" i="116" s="1"/>
  <c r="H8" i="116"/>
  <c r="H7" i="116"/>
  <c r="J239" i="116"/>
  <c r="W239" i="116" s="1"/>
  <c r="J238" i="116"/>
  <c r="W238" i="116" s="1"/>
  <c r="J237" i="116"/>
  <c r="W237" i="116" s="1"/>
  <c r="J236" i="116"/>
  <c r="W236" i="116" s="1"/>
  <c r="J235" i="116"/>
  <c r="W235" i="116" s="1"/>
  <c r="J234" i="116"/>
  <c r="V234" i="116" s="1"/>
  <c r="J233" i="116"/>
  <c r="V233" i="116" s="1"/>
  <c r="J232" i="116"/>
  <c r="V232" i="116" s="1"/>
  <c r="J231" i="116"/>
  <c r="W231" i="116" s="1"/>
  <c r="J230" i="116"/>
  <c r="V230" i="116" s="1"/>
  <c r="J229" i="116"/>
  <c r="W229" i="116" s="1"/>
  <c r="J228" i="116"/>
  <c r="W228" i="116" s="1"/>
  <c r="J227" i="116"/>
  <c r="W227" i="116" s="1"/>
  <c r="J226" i="116"/>
  <c r="V226" i="116" s="1"/>
  <c r="J225" i="116"/>
  <c r="J224" i="116"/>
  <c r="J223" i="116"/>
  <c r="J222" i="116"/>
  <c r="J221" i="116"/>
  <c r="J220" i="116"/>
  <c r="W220" i="116" s="1"/>
  <c r="J219" i="116"/>
  <c r="W219" i="116" s="1"/>
  <c r="J218" i="116"/>
  <c r="W218" i="116" s="1"/>
  <c r="J217" i="116"/>
  <c r="W217" i="116" s="1"/>
  <c r="B217" i="116"/>
  <c r="B218" i="116" s="1"/>
  <c r="B219" i="116" s="1"/>
  <c r="B220" i="116" s="1"/>
  <c r="B221" i="116" s="1"/>
  <c r="B222" i="116" s="1"/>
  <c r="B223" i="116" s="1"/>
  <c r="B224" i="116" s="1"/>
  <c r="B225" i="116" s="1"/>
  <c r="B226" i="116" s="1"/>
  <c r="B227" i="116" s="1"/>
  <c r="B228" i="116" s="1"/>
  <c r="B229" i="116" s="1"/>
  <c r="B230" i="116" s="1"/>
  <c r="B231" i="116" s="1"/>
  <c r="B232" i="116" s="1"/>
  <c r="B233" i="116" s="1"/>
  <c r="B234" i="116" s="1"/>
  <c r="B235" i="116" s="1"/>
  <c r="B236" i="116" s="1"/>
  <c r="B237" i="116" s="1"/>
  <c r="B238" i="116" s="1"/>
  <c r="B239" i="116" s="1"/>
  <c r="J216" i="116"/>
  <c r="W216" i="116" s="1"/>
  <c r="J207" i="116"/>
  <c r="J206" i="116"/>
  <c r="J205" i="116"/>
  <c r="J204" i="116"/>
  <c r="J203" i="116"/>
  <c r="W203" i="116" s="1"/>
  <c r="J202" i="116"/>
  <c r="W202" i="116" s="1"/>
  <c r="J201" i="116"/>
  <c r="W201" i="116" s="1"/>
  <c r="J200" i="116"/>
  <c r="W200" i="116" s="1"/>
  <c r="J199" i="116"/>
  <c r="W199" i="116" s="1"/>
  <c r="J198" i="116"/>
  <c r="W198" i="116" s="1"/>
  <c r="J197" i="116"/>
  <c r="W197" i="116" s="1"/>
  <c r="J196" i="116"/>
  <c r="W196" i="116" s="1"/>
  <c r="J195" i="116"/>
  <c r="W195" i="116" s="1"/>
  <c r="J194" i="116"/>
  <c r="W194" i="116" s="1"/>
  <c r="W193" i="116"/>
  <c r="J193" i="116"/>
  <c r="V193" i="116" s="1"/>
  <c r="J192" i="116"/>
  <c r="W192" i="116" s="1"/>
  <c r="J191" i="116"/>
  <c r="W191" i="116" s="1"/>
  <c r="J190" i="116"/>
  <c r="V190" i="116" s="1"/>
  <c r="J189" i="116"/>
  <c r="J188" i="116"/>
  <c r="W188" i="116" s="1"/>
  <c r="J187" i="116"/>
  <c r="W187" i="116" s="1"/>
  <c r="J186" i="116"/>
  <c r="W186" i="116" s="1"/>
  <c r="B186" i="116"/>
  <c r="B187" i="116" s="1"/>
  <c r="B188" i="116" s="1"/>
  <c r="B189" i="116" s="1"/>
  <c r="B190" i="116" s="1"/>
  <c r="B191" i="116" s="1"/>
  <c r="B192" i="116" s="1"/>
  <c r="B193" i="116" s="1"/>
  <c r="B194" i="116" s="1"/>
  <c r="B195" i="116" s="1"/>
  <c r="B196" i="116" s="1"/>
  <c r="B197" i="116" s="1"/>
  <c r="B198" i="116" s="1"/>
  <c r="B199" i="116" s="1"/>
  <c r="B200" i="116" s="1"/>
  <c r="B201" i="116" s="1"/>
  <c r="B202" i="116" s="1"/>
  <c r="B203" i="116" s="1"/>
  <c r="B204" i="116" s="1"/>
  <c r="B205" i="116" s="1"/>
  <c r="B206" i="116" s="1"/>
  <c r="B207" i="116" s="1"/>
  <c r="J185" i="116"/>
  <c r="W185" i="116" s="1"/>
  <c r="J176" i="116"/>
  <c r="W176" i="116" s="1"/>
  <c r="J175" i="116"/>
  <c r="W175" i="116" s="1"/>
  <c r="W174" i="116"/>
  <c r="J174" i="116"/>
  <c r="V174" i="116" s="1"/>
  <c r="J173" i="116"/>
  <c r="W173" i="116" s="1"/>
  <c r="J172" i="116"/>
  <c r="W172" i="116" s="1"/>
  <c r="J171" i="116"/>
  <c r="W171" i="116" s="1"/>
  <c r="J170" i="116"/>
  <c r="V170" i="116" s="1"/>
  <c r="J169" i="116"/>
  <c r="V169" i="116" s="1"/>
  <c r="J168" i="116"/>
  <c r="W168" i="116" s="1"/>
  <c r="J167" i="116"/>
  <c r="W167" i="116" s="1"/>
  <c r="J166" i="116"/>
  <c r="V166" i="116" s="1"/>
  <c r="J165" i="116"/>
  <c r="J164" i="116"/>
  <c r="J163" i="116"/>
  <c r="W163" i="116" s="1"/>
  <c r="J162" i="116"/>
  <c r="W162" i="116" s="1"/>
  <c r="J161" i="116"/>
  <c r="W161" i="116" s="1"/>
  <c r="J160" i="116"/>
  <c r="W160" i="116" s="1"/>
  <c r="J159" i="116"/>
  <c r="W159" i="116" s="1"/>
  <c r="J158" i="116"/>
  <c r="W158" i="116" s="1"/>
  <c r="J157" i="116"/>
  <c r="V157" i="116" s="1"/>
  <c r="J156" i="116"/>
  <c r="W156" i="116" s="1"/>
  <c r="J155" i="116"/>
  <c r="W155" i="116" s="1"/>
  <c r="B155" i="116"/>
  <c r="B156" i="116" s="1"/>
  <c r="B157" i="116" s="1"/>
  <c r="B158" i="116" s="1"/>
  <c r="B159" i="116" s="1"/>
  <c r="B160" i="116" s="1"/>
  <c r="B161" i="116" s="1"/>
  <c r="B162" i="116" s="1"/>
  <c r="B163" i="116" s="1"/>
  <c r="B164" i="116" s="1"/>
  <c r="B165" i="116" s="1"/>
  <c r="B166" i="116" s="1"/>
  <c r="B167" i="116" s="1"/>
  <c r="B168" i="116" s="1"/>
  <c r="B169" i="116" s="1"/>
  <c r="B170" i="116" s="1"/>
  <c r="B171" i="116" s="1"/>
  <c r="B172" i="116" s="1"/>
  <c r="B173" i="116" s="1"/>
  <c r="B174" i="116" s="1"/>
  <c r="B175" i="116" s="1"/>
  <c r="B176" i="116" s="1"/>
  <c r="J154" i="116"/>
  <c r="W154" i="116" s="1"/>
  <c r="J145" i="116"/>
  <c r="W145" i="116" s="1"/>
  <c r="J144" i="116"/>
  <c r="W144" i="116" s="1"/>
  <c r="J143" i="116"/>
  <c r="W143" i="116" s="1"/>
  <c r="J142" i="116"/>
  <c r="W142" i="116" s="1"/>
  <c r="J141" i="116"/>
  <c r="W141" i="116" s="1"/>
  <c r="J140" i="116"/>
  <c r="V140" i="116" s="1"/>
  <c r="J139" i="116"/>
  <c r="V139" i="116" s="1"/>
  <c r="J138" i="116"/>
  <c r="W138" i="116" s="1"/>
  <c r="J137" i="116"/>
  <c r="W137" i="116" s="1"/>
  <c r="J136" i="116"/>
  <c r="V136" i="116" s="1"/>
  <c r="J135" i="116"/>
  <c r="V135" i="116" s="1"/>
  <c r="J134" i="116"/>
  <c r="W134" i="116" s="1"/>
  <c r="J133" i="116"/>
  <c r="W133" i="116" s="1"/>
  <c r="J132" i="116"/>
  <c r="V132" i="116" s="1"/>
  <c r="J131" i="116"/>
  <c r="V131" i="116" s="1"/>
  <c r="J130" i="116"/>
  <c r="J129" i="116"/>
  <c r="W129" i="116" s="1"/>
  <c r="J128" i="116"/>
  <c r="V128" i="116" s="1"/>
  <c r="J127" i="116"/>
  <c r="V127" i="116" s="1"/>
  <c r="J126" i="116"/>
  <c r="V126" i="116" s="1"/>
  <c r="J125" i="116"/>
  <c r="B125" i="116"/>
  <c r="B126" i="116" s="1"/>
  <c r="B127" i="116" s="1"/>
  <c r="B128" i="116" s="1"/>
  <c r="B129" i="116" s="1"/>
  <c r="B130" i="116" s="1"/>
  <c r="B131" i="116" s="1"/>
  <c r="B132" i="116" s="1"/>
  <c r="B133" i="116" s="1"/>
  <c r="B134" i="116" s="1"/>
  <c r="B135" i="116" s="1"/>
  <c r="B136" i="116" s="1"/>
  <c r="B137" i="116" s="1"/>
  <c r="B138" i="116" s="1"/>
  <c r="B139" i="116" s="1"/>
  <c r="B140" i="116" s="1"/>
  <c r="B141" i="116" s="1"/>
  <c r="B142" i="116" s="1"/>
  <c r="B143" i="116" s="1"/>
  <c r="B144" i="116" s="1"/>
  <c r="B145" i="116" s="1"/>
  <c r="J123" i="116"/>
  <c r="V123" i="116" s="1"/>
  <c r="J114" i="116"/>
  <c r="W114" i="116" s="1"/>
  <c r="J113" i="116"/>
  <c r="V113" i="116" s="1"/>
  <c r="J112" i="116"/>
  <c r="W112" i="116" s="1"/>
  <c r="J111" i="116"/>
  <c r="W111" i="116" s="1"/>
  <c r="J110" i="116"/>
  <c r="W110" i="116" s="1"/>
  <c r="J109" i="116"/>
  <c r="V109" i="116" s="1"/>
  <c r="J108" i="116"/>
  <c r="W108" i="116" s="1"/>
  <c r="J107" i="116"/>
  <c r="V107" i="116" s="1"/>
  <c r="J106" i="116"/>
  <c r="V106" i="116" s="1"/>
  <c r="J105" i="116"/>
  <c r="V105" i="116" s="1"/>
  <c r="J104" i="116"/>
  <c r="V104" i="116" s="1"/>
  <c r="J103" i="116"/>
  <c r="V103" i="116" s="1"/>
  <c r="J102" i="116"/>
  <c r="V102" i="116" s="1"/>
  <c r="J101" i="116"/>
  <c r="V101" i="116" s="1"/>
  <c r="J100" i="116"/>
  <c r="W100" i="116" s="1"/>
  <c r="J99" i="116"/>
  <c r="W99" i="116" s="1"/>
  <c r="J98" i="116"/>
  <c r="W98" i="116" s="1"/>
  <c r="J97" i="116"/>
  <c r="V97" i="116" s="1"/>
  <c r="J96" i="116"/>
  <c r="W96" i="116" s="1"/>
  <c r="J95" i="116"/>
  <c r="J94" i="116"/>
  <c r="W94" i="116" s="1"/>
  <c r="J93" i="116"/>
  <c r="V93" i="116" s="1"/>
  <c r="B93" i="116"/>
  <c r="B94" i="116" s="1"/>
  <c r="B95" i="116" s="1"/>
  <c r="B96" i="116" s="1"/>
  <c r="B97" i="116" s="1"/>
  <c r="B98" i="116" s="1"/>
  <c r="B99" i="116" s="1"/>
  <c r="B100" i="116" s="1"/>
  <c r="B101" i="116" s="1"/>
  <c r="B102" i="116" s="1"/>
  <c r="B103" i="116" s="1"/>
  <c r="B104" i="116" s="1"/>
  <c r="B105" i="116" s="1"/>
  <c r="B106" i="116" s="1"/>
  <c r="B107" i="116" s="1"/>
  <c r="B108" i="116" s="1"/>
  <c r="B109" i="116" s="1"/>
  <c r="B110" i="116" s="1"/>
  <c r="B111" i="116" s="1"/>
  <c r="B112" i="116" s="1"/>
  <c r="B113" i="116" s="1"/>
  <c r="B114" i="116" s="1"/>
  <c r="J92" i="116"/>
  <c r="V92" i="116" s="1"/>
  <c r="J83" i="116"/>
  <c r="W83" i="116" s="1"/>
  <c r="J82" i="116"/>
  <c r="W82" i="116" s="1"/>
  <c r="J81" i="116"/>
  <c r="J80" i="116"/>
  <c r="V80" i="116" s="1"/>
  <c r="J79" i="116"/>
  <c r="W79" i="116" s="1"/>
  <c r="J78" i="116"/>
  <c r="J77" i="116"/>
  <c r="W77" i="116" s="1"/>
  <c r="J76" i="116"/>
  <c r="J75" i="116"/>
  <c r="W75" i="116" s="1"/>
  <c r="J74" i="116"/>
  <c r="W74" i="116" s="1"/>
  <c r="J73" i="116"/>
  <c r="W73" i="116" s="1"/>
  <c r="J72" i="116"/>
  <c r="V72" i="116" s="1"/>
  <c r="J71" i="116"/>
  <c r="W71" i="116" s="1"/>
  <c r="J70" i="116"/>
  <c r="V70" i="116" s="1"/>
  <c r="J69" i="116"/>
  <c r="W69" i="116" s="1"/>
  <c r="J68" i="116"/>
  <c r="J67" i="116"/>
  <c r="J66" i="116"/>
  <c r="W66" i="116" s="1"/>
  <c r="J65" i="116"/>
  <c r="W65" i="116" s="1"/>
  <c r="J64" i="116"/>
  <c r="W64" i="116" s="1"/>
  <c r="J63" i="116"/>
  <c r="W63" i="116" s="1"/>
  <c r="B63" i="116"/>
  <c r="B64" i="116" s="1"/>
  <c r="B65" i="116" s="1"/>
  <c r="B66" i="116" s="1"/>
  <c r="B67" i="116" s="1"/>
  <c r="B68" i="116" s="1"/>
  <c r="B69" i="116" s="1"/>
  <c r="B70" i="116" s="1"/>
  <c r="B71" i="116" s="1"/>
  <c r="B72" i="116" s="1"/>
  <c r="B73" i="116" s="1"/>
  <c r="B74" i="116" s="1"/>
  <c r="B75" i="116" s="1"/>
  <c r="B76" i="116" s="1"/>
  <c r="B77" i="116" s="1"/>
  <c r="B78" i="116" s="1"/>
  <c r="B79" i="116" s="1"/>
  <c r="B80" i="116" s="1"/>
  <c r="B81" i="116" s="1"/>
  <c r="B82" i="116" s="1"/>
  <c r="B83" i="116" s="1"/>
  <c r="J62" i="116"/>
  <c r="J61" i="116"/>
  <c r="B61" i="116"/>
  <c r="B62" i="116" s="1"/>
  <c r="J60" i="116"/>
  <c r="W51" i="116"/>
  <c r="V51" i="116"/>
  <c r="W50" i="116"/>
  <c r="V50" i="116"/>
  <c r="V48" i="116"/>
  <c r="W48" i="116"/>
  <c r="V47" i="116"/>
  <c r="W45" i="116"/>
  <c r="V42" i="116"/>
  <c r="W40" i="116"/>
  <c r="V40" i="116"/>
  <c r="V38" i="116"/>
  <c r="W38" i="116"/>
  <c r="W37" i="116"/>
  <c r="V37" i="116"/>
  <c r="V34" i="116"/>
  <c r="V32" i="116"/>
  <c r="W32" i="116"/>
  <c r="V30" i="116"/>
  <c r="W30" i="116"/>
  <c r="V29" i="116"/>
  <c r="V26" i="116"/>
  <c r="W26" i="116"/>
  <c r="V23" i="116"/>
  <c r="W23" i="116"/>
  <c r="V20" i="116"/>
  <c r="W20" i="116"/>
  <c r="W18" i="116"/>
  <c r="W16" i="116"/>
  <c r="N14" i="116"/>
  <c r="N12" i="116"/>
  <c r="N10" i="116"/>
  <c r="N8" i="116"/>
  <c r="I7" i="116"/>
  <c r="J7" i="116" s="1"/>
  <c r="W7" i="116" s="1"/>
  <c r="B7" i="116"/>
  <c r="B8" i="116" s="1"/>
  <c r="B9" i="116" s="1"/>
  <c r="B10" i="116" s="1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B22" i="116" s="1"/>
  <c r="B23" i="116" s="1"/>
  <c r="B24" i="116" s="1"/>
  <c r="B25" i="116" s="1"/>
  <c r="B26" i="116" s="1"/>
  <c r="B27" i="116" s="1"/>
  <c r="B28" i="116" s="1"/>
  <c r="B29" i="116" s="1"/>
  <c r="B30" i="116" s="1"/>
  <c r="B31" i="116" s="1"/>
  <c r="B32" i="116" s="1"/>
  <c r="B33" i="116" s="1"/>
  <c r="B34" i="116" s="1"/>
  <c r="B35" i="116" s="1"/>
  <c r="B36" i="116" s="1"/>
  <c r="B37" i="116" s="1"/>
  <c r="B38" i="116" s="1"/>
  <c r="B39" i="116" s="1"/>
  <c r="B40" i="116" s="1"/>
  <c r="B41" i="116" s="1"/>
  <c r="B42" i="116" s="1"/>
  <c r="B43" i="116" s="1"/>
  <c r="B44" i="116" s="1"/>
  <c r="B45" i="116" s="1"/>
  <c r="B46" i="116" s="1"/>
  <c r="B47" i="116" s="1"/>
  <c r="B48" i="116" s="1"/>
  <c r="B49" i="116" s="1"/>
  <c r="B50" i="116" s="1"/>
  <c r="B51" i="116" s="1"/>
  <c r="N6" i="116"/>
  <c r="I6" i="116"/>
  <c r="J6" i="116" s="1"/>
  <c r="N4" i="116"/>
  <c r="W140" i="116" l="1"/>
  <c r="W169" i="116"/>
  <c r="W233" i="116"/>
  <c r="W136" i="116"/>
  <c r="V196" i="116"/>
  <c r="V192" i="116"/>
  <c r="W132" i="116"/>
  <c r="V200" i="116"/>
  <c r="V203" i="116"/>
  <c r="V229" i="116"/>
  <c r="J8" i="116"/>
  <c r="W8" i="116" s="1"/>
  <c r="J12" i="116"/>
  <c r="W12" i="116" s="1"/>
  <c r="W113" i="116"/>
  <c r="J15" i="116"/>
  <c r="V15" i="116" s="1"/>
  <c r="W72" i="116"/>
  <c r="W230" i="116"/>
  <c r="V239" i="116"/>
  <c r="W80" i="116"/>
  <c r="V83" i="116"/>
  <c r="W107" i="116"/>
  <c r="W109" i="116"/>
  <c r="V112" i="116"/>
  <c r="W131" i="116"/>
  <c r="W135" i="116"/>
  <c r="W139" i="116"/>
  <c r="W157" i="116"/>
  <c r="W170" i="116"/>
  <c r="V173" i="116"/>
  <c r="V198" i="116"/>
  <c r="V238" i="116"/>
  <c r="V114" i="116"/>
  <c r="W234" i="116"/>
  <c r="V237" i="116"/>
  <c r="W92" i="116"/>
  <c r="W106" i="116"/>
  <c r="V108" i="116"/>
  <c r="V134" i="116"/>
  <c r="V138" i="116"/>
  <c r="V142" i="116"/>
  <c r="V145" i="116"/>
  <c r="V188" i="116"/>
  <c r="V156" i="116"/>
  <c r="W128" i="116"/>
  <c r="W127" i="116"/>
  <c r="V98" i="116"/>
  <c r="V94" i="116"/>
  <c r="W93" i="116"/>
  <c r="V216" i="116"/>
  <c r="V217" i="116"/>
  <c r="V228" i="116"/>
  <c r="V236" i="116"/>
  <c r="V227" i="116"/>
  <c r="V231" i="116"/>
  <c r="W232" i="116"/>
  <c r="V235" i="116"/>
  <c r="V219" i="116"/>
  <c r="V187" i="116"/>
  <c r="V191" i="116"/>
  <c r="V195" i="116"/>
  <c r="V185" i="116"/>
  <c r="V186" i="116"/>
  <c r="V194" i="116"/>
  <c r="V202" i="116"/>
  <c r="W190" i="116"/>
  <c r="V154" i="116"/>
  <c r="V155" i="116"/>
  <c r="V159" i="116"/>
  <c r="V161" i="116"/>
  <c r="V163" i="116"/>
  <c r="V168" i="116"/>
  <c r="V172" i="116"/>
  <c r="V158" i="116"/>
  <c r="V167" i="116"/>
  <c r="V171" i="116"/>
  <c r="V160" i="116"/>
  <c r="V162" i="116"/>
  <c r="W126" i="116"/>
  <c r="V129" i="116"/>
  <c r="V133" i="116"/>
  <c r="V137" i="116"/>
  <c r="V141" i="116"/>
  <c r="V143" i="116"/>
  <c r="W102" i="116"/>
  <c r="W104" i="116"/>
  <c r="V111" i="116"/>
  <c r="V110" i="116"/>
  <c r="W103" i="116"/>
  <c r="V79" i="116"/>
  <c r="V75" i="116"/>
  <c r="V71" i="116"/>
  <c r="V65" i="116"/>
  <c r="V64" i="116"/>
  <c r="V74" i="116"/>
  <c r="V63" i="116"/>
  <c r="V66" i="116"/>
  <c r="V69" i="116"/>
  <c r="W70" i="116"/>
  <c r="V73" i="116"/>
  <c r="W15" i="116"/>
  <c r="W6" i="116"/>
  <c r="V6" i="116"/>
  <c r="W9" i="116"/>
  <c r="V9" i="116"/>
  <c r="V13" i="116"/>
  <c r="W13" i="116"/>
  <c r="W19" i="116"/>
  <c r="V19" i="116"/>
  <c r="V7" i="116"/>
  <c r="W10" i="116"/>
  <c r="W11" i="116"/>
  <c r="V12" i="116"/>
  <c r="W21" i="116"/>
  <c r="V21" i="116"/>
  <c r="W24" i="116"/>
  <c r="V24" i="116"/>
  <c r="W27" i="116"/>
  <c r="V27" i="116"/>
  <c r="W29" i="116"/>
  <c r="W31" i="116"/>
  <c r="V31" i="116"/>
  <c r="W42" i="116"/>
  <c r="W44" i="116"/>
  <c r="V44" i="116"/>
  <c r="V45" i="116"/>
  <c r="W95" i="116"/>
  <c r="J115" i="116"/>
  <c r="V95" i="116"/>
  <c r="W35" i="116"/>
  <c r="V35" i="116"/>
  <c r="V14" i="116"/>
  <c r="N18" i="116"/>
  <c r="W17" i="116"/>
  <c r="V17" i="116"/>
  <c r="V18" i="116"/>
  <c r="W22" i="116"/>
  <c r="V22" i="116"/>
  <c r="W25" i="116"/>
  <c r="V25" i="116"/>
  <c r="W28" i="116"/>
  <c r="V28" i="116"/>
  <c r="W41" i="116"/>
  <c r="V41" i="116"/>
  <c r="W47" i="116"/>
  <c r="W61" i="116"/>
  <c r="V61" i="116"/>
  <c r="W67" i="116"/>
  <c r="V67" i="116"/>
  <c r="W78" i="116"/>
  <c r="V78" i="116"/>
  <c r="W39" i="116"/>
  <c r="V39" i="116"/>
  <c r="W46" i="116"/>
  <c r="V46" i="116"/>
  <c r="W49" i="116"/>
  <c r="V49" i="116"/>
  <c r="W62" i="116"/>
  <c r="V62" i="116"/>
  <c r="W68" i="116"/>
  <c r="V68" i="116"/>
  <c r="W33" i="116"/>
  <c r="V33" i="116"/>
  <c r="W34" i="116"/>
  <c r="W36" i="116"/>
  <c r="V36" i="116"/>
  <c r="W43" i="116"/>
  <c r="V43" i="116"/>
  <c r="W60" i="116"/>
  <c r="J84" i="116"/>
  <c r="V60" i="116"/>
  <c r="W76" i="116"/>
  <c r="V76" i="116"/>
  <c r="V16" i="116"/>
  <c r="V77" i="116"/>
  <c r="V82" i="116"/>
  <c r="V96" i="116"/>
  <c r="W97" i="116"/>
  <c r="V99" i="116"/>
  <c r="V100" i="116"/>
  <c r="W101" i="116"/>
  <c r="W105" i="116"/>
  <c r="V144" i="116"/>
  <c r="V176" i="116"/>
  <c r="J240" i="116"/>
  <c r="J146" i="116"/>
  <c r="W123" i="116"/>
  <c r="W164" i="116"/>
  <c r="V164" i="116"/>
  <c r="V197" i="116"/>
  <c r="V199" i="116"/>
  <c r="V201" i="116"/>
  <c r="W205" i="116"/>
  <c r="V205" i="116"/>
  <c r="W207" i="116"/>
  <c r="V207" i="116"/>
  <c r="V218" i="116"/>
  <c r="V220" i="116"/>
  <c r="W222" i="116"/>
  <c r="V222" i="116"/>
  <c r="W224" i="116"/>
  <c r="V224" i="116"/>
  <c r="J177" i="116"/>
  <c r="W166" i="116"/>
  <c r="V175" i="116"/>
  <c r="J208" i="116"/>
  <c r="W226" i="116"/>
  <c r="W125" i="116"/>
  <c r="V125" i="116"/>
  <c r="W130" i="116"/>
  <c r="V130" i="116"/>
  <c r="W165" i="116"/>
  <c r="V165" i="116"/>
  <c r="W189" i="116"/>
  <c r="V189" i="116"/>
  <c r="W204" i="116"/>
  <c r="V204" i="116"/>
  <c r="W206" i="116"/>
  <c r="V206" i="116"/>
  <c r="W221" i="116"/>
  <c r="V221" i="116"/>
  <c r="W223" i="116"/>
  <c r="V223" i="116"/>
  <c r="W225" i="116"/>
  <c r="V225" i="116"/>
  <c r="H175" i="115"/>
  <c r="H143" i="115"/>
  <c r="H80" i="115"/>
  <c r="I49" i="115"/>
  <c r="J49" i="115" s="1"/>
  <c r="I48" i="115"/>
  <c r="J48" i="115" s="1"/>
  <c r="H47" i="115"/>
  <c r="I47" i="115"/>
  <c r="J47" i="115" s="1"/>
  <c r="I46" i="115"/>
  <c r="J46" i="115" s="1"/>
  <c r="J52" i="116" l="1"/>
  <c r="V8" i="116"/>
  <c r="V115" i="116"/>
  <c r="O8" i="116" s="1"/>
  <c r="R8" i="116" s="1"/>
  <c r="V177" i="116"/>
  <c r="O12" i="116" s="1"/>
  <c r="R12" i="116" s="1"/>
  <c r="V240" i="116"/>
  <c r="O16" i="116" s="1"/>
  <c r="R16" i="116" s="1"/>
  <c r="W208" i="116"/>
  <c r="P14" i="116" s="1"/>
  <c r="W177" i="116"/>
  <c r="P12" i="116" s="1"/>
  <c r="W115" i="116"/>
  <c r="P8" i="116" s="1"/>
  <c r="V84" i="116"/>
  <c r="O6" i="116" s="1"/>
  <c r="R6" i="116" s="1"/>
  <c r="W240" i="116"/>
  <c r="P16" i="116" s="1"/>
  <c r="W52" i="116"/>
  <c r="P4" i="116" s="1"/>
  <c r="V146" i="116"/>
  <c r="O10" i="116" s="1"/>
  <c r="V208" i="116"/>
  <c r="O14" i="116" s="1"/>
  <c r="W146" i="116"/>
  <c r="P10" i="116" s="1"/>
  <c r="W84" i="116"/>
  <c r="P6" i="116" s="1"/>
  <c r="V52" i="116"/>
  <c r="O4" i="116" s="1"/>
  <c r="H45" i="115"/>
  <c r="J45" i="115" s="1"/>
  <c r="I45" i="115"/>
  <c r="I44" i="115"/>
  <c r="J44" i="115" s="1"/>
  <c r="H142" i="115"/>
  <c r="H204" i="115"/>
  <c r="Q8" i="116" l="1"/>
  <c r="Q12" i="116"/>
  <c r="Q16" i="116"/>
  <c r="Q6" i="116"/>
  <c r="P18" i="116"/>
  <c r="R4" i="116"/>
  <c r="O18" i="116"/>
  <c r="R18" i="116" s="1"/>
  <c r="P20" i="116" s="1"/>
  <c r="Q4" i="116"/>
  <c r="R14" i="116"/>
  <c r="Q14" i="116"/>
  <c r="Q10" i="116"/>
  <c r="R10" i="116"/>
  <c r="H230" i="115"/>
  <c r="H170" i="115"/>
  <c r="Q18" i="116" l="1"/>
  <c r="H108" i="115"/>
  <c r="H78" i="115"/>
  <c r="H76" i="115"/>
  <c r="H75" i="115"/>
  <c r="H43" i="115"/>
  <c r="J43" i="115" s="1"/>
  <c r="I43" i="115"/>
  <c r="H42" i="115"/>
  <c r="I42" i="115"/>
  <c r="J39" i="115"/>
  <c r="H41" i="115"/>
  <c r="J41" i="115" s="1"/>
  <c r="I41" i="115"/>
  <c r="I40" i="115"/>
  <c r="J40" i="115" s="1"/>
  <c r="H39" i="115"/>
  <c r="I39" i="115"/>
  <c r="I38" i="115"/>
  <c r="J38" i="115" s="1"/>
  <c r="I37" i="115"/>
  <c r="J37" i="115" s="1"/>
  <c r="I36" i="115"/>
  <c r="J36" i="115" s="1"/>
  <c r="H35" i="115"/>
  <c r="J35" i="115" s="1"/>
  <c r="I35" i="115"/>
  <c r="I34" i="115"/>
  <c r="J34" i="115" s="1"/>
  <c r="J42" i="115" l="1"/>
  <c r="H197" i="115"/>
  <c r="H195" i="115"/>
  <c r="H166" i="115"/>
  <c r="H164" i="115"/>
  <c r="H101" i="115"/>
  <c r="H100" i="115"/>
  <c r="H73" i="115"/>
  <c r="H33" i="115"/>
  <c r="I33" i="115"/>
  <c r="H32" i="115"/>
  <c r="J32" i="115"/>
  <c r="I32" i="115"/>
  <c r="H31" i="115"/>
  <c r="J31" i="115" s="1"/>
  <c r="I31" i="115"/>
  <c r="I30" i="115"/>
  <c r="J30" i="115" s="1"/>
  <c r="J26" i="115"/>
  <c r="J27" i="115"/>
  <c r="I29" i="115"/>
  <c r="J29" i="115" s="1"/>
  <c r="I28" i="115"/>
  <c r="J28" i="115" s="1"/>
  <c r="I27" i="115"/>
  <c r="H26" i="115"/>
  <c r="I26" i="115"/>
  <c r="J24" i="115"/>
  <c r="I25" i="115"/>
  <c r="J25" i="115" s="1"/>
  <c r="I24" i="115"/>
  <c r="J33" i="115" l="1"/>
  <c r="H226" i="115"/>
  <c r="H23" i="115" l="1"/>
  <c r="J23" i="115" s="1"/>
  <c r="I23" i="115"/>
  <c r="J22" i="115"/>
  <c r="I22" i="115"/>
  <c r="H68" i="115"/>
  <c r="H99" i="115"/>
  <c r="H221" i="115"/>
  <c r="H218" i="115"/>
  <c r="H190" i="115"/>
  <c r="H189" i="115"/>
  <c r="H188" i="115"/>
  <c r="H187" i="115"/>
  <c r="H159" i="115"/>
  <c r="H158" i="115"/>
  <c r="H131" i="115"/>
  <c r="H130" i="115"/>
  <c r="H129" i="115"/>
  <c r="H127" i="115" l="1"/>
  <c r="H126" i="115"/>
  <c r="H124" i="115"/>
  <c r="H98" i="115"/>
  <c r="H97" i="115"/>
  <c r="H95" i="115"/>
  <c r="H94" i="115"/>
  <c r="H67" i="115"/>
  <c r="H65" i="115"/>
  <c r="H63" i="115"/>
  <c r="H62" i="115"/>
  <c r="J20" i="115"/>
  <c r="I21" i="115"/>
  <c r="J21" i="115" s="1"/>
  <c r="I20" i="115"/>
  <c r="J19" i="115" l="1"/>
  <c r="H19" i="115"/>
  <c r="I19" i="115"/>
  <c r="I18" i="115"/>
  <c r="J18" i="115" s="1"/>
  <c r="I17" i="115"/>
  <c r="J17" i="115" s="1"/>
  <c r="H16" i="115"/>
  <c r="J16" i="115" s="1"/>
  <c r="I16" i="115"/>
  <c r="H15" i="115"/>
  <c r="J15" i="115" s="1"/>
  <c r="I15" i="115"/>
  <c r="I14" i="115"/>
  <c r="J14" i="115" s="1"/>
  <c r="I13" i="115"/>
  <c r="J13" i="115" s="1"/>
  <c r="I12" i="115"/>
  <c r="J12" i="115" s="1"/>
  <c r="I11" i="115"/>
  <c r="J11" i="115" s="1"/>
  <c r="I10" i="115"/>
  <c r="J10" i="115" s="1"/>
  <c r="I9" i="115"/>
  <c r="J9" i="115"/>
  <c r="I8" i="115"/>
  <c r="J8" i="115" s="1"/>
  <c r="H7" i="115"/>
  <c r="J239" i="115" l="1"/>
  <c r="V239" i="115" s="1"/>
  <c r="J238" i="115"/>
  <c r="V238" i="115" s="1"/>
  <c r="J237" i="115"/>
  <c r="V237" i="115" s="1"/>
  <c r="J236" i="115"/>
  <c r="V236" i="115" s="1"/>
  <c r="J235" i="115"/>
  <c r="V235" i="115" s="1"/>
  <c r="J234" i="115"/>
  <c r="W234" i="115" s="1"/>
  <c r="J233" i="115"/>
  <c r="J232" i="115"/>
  <c r="J231" i="115"/>
  <c r="J230" i="115"/>
  <c r="J229" i="115"/>
  <c r="J228" i="115"/>
  <c r="J227" i="115"/>
  <c r="W227" i="115" s="1"/>
  <c r="J226" i="115"/>
  <c r="J225" i="115"/>
  <c r="V225" i="115" s="1"/>
  <c r="J224" i="115"/>
  <c r="V224" i="115" s="1"/>
  <c r="J223" i="115"/>
  <c r="V223" i="115" s="1"/>
  <c r="J222" i="115"/>
  <c r="V222" i="115" s="1"/>
  <c r="J221" i="115"/>
  <c r="W221" i="115" s="1"/>
  <c r="J220" i="115"/>
  <c r="J219" i="115"/>
  <c r="J218" i="115"/>
  <c r="J217" i="115"/>
  <c r="B217" i="115"/>
  <c r="B218" i="115" s="1"/>
  <c r="B219" i="115" s="1"/>
  <c r="B220" i="115" s="1"/>
  <c r="B221" i="115" s="1"/>
  <c r="B222" i="115" s="1"/>
  <c r="B223" i="115" s="1"/>
  <c r="B224" i="115" s="1"/>
  <c r="B225" i="115" s="1"/>
  <c r="B226" i="115" s="1"/>
  <c r="B227" i="115" s="1"/>
  <c r="B228" i="115" s="1"/>
  <c r="B229" i="115" s="1"/>
  <c r="B230" i="115" s="1"/>
  <c r="B231" i="115" s="1"/>
  <c r="B232" i="115" s="1"/>
  <c r="B233" i="115" s="1"/>
  <c r="B234" i="115" s="1"/>
  <c r="B235" i="115" s="1"/>
  <c r="B236" i="115" s="1"/>
  <c r="B237" i="115" s="1"/>
  <c r="B238" i="115" s="1"/>
  <c r="B239" i="115" s="1"/>
  <c r="J216" i="115"/>
  <c r="J207" i="115"/>
  <c r="W207" i="115" s="1"/>
  <c r="J206" i="115"/>
  <c r="W206" i="115" s="1"/>
  <c r="J205" i="115"/>
  <c r="W205" i="115" s="1"/>
  <c r="J204" i="115"/>
  <c r="W204" i="115" s="1"/>
  <c r="J203" i="115"/>
  <c r="W203" i="115" s="1"/>
  <c r="J202" i="115"/>
  <c r="W202" i="115" s="1"/>
  <c r="J201" i="115"/>
  <c r="W201" i="115" s="1"/>
  <c r="J200" i="115"/>
  <c r="W200" i="115" s="1"/>
  <c r="J199" i="115"/>
  <c r="W199" i="115" s="1"/>
  <c r="J198" i="115"/>
  <c r="W198" i="115" s="1"/>
  <c r="J197" i="115"/>
  <c r="W197" i="115" s="1"/>
  <c r="J196" i="115"/>
  <c r="W196" i="115" s="1"/>
  <c r="B196" i="115"/>
  <c r="B197" i="115" s="1"/>
  <c r="B198" i="115" s="1"/>
  <c r="B199" i="115" s="1"/>
  <c r="B200" i="115" s="1"/>
  <c r="B201" i="115" s="1"/>
  <c r="B202" i="115" s="1"/>
  <c r="B203" i="115" s="1"/>
  <c r="B204" i="115" s="1"/>
  <c r="B205" i="115" s="1"/>
  <c r="B206" i="115" s="1"/>
  <c r="B207" i="115" s="1"/>
  <c r="J195" i="115"/>
  <c r="J194" i="115"/>
  <c r="J193" i="115"/>
  <c r="J192" i="115"/>
  <c r="J191" i="115"/>
  <c r="W191" i="115" s="1"/>
  <c r="J190" i="115"/>
  <c r="W190" i="115" s="1"/>
  <c r="J189" i="115"/>
  <c r="W189" i="115" s="1"/>
  <c r="J188" i="115"/>
  <c r="V188" i="115" s="1"/>
  <c r="J187" i="115"/>
  <c r="J186" i="115"/>
  <c r="B186" i="115"/>
  <c r="B187" i="115" s="1"/>
  <c r="B188" i="115" s="1"/>
  <c r="B189" i="115" s="1"/>
  <c r="B190" i="115" s="1"/>
  <c r="B191" i="115" s="1"/>
  <c r="B192" i="115" s="1"/>
  <c r="B193" i="115" s="1"/>
  <c r="B194" i="115" s="1"/>
  <c r="B195" i="115" s="1"/>
  <c r="J185" i="115"/>
  <c r="W176" i="115"/>
  <c r="J176" i="115"/>
  <c r="V176" i="115" s="1"/>
  <c r="J175" i="115"/>
  <c r="V175" i="115" s="1"/>
  <c r="J174" i="115"/>
  <c r="V174" i="115" s="1"/>
  <c r="J173" i="115"/>
  <c r="V173" i="115" s="1"/>
  <c r="J172" i="115"/>
  <c r="V172" i="115" s="1"/>
  <c r="J171" i="115"/>
  <c r="V171" i="115" s="1"/>
  <c r="J170" i="115"/>
  <c r="V170" i="115" s="1"/>
  <c r="J169" i="115"/>
  <c r="W169" i="115" s="1"/>
  <c r="J168" i="115"/>
  <c r="J167" i="115"/>
  <c r="J166" i="115"/>
  <c r="V166" i="115" s="1"/>
  <c r="J165" i="115"/>
  <c r="J164" i="115"/>
  <c r="V164" i="115" s="1"/>
  <c r="J163" i="115"/>
  <c r="W163" i="115" s="1"/>
  <c r="J162" i="115"/>
  <c r="W162" i="115" s="1"/>
  <c r="J161" i="115"/>
  <c r="W161" i="115" s="1"/>
  <c r="J160" i="115"/>
  <c r="W160" i="115" s="1"/>
  <c r="J159" i="115"/>
  <c r="J158" i="115"/>
  <c r="V158" i="115" s="1"/>
  <c r="V157" i="115"/>
  <c r="J157" i="115"/>
  <c r="W157" i="115" s="1"/>
  <c r="J156" i="115"/>
  <c r="J155" i="115"/>
  <c r="V155" i="115" s="1"/>
  <c r="B155" i="115"/>
  <c r="B156" i="115" s="1"/>
  <c r="B157" i="115" s="1"/>
  <c r="B158" i="115" s="1"/>
  <c r="B159" i="115" s="1"/>
  <c r="B160" i="115" s="1"/>
  <c r="B161" i="115" s="1"/>
  <c r="B162" i="115" s="1"/>
  <c r="B163" i="115" s="1"/>
  <c r="B164" i="115" s="1"/>
  <c r="B165" i="115" s="1"/>
  <c r="B166" i="115" s="1"/>
  <c r="B167" i="115" s="1"/>
  <c r="B168" i="115" s="1"/>
  <c r="B169" i="115" s="1"/>
  <c r="B170" i="115" s="1"/>
  <c r="B171" i="115" s="1"/>
  <c r="B172" i="115" s="1"/>
  <c r="B173" i="115" s="1"/>
  <c r="B174" i="115" s="1"/>
  <c r="B175" i="115" s="1"/>
  <c r="B176" i="115" s="1"/>
  <c r="J154" i="115"/>
  <c r="J145" i="115"/>
  <c r="W145" i="115" s="1"/>
  <c r="J144" i="115"/>
  <c r="W144" i="115" s="1"/>
  <c r="J143" i="115"/>
  <c r="J142" i="115"/>
  <c r="J141" i="115"/>
  <c r="W141" i="115" s="1"/>
  <c r="J140" i="115"/>
  <c r="V140" i="115" s="1"/>
  <c r="J139" i="115"/>
  <c r="W139" i="115" s="1"/>
  <c r="J138" i="115"/>
  <c r="W138" i="115" s="1"/>
  <c r="J137" i="115"/>
  <c r="W137" i="115" s="1"/>
  <c r="J136" i="115"/>
  <c r="V136" i="115" s="1"/>
  <c r="J135" i="115"/>
  <c r="J134" i="115"/>
  <c r="V134" i="115" s="1"/>
  <c r="J133" i="115"/>
  <c r="V133" i="115" s="1"/>
  <c r="J132" i="115"/>
  <c r="V132" i="115" s="1"/>
  <c r="J131" i="115"/>
  <c r="W131" i="115" s="1"/>
  <c r="J130" i="115"/>
  <c r="J129" i="115"/>
  <c r="J128" i="115"/>
  <c r="V128" i="115" s="1"/>
  <c r="J127" i="115"/>
  <c r="J126" i="115"/>
  <c r="V126" i="115" s="1"/>
  <c r="J125" i="115"/>
  <c r="V125" i="115" s="1"/>
  <c r="J124" i="115"/>
  <c r="W124" i="115" s="1"/>
  <c r="B124" i="115"/>
  <c r="B125" i="115" s="1"/>
  <c r="B126" i="115" s="1"/>
  <c r="B127" i="115" s="1"/>
  <c r="B128" i="115" s="1"/>
  <c r="B129" i="115" s="1"/>
  <c r="B130" i="115" s="1"/>
  <c r="B131" i="115" s="1"/>
  <c r="B132" i="115" s="1"/>
  <c r="B133" i="115" s="1"/>
  <c r="B134" i="115" s="1"/>
  <c r="B135" i="115" s="1"/>
  <c r="B136" i="115" s="1"/>
  <c r="B137" i="115" s="1"/>
  <c r="B138" i="115" s="1"/>
  <c r="B139" i="115" s="1"/>
  <c r="B140" i="115" s="1"/>
  <c r="B141" i="115" s="1"/>
  <c r="B142" i="115" s="1"/>
  <c r="B143" i="115" s="1"/>
  <c r="B144" i="115" s="1"/>
  <c r="B145" i="115" s="1"/>
  <c r="J123" i="115"/>
  <c r="W123" i="115" s="1"/>
  <c r="J114" i="115"/>
  <c r="V114" i="115" s="1"/>
  <c r="J113" i="115"/>
  <c r="W113" i="115" s="1"/>
  <c r="J112" i="115"/>
  <c r="W112" i="115" s="1"/>
  <c r="J111" i="115"/>
  <c r="V111" i="115" s="1"/>
  <c r="J110" i="115"/>
  <c r="W110" i="115" s="1"/>
  <c r="J109" i="115"/>
  <c r="W109" i="115" s="1"/>
  <c r="J108" i="115"/>
  <c r="W108" i="115" s="1"/>
  <c r="J107" i="115"/>
  <c r="V107" i="115" s="1"/>
  <c r="J106" i="115"/>
  <c r="V106" i="115" s="1"/>
  <c r="J105" i="115"/>
  <c r="W105" i="115" s="1"/>
  <c r="J104" i="115"/>
  <c r="W104" i="115" s="1"/>
  <c r="J103" i="115"/>
  <c r="V103" i="115" s="1"/>
  <c r="J102" i="115"/>
  <c r="V102" i="115" s="1"/>
  <c r="J101" i="115"/>
  <c r="J100" i="115"/>
  <c r="J99" i="115"/>
  <c r="J98" i="115"/>
  <c r="J97" i="115"/>
  <c r="J96" i="115"/>
  <c r="J95" i="115"/>
  <c r="J94" i="115"/>
  <c r="B94" i="115"/>
  <c r="B95" i="115" s="1"/>
  <c r="B96" i="115" s="1"/>
  <c r="B97" i="115" s="1"/>
  <c r="B98" i="115" s="1"/>
  <c r="B99" i="115" s="1"/>
  <c r="B100" i="115" s="1"/>
  <c r="B101" i="115" s="1"/>
  <c r="B102" i="115" s="1"/>
  <c r="B103" i="115" s="1"/>
  <c r="B104" i="115" s="1"/>
  <c r="B105" i="115" s="1"/>
  <c r="B106" i="115" s="1"/>
  <c r="B107" i="115" s="1"/>
  <c r="B108" i="115" s="1"/>
  <c r="B109" i="115" s="1"/>
  <c r="B110" i="115" s="1"/>
  <c r="B111" i="115" s="1"/>
  <c r="B112" i="115" s="1"/>
  <c r="B113" i="115" s="1"/>
  <c r="B114" i="115" s="1"/>
  <c r="J93" i="115"/>
  <c r="B93" i="115"/>
  <c r="J92" i="115"/>
  <c r="W92" i="115" s="1"/>
  <c r="W83" i="115"/>
  <c r="V83" i="115"/>
  <c r="J83" i="115"/>
  <c r="J82" i="115"/>
  <c r="V82" i="115" s="1"/>
  <c r="J81" i="115"/>
  <c r="J80" i="115"/>
  <c r="W80" i="115" s="1"/>
  <c r="J79" i="115"/>
  <c r="W79" i="115" s="1"/>
  <c r="J78" i="115"/>
  <c r="W78" i="115" s="1"/>
  <c r="J77" i="115"/>
  <c r="W77" i="115" s="1"/>
  <c r="J76" i="115"/>
  <c r="V76" i="115" s="1"/>
  <c r="J75" i="115"/>
  <c r="W75" i="115" s="1"/>
  <c r="J74" i="115"/>
  <c r="V74" i="115" s="1"/>
  <c r="J73" i="115"/>
  <c r="J72" i="115"/>
  <c r="J71" i="115"/>
  <c r="W71" i="115" s="1"/>
  <c r="J70" i="115"/>
  <c r="W70" i="115" s="1"/>
  <c r="J69" i="115"/>
  <c r="W69" i="115" s="1"/>
  <c r="J68" i="115"/>
  <c r="V68" i="115" s="1"/>
  <c r="J67" i="115"/>
  <c r="W67" i="115" s="1"/>
  <c r="J66" i="115"/>
  <c r="V66" i="115" s="1"/>
  <c r="J65" i="115"/>
  <c r="W65" i="115" s="1"/>
  <c r="J64" i="115"/>
  <c r="V64" i="115" s="1"/>
  <c r="J63" i="115"/>
  <c r="V63" i="115" s="1"/>
  <c r="J62" i="115"/>
  <c r="J61" i="115"/>
  <c r="B61" i="115"/>
  <c r="B62" i="115" s="1"/>
  <c r="B63" i="115" s="1"/>
  <c r="B64" i="115" s="1"/>
  <c r="B65" i="115" s="1"/>
  <c r="B66" i="115" s="1"/>
  <c r="B67" i="115" s="1"/>
  <c r="B68" i="115" s="1"/>
  <c r="B69" i="115" s="1"/>
  <c r="B70" i="115" s="1"/>
  <c r="B71" i="115" s="1"/>
  <c r="B72" i="115" s="1"/>
  <c r="B73" i="115" s="1"/>
  <c r="B74" i="115" s="1"/>
  <c r="B75" i="115" s="1"/>
  <c r="B76" i="115" s="1"/>
  <c r="B77" i="115" s="1"/>
  <c r="B78" i="115" s="1"/>
  <c r="B79" i="115" s="1"/>
  <c r="B80" i="115" s="1"/>
  <c r="B81" i="115" s="1"/>
  <c r="B82" i="115" s="1"/>
  <c r="B83" i="115" s="1"/>
  <c r="J60" i="115"/>
  <c r="W51" i="115"/>
  <c r="V51" i="115"/>
  <c r="W50" i="115"/>
  <c r="V50" i="115"/>
  <c r="W49" i="115"/>
  <c r="V49" i="115"/>
  <c r="W48" i="115"/>
  <c r="V48" i="115"/>
  <c r="W47" i="115"/>
  <c r="V47" i="115"/>
  <c r="W46" i="115"/>
  <c r="V46" i="115"/>
  <c r="V44" i="115"/>
  <c r="V43" i="115"/>
  <c r="W41" i="115"/>
  <c r="W40" i="115"/>
  <c r="V40" i="115"/>
  <c r="W39" i="115"/>
  <c r="W38" i="115"/>
  <c r="V38" i="115"/>
  <c r="V36" i="115"/>
  <c r="V35" i="115"/>
  <c r="W34" i="115"/>
  <c r="V33" i="115"/>
  <c r="W32" i="115"/>
  <c r="W31" i="115"/>
  <c r="V31" i="115"/>
  <c r="W30" i="115"/>
  <c r="V30" i="115"/>
  <c r="W28" i="115"/>
  <c r="W27" i="115"/>
  <c r="V27" i="115"/>
  <c r="W26" i="115"/>
  <c r="V26" i="115"/>
  <c r="W24" i="115"/>
  <c r="W23" i="115"/>
  <c r="V23" i="115"/>
  <c r="W21" i="115"/>
  <c r="V21" i="115"/>
  <c r="W19" i="115"/>
  <c r="N16" i="115"/>
  <c r="W16" i="115"/>
  <c r="N14" i="115"/>
  <c r="W14" i="115"/>
  <c r="N12" i="115"/>
  <c r="W12" i="115"/>
  <c r="N10" i="115"/>
  <c r="W9" i="115"/>
  <c r="N8" i="115"/>
  <c r="I7" i="115"/>
  <c r="J7" i="115" s="1"/>
  <c r="W7" i="115" s="1"/>
  <c r="B7" i="115"/>
  <c r="B8" i="115" s="1"/>
  <c r="B9" i="115" s="1"/>
  <c r="B10" i="115" s="1"/>
  <c r="B11" i="115" s="1"/>
  <c r="B12" i="115" s="1"/>
  <c r="B13" i="115" s="1"/>
  <c r="B14" i="115" s="1"/>
  <c r="B15" i="115" s="1"/>
  <c r="B16" i="115" s="1"/>
  <c r="B17" i="115" s="1"/>
  <c r="B18" i="115" s="1"/>
  <c r="B19" i="115" s="1"/>
  <c r="B20" i="115" s="1"/>
  <c r="B21" i="115" s="1"/>
  <c r="B22" i="115" s="1"/>
  <c r="B23" i="115" s="1"/>
  <c r="B24" i="115" s="1"/>
  <c r="B25" i="115" s="1"/>
  <c r="B26" i="115" s="1"/>
  <c r="B27" i="115" s="1"/>
  <c r="B28" i="115" s="1"/>
  <c r="B29" i="115" s="1"/>
  <c r="B30" i="115" s="1"/>
  <c r="B31" i="115" s="1"/>
  <c r="B32" i="115" s="1"/>
  <c r="B33" i="115" s="1"/>
  <c r="B34" i="115" s="1"/>
  <c r="B35" i="115" s="1"/>
  <c r="B36" i="115" s="1"/>
  <c r="B37" i="115" s="1"/>
  <c r="B38" i="115" s="1"/>
  <c r="B39" i="115" s="1"/>
  <c r="B40" i="115" s="1"/>
  <c r="B41" i="115" s="1"/>
  <c r="B42" i="115" s="1"/>
  <c r="B43" i="115" s="1"/>
  <c r="B44" i="115" s="1"/>
  <c r="B45" i="115" s="1"/>
  <c r="B46" i="115" s="1"/>
  <c r="B47" i="115" s="1"/>
  <c r="B48" i="115" s="1"/>
  <c r="B49" i="115" s="1"/>
  <c r="B50" i="115" s="1"/>
  <c r="B51" i="115" s="1"/>
  <c r="N6" i="115"/>
  <c r="I6" i="115"/>
  <c r="J6" i="115" s="1"/>
  <c r="N4" i="115"/>
  <c r="V138" i="115" l="1"/>
  <c r="W82" i="115"/>
  <c r="W106" i="115"/>
  <c r="V113" i="115"/>
  <c r="W114" i="115"/>
  <c r="V145" i="115"/>
  <c r="W223" i="115"/>
  <c r="W103" i="115"/>
  <c r="W174" i="115"/>
  <c r="W238" i="115"/>
  <c r="V161" i="115"/>
  <c r="V200" i="115"/>
  <c r="V207" i="115"/>
  <c r="V234" i="115"/>
  <c r="W239" i="115"/>
  <c r="W237" i="115"/>
  <c r="W236" i="115"/>
  <c r="V206" i="115"/>
  <c r="V205" i="115"/>
  <c r="W175" i="115"/>
  <c r="W111" i="115"/>
  <c r="V110" i="115"/>
  <c r="W173" i="115"/>
  <c r="V204" i="115"/>
  <c r="W235" i="115"/>
  <c r="V202" i="115"/>
  <c r="W172" i="115"/>
  <c r="W171" i="115"/>
  <c r="W170" i="115"/>
  <c r="V169" i="115"/>
  <c r="V141" i="115"/>
  <c r="W140" i="115"/>
  <c r="V137" i="115"/>
  <c r="W107" i="115"/>
  <c r="W76" i="115"/>
  <c r="V75" i="115"/>
  <c r="V198" i="115"/>
  <c r="V196" i="115"/>
  <c r="W166" i="115"/>
  <c r="V163" i="115"/>
  <c r="W134" i="115"/>
  <c r="W133" i="115"/>
  <c r="W132" i="115"/>
  <c r="V69" i="115"/>
  <c r="V227" i="115"/>
  <c r="W225" i="115"/>
  <c r="V221" i="115"/>
  <c r="V191" i="115"/>
  <c r="V189" i="115"/>
  <c r="V162" i="115"/>
  <c r="W158" i="115"/>
  <c r="W155" i="115"/>
  <c r="W128" i="115"/>
  <c r="W126" i="115"/>
  <c r="V124" i="115"/>
  <c r="W66" i="115"/>
  <c r="V65" i="115"/>
  <c r="J84" i="115"/>
  <c r="W222" i="115"/>
  <c r="W224" i="115"/>
  <c r="W188" i="115"/>
  <c r="V190" i="115"/>
  <c r="V197" i="115"/>
  <c r="V199" i="115"/>
  <c r="V201" i="115"/>
  <c r="V203" i="115"/>
  <c r="V160" i="115"/>
  <c r="W164" i="115"/>
  <c r="W125" i="115"/>
  <c r="W102" i="115"/>
  <c r="V105" i="115"/>
  <c r="V109" i="115"/>
  <c r="V104" i="115"/>
  <c r="V108" i="115"/>
  <c r="V112" i="115"/>
  <c r="W64" i="115"/>
  <c r="V67" i="115"/>
  <c r="W68" i="115"/>
  <c r="V77" i="115"/>
  <c r="V79" i="115"/>
  <c r="N18" i="115"/>
  <c r="J52" i="115"/>
  <c r="V6" i="115"/>
  <c r="W6" i="115"/>
  <c r="V18" i="115"/>
  <c r="W18" i="115"/>
  <c r="W22" i="115"/>
  <c r="V22" i="115"/>
  <c r="V11" i="115"/>
  <c r="W11" i="115"/>
  <c r="V13" i="115"/>
  <c r="W13" i="115"/>
  <c r="W29" i="115"/>
  <c r="V29" i="115"/>
  <c r="W37" i="115"/>
  <c r="V37" i="115"/>
  <c r="W42" i="115"/>
  <c r="V42" i="115"/>
  <c r="W45" i="115"/>
  <c r="V45" i="115"/>
  <c r="W93" i="115"/>
  <c r="V93" i="115"/>
  <c r="V20" i="115"/>
  <c r="W20" i="115"/>
  <c r="V8" i="115"/>
  <c r="W8" i="115"/>
  <c r="V15" i="115"/>
  <c r="W15" i="115"/>
  <c r="W25" i="115"/>
  <c r="V25" i="115"/>
  <c r="W72" i="115"/>
  <c r="V72" i="115"/>
  <c r="W130" i="115"/>
  <c r="V130" i="115"/>
  <c r="J146" i="115"/>
  <c r="V10" i="115"/>
  <c r="W10" i="115"/>
  <c r="V17" i="115"/>
  <c r="W17" i="115"/>
  <c r="V167" i="115"/>
  <c r="W167" i="115"/>
  <c r="W192" i="115"/>
  <c r="V192" i="115"/>
  <c r="W229" i="115"/>
  <c r="V229" i="115"/>
  <c r="W233" i="115"/>
  <c r="V233" i="115"/>
  <c r="V19" i="115"/>
  <c r="W95" i="115"/>
  <c r="V95" i="115"/>
  <c r="W101" i="115"/>
  <c r="V101" i="115"/>
  <c r="W129" i="115"/>
  <c r="V129" i="115"/>
  <c r="V144" i="115"/>
  <c r="V165" i="115"/>
  <c r="W165" i="115"/>
  <c r="W193" i="115"/>
  <c r="V193" i="115"/>
  <c r="W230" i="115"/>
  <c r="V230" i="115"/>
  <c r="V9" i="115"/>
  <c r="W63" i="115"/>
  <c r="W99" i="115"/>
  <c r="V99" i="115"/>
  <c r="J115" i="115"/>
  <c r="W142" i="115"/>
  <c r="V142" i="115"/>
  <c r="V12" i="115"/>
  <c r="V14" i="115"/>
  <c r="V16" i="115"/>
  <c r="W33" i="115"/>
  <c r="W35" i="115"/>
  <c r="W36" i="115"/>
  <c r="W43" i="115"/>
  <c r="W44" i="115"/>
  <c r="W60" i="115"/>
  <c r="V60" i="115"/>
  <c r="W62" i="115"/>
  <c r="V62" i="115"/>
  <c r="W74" i="115"/>
  <c r="V78" i="115"/>
  <c r="V80" i="115"/>
  <c r="V92" i="115"/>
  <c r="V139" i="115"/>
  <c r="J177" i="115"/>
  <c r="V154" i="115"/>
  <c r="V159" i="115"/>
  <c r="W159" i="115"/>
  <c r="W186" i="115"/>
  <c r="V186" i="115"/>
  <c r="J208" i="115"/>
  <c r="W217" i="115"/>
  <c r="V217" i="115"/>
  <c r="W226" i="115"/>
  <c r="V226" i="115"/>
  <c r="W61" i="115"/>
  <c r="V61" i="115"/>
  <c r="V7" i="115"/>
  <c r="V39" i="115"/>
  <c r="V41" i="115"/>
  <c r="V70" i="115"/>
  <c r="W97" i="115"/>
  <c r="V97" i="115"/>
  <c r="V131" i="115"/>
  <c r="W136" i="115"/>
  <c r="V24" i="115"/>
  <c r="V28" i="115"/>
  <c r="V32" i="115"/>
  <c r="V34" i="115"/>
  <c r="V71" i="115"/>
  <c r="W73" i="115"/>
  <c r="V73" i="115"/>
  <c r="W94" i="115"/>
  <c r="V94" i="115"/>
  <c r="W96" i="115"/>
  <c r="V96" i="115"/>
  <c r="W98" i="115"/>
  <c r="V98" i="115"/>
  <c r="W100" i="115"/>
  <c r="V100" i="115"/>
  <c r="V123" i="115"/>
  <c r="W127" i="115"/>
  <c r="V127" i="115"/>
  <c r="V135" i="115"/>
  <c r="W135" i="115"/>
  <c r="W143" i="115"/>
  <c r="V143" i="115"/>
  <c r="W154" i="115"/>
  <c r="V156" i="115"/>
  <c r="W156" i="115"/>
  <c r="W218" i="115"/>
  <c r="V218" i="115"/>
  <c r="W187" i="115"/>
  <c r="V187" i="115"/>
  <c r="W194" i="115"/>
  <c r="V194" i="115"/>
  <c r="W216" i="115"/>
  <c r="J240" i="115"/>
  <c r="V216" i="115"/>
  <c r="W219" i="115"/>
  <c r="V219" i="115"/>
  <c r="W231" i="115"/>
  <c r="V231" i="115"/>
  <c r="W168" i="115"/>
  <c r="V168" i="115"/>
  <c r="W185" i="115"/>
  <c r="V185" i="115"/>
  <c r="W195" i="115"/>
  <c r="V195" i="115"/>
  <c r="W220" i="115"/>
  <c r="V220" i="115"/>
  <c r="W228" i="115"/>
  <c r="V228" i="115"/>
  <c r="W232" i="115"/>
  <c r="V232" i="115"/>
  <c r="H45" i="114"/>
  <c r="I45" i="114"/>
  <c r="J45" i="114" s="1"/>
  <c r="I44" i="114"/>
  <c r="J44" i="114" s="1"/>
  <c r="H142" i="114"/>
  <c r="H235" i="114"/>
  <c r="W146" i="115" l="1"/>
  <c r="P10" i="115" s="1"/>
  <c r="W208" i="115"/>
  <c r="P14" i="115" s="1"/>
  <c r="V177" i="115"/>
  <c r="O12" i="115" s="1"/>
  <c r="R12" i="115" s="1"/>
  <c r="W115" i="115"/>
  <c r="P8" i="115" s="1"/>
  <c r="V146" i="115"/>
  <c r="O10" i="115" s="1"/>
  <c r="W52" i="115"/>
  <c r="P4" i="115" s="1"/>
  <c r="V115" i="115"/>
  <c r="O8" i="115" s="1"/>
  <c r="W177" i="115"/>
  <c r="P12" i="115" s="1"/>
  <c r="V84" i="115"/>
  <c r="O6" i="115" s="1"/>
  <c r="V52" i="115"/>
  <c r="O4" i="115" s="1"/>
  <c r="W240" i="115"/>
  <c r="P16" i="115" s="1"/>
  <c r="V208" i="115"/>
  <c r="O14" i="115" s="1"/>
  <c r="V240" i="115"/>
  <c r="O16" i="115" s="1"/>
  <c r="W84" i="115"/>
  <c r="P6" i="115" s="1"/>
  <c r="H233" i="114"/>
  <c r="H170" i="114"/>
  <c r="H168" i="114"/>
  <c r="H139" i="114"/>
  <c r="H137" i="114"/>
  <c r="H78" i="114"/>
  <c r="H77" i="114"/>
  <c r="H74" i="114"/>
  <c r="J43" i="114"/>
  <c r="I43" i="114"/>
  <c r="I42" i="114"/>
  <c r="J42" i="114" s="1"/>
  <c r="J41" i="114"/>
  <c r="H41" i="114"/>
  <c r="I41" i="114"/>
  <c r="H40" i="114"/>
  <c r="J40" i="114" s="1"/>
  <c r="I40" i="114"/>
  <c r="H39" i="114"/>
  <c r="J39" i="114" s="1"/>
  <c r="I39" i="114"/>
  <c r="I38" i="114"/>
  <c r="J38" i="114" s="1"/>
  <c r="H37" i="114"/>
  <c r="J37" i="114" s="1"/>
  <c r="I37" i="114"/>
  <c r="I36" i="114"/>
  <c r="J36" i="114" s="1"/>
  <c r="H35" i="114"/>
  <c r="I35" i="114"/>
  <c r="H34" i="114"/>
  <c r="I34" i="114"/>
  <c r="J34" i="114" s="1"/>
  <c r="J35" i="114" l="1"/>
  <c r="Q12" i="115"/>
  <c r="R16" i="115"/>
  <c r="Q16" i="115"/>
  <c r="R8" i="115"/>
  <c r="Q8" i="115"/>
  <c r="Q14" i="115"/>
  <c r="R14" i="115"/>
  <c r="R4" i="115"/>
  <c r="Q4" i="115"/>
  <c r="O18" i="115"/>
  <c r="R18" i="115" s="1"/>
  <c r="P20" i="115" s="1"/>
  <c r="P18" i="115"/>
  <c r="R6" i="115"/>
  <c r="Q6" i="115"/>
  <c r="Q10" i="115"/>
  <c r="R10" i="115"/>
  <c r="H228" i="114"/>
  <c r="H72" i="114"/>
  <c r="J31" i="114"/>
  <c r="H33" i="114"/>
  <c r="J33" i="114" s="1"/>
  <c r="I33" i="114"/>
  <c r="I32" i="114"/>
  <c r="J32" i="114" s="1"/>
  <c r="I31" i="114"/>
  <c r="I30" i="114"/>
  <c r="J30" i="114" s="1"/>
  <c r="Q18" i="115" l="1"/>
  <c r="J28" i="114"/>
  <c r="I29" i="114"/>
  <c r="J29" i="114" s="1"/>
  <c r="I28" i="114"/>
  <c r="I27" i="114"/>
  <c r="J27" i="114" s="1"/>
  <c r="I26" i="114"/>
  <c r="J26" i="114" s="1"/>
  <c r="H70" i="114"/>
  <c r="H102" i="114"/>
  <c r="H164" i="114"/>
  <c r="H195" i="114"/>
  <c r="H226" i="114"/>
  <c r="H132" i="114"/>
  <c r="J24" i="114"/>
  <c r="I25" i="114"/>
  <c r="J25" i="114" s="1"/>
  <c r="I24" i="114"/>
  <c r="H222" i="114" l="1"/>
  <c r="H192" i="114"/>
  <c r="H160" i="114"/>
  <c r="H130" i="114"/>
  <c r="H128" i="114"/>
  <c r="H65" i="114"/>
  <c r="H23" i="114"/>
  <c r="J23" i="114" s="1"/>
  <c r="I23" i="114"/>
  <c r="H22" i="114"/>
  <c r="I22" i="114"/>
  <c r="I21" i="114"/>
  <c r="J21" i="114" s="1"/>
  <c r="I20" i="114"/>
  <c r="J20" i="114" s="1"/>
  <c r="I19" i="114"/>
  <c r="J19" i="114" s="1"/>
  <c r="I18" i="114"/>
  <c r="J18" i="114" s="1"/>
  <c r="I17" i="114"/>
  <c r="J17" i="114" s="1"/>
  <c r="H16" i="114"/>
  <c r="I16" i="114"/>
  <c r="J16" i="114" s="1"/>
  <c r="J22" i="114" l="1"/>
  <c r="H220" i="114"/>
  <c r="H216" i="114"/>
  <c r="H189" i="114"/>
  <c r="H188" i="114"/>
  <c r="H187" i="114"/>
  <c r="H158" i="114"/>
  <c r="H157" i="114"/>
  <c r="J157" i="114" s="1"/>
  <c r="V157" i="114" s="1"/>
  <c r="H154" i="114"/>
  <c r="H127" i="114"/>
  <c r="H125" i="114"/>
  <c r="H93" i="114"/>
  <c r="J93" i="114" s="1"/>
  <c r="W93" i="114" s="1"/>
  <c r="H63" i="114"/>
  <c r="J63" i="114" s="1"/>
  <c r="W63" i="114" s="1"/>
  <c r="I15" i="114"/>
  <c r="J15" i="114" s="1"/>
  <c r="V15" i="114" s="1"/>
  <c r="I14" i="114"/>
  <c r="J14" i="114" s="1"/>
  <c r="H13" i="114"/>
  <c r="I13" i="114"/>
  <c r="I12" i="114"/>
  <c r="J12" i="114" s="1"/>
  <c r="I11" i="114"/>
  <c r="J11" i="114" s="1"/>
  <c r="W11" i="114" s="1"/>
  <c r="I10" i="114"/>
  <c r="J10" i="114" s="1"/>
  <c r="V10" i="114" s="1"/>
  <c r="I8" i="114"/>
  <c r="J8" i="114" s="1"/>
  <c r="W8" i="114" s="1"/>
  <c r="I9" i="114"/>
  <c r="H9" i="114"/>
  <c r="J9" i="114" s="1"/>
  <c r="H7" i="114"/>
  <c r="J239" i="114"/>
  <c r="V239" i="114" s="1"/>
  <c r="J238" i="114"/>
  <c r="V238" i="114" s="1"/>
  <c r="J237" i="114"/>
  <c r="V237" i="114" s="1"/>
  <c r="J236" i="114"/>
  <c r="V236" i="114" s="1"/>
  <c r="J235" i="114"/>
  <c r="V235" i="114" s="1"/>
  <c r="J234" i="114"/>
  <c r="V234" i="114" s="1"/>
  <c r="J233" i="114"/>
  <c r="V233" i="114" s="1"/>
  <c r="J232" i="114"/>
  <c r="V232" i="114" s="1"/>
  <c r="J231" i="114"/>
  <c r="V231" i="114" s="1"/>
  <c r="J230" i="114"/>
  <c r="V230" i="114" s="1"/>
  <c r="J229" i="114"/>
  <c r="V229" i="114" s="1"/>
  <c r="J228" i="114"/>
  <c r="V228" i="114" s="1"/>
  <c r="J227" i="114"/>
  <c r="V227" i="114" s="1"/>
  <c r="J226" i="114"/>
  <c r="V226" i="114" s="1"/>
  <c r="J225" i="114"/>
  <c r="V225" i="114" s="1"/>
  <c r="J224" i="114"/>
  <c r="V224" i="114" s="1"/>
  <c r="J223" i="114"/>
  <c r="V223" i="114" s="1"/>
  <c r="J222" i="114"/>
  <c r="V222" i="114" s="1"/>
  <c r="J221" i="114"/>
  <c r="V221" i="114" s="1"/>
  <c r="J220" i="114"/>
  <c r="V220" i="114" s="1"/>
  <c r="J219" i="114"/>
  <c r="V219" i="114" s="1"/>
  <c r="J218" i="114"/>
  <c r="V218" i="114" s="1"/>
  <c r="J217" i="114"/>
  <c r="V217" i="114" s="1"/>
  <c r="B217" i="114"/>
  <c r="B218" i="114" s="1"/>
  <c r="B219" i="114" s="1"/>
  <c r="B220" i="114" s="1"/>
  <c r="B221" i="114" s="1"/>
  <c r="B222" i="114" s="1"/>
  <c r="B223" i="114" s="1"/>
  <c r="B224" i="114" s="1"/>
  <c r="B225" i="114" s="1"/>
  <c r="B226" i="114" s="1"/>
  <c r="B227" i="114" s="1"/>
  <c r="B228" i="114" s="1"/>
  <c r="B229" i="114" s="1"/>
  <c r="B230" i="114" s="1"/>
  <c r="B231" i="114" s="1"/>
  <c r="B232" i="114" s="1"/>
  <c r="B233" i="114" s="1"/>
  <c r="B234" i="114" s="1"/>
  <c r="B235" i="114" s="1"/>
  <c r="B236" i="114" s="1"/>
  <c r="B237" i="114" s="1"/>
  <c r="B238" i="114" s="1"/>
  <c r="B239" i="114" s="1"/>
  <c r="J216" i="114"/>
  <c r="V216" i="114" s="1"/>
  <c r="J207" i="114"/>
  <c r="J206" i="114"/>
  <c r="J205" i="114"/>
  <c r="J204" i="114"/>
  <c r="J203" i="114"/>
  <c r="J202" i="114"/>
  <c r="J201" i="114"/>
  <c r="J200" i="114"/>
  <c r="J199" i="114"/>
  <c r="J198" i="114"/>
  <c r="J197" i="114"/>
  <c r="J196" i="114"/>
  <c r="J195" i="114"/>
  <c r="J194" i="114"/>
  <c r="J193" i="114"/>
  <c r="V193" i="114" s="1"/>
  <c r="J192" i="114"/>
  <c r="V192" i="114" s="1"/>
  <c r="J191" i="114"/>
  <c r="V191" i="114" s="1"/>
  <c r="J190" i="114"/>
  <c r="V190" i="114" s="1"/>
  <c r="J189" i="114"/>
  <c r="V189" i="114" s="1"/>
  <c r="J188" i="114"/>
  <c r="V188" i="114" s="1"/>
  <c r="J187" i="114"/>
  <c r="V187" i="114" s="1"/>
  <c r="J186" i="114"/>
  <c r="V186" i="114" s="1"/>
  <c r="B186" i="114"/>
  <c r="B187" i="114" s="1"/>
  <c r="B188" i="114" s="1"/>
  <c r="B189" i="114" s="1"/>
  <c r="B190" i="114" s="1"/>
  <c r="B191" i="114" s="1"/>
  <c r="B192" i="114" s="1"/>
  <c r="B193" i="114" s="1"/>
  <c r="B194" i="114" s="1"/>
  <c r="B195" i="114" s="1"/>
  <c r="B196" i="114" s="1"/>
  <c r="B197" i="114" s="1"/>
  <c r="B198" i="114" s="1"/>
  <c r="B199" i="114" s="1"/>
  <c r="B200" i="114" s="1"/>
  <c r="B201" i="114" s="1"/>
  <c r="B202" i="114" s="1"/>
  <c r="B203" i="114" s="1"/>
  <c r="B204" i="114" s="1"/>
  <c r="B205" i="114" s="1"/>
  <c r="B206" i="114" s="1"/>
  <c r="B207" i="114" s="1"/>
  <c r="J185" i="114"/>
  <c r="J176" i="114"/>
  <c r="V176" i="114" s="1"/>
  <c r="J175" i="114"/>
  <c r="V175" i="114" s="1"/>
  <c r="J174" i="114"/>
  <c r="V174" i="114" s="1"/>
  <c r="J173" i="114"/>
  <c r="V173" i="114" s="1"/>
  <c r="J172" i="114"/>
  <c r="V172" i="114" s="1"/>
  <c r="J171" i="114"/>
  <c r="V171" i="114" s="1"/>
  <c r="J170" i="114"/>
  <c r="V170" i="114" s="1"/>
  <c r="J169" i="114"/>
  <c r="V169" i="114" s="1"/>
  <c r="J168" i="114"/>
  <c r="V168" i="114" s="1"/>
  <c r="J167" i="114"/>
  <c r="V167" i="114" s="1"/>
  <c r="J166" i="114"/>
  <c r="V166" i="114" s="1"/>
  <c r="J165" i="114"/>
  <c r="V165" i="114" s="1"/>
  <c r="J164" i="114"/>
  <c r="V164" i="114" s="1"/>
  <c r="J163" i="114"/>
  <c r="V163" i="114" s="1"/>
  <c r="J162" i="114"/>
  <c r="V162" i="114" s="1"/>
  <c r="J161" i="114"/>
  <c r="V161" i="114" s="1"/>
  <c r="J160" i="114"/>
  <c r="V160" i="114" s="1"/>
  <c r="J159" i="114"/>
  <c r="V159" i="114" s="1"/>
  <c r="J158" i="114"/>
  <c r="V158" i="114" s="1"/>
  <c r="J156" i="114"/>
  <c r="V156" i="114" s="1"/>
  <c r="J155" i="114"/>
  <c r="V155" i="114" s="1"/>
  <c r="B155" i="114"/>
  <c r="B156" i="114" s="1"/>
  <c r="B157" i="114" s="1"/>
  <c r="B158" i="114" s="1"/>
  <c r="B159" i="114" s="1"/>
  <c r="B160" i="114" s="1"/>
  <c r="B161" i="114" s="1"/>
  <c r="B162" i="114" s="1"/>
  <c r="B163" i="114" s="1"/>
  <c r="B164" i="114" s="1"/>
  <c r="B165" i="114" s="1"/>
  <c r="B166" i="114" s="1"/>
  <c r="B167" i="114" s="1"/>
  <c r="B168" i="114" s="1"/>
  <c r="B169" i="114" s="1"/>
  <c r="B170" i="114" s="1"/>
  <c r="B171" i="114" s="1"/>
  <c r="B172" i="114" s="1"/>
  <c r="B173" i="114" s="1"/>
  <c r="B174" i="114" s="1"/>
  <c r="B175" i="114" s="1"/>
  <c r="B176" i="114" s="1"/>
  <c r="J154" i="114"/>
  <c r="J145" i="114"/>
  <c r="V145" i="114" s="1"/>
  <c r="J144" i="114"/>
  <c r="V144" i="114" s="1"/>
  <c r="J143" i="114"/>
  <c r="V143" i="114" s="1"/>
  <c r="J142" i="114"/>
  <c r="V142" i="114" s="1"/>
  <c r="J141" i="114"/>
  <c r="V141" i="114" s="1"/>
  <c r="J140" i="114"/>
  <c r="V140" i="114" s="1"/>
  <c r="J139" i="114"/>
  <c r="V139" i="114" s="1"/>
  <c r="J138" i="114"/>
  <c r="V138" i="114" s="1"/>
  <c r="J137" i="114"/>
  <c r="V137" i="114" s="1"/>
  <c r="J136" i="114"/>
  <c r="W136" i="114" s="1"/>
  <c r="J135" i="114"/>
  <c r="W135" i="114" s="1"/>
  <c r="J134" i="114"/>
  <c r="J133" i="114"/>
  <c r="J132" i="114"/>
  <c r="W132" i="114" s="1"/>
  <c r="J131" i="114"/>
  <c r="W131" i="114" s="1"/>
  <c r="J130" i="114"/>
  <c r="W130" i="114" s="1"/>
  <c r="J129" i="114"/>
  <c r="V129" i="114" s="1"/>
  <c r="J128" i="114"/>
  <c r="W128" i="114" s="1"/>
  <c r="J127" i="114"/>
  <c r="W127" i="114" s="1"/>
  <c r="J126" i="114"/>
  <c r="W126" i="114" s="1"/>
  <c r="J125" i="114"/>
  <c r="V125" i="114" s="1"/>
  <c r="J124" i="114"/>
  <c r="W124" i="114" s="1"/>
  <c r="B124" i="114"/>
  <c r="B125" i="114" s="1"/>
  <c r="B126" i="114" s="1"/>
  <c r="B127" i="114" s="1"/>
  <c r="B128" i="114" s="1"/>
  <c r="B129" i="114" s="1"/>
  <c r="B130" i="114" s="1"/>
  <c r="B131" i="114" s="1"/>
  <c r="B132" i="114" s="1"/>
  <c r="B133" i="114" s="1"/>
  <c r="B134" i="114" s="1"/>
  <c r="B135" i="114" s="1"/>
  <c r="B136" i="114" s="1"/>
  <c r="B137" i="114" s="1"/>
  <c r="B138" i="114" s="1"/>
  <c r="B139" i="114" s="1"/>
  <c r="B140" i="114" s="1"/>
  <c r="B141" i="114" s="1"/>
  <c r="B142" i="114" s="1"/>
  <c r="B143" i="114" s="1"/>
  <c r="B144" i="114" s="1"/>
  <c r="B145" i="114" s="1"/>
  <c r="J123" i="114"/>
  <c r="V123" i="114" s="1"/>
  <c r="J114" i="114"/>
  <c r="J113" i="114"/>
  <c r="J112" i="114"/>
  <c r="J111" i="114"/>
  <c r="J110" i="114"/>
  <c r="J109" i="114"/>
  <c r="J108" i="114"/>
  <c r="J107" i="114"/>
  <c r="W107" i="114" s="1"/>
  <c r="J106" i="114"/>
  <c r="J105" i="114"/>
  <c r="W105" i="114" s="1"/>
  <c r="J104" i="114"/>
  <c r="J103" i="114"/>
  <c r="W103" i="114" s="1"/>
  <c r="J102" i="114"/>
  <c r="J101" i="114"/>
  <c r="W101" i="114" s="1"/>
  <c r="J100" i="114"/>
  <c r="J99" i="114"/>
  <c r="W99" i="114" s="1"/>
  <c r="J98" i="114"/>
  <c r="J97" i="114"/>
  <c r="W97" i="114" s="1"/>
  <c r="J96" i="114"/>
  <c r="J95" i="114"/>
  <c r="W95" i="114" s="1"/>
  <c r="J94" i="114"/>
  <c r="B93" i="114"/>
  <c r="B94" i="114" s="1"/>
  <c r="B95" i="114" s="1"/>
  <c r="B96" i="114" s="1"/>
  <c r="B97" i="114" s="1"/>
  <c r="B98" i="114" s="1"/>
  <c r="B99" i="114" s="1"/>
  <c r="B100" i="114" s="1"/>
  <c r="B101" i="114" s="1"/>
  <c r="B102" i="114" s="1"/>
  <c r="B103" i="114" s="1"/>
  <c r="B104" i="114" s="1"/>
  <c r="B105" i="114" s="1"/>
  <c r="B106" i="114" s="1"/>
  <c r="B107" i="114" s="1"/>
  <c r="B108" i="114" s="1"/>
  <c r="B109" i="114" s="1"/>
  <c r="B110" i="114" s="1"/>
  <c r="B111" i="114" s="1"/>
  <c r="B112" i="114" s="1"/>
  <c r="B113" i="114" s="1"/>
  <c r="B114" i="114" s="1"/>
  <c r="J92" i="114"/>
  <c r="W92" i="114" s="1"/>
  <c r="J83" i="114"/>
  <c r="V83" i="114" s="1"/>
  <c r="J82" i="114"/>
  <c r="W82" i="114" s="1"/>
  <c r="J81" i="114"/>
  <c r="J80" i="114"/>
  <c r="W80" i="114" s="1"/>
  <c r="J79" i="114"/>
  <c r="W79" i="114" s="1"/>
  <c r="J78" i="114"/>
  <c r="W78" i="114" s="1"/>
  <c r="J77" i="114"/>
  <c r="W77" i="114" s="1"/>
  <c r="J76" i="114"/>
  <c r="W76" i="114" s="1"/>
  <c r="J75" i="114"/>
  <c r="W75" i="114" s="1"/>
  <c r="J74" i="114"/>
  <c r="W74" i="114" s="1"/>
  <c r="J73" i="114"/>
  <c r="V73" i="114" s="1"/>
  <c r="J72" i="114"/>
  <c r="W72" i="114" s="1"/>
  <c r="J71" i="114"/>
  <c r="W71" i="114" s="1"/>
  <c r="J70" i="114"/>
  <c r="W70" i="114" s="1"/>
  <c r="J69" i="114"/>
  <c r="V69" i="114" s="1"/>
  <c r="J68" i="114"/>
  <c r="W68" i="114" s="1"/>
  <c r="J67" i="114"/>
  <c r="W67" i="114" s="1"/>
  <c r="J66" i="114"/>
  <c r="W66" i="114" s="1"/>
  <c r="J65" i="114"/>
  <c r="V65" i="114" s="1"/>
  <c r="J64" i="114"/>
  <c r="W64" i="114" s="1"/>
  <c r="J62" i="114"/>
  <c r="W62" i="114" s="1"/>
  <c r="J61" i="114"/>
  <c r="V61" i="114" s="1"/>
  <c r="B61" i="114"/>
  <c r="B62" i="114" s="1"/>
  <c r="B63" i="114" s="1"/>
  <c r="B64" i="114" s="1"/>
  <c r="B65" i="114" s="1"/>
  <c r="B66" i="114" s="1"/>
  <c r="B67" i="114" s="1"/>
  <c r="B68" i="114" s="1"/>
  <c r="B69" i="114" s="1"/>
  <c r="B70" i="114" s="1"/>
  <c r="B71" i="114" s="1"/>
  <c r="B72" i="114" s="1"/>
  <c r="B73" i="114" s="1"/>
  <c r="B74" i="114" s="1"/>
  <c r="B75" i="114" s="1"/>
  <c r="B76" i="114" s="1"/>
  <c r="B77" i="114" s="1"/>
  <c r="B78" i="114" s="1"/>
  <c r="B79" i="114" s="1"/>
  <c r="B80" i="114" s="1"/>
  <c r="B81" i="114" s="1"/>
  <c r="B82" i="114" s="1"/>
  <c r="B83" i="114" s="1"/>
  <c r="J60" i="114"/>
  <c r="V60" i="114" s="1"/>
  <c r="W51" i="114"/>
  <c r="V51" i="114"/>
  <c r="W50" i="114"/>
  <c r="V50" i="114"/>
  <c r="W49" i="114"/>
  <c r="V49" i="114"/>
  <c r="W48" i="114"/>
  <c r="V48" i="114"/>
  <c r="W47" i="114"/>
  <c r="V47" i="114"/>
  <c r="W46" i="114"/>
  <c r="V46" i="114"/>
  <c r="W45" i="114"/>
  <c r="V45" i="114"/>
  <c r="W44" i="114"/>
  <c r="V44" i="114"/>
  <c r="W42" i="114"/>
  <c r="W41" i="114"/>
  <c r="V41" i="114"/>
  <c r="V40" i="114"/>
  <c r="W37" i="114"/>
  <c r="V37" i="114"/>
  <c r="V34" i="114"/>
  <c r="W34" i="114"/>
  <c r="W33" i="114"/>
  <c r="V33" i="114"/>
  <c r="W32" i="114"/>
  <c r="V32" i="114"/>
  <c r="W30" i="114"/>
  <c r="W29" i="114"/>
  <c r="V29" i="114"/>
  <c r="W28" i="114"/>
  <c r="W25" i="114"/>
  <c r="V25" i="114"/>
  <c r="W24" i="114"/>
  <c r="W21" i="114"/>
  <c r="V21" i="114"/>
  <c r="V18" i="114"/>
  <c r="W18" i="114"/>
  <c r="N16" i="114"/>
  <c r="W16" i="114"/>
  <c r="N14" i="114"/>
  <c r="N12" i="114"/>
  <c r="N10" i="114"/>
  <c r="N8" i="114"/>
  <c r="I7" i="114"/>
  <c r="B7" i="114"/>
  <c r="B8" i="114" s="1"/>
  <c r="B9" i="114" s="1"/>
  <c r="B10" i="114" s="1"/>
  <c r="B11" i="114" s="1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B22" i="114" s="1"/>
  <c r="B23" i="114" s="1"/>
  <c r="B24" i="114" s="1"/>
  <c r="B25" i="114" s="1"/>
  <c r="B26" i="114" s="1"/>
  <c r="B27" i="114" s="1"/>
  <c r="B28" i="114" s="1"/>
  <c r="B29" i="114" s="1"/>
  <c r="B30" i="114" s="1"/>
  <c r="B31" i="114" s="1"/>
  <c r="B32" i="114" s="1"/>
  <c r="B33" i="114" s="1"/>
  <c r="B34" i="114" s="1"/>
  <c r="B35" i="114" s="1"/>
  <c r="B36" i="114" s="1"/>
  <c r="B37" i="114" s="1"/>
  <c r="B38" i="114" s="1"/>
  <c r="B39" i="114" s="1"/>
  <c r="B40" i="114" s="1"/>
  <c r="B41" i="114" s="1"/>
  <c r="B42" i="114" s="1"/>
  <c r="B43" i="114" s="1"/>
  <c r="B44" i="114" s="1"/>
  <c r="B45" i="114" s="1"/>
  <c r="B46" i="114" s="1"/>
  <c r="B47" i="114" s="1"/>
  <c r="B48" i="114" s="1"/>
  <c r="B49" i="114" s="1"/>
  <c r="B50" i="114" s="1"/>
  <c r="B51" i="114" s="1"/>
  <c r="N6" i="114"/>
  <c r="I6" i="114"/>
  <c r="J6" i="114" s="1"/>
  <c r="N4" i="114"/>
  <c r="J7" i="114" l="1"/>
  <c r="V7" i="114" s="1"/>
  <c r="W144" i="114"/>
  <c r="W142" i="114"/>
  <c r="W189" i="114"/>
  <c r="V124" i="114"/>
  <c r="W176" i="114"/>
  <c r="W166" i="114"/>
  <c r="W236" i="114"/>
  <c r="W238" i="114"/>
  <c r="V82" i="114"/>
  <c r="W143" i="114"/>
  <c r="W145" i="114"/>
  <c r="V92" i="114"/>
  <c r="V128" i="114"/>
  <c r="W235" i="114"/>
  <c r="W237" i="114"/>
  <c r="W239" i="114"/>
  <c r="J13" i="114"/>
  <c r="W13" i="114" s="1"/>
  <c r="W73" i="114"/>
  <c r="W83" i="114"/>
  <c r="V78" i="114"/>
  <c r="V64" i="114"/>
  <c r="W69" i="114"/>
  <c r="V72" i="114"/>
  <c r="V80" i="114"/>
  <c r="W123" i="114"/>
  <c r="V126" i="114"/>
  <c r="V130" i="114"/>
  <c r="W174" i="114"/>
  <c r="W187" i="114"/>
  <c r="W193" i="114"/>
  <c r="W216" i="114"/>
  <c r="W65" i="114"/>
  <c r="V68" i="114"/>
  <c r="W125" i="114"/>
  <c r="W129" i="114"/>
  <c r="W158" i="114"/>
  <c r="W61" i="114"/>
  <c r="W60" i="114"/>
  <c r="W218" i="114"/>
  <c r="W224" i="114"/>
  <c r="W232" i="114"/>
  <c r="W220" i="114"/>
  <c r="W222" i="114"/>
  <c r="W226" i="114"/>
  <c r="W228" i="114"/>
  <c r="W230" i="114"/>
  <c r="W234" i="114"/>
  <c r="W217" i="114"/>
  <c r="W219" i="114"/>
  <c r="W221" i="114"/>
  <c r="W223" i="114"/>
  <c r="W225" i="114"/>
  <c r="W227" i="114"/>
  <c r="W229" i="114"/>
  <c r="W231" i="114"/>
  <c r="W233" i="114"/>
  <c r="W191" i="114"/>
  <c r="W172" i="114"/>
  <c r="W162" i="114"/>
  <c r="W170" i="114"/>
  <c r="W156" i="114"/>
  <c r="W164" i="114"/>
  <c r="W160" i="114"/>
  <c r="W168" i="114"/>
  <c r="V127" i="114"/>
  <c r="V131" i="114"/>
  <c r="V136" i="114"/>
  <c r="W138" i="114"/>
  <c r="W140" i="114"/>
  <c r="V132" i="114"/>
  <c r="V135" i="114"/>
  <c r="W137" i="114"/>
  <c r="W139" i="114"/>
  <c r="W141" i="114"/>
  <c r="V63" i="114"/>
  <c r="V67" i="114"/>
  <c r="V71" i="114"/>
  <c r="V76" i="114"/>
  <c r="V62" i="114"/>
  <c r="V66" i="114"/>
  <c r="V70" i="114"/>
  <c r="V74" i="114"/>
  <c r="V11" i="114"/>
  <c r="W10" i="114"/>
  <c r="V12" i="114"/>
  <c r="W12" i="114"/>
  <c r="W9" i="114"/>
  <c r="V9" i="114"/>
  <c r="W17" i="114"/>
  <c r="V17" i="114"/>
  <c r="W22" i="114"/>
  <c r="V22" i="114"/>
  <c r="V154" i="114"/>
  <c r="V177" i="114" s="1"/>
  <c r="O12" i="114" s="1"/>
  <c r="J177" i="114"/>
  <c r="W154" i="114"/>
  <c r="W7" i="114"/>
  <c r="W15" i="114"/>
  <c r="W31" i="114"/>
  <c r="V31" i="114"/>
  <c r="W94" i="114"/>
  <c r="V94" i="114"/>
  <c r="W106" i="114"/>
  <c r="V106" i="114"/>
  <c r="V19" i="114"/>
  <c r="W19" i="114"/>
  <c r="V23" i="114"/>
  <c r="W23" i="114"/>
  <c r="W38" i="114"/>
  <c r="V38" i="114"/>
  <c r="V36" i="114"/>
  <c r="W36" i="114"/>
  <c r="W26" i="114"/>
  <c r="V26" i="114"/>
  <c r="W43" i="114"/>
  <c r="V43" i="114"/>
  <c r="W98" i="114"/>
  <c r="V98" i="114"/>
  <c r="W102" i="114"/>
  <c r="V102" i="114"/>
  <c r="N18" i="114"/>
  <c r="W6" i="114"/>
  <c r="V6" i="114"/>
  <c r="V8" i="114"/>
  <c r="W14" i="114"/>
  <c r="V14" i="114"/>
  <c r="V16" i="114"/>
  <c r="W20" i="114"/>
  <c r="V20" i="114"/>
  <c r="V27" i="114"/>
  <c r="W27" i="114"/>
  <c r="W35" i="114"/>
  <c r="V35" i="114"/>
  <c r="W39" i="114"/>
  <c r="V39" i="114"/>
  <c r="W96" i="114"/>
  <c r="V96" i="114"/>
  <c r="W100" i="114"/>
  <c r="V100" i="114"/>
  <c r="W104" i="114"/>
  <c r="V104" i="114"/>
  <c r="W108" i="114"/>
  <c r="V108" i="114"/>
  <c r="W134" i="114"/>
  <c r="V134" i="114"/>
  <c r="W110" i="114"/>
  <c r="V110" i="114"/>
  <c r="W114" i="114"/>
  <c r="V114" i="114"/>
  <c r="V24" i="114"/>
  <c r="V28" i="114"/>
  <c r="W40" i="114"/>
  <c r="V42" i="114"/>
  <c r="V75" i="114"/>
  <c r="V77" i="114"/>
  <c r="V79" i="114"/>
  <c r="J84" i="114"/>
  <c r="J115" i="114"/>
  <c r="W186" i="114"/>
  <c r="W188" i="114"/>
  <c r="W190" i="114"/>
  <c r="W192" i="114"/>
  <c r="W195" i="114"/>
  <c r="V195" i="114"/>
  <c r="W199" i="114"/>
  <c r="V199" i="114"/>
  <c r="W203" i="114"/>
  <c r="V203" i="114"/>
  <c r="W207" i="114"/>
  <c r="V207" i="114"/>
  <c r="W112" i="114"/>
  <c r="V112" i="114"/>
  <c r="W194" i="114"/>
  <c r="V194" i="114"/>
  <c r="W198" i="114"/>
  <c r="V198" i="114"/>
  <c r="W202" i="114"/>
  <c r="V202" i="114"/>
  <c r="W206" i="114"/>
  <c r="V206" i="114"/>
  <c r="V30" i="114"/>
  <c r="V93" i="114"/>
  <c r="V95" i="114"/>
  <c r="V97" i="114"/>
  <c r="V99" i="114"/>
  <c r="V101" i="114"/>
  <c r="V103" i="114"/>
  <c r="V105" i="114"/>
  <c r="V107" i="114"/>
  <c r="W109" i="114"/>
  <c r="V109" i="114"/>
  <c r="W111" i="114"/>
  <c r="V111" i="114"/>
  <c r="W113" i="114"/>
  <c r="V113" i="114"/>
  <c r="W133" i="114"/>
  <c r="V133" i="114"/>
  <c r="W155" i="114"/>
  <c r="W157" i="114"/>
  <c r="W159" i="114"/>
  <c r="W161" i="114"/>
  <c r="W163" i="114"/>
  <c r="W165" i="114"/>
  <c r="W167" i="114"/>
  <c r="W169" i="114"/>
  <c r="W171" i="114"/>
  <c r="W173" i="114"/>
  <c r="W175" i="114"/>
  <c r="J208" i="114"/>
  <c r="V185" i="114"/>
  <c r="W185" i="114"/>
  <c r="W196" i="114"/>
  <c r="V196" i="114"/>
  <c r="W200" i="114"/>
  <c r="V200" i="114"/>
  <c r="W204" i="114"/>
  <c r="V204" i="114"/>
  <c r="J146" i="114"/>
  <c r="W197" i="114"/>
  <c r="V197" i="114"/>
  <c r="W201" i="114"/>
  <c r="V201" i="114"/>
  <c r="W205" i="114"/>
  <c r="V205" i="114"/>
  <c r="V240" i="114"/>
  <c r="O16" i="114" s="1"/>
  <c r="R16" i="114" s="1"/>
  <c r="J240" i="114"/>
  <c r="N4" i="113"/>
  <c r="I43" i="113"/>
  <c r="J43" i="113" s="1"/>
  <c r="I42" i="113"/>
  <c r="J42" i="113" s="1"/>
  <c r="I41" i="113"/>
  <c r="J41" i="113" s="1"/>
  <c r="I40" i="113"/>
  <c r="J40" i="113" s="1"/>
  <c r="I39" i="113"/>
  <c r="J39" i="113" s="1"/>
  <c r="I38" i="113"/>
  <c r="J38" i="113" s="1"/>
  <c r="I37" i="113"/>
  <c r="J37" i="113" s="1"/>
  <c r="I36" i="113"/>
  <c r="J36" i="113" s="1"/>
  <c r="I35" i="113"/>
  <c r="J35" i="113" s="1"/>
  <c r="I34" i="113"/>
  <c r="J34" i="113" s="1"/>
  <c r="V13" i="114" l="1"/>
  <c r="J52" i="114"/>
  <c r="V146" i="114"/>
  <c r="O10" i="114" s="1"/>
  <c r="R10" i="114" s="1"/>
  <c r="W240" i="114"/>
  <c r="P16" i="114" s="1"/>
  <c r="Q16" i="114" s="1"/>
  <c r="W84" i="114"/>
  <c r="P6" i="114" s="1"/>
  <c r="V208" i="114"/>
  <c r="O14" i="114" s="1"/>
  <c r="R14" i="114" s="1"/>
  <c r="W146" i="114"/>
  <c r="P10" i="114" s="1"/>
  <c r="Q10" i="114" s="1"/>
  <c r="W115" i="114"/>
  <c r="P8" i="114" s="1"/>
  <c r="V115" i="114"/>
  <c r="O8" i="114" s="1"/>
  <c r="R8" i="114" s="1"/>
  <c r="V84" i="114"/>
  <c r="O6" i="114" s="1"/>
  <c r="R6" i="114" s="1"/>
  <c r="W52" i="114"/>
  <c r="P4" i="114" s="1"/>
  <c r="V52" i="114"/>
  <c r="O4" i="114" s="1"/>
  <c r="W177" i="114"/>
  <c r="P12" i="114" s="1"/>
  <c r="Q12" i="114" s="1"/>
  <c r="R12" i="114"/>
  <c r="W208" i="114"/>
  <c r="P14" i="114" s="1"/>
  <c r="H137" i="113"/>
  <c r="H108" i="113"/>
  <c r="H74" i="113"/>
  <c r="P18" i="114" l="1"/>
  <c r="Q14" i="114"/>
  <c r="Q8" i="114"/>
  <c r="Q6" i="114"/>
  <c r="R4" i="114"/>
  <c r="O18" i="114"/>
  <c r="R18" i="114" s="1"/>
  <c r="P20" i="114" s="1"/>
  <c r="Q4" i="114"/>
  <c r="J33" i="113"/>
  <c r="I33" i="113"/>
  <c r="I32" i="113"/>
  <c r="J32" i="113" s="1"/>
  <c r="I31" i="113"/>
  <c r="J31" i="113" s="1"/>
  <c r="I30" i="113"/>
  <c r="J30" i="113" s="1"/>
  <c r="I29" i="113"/>
  <c r="J29" i="113" s="1"/>
  <c r="I28" i="113"/>
  <c r="J28" i="113" s="1"/>
  <c r="I27" i="113"/>
  <c r="J27" i="113" s="1"/>
  <c r="I26" i="113"/>
  <c r="J26" i="113" s="1"/>
  <c r="Q18" i="114" l="1"/>
  <c r="I25" i="113"/>
  <c r="J25" i="113" s="1"/>
  <c r="I24" i="113"/>
  <c r="J24" i="113" s="1"/>
  <c r="I23" i="113"/>
  <c r="J23" i="113" s="1"/>
  <c r="I22" i="113"/>
  <c r="J22" i="113" s="1"/>
  <c r="I21" i="113"/>
  <c r="J21" i="113" s="1"/>
  <c r="I20" i="113"/>
  <c r="J20" i="113" s="1"/>
  <c r="I19" i="113" l="1"/>
  <c r="J19" i="113" s="1"/>
  <c r="I18" i="113"/>
  <c r="J18" i="113" s="1"/>
  <c r="W18" i="113" s="1"/>
  <c r="I17" i="113"/>
  <c r="J17" i="113" s="1"/>
  <c r="I16" i="113"/>
  <c r="J16" i="113" s="1"/>
  <c r="I15" i="113"/>
  <c r="J15" i="113" s="1"/>
  <c r="W15" i="113" s="1"/>
  <c r="I14" i="113"/>
  <c r="J14" i="113" s="1"/>
  <c r="I13" i="113"/>
  <c r="J13" i="113" s="1"/>
  <c r="I12" i="113"/>
  <c r="J12" i="113" s="1"/>
  <c r="I11" i="113"/>
  <c r="J11" i="113" s="1"/>
  <c r="I10" i="113"/>
  <c r="J10" i="113" s="1"/>
  <c r="W10" i="113" s="1"/>
  <c r="I8" i="113"/>
  <c r="J8" i="113" s="1"/>
  <c r="I9" i="113"/>
  <c r="J9" i="113" s="1"/>
  <c r="J239" i="113"/>
  <c r="V239" i="113" s="1"/>
  <c r="J238" i="113"/>
  <c r="V238" i="113" s="1"/>
  <c r="J237" i="113"/>
  <c r="W237" i="113" s="1"/>
  <c r="J236" i="113"/>
  <c r="W236" i="113" s="1"/>
  <c r="J235" i="113"/>
  <c r="W235" i="113" s="1"/>
  <c r="J234" i="113"/>
  <c r="V234" i="113" s="1"/>
  <c r="J233" i="113"/>
  <c r="W233" i="113" s="1"/>
  <c r="J232" i="113"/>
  <c r="W232" i="113" s="1"/>
  <c r="J231" i="113"/>
  <c r="W231" i="113" s="1"/>
  <c r="J230" i="113"/>
  <c r="V230" i="113" s="1"/>
  <c r="J229" i="113"/>
  <c r="V229" i="113" s="1"/>
  <c r="J228" i="113"/>
  <c r="W228" i="113" s="1"/>
  <c r="J227" i="113"/>
  <c r="W227" i="113" s="1"/>
  <c r="J226" i="113"/>
  <c r="V226" i="113" s="1"/>
  <c r="J225" i="113"/>
  <c r="W225" i="113" s="1"/>
  <c r="J224" i="113"/>
  <c r="W224" i="113" s="1"/>
  <c r="J223" i="113"/>
  <c r="W223" i="113" s="1"/>
  <c r="J222" i="113"/>
  <c r="V222" i="113" s="1"/>
  <c r="J221" i="113"/>
  <c r="W221" i="113" s="1"/>
  <c r="J220" i="113"/>
  <c r="W220" i="113" s="1"/>
  <c r="J219" i="113"/>
  <c r="W219" i="113" s="1"/>
  <c r="J218" i="113"/>
  <c r="V218" i="113" s="1"/>
  <c r="J217" i="113"/>
  <c r="W217" i="113" s="1"/>
  <c r="B217" i="113"/>
  <c r="B218" i="113" s="1"/>
  <c r="B219" i="113" s="1"/>
  <c r="B220" i="113" s="1"/>
  <c r="B221" i="113" s="1"/>
  <c r="B222" i="113" s="1"/>
  <c r="B223" i="113" s="1"/>
  <c r="B224" i="113" s="1"/>
  <c r="B225" i="113" s="1"/>
  <c r="B226" i="113" s="1"/>
  <c r="B227" i="113" s="1"/>
  <c r="B228" i="113" s="1"/>
  <c r="B229" i="113" s="1"/>
  <c r="B230" i="113" s="1"/>
  <c r="B231" i="113" s="1"/>
  <c r="B232" i="113" s="1"/>
  <c r="B233" i="113" s="1"/>
  <c r="B234" i="113" s="1"/>
  <c r="B235" i="113" s="1"/>
  <c r="B236" i="113" s="1"/>
  <c r="B237" i="113" s="1"/>
  <c r="B238" i="113" s="1"/>
  <c r="B239" i="113" s="1"/>
  <c r="J216" i="113"/>
  <c r="W216" i="113" s="1"/>
  <c r="J207" i="113"/>
  <c r="J206" i="113"/>
  <c r="J205" i="113"/>
  <c r="J204" i="113"/>
  <c r="J203" i="113"/>
  <c r="J202" i="113"/>
  <c r="J201" i="113"/>
  <c r="J200" i="113"/>
  <c r="J199" i="113"/>
  <c r="J198" i="113"/>
  <c r="J197" i="113"/>
  <c r="J196" i="113"/>
  <c r="J195" i="113"/>
  <c r="J194" i="113"/>
  <c r="J193" i="113"/>
  <c r="J192" i="113"/>
  <c r="J191" i="113"/>
  <c r="J190" i="113"/>
  <c r="J189" i="113"/>
  <c r="J188" i="113"/>
  <c r="J187" i="113"/>
  <c r="J186" i="113"/>
  <c r="B186" i="113"/>
  <c r="B187" i="113" s="1"/>
  <c r="B188" i="113" s="1"/>
  <c r="B189" i="113" s="1"/>
  <c r="B190" i="113" s="1"/>
  <c r="B191" i="113" s="1"/>
  <c r="B192" i="113" s="1"/>
  <c r="B193" i="113" s="1"/>
  <c r="B194" i="113" s="1"/>
  <c r="B195" i="113" s="1"/>
  <c r="B196" i="113" s="1"/>
  <c r="B197" i="113" s="1"/>
  <c r="B198" i="113" s="1"/>
  <c r="B199" i="113" s="1"/>
  <c r="B200" i="113" s="1"/>
  <c r="B201" i="113" s="1"/>
  <c r="B202" i="113" s="1"/>
  <c r="B203" i="113" s="1"/>
  <c r="B204" i="113" s="1"/>
  <c r="B205" i="113" s="1"/>
  <c r="B206" i="113" s="1"/>
  <c r="B207" i="113" s="1"/>
  <c r="J185" i="113"/>
  <c r="J176" i="113"/>
  <c r="W176" i="113" s="1"/>
  <c r="J175" i="113"/>
  <c r="V175" i="113" s="1"/>
  <c r="J174" i="113"/>
  <c r="V174" i="113" s="1"/>
  <c r="J173" i="113"/>
  <c r="W173" i="113" s="1"/>
  <c r="J172" i="113"/>
  <c r="W172" i="113" s="1"/>
  <c r="W171" i="113"/>
  <c r="J171" i="113"/>
  <c r="V171" i="113" s="1"/>
  <c r="J170" i="113"/>
  <c r="W170" i="113" s="1"/>
  <c r="J169" i="113"/>
  <c r="W169" i="113" s="1"/>
  <c r="J168" i="113"/>
  <c r="W168" i="113" s="1"/>
  <c r="J167" i="113"/>
  <c r="W167" i="113" s="1"/>
  <c r="J166" i="113"/>
  <c r="W166" i="113" s="1"/>
  <c r="J165" i="113"/>
  <c r="W165" i="113" s="1"/>
  <c r="J164" i="113"/>
  <c r="W164" i="113" s="1"/>
  <c r="J163" i="113"/>
  <c r="V163" i="113" s="1"/>
  <c r="J162" i="113"/>
  <c r="W162" i="113" s="1"/>
  <c r="J161" i="113"/>
  <c r="W161" i="113" s="1"/>
  <c r="J160" i="113"/>
  <c r="W160" i="113" s="1"/>
  <c r="J159" i="113"/>
  <c r="W159" i="113" s="1"/>
  <c r="J158" i="113"/>
  <c r="W158" i="113" s="1"/>
  <c r="J157" i="113"/>
  <c r="W157" i="113" s="1"/>
  <c r="J156" i="113"/>
  <c r="W156" i="113" s="1"/>
  <c r="J155" i="113"/>
  <c r="W155" i="113" s="1"/>
  <c r="B155" i="113"/>
  <c r="B156" i="113" s="1"/>
  <c r="B157" i="113" s="1"/>
  <c r="B158" i="113" s="1"/>
  <c r="B159" i="113" s="1"/>
  <c r="B160" i="113" s="1"/>
  <c r="B161" i="113" s="1"/>
  <c r="B162" i="113" s="1"/>
  <c r="B163" i="113" s="1"/>
  <c r="B164" i="113" s="1"/>
  <c r="B165" i="113" s="1"/>
  <c r="B166" i="113" s="1"/>
  <c r="B167" i="113" s="1"/>
  <c r="B168" i="113" s="1"/>
  <c r="B169" i="113" s="1"/>
  <c r="B170" i="113" s="1"/>
  <c r="B171" i="113" s="1"/>
  <c r="B172" i="113" s="1"/>
  <c r="B173" i="113" s="1"/>
  <c r="B174" i="113" s="1"/>
  <c r="B175" i="113" s="1"/>
  <c r="B176" i="113" s="1"/>
  <c r="J154" i="113"/>
  <c r="W154" i="113" s="1"/>
  <c r="J145" i="113"/>
  <c r="J144" i="113"/>
  <c r="J143" i="113"/>
  <c r="J142" i="113"/>
  <c r="J141" i="113"/>
  <c r="J140" i="113"/>
  <c r="J139" i="113"/>
  <c r="J138" i="113"/>
  <c r="J137" i="113"/>
  <c r="J136" i="113"/>
  <c r="J135" i="113"/>
  <c r="J134" i="113"/>
  <c r="J133" i="113"/>
  <c r="J132" i="113"/>
  <c r="J131" i="113"/>
  <c r="J130" i="113"/>
  <c r="W130" i="113" s="1"/>
  <c r="J129" i="113"/>
  <c r="W129" i="113" s="1"/>
  <c r="J128" i="113"/>
  <c r="V128" i="113" s="1"/>
  <c r="J127" i="113"/>
  <c r="W127" i="113" s="1"/>
  <c r="J126" i="113"/>
  <c r="W126" i="113" s="1"/>
  <c r="J125" i="113"/>
  <c r="W125" i="113" s="1"/>
  <c r="J124" i="113"/>
  <c r="V124" i="113" s="1"/>
  <c r="B124" i="113"/>
  <c r="B125" i="113" s="1"/>
  <c r="B126" i="113" s="1"/>
  <c r="B127" i="113" s="1"/>
  <c r="B128" i="113" s="1"/>
  <c r="B129" i="113" s="1"/>
  <c r="B130" i="113" s="1"/>
  <c r="B131" i="113" s="1"/>
  <c r="B132" i="113" s="1"/>
  <c r="B133" i="113" s="1"/>
  <c r="B134" i="113" s="1"/>
  <c r="B135" i="113" s="1"/>
  <c r="B136" i="113" s="1"/>
  <c r="B137" i="113" s="1"/>
  <c r="B138" i="113" s="1"/>
  <c r="B139" i="113" s="1"/>
  <c r="B140" i="113" s="1"/>
  <c r="B141" i="113" s="1"/>
  <c r="B142" i="113" s="1"/>
  <c r="B143" i="113" s="1"/>
  <c r="B144" i="113" s="1"/>
  <c r="B145" i="113" s="1"/>
  <c r="J123" i="113"/>
  <c r="W123" i="113" s="1"/>
  <c r="J114" i="113"/>
  <c r="J113" i="113"/>
  <c r="J112" i="113"/>
  <c r="J111" i="113"/>
  <c r="J110" i="113"/>
  <c r="J109" i="113"/>
  <c r="J108" i="113"/>
  <c r="J107" i="113"/>
  <c r="J106" i="113"/>
  <c r="J105" i="113"/>
  <c r="J104" i="113"/>
  <c r="J103" i="113"/>
  <c r="J102" i="113"/>
  <c r="J101" i="113"/>
  <c r="J100" i="113"/>
  <c r="J99" i="113"/>
  <c r="J98" i="113"/>
  <c r="J97" i="113"/>
  <c r="J96" i="113"/>
  <c r="J95" i="113"/>
  <c r="J94" i="113"/>
  <c r="J93" i="113"/>
  <c r="B93" i="113"/>
  <c r="B94" i="113" s="1"/>
  <c r="B95" i="113" s="1"/>
  <c r="B96" i="113" s="1"/>
  <c r="B97" i="113" s="1"/>
  <c r="B98" i="113" s="1"/>
  <c r="B99" i="113" s="1"/>
  <c r="B100" i="113" s="1"/>
  <c r="B101" i="113" s="1"/>
  <c r="B102" i="113" s="1"/>
  <c r="B103" i="113" s="1"/>
  <c r="B104" i="113" s="1"/>
  <c r="B105" i="113" s="1"/>
  <c r="B106" i="113" s="1"/>
  <c r="B107" i="113" s="1"/>
  <c r="B108" i="113" s="1"/>
  <c r="B109" i="113" s="1"/>
  <c r="B110" i="113" s="1"/>
  <c r="B111" i="113" s="1"/>
  <c r="B112" i="113" s="1"/>
  <c r="B113" i="113" s="1"/>
  <c r="B114" i="113" s="1"/>
  <c r="J92" i="113"/>
  <c r="J78" i="113"/>
  <c r="J77" i="113"/>
  <c r="J76" i="113"/>
  <c r="J75" i="113"/>
  <c r="J74" i="113"/>
  <c r="J73" i="113"/>
  <c r="J72" i="113"/>
  <c r="J71" i="113"/>
  <c r="J70" i="113"/>
  <c r="J69" i="113"/>
  <c r="J68" i="113"/>
  <c r="J67" i="113"/>
  <c r="J66" i="113"/>
  <c r="J65" i="113"/>
  <c r="J64" i="113"/>
  <c r="J63" i="113"/>
  <c r="J62" i="113"/>
  <c r="J61" i="113"/>
  <c r="B61" i="113"/>
  <c r="B62" i="113" s="1"/>
  <c r="B63" i="113" s="1"/>
  <c r="B64" i="113" s="1"/>
  <c r="B65" i="113" s="1"/>
  <c r="B66" i="113" s="1"/>
  <c r="B67" i="113" s="1"/>
  <c r="B68" i="113" s="1"/>
  <c r="B69" i="113" s="1"/>
  <c r="B70" i="113" s="1"/>
  <c r="B71" i="113" s="1"/>
  <c r="B72" i="113" s="1"/>
  <c r="B73" i="113" s="1"/>
  <c r="B74" i="113" s="1"/>
  <c r="B75" i="113" s="1"/>
  <c r="B76" i="113" s="1"/>
  <c r="B77" i="113" s="1"/>
  <c r="B78" i="113" s="1"/>
  <c r="B79" i="113" s="1"/>
  <c r="B80" i="113" s="1"/>
  <c r="B81" i="113" s="1"/>
  <c r="B82" i="113" s="1"/>
  <c r="B83" i="113" s="1"/>
  <c r="J60" i="113"/>
  <c r="W51" i="113"/>
  <c r="V51" i="113"/>
  <c r="W50" i="113"/>
  <c r="V50" i="113"/>
  <c r="W49" i="113"/>
  <c r="V49" i="113"/>
  <c r="W48" i="113"/>
  <c r="V48" i="113"/>
  <c r="V47" i="113"/>
  <c r="V44" i="113"/>
  <c r="W44" i="113"/>
  <c r="V43" i="113"/>
  <c r="W40" i="113"/>
  <c r="W39" i="113"/>
  <c r="V39" i="113"/>
  <c r="W38" i="113"/>
  <c r="V38" i="113"/>
  <c r="W36" i="113"/>
  <c r="W35" i="113"/>
  <c r="V35" i="113"/>
  <c r="W34" i="113"/>
  <c r="V34" i="113"/>
  <c r="W32" i="113"/>
  <c r="W31" i="113"/>
  <c r="V31" i="113"/>
  <c r="V30" i="113"/>
  <c r="W28" i="113"/>
  <c r="W27" i="113"/>
  <c r="V27" i="113"/>
  <c r="V26" i="113"/>
  <c r="W24" i="113"/>
  <c r="W23" i="113"/>
  <c r="V22" i="113"/>
  <c r="V20" i="113"/>
  <c r="W20" i="113"/>
  <c r="N16" i="113"/>
  <c r="N14" i="113"/>
  <c r="N12" i="113"/>
  <c r="N10" i="113"/>
  <c r="N8" i="113"/>
  <c r="I7" i="113"/>
  <c r="J7" i="113" s="1"/>
  <c r="V7" i="113" s="1"/>
  <c r="B7" i="113"/>
  <c r="B8" i="113" s="1"/>
  <c r="B9" i="113" s="1"/>
  <c r="B10" i="113" s="1"/>
  <c r="B11" i="113" s="1"/>
  <c r="B12" i="113" s="1"/>
  <c r="B13" i="113" s="1"/>
  <c r="B14" i="113" s="1"/>
  <c r="B15" i="113" s="1"/>
  <c r="B16" i="113" s="1"/>
  <c r="B17" i="113" s="1"/>
  <c r="B18" i="113" s="1"/>
  <c r="B19" i="113" s="1"/>
  <c r="B20" i="113" s="1"/>
  <c r="N6" i="113"/>
  <c r="I6" i="113"/>
  <c r="J6" i="113" s="1"/>
  <c r="I47" i="112"/>
  <c r="J47" i="112" s="1"/>
  <c r="I46" i="112"/>
  <c r="J46" i="112" s="1"/>
  <c r="W238" i="113" l="1"/>
  <c r="W163" i="113"/>
  <c r="W222" i="113"/>
  <c r="W229" i="113"/>
  <c r="W239" i="113"/>
  <c r="W175" i="113"/>
  <c r="V157" i="113"/>
  <c r="V170" i="113"/>
  <c r="W174" i="113"/>
  <c r="V237" i="113"/>
  <c r="W124" i="113"/>
  <c r="V176" i="113"/>
  <c r="V165" i="113"/>
  <c r="V173" i="113"/>
  <c r="W234" i="113"/>
  <c r="V233" i="113"/>
  <c r="W230" i="113"/>
  <c r="V169" i="113"/>
  <c r="V167" i="113"/>
  <c r="V166" i="113"/>
  <c r="W226" i="113"/>
  <c r="V162" i="113"/>
  <c r="V161" i="113"/>
  <c r="V225" i="113"/>
  <c r="V221" i="113"/>
  <c r="W218" i="113"/>
  <c r="V217" i="113"/>
  <c r="V216" i="113"/>
  <c r="V159" i="113"/>
  <c r="V158" i="113"/>
  <c r="V155" i="113"/>
  <c r="W128" i="113"/>
  <c r="V127" i="113"/>
  <c r="V125" i="113"/>
  <c r="B21" i="113"/>
  <c r="B22" i="113" s="1"/>
  <c r="B23" i="113" s="1"/>
  <c r="B24" i="113" s="1"/>
  <c r="B25" i="113" s="1"/>
  <c r="B26" i="113" s="1"/>
  <c r="B27" i="113" s="1"/>
  <c r="B28" i="113" s="1"/>
  <c r="B29" i="113" s="1"/>
  <c r="B30" i="113" s="1"/>
  <c r="B31" i="113" s="1"/>
  <c r="B32" i="113" s="1"/>
  <c r="B33" i="113" s="1"/>
  <c r="B34" i="113" s="1"/>
  <c r="B35" i="113" s="1"/>
  <c r="B36" i="113" s="1"/>
  <c r="B37" i="113" s="1"/>
  <c r="B38" i="113" s="1"/>
  <c r="B39" i="113" s="1"/>
  <c r="B40" i="113" s="1"/>
  <c r="B41" i="113" s="1"/>
  <c r="B42" i="113" s="1"/>
  <c r="B43" i="113" s="1"/>
  <c r="B44" i="113" s="1"/>
  <c r="B45" i="113" s="1"/>
  <c r="B46" i="113" s="1"/>
  <c r="B47" i="113" s="1"/>
  <c r="B48" i="113" s="1"/>
  <c r="B49" i="113" s="1"/>
  <c r="B50" i="113" s="1"/>
  <c r="B51" i="113" s="1"/>
  <c r="V220" i="113"/>
  <c r="V224" i="113"/>
  <c r="V228" i="113"/>
  <c r="V232" i="113"/>
  <c r="V236" i="113"/>
  <c r="V219" i="113"/>
  <c r="V223" i="113"/>
  <c r="V227" i="113"/>
  <c r="V231" i="113"/>
  <c r="V235" i="113"/>
  <c r="J240" i="113"/>
  <c r="V154" i="113"/>
  <c r="J177" i="113"/>
  <c r="V156" i="113"/>
  <c r="V160" i="113"/>
  <c r="V164" i="113"/>
  <c r="V168" i="113"/>
  <c r="V172" i="113"/>
  <c r="V126" i="113"/>
  <c r="V130" i="113"/>
  <c r="J146" i="113"/>
  <c r="V129" i="113"/>
  <c r="V123" i="113"/>
  <c r="W9" i="113"/>
  <c r="V9" i="113"/>
  <c r="V16" i="113"/>
  <c r="W16" i="113"/>
  <c r="W13" i="113"/>
  <c r="V13" i="113"/>
  <c r="W33" i="113"/>
  <c r="V33" i="113"/>
  <c r="V11" i="113"/>
  <c r="W11" i="113"/>
  <c r="J52" i="113"/>
  <c r="V6" i="113"/>
  <c r="W6" i="113"/>
  <c r="W12" i="113"/>
  <c r="V12" i="113"/>
  <c r="V19" i="113"/>
  <c r="W19" i="113"/>
  <c r="W21" i="113"/>
  <c r="V21" i="113"/>
  <c r="V14" i="113"/>
  <c r="W14" i="113"/>
  <c r="V8" i="113"/>
  <c r="W8" i="113"/>
  <c r="W17" i="113"/>
  <c r="V17" i="113"/>
  <c r="W25" i="113"/>
  <c r="V25" i="113"/>
  <c r="W37" i="113"/>
  <c r="V37" i="113"/>
  <c r="W63" i="113"/>
  <c r="V63" i="113"/>
  <c r="W98" i="113"/>
  <c r="V98" i="113"/>
  <c r="V15" i="113"/>
  <c r="N18" i="113"/>
  <c r="V23" i="113"/>
  <c r="V24" i="113"/>
  <c r="W41" i="113"/>
  <c r="V41" i="113"/>
  <c r="W43" i="113"/>
  <c r="W64" i="113"/>
  <c r="V64" i="113"/>
  <c r="W68" i="113"/>
  <c r="V68" i="113"/>
  <c r="W72" i="113"/>
  <c r="V72" i="113"/>
  <c r="W76" i="113"/>
  <c r="V76" i="113"/>
  <c r="J115" i="113"/>
  <c r="W92" i="113"/>
  <c r="V92" i="113"/>
  <c r="W95" i="113"/>
  <c r="V95" i="113"/>
  <c r="W99" i="113"/>
  <c r="V99" i="113"/>
  <c r="W103" i="113"/>
  <c r="V103" i="113"/>
  <c r="W107" i="113"/>
  <c r="V107" i="113"/>
  <c r="W111" i="113"/>
  <c r="V111" i="113"/>
  <c r="W186" i="113"/>
  <c r="V186" i="113"/>
  <c r="W190" i="113"/>
  <c r="V190" i="113"/>
  <c r="W194" i="113"/>
  <c r="V194" i="113"/>
  <c r="W198" i="113"/>
  <c r="V198" i="113"/>
  <c r="W202" i="113"/>
  <c r="V202" i="113"/>
  <c r="W206" i="113"/>
  <c r="V206" i="113"/>
  <c r="W29" i="113"/>
  <c r="V29" i="113"/>
  <c r="W60" i="113"/>
  <c r="J84" i="113"/>
  <c r="V60" i="113"/>
  <c r="W67" i="113"/>
  <c r="V67" i="113"/>
  <c r="W75" i="113"/>
  <c r="V75" i="113"/>
  <c r="W94" i="113"/>
  <c r="V94" i="113"/>
  <c r="W106" i="113"/>
  <c r="V106" i="113"/>
  <c r="W114" i="113"/>
  <c r="V114" i="113"/>
  <c r="W7" i="113"/>
  <c r="V10" i="113"/>
  <c r="V18" i="113"/>
  <c r="W22" i="113"/>
  <c r="W26" i="113"/>
  <c r="V28" i="113"/>
  <c r="W42" i="113"/>
  <c r="V42" i="113"/>
  <c r="W45" i="113"/>
  <c r="V45" i="113"/>
  <c r="W47" i="113"/>
  <c r="W61" i="113"/>
  <c r="V61" i="113"/>
  <c r="W65" i="113"/>
  <c r="V65" i="113"/>
  <c r="W69" i="113"/>
  <c r="V69" i="113"/>
  <c r="W73" i="113"/>
  <c r="V73" i="113"/>
  <c r="W77" i="113"/>
  <c r="V77" i="113"/>
  <c r="W96" i="113"/>
  <c r="V96" i="113"/>
  <c r="W100" i="113"/>
  <c r="V100" i="113"/>
  <c r="W104" i="113"/>
  <c r="V104" i="113"/>
  <c r="W108" i="113"/>
  <c r="V108" i="113"/>
  <c r="W112" i="113"/>
  <c r="V112" i="113"/>
  <c r="W71" i="113"/>
  <c r="V71" i="113"/>
  <c r="W102" i="113"/>
  <c r="V102" i="113"/>
  <c r="W110" i="113"/>
  <c r="V110" i="113"/>
  <c r="W30" i="113"/>
  <c r="V32" i="113"/>
  <c r="V36" i="113"/>
  <c r="V40" i="113"/>
  <c r="W46" i="113"/>
  <c r="V46" i="113"/>
  <c r="W62" i="113"/>
  <c r="V62" i="113"/>
  <c r="W66" i="113"/>
  <c r="V66" i="113"/>
  <c r="W70" i="113"/>
  <c r="V70" i="113"/>
  <c r="W74" i="113"/>
  <c r="V74" i="113"/>
  <c r="W78" i="113"/>
  <c r="V78" i="113"/>
  <c r="W93" i="113"/>
  <c r="V93" i="113"/>
  <c r="W97" i="113"/>
  <c r="V97" i="113"/>
  <c r="W101" i="113"/>
  <c r="V101" i="113"/>
  <c r="W105" i="113"/>
  <c r="V105" i="113"/>
  <c r="W109" i="113"/>
  <c r="V109" i="113"/>
  <c r="W113" i="113"/>
  <c r="V113" i="113"/>
  <c r="W131" i="113"/>
  <c r="V131" i="113"/>
  <c r="W133" i="113"/>
  <c r="V133" i="113"/>
  <c r="W135" i="113"/>
  <c r="V135" i="113"/>
  <c r="W137" i="113"/>
  <c r="V137" i="113"/>
  <c r="W139" i="113"/>
  <c r="V139" i="113"/>
  <c r="W141" i="113"/>
  <c r="V141" i="113"/>
  <c r="W143" i="113"/>
  <c r="V143" i="113"/>
  <c r="W145" i="113"/>
  <c r="V145" i="113"/>
  <c r="W187" i="113"/>
  <c r="V187" i="113"/>
  <c r="W191" i="113"/>
  <c r="V191" i="113"/>
  <c r="W195" i="113"/>
  <c r="V195" i="113"/>
  <c r="W199" i="113"/>
  <c r="V199" i="113"/>
  <c r="W203" i="113"/>
  <c r="V203" i="113"/>
  <c r="W207" i="113"/>
  <c r="V207" i="113"/>
  <c r="J208" i="113"/>
  <c r="W185" i="113"/>
  <c r="V185" i="113"/>
  <c r="W188" i="113"/>
  <c r="V188" i="113"/>
  <c r="W192" i="113"/>
  <c r="V192" i="113"/>
  <c r="W196" i="113"/>
  <c r="V196" i="113"/>
  <c r="W200" i="113"/>
  <c r="V200" i="113"/>
  <c r="W204" i="113"/>
  <c r="V204" i="113"/>
  <c r="W132" i="113"/>
  <c r="V132" i="113"/>
  <c r="W134" i="113"/>
  <c r="V134" i="113"/>
  <c r="W136" i="113"/>
  <c r="V136" i="113"/>
  <c r="W138" i="113"/>
  <c r="V138" i="113"/>
  <c r="W140" i="113"/>
  <c r="V140" i="113"/>
  <c r="W142" i="113"/>
  <c r="V142" i="113"/>
  <c r="W144" i="113"/>
  <c r="V144" i="113"/>
  <c r="W189" i="113"/>
  <c r="V189" i="113"/>
  <c r="W193" i="113"/>
  <c r="V193" i="113"/>
  <c r="W197" i="113"/>
  <c r="V197" i="113"/>
  <c r="W201" i="113"/>
  <c r="V201" i="113"/>
  <c r="W205" i="113"/>
  <c r="V205" i="113"/>
  <c r="I45" i="112"/>
  <c r="J45" i="112" s="1"/>
  <c r="I44" i="112"/>
  <c r="J44" i="112" s="1"/>
  <c r="I43" i="112"/>
  <c r="J43" i="112" s="1"/>
  <c r="I42" i="112"/>
  <c r="J42" i="112" s="1"/>
  <c r="I41" i="112"/>
  <c r="J41" i="112" s="1"/>
  <c r="I40" i="112"/>
  <c r="J40" i="112" s="1"/>
  <c r="I39" i="112"/>
  <c r="J39" i="112" s="1"/>
  <c r="I38" i="112"/>
  <c r="J38" i="112" s="1"/>
  <c r="I37" i="112"/>
  <c r="J37" i="112" s="1"/>
  <c r="I36" i="112"/>
  <c r="J36" i="112" s="1"/>
  <c r="I35" i="112"/>
  <c r="J35" i="112" s="1"/>
  <c r="I34" i="112"/>
  <c r="J34" i="112" s="1"/>
  <c r="J33" i="112"/>
  <c r="I33" i="112"/>
  <c r="I32" i="112"/>
  <c r="J32" i="112" s="1"/>
  <c r="I31" i="112"/>
  <c r="J31" i="112" s="1"/>
  <c r="I30" i="112"/>
  <c r="J30" i="112" s="1"/>
  <c r="I29" i="112"/>
  <c r="J29" i="112" s="1"/>
  <c r="I28" i="112"/>
  <c r="J28" i="112" s="1"/>
  <c r="I27" i="112"/>
  <c r="J27" i="112" s="1"/>
  <c r="I26" i="112"/>
  <c r="J26" i="112" s="1"/>
  <c r="I25" i="112"/>
  <c r="J25" i="112" s="1"/>
  <c r="I24" i="112"/>
  <c r="J24" i="112" s="1"/>
  <c r="I23" i="112"/>
  <c r="J23" i="112" s="1"/>
  <c r="I22" i="112"/>
  <c r="J22" i="112" s="1"/>
  <c r="I21" i="112"/>
  <c r="J21" i="112" s="1"/>
  <c r="I20" i="112"/>
  <c r="J20" i="112" s="1"/>
  <c r="W177" i="113" l="1"/>
  <c r="P12" i="113" s="1"/>
  <c r="W240" i="113"/>
  <c r="P16" i="113" s="1"/>
  <c r="V240" i="113"/>
  <c r="O16" i="113" s="1"/>
  <c r="R16" i="113" s="1"/>
  <c r="V177" i="113"/>
  <c r="O12" i="113" s="1"/>
  <c r="R12" i="113" s="1"/>
  <c r="W146" i="113"/>
  <c r="P10" i="113" s="1"/>
  <c r="V146" i="113"/>
  <c r="O10" i="113" s="1"/>
  <c r="R10" i="113" s="1"/>
  <c r="V84" i="113"/>
  <c r="O6" i="113" s="1"/>
  <c r="W115" i="113"/>
  <c r="P8" i="113" s="1"/>
  <c r="V52" i="113"/>
  <c r="O4" i="113" s="1"/>
  <c r="W208" i="113"/>
  <c r="P14" i="113" s="1"/>
  <c r="V115" i="113"/>
  <c r="O8" i="113" s="1"/>
  <c r="W52" i="113"/>
  <c r="P4" i="113" s="1"/>
  <c r="V208" i="113"/>
  <c r="O14" i="113" s="1"/>
  <c r="W84" i="113"/>
  <c r="P6" i="113" s="1"/>
  <c r="I19" i="112"/>
  <c r="J19" i="112" s="1"/>
  <c r="I18" i="112"/>
  <c r="J18" i="112" s="1"/>
  <c r="I17" i="112"/>
  <c r="J17" i="112" s="1"/>
  <c r="I16" i="112"/>
  <c r="J16" i="112" s="1"/>
  <c r="Q4" i="113" l="1"/>
  <c r="Q16" i="113"/>
  <c r="Q12" i="113"/>
  <c r="Q10" i="113"/>
  <c r="R8" i="113"/>
  <c r="Q8" i="113"/>
  <c r="R6" i="113"/>
  <c r="Q6" i="113"/>
  <c r="R4" i="113"/>
  <c r="O18" i="113"/>
  <c r="R18" i="113" s="1"/>
  <c r="P20" i="113" s="1"/>
  <c r="R14" i="113"/>
  <c r="Q14" i="113"/>
  <c r="P18" i="113"/>
  <c r="I15" i="112"/>
  <c r="J15" i="112" s="1"/>
  <c r="W15" i="112" s="1"/>
  <c r="I14" i="112"/>
  <c r="J14" i="112" s="1"/>
  <c r="W14" i="112" s="1"/>
  <c r="I13" i="112"/>
  <c r="J13" i="112" s="1"/>
  <c r="I12" i="112"/>
  <c r="J12" i="112" s="1"/>
  <c r="I11" i="112"/>
  <c r="J11" i="112" s="1"/>
  <c r="V11" i="112" s="1"/>
  <c r="I10" i="112"/>
  <c r="J10" i="112" s="1"/>
  <c r="W10" i="112" s="1"/>
  <c r="I8" i="112"/>
  <c r="J8" i="112" s="1"/>
  <c r="I9" i="112"/>
  <c r="J9" i="112" s="1"/>
  <c r="J239" i="112"/>
  <c r="W239" i="112" s="1"/>
  <c r="J238" i="112"/>
  <c r="W238" i="112" s="1"/>
  <c r="J237" i="112"/>
  <c r="W237" i="112" s="1"/>
  <c r="J236" i="112"/>
  <c r="W236" i="112" s="1"/>
  <c r="J235" i="112"/>
  <c r="W235" i="112" s="1"/>
  <c r="J234" i="112"/>
  <c r="W234" i="112" s="1"/>
  <c r="J233" i="112"/>
  <c r="W233" i="112" s="1"/>
  <c r="J232" i="112"/>
  <c r="W232" i="112" s="1"/>
  <c r="J231" i="112"/>
  <c r="W231" i="112" s="1"/>
  <c r="J230" i="112"/>
  <c r="W230" i="112" s="1"/>
  <c r="J229" i="112"/>
  <c r="W229" i="112" s="1"/>
  <c r="J228" i="112"/>
  <c r="W228" i="112" s="1"/>
  <c r="J227" i="112"/>
  <c r="W227" i="112" s="1"/>
  <c r="J226" i="112"/>
  <c r="W226" i="112" s="1"/>
  <c r="J225" i="112"/>
  <c r="W225" i="112" s="1"/>
  <c r="J224" i="112"/>
  <c r="W224" i="112" s="1"/>
  <c r="J223" i="112"/>
  <c r="W223" i="112" s="1"/>
  <c r="J222" i="112"/>
  <c r="W222" i="112" s="1"/>
  <c r="J221" i="112"/>
  <c r="W221" i="112" s="1"/>
  <c r="J220" i="112"/>
  <c r="W220" i="112" s="1"/>
  <c r="J219" i="112"/>
  <c r="W219" i="112" s="1"/>
  <c r="J218" i="112"/>
  <c r="W218" i="112" s="1"/>
  <c r="J217" i="112"/>
  <c r="W217" i="112" s="1"/>
  <c r="B217" i="112"/>
  <c r="B218" i="112" s="1"/>
  <c r="B219" i="112" s="1"/>
  <c r="B220" i="112" s="1"/>
  <c r="B221" i="112" s="1"/>
  <c r="B222" i="112" s="1"/>
  <c r="B223" i="112" s="1"/>
  <c r="B224" i="112" s="1"/>
  <c r="B225" i="112" s="1"/>
  <c r="B226" i="112" s="1"/>
  <c r="B227" i="112" s="1"/>
  <c r="B228" i="112" s="1"/>
  <c r="B229" i="112" s="1"/>
  <c r="B230" i="112" s="1"/>
  <c r="B231" i="112" s="1"/>
  <c r="B232" i="112" s="1"/>
  <c r="B233" i="112" s="1"/>
  <c r="B234" i="112" s="1"/>
  <c r="B235" i="112" s="1"/>
  <c r="B236" i="112" s="1"/>
  <c r="B237" i="112" s="1"/>
  <c r="B238" i="112" s="1"/>
  <c r="B239" i="112" s="1"/>
  <c r="J216" i="112"/>
  <c r="W216" i="112" s="1"/>
  <c r="J207" i="112"/>
  <c r="V207" i="112" s="1"/>
  <c r="J206" i="112"/>
  <c r="V206" i="112" s="1"/>
  <c r="J205" i="112"/>
  <c r="V205" i="112" s="1"/>
  <c r="J204" i="112"/>
  <c r="V204" i="112" s="1"/>
  <c r="J203" i="112"/>
  <c r="V203" i="112" s="1"/>
  <c r="J202" i="112"/>
  <c r="V202" i="112" s="1"/>
  <c r="J201" i="112"/>
  <c r="V201" i="112" s="1"/>
  <c r="J200" i="112"/>
  <c r="V200" i="112" s="1"/>
  <c r="J199" i="112"/>
  <c r="V199" i="112" s="1"/>
  <c r="J198" i="112"/>
  <c r="V198" i="112" s="1"/>
  <c r="J197" i="112"/>
  <c r="V197" i="112" s="1"/>
  <c r="J196" i="112"/>
  <c r="V196" i="112" s="1"/>
  <c r="J195" i="112"/>
  <c r="V195" i="112" s="1"/>
  <c r="J194" i="112"/>
  <c r="V194" i="112" s="1"/>
  <c r="J193" i="112"/>
  <c r="V193" i="112" s="1"/>
  <c r="J192" i="112"/>
  <c r="V192" i="112" s="1"/>
  <c r="J191" i="112"/>
  <c r="V191" i="112" s="1"/>
  <c r="J190" i="112"/>
  <c r="V190" i="112" s="1"/>
  <c r="J189" i="112"/>
  <c r="V189" i="112" s="1"/>
  <c r="J188" i="112"/>
  <c r="V188" i="112" s="1"/>
  <c r="J187" i="112"/>
  <c r="V187" i="112" s="1"/>
  <c r="J186" i="112"/>
  <c r="V186" i="112" s="1"/>
  <c r="B186" i="112"/>
  <c r="B187" i="112" s="1"/>
  <c r="B188" i="112" s="1"/>
  <c r="B189" i="112" s="1"/>
  <c r="B190" i="112" s="1"/>
  <c r="B191" i="112" s="1"/>
  <c r="B192" i="112" s="1"/>
  <c r="B193" i="112" s="1"/>
  <c r="B194" i="112" s="1"/>
  <c r="B195" i="112" s="1"/>
  <c r="B196" i="112" s="1"/>
  <c r="B197" i="112" s="1"/>
  <c r="B198" i="112" s="1"/>
  <c r="B199" i="112" s="1"/>
  <c r="B200" i="112" s="1"/>
  <c r="B201" i="112" s="1"/>
  <c r="B202" i="112" s="1"/>
  <c r="B203" i="112" s="1"/>
  <c r="B204" i="112" s="1"/>
  <c r="B205" i="112" s="1"/>
  <c r="B206" i="112" s="1"/>
  <c r="B207" i="112" s="1"/>
  <c r="J185" i="112"/>
  <c r="V185" i="112" s="1"/>
  <c r="J176" i="112"/>
  <c r="W176" i="112" s="1"/>
  <c r="J175" i="112"/>
  <c r="W175" i="112" s="1"/>
  <c r="J174" i="112"/>
  <c r="W174" i="112" s="1"/>
  <c r="J173" i="112"/>
  <c r="W173" i="112" s="1"/>
  <c r="J172" i="112"/>
  <c r="W172" i="112" s="1"/>
  <c r="J171" i="112"/>
  <c r="W171" i="112" s="1"/>
  <c r="J170" i="112"/>
  <c r="W170" i="112" s="1"/>
  <c r="J169" i="112"/>
  <c r="W169" i="112" s="1"/>
  <c r="J168" i="112"/>
  <c r="W168" i="112" s="1"/>
  <c r="J167" i="112"/>
  <c r="W167" i="112" s="1"/>
  <c r="J166" i="112"/>
  <c r="W166" i="112" s="1"/>
  <c r="J165" i="112"/>
  <c r="W165" i="112" s="1"/>
  <c r="J164" i="112"/>
  <c r="W164" i="112" s="1"/>
  <c r="J163" i="112"/>
  <c r="W163" i="112" s="1"/>
  <c r="J162" i="112"/>
  <c r="W162" i="112" s="1"/>
  <c r="J161" i="112"/>
  <c r="W161" i="112" s="1"/>
  <c r="J160" i="112"/>
  <c r="W160" i="112" s="1"/>
  <c r="J159" i="112"/>
  <c r="W159" i="112" s="1"/>
  <c r="J158" i="112"/>
  <c r="W158" i="112" s="1"/>
  <c r="J157" i="112"/>
  <c r="W157" i="112" s="1"/>
  <c r="J156" i="112"/>
  <c r="W156" i="112" s="1"/>
  <c r="J155" i="112"/>
  <c r="W155" i="112" s="1"/>
  <c r="B155" i="112"/>
  <c r="B156" i="112" s="1"/>
  <c r="B157" i="112" s="1"/>
  <c r="B158" i="112" s="1"/>
  <c r="B159" i="112" s="1"/>
  <c r="B160" i="112" s="1"/>
  <c r="B161" i="112" s="1"/>
  <c r="B162" i="112" s="1"/>
  <c r="B163" i="112" s="1"/>
  <c r="B164" i="112" s="1"/>
  <c r="B165" i="112" s="1"/>
  <c r="B166" i="112" s="1"/>
  <c r="B167" i="112" s="1"/>
  <c r="B168" i="112" s="1"/>
  <c r="B169" i="112" s="1"/>
  <c r="B170" i="112" s="1"/>
  <c r="B171" i="112" s="1"/>
  <c r="B172" i="112" s="1"/>
  <c r="B173" i="112" s="1"/>
  <c r="B174" i="112" s="1"/>
  <c r="B175" i="112" s="1"/>
  <c r="B176" i="112" s="1"/>
  <c r="J154" i="112"/>
  <c r="W154" i="112" s="1"/>
  <c r="J145" i="112"/>
  <c r="V145" i="112" s="1"/>
  <c r="J144" i="112"/>
  <c r="V144" i="112" s="1"/>
  <c r="J143" i="112"/>
  <c r="V143" i="112" s="1"/>
  <c r="J142" i="112"/>
  <c r="V142" i="112" s="1"/>
  <c r="J141" i="112"/>
  <c r="V141" i="112" s="1"/>
  <c r="J140" i="112"/>
  <c r="V140" i="112" s="1"/>
  <c r="J139" i="112"/>
  <c r="V139" i="112" s="1"/>
  <c r="J138" i="112"/>
  <c r="V138" i="112" s="1"/>
  <c r="J137" i="112"/>
  <c r="V137" i="112" s="1"/>
  <c r="J136" i="112"/>
  <c r="V136" i="112" s="1"/>
  <c r="J135" i="112"/>
  <c r="V135" i="112" s="1"/>
  <c r="J134" i="112"/>
  <c r="V134" i="112" s="1"/>
  <c r="J133" i="112"/>
  <c r="V133" i="112" s="1"/>
  <c r="J132" i="112"/>
  <c r="V132" i="112" s="1"/>
  <c r="J131" i="112"/>
  <c r="V131" i="112" s="1"/>
  <c r="J130" i="112"/>
  <c r="V130" i="112" s="1"/>
  <c r="J129" i="112"/>
  <c r="V129" i="112" s="1"/>
  <c r="J128" i="112"/>
  <c r="V128" i="112" s="1"/>
  <c r="J127" i="112"/>
  <c r="V127" i="112" s="1"/>
  <c r="J126" i="112"/>
  <c r="V126" i="112" s="1"/>
  <c r="J125" i="112"/>
  <c r="V125" i="112" s="1"/>
  <c r="J124" i="112"/>
  <c r="V124" i="112" s="1"/>
  <c r="B124" i="112"/>
  <c r="B125" i="112" s="1"/>
  <c r="B126" i="112" s="1"/>
  <c r="B127" i="112" s="1"/>
  <c r="B128" i="112" s="1"/>
  <c r="B129" i="112" s="1"/>
  <c r="B130" i="112" s="1"/>
  <c r="B131" i="112" s="1"/>
  <c r="B132" i="112" s="1"/>
  <c r="B133" i="112" s="1"/>
  <c r="B134" i="112" s="1"/>
  <c r="B135" i="112" s="1"/>
  <c r="B136" i="112" s="1"/>
  <c r="B137" i="112" s="1"/>
  <c r="B138" i="112" s="1"/>
  <c r="B139" i="112" s="1"/>
  <c r="B140" i="112" s="1"/>
  <c r="B141" i="112" s="1"/>
  <c r="B142" i="112" s="1"/>
  <c r="B143" i="112" s="1"/>
  <c r="B144" i="112" s="1"/>
  <c r="B145" i="112" s="1"/>
  <c r="J123" i="112"/>
  <c r="V123" i="112" s="1"/>
  <c r="J114" i="112"/>
  <c r="W114" i="112" s="1"/>
  <c r="J113" i="112"/>
  <c r="W113" i="112" s="1"/>
  <c r="J112" i="112"/>
  <c r="W112" i="112" s="1"/>
  <c r="J111" i="112"/>
  <c r="W111" i="112" s="1"/>
  <c r="J110" i="112"/>
  <c r="W110" i="112" s="1"/>
  <c r="J109" i="112"/>
  <c r="W109" i="112" s="1"/>
  <c r="J108" i="112"/>
  <c r="W108" i="112" s="1"/>
  <c r="J107" i="112"/>
  <c r="W107" i="112" s="1"/>
  <c r="J106" i="112"/>
  <c r="W106" i="112" s="1"/>
  <c r="J105" i="112"/>
  <c r="W105" i="112" s="1"/>
  <c r="J104" i="112"/>
  <c r="W104" i="112" s="1"/>
  <c r="J103" i="112"/>
  <c r="W103" i="112" s="1"/>
  <c r="J102" i="112"/>
  <c r="W102" i="112" s="1"/>
  <c r="J101" i="112"/>
  <c r="W101" i="112" s="1"/>
  <c r="J100" i="112"/>
  <c r="W100" i="112" s="1"/>
  <c r="J99" i="112"/>
  <c r="W99" i="112" s="1"/>
  <c r="J98" i="112"/>
  <c r="W98" i="112" s="1"/>
  <c r="J97" i="112"/>
  <c r="W97" i="112" s="1"/>
  <c r="J96" i="112"/>
  <c r="W96" i="112" s="1"/>
  <c r="J95" i="112"/>
  <c r="W95" i="112" s="1"/>
  <c r="J94" i="112"/>
  <c r="W94" i="112" s="1"/>
  <c r="J93" i="112"/>
  <c r="W93" i="112" s="1"/>
  <c r="B93" i="112"/>
  <c r="B94" i="112" s="1"/>
  <c r="B95" i="112" s="1"/>
  <c r="B96" i="112" s="1"/>
  <c r="B97" i="112" s="1"/>
  <c r="B98" i="112" s="1"/>
  <c r="B99" i="112" s="1"/>
  <c r="B100" i="112" s="1"/>
  <c r="B101" i="112" s="1"/>
  <c r="B102" i="112" s="1"/>
  <c r="B103" i="112" s="1"/>
  <c r="B104" i="112" s="1"/>
  <c r="B105" i="112" s="1"/>
  <c r="B106" i="112" s="1"/>
  <c r="B107" i="112" s="1"/>
  <c r="B108" i="112" s="1"/>
  <c r="B109" i="112" s="1"/>
  <c r="B110" i="112" s="1"/>
  <c r="B111" i="112" s="1"/>
  <c r="B112" i="112" s="1"/>
  <c r="B113" i="112" s="1"/>
  <c r="B114" i="112" s="1"/>
  <c r="J92" i="112"/>
  <c r="W92" i="112" s="1"/>
  <c r="J83" i="112"/>
  <c r="V83" i="112" s="1"/>
  <c r="W82" i="112"/>
  <c r="J82" i="112"/>
  <c r="V82" i="112" s="1"/>
  <c r="J81" i="112"/>
  <c r="J80" i="112"/>
  <c r="W80" i="112" s="1"/>
  <c r="J79" i="112"/>
  <c r="W79" i="112" s="1"/>
  <c r="J78" i="112"/>
  <c r="W78" i="112" s="1"/>
  <c r="J77" i="112"/>
  <c r="W77" i="112" s="1"/>
  <c r="J76" i="112"/>
  <c r="W76" i="112" s="1"/>
  <c r="J75" i="112"/>
  <c r="W75" i="112" s="1"/>
  <c r="J74" i="112"/>
  <c r="W74" i="112" s="1"/>
  <c r="J73" i="112"/>
  <c r="W73" i="112" s="1"/>
  <c r="J72" i="112"/>
  <c r="W72" i="112" s="1"/>
  <c r="J71" i="112"/>
  <c r="W71" i="112" s="1"/>
  <c r="J70" i="112"/>
  <c r="W70" i="112" s="1"/>
  <c r="J69" i="112"/>
  <c r="W69" i="112" s="1"/>
  <c r="J68" i="112"/>
  <c r="W68" i="112" s="1"/>
  <c r="J67" i="112"/>
  <c r="W67" i="112" s="1"/>
  <c r="J66" i="112"/>
  <c r="W66" i="112" s="1"/>
  <c r="J65" i="112"/>
  <c r="W65" i="112" s="1"/>
  <c r="J64" i="112"/>
  <c r="W64" i="112" s="1"/>
  <c r="J63" i="112"/>
  <c r="W63" i="112" s="1"/>
  <c r="J62" i="112"/>
  <c r="W62" i="112" s="1"/>
  <c r="J61" i="112"/>
  <c r="W61" i="112" s="1"/>
  <c r="B61" i="112"/>
  <c r="B62" i="112" s="1"/>
  <c r="B63" i="112" s="1"/>
  <c r="B64" i="112" s="1"/>
  <c r="B65" i="112" s="1"/>
  <c r="B66" i="112" s="1"/>
  <c r="B67" i="112" s="1"/>
  <c r="B68" i="112" s="1"/>
  <c r="B69" i="112" s="1"/>
  <c r="B70" i="112" s="1"/>
  <c r="B71" i="112" s="1"/>
  <c r="B72" i="112" s="1"/>
  <c r="B73" i="112" s="1"/>
  <c r="B74" i="112" s="1"/>
  <c r="B75" i="112" s="1"/>
  <c r="B76" i="112" s="1"/>
  <c r="B77" i="112" s="1"/>
  <c r="B78" i="112" s="1"/>
  <c r="B79" i="112" s="1"/>
  <c r="B80" i="112" s="1"/>
  <c r="B81" i="112" s="1"/>
  <c r="B82" i="112" s="1"/>
  <c r="B83" i="112" s="1"/>
  <c r="J60" i="112"/>
  <c r="W60" i="112" s="1"/>
  <c r="W51" i="112"/>
  <c r="V51" i="112"/>
  <c r="W50" i="112"/>
  <c r="V50" i="112"/>
  <c r="W49" i="112"/>
  <c r="V49" i="112"/>
  <c r="W48" i="112"/>
  <c r="V48" i="112"/>
  <c r="W47" i="112"/>
  <c r="V47" i="112"/>
  <c r="W46" i="112"/>
  <c r="V46" i="112"/>
  <c r="W45" i="112"/>
  <c r="V45" i="112"/>
  <c r="W44" i="112"/>
  <c r="V44" i="112"/>
  <c r="V42" i="112"/>
  <c r="V40" i="112"/>
  <c r="W38" i="112"/>
  <c r="V38" i="112"/>
  <c r="W36" i="112"/>
  <c r="V34" i="112"/>
  <c r="V32" i="112"/>
  <c r="W30" i="112"/>
  <c r="V30" i="112"/>
  <c r="V28" i="112"/>
  <c r="V26" i="112"/>
  <c r="V24" i="112"/>
  <c r="W22" i="112"/>
  <c r="V22" i="112"/>
  <c r="W19" i="112"/>
  <c r="V19" i="112"/>
  <c r="W18" i="112"/>
  <c r="N16" i="112"/>
  <c r="N14" i="112"/>
  <c r="N12" i="112"/>
  <c r="N10" i="112"/>
  <c r="N8" i="112"/>
  <c r="I7" i="112"/>
  <c r="J7" i="112" s="1"/>
  <c r="V7" i="112" s="1"/>
  <c r="B7" i="112"/>
  <c r="B8" i="112" s="1"/>
  <c r="B9" i="112" s="1"/>
  <c r="B10" i="112" s="1"/>
  <c r="B11" i="112" s="1"/>
  <c r="B12" i="112" s="1"/>
  <c r="B13" i="112" s="1"/>
  <c r="B14" i="112" s="1"/>
  <c r="B15" i="112" s="1"/>
  <c r="B16" i="112" s="1"/>
  <c r="B17" i="112" s="1"/>
  <c r="B18" i="112" s="1"/>
  <c r="B19" i="112" s="1"/>
  <c r="B20" i="112" s="1"/>
  <c r="B21" i="112" s="1"/>
  <c r="B22" i="112" s="1"/>
  <c r="B23" i="112" s="1"/>
  <c r="B24" i="112" s="1"/>
  <c r="B25" i="112" s="1"/>
  <c r="B26" i="112" s="1"/>
  <c r="B27" i="112" s="1"/>
  <c r="B28" i="112" s="1"/>
  <c r="B29" i="112" s="1"/>
  <c r="B30" i="112" s="1"/>
  <c r="B31" i="112" s="1"/>
  <c r="B32" i="112" s="1"/>
  <c r="B33" i="112" s="1"/>
  <c r="B34" i="112" s="1"/>
  <c r="B35" i="112" s="1"/>
  <c r="B36" i="112" s="1"/>
  <c r="B37" i="112" s="1"/>
  <c r="B38" i="112" s="1"/>
  <c r="B39" i="112" s="1"/>
  <c r="B40" i="112" s="1"/>
  <c r="B41" i="112" s="1"/>
  <c r="B42" i="112" s="1"/>
  <c r="B43" i="112" s="1"/>
  <c r="B44" i="112" s="1"/>
  <c r="B45" i="112" s="1"/>
  <c r="B46" i="112" s="1"/>
  <c r="B47" i="112" s="1"/>
  <c r="B48" i="112" s="1"/>
  <c r="B49" i="112" s="1"/>
  <c r="B50" i="112" s="1"/>
  <c r="B51" i="112" s="1"/>
  <c r="N6" i="112"/>
  <c r="I6" i="112"/>
  <c r="J6" i="112" s="1"/>
  <c r="V6" i="112" s="1"/>
  <c r="N4" i="112"/>
  <c r="I43" i="111"/>
  <c r="I42" i="111"/>
  <c r="I41" i="111"/>
  <c r="I40" i="111"/>
  <c r="I39" i="111"/>
  <c r="I38" i="111"/>
  <c r="I37" i="111"/>
  <c r="I36" i="111"/>
  <c r="I35" i="111"/>
  <c r="I34" i="111"/>
  <c r="W83" i="112" l="1"/>
  <c r="W144" i="112"/>
  <c r="W145" i="112"/>
  <c r="W206" i="112"/>
  <c r="Q18" i="113"/>
  <c r="W205" i="112"/>
  <c r="W207" i="112"/>
  <c r="W143" i="112"/>
  <c r="W240" i="112"/>
  <c r="P16" i="112" s="1"/>
  <c r="V208" i="112"/>
  <c r="O14" i="112" s="1"/>
  <c r="R14" i="112" s="1"/>
  <c r="W186" i="112"/>
  <c r="W188" i="112"/>
  <c r="W190" i="112"/>
  <c r="W192" i="112"/>
  <c r="W194" i="112"/>
  <c r="W196" i="112"/>
  <c r="W198" i="112"/>
  <c r="W200" i="112"/>
  <c r="W202" i="112"/>
  <c r="W204" i="112"/>
  <c r="J208" i="112"/>
  <c r="W187" i="112"/>
  <c r="W189" i="112"/>
  <c r="W191" i="112"/>
  <c r="W193" i="112"/>
  <c r="W195" i="112"/>
  <c r="W197" i="112"/>
  <c r="W199" i="112"/>
  <c r="W201" i="112"/>
  <c r="W203" i="112"/>
  <c r="W185" i="112"/>
  <c r="W123" i="112"/>
  <c r="W125" i="112"/>
  <c r="W127" i="112"/>
  <c r="W129" i="112"/>
  <c r="W131" i="112"/>
  <c r="W133" i="112"/>
  <c r="W135" i="112"/>
  <c r="W137" i="112"/>
  <c r="W139" i="112"/>
  <c r="W141" i="112"/>
  <c r="V146" i="112"/>
  <c r="O10" i="112" s="1"/>
  <c r="R10" i="112" s="1"/>
  <c r="W124" i="112"/>
  <c r="W126" i="112"/>
  <c r="W128" i="112"/>
  <c r="W130" i="112"/>
  <c r="W132" i="112"/>
  <c r="W134" i="112"/>
  <c r="W136" i="112"/>
  <c r="W138" i="112"/>
  <c r="W140" i="112"/>
  <c r="W142" i="112"/>
  <c r="W115" i="112"/>
  <c r="P8" i="112" s="1"/>
  <c r="W34" i="112"/>
  <c r="V14" i="112"/>
  <c r="W26" i="112"/>
  <c r="W42" i="112"/>
  <c r="W11" i="112"/>
  <c r="V12" i="112"/>
  <c r="W12" i="112"/>
  <c r="V31" i="112"/>
  <c r="W31" i="112"/>
  <c r="V33" i="112"/>
  <c r="W33" i="112"/>
  <c r="W177" i="112"/>
  <c r="P12" i="112" s="1"/>
  <c r="W37" i="112"/>
  <c r="V37" i="112"/>
  <c r="W29" i="112"/>
  <c r="V29" i="112"/>
  <c r="V8" i="112"/>
  <c r="W8" i="112"/>
  <c r="V17" i="112"/>
  <c r="W17" i="112"/>
  <c r="V35" i="112"/>
  <c r="W35" i="112"/>
  <c r="W13" i="112"/>
  <c r="V13" i="112"/>
  <c r="W21" i="112"/>
  <c r="V21" i="112"/>
  <c r="W23" i="112"/>
  <c r="V23" i="112"/>
  <c r="V39" i="112"/>
  <c r="W39" i="112"/>
  <c r="V9" i="112"/>
  <c r="W9" i="112"/>
  <c r="V16" i="112"/>
  <c r="W16" i="112"/>
  <c r="V20" i="112"/>
  <c r="W20" i="112"/>
  <c r="W25" i="112"/>
  <c r="V25" i="112"/>
  <c r="V27" i="112"/>
  <c r="W27" i="112"/>
  <c r="V41" i="112"/>
  <c r="W41" i="112"/>
  <c r="V43" i="112"/>
  <c r="W43" i="112"/>
  <c r="J52" i="112"/>
  <c r="W84" i="112"/>
  <c r="P6" i="112" s="1"/>
  <c r="W7" i="112"/>
  <c r="V10" i="112"/>
  <c r="V18" i="112"/>
  <c r="W24" i="112"/>
  <c r="W28" i="112"/>
  <c r="W32" i="112"/>
  <c r="W40" i="112"/>
  <c r="W6" i="112"/>
  <c r="V15" i="112"/>
  <c r="N18" i="112"/>
  <c r="V36" i="112"/>
  <c r="V60" i="112"/>
  <c r="V61" i="112"/>
  <c r="V62" i="112"/>
  <c r="V63" i="112"/>
  <c r="V64" i="112"/>
  <c r="V65" i="112"/>
  <c r="V66" i="112"/>
  <c r="V67" i="112"/>
  <c r="V68" i="112"/>
  <c r="V69" i="112"/>
  <c r="V70" i="112"/>
  <c r="V71" i="112"/>
  <c r="V72" i="112"/>
  <c r="V73" i="112"/>
  <c r="V74" i="112"/>
  <c r="V75" i="112"/>
  <c r="V76" i="112"/>
  <c r="V77" i="112"/>
  <c r="V78" i="112"/>
  <c r="V79" i="112"/>
  <c r="V80" i="112"/>
  <c r="J84" i="112"/>
  <c r="V92" i="112"/>
  <c r="V93" i="112"/>
  <c r="V94" i="112"/>
  <c r="V95" i="112"/>
  <c r="V96" i="112"/>
  <c r="V97" i="112"/>
  <c r="V98" i="112"/>
  <c r="V99" i="112"/>
  <c r="V100" i="112"/>
  <c r="V101" i="112"/>
  <c r="V102" i="112"/>
  <c r="V103" i="112"/>
  <c r="V104" i="112"/>
  <c r="V105" i="112"/>
  <c r="V106" i="112"/>
  <c r="V107" i="112"/>
  <c r="V108" i="112"/>
  <c r="V109" i="112"/>
  <c r="V110" i="112"/>
  <c r="V111" i="112"/>
  <c r="V112" i="112"/>
  <c r="V113" i="112"/>
  <c r="V114" i="112"/>
  <c r="J146" i="112"/>
  <c r="V154" i="112"/>
  <c r="V155" i="112"/>
  <c r="V156" i="112"/>
  <c r="V157" i="112"/>
  <c r="V158" i="112"/>
  <c r="V159" i="112"/>
  <c r="V160" i="112"/>
  <c r="V161" i="112"/>
  <c r="V162" i="112"/>
  <c r="V163" i="112"/>
  <c r="V164" i="112"/>
  <c r="V165" i="112"/>
  <c r="V166" i="112"/>
  <c r="V167" i="112"/>
  <c r="V168" i="112"/>
  <c r="V169" i="112"/>
  <c r="V170" i="112"/>
  <c r="V171" i="112"/>
  <c r="V172" i="112"/>
  <c r="V173" i="112"/>
  <c r="V174" i="112"/>
  <c r="V175" i="112"/>
  <c r="V176" i="112"/>
  <c r="V216" i="112"/>
  <c r="V217" i="112"/>
  <c r="V218" i="112"/>
  <c r="V219" i="112"/>
  <c r="V220" i="112"/>
  <c r="V221" i="112"/>
  <c r="V222" i="112"/>
  <c r="V223" i="112"/>
  <c r="V224" i="112"/>
  <c r="V225" i="112"/>
  <c r="V226" i="112"/>
  <c r="V227" i="112"/>
  <c r="V228" i="112"/>
  <c r="V229" i="112"/>
  <c r="V230" i="112"/>
  <c r="V231" i="112"/>
  <c r="V232" i="112"/>
  <c r="V233" i="112"/>
  <c r="V234" i="112"/>
  <c r="V235" i="112"/>
  <c r="V236" i="112"/>
  <c r="V237" i="112"/>
  <c r="V238" i="112"/>
  <c r="V239" i="112"/>
  <c r="J115" i="112"/>
  <c r="J177" i="112"/>
  <c r="J240" i="112"/>
  <c r="I33" i="111"/>
  <c r="J33" i="111" s="1"/>
  <c r="W33" i="111" s="1"/>
  <c r="I32" i="111"/>
  <c r="J32" i="111" s="1"/>
  <c r="W32" i="111" s="1"/>
  <c r="I31" i="111"/>
  <c r="J31" i="111" s="1"/>
  <c r="I30" i="111"/>
  <c r="J30" i="111" s="1"/>
  <c r="I29" i="111"/>
  <c r="J29" i="111" s="1"/>
  <c r="W29" i="111" s="1"/>
  <c r="I28" i="111"/>
  <c r="J28" i="111" s="1"/>
  <c r="I27" i="111"/>
  <c r="J27" i="111" s="1"/>
  <c r="I26" i="111"/>
  <c r="J26" i="111" s="1"/>
  <c r="I25" i="111"/>
  <c r="J25" i="111" s="1"/>
  <c r="W25" i="111" s="1"/>
  <c r="I24" i="111"/>
  <c r="J24" i="111" s="1"/>
  <c r="I23" i="111"/>
  <c r="J23" i="111" s="1"/>
  <c r="I22" i="111"/>
  <c r="J22" i="111" s="1"/>
  <c r="I21" i="111"/>
  <c r="J21" i="111" s="1"/>
  <c r="W21" i="111" s="1"/>
  <c r="I20" i="111"/>
  <c r="J20" i="111" s="1"/>
  <c r="I19" i="111"/>
  <c r="J19" i="111" s="1"/>
  <c r="I18" i="111"/>
  <c r="J18" i="111" s="1"/>
  <c r="W18" i="111" s="1"/>
  <c r="I17" i="111"/>
  <c r="J17" i="111" s="1"/>
  <c r="I16" i="111"/>
  <c r="J16" i="111" s="1"/>
  <c r="V16" i="111" s="1"/>
  <c r="I15" i="111"/>
  <c r="J15" i="111" s="1"/>
  <c r="I14" i="111"/>
  <c r="J14" i="111" s="1"/>
  <c r="V14" i="111" s="1"/>
  <c r="I13" i="111"/>
  <c r="J13" i="111" s="1"/>
  <c r="I12" i="111"/>
  <c r="J12" i="111" s="1"/>
  <c r="I11" i="111"/>
  <c r="J11" i="111" s="1"/>
  <c r="V11" i="111" s="1"/>
  <c r="I10" i="111"/>
  <c r="J10" i="111" s="1"/>
  <c r="W10" i="111" s="1"/>
  <c r="I9" i="111"/>
  <c r="J9" i="111" s="1"/>
  <c r="I8" i="111"/>
  <c r="J8" i="111" s="1"/>
  <c r="V8" i="111" s="1"/>
  <c r="I7" i="111"/>
  <c r="J7" i="111" s="1"/>
  <c r="I6" i="111"/>
  <c r="J44" i="111"/>
  <c r="W44" i="111" s="1"/>
  <c r="J45" i="111"/>
  <c r="W45" i="111" s="1"/>
  <c r="J46" i="111"/>
  <c r="W46" i="111" s="1"/>
  <c r="J47" i="111"/>
  <c r="J48" i="111"/>
  <c r="W48" i="111" s="1"/>
  <c r="J49" i="111"/>
  <c r="W49" i="111" s="1"/>
  <c r="J50" i="111"/>
  <c r="V50" i="111" s="1"/>
  <c r="J239" i="111"/>
  <c r="W239" i="111" s="1"/>
  <c r="J238" i="111"/>
  <c r="W238" i="111" s="1"/>
  <c r="J237" i="111"/>
  <c r="W237" i="111" s="1"/>
  <c r="J236" i="111"/>
  <c r="W236" i="111" s="1"/>
  <c r="J235" i="111"/>
  <c r="W235" i="111" s="1"/>
  <c r="J234" i="111"/>
  <c r="W234" i="111" s="1"/>
  <c r="J233" i="111"/>
  <c r="W233" i="111" s="1"/>
  <c r="V232" i="111"/>
  <c r="J232" i="111"/>
  <c r="W232" i="111" s="1"/>
  <c r="J231" i="111"/>
  <c r="W231" i="111" s="1"/>
  <c r="J230" i="111"/>
  <c r="W230" i="111" s="1"/>
  <c r="J229" i="111"/>
  <c r="W229" i="111" s="1"/>
  <c r="J228" i="111"/>
  <c r="W228" i="111" s="1"/>
  <c r="J227" i="111"/>
  <c r="W227" i="111" s="1"/>
  <c r="J226" i="111"/>
  <c r="W226" i="111" s="1"/>
  <c r="J225" i="111"/>
  <c r="W225" i="111" s="1"/>
  <c r="J224" i="111"/>
  <c r="W224" i="111" s="1"/>
  <c r="J223" i="111"/>
  <c r="W223" i="111" s="1"/>
  <c r="J222" i="111"/>
  <c r="W222" i="111" s="1"/>
  <c r="J221" i="111"/>
  <c r="W221" i="111" s="1"/>
  <c r="J220" i="111"/>
  <c r="W220" i="111" s="1"/>
  <c r="J219" i="111"/>
  <c r="W219" i="111" s="1"/>
  <c r="J218" i="111"/>
  <c r="W218" i="111" s="1"/>
  <c r="J217" i="111"/>
  <c r="W217" i="111" s="1"/>
  <c r="B217" i="111"/>
  <c r="B218" i="111" s="1"/>
  <c r="B219" i="111" s="1"/>
  <c r="B220" i="111" s="1"/>
  <c r="B221" i="111" s="1"/>
  <c r="B222" i="111" s="1"/>
  <c r="B223" i="111" s="1"/>
  <c r="B224" i="111" s="1"/>
  <c r="B225" i="111" s="1"/>
  <c r="B226" i="111" s="1"/>
  <c r="B227" i="111" s="1"/>
  <c r="B228" i="111" s="1"/>
  <c r="B229" i="111" s="1"/>
  <c r="B230" i="111" s="1"/>
  <c r="B231" i="111" s="1"/>
  <c r="B232" i="111" s="1"/>
  <c r="B233" i="111" s="1"/>
  <c r="B234" i="111" s="1"/>
  <c r="B235" i="111" s="1"/>
  <c r="B236" i="111" s="1"/>
  <c r="B237" i="111" s="1"/>
  <c r="B238" i="111" s="1"/>
  <c r="B239" i="111" s="1"/>
  <c r="J216" i="111"/>
  <c r="W216" i="111" s="1"/>
  <c r="J207" i="111"/>
  <c r="W207" i="111" s="1"/>
  <c r="J206" i="111"/>
  <c r="W206" i="111" s="1"/>
  <c r="W205" i="111"/>
  <c r="J205" i="111"/>
  <c r="V205" i="111" s="1"/>
  <c r="J204" i="111"/>
  <c r="V204" i="111" s="1"/>
  <c r="W203" i="111"/>
  <c r="J203" i="111"/>
  <c r="V203" i="111" s="1"/>
  <c r="J202" i="111"/>
  <c r="V202" i="111" s="1"/>
  <c r="J201" i="111"/>
  <c r="W201" i="111" s="1"/>
  <c r="J200" i="111"/>
  <c r="V200" i="111" s="1"/>
  <c r="J199" i="111"/>
  <c r="V199" i="111" s="1"/>
  <c r="J198" i="111"/>
  <c r="W198" i="111" s="1"/>
  <c r="J197" i="111"/>
  <c r="W197" i="111" s="1"/>
  <c r="J196" i="111"/>
  <c r="V196" i="111" s="1"/>
  <c r="J195" i="111"/>
  <c r="V195" i="111" s="1"/>
  <c r="J194" i="111"/>
  <c r="W194" i="111" s="1"/>
  <c r="J193" i="111"/>
  <c r="W193" i="111" s="1"/>
  <c r="J192" i="111"/>
  <c r="V192" i="111" s="1"/>
  <c r="J191" i="111"/>
  <c r="V191" i="111" s="1"/>
  <c r="J190" i="111"/>
  <c r="V190" i="111" s="1"/>
  <c r="J189" i="111"/>
  <c r="W189" i="111" s="1"/>
  <c r="J188" i="111"/>
  <c r="V188" i="111" s="1"/>
  <c r="J187" i="111"/>
  <c r="V187" i="111" s="1"/>
  <c r="W186" i="111"/>
  <c r="V186" i="111"/>
  <c r="J186" i="111"/>
  <c r="B186" i="111"/>
  <c r="B187" i="111" s="1"/>
  <c r="B188" i="111" s="1"/>
  <c r="B189" i="111" s="1"/>
  <c r="B190" i="111" s="1"/>
  <c r="B191" i="111" s="1"/>
  <c r="B192" i="111" s="1"/>
  <c r="B193" i="111" s="1"/>
  <c r="B194" i="111" s="1"/>
  <c r="B195" i="111" s="1"/>
  <c r="B196" i="111" s="1"/>
  <c r="B197" i="111" s="1"/>
  <c r="B198" i="111" s="1"/>
  <c r="B199" i="111" s="1"/>
  <c r="B200" i="111" s="1"/>
  <c r="B201" i="111" s="1"/>
  <c r="B202" i="111" s="1"/>
  <c r="B203" i="111" s="1"/>
  <c r="B204" i="111" s="1"/>
  <c r="B205" i="111" s="1"/>
  <c r="B206" i="111" s="1"/>
  <c r="B207" i="111" s="1"/>
  <c r="W185" i="111"/>
  <c r="V185" i="111"/>
  <c r="J185" i="111"/>
  <c r="J176" i="111"/>
  <c r="W176" i="111" s="1"/>
  <c r="J175" i="111"/>
  <c r="W175" i="111" s="1"/>
  <c r="J174" i="111"/>
  <c r="W174" i="111" s="1"/>
  <c r="J173" i="111"/>
  <c r="W173" i="111" s="1"/>
  <c r="J172" i="111"/>
  <c r="W172" i="111" s="1"/>
  <c r="J171" i="111"/>
  <c r="W171" i="111" s="1"/>
  <c r="J170" i="111"/>
  <c r="W170" i="111" s="1"/>
  <c r="J169" i="111"/>
  <c r="W169" i="111" s="1"/>
  <c r="J168" i="111"/>
  <c r="W168" i="111" s="1"/>
  <c r="J167" i="111"/>
  <c r="W167" i="111" s="1"/>
  <c r="J166" i="111"/>
  <c r="W166" i="111" s="1"/>
  <c r="J165" i="111"/>
  <c r="W165" i="111" s="1"/>
  <c r="J164" i="111"/>
  <c r="W164" i="111" s="1"/>
  <c r="J163" i="111"/>
  <c r="W163" i="111" s="1"/>
  <c r="J162" i="111"/>
  <c r="W162" i="111" s="1"/>
  <c r="V161" i="111"/>
  <c r="J161" i="111"/>
  <c r="W161" i="111" s="1"/>
  <c r="J160" i="111"/>
  <c r="W160" i="111" s="1"/>
  <c r="J159" i="111"/>
  <c r="W159" i="111" s="1"/>
  <c r="V158" i="111"/>
  <c r="J158" i="111"/>
  <c r="W158" i="111" s="1"/>
  <c r="J157" i="111"/>
  <c r="W157" i="111" s="1"/>
  <c r="J156" i="111"/>
  <c r="W156" i="111" s="1"/>
  <c r="V155" i="111"/>
  <c r="J155" i="111"/>
  <c r="W155" i="111" s="1"/>
  <c r="B155" i="111"/>
  <c r="B156" i="111" s="1"/>
  <c r="B157" i="111" s="1"/>
  <c r="B158" i="111" s="1"/>
  <c r="B159" i="111" s="1"/>
  <c r="B160" i="111" s="1"/>
  <c r="B161" i="111" s="1"/>
  <c r="B162" i="111" s="1"/>
  <c r="B163" i="111" s="1"/>
  <c r="B164" i="111" s="1"/>
  <c r="B165" i="111" s="1"/>
  <c r="B166" i="111" s="1"/>
  <c r="B167" i="111" s="1"/>
  <c r="B168" i="111" s="1"/>
  <c r="B169" i="111" s="1"/>
  <c r="B170" i="111" s="1"/>
  <c r="B171" i="111" s="1"/>
  <c r="B172" i="111" s="1"/>
  <c r="B173" i="111" s="1"/>
  <c r="B174" i="111" s="1"/>
  <c r="B175" i="111" s="1"/>
  <c r="B176" i="111" s="1"/>
  <c r="J154" i="111"/>
  <c r="W154" i="111" s="1"/>
  <c r="W145" i="111"/>
  <c r="J145" i="111"/>
  <c r="V145" i="111" s="1"/>
  <c r="J144" i="111"/>
  <c r="W144" i="111" s="1"/>
  <c r="J143" i="111"/>
  <c r="W143" i="111" s="1"/>
  <c r="J142" i="111"/>
  <c r="W142" i="111" s="1"/>
  <c r="J141" i="111"/>
  <c r="W141" i="111" s="1"/>
  <c r="J140" i="111"/>
  <c r="V140" i="111" s="1"/>
  <c r="J139" i="111"/>
  <c r="W139" i="111" s="1"/>
  <c r="J138" i="111"/>
  <c r="V138" i="111" s="1"/>
  <c r="J137" i="111"/>
  <c r="W137" i="111" s="1"/>
  <c r="J136" i="111"/>
  <c r="V136" i="111" s="1"/>
  <c r="J135" i="111"/>
  <c r="W135" i="111" s="1"/>
  <c r="J134" i="111"/>
  <c r="V134" i="111" s="1"/>
  <c r="J133" i="111"/>
  <c r="V133" i="111" s="1"/>
  <c r="J132" i="111"/>
  <c r="V132" i="111" s="1"/>
  <c r="J131" i="111"/>
  <c r="W131" i="111" s="1"/>
  <c r="J130" i="111"/>
  <c r="V130" i="111" s="1"/>
  <c r="J129" i="111"/>
  <c r="V129" i="111" s="1"/>
  <c r="J128" i="111"/>
  <c r="V128" i="111" s="1"/>
  <c r="J127" i="111"/>
  <c r="V127" i="111" s="1"/>
  <c r="J126" i="111"/>
  <c r="V126" i="111" s="1"/>
  <c r="J125" i="111"/>
  <c r="V125" i="111" s="1"/>
  <c r="J124" i="111"/>
  <c r="V124" i="111" s="1"/>
  <c r="B124" i="111"/>
  <c r="B125" i="111" s="1"/>
  <c r="B126" i="111" s="1"/>
  <c r="B127" i="111" s="1"/>
  <c r="B128" i="111" s="1"/>
  <c r="B129" i="111" s="1"/>
  <c r="B130" i="111" s="1"/>
  <c r="B131" i="111" s="1"/>
  <c r="B132" i="111" s="1"/>
  <c r="B133" i="111" s="1"/>
  <c r="B134" i="111" s="1"/>
  <c r="B135" i="111" s="1"/>
  <c r="B136" i="111" s="1"/>
  <c r="B137" i="111" s="1"/>
  <c r="B138" i="111" s="1"/>
  <c r="B139" i="111" s="1"/>
  <c r="B140" i="111" s="1"/>
  <c r="B141" i="111" s="1"/>
  <c r="B142" i="111" s="1"/>
  <c r="B143" i="111" s="1"/>
  <c r="B144" i="111" s="1"/>
  <c r="B145" i="111" s="1"/>
  <c r="J123" i="111"/>
  <c r="V123" i="111" s="1"/>
  <c r="J114" i="111"/>
  <c r="W114" i="111" s="1"/>
  <c r="J113" i="111"/>
  <c r="W113" i="111" s="1"/>
  <c r="J112" i="111"/>
  <c r="W112" i="111" s="1"/>
  <c r="J111" i="111"/>
  <c r="W111" i="111" s="1"/>
  <c r="J110" i="111"/>
  <c r="W110" i="111" s="1"/>
  <c r="J109" i="111"/>
  <c r="W109" i="111" s="1"/>
  <c r="J108" i="111"/>
  <c r="W108" i="111" s="1"/>
  <c r="J107" i="111"/>
  <c r="W107" i="111" s="1"/>
  <c r="J106" i="111"/>
  <c r="W106" i="111" s="1"/>
  <c r="J105" i="111"/>
  <c r="W105" i="111" s="1"/>
  <c r="J104" i="111"/>
  <c r="W104" i="111" s="1"/>
  <c r="J103" i="111"/>
  <c r="W103" i="111" s="1"/>
  <c r="J102" i="111"/>
  <c r="W102" i="111" s="1"/>
  <c r="J101" i="111"/>
  <c r="W101" i="111" s="1"/>
  <c r="J100" i="111"/>
  <c r="W100" i="111" s="1"/>
  <c r="J99" i="111"/>
  <c r="W99" i="111" s="1"/>
  <c r="J98" i="111"/>
  <c r="W98" i="111" s="1"/>
  <c r="J97" i="111"/>
  <c r="W97" i="111" s="1"/>
  <c r="J96" i="111"/>
  <c r="W96" i="111" s="1"/>
  <c r="J95" i="111"/>
  <c r="W95" i="111" s="1"/>
  <c r="J94" i="111"/>
  <c r="W94" i="111" s="1"/>
  <c r="J93" i="111"/>
  <c r="W93" i="111" s="1"/>
  <c r="B93" i="111"/>
  <c r="B94" i="111" s="1"/>
  <c r="B95" i="111" s="1"/>
  <c r="B96" i="111" s="1"/>
  <c r="B97" i="111" s="1"/>
  <c r="B98" i="111" s="1"/>
  <c r="B99" i="111" s="1"/>
  <c r="B100" i="111" s="1"/>
  <c r="B101" i="111" s="1"/>
  <c r="B102" i="111" s="1"/>
  <c r="B103" i="111" s="1"/>
  <c r="B104" i="111" s="1"/>
  <c r="B105" i="111" s="1"/>
  <c r="B106" i="111" s="1"/>
  <c r="B107" i="111" s="1"/>
  <c r="B108" i="111" s="1"/>
  <c r="B109" i="111" s="1"/>
  <c r="B110" i="111" s="1"/>
  <c r="B111" i="111" s="1"/>
  <c r="B112" i="111" s="1"/>
  <c r="B113" i="111" s="1"/>
  <c r="B114" i="111" s="1"/>
  <c r="J92" i="111"/>
  <c r="W92" i="111" s="1"/>
  <c r="J83" i="111"/>
  <c r="V83" i="111" s="1"/>
  <c r="W82" i="111"/>
  <c r="J82" i="111"/>
  <c r="V82" i="111" s="1"/>
  <c r="J81" i="111"/>
  <c r="J80" i="111"/>
  <c r="W80" i="111" s="1"/>
  <c r="J79" i="111"/>
  <c r="W79" i="111" s="1"/>
  <c r="J78" i="111"/>
  <c r="W78" i="111" s="1"/>
  <c r="J77" i="111"/>
  <c r="W77" i="111" s="1"/>
  <c r="J76" i="111"/>
  <c r="W76" i="111" s="1"/>
  <c r="J75" i="111"/>
  <c r="W75" i="111" s="1"/>
  <c r="J74" i="111"/>
  <c r="W74" i="111" s="1"/>
  <c r="J73" i="111"/>
  <c r="W73" i="111" s="1"/>
  <c r="J72" i="111"/>
  <c r="W72" i="111" s="1"/>
  <c r="J71" i="111"/>
  <c r="W71" i="111" s="1"/>
  <c r="J70" i="111"/>
  <c r="W70" i="111" s="1"/>
  <c r="J69" i="111"/>
  <c r="W69" i="111" s="1"/>
  <c r="J68" i="111"/>
  <c r="W68" i="111" s="1"/>
  <c r="J67" i="111"/>
  <c r="W67" i="111" s="1"/>
  <c r="J66" i="111"/>
  <c r="W66" i="111" s="1"/>
  <c r="J65" i="111"/>
  <c r="W65" i="111" s="1"/>
  <c r="J64" i="111"/>
  <c r="W64" i="111" s="1"/>
  <c r="J63" i="111"/>
  <c r="W63" i="111" s="1"/>
  <c r="J62" i="111"/>
  <c r="W62" i="111" s="1"/>
  <c r="J61" i="111"/>
  <c r="W61" i="111" s="1"/>
  <c r="B61" i="111"/>
  <c r="B62" i="111" s="1"/>
  <c r="B63" i="111" s="1"/>
  <c r="B64" i="111" s="1"/>
  <c r="B65" i="111" s="1"/>
  <c r="B66" i="111" s="1"/>
  <c r="B67" i="111" s="1"/>
  <c r="B68" i="111" s="1"/>
  <c r="B69" i="111" s="1"/>
  <c r="B70" i="111" s="1"/>
  <c r="B71" i="111" s="1"/>
  <c r="B72" i="111" s="1"/>
  <c r="B73" i="111" s="1"/>
  <c r="B74" i="111" s="1"/>
  <c r="B75" i="111" s="1"/>
  <c r="B76" i="111" s="1"/>
  <c r="B77" i="111" s="1"/>
  <c r="B78" i="111" s="1"/>
  <c r="B79" i="111" s="1"/>
  <c r="B80" i="111" s="1"/>
  <c r="B81" i="111" s="1"/>
  <c r="B82" i="111" s="1"/>
  <c r="B83" i="111" s="1"/>
  <c r="J60" i="111"/>
  <c r="W60" i="111" s="1"/>
  <c r="W51" i="111"/>
  <c r="V51" i="111"/>
  <c r="W50" i="111"/>
  <c r="V48" i="111"/>
  <c r="W47" i="111"/>
  <c r="V47" i="111"/>
  <c r="V46" i="111"/>
  <c r="V45" i="111"/>
  <c r="J43" i="111"/>
  <c r="J42" i="111"/>
  <c r="J41" i="111"/>
  <c r="W41" i="111" s="1"/>
  <c r="J40" i="111"/>
  <c r="W40" i="111" s="1"/>
  <c r="J39" i="111"/>
  <c r="J38" i="111"/>
  <c r="J37" i="111"/>
  <c r="W37" i="111" s="1"/>
  <c r="J36" i="111"/>
  <c r="W36" i="111" s="1"/>
  <c r="J35" i="111"/>
  <c r="J34" i="111"/>
  <c r="N16" i="111"/>
  <c r="N14" i="111"/>
  <c r="N12" i="111"/>
  <c r="N10" i="111"/>
  <c r="N8" i="111"/>
  <c r="B7" i="111"/>
  <c r="B8" i="111" s="1"/>
  <c r="B9" i="111" s="1"/>
  <c r="B10" i="111" s="1"/>
  <c r="B11" i="111" s="1"/>
  <c r="B12" i="111" s="1"/>
  <c r="B13" i="111" s="1"/>
  <c r="B14" i="111" s="1"/>
  <c r="B15" i="111" s="1"/>
  <c r="B16" i="111" s="1"/>
  <c r="B17" i="111" s="1"/>
  <c r="B18" i="111" s="1"/>
  <c r="B19" i="111" s="1"/>
  <c r="B20" i="111" s="1"/>
  <c r="B21" i="111" s="1"/>
  <c r="B22" i="111" s="1"/>
  <c r="B23" i="111" s="1"/>
  <c r="B24" i="111" s="1"/>
  <c r="B25" i="111" s="1"/>
  <c r="B26" i="111" s="1"/>
  <c r="B27" i="111" s="1"/>
  <c r="B28" i="111" s="1"/>
  <c r="B29" i="111" s="1"/>
  <c r="B30" i="111" s="1"/>
  <c r="B31" i="111" s="1"/>
  <c r="B32" i="111" s="1"/>
  <c r="B33" i="111" s="1"/>
  <c r="B34" i="111" s="1"/>
  <c r="B35" i="111" s="1"/>
  <c r="B36" i="111" s="1"/>
  <c r="B37" i="111" s="1"/>
  <c r="B38" i="111" s="1"/>
  <c r="B39" i="111" s="1"/>
  <c r="B40" i="111" s="1"/>
  <c r="B41" i="111" s="1"/>
  <c r="B42" i="111" s="1"/>
  <c r="B43" i="111" s="1"/>
  <c r="B44" i="111" s="1"/>
  <c r="B45" i="111" s="1"/>
  <c r="B46" i="111" s="1"/>
  <c r="B47" i="111" s="1"/>
  <c r="B48" i="111" s="1"/>
  <c r="B49" i="111" s="1"/>
  <c r="B50" i="111" s="1"/>
  <c r="B51" i="111" s="1"/>
  <c r="N6" i="111"/>
  <c r="J6" i="111"/>
  <c r="V6" i="111" s="1"/>
  <c r="N4" i="111"/>
  <c r="I43" i="110"/>
  <c r="J43" i="110" s="1"/>
  <c r="I42" i="110"/>
  <c r="J42" i="110" s="1"/>
  <c r="V144" i="111" l="1"/>
  <c r="V44" i="111"/>
  <c r="V49" i="111"/>
  <c r="W83" i="111"/>
  <c r="V165" i="111"/>
  <c r="V194" i="111"/>
  <c r="V223" i="111"/>
  <c r="V239" i="111"/>
  <c r="V135" i="111"/>
  <c r="W138" i="111"/>
  <c r="V175" i="111"/>
  <c r="W199" i="111"/>
  <c r="W202" i="111"/>
  <c r="V219" i="111"/>
  <c r="V143" i="111"/>
  <c r="V163" i="111"/>
  <c r="V207" i="111"/>
  <c r="V234" i="111"/>
  <c r="V237" i="111"/>
  <c r="W126" i="111"/>
  <c r="V142" i="111"/>
  <c r="V168" i="111"/>
  <c r="V174" i="111"/>
  <c r="V176" i="111"/>
  <c r="W190" i="111"/>
  <c r="V193" i="111"/>
  <c r="V198" i="111"/>
  <c r="V206" i="111"/>
  <c r="V227" i="111"/>
  <c r="V236" i="111"/>
  <c r="V238" i="111"/>
  <c r="W130" i="111"/>
  <c r="V160" i="111"/>
  <c r="V162" i="111"/>
  <c r="V164" i="111"/>
  <c r="V166" i="111"/>
  <c r="V172" i="111"/>
  <c r="V52" i="112"/>
  <c r="O4" i="112" s="1"/>
  <c r="R4" i="112" s="1"/>
  <c r="W208" i="112"/>
  <c r="P14" i="112" s="1"/>
  <c r="Q14" i="112" s="1"/>
  <c r="W146" i="112"/>
  <c r="P10" i="112" s="1"/>
  <c r="Q10" i="112" s="1"/>
  <c r="V84" i="112"/>
  <c r="O6" i="112" s="1"/>
  <c r="W52" i="112"/>
  <c r="P4" i="112" s="1"/>
  <c r="V240" i="112"/>
  <c r="O16" i="112" s="1"/>
  <c r="V177" i="112"/>
  <c r="O12" i="112" s="1"/>
  <c r="V115" i="112"/>
  <c r="O8" i="112" s="1"/>
  <c r="V141" i="111"/>
  <c r="V173" i="111"/>
  <c r="V235" i="111"/>
  <c r="V233" i="111"/>
  <c r="V231" i="111"/>
  <c r="V201" i="111"/>
  <c r="V171" i="111"/>
  <c r="V170" i="111"/>
  <c r="V169" i="111"/>
  <c r="V139" i="111"/>
  <c r="V36" i="111"/>
  <c r="V230" i="111"/>
  <c r="V137" i="111"/>
  <c r="V229" i="111"/>
  <c r="V167" i="111"/>
  <c r="V228" i="111"/>
  <c r="V226" i="111"/>
  <c r="V197" i="111"/>
  <c r="W195" i="111"/>
  <c r="W134" i="111"/>
  <c r="W133" i="111"/>
  <c r="W28" i="111"/>
  <c r="V28" i="111"/>
  <c r="V225" i="111"/>
  <c r="W24" i="111"/>
  <c r="V24" i="111"/>
  <c r="V224" i="111"/>
  <c r="V131" i="111"/>
  <c r="V222" i="111"/>
  <c r="W191" i="111"/>
  <c r="W129" i="111"/>
  <c r="V221" i="111"/>
  <c r="V159" i="111"/>
  <c r="V220" i="111"/>
  <c r="V189" i="111"/>
  <c r="V15" i="111"/>
  <c r="W15" i="111"/>
  <c r="W13" i="111"/>
  <c r="V13" i="111"/>
  <c r="V218" i="111"/>
  <c r="W187" i="111"/>
  <c r="V156" i="111"/>
  <c r="W125" i="111"/>
  <c r="V217" i="111"/>
  <c r="V154" i="111"/>
  <c r="W7" i="111"/>
  <c r="V7" i="111"/>
  <c r="V40" i="111"/>
  <c r="V10" i="111"/>
  <c r="V32" i="111"/>
  <c r="W127" i="111"/>
  <c r="W123" i="111"/>
  <c r="W124" i="111"/>
  <c r="W128" i="111"/>
  <c r="W132" i="111"/>
  <c r="W136" i="111"/>
  <c r="W140" i="111"/>
  <c r="J146" i="111"/>
  <c r="V157" i="111"/>
  <c r="J208" i="111"/>
  <c r="W188" i="111"/>
  <c r="W192" i="111"/>
  <c r="W196" i="111"/>
  <c r="W200" i="111"/>
  <c r="W204" i="111"/>
  <c r="V216" i="111"/>
  <c r="V22" i="111"/>
  <c r="W22" i="111"/>
  <c r="V38" i="111"/>
  <c r="W38" i="111"/>
  <c r="W240" i="111"/>
  <c r="P16" i="111" s="1"/>
  <c r="V19" i="111"/>
  <c r="W19" i="111"/>
  <c r="V27" i="111"/>
  <c r="W27" i="111"/>
  <c r="V9" i="111"/>
  <c r="W9" i="111"/>
  <c r="V26" i="111"/>
  <c r="W26" i="111"/>
  <c r="V31" i="111"/>
  <c r="W31" i="111"/>
  <c r="V42" i="111"/>
  <c r="W42" i="111"/>
  <c r="W12" i="111"/>
  <c r="V12" i="111"/>
  <c r="V30" i="111"/>
  <c r="W30" i="111"/>
  <c r="V35" i="111"/>
  <c r="W35" i="111"/>
  <c r="W115" i="111"/>
  <c r="P8" i="111" s="1"/>
  <c r="V43" i="111"/>
  <c r="W43" i="111"/>
  <c r="V17" i="111"/>
  <c r="W17" i="111"/>
  <c r="V20" i="111"/>
  <c r="W20" i="111"/>
  <c r="V23" i="111"/>
  <c r="W23" i="111"/>
  <c r="V34" i="111"/>
  <c r="W34" i="111"/>
  <c r="V39" i="111"/>
  <c r="W39" i="111"/>
  <c r="W84" i="111"/>
  <c r="P6" i="111" s="1"/>
  <c r="W177" i="111"/>
  <c r="P12" i="111" s="1"/>
  <c r="V18" i="111"/>
  <c r="V21" i="111"/>
  <c r="V25" i="111"/>
  <c r="V29" i="111"/>
  <c r="V33" i="111"/>
  <c r="V37" i="111"/>
  <c r="V41" i="111"/>
  <c r="J52" i="111"/>
  <c r="V60" i="111"/>
  <c r="V61" i="111"/>
  <c r="V62" i="111"/>
  <c r="V63" i="111"/>
  <c r="V64" i="111"/>
  <c r="V65" i="111"/>
  <c r="V66" i="111"/>
  <c r="V67" i="111"/>
  <c r="V68" i="111"/>
  <c r="V69" i="111"/>
  <c r="V70" i="111"/>
  <c r="V71" i="111"/>
  <c r="V72" i="111"/>
  <c r="V73" i="111"/>
  <c r="V74" i="111"/>
  <c r="V75" i="111"/>
  <c r="V76" i="111"/>
  <c r="V77" i="111"/>
  <c r="V78" i="111"/>
  <c r="V79" i="111"/>
  <c r="V80" i="111"/>
  <c r="J84" i="111"/>
  <c r="V92" i="111"/>
  <c r="V93" i="111"/>
  <c r="V94" i="111"/>
  <c r="V95" i="111"/>
  <c r="V96" i="111"/>
  <c r="V97" i="111"/>
  <c r="V98" i="111"/>
  <c r="V99" i="111"/>
  <c r="V100" i="111"/>
  <c r="V101" i="111"/>
  <c r="V102" i="111"/>
  <c r="V103" i="111"/>
  <c r="V104" i="111"/>
  <c r="V105" i="111"/>
  <c r="V106" i="111"/>
  <c r="V107" i="111"/>
  <c r="V108" i="111"/>
  <c r="V109" i="111"/>
  <c r="V110" i="111"/>
  <c r="V111" i="111"/>
  <c r="V112" i="111"/>
  <c r="V113" i="111"/>
  <c r="V114" i="111"/>
  <c r="W14" i="111"/>
  <c r="N18" i="111"/>
  <c r="W8" i="111"/>
  <c r="W11" i="111"/>
  <c r="J115" i="111"/>
  <c r="J177" i="111"/>
  <c r="J240" i="111"/>
  <c r="W6" i="111"/>
  <c r="W16" i="111"/>
  <c r="J200" i="110"/>
  <c r="V200" i="110" s="1"/>
  <c r="I41" i="110"/>
  <c r="J41" i="110" s="1"/>
  <c r="W41" i="110" s="1"/>
  <c r="I40" i="110"/>
  <c r="J40" i="110" s="1"/>
  <c r="V40" i="110" s="1"/>
  <c r="I39" i="110"/>
  <c r="J39" i="110" s="1"/>
  <c r="I38" i="110"/>
  <c r="J38" i="110" s="1"/>
  <c r="I37" i="110"/>
  <c r="J37" i="110" s="1"/>
  <c r="W37" i="110" s="1"/>
  <c r="J36" i="110"/>
  <c r="W36" i="110" s="1"/>
  <c r="I36" i="110"/>
  <c r="I35" i="110"/>
  <c r="J35" i="110" s="1"/>
  <c r="I34" i="110"/>
  <c r="J34" i="110" s="1"/>
  <c r="I33" i="110"/>
  <c r="J33" i="110" s="1"/>
  <c r="W33" i="110" s="1"/>
  <c r="I32" i="110"/>
  <c r="J32" i="110" s="1"/>
  <c r="I31" i="110"/>
  <c r="J31" i="110" s="1"/>
  <c r="I30" i="110"/>
  <c r="J30" i="110" s="1"/>
  <c r="I29" i="110"/>
  <c r="J29" i="110" s="1"/>
  <c r="W29" i="110" s="1"/>
  <c r="I28" i="110"/>
  <c r="J28" i="110" s="1"/>
  <c r="V28" i="110" s="1"/>
  <c r="I27" i="110"/>
  <c r="J27" i="110" s="1"/>
  <c r="I26" i="110"/>
  <c r="J26" i="110" s="1"/>
  <c r="J25" i="110"/>
  <c r="W25" i="110" s="1"/>
  <c r="I25" i="110"/>
  <c r="I24" i="110"/>
  <c r="J24" i="110" s="1"/>
  <c r="V24" i="110" s="1"/>
  <c r="I23" i="110"/>
  <c r="J23" i="110" s="1"/>
  <c r="I22" i="110"/>
  <c r="J22" i="110" s="1"/>
  <c r="I21" i="110"/>
  <c r="J21" i="110" s="1"/>
  <c r="W21" i="110" s="1"/>
  <c r="I20" i="110"/>
  <c r="J20" i="110" s="1"/>
  <c r="I19" i="110"/>
  <c r="J19" i="110" s="1"/>
  <c r="I18" i="110"/>
  <c r="J18" i="110" s="1"/>
  <c r="J17" i="110"/>
  <c r="I17" i="110"/>
  <c r="I16" i="110"/>
  <c r="J16" i="110" s="1"/>
  <c r="V16" i="110" s="1"/>
  <c r="I15" i="110"/>
  <c r="J15" i="110" s="1"/>
  <c r="I14" i="110"/>
  <c r="J14" i="110" s="1"/>
  <c r="V14" i="110" s="1"/>
  <c r="I13" i="110"/>
  <c r="J13" i="110" s="1"/>
  <c r="W13" i="110" s="1"/>
  <c r="I12" i="110"/>
  <c r="J12" i="110" s="1"/>
  <c r="I11" i="110"/>
  <c r="J11" i="110" s="1"/>
  <c r="I10" i="110"/>
  <c r="J10" i="110" s="1"/>
  <c r="W10" i="110" s="1"/>
  <c r="I8" i="110"/>
  <c r="J8" i="110" s="1"/>
  <c r="V8" i="110" s="1"/>
  <c r="I9" i="110"/>
  <c r="J9" i="110" s="1"/>
  <c r="J239" i="110"/>
  <c r="W239" i="110" s="1"/>
  <c r="J238" i="110"/>
  <c r="W238" i="110" s="1"/>
  <c r="J237" i="110"/>
  <c r="W237" i="110" s="1"/>
  <c r="J236" i="110"/>
  <c r="W236" i="110" s="1"/>
  <c r="J235" i="110"/>
  <c r="W235" i="110" s="1"/>
  <c r="J234" i="110"/>
  <c r="W234" i="110" s="1"/>
  <c r="J233" i="110"/>
  <c r="W233" i="110" s="1"/>
  <c r="J232" i="110"/>
  <c r="W232" i="110" s="1"/>
  <c r="J231" i="110"/>
  <c r="W231" i="110" s="1"/>
  <c r="J230" i="110"/>
  <c r="W230" i="110" s="1"/>
  <c r="J229" i="110"/>
  <c r="W229" i="110" s="1"/>
  <c r="J228" i="110"/>
  <c r="W228" i="110" s="1"/>
  <c r="J227" i="110"/>
  <c r="W227" i="110" s="1"/>
  <c r="J226" i="110"/>
  <c r="W226" i="110" s="1"/>
  <c r="J225" i="110"/>
  <c r="W225" i="110" s="1"/>
  <c r="J224" i="110"/>
  <c r="W224" i="110" s="1"/>
  <c r="J223" i="110"/>
  <c r="W223" i="110" s="1"/>
  <c r="J222" i="110"/>
  <c r="W222" i="110" s="1"/>
  <c r="J221" i="110"/>
  <c r="W221" i="110" s="1"/>
  <c r="J220" i="110"/>
  <c r="W220" i="110" s="1"/>
  <c r="J219" i="110"/>
  <c r="W219" i="110" s="1"/>
  <c r="J218" i="110"/>
  <c r="W218" i="110" s="1"/>
  <c r="J217" i="110"/>
  <c r="W217" i="110" s="1"/>
  <c r="B217" i="110"/>
  <c r="B218" i="110" s="1"/>
  <c r="B219" i="110" s="1"/>
  <c r="B220" i="110" s="1"/>
  <c r="B221" i="110" s="1"/>
  <c r="B222" i="110" s="1"/>
  <c r="B223" i="110" s="1"/>
  <c r="B224" i="110" s="1"/>
  <c r="B225" i="110" s="1"/>
  <c r="B226" i="110" s="1"/>
  <c r="B227" i="110" s="1"/>
  <c r="B228" i="110" s="1"/>
  <c r="B229" i="110" s="1"/>
  <c r="B230" i="110" s="1"/>
  <c r="B231" i="110" s="1"/>
  <c r="B232" i="110" s="1"/>
  <c r="B233" i="110" s="1"/>
  <c r="B234" i="110" s="1"/>
  <c r="B235" i="110" s="1"/>
  <c r="B236" i="110" s="1"/>
  <c r="B237" i="110" s="1"/>
  <c r="B238" i="110" s="1"/>
  <c r="B239" i="110" s="1"/>
  <c r="J216" i="110"/>
  <c r="W216" i="110" s="1"/>
  <c r="V207" i="110"/>
  <c r="J207" i="110"/>
  <c r="W207" i="110" s="1"/>
  <c r="J206" i="110"/>
  <c r="V206" i="110" s="1"/>
  <c r="J205" i="110"/>
  <c r="V205" i="110" s="1"/>
  <c r="V204" i="110"/>
  <c r="J204" i="110"/>
  <c r="W204" i="110" s="1"/>
  <c r="J203" i="110"/>
  <c r="V203" i="110" s="1"/>
  <c r="J202" i="110"/>
  <c r="V202" i="110" s="1"/>
  <c r="J201" i="110"/>
  <c r="V201" i="110" s="1"/>
  <c r="J199" i="110"/>
  <c r="V199" i="110" s="1"/>
  <c r="J198" i="110"/>
  <c r="V198" i="110" s="1"/>
  <c r="J197" i="110"/>
  <c r="V197" i="110" s="1"/>
  <c r="V196" i="110"/>
  <c r="J196" i="110"/>
  <c r="W196" i="110" s="1"/>
  <c r="J195" i="110"/>
  <c r="V195" i="110" s="1"/>
  <c r="J194" i="110"/>
  <c r="V194" i="110" s="1"/>
  <c r="J193" i="110"/>
  <c r="V193" i="110" s="1"/>
  <c r="J192" i="110"/>
  <c r="W192" i="110" s="1"/>
  <c r="J191" i="110"/>
  <c r="V191" i="110" s="1"/>
  <c r="J190" i="110"/>
  <c r="V190" i="110" s="1"/>
  <c r="J189" i="110"/>
  <c r="V189" i="110" s="1"/>
  <c r="J188" i="110"/>
  <c r="W188" i="110" s="1"/>
  <c r="J187" i="110"/>
  <c r="V187" i="110" s="1"/>
  <c r="J186" i="110"/>
  <c r="V186" i="110" s="1"/>
  <c r="B186" i="110"/>
  <c r="B187" i="110" s="1"/>
  <c r="B188" i="110" s="1"/>
  <c r="B189" i="110" s="1"/>
  <c r="B190" i="110" s="1"/>
  <c r="B191" i="110" s="1"/>
  <c r="B192" i="110" s="1"/>
  <c r="B193" i="110" s="1"/>
  <c r="B194" i="110" s="1"/>
  <c r="B195" i="110" s="1"/>
  <c r="B196" i="110" s="1"/>
  <c r="B197" i="110" s="1"/>
  <c r="B198" i="110" s="1"/>
  <c r="B199" i="110" s="1"/>
  <c r="B200" i="110" s="1"/>
  <c r="B201" i="110" s="1"/>
  <c r="B202" i="110" s="1"/>
  <c r="B203" i="110" s="1"/>
  <c r="B204" i="110" s="1"/>
  <c r="B205" i="110" s="1"/>
  <c r="B206" i="110" s="1"/>
  <c r="B207" i="110" s="1"/>
  <c r="J185" i="110"/>
  <c r="V185" i="110" s="1"/>
  <c r="J176" i="110"/>
  <c r="W176" i="110" s="1"/>
  <c r="J175" i="110"/>
  <c r="W175" i="110" s="1"/>
  <c r="J174" i="110"/>
  <c r="W174" i="110" s="1"/>
  <c r="J173" i="110"/>
  <c r="W173" i="110" s="1"/>
  <c r="J172" i="110"/>
  <c r="W172" i="110" s="1"/>
  <c r="J171" i="110"/>
  <c r="W171" i="110" s="1"/>
  <c r="J170" i="110"/>
  <c r="W170" i="110" s="1"/>
  <c r="J169" i="110"/>
  <c r="W169" i="110" s="1"/>
  <c r="J168" i="110"/>
  <c r="W168" i="110" s="1"/>
  <c r="J167" i="110"/>
  <c r="W167" i="110" s="1"/>
  <c r="J166" i="110"/>
  <c r="W166" i="110" s="1"/>
  <c r="J165" i="110"/>
  <c r="W165" i="110" s="1"/>
  <c r="J164" i="110"/>
  <c r="W164" i="110" s="1"/>
  <c r="J163" i="110"/>
  <c r="W163" i="110" s="1"/>
  <c r="J162" i="110"/>
  <c r="W162" i="110" s="1"/>
  <c r="J161" i="110"/>
  <c r="W161" i="110" s="1"/>
  <c r="J160" i="110"/>
  <c r="W160" i="110" s="1"/>
  <c r="J159" i="110"/>
  <c r="W159" i="110" s="1"/>
  <c r="J158" i="110"/>
  <c r="W158" i="110" s="1"/>
  <c r="J157" i="110"/>
  <c r="W157" i="110" s="1"/>
  <c r="J156" i="110"/>
  <c r="W156" i="110" s="1"/>
  <c r="J155" i="110"/>
  <c r="W155" i="110" s="1"/>
  <c r="B155" i="110"/>
  <c r="B156" i="110" s="1"/>
  <c r="B157" i="110" s="1"/>
  <c r="B158" i="110" s="1"/>
  <c r="B159" i="110" s="1"/>
  <c r="B160" i="110" s="1"/>
  <c r="B161" i="110" s="1"/>
  <c r="B162" i="110" s="1"/>
  <c r="B163" i="110" s="1"/>
  <c r="B164" i="110" s="1"/>
  <c r="B165" i="110" s="1"/>
  <c r="B166" i="110" s="1"/>
  <c r="B167" i="110" s="1"/>
  <c r="B168" i="110" s="1"/>
  <c r="B169" i="110" s="1"/>
  <c r="B170" i="110" s="1"/>
  <c r="B171" i="110" s="1"/>
  <c r="B172" i="110" s="1"/>
  <c r="B173" i="110" s="1"/>
  <c r="B174" i="110" s="1"/>
  <c r="B175" i="110" s="1"/>
  <c r="B176" i="110" s="1"/>
  <c r="J154" i="110"/>
  <c r="W154" i="110" s="1"/>
  <c r="W145" i="110"/>
  <c r="V145" i="110"/>
  <c r="J145" i="110"/>
  <c r="J144" i="110"/>
  <c r="V144" i="110" s="1"/>
  <c r="J143" i="110"/>
  <c r="V143" i="110" s="1"/>
  <c r="J142" i="110"/>
  <c r="W142" i="110" s="1"/>
  <c r="J141" i="110"/>
  <c r="V141" i="110" s="1"/>
  <c r="J140" i="110"/>
  <c r="V140" i="110" s="1"/>
  <c r="J139" i="110"/>
  <c r="W139" i="110" s="1"/>
  <c r="J138" i="110"/>
  <c r="W138" i="110" s="1"/>
  <c r="J137" i="110"/>
  <c r="V137" i="110" s="1"/>
  <c r="J136" i="110"/>
  <c r="V136" i="110" s="1"/>
  <c r="J135" i="110"/>
  <c r="W135" i="110" s="1"/>
  <c r="J134" i="110"/>
  <c r="W134" i="110" s="1"/>
  <c r="J133" i="110"/>
  <c r="V133" i="110" s="1"/>
  <c r="J132" i="110"/>
  <c r="V132" i="110" s="1"/>
  <c r="J131" i="110"/>
  <c r="W131" i="110" s="1"/>
  <c r="J130" i="110"/>
  <c r="W130" i="110" s="1"/>
  <c r="J129" i="110"/>
  <c r="V129" i="110" s="1"/>
  <c r="J128" i="110"/>
  <c r="V128" i="110" s="1"/>
  <c r="J127" i="110"/>
  <c r="W127" i="110" s="1"/>
  <c r="J126" i="110"/>
  <c r="W126" i="110" s="1"/>
  <c r="J125" i="110"/>
  <c r="V125" i="110" s="1"/>
  <c r="J124" i="110"/>
  <c r="V124" i="110" s="1"/>
  <c r="B124" i="110"/>
  <c r="B125" i="110" s="1"/>
  <c r="B126" i="110" s="1"/>
  <c r="B127" i="110" s="1"/>
  <c r="B128" i="110" s="1"/>
  <c r="B129" i="110" s="1"/>
  <c r="B130" i="110" s="1"/>
  <c r="B131" i="110" s="1"/>
  <c r="B132" i="110" s="1"/>
  <c r="B133" i="110" s="1"/>
  <c r="B134" i="110" s="1"/>
  <c r="B135" i="110" s="1"/>
  <c r="B136" i="110" s="1"/>
  <c r="B137" i="110" s="1"/>
  <c r="B138" i="110" s="1"/>
  <c r="B139" i="110" s="1"/>
  <c r="B140" i="110" s="1"/>
  <c r="B141" i="110" s="1"/>
  <c r="B142" i="110" s="1"/>
  <c r="B143" i="110" s="1"/>
  <c r="B144" i="110" s="1"/>
  <c r="B145" i="110" s="1"/>
  <c r="J123" i="110"/>
  <c r="V123" i="110" s="1"/>
  <c r="J114" i="110"/>
  <c r="W114" i="110" s="1"/>
  <c r="J113" i="110"/>
  <c r="W113" i="110" s="1"/>
  <c r="J112" i="110"/>
  <c r="W112" i="110" s="1"/>
  <c r="J111" i="110"/>
  <c r="W111" i="110" s="1"/>
  <c r="J110" i="110"/>
  <c r="W110" i="110" s="1"/>
  <c r="J109" i="110"/>
  <c r="W109" i="110" s="1"/>
  <c r="V108" i="110"/>
  <c r="J108" i="110"/>
  <c r="W108" i="110" s="1"/>
  <c r="J107" i="110"/>
  <c r="W107" i="110" s="1"/>
  <c r="J106" i="110"/>
  <c r="W106" i="110" s="1"/>
  <c r="J105" i="110"/>
  <c r="W105" i="110" s="1"/>
  <c r="J104" i="110"/>
  <c r="W104" i="110" s="1"/>
  <c r="J103" i="110"/>
  <c r="W103" i="110" s="1"/>
  <c r="J102" i="110"/>
  <c r="W102" i="110" s="1"/>
  <c r="J101" i="110"/>
  <c r="W101" i="110" s="1"/>
  <c r="J100" i="110"/>
  <c r="W100" i="110" s="1"/>
  <c r="J99" i="110"/>
  <c r="W99" i="110" s="1"/>
  <c r="J98" i="110"/>
  <c r="W98" i="110" s="1"/>
  <c r="J97" i="110"/>
  <c r="W97" i="110" s="1"/>
  <c r="J96" i="110"/>
  <c r="W96" i="110" s="1"/>
  <c r="J95" i="110"/>
  <c r="W95" i="110" s="1"/>
  <c r="V94" i="110"/>
  <c r="J94" i="110"/>
  <c r="W94" i="110" s="1"/>
  <c r="J93" i="110"/>
  <c r="W93" i="110" s="1"/>
  <c r="B93" i="110"/>
  <c r="B94" i="110" s="1"/>
  <c r="B95" i="110" s="1"/>
  <c r="B96" i="110" s="1"/>
  <c r="B97" i="110" s="1"/>
  <c r="B98" i="110" s="1"/>
  <c r="B99" i="110" s="1"/>
  <c r="B100" i="110" s="1"/>
  <c r="B101" i="110" s="1"/>
  <c r="B102" i="110" s="1"/>
  <c r="B103" i="110" s="1"/>
  <c r="B104" i="110" s="1"/>
  <c r="B105" i="110" s="1"/>
  <c r="B106" i="110" s="1"/>
  <c r="B107" i="110" s="1"/>
  <c r="B108" i="110" s="1"/>
  <c r="B109" i="110" s="1"/>
  <c r="B110" i="110" s="1"/>
  <c r="B111" i="110" s="1"/>
  <c r="B112" i="110" s="1"/>
  <c r="B113" i="110" s="1"/>
  <c r="B114" i="110" s="1"/>
  <c r="V92" i="110"/>
  <c r="J92" i="110"/>
  <c r="W92" i="110" s="1"/>
  <c r="J83" i="110"/>
  <c r="W83" i="110" s="1"/>
  <c r="J82" i="110"/>
  <c r="V82" i="110" s="1"/>
  <c r="J81" i="110"/>
  <c r="J80" i="110"/>
  <c r="W80" i="110" s="1"/>
  <c r="J79" i="110"/>
  <c r="W79" i="110" s="1"/>
  <c r="J78" i="110"/>
  <c r="W78" i="110" s="1"/>
  <c r="J77" i="110"/>
  <c r="W77" i="110" s="1"/>
  <c r="V76" i="110"/>
  <c r="J76" i="110"/>
  <c r="W76" i="110" s="1"/>
  <c r="J75" i="110"/>
  <c r="W75" i="110" s="1"/>
  <c r="J74" i="110"/>
  <c r="W74" i="110" s="1"/>
  <c r="J73" i="110"/>
  <c r="W73" i="110" s="1"/>
  <c r="J72" i="110"/>
  <c r="W72" i="110" s="1"/>
  <c r="J71" i="110"/>
  <c r="W71" i="110" s="1"/>
  <c r="J70" i="110"/>
  <c r="W70" i="110" s="1"/>
  <c r="J69" i="110"/>
  <c r="W69" i="110" s="1"/>
  <c r="J68" i="110"/>
  <c r="W68" i="110" s="1"/>
  <c r="J67" i="110"/>
  <c r="W67" i="110" s="1"/>
  <c r="J66" i="110"/>
  <c r="W66" i="110" s="1"/>
  <c r="J65" i="110"/>
  <c r="W65" i="110" s="1"/>
  <c r="J64" i="110"/>
  <c r="W64" i="110" s="1"/>
  <c r="J63" i="110"/>
  <c r="W63" i="110" s="1"/>
  <c r="J62" i="110"/>
  <c r="W62" i="110" s="1"/>
  <c r="J61" i="110"/>
  <c r="W61" i="110" s="1"/>
  <c r="B61" i="110"/>
  <c r="B62" i="110" s="1"/>
  <c r="B63" i="110" s="1"/>
  <c r="B64" i="110" s="1"/>
  <c r="B65" i="110" s="1"/>
  <c r="B66" i="110" s="1"/>
  <c r="B67" i="110" s="1"/>
  <c r="B68" i="110" s="1"/>
  <c r="B69" i="110" s="1"/>
  <c r="B70" i="110" s="1"/>
  <c r="B71" i="110" s="1"/>
  <c r="B72" i="110" s="1"/>
  <c r="B73" i="110" s="1"/>
  <c r="B74" i="110" s="1"/>
  <c r="B75" i="110" s="1"/>
  <c r="B76" i="110" s="1"/>
  <c r="B77" i="110" s="1"/>
  <c r="B78" i="110" s="1"/>
  <c r="B79" i="110" s="1"/>
  <c r="B80" i="110" s="1"/>
  <c r="B81" i="110" s="1"/>
  <c r="B82" i="110" s="1"/>
  <c r="B83" i="110" s="1"/>
  <c r="J60" i="110"/>
  <c r="W60" i="110" s="1"/>
  <c r="W51" i="110"/>
  <c r="V51" i="110"/>
  <c r="W50" i="110"/>
  <c r="V50" i="110"/>
  <c r="W49" i="110"/>
  <c r="V49" i="110"/>
  <c r="W48" i="110"/>
  <c r="V48" i="110"/>
  <c r="W45" i="110"/>
  <c r="W44" i="110"/>
  <c r="V44" i="110"/>
  <c r="N16" i="110"/>
  <c r="N14" i="110"/>
  <c r="N12" i="110"/>
  <c r="N10" i="110"/>
  <c r="N8" i="110"/>
  <c r="I7" i="110"/>
  <c r="J7" i="110" s="1"/>
  <c r="W7" i="110" s="1"/>
  <c r="B7" i="110"/>
  <c r="B8" i="110" s="1"/>
  <c r="B9" i="110" s="1"/>
  <c r="B10" i="110" s="1"/>
  <c r="B11" i="110" s="1"/>
  <c r="B12" i="110" s="1"/>
  <c r="B13" i="110" s="1"/>
  <c r="B14" i="110" s="1"/>
  <c r="B15" i="110" s="1"/>
  <c r="B16" i="110" s="1"/>
  <c r="B17" i="110" s="1"/>
  <c r="B18" i="110" s="1"/>
  <c r="B19" i="110" s="1"/>
  <c r="B20" i="110" s="1"/>
  <c r="B21" i="110" s="1"/>
  <c r="B22" i="110" s="1"/>
  <c r="B23" i="110" s="1"/>
  <c r="B24" i="110" s="1"/>
  <c r="B25" i="110" s="1"/>
  <c r="B26" i="110" s="1"/>
  <c r="B27" i="110" s="1"/>
  <c r="B28" i="110" s="1"/>
  <c r="B29" i="110" s="1"/>
  <c r="B30" i="110" s="1"/>
  <c r="B31" i="110" s="1"/>
  <c r="B32" i="110" s="1"/>
  <c r="B33" i="110" s="1"/>
  <c r="B34" i="110" s="1"/>
  <c r="B35" i="110" s="1"/>
  <c r="B36" i="110" s="1"/>
  <c r="B37" i="110" s="1"/>
  <c r="B38" i="110" s="1"/>
  <c r="B39" i="110" s="1"/>
  <c r="B40" i="110" s="1"/>
  <c r="B41" i="110" s="1"/>
  <c r="B42" i="110" s="1"/>
  <c r="B43" i="110" s="1"/>
  <c r="B44" i="110" s="1"/>
  <c r="B45" i="110" s="1"/>
  <c r="B46" i="110" s="1"/>
  <c r="B47" i="110" s="1"/>
  <c r="B48" i="110" s="1"/>
  <c r="B49" i="110" s="1"/>
  <c r="B50" i="110" s="1"/>
  <c r="B51" i="110" s="1"/>
  <c r="N6" i="110"/>
  <c r="I6" i="110"/>
  <c r="J6" i="110" s="1"/>
  <c r="W6" i="110" s="1"/>
  <c r="N4" i="110"/>
  <c r="I47" i="109"/>
  <c r="J47" i="109" s="1"/>
  <c r="J46" i="109"/>
  <c r="I46" i="109"/>
  <c r="I45" i="109"/>
  <c r="J45" i="109" s="1"/>
  <c r="J44" i="109"/>
  <c r="I44" i="109"/>
  <c r="I43" i="109"/>
  <c r="J43" i="109" s="1"/>
  <c r="W82" i="110" l="1"/>
  <c r="W136" i="110"/>
  <c r="W143" i="110"/>
  <c r="V225" i="110"/>
  <c r="V235" i="110"/>
  <c r="V238" i="110"/>
  <c r="V64" i="110"/>
  <c r="V67" i="110"/>
  <c r="V80" i="110"/>
  <c r="V223" i="110"/>
  <c r="V233" i="110"/>
  <c r="V78" i="110"/>
  <c r="V100" i="110"/>
  <c r="V114" i="110"/>
  <c r="W124" i="110"/>
  <c r="V127" i="110"/>
  <c r="W185" i="110"/>
  <c r="W40" i="110"/>
  <c r="V62" i="110"/>
  <c r="V79" i="110"/>
  <c r="V83" i="110"/>
  <c r="W128" i="110"/>
  <c r="V131" i="110"/>
  <c r="V154" i="110"/>
  <c r="V176" i="110"/>
  <c r="V237" i="110"/>
  <c r="V239" i="110"/>
  <c r="V68" i="110"/>
  <c r="V71" i="110"/>
  <c r="V36" i="110"/>
  <c r="P18" i="112"/>
  <c r="O18" i="112"/>
  <c r="R18" i="112" s="1"/>
  <c r="P20" i="112" s="1"/>
  <c r="R16" i="112"/>
  <c r="Q16" i="112"/>
  <c r="R12" i="112"/>
  <c r="Q12" i="112"/>
  <c r="Q4" i="112"/>
  <c r="R8" i="112"/>
  <c r="Q8" i="112"/>
  <c r="R6" i="112"/>
  <c r="Q6" i="112"/>
  <c r="V146" i="111"/>
  <c r="O10" i="111" s="1"/>
  <c r="R10" i="111" s="1"/>
  <c r="V208" i="111"/>
  <c r="O14" i="111" s="1"/>
  <c r="R14" i="111" s="1"/>
  <c r="V240" i="111"/>
  <c r="O16" i="111" s="1"/>
  <c r="R16" i="111" s="1"/>
  <c r="W208" i="111"/>
  <c r="P14" i="111" s="1"/>
  <c r="V177" i="111"/>
  <c r="O12" i="111" s="1"/>
  <c r="R12" i="111" s="1"/>
  <c r="V52" i="111"/>
  <c r="O4" i="111" s="1"/>
  <c r="R4" i="111" s="1"/>
  <c r="W146" i="111"/>
  <c r="P10" i="111" s="1"/>
  <c r="W52" i="111"/>
  <c r="P4" i="111" s="1"/>
  <c r="V84" i="111"/>
  <c r="O6" i="111" s="1"/>
  <c r="V115" i="111"/>
  <c r="O8" i="111" s="1"/>
  <c r="V110" i="110"/>
  <c r="V231" i="110"/>
  <c r="W200" i="110"/>
  <c r="V139" i="110"/>
  <c r="V77" i="110"/>
  <c r="V75" i="110"/>
  <c r="V229" i="110"/>
  <c r="V135" i="110"/>
  <c r="V74" i="110"/>
  <c r="W32" i="110"/>
  <c r="V32" i="110"/>
  <c r="V73" i="110"/>
  <c r="V227" i="110"/>
  <c r="V192" i="110"/>
  <c r="W132" i="110"/>
  <c r="V102" i="110"/>
  <c r="V72" i="110"/>
  <c r="V70" i="110"/>
  <c r="V69" i="110"/>
  <c r="V66" i="110"/>
  <c r="W28" i="110"/>
  <c r="W24" i="110"/>
  <c r="V221" i="110"/>
  <c r="V65" i="110"/>
  <c r="V219" i="110"/>
  <c r="W240" i="110"/>
  <c r="P16" i="110" s="1"/>
  <c r="V217" i="110"/>
  <c r="V188" i="110"/>
  <c r="W123" i="110"/>
  <c r="V63" i="110"/>
  <c r="V61" i="110"/>
  <c r="V13" i="110"/>
  <c r="V7" i="110"/>
  <c r="V218" i="110"/>
  <c r="V220" i="110"/>
  <c r="V222" i="110"/>
  <c r="V224" i="110"/>
  <c r="V226" i="110"/>
  <c r="V228" i="110"/>
  <c r="V230" i="110"/>
  <c r="V232" i="110"/>
  <c r="V234" i="110"/>
  <c r="V236" i="110"/>
  <c r="V216" i="110"/>
  <c r="W186" i="110"/>
  <c r="W190" i="110"/>
  <c r="W194" i="110"/>
  <c r="W198" i="110"/>
  <c r="W202" i="110"/>
  <c r="W206" i="110"/>
  <c r="W189" i="110"/>
  <c r="W193" i="110"/>
  <c r="W197" i="110"/>
  <c r="W201" i="110"/>
  <c r="W205" i="110"/>
  <c r="J208" i="110"/>
  <c r="W187" i="110"/>
  <c r="W191" i="110"/>
  <c r="W195" i="110"/>
  <c r="W199" i="110"/>
  <c r="W203" i="110"/>
  <c r="J177" i="110"/>
  <c r="V156" i="110"/>
  <c r="V158" i="110"/>
  <c r="V160" i="110"/>
  <c r="V162" i="110"/>
  <c r="V164" i="110"/>
  <c r="V166" i="110"/>
  <c r="V168" i="110"/>
  <c r="V170" i="110"/>
  <c r="V172" i="110"/>
  <c r="V174" i="110"/>
  <c r="V155" i="110"/>
  <c r="V157" i="110"/>
  <c r="V159" i="110"/>
  <c r="V161" i="110"/>
  <c r="V163" i="110"/>
  <c r="V165" i="110"/>
  <c r="V167" i="110"/>
  <c r="V169" i="110"/>
  <c r="V171" i="110"/>
  <c r="V173" i="110"/>
  <c r="V175" i="110"/>
  <c r="V126" i="110"/>
  <c r="V130" i="110"/>
  <c r="V134" i="110"/>
  <c r="W140" i="110"/>
  <c r="W144" i="110"/>
  <c r="V138" i="110"/>
  <c r="V142" i="110"/>
  <c r="J146" i="110"/>
  <c r="W125" i="110"/>
  <c r="W129" i="110"/>
  <c r="W133" i="110"/>
  <c r="W137" i="110"/>
  <c r="W141" i="110"/>
  <c r="V98" i="110"/>
  <c r="V106" i="110"/>
  <c r="V96" i="110"/>
  <c r="V104" i="110"/>
  <c r="V112" i="110"/>
  <c r="J115" i="110"/>
  <c r="V93" i="110"/>
  <c r="V95" i="110"/>
  <c r="V97" i="110"/>
  <c r="V99" i="110"/>
  <c r="V101" i="110"/>
  <c r="V103" i="110"/>
  <c r="V105" i="110"/>
  <c r="V107" i="110"/>
  <c r="V109" i="110"/>
  <c r="V111" i="110"/>
  <c r="V113" i="110"/>
  <c r="J84" i="110"/>
  <c r="V60" i="110"/>
  <c r="W18" i="110"/>
  <c r="V18" i="110"/>
  <c r="V15" i="110"/>
  <c r="W15" i="110"/>
  <c r="V10" i="110"/>
  <c r="V19" i="110"/>
  <c r="W19" i="110"/>
  <c r="V38" i="110"/>
  <c r="W38" i="110"/>
  <c r="V22" i="110"/>
  <c r="W22" i="110"/>
  <c r="V30" i="110"/>
  <c r="W30" i="110"/>
  <c r="V42" i="110"/>
  <c r="W42" i="110"/>
  <c r="W9" i="110"/>
  <c r="V9" i="110"/>
  <c r="W84" i="110"/>
  <c r="P6" i="110" s="1"/>
  <c r="V11" i="110"/>
  <c r="W11" i="110"/>
  <c r="V17" i="110"/>
  <c r="W17" i="110"/>
  <c r="V26" i="110"/>
  <c r="W26" i="110"/>
  <c r="V34" i="110"/>
  <c r="W34" i="110"/>
  <c r="V46" i="110"/>
  <c r="W46" i="110"/>
  <c r="V12" i="110"/>
  <c r="W12" i="110"/>
  <c r="V20" i="110"/>
  <c r="W20" i="110"/>
  <c r="V23" i="110"/>
  <c r="W23" i="110"/>
  <c r="V27" i="110"/>
  <c r="W27" i="110"/>
  <c r="V31" i="110"/>
  <c r="W31" i="110"/>
  <c r="V35" i="110"/>
  <c r="W35" i="110"/>
  <c r="V39" i="110"/>
  <c r="W39" i="110"/>
  <c r="V43" i="110"/>
  <c r="W43" i="110"/>
  <c r="V47" i="110"/>
  <c r="W47" i="110"/>
  <c r="W115" i="110"/>
  <c r="P8" i="110" s="1"/>
  <c r="W177" i="110"/>
  <c r="P12" i="110" s="1"/>
  <c r="V21" i="110"/>
  <c r="V25" i="110"/>
  <c r="V29" i="110"/>
  <c r="V33" i="110"/>
  <c r="V37" i="110"/>
  <c r="V41" i="110"/>
  <c r="V45" i="110"/>
  <c r="J52" i="110"/>
  <c r="W14" i="110"/>
  <c r="N18" i="110"/>
  <c r="V6" i="110"/>
  <c r="W8" i="110"/>
  <c r="W16" i="110"/>
  <c r="J240" i="110"/>
  <c r="I42" i="109"/>
  <c r="J42" i="109" s="1"/>
  <c r="I41" i="109"/>
  <c r="J41" i="109" s="1"/>
  <c r="J40" i="109"/>
  <c r="I40" i="109"/>
  <c r="I39" i="109"/>
  <c r="J39" i="109" s="1"/>
  <c r="I38" i="109"/>
  <c r="J38" i="109" s="1"/>
  <c r="I37" i="109"/>
  <c r="J37" i="109" s="1"/>
  <c r="I36" i="109"/>
  <c r="J36" i="109" s="1"/>
  <c r="I35" i="109"/>
  <c r="J35" i="109" s="1"/>
  <c r="I34" i="109"/>
  <c r="J34" i="109" s="1"/>
  <c r="I33" i="109"/>
  <c r="J33" i="109" s="1"/>
  <c r="J32" i="109"/>
  <c r="I32" i="109"/>
  <c r="I31" i="109"/>
  <c r="J31" i="109" s="1"/>
  <c r="I30" i="109"/>
  <c r="J30" i="109" s="1"/>
  <c r="J29" i="109"/>
  <c r="I29" i="109"/>
  <c r="I28" i="109"/>
  <c r="J28" i="109" s="1"/>
  <c r="I27" i="109"/>
  <c r="J27" i="109" s="1"/>
  <c r="I26" i="109"/>
  <c r="J26" i="109" s="1"/>
  <c r="I25" i="109"/>
  <c r="J25" i="109" s="1"/>
  <c r="Q18" i="112" l="1"/>
  <c r="Q10" i="111"/>
  <c r="Q14" i="111"/>
  <c r="Q16" i="111"/>
  <c r="Q12" i="111"/>
  <c r="Q4" i="111"/>
  <c r="O18" i="111"/>
  <c r="R18" i="111" s="1"/>
  <c r="P20" i="111" s="1"/>
  <c r="P18" i="111"/>
  <c r="R6" i="111"/>
  <c r="Q6" i="111"/>
  <c r="R8" i="111"/>
  <c r="Q8" i="111"/>
  <c r="W208" i="110"/>
  <c r="P14" i="110" s="1"/>
  <c r="V146" i="110"/>
  <c r="O10" i="110" s="1"/>
  <c r="R10" i="110" s="1"/>
  <c r="V208" i="110"/>
  <c r="O14" i="110" s="1"/>
  <c r="R14" i="110" s="1"/>
  <c r="W146" i="110"/>
  <c r="P10" i="110" s="1"/>
  <c r="V84" i="110"/>
  <c r="O6" i="110" s="1"/>
  <c r="R6" i="110" s="1"/>
  <c r="W52" i="110"/>
  <c r="P4" i="110" s="1"/>
  <c r="V240" i="110"/>
  <c r="O16" i="110" s="1"/>
  <c r="V177" i="110"/>
  <c r="O12" i="110" s="1"/>
  <c r="R12" i="110" s="1"/>
  <c r="V115" i="110"/>
  <c r="O8" i="110" s="1"/>
  <c r="Q8" i="110" s="1"/>
  <c r="V52" i="110"/>
  <c r="O4" i="110" s="1"/>
  <c r="I24" i="109"/>
  <c r="J24" i="109" s="1"/>
  <c r="W24" i="109" s="1"/>
  <c r="I23" i="109"/>
  <c r="J23" i="109" s="1"/>
  <c r="N4" i="109"/>
  <c r="I22" i="109"/>
  <c r="J22" i="109" s="1"/>
  <c r="I21" i="109"/>
  <c r="J21" i="109" s="1"/>
  <c r="V21" i="109" s="1"/>
  <c r="I20" i="109"/>
  <c r="J20" i="109" s="1"/>
  <c r="I19" i="109"/>
  <c r="J19" i="109" s="1"/>
  <c r="J18" i="109"/>
  <c r="V18" i="109" s="1"/>
  <c r="I18" i="109"/>
  <c r="I17" i="109"/>
  <c r="J17" i="109" s="1"/>
  <c r="I16" i="109"/>
  <c r="J16" i="109" s="1"/>
  <c r="V16" i="109" s="1"/>
  <c r="I15" i="109"/>
  <c r="J15" i="109" s="1"/>
  <c r="I14" i="109"/>
  <c r="J14" i="109" s="1"/>
  <c r="I13" i="109"/>
  <c r="J13" i="109" s="1"/>
  <c r="V13" i="109" s="1"/>
  <c r="I12" i="109"/>
  <c r="J12" i="109" s="1"/>
  <c r="J10" i="109"/>
  <c r="V10" i="109" s="1"/>
  <c r="I11" i="109"/>
  <c r="J11" i="109" s="1"/>
  <c r="I10" i="109"/>
  <c r="I8" i="109"/>
  <c r="J8" i="109" s="1"/>
  <c r="V8" i="109" s="1"/>
  <c r="I9" i="109"/>
  <c r="J9" i="109" s="1"/>
  <c r="W239" i="109"/>
  <c r="J239" i="109"/>
  <c r="V239" i="109" s="1"/>
  <c r="J238" i="109"/>
  <c r="W238" i="109" s="1"/>
  <c r="J237" i="109"/>
  <c r="W237" i="109" s="1"/>
  <c r="J236" i="109"/>
  <c r="V236" i="109" s="1"/>
  <c r="J235" i="109"/>
  <c r="V235" i="109" s="1"/>
  <c r="J234" i="109"/>
  <c r="V234" i="109" s="1"/>
  <c r="J233" i="109"/>
  <c r="W233" i="109" s="1"/>
  <c r="J232" i="109"/>
  <c r="V232" i="109" s="1"/>
  <c r="J231" i="109"/>
  <c r="V231" i="109" s="1"/>
  <c r="J230" i="109"/>
  <c r="W230" i="109" s="1"/>
  <c r="J229" i="109"/>
  <c r="V229" i="109" s="1"/>
  <c r="J228" i="109"/>
  <c r="V228" i="109" s="1"/>
  <c r="W227" i="109"/>
  <c r="J227" i="109"/>
  <c r="V227" i="109" s="1"/>
  <c r="J226" i="109"/>
  <c r="W226" i="109" s="1"/>
  <c r="J225" i="109"/>
  <c r="V225" i="109" s="1"/>
  <c r="W224" i="109"/>
  <c r="J224" i="109"/>
  <c r="V224" i="109" s="1"/>
  <c r="J223" i="109"/>
  <c r="W223" i="109" s="1"/>
  <c r="J222" i="109"/>
  <c r="W222" i="109" s="1"/>
  <c r="J221" i="109"/>
  <c r="V221" i="109" s="1"/>
  <c r="J220" i="109"/>
  <c r="W220" i="109" s="1"/>
  <c r="J219" i="109"/>
  <c r="W219" i="109" s="1"/>
  <c r="J218" i="109"/>
  <c r="W218" i="109" s="1"/>
  <c r="J217" i="109"/>
  <c r="V217" i="109" s="1"/>
  <c r="B217" i="109"/>
  <c r="B218" i="109" s="1"/>
  <c r="B219" i="109" s="1"/>
  <c r="B220" i="109" s="1"/>
  <c r="B221" i="109" s="1"/>
  <c r="B222" i="109" s="1"/>
  <c r="B223" i="109" s="1"/>
  <c r="B224" i="109" s="1"/>
  <c r="B225" i="109" s="1"/>
  <c r="B226" i="109" s="1"/>
  <c r="B227" i="109" s="1"/>
  <c r="B228" i="109" s="1"/>
  <c r="B229" i="109" s="1"/>
  <c r="B230" i="109" s="1"/>
  <c r="B231" i="109" s="1"/>
  <c r="B232" i="109" s="1"/>
  <c r="B233" i="109" s="1"/>
  <c r="B234" i="109" s="1"/>
  <c r="B235" i="109" s="1"/>
  <c r="B236" i="109" s="1"/>
  <c r="B237" i="109" s="1"/>
  <c r="B238" i="109" s="1"/>
  <c r="B239" i="109" s="1"/>
  <c r="J216" i="109"/>
  <c r="J207" i="109"/>
  <c r="V207" i="109" s="1"/>
  <c r="J206" i="109"/>
  <c r="V206" i="109" s="1"/>
  <c r="J205" i="109"/>
  <c r="V205" i="109" s="1"/>
  <c r="J204" i="109"/>
  <c r="V204" i="109" s="1"/>
  <c r="J203" i="109"/>
  <c r="V203" i="109" s="1"/>
  <c r="J202" i="109"/>
  <c r="V202" i="109" s="1"/>
  <c r="J201" i="109"/>
  <c r="V201" i="109" s="1"/>
  <c r="J200" i="109"/>
  <c r="V200" i="109" s="1"/>
  <c r="J199" i="109"/>
  <c r="V199" i="109" s="1"/>
  <c r="J198" i="109"/>
  <c r="V198" i="109" s="1"/>
  <c r="J197" i="109"/>
  <c r="V197" i="109" s="1"/>
  <c r="J196" i="109"/>
  <c r="V196" i="109" s="1"/>
  <c r="J195" i="109"/>
  <c r="V195" i="109" s="1"/>
  <c r="J194" i="109"/>
  <c r="V194" i="109" s="1"/>
  <c r="J193" i="109"/>
  <c r="V193" i="109" s="1"/>
  <c r="J192" i="109"/>
  <c r="V192" i="109" s="1"/>
  <c r="J191" i="109"/>
  <c r="V191" i="109" s="1"/>
  <c r="J190" i="109"/>
  <c r="V190" i="109" s="1"/>
  <c r="J189" i="109"/>
  <c r="V189" i="109" s="1"/>
  <c r="J188" i="109"/>
  <c r="V188" i="109" s="1"/>
  <c r="J187" i="109"/>
  <c r="V187" i="109" s="1"/>
  <c r="J186" i="109"/>
  <c r="V186" i="109" s="1"/>
  <c r="B186" i="109"/>
  <c r="B187" i="109" s="1"/>
  <c r="B188" i="109" s="1"/>
  <c r="B189" i="109" s="1"/>
  <c r="B190" i="109" s="1"/>
  <c r="B191" i="109" s="1"/>
  <c r="B192" i="109" s="1"/>
  <c r="B193" i="109" s="1"/>
  <c r="B194" i="109" s="1"/>
  <c r="B195" i="109" s="1"/>
  <c r="B196" i="109" s="1"/>
  <c r="B197" i="109" s="1"/>
  <c r="B198" i="109" s="1"/>
  <c r="B199" i="109" s="1"/>
  <c r="B200" i="109" s="1"/>
  <c r="B201" i="109" s="1"/>
  <c r="B202" i="109" s="1"/>
  <c r="B203" i="109" s="1"/>
  <c r="B204" i="109" s="1"/>
  <c r="B205" i="109" s="1"/>
  <c r="B206" i="109" s="1"/>
  <c r="B207" i="109" s="1"/>
  <c r="J185" i="109"/>
  <c r="V185" i="109" s="1"/>
  <c r="J176" i="109"/>
  <c r="V176" i="109" s="1"/>
  <c r="W175" i="109"/>
  <c r="V175" i="109"/>
  <c r="J175" i="109"/>
  <c r="J174" i="109"/>
  <c r="W174" i="109" s="1"/>
  <c r="J173" i="109"/>
  <c r="V173" i="109" s="1"/>
  <c r="J172" i="109"/>
  <c r="V172" i="109" s="1"/>
  <c r="J171" i="109"/>
  <c r="V171" i="109" s="1"/>
  <c r="J170" i="109"/>
  <c r="W170" i="109" s="1"/>
  <c r="J169" i="109"/>
  <c r="V169" i="109" s="1"/>
  <c r="J168" i="109"/>
  <c r="V168" i="109" s="1"/>
  <c r="J167" i="109"/>
  <c r="V167" i="109" s="1"/>
  <c r="J166" i="109"/>
  <c r="W166" i="109" s="1"/>
  <c r="J165" i="109"/>
  <c r="V165" i="109" s="1"/>
  <c r="J164" i="109"/>
  <c r="V164" i="109" s="1"/>
  <c r="J163" i="109"/>
  <c r="V163" i="109" s="1"/>
  <c r="J162" i="109"/>
  <c r="W162" i="109" s="1"/>
  <c r="J161" i="109"/>
  <c r="V161" i="109" s="1"/>
  <c r="J160" i="109"/>
  <c r="V160" i="109" s="1"/>
  <c r="J159" i="109"/>
  <c r="V159" i="109" s="1"/>
  <c r="J158" i="109"/>
  <c r="W158" i="109" s="1"/>
  <c r="J157" i="109"/>
  <c r="V157" i="109" s="1"/>
  <c r="J156" i="109"/>
  <c r="V156" i="109" s="1"/>
  <c r="J155" i="109"/>
  <c r="W155" i="109" s="1"/>
  <c r="B155" i="109"/>
  <c r="B156" i="109" s="1"/>
  <c r="B157" i="109" s="1"/>
  <c r="B158" i="109" s="1"/>
  <c r="B159" i="109" s="1"/>
  <c r="B160" i="109" s="1"/>
  <c r="B161" i="109" s="1"/>
  <c r="B162" i="109" s="1"/>
  <c r="B163" i="109" s="1"/>
  <c r="B164" i="109" s="1"/>
  <c r="B165" i="109" s="1"/>
  <c r="B166" i="109" s="1"/>
  <c r="B167" i="109" s="1"/>
  <c r="B168" i="109" s="1"/>
  <c r="B169" i="109" s="1"/>
  <c r="B170" i="109" s="1"/>
  <c r="B171" i="109" s="1"/>
  <c r="B172" i="109" s="1"/>
  <c r="B173" i="109" s="1"/>
  <c r="B174" i="109" s="1"/>
  <c r="B175" i="109" s="1"/>
  <c r="B176" i="109" s="1"/>
  <c r="J154" i="109"/>
  <c r="W154" i="109" s="1"/>
  <c r="J145" i="109"/>
  <c r="V145" i="109" s="1"/>
  <c r="J144" i="109"/>
  <c r="V144" i="109" s="1"/>
  <c r="J143" i="109"/>
  <c r="V143" i="109" s="1"/>
  <c r="J142" i="109"/>
  <c r="V142" i="109" s="1"/>
  <c r="J141" i="109"/>
  <c r="V141" i="109" s="1"/>
  <c r="J140" i="109"/>
  <c r="V140" i="109" s="1"/>
  <c r="J139" i="109"/>
  <c r="V139" i="109" s="1"/>
  <c r="J138" i="109"/>
  <c r="V138" i="109" s="1"/>
  <c r="J137" i="109"/>
  <c r="V137" i="109" s="1"/>
  <c r="J136" i="109"/>
  <c r="V136" i="109" s="1"/>
  <c r="J135" i="109"/>
  <c r="V135" i="109" s="1"/>
  <c r="J134" i="109"/>
  <c r="V134" i="109" s="1"/>
  <c r="J133" i="109"/>
  <c r="V133" i="109" s="1"/>
  <c r="J132" i="109"/>
  <c r="V132" i="109" s="1"/>
  <c r="J131" i="109"/>
  <c r="V131" i="109" s="1"/>
  <c r="J130" i="109"/>
  <c r="V130" i="109" s="1"/>
  <c r="J129" i="109"/>
  <c r="V129" i="109" s="1"/>
  <c r="J128" i="109"/>
  <c r="V128" i="109" s="1"/>
  <c r="J127" i="109"/>
  <c r="V127" i="109" s="1"/>
  <c r="J126" i="109"/>
  <c r="V126" i="109" s="1"/>
  <c r="J125" i="109"/>
  <c r="V125" i="109" s="1"/>
  <c r="J124" i="109"/>
  <c r="V124" i="109" s="1"/>
  <c r="B124" i="109"/>
  <c r="B125" i="109" s="1"/>
  <c r="B126" i="109" s="1"/>
  <c r="B127" i="109" s="1"/>
  <c r="B128" i="109" s="1"/>
  <c r="B129" i="109" s="1"/>
  <c r="B130" i="109" s="1"/>
  <c r="B131" i="109" s="1"/>
  <c r="B132" i="109" s="1"/>
  <c r="B133" i="109" s="1"/>
  <c r="B134" i="109" s="1"/>
  <c r="B135" i="109" s="1"/>
  <c r="B136" i="109" s="1"/>
  <c r="B137" i="109" s="1"/>
  <c r="B138" i="109" s="1"/>
  <c r="B139" i="109" s="1"/>
  <c r="B140" i="109" s="1"/>
  <c r="B141" i="109" s="1"/>
  <c r="B142" i="109" s="1"/>
  <c r="B143" i="109" s="1"/>
  <c r="B144" i="109" s="1"/>
  <c r="B145" i="109" s="1"/>
  <c r="J123" i="109"/>
  <c r="V123" i="109" s="1"/>
  <c r="J114" i="109"/>
  <c r="W114" i="109" s="1"/>
  <c r="J113" i="109"/>
  <c r="W113" i="109" s="1"/>
  <c r="J112" i="109"/>
  <c r="V112" i="109" s="1"/>
  <c r="J111" i="109"/>
  <c r="V111" i="109" s="1"/>
  <c r="J110" i="109"/>
  <c r="W110" i="109" s="1"/>
  <c r="J109" i="109"/>
  <c r="V109" i="109" s="1"/>
  <c r="J108" i="109"/>
  <c r="V108" i="109" s="1"/>
  <c r="J107" i="109"/>
  <c r="V107" i="109" s="1"/>
  <c r="J106" i="109"/>
  <c r="W106" i="109" s="1"/>
  <c r="J105" i="109"/>
  <c r="V105" i="109" s="1"/>
  <c r="J104" i="109"/>
  <c r="W104" i="109" s="1"/>
  <c r="J103" i="109"/>
  <c r="V103" i="109" s="1"/>
  <c r="J102" i="109"/>
  <c r="W102" i="109" s="1"/>
  <c r="J101" i="109"/>
  <c r="V101" i="109" s="1"/>
  <c r="J100" i="109"/>
  <c r="W100" i="109" s="1"/>
  <c r="J99" i="109"/>
  <c r="V99" i="109" s="1"/>
  <c r="J98" i="109"/>
  <c r="W98" i="109" s="1"/>
  <c r="J97" i="109"/>
  <c r="V97" i="109" s="1"/>
  <c r="J96" i="109"/>
  <c r="W96" i="109" s="1"/>
  <c r="J95" i="109"/>
  <c r="V95" i="109" s="1"/>
  <c r="J94" i="109"/>
  <c r="W94" i="109" s="1"/>
  <c r="J93" i="109"/>
  <c r="V93" i="109" s="1"/>
  <c r="B93" i="109"/>
  <c r="B94" i="109" s="1"/>
  <c r="B95" i="109" s="1"/>
  <c r="B96" i="109" s="1"/>
  <c r="B97" i="109" s="1"/>
  <c r="B98" i="109" s="1"/>
  <c r="B99" i="109" s="1"/>
  <c r="B100" i="109" s="1"/>
  <c r="B101" i="109" s="1"/>
  <c r="B102" i="109" s="1"/>
  <c r="B103" i="109" s="1"/>
  <c r="B104" i="109" s="1"/>
  <c r="B105" i="109" s="1"/>
  <c r="B106" i="109" s="1"/>
  <c r="B107" i="109" s="1"/>
  <c r="B108" i="109" s="1"/>
  <c r="B109" i="109" s="1"/>
  <c r="B110" i="109" s="1"/>
  <c r="B111" i="109" s="1"/>
  <c r="B112" i="109" s="1"/>
  <c r="B113" i="109" s="1"/>
  <c r="B114" i="109" s="1"/>
  <c r="J92" i="109"/>
  <c r="J83" i="109"/>
  <c r="V83" i="109" s="1"/>
  <c r="J82" i="109"/>
  <c r="V82" i="109" s="1"/>
  <c r="J81" i="109"/>
  <c r="J80" i="109"/>
  <c r="V80" i="109" s="1"/>
  <c r="J79" i="109"/>
  <c r="W79" i="109" s="1"/>
  <c r="J78" i="109"/>
  <c r="W78" i="109" s="1"/>
  <c r="J77" i="109"/>
  <c r="W77" i="109" s="1"/>
  <c r="J76" i="109"/>
  <c r="V76" i="109" s="1"/>
  <c r="J75" i="109"/>
  <c r="W75" i="109" s="1"/>
  <c r="J74" i="109"/>
  <c r="V74" i="109" s="1"/>
  <c r="J73" i="109"/>
  <c r="W73" i="109" s="1"/>
  <c r="J72" i="109"/>
  <c r="V72" i="109" s="1"/>
  <c r="J71" i="109"/>
  <c r="W71" i="109" s="1"/>
  <c r="J70" i="109"/>
  <c r="V70" i="109" s="1"/>
  <c r="J69" i="109"/>
  <c r="V69" i="109" s="1"/>
  <c r="J68" i="109"/>
  <c r="V68" i="109" s="1"/>
  <c r="J67" i="109"/>
  <c r="W67" i="109" s="1"/>
  <c r="J66" i="109"/>
  <c r="W66" i="109" s="1"/>
  <c r="J65" i="109"/>
  <c r="V65" i="109" s="1"/>
  <c r="J64" i="109"/>
  <c r="V64" i="109" s="1"/>
  <c r="J63" i="109"/>
  <c r="V63" i="109" s="1"/>
  <c r="J62" i="109"/>
  <c r="W62" i="109" s="1"/>
  <c r="J61" i="109"/>
  <c r="V61" i="109" s="1"/>
  <c r="B61" i="109"/>
  <c r="B62" i="109" s="1"/>
  <c r="B63" i="109" s="1"/>
  <c r="B64" i="109" s="1"/>
  <c r="B65" i="109" s="1"/>
  <c r="B66" i="109" s="1"/>
  <c r="B67" i="109" s="1"/>
  <c r="B68" i="109" s="1"/>
  <c r="B69" i="109" s="1"/>
  <c r="B70" i="109" s="1"/>
  <c r="B71" i="109" s="1"/>
  <c r="B72" i="109" s="1"/>
  <c r="B73" i="109" s="1"/>
  <c r="B74" i="109" s="1"/>
  <c r="B75" i="109" s="1"/>
  <c r="B76" i="109" s="1"/>
  <c r="B77" i="109" s="1"/>
  <c r="B78" i="109" s="1"/>
  <c r="B79" i="109" s="1"/>
  <c r="B80" i="109" s="1"/>
  <c r="B81" i="109" s="1"/>
  <c r="B82" i="109" s="1"/>
  <c r="B83" i="109" s="1"/>
  <c r="J60" i="109"/>
  <c r="V60" i="109" s="1"/>
  <c r="W51" i="109"/>
  <c r="V51" i="109"/>
  <c r="W50" i="109"/>
  <c r="V50" i="109"/>
  <c r="W49" i="109"/>
  <c r="V49" i="109"/>
  <c r="W48" i="109"/>
  <c r="V48" i="109"/>
  <c r="W47" i="109"/>
  <c r="V47" i="109"/>
  <c r="W46" i="109"/>
  <c r="V46" i="109"/>
  <c r="W45" i="109"/>
  <c r="V45" i="109"/>
  <c r="W44" i="109"/>
  <c r="V44" i="109"/>
  <c r="W43" i="109"/>
  <c r="V43" i="109"/>
  <c r="W42" i="109"/>
  <c r="V42" i="109"/>
  <c r="W41" i="109"/>
  <c r="V41" i="109"/>
  <c r="W40" i="109"/>
  <c r="V40" i="109"/>
  <c r="W39" i="109"/>
  <c r="V39" i="109"/>
  <c r="V37" i="109"/>
  <c r="V36" i="109"/>
  <c r="W36" i="109"/>
  <c r="V33" i="109"/>
  <c r="V32" i="109"/>
  <c r="W32" i="109"/>
  <c r="V29" i="109"/>
  <c r="V28" i="109"/>
  <c r="W28" i="109"/>
  <c r="V25" i="109"/>
  <c r="N16" i="109"/>
  <c r="N14" i="109"/>
  <c r="N12" i="109"/>
  <c r="N10" i="109"/>
  <c r="N8" i="109"/>
  <c r="I7" i="109"/>
  <c r="J7" i="109" s="1"/>
  <c r="B7" i="109"/>
  <c r="B8" i="109" s="1"/>
  <c r="B9" i="109" s="1"/>
  <c r="B10" i="109" s="1"/>
  <c r="B11" i="109" s="1"/>
  <c r="B12" i="109" s="1"/>
  <c r="B13" i="109" s="1"/>
  <c r="B14" i="109" s="1"/>
  <c r="B15" i="109" s="1"/>
  <c r="B16" i="109" s="1"/>
  <c r="B17" i="109" s="1"/>
  <c r="B18" i="109" s="1"/>
  <c r="B19" i="109" s="1"/>
  <c r="B20" i="109" s="1"/>
  <c r="B21" i="109" s="1"/>
  <c r="B22" i="109" s="1"/>
  <c r="B23" i="109" s="1"/>
  <c r="B24" i="109" s="1"/>
  <c r="B25" i="109" s="1"/>
  <c r="B26" i="109" s="1"/>
  <c r="B27" i="109" s="1"/>
  <c r="B28" i="109" s="1"/>
  <c r="B29" i="109" s="1"/>
  <c r="B30" i="109" s="1"/>
  <c r="B31" i="109" s="1"/>
  <c r="B32" i="109" s="1"/>
  <c r="B33" i="109" s="1"/>
  <c r="B34" i="109" s="1"/>
  <c r="B35" i="109" s="1"/>
  <c r="B36" i="109" s="1"/>
  <c r="B37" i="109" s="1"/>
  <c r="B38" i="109" s="1"/>
  <c r="B39" i="109" s="1"/>
  <c r="B40" i="109" s="1"/>
  <c r="B41" i="109" s="1"/>
  <c r="B42" i="109" s="1"/>
  <c r="B43" i="109" s="1"/>
  <c r="B44" i="109" s="1"/>
  <c r="B45" i="109" s="1"/>
  <c r="B46" i="109" s="1"/>
  <c r="B47" i="109" s="1"/>
  <c r="B48" i="109" s="1"/>
  <c r="B49" i="109" s="1"/>
  <c r="B50" i="109" s="1"/>
  <c r="B51" i="109" s="1"/>
  <c r="N6" i="109"/>
  <c r="I6" i="109"/>
  <c r="J6" i="109" s="1"/>
  <c r="I38" i="108"/>
  <c r="J38" i="108" s="1"/>
  <c r="V38" i="108" s="1"/>
  <c r="I37" i="108"/>
  <c r="J37" i="108" s="1"/>
  <c r="W37" i="108" s="1"/>
  <c r="I36" i="108"/>
  <c r="J36" i="108" s="1"/>
  <c r="I35" i="108"/>
  <c r="J35" i="108" s="1"/>
  <c r="I34" i="108"/>
  <c r="J34" i="108" s="1"/>
  <c r="V34" i="108" s="1"/>
  <c r="I33" i="108"/>
  <c r="J33" i="108" s="1"/>
  <c r="I32" i="108"/>
  <c r="J32" i="108" s="1"/>
  <c r="I31" i="108"/>
  <c r="J31" i="108" s="1"/>
  <c r="I30" i="108"/>
  <c r="J30" i="108" s="1"/>
  <c r="V30" i="108" s="1"/>
  <c r="I29" i="108"/>
  <c r="J29" i="108" s="1"/>
  <c r="W29" i="108" s="1"/>
  <c r="I28" i="108"/>
  <c r="J28" i="108" s="1"/>
  <c r="I27" i="108"/>
  <c r="J27" i="108" s="1"/>
  <c r="I26" i="108"/>
  <c r="J26" i="108" s="1"/>
  <c r="V26" i="108" s="1"/>
  <c r="I25" i="108"/>
  <c r="J25" i="108" s="1"/>
  <c r="I24" i="108"/>
  <c r="J24" i="108" s="1"/>
  <c r="I23" i="108"/>
  <c r="J23" i="108" s="1"/>
  <c r="I22" i="108"/>
  <c r="J22" i="108" s="1"/>
  <c r="V22" i="108" s="1"/>
  <c r="I21" i="108"/>
  <c r="J21" i="108" s="1"/>
  <c r="W21" i="108" s="1"/>
  <c r="I20" i="108"/>
  <c r="J20" i="108" s="1"/>
  <c r="I19" i="108"/>
  <c r="J19" i="108" s="1"/>
  <c r="V19" i="108" s="1"/>
  <c r="I18" i="108"/>
  <c r="J18" i="108" s="1"/>
  <c r="I17" i="108"/>
  <c r="J17" i="108" s="1"/>
  <c r="I16" i="108"/>
  <c r="J16" i="108" s="1"/>
  <c r="V16" i="108" s="1"/>
  <c r="I15" i="108"/>
  <c r="J15" i="108" s="1"/>
  <c r="I14" i="108"/>
  <c r="J14" i="108" s="1"/>
  <c r="V14" i="108" s="1"/>
  <c r="I13" i="108"/>
  <c r="J13" i="108" s="1"/>
  <c r="W13" i="108" s="1"/>
  <c r="I12" i="108"/>
  <c r="J12" i="108" s="1"/>
  <c r="I8" i="108"/>
  <c r="J8" i="108" s="1"/>
  <c r="V8" i="108" s="1"/>
  <c r="I9" i="108"/>
  <c r="J9" i="108" s="1"/>
  <c r="I10" i="108"/>
  <c r="J10" i="108" s="1"/>
  <c r="I11" i="108"/>
  <c r="J11" i="108" s="1"/>
  <c r="V11" i="108" s="1"/>
  <c r="J239" i="108"/>
  <c r="W239" i="108" s="1"/>
  <c r="J238" i="108"/>
  <c r="W238" i="108" s="1"/>
  <c r="J237" i="108"/>
  <c r="W237" i="108" s="1"/>
  <c r="J236" i="108"/>
  <c r="W236" i="108" s="1"/>
  <c r="J235" i="108"/>
  <c r="W235" i="108" s="1"/>
  <c r="J234" i="108"/>
  <c r="W234" i="108" s="1"/>
  <c r="J233" i="108"/>
  <c r="W233" i="108" s="1"/>
  <c r="J232" i="108"/>
  <c r="W232" i="108" s="1"/>
  <c r="J231" i="108"/>
  <c r="W231" i="108" s="1"/>
  <c r="J230" i="108"/>
  <c r="W230" i="108" s="1"/>
  <c r="J229" i="108"/>
  <c r="W229" i="108" s="1"/>
  <c r="J228" i="108"/>
  <c r="W228" i="108" s="1"/>
  <c r="J227" i="108"/>
  <c r="W227" i="108" s="1"/>
  <c r="J226" i="108"/>
  <c r="W226" i="108" s="1"/>
  <c r="J225" i="108"/>
  <c r="W225" i="108" s="1"/>
  <c r="J224" i="108"/>
  <c r="W224" i="108" s="1"/>
  <c r="J223" i="108"/>
  <c r="W223" i="108" s="1"/>
  <c r="J222" i="108"/>
  <c r="W222" i="108" s="1"/>
  <c r="J221" i="108"/>
  <c r="W221" i="108" s="1"/>
  <c r="J220" i="108"/>
  <c r="W220" i="108" s="1"/>
  <c r="J219" i="108"/>
  <c r="W219" i="108" s="1"/>
  <c r="J218" i="108"/>
  <c r="W218" i="108" s="1"/>
  <c r="J217" i="108"/>
  <c r="W217" i="108" s="1"/>
  <c r="B217" i="108"/>
  <c r="B218" i="108" s="1"/>
  <c r="B219" i="108" s="1"/>
  <c r="B220" i="108" s="1"/>
  <c r="B221" i="108" s="1"/>
  <c r="B222" i="108" s="1"/>
  <c r="B223" i="108" s="1"/>
  <c r="B224" i="108" s="1"/>
  <c r="B225" i="108" s="1"/>
  <c r="B226" i="108" s="1"/>
  <c r="B227" i="108" s="1"/>
  <c r="B228" i="108" s="1"/>
  <c r="B229" i="108" s="1"/>
  <c r="B230" i="108" s="1"/>
  <c r="B231" i="108" s="1"/>
  <c r="B232" i="108" s="1"/>
  <c r="B233" i="108" s="1"/>
  <c r="B234" i="108" s="1"/>
  <c r="B235" i="108" s="1"/>
  <c r="B236" i="108" s="1"/>
  <c r="B237" i="108" s="1"/>
  <c r="B238" i="108" s="1"/>
  <c r="B239" i="108" s="1"/>
  <c r="J216" i="108"/>
  <c r="W216" i="108" s="1"/>
  <c r="J207" i="108"/>
  <c r="V207" i="108" s="1"/>
  <c r="W206" i="108"/>
  <c r="J206" i="108"/>
  <c r="V206" i="108" s="1"/>
  <c r="J205" i="108"/>
  <c r="V205" i="108" s="1"/>
  <c r="J204" i="108"/>
  <c r="V204" i="108" s="1"/>
  <c r="J203" i="108"/>
  <c r="V203" i="108" s="1"/>
  <c r="J202" i="108"/>
  <c r="V202" i="108" s="1"/>
  <c r="J201" i="108"/>
  <c r="V201" i="108" s="1"/>
  <c r="J200" i="108"/>
  <c r="V200" i="108" s="1"/>
  <c r="J199" i="108"/>
  <c r="V199" i="108" s="1"/>
  <c r="J198" i="108"/>
  <c r="V198" i="108" s="1"/>
  <c r="J197" i="108"/>
  <c r="V197" i="108" s="1"/>
  <c r="J196" i="108"/>
  <c r="V196" i="108" s="1"/>
  <c r="J195" i="108"/>
  <c r="V195" i="108" s="1"/>
  <c r="J194" i="108"/>
  <c r="V194" i="108" s="1"/>
  <c r="J193" i="108"/>
  <c r="V193" i="108" s="1"/>
  <c r="J192" i="108"/>
  <c r="V192" i="108" s="1"/>
  <c r="J191" i="108"/>
  <c r="V191" i="108" s="1"/>
  <c r="J190" i="108"/>
  <c r="V190" i="108" s="1"/>
  <c r="J189" i="108"/>
  <c r="V189" i="108" s="1"/>
  <c r="J188" i="108"/>
  <c r="V188" i="108" s="1"/>
  <c r="J187" i="108"/>
  <c r="V187" i="108" s="1"/>
  <c r="J186" i="108"/>
  <c r="V186" i="108" s="1"/>
  <c r="B186" i="108"/>
  <c r="B187" i="108" s="1"/>
  <c r="B188" i="108" s="1"/>
  <c r="B189" i="108" s="1"/>
  <c r="B190" i="108" s="1"/>
  <c r="B191" i="108" s="1"/>
  <c r="B192" i="108" s="1"/>
  <c r="B193" i="108" s="1"/>
  <c r="B194" i="108" s="1"/>
  <c r="B195" i="108" s="1"/>
  <c r="B196" i="108" s="1"/>
  <c r="B197" i="108" s="1"/>
  <c r="B198" i="108" s="1"/>
  <c r="B199" i="108" s="1"/>
  <c r="B200" i="108" s="1"/>
  <c r="B201" i="108" s="1"/>
  <c r="B202" i="108" s="1"/>
  <c r="B203" i="108" s="1"/>
  <c r="B204" i="108" s="1"/>
  <c r="B205" i="108" s="1"/>
  <c r="B206" i="108" s="1"/>
  <c r="B207" i="108" s="1"/>
  <c r="J185" i="108"/>
  <c r="V185" i="108" s="1"/>
  <c r="V176" i="108"/>
  <c r="J176" i="108"/>
  <c r="W176" i="108" s="1"/>
  <c r="J175" i="108"/>
  <c r="W175" i="108" s="1"/>
  <c r="J174" i="108"/>
  <c r="W174" i="108" s="1"/>
  <c r="J173" i="108"/>
  <c r="W173" i="108" s="1"/>
  <c r="J172" i="108"/>
  <c r="W172" i="108" s="1"/>
  <c r="J171" i="108"/>
  <c r="W171" i="108" s="1"/>
  <c r="J170" i="108"/>
  <c r="W170" i="108" s="1"/>
  <c r="J169" i="108"/>
  <c r="W169" i="108" s="1"/>
  <c r="J168" i="108"/>
  <c r="W168" i="108" s="1"/>
  <c r="J167" i="108"/>
  <c r="W167" i="108" s="1"/>
  <c r="J166" i="108"/>
  <c r="W166" i="108" s="1"/>
  <c r="J165" i="108"/>
  <c r="W165" i="108" s="1"/>
  <c r="J164" i="108"/>
  <c r="W164" i="108" s="1"/>
  <c r="J163" i="108"/>
  <c r="W163" i="108" s="1"/>
  <c r="J162" i="108"/>
  <c r="W162" i="108" s="1"/>
  <c r="J161" i="108"/>
  <c r="W161" i="108" s="1"/>
  <c r="J160" i="108"/>
  <c r="W160" i="108" s="1"/>
  <c r="J159" i="108"/>
  <c r="W159" i="108" s="1"/>
  <c r="J158" i="108"/>
  <c r="W158" i="108" s="1"/>
  <c r="J157" i="108"/>
  <c r="W157" i="108" s="1"/>
  <c r="J156" i="108"/>
  <c r="W156" i="108" s="1"/>
  <c r="J155" i="108"/>
  <c r="W155" i="108" s="1"/>
  <c r="B155" i="108"/>
  <c r="B156" i="108" s="1"/>
  <c r="B157" i="108" s="1"/>
  <c r="B158" i="108" s="1"/>
  <c r="B159" i="108" s="1"/>
  <c r="B160" i="108" s="1"/>
  <c r="B161" i="108" s="1"/>
  <c r="B162" i="108" s="1"/>
  <c r="B163" i="108" s="1"/>
  <c r="B164" i="108" s="1"/>
  <c r="B165" i="108" s="1"/>
  <c r="B166" i="108" s="1"/>
  <c r="B167" i="108" s="1"/>
  <c r="B168" i="108" s="1"/>
  <c r="B169" i="108" s="1"/>
  <c r="B170" i="108" s="1"/>
  <c r="B171" i="108" s="1"/>
  <c r="B172" i="108" s="1"/>
  <c r="B173" i="108" s="1"/>
  <c r="B174" i="108" s="1"/>
  <c r="B175" i="108" s="1"/>
  <c r="B176" i="108" s="1"/>
  <c r="J154" i="108"/>
  <c r="W154" i="108" s="1"/>
  <c r="J145" i="108"/>
  <c r="V145" i="108" s="1"/>
  <c r="W144" i="108"/>
  <c r="J144" i="108"/>
  <c r="V144" i="108" s="1"/>
  <c r="J143" i="108"/>
  <c r="V143" i="108" s="1"/>
  <c r="J142" i="108"/>
  <c r="V142" i="108" s="1"/>
  <c r="J141" i="108"/>
  <c r="V141" i="108" s="1"/>
  <c r="J140" i="108"/>
  <c r="V140" i="108" s="1"/>
  <c r="J139" i="108"/>
  <c r="V139" i="108" s="1"/>
  <c r="J138" i="108"/>
  <c r="V138" i="108" s="1"/>
  <c r="J137" i="108"/>
  <c r="V137" i="108" s="1"/>
  <c r="J136" i="108"/>
  <c r="V136" i="108" s="1"/>
  <c r="J135" i="108"/>
  <c r="V135" i="108" s="1"/>
  <c r="J134" i="108"/>
  <c r="V134" i="108" s="1"/>
  <c r="J133" i="108"/>
  <c r="V133" i="108" s="1"/>
  <c r="J132" i="108"/>
  <c r="V132" i="108" s="1"/>
  <c r="J131" i="108"/>
  <c r="V131" i="108" s="1"/>
  <c r="J130" i="108"/>
  <c r="V130" i="108" s="1"/>
  <c r="J129" i="108"/>
  <c r="V129" i="108" s="1"/>
  <c r="J128" i="108"/>
  <c r="V128" i="108" s="1"/>
  <c r="J127" i="108"/>
  <c r="V127" i="108" s="1"/>
  <c r="J126" i="108"/>
  <c r="V126" i="108" s="1"/>
  <c r="J125" i="108"/>
  <c r="V125" i="108" s="1"/>
  <c r="J124" i="108"/>
  <c r="V124" i="108" s="1"/>
  <c r="B124" i="108"/>
  <c r="B125" i="108" s="1"/>
  <c r="B126" i="108" s="1"/>
  <c r="B127" i="108" s="1"/>
  <c r="B128" i="108" s="1"/>
  <c r="B129" i="108" s="1"/>
  <c r="B130" i="108" s="1"/>
  <c r="B131" i="108" s="1"/>
  <c r="B132" i="108" s="1"/>
  <c r="B133" i="108" s="1"/>
  <c r="B134" i="108" s="1"/>
  <c r="B135" i="108" s="1"/>
  <c r="B136" i="108" s="1"/>
  <c r="B137" i="108" s="1"/>
  <c r="B138" i="108" s="1"/>
  <c r="B139" i="108" s="1"/>
  <c r="B140" i="108" s="1"/>
  <c r="B141" i="108" s="1"/>
  <c r="B142" i="108" s="1"/>
  <c r="B143" i="108" s="1"/>
  <c r="B144" i="108" s="1"/>
  <c r="B145" i="108" s="1"/>
  <c r="J123" i="108"/>
  <c r="V123" i="108" s="1"/>
  <c r="V114" i="108"/>
  <c r="J114" i="108"/>
  <c r="W114" i="108" s="1"/>
  <c r="J113" i="108"/>
  <c r="W113" i="108" s="1"/>
  <c r="J112" i="108"/>
  <c r="W112" i="108" s="1"/>
  <c r="J111" i="108"/>
  <c r="W111" i="108" s="1"/>
  <c r="J110" i="108"/>
  <c r="W110" i="108" s="1"/>
  <c r="J109" i="108"/>
  <c r="W109" i="108" s="1"/>
  <c r="J108" i="108"/>
  <c r="W108" i="108" s="1"/>
  <c r="J107" i="108"/>
  <c r="W107" i="108" s="1"/>
  <c r="J106" i="108"/>
  <c r="W106" i="108" s="1"/>
  <c r="J105" i="108"/>
  <c r="W105" i="108" s="1"/>
  <c r="J104" i="108"/>
  <c r="W104" i="108" s="1"/>
  <c r="J103" i="108"/>
  <c r="W103" i="108" s="1"/>
  <c r="J102" i="108"/>
  <c r="W102" i="108" s="1"/>
  <c r="J101" i="108"/>
  <c r="W101" i="108" s="1"/>
  <c r="J100" i="108"/>
  <c r="W100" i="108" s="1"/>
  <c r="J99" i="108"/>
  <c r="W99" i="108" s="1"/>
  <c r="J98" i="108"/>
  <c r="W98" i="108" s="1"/>
  <c r="J97" i="108"/>
  <c r="W97" i="108" s="1"/>
  <c r="V96" i="108"/>
  <c r="J96" i="108"/>
  <c r="W96" i="108" s="1"/>
  <c r="J95" i="108"/>
  <c r="W95" i="108" s="1"/>
  <c r="J94" i="108"/>
  <c r="W94" i="108" s="1"/>
  <c r="J93" i="108"/>
  <c r="W93" i="108" s="1"/>
  <c r="B93" i="108"/>
  <c r="B94" i="108" s="1"/>
  <c r="B95" i="108" s="1"/>
  <c r="B96" i="108" s="1"/>
  <c r="B97" i="108" s="1"/>
  <c r="B98" i="108" s="1"/>
  <c r="B99" i="108" s="1"/>
  <c r="B100" i="108" s="1"/>
  <c r="B101" i="108" s="1"/>
  <c r="B102" i="108" s="1"/>
  <c r="B103" i="108" s="1"/>
  <c r="B104" i="108" s="1"/>
  <c r="B105" i="108" s="1"/>
  <c r="B106" i="108" s="1"/>
  <c r="B107" i="108" s="1"/>
  <c r="B108" i="108" s="1"/>
  <c r="B109" i="108" s="1"/>
  <c r="B110" i="108" s="1"/>
  <c r="B111" i="108" s="1"/>
  <c r="B112" i="108" s="1"/>
  <c r="B113" i="108" s="1"/>
  <c r="B114" i="108" s="1"/>
  <c r="J92" i="108"/>
  <c r="W92" i="108" s="1"/>
  <c r="J83" i="108"/>
  <c r="V83" i="108" s="1"/>
  <c r="J82" i="108"/>
  <c r="V82" i="108" s="1"/>
  <c r="J81" i="108"/>
  <c r="J80" i="108"/>
  <c r="W80" i="108" s="1"/>
  <c r="J79" i="108"/>
  <c r="W79" i="108" s="1"/>
  <c r="J78" i="108"/>
  <c r="W78" i="108" s="1"/>
  <c r="J77" i="108"/>
  <c r="W77" i="108" s="1"/>
  <c r="J76" i="108"/>
  <c r="W76" i="108" s="1"/>
  <c r="J75" i="108"/>
  <c r="W75" i="108" s="1"/>
  <c r="J74" i="108"/>
  <c r="W74" i="108" s="1"/>
  <c r="J73" i="108"/>
  <c r="W73" i="108" s="1"/>
  <c r="J72" i="108"/>
  <c r="W72" i="108" s="1"/>
  <c r="J71" i="108"/>
  <c r="W71" i="108" s="1"/>
  <c r="J70" i="108"/>
  <c r="W70" i="108" s="1"/>
  <c r="J69" i="108"/>
  <c r="W69" i="108" s="1"/>
  <c r="J68" i="108"/>
  <c r="W68" i="108" s="1"/>
  <c r="J67" i="108"/>
  <c r="W67" i="108" s="1"/>
  <c r="J66" i="108"/>
  <c r="W66" i="108" s="1"/>
  <c r="J65" i="108"/>
  <c r="W65" i="108" s="1"/>
  <c r="J64" i="108"/>
  <c r="W64" i="108" s="1"/>
  <c r="J63" i="108"/>
  <c r="W63" i="108" s="1"/>
  <c r="J62" i="108"/>
  <c r="W62" i="108" s="1"/>
  <c r="J61" i="108"/>
  <c r="W61" i="108" s="1"/>
  <c r="B61" i="108"/>
  <c r="B62" i="108" s="1"/>
  <c r="B63" i="108" s="1"/>
  <c r="B64" i="108" s="1"/>
  <c r="B65" i="108" s="1"/>
  <c r="B66" i="108" s="1"/>
  <c r="B67" i="108" s="1"/>
  <c r="B68" i="108" s="1"/>
  <c r="B69" i="108" s="1"/>
  <c r="B70" i="108" s="1"/>
  <c r="B71" i="108" s="1"/>
  <c r="B72" i="108" s="1"/>
  <c r="B73" i="108" s="1"/>
  <c r="B74" i="108" s="1"/>
  <c r="B75" i="108" s="1"/>
  <c r="B76" i="108" s="1"/>
  <c r="B77" i="108" s="1"/>
  <c r="B78" i="108" s="1"/>
  <c r="B79" i="108" s="1"/>
  <c r="B80" i="108" s="1"/>
  <c r="B81" i="108" s="1"/>
  <c r="B82" i="108" s="1"/>
  <c r="B83" i="108" s="1"/>
  <c r="J60" i="108"/>
  <c r="W60" i="108" s="1"/>
  <c r="W51" i="108"/>
  <c r="V51" i="108"/>
  <c r="W50" i="108"/>
  <c r="V50" i="108"/>
  <c r="W49" i="108"/>
  <c r="V49" i="108"/>
  <c r="W48" i="108"/>
  <c r="V48" i="108"/>
  <c r="V46" i="108"/>
  <c r="W45" i="108"/>
  <c r="V42" i="108"/>
  <c r="N16" i="108"/>
  <c r="N14" i="108"/>
  <c r="N12" i="108"/>
  <c r="N10" i="108"/>
  <c r="N8" i="108"/>
  <c r="I7" i="108"/>
  <c r="J7" i="108" s="1"/>
  <c r="B7" i="108"/>
  <c r="B8" i="108" s="1"/>
  <c r="B9" i="108" s="1"/>
  <c r="B10" i="108" s="1"/>
  <c r="B11" i="108" s="1"/>
  <c r="B12" i="108" s="1"/>
  <c r="B13" i="108" s="1"/>
  <c r="B14" i="108" s="1"/>
  <c r="B15" i="108" s="1"/>
  <c r="B16" i="108" s="1"/>
  <c r="B17" i="108" s="1"/>
  <c r="B18" i="108" s="1"/>
  <c r="B19" i="108" s="1"/>
  <c r="B20" i="108" s="1"/>
  <c r="B21" i="108" s="1"/>
  <c r="B22" i="108" s="1"/>
  <c r="B23" i="108" s="1"/>
  <c r="B24" i="108" s="1"/>
  <c r="B25" i="108" s="1"/>
  <c r="B26" i="108" s="1"/>
  <c r="B27" i="108" s="1"/>
  <c r="B28" i="108" s="1"/>
  <c r="B29" i="108" s="1"/>
  <c r="B30" i="108" s="1"/>
  <c r="B31" i="108" s="1"/>
  <c r="B32" i="108" s="1"/>
  <c r="B33" i="108" s="1"/>
  <c r="B34" i="108" s="1"/>
  <c r="B35" i="108" s="1"/>
  <c r="B36" i="108" s="1"/>
  <c r="B37" i="108" s="1"/>
  <c r="B38" i="108" s="1"/>
  <c r="B39" i="108" s="1"/>
  <c r="B40" i="108" s="1"/>
  <c r="B41" i="108" s="1"/>
  <c r="B42" i="108" s="1"/>
  <c r="B43" i="108" s="1"/>
  <c r="B44" i="108" s="1"/>
  <c r="B45" i="108" s="1"/>
  <c r="B46" i="108" s="1"/>
  <c r="B47" i="108" s="1"/>
  <c r="B48" i="108" s="1"/>
  <c r="B49" i="108" s="1"/>
  <c r="B50" i="108" s="1"/>
  <c r="B51" i="108" s="1"/>
  <c r="N6" i="108"/>
  <c r="I6" i="108"/>
  <c r="J6" i="108" s="1"/>
  <c r="W6" i="108" s="1"/>
  <c r="N4" i="108"/>
  <c r="I47" i="107"/>
  <c r="J47" i="107" s="1"/>
  <c r="J46" i="107"/>
  <c r="I46" i="107"/>
  <c r="I45" i="107"/>
  <c r="J45" i="107" s="1"/>
  <c r="I44" i="107"/>
  <c r="J44" i="107" s="1"/>
  <c r="I43" i="107"/>
  <c r="J43" i="107" s="1"/>
  <c r="I42" i="107"/>
  <c r="J42" i="107" s="1"/>
  <c r="I41" i="107"/>
  <c r="J41" i="107" s="1"/>
  <c r="I40" i="107"/>
  <c r="J40" i="107" s="1"/>
  <c r="I39" i="107"/>
  <c r="J39" i="107" s="1"/>
  <c r="I38" i="107"/>
  <c r="J38" i="107" s="1"/>
  <c r="I37" i="107"/>
  <c r="J37" i="107" s="1"/>
  <c r="I36" i="107"/>
  <c r="J36" i="107" s="1"/>
  <c r="I35" i="107"/>
  <c r="J35" i="107" s="1"/>
  <c r="I34" i="107"/>
  <c r="J34" i="107" s="1"/>
  <c r="I33" i="107"/>
  <c r="J33" i="107" s="1"/>
  <c r="I32" i="107"/>
  <c r="J32" i="107" s="1"/>
  <c r="I31" i="107"/>
  <c r="J31" i="107" s="1"/>
  <c r="I30" i="107"/>
  <c r="J30" i="107" s="1"/>
  <c r="I29" i="107"/>
  <c r="J29" i="107" s="1"/>
  <c r="I28" i="107"/>
  <c r="J28" i="107" s="1"/>
  <c r="I27" i="107"/>
  <c r="J27" i="107" s="1"/>
  <c r="I26" i="107"/>
  <c r="J26" i="107" s="1"/>
  <c r="I25" i="107"/>
  <c r="J25" i="107" s="1"/>
  <c r="I24" i="107"/>
  <c r="J24" i="107" s="1"/>
  <c r="I23" i="107"/>
  <c r="J23" i="107" s="1"/>
  <c r="I22" i="107"/>
  <c r="J22" i="107" s="1"/>
  <c r="I21" i="107"/>
  <c r="J21" i="107" s="1"/>
  <c r="I20" i="107"/>
  <c r="J20" i="107" s="1"/>
  <c r="I19" i="107"/>
  <c r="J19" i="107" s="1"/>
  <c r="I18" i="107"/>
  <c r="J18" i="107" s="1"/>
  <c r="I17" i="107"/>
  <c r="J17" i="107" s="1"/>
  <c r="I16" i="107"/>
  <c r="J16" i="107" s="1"/>
  <c r="W235" i="109" l="1"/>
  <c r="V238" i="109"/>
  <c r="V75" i="109"/>
  <c r="V77" i="108"/>
  <c r="V154" i="108"/>
  <c r="V160" i="108"/>
  <c r="V100" i="109"/>
  <c r="W111" i="109"/>
  <c r="V114" i="109"/>
  <c r="V220" i="109"/>
  <c r="V79" i="108"/>
  <c r="W207" i="108"/>
  <c r="V236" i="108"/>
  <c r="V238" i="108"/>
  <c r="V235" i="108"/>
  <c r="V237" i="108"/>
  <c r="V239" i="108"/>
  <c r="W76" i="109"/>
  <c r="V79" i="109"/>
  <c r="W163" i="109"/>
  <c r="W176" i="109"/>
  <c r="V15" i="109"/>
  <c r="W15" i="109"/>
  <c r="V65" i="108"/>
  <c r="V75" i="108"/>
  <c r="W82" i="108"/>
  <c r="V92" i="108"/>
  <c r="V94" i="108"/>
  <c r="V104" i="108"/>
  <c r="W64" i="109"/>
  <c r="V67" i="109"/>
  <c r="W80" i="109"/>
  <c r="V98" i="109"/>
  <c r="V218" i="109"/>
  <c r="V223" i="109"/>
  <c r="W231" i="109"/>
  <c r="W234" i="109"/>
  <c r="W145" i="108"/>
  <c r="V73" i="108"/>
  <c r="V78" i="108"/>
  <c r="V80" i="108"/>
  <c r="V64" i="108"/>
  <c r="W83" i="108"/>
  <c r="W84" i="108" s="1"/>
  <c r="P6" i="108" s="1"/>
  <c r="V170" i="108"/>
  <c r="V71" i="109"/>
  <c r="V154" i="109"/>
  <c r="W167" i="109"/>
  <c r="Q18" i="111"/>
  <c r="Q10" i="110"/>
  <c r="Q14" i="110"/>
  <c r="P18" i="110"/>
  <c r="Q6" i="110"/>
  <c r="R16" i="110"/>
  <c r="Q16" i="110"/>
  <c r="Q12" i="110"/>
  <c r="R8" i="110"/>
  <c r="R4" i="110"/>
  <c r="O18" i="110"/>
  <c r="R18" i="110" s="1"/>
  <c r="P20" i="110" s="1"/>
  <c r="Q4" i="110"/>
  <c r="V237" i="109"/>
  <c r="W236" i="109"/>
  <c r="V174" i="109"/>
  <c r="W173" i="109"/>
  <c r="V113" i="109"/>
  <c r="W112" i="109"/>
  <c r="V78" i="109"/>
  <c r="W172" i="109"/>
  <c r="V110" i="109"/>
  <c r="V77" i="109"/>
  <c r="V233" i="109"/>
  <c r="W232" i="109"/>
  <c r="V230" i="109"/>
  <c r="W171" i="109"/>
  <c r="W107" i="109"/>
  <c r="V73" i="109"/>
  <c r="W72" i="109"/>
  <c r="W228" i="109"/>
  <c r="V226" i="109"/>
  <c r="W68" i="109"/>
  <c r="V24" i="109"/>
  <c r="V222" i="109"/>
  <c r="W159" i="109"/>
  <c r="V219" i="109"/>
  <c r="W63" i="109"/>
  <c r="J240" i="109"/>
  <c r="V208" i="109"/>
  <c r="O14" i="109" s="1"/>
  <c r="R14" i="109" s="1"/>
  <c r="V155" i="109"/>
  <c r="J115" i="109"/>
  <c r="W216" i="109"/>
  <c r="W217" i="109"/>
  <c r="W221" i="109"/>
  <c r="W225" i="109"/>
  <c r="W229" i="109"/>
  <c r="V216" i="109"/>
  <c r="W156" i="109"/>
  <c r="W160" i="109"/>
  <c r="W164" i="109"/>
  <c r="W168" i="109"/>
  <c r="V158" i="109"/>
  <c r="V162" i="109"/>
  <c r="V166" i="109"/>
  <c r="V170" i="109"/>
  <c r="J177" i="109"/>
  <c r="W157" i="109"/>
  <c r="W161" i="109"/>
  <c r="W165" i="109"/>
  <c r="W169" i="109"/>
  <c r="W99" i="109"/>
  <c r="V106" i="109"/>
  <c r="V94" i="109"/>
  <c r="V96" i="109"/>
  <c r="W103" i="109"/>
  <c r="W109" i="109"/>
  <c r="W95" i="109"/>
  <c r="V102" i="109"/>
  <c r="V104" i="109"/>
  <c r="N18" i="109"/>
  <c r="W108" i="109"/>
  <c r="W92" i="109"/>
  <c r="W93" i="109"/>
  <c r="W97" i="109"/>
  <c r="W101" i="109"/>
  <c r="W105" i="109"/>
  <c r="V92" i="109"/>
  <c r="W70" i="109"/>
  <c r="W74" i="109"/>
  <c r="V62" i="109"/>
  <c r="V66" i="109"/>
  <c r="W60" i="109"/>
  <c r="W61" i="109"/>
  <c r="W65" i="109"/>
  <c r="W69" i="109"/>
  <c r="W7" i="109"/>
  <c r="V7" i="109"/>
  <c r="V30" i="109"/>
  <c r="W30" i="109"/>
  <c r="W35" i="109"/>
  <c r="V35" i="109"/>
  <c r="W14" i="109"/>
  <c r="V14" i="109"/>
  <c r="V20" i="109"/>
  <c r="W20" i="109"/>
  <c r="W23" i="109"/>
  <c r="V23" i="109"/>
  <c r="V34" i="109"/>
  <c r="W34" i="109"/>
  <c r="V12" i="109"/>
  <c r="W12" i="109"/>
  <c r="W17" i="109"/>
  <c r="V17" i="109"/>
  <c r="V9" i="109"/>
  <c r="W9" i="109"/>
  <c r="V11" i="109"/>
  <c r="W11" i="109"/>
  <c r="V19" i="109"/>
  <c r="W19" i="109"/>
  <c r="V22" i="109"/>
  <c r="W22" i="109"/>
  <c r="W27" i="109"/>
  <c r="V27" i="109"/>
  <c r="V38" i="109"/>
  <c r="W38" i="109"/>
  <c r="V146" i="109"/>
  <c r="O10" i="109" s="1"/>
  <c r="R10" i="109" s="1"/>
  <c r="W6" i="109"/>
  <c r="V6" i="109"/>
  <c r="J52" i="109"/>
  <c r="V26" i="109"/>
  <c r="W26" i="109"/>
  <c r="W31" i="109"/>
  <c r="V31" i="109"/>
  <c r="W8" i="109"/>
  <c r="W16" i="109"/>
  <c r="J84" i="109"/>
  <c r="J146" i="109"/>
  <c r="J208" i="109"/>
  <c r="W10" i="109"/>
  <c r="W13" i="109"/>
  <c r="W18" i="109"/>
  <c r="W21" i="109"/>
  <c r="W25" i="109"/>
  <c r="W29" i="109"/>
  <c r="W33" i="109"/>
  <c r="W37" i="109"/>
  <c r="W82" i="109"/>
  <c r="W83" i="109"/>
  <c r="W123" i="109"/>
  <c r="W124" i="109"/>
  <c r="W125" i="109"/>
  <c r="W126" i="109"/>
  <c r="W127" i="109"/>
  <c r="W128" i="109"/>
  <c r="W129" i="109"/>
  <c r="W130" i="109"/>
  <c r="W131" i="109"/>
  <c r="W132" i="109"/>
  <c r="W133" i="109"/>
  <c r="W134" i="109"/>
  <c r="W135" i="109"/>
  <c r="W136" i="109"/>
  <c r="W137" i="109"/>
  <c r="W138" i="109"/>
  <c r="W139" i="109"/>
  <c r="W140" i="109"/>
  <c r="W141" i="109"/>
  <c r="W142" i="109"/>
  <c r="W143" i="109"/>
  <c r="W144" i="109"/>
  <c r="W145" i="109"/>
  <c r="W185" i="109"/>
  <c r="W186" i="109"/>
  <c r="W187" i="109"/>
  <c r="W188" i="109"/>
  <c r="W189" i="109"/>
  <c r="W190" i="109"/>
  <c r="W191" i="109"/>
  <c r="W192" i="109"/>
  <c r="W193" i="109"/>
  <c r="W194" i="109"/>
  <c r="W195" i="109"/>
  <c r="W196" i="109"/>
  <c r="W197" i="109"/>
  <c r="W198" i="109"/>
  <c r="W199" i="109"/>
  <c r="W200" i="109"/>
  <c r="W201" i="109"/>
  <c r="W202" i="109"/>
  <c r="W203" i="109"/>
  <c r="W204" i="109"/>
  <c r="W205" i="109"/>
  <c r="W206" i="109"/>
  <c r="W207" i="109"/>
  <c r="V168" i="108"/>
  <c r="V162" i="108"/>
  <c r="V76" i="108"/>
  <c r="V74" i="108"/>
  <c r="V72" i="108"/>
  <c r="V71" i="108"/>
  <c r="V70" i="108"/>
  <c r="V69" i="108"/>
  <c r="V68" i="108"/>
  <c r="V67" i="108"/>
  <c r="V66" i="108"/>
  <c r="V63" i="108"/>
  <c r="W123" i="108"/>
  <c r="V62" i="108"/>
  <c r="V61" i="108"/>
  <c r="W240" i="108"/>
  <c r="P16" i="108" s="1"/>
  <c r="V233" i="108"/>
  <c r="V217" i="108"/>
  <c r="V219" i="108"/>
  <c r="V221" i="108"/>
  <c r="V223" i="108"/>
  <c r="V225" i="108"/>
  <c r="V227" i="108"/>
  <c r="V229" i="108"/>
  <c r="V231" i="108"/>
  <c r="V218" i="108"/>
  <c r="V220" i="108"/>
  <c r="V222" i="108"/>
  <c r="V224" i="108"/>
  <c r="V226" i="108"/>
  <c r="V228" i="108"/>
  <c r="V230" i="108"/>
  <c r="V232" i="108"/>
  <c r="V234" i="108"/>
  <c r="V216" i="108"/>
  <c r="V208" i="108"/>
  <c r="O14" i="108" s="1"/>
  <c r="R14" i="108" s="1"/>
  <c r="W186" i="108"/>
  <c r="W188" i="108"/>
  <c r="W190" i="108"/>
  <c r="W192" i="108"/>
  <c r="W194" i="108"/>
  <c r="W196" i="108"/>
  <c r="W198" i="108"/>
  <c r="W200" i="108"/>
  <c r="W202" i="108"/>
  <c r="W204" i="108"/>
  <c r="J208" i="108"/>
  <c r="W187" i="108"/>
  <c r="W189" i="108"/>
  <c r="W191" i="108"/>
  <c r="W193" i="108"/>
  <c r="W195" i="108"/>
  <c r="W197" i="108"/>
  <c r="W199" i="108"/>
  <c r="W201" i="108"/>
  <c r="W203" i="108"/>
  <c r="W205" i="108"/>
  <c r="W185" i="108"/>
  <c r="V158" i="108"/>
  <c r="V166" i="108"/>
  <c r="V174" i="108"/>
  <c r="V156" i="108"/>
  <c r="V164" i="108"/>
  <c r="V172" i="108"/>
  <c r="V155" i="108"/>
  <c r="V157" i="108"/>
  <c r="V159" i="108"/>
  <c r="V161" i="108"/>
  <c r="V163" i="108"/>
  <c r="V165" i="108"/>
  <c r="V167" i="108"/>
  <c r="V169" i="108"/>
  <c r="V171" i="108"/>
  <c r="V173" i="108"/>
  <c r="V175" i="108"/>
  <c r="W143" i="108"/>
  <c r="J146" i="108"/>
  <c r="W125" i="108"/>
  <c r="W127" i="108"/>
  <c r="W129" i="108"/>
  <c r="W131" i="108"/>
  <c r="W133" i="108"/>
  <c r="W135" i="108"/>
  <c r="W137" i="108"/>
  <c r="W139" i="108"/>
  <c r="W141" i="108"/>
  <c r="W124" i="108"/>
  <c r="W126" i="108"/>
  <c r="W128" i="108"/>
  <c r="W130" i="108"/>
  <c r="W132" i="108"/>
  <c r="W134" i="108"/>
  <c r="W136" i="108"/>
  <c r="W138" i="108"/>
  <c r="W140" i="108"/>
  <c r="W142" i="108"/>
  <c r="V100" i="108"/>
  <c r="V108" i="108"/>
  <c r="V102" i="108"/>
  <c r="V98" i="108"/>
  <c r="V106" i="108"/>
  <c r="V112" i="108"/>
  <c r="V110" i="108"/>
  <c r="V93" i="108"/>
  <c r="V95" i="108"/>
  <c r="V97" i="108"/>
  <c r="V99" i="108"/>
  <c r="V101" i="108"/>
  <c r="V103" i="108"/>
  <c r="V105" i="108"/>
  <c r="V107" i="108"/>
  <c r="V109" i="108"/>
  <c r="V111" i="108"/>
  <c r="V113" i="108"/>
  <c r="V60" i="108"/>
  <c r="J84" i="108"/>
  <c r="W25" i="108"/>
  <c r="V25" i="108"/>
  <c r="W41" i="108"/>
  <c r="V41" i="108"/>
  <c r="W33" i="108"/>
  <c r="V33" i="108"/>
  <c r="V21" i="108"/>
  <c r="V37" i="108"/>
  <c r="V29" i="108"/>
  <c r="V45" i="108"/>
  <c r="V13" i="108"/>
  <c r="V7" i="108"/>
  <c r="W7" i="108"/>
  <c r="W9" i="108"/>
  <c r="V9" i="108"/>
  <c r="W24" i="108"/>
  <c r="V24" i="108"/>
  <c r="W35" i="108"/>
  <c r="V35" i="108"/>
  <c r="V40" i="108"/>
  <c r="W40" i="108"/>
  <c r="W10" i="108"/>
  <c r="V10" i="108"/>
  <c r="W12" i="108"/>
  <c r="V12" i="108"/>
  <c r="V15" i="108"/>
  <c r="W15" i="108"/>
  <c r="W17" i="108"/>
  <c r="V17" i="108"/>
  <c r="V20" i="108"/>
  <c r="W20" i="108"/>
  <c r="V31" i="108"/>
  <c r="W31" i="108"/>
  <c r="W36" i="108"/>
  <c r="V36" i="108"/>
  <c r="V47" i="108"/>
  <c r="W47" i="108"/>
  <c r="V23" i="108"/>
  <c r="W23" i="108"/>
  <c r="V28" i="108"/>
  <c r="W28" i="108"/>
  <c r="V39" i="108"/>
  <c r="W39" i="108"/>
  <c r="V44" i="108"/>
  <c r="W44" i="108"/>
  <c r="W18" i="108"/>
  <c r="V18" i="108"/>
  <c r="V27" i="108"/>
  <c r="W27" i="108"/>
  <c r="V32" i="108"/>
  <c r="W32" i="108"/>
  <c r="V43" i="108"/>
  <c r="W43" i="108"/>
  <c r="W115" i="108"/>
  <c r="P8" i="108" s="1"/>
  <c r="V146" i="108"/>
  <c r="O10" i="108" s="1"/>
  <c r="R10" i="108" s="1"/>
  <c r="W177" i="108"/>
  <c r="P12" i="108" s="1"/>
  <c r="J52" i="108"/>
  <c r="W14" i="108"/>
  <c r="N18" i="108"/>
  <c r="V6" i="108"/>
  <c r="W8" i="108"/>
  <c r="W11" i="108"/>
  <c r="W16" i="108"/>
  <c r="W19" i="108"/>
  <c r="W22" i="108"/>
  <c r="W26" i="108"/>
  <c r="W30" i="108"/>
  <c r="W34" i="108"/>
  <c r="W38" i="108"/>
  <c r="W42" i="108"/>
  <c r="W46" i="108"/>
  <c r="J115" i="108"/>
  <c r="J177" i="108"/>
  <c r="J240" i="108"/>
  <c r="I15" i="107"/>
  <c r="J15" i="107" s="1"/>
  <c r="I14" i="107"/>
  <c r="J14" i="107" s="1"/>
  <c r="V14" i="107" s="1"/>
  <c r="I13" i="107"/>
  <c r="J13" i="107" s="1"/>
  <c r="I12" i="107"/>
  <c r="J12" i="107" s="1"/>
  <c r="I11" i="107"/>
  <c r="J11" i="107" s="1"/>
  <c r="V11" i="107" s="1"/>
  <c r="I10" i="107"/>
  <c r="J10" i="107" s="1"/>
  <c r="W10" i="107" s="1"/>
  <c r="I8" i="107"/>
  <c r="J8" i="107" s="1"/>
  <c r="V8" i="107" s="1"/>
  <c r="I9" i="107"/>
  <c r="J9" i="107" s="1"/>
  <c r="J239" i="107"/>
  <c r="W239" i="107" s="1"/>
  <c r="V238" i="107"/>
  <c r="J238" i="107"/>
  <c r="W238" i="107" s="1"/>
  <c r="J237" i="107"/>
  <c r="W237" i="107" s="1"/>
  <c r="J236" i="107"/>
  <c r="W236" i="107" s="1"/>
  <c r="V235" i="107"/>
  <c r="J235" i="107"/>
  <c r="W235" i="107" s="1"/>
  <c r="J234" i="107"/>
  <c r="W234" i="107" s="1"/>
  <c r="J233" i="107"/>
  <c r="W233" i="107" s="1"/>
  <c r="J232" i="107"/>
  <c r="W232" i="107" s="1"/>
  <c r="J231" i="107"/>
  <c r="W231" i="107" s="1"/>
  <c r="J230" i="107"/>
  <c r="W230" i="107" s="1"/>
  <c r="V229" i="107"/>
  <c r="J229" i="107"/>
  <c r="W229" i="107" s="1"/>
  <c r="J228" i="107"/>
  <c r="W228" i="107" s="1"/>
  <c r="J227" i="107"/>
  <c r="W227" i="107" s="1"/>
  <c r="J226" i="107"/>
  <c r="W226" i="107" s="1"/>
  <c r="J225" i="107"/>
  <c r="W225" i="107" s="1"/>
  <c r="J224" i="107"/>
  <c r="W224" i="107" s="1"/>
  <c r="J223" i="107"/>
  <c r="W223" i="107" s="1"/>
  <c r="J222" i="107"/>
  <c r="W222" i="107" s="1"/>
  <c r="J221" i="107"/>
  <c r="W221" i="107" s="1"/>
  <c r="J220" i="107"/>
  <c r="W220" i="107" s="1"/>
  <c r="J219" i="107"/>
  <c r="W219" i="107" s="1"/>
  <c r="J218" i="107"/>
  <c r="W218" i="107" s="1"/>
  <c r="J217" i="107"/>
  <c r="W217" i="107" s="1"/>
  <c r="B217" i="107"/>
  <c r="B218" i="107" s="1"/>
  <c r="B219" i="107" s="1"/>
  <c r="B220" i="107" s="1"/>
  <c r="B221" i="107" s="1"/>
  <c r="B222" i="107" s="1"/>
  <c r="B223" i="107" s="1"/>
  <c r="B224" i="107" s="1"/>
  <c r="B225" i="107" s="1"/>
  <c r="B226" i="107" s="1"/>
  <c r="B227" i="107" s="1"/>
  <c r="B228" i="107" s="1"/>
  <c r="B229" i="107" s="1"/>
  <c r="B230" i="107" s="1"/>
  <c r="B231" i="107" s="1"/>
  <c r="B232" i="107" s="1"/>
  <c r="B233" i="107" s="1"/>
  <c r="B234" i="107" s="1"/>
  <c r="B235" i="107" s="1"/>
  <c r="B236" i="107" s="1"/>
  <c r="B237" i="107" s="1"/>
  <c r="B238" i="107" s="1"/>
  <c r="B239" i="107" s="1"/>
  <c r="J216" i="107"/>
  <c r="W216" i="107" s="1"/>
  <c r="J207" i="107"/>
  <c r="W207" i="107" s="1"/>
  <c r="J206" i="107"/>
  <c r="V206" i="107" s="1"/>
  <c r="J205" i="107"/>
  <c r="W205" i="107" s="1"/>
  <c r="J204" i="107"/>
  <c r="V204" i="107" s="1"/>
  <c r="W203" i="107"/>
  <c r="V203" i="107"/>
  <c r="J203" i="107"/>
  <c r="J202" i="107"/>
  <c r="V202" i="107" s="1"/>
  <c r="V201" i="107"/>
  <c r="J201" i="107"/>
  <c r="W201" i="107" s="1"/>
  <c r="J200" i="107"/>
  <c r="V200" i="107" s="1"/>
  <c r="J199" i="107"/>
  <c r="W199" i="107" s="1"/>
  <c r="J198" i="107"/>
  <c r="W198" i="107" s="1"/>
  <c r="J197" i="107"/>
  <c r="V197" i="107" s="1"/>
  <c r="J196" i="107"/>
  <c r="W196" i="107" s="1"/>
  <c r="J195" i="107"/>
  <c r="V195" i="107" s="1"/>
  <c r="J194" i="107"/>
  <c r="V194" i="107" s="1"/>
  <c r="J193" i="107"/>
  <c r="V193" i="107" s="1"/>
  <c r="J192" i="107"/>
  <c r="W192" i="107" s="1"/>
  <c r="J191" i="107"/>
  <c r="V191" i="107" s="1"/>
  <c r="J190" i="107"/>
  <c r="V190" i="107" s="1"/>
  <c r="J189" i="107"/>
  <c r="V189" i="107" s="1"/>
  <c r="J188" i="107"/>
  <c r="W188" i="107" s="1"/>
  <c r="J187" i="107"/>
  <c r="V187" i="107" s="1"/>
  <c r="J186" i="107"/>
  <c r="V186" i="107" s="1"/>
  <c r="B186" i="107"/>
  <c r="B187" i="107" s="1"/>
  <c r="B188" i="107" s="1"/>
  <c r="B189" i="107" s="1"/>
  <c r="B190" i="107" s="1"/>
  <c r="B191" i="107" s="1"/>
  <c r="B192" i="107" s="1"/>
  <c r="B193" i="107" s="1"/>
  <c r="B194" i="107" s="1"/>
  <c r="B195" i="107" s="1"/>
  <c r="B196" i="107" s="1"/>
  <c r="B197" i="107" s="1"/>
  <c r="B198" i="107" s="1"/>
  <c r="B199" i="107" s="1"/>
  <c r="B200" i="107" s="1"/>
  <c r="B201" i="107" s="1"/>
  <c r="B202" i="107" s="1"/>
  <c r="B203" i="107" s="1"/>
  <c r="B204" i="107" s="1"/>
  <c r="B205" i="107" s="1"/>
  <c r="B206" i="107" s="1"/>
  <c r="B207" i="107" s="1"/>
  <c r="J185" i="107"/>
  <c r="V185" i="107" s="1"/>
  <c r="J176" i="107"/>
  <c r="W176" i="107" s="1"/>
  <c r="J175" i="107"/>
  <c r="W175" i="107" s="1"/>
  <c r="J174" i="107"/>
  <c r="W174" i="107" s="1"/>
  <c r="J173" i="107"/>
  <c r="W173" i="107" s="1"/>
  <c r="J172" i="107"/>
  <c r="W172" i="107" s="1"/>
  <c r="J171" i="107"/>
  <c r="W171" i="107" s="1"/>
  <c r="J170" i="107"/>
  <c r="W170" i="107" s="1"/>
  <c r="J169" i="107"/>
  <c r="W169" i="107" s="1"/>
  <c r="J168" i="107"/>
  <c r="W168" i="107" s="1"/>
  <c r="V167" i="107"/>
  <c r="J167" i="107"/>
  <c r="W167" i="107" s="1"/>
  <c r="J166" i="107"/>
  <c r="W166" i="107" s="1"/>
  <c r="J165" i="107"/>
  <c r="W165" i="107" s="1"/>
  <c r="J164" i="107"/>
  <c r="W164" i="107" s="1"/>
  <c r="J163" i="107"/>
  <c r="W163" i="107" s="1"/>
  <c r="J162" i="107"/>
  <c r="W162" i="107" s="1"/>
  <c r="J161" i="107"/>
  <c r="W161" i="107" s="1"/>
  <c r="J160" i="107"/>
  <c r="W160" i="107" s="1"/>
  <c r="J159" i="107"/>
  <c r="W159" i="107" s="1"/>
  <c r="J158" i="107"/>
  <c r="W158" i="107" s="1"/>
  <c r="J157" i="107"/>
  <c r="W157" i="107" s="1"/>
  <c r="J156" i="107"/>
  <c r="W156" i="107" s="1"/>
  <c r="J155" i="107"/>
  <c r="W155" i="107" s="1"/>
  <c r="B155" i="107"/>
  <c r="B156" i="107" s="1"/>
  <c r="B157" i="107" s="1"/>
  <c r="B158" i="107" s="1"/>
  <c r="B159" i="107" s="1"/>
  <c r="B160" i="107" s="1"/>
  <c r="B161" i="107" s="1"/>
  <c r="B162" i="107" s="1"/>
  <c r="B163" i="107" s="1"/>
  <c r="B164" i="107" s="1"/>
  <c r="B165" i="107" s="1"/>
  <c r="B166" i="107" s="1"/>
  <c r="B167" i="107" s="1"/>
  <c r="B168" i="107" s="1"/>
  <c r="B169" i="107" s="1"/>
  <c r="B170" i="107" s="1"/>
  <c r="B171" i="107" s="1"/>
  <c r="B172" i="107" s="1"/>
  <c r="B173" i="107" s="1"/>
  <c r="B174" i="107" s="1"/>
  <c r="B175" i="107" s="1"/>
  <c r="B176" i="107" s="1"/>
  <c r="J154" i="107"/>
  <c r="W154" i="107" s="1"/>
  <c r="J145" i="107"/>
  <c r="W145" i="107" s="1"/>
  <c r="J144" i="107"/>
  <c r="W144" i="107" s="1"/>
  <c r="J143" i="107"/>
  <c r="V143" i="107" s="1"/>
  <c r="J142" i="107"/>
  <c r="V142" i="107" s="1"/>
  <c r="J141" i="107"/>
  <c r="W141" i="107" s="1"/>
  <c r="J140" i="107"/>
  <c r="W140" i="107" s="1"/>
  <c r="J139" i="107"/>
  <c r="V139" i="107" s="1"/>
  <c r="J138" i="107"/>
  <c r="V138" i="107" s="1"/>
  <c r="J137" i="107"/>
  <c r="V137" i="107" s="1"/>
  <c r="J136" i="107"/>
  <c r="W136" i="107" s="1"/>
  <c r="J135" i="107"/>
  <c r="V135" i="107" s="1"/>
  <c r="J134" i="107"/>
  <c r="V134" i="107" s="1"/>
  <c r="J133" i="107"/>
  <c r="V133" i="107" s="1"/>
  <c r="J132" i="107"/>
  <c r="W132" i="107" s="1"/>
  <c r="J131" i="107"/>
  <c r="V131" i="107" s="1"/>
  <c r="J130" i="107"/>
  <c r="V130" i="107" s="1"/>
  <c r="J129" i="107"/>
  <c r="W129" i="107" s="1"/>
  <c r="J128" i="107"/>
  <c r="W128" i="107" s="1"/>
  <c r="J127" i="107"/>
  <c r="V127" i="107" s="1"/>
  <c r="J126" i="107"/>
  <c r="V126" i="107" s="1"/>
  <c r="J125" i="107"/>
  <c r="V125" i="107" s="1"/>
  <c r="J124" i="107"/>
  <c r="W124" i="107" s="1"/>
  <c r="B124" i="107"/>
  <c r="B125" i="107" s="1"/>
  <c r="B126" i="107" s="1"/>
  <c r="B127" i="107" s="1"/>
  <c r="B128" i="107" s="1"/>
  <c r="B129" i="107" s="1"/>
  <c r="B130" i="107" s="1"/>
  <c r="B131" i="107" s="1"/>
  <c r="B132" i="107" s="1"/>
  <c r="B133" i="107" s="1"/>
  <c r="B134" i="107" s="1"/>
  <c r="B135" i="107" s="1"/>
  <c r="B136" i="107" s="1"/>
  <c r="B137" i="107" s="1"/>
  <c r="B138" i="107" s="1"/>
  <c r="B139" i="107" s="1"/>
  <c r="B140" i="107" s="1"/>
  <c r="B141" i="107" s="1"/>
  <c r="B142" i="107" s="1"/>
  <c r="B143" i="107" s="1"/>
  <c r="B144" i="107" s="1"/>
  <c r="B145" i="107" s="1"/>
  <c r="J123" i="107"/>
  <c r="V123" i="107" s="1"/>
  <c r="J114" i="107"/>
  <c r="W114" i="107" s="1"/>
  <c r="V113" i="107"/>
  <c r="J113" i="107"/>
  <c r="W113" i="107" s="1"/>
  <c r="J112" i="107"/>
  <c r="W112" i="107" s="1"/>
  <c r="V111" i="107"/>
  <c r="J111" i="107"/>
  <c r="W111" i="107" s="1"/>
  <c r="J110" i="107"/>
  <c r="W110" i="107" s="1"/>
  <c r="J109" i="107"/>
  <c r="W109" i="107" s="1"/>
  <c r="J108" i="107"/>
  <c r="W108" i="107" s="1"/>
  <c r="J107" i="107"/>
  <c r="W107" i="107" s="1"/>
  <c r="J106" i="107"/>
  <c r="W106" i="107" s="1"/>
  <c r="V105" i="107"/>
  <c r="J105" i="107"/>
  <c r="W105" i="107" s="1"/>
  <c r="J104" i="107"/>
  <c r="W104" i="107" s="1"/>
  <c r="J103" i="107"/>
  <c r="W103" i="107" s="1"/>
  <c r="J102" i="107"/>
  <c r="W102" i="107" s="1"/>
  <c r="J101" i="107"/>
  <c r="W101" i="107" s="1"/>
  <c r="J100" i="107"/>
  <c r="W100" i="107" s="1"/>
  <c r="J99" i="107"/>
  <c r="W99" i="107" s="1"/>
  <c r="J98" i="107"/>
  <c r="W98" i="107" s="1"/>
  <c r="J97" i="107"/>
  <c r="W97" i="107" s="1"/>
  <c r="J96" i="107"/>
  <c r="W96" i="107" s="1"/>
  <c r="J95" i="107"/>
  <c r="W95" i="107" s="1"/>
  <c r="J94" i="107"/>
  <c r="W94" i="107" s="1"/>
  <c r="J93" i="107"/>
  <c r="W93" i="107" s="1"/>
  <c r="B93" i="107"/>
  <c r="B94" i="107" s="1"/>
  <c r="B95" i="107" s="1"/>
  <c r="B96" i="107" s="1"/>
  <c r="B97" i="107" s="1"/>
  <c r="B98" i="107" s="1"/>
  <c r="B99" i="107" s="1"/>
  <c r="B100" i="107" s="1"/>
  <c r="B101" i="107" s="1"/>
  <c r="B102" i="107" s="1"/>
  <c r="B103" i="107" s="1"/>
  <c r="B104" i="107" s="1"/>
  <c r="B105" i="107" s="1"/>
  <c r="B106" i="107" s="1"/>
  <c r="B107" i="107" s="1"/>
  <c r="B108" i="107" s="1"/>
  <c r="B109" i="107" s="1"/>
  <c r="B110" i="107" s="1"/>
  <c r="B111" i="107" s="1"/>
  <c r="B112" i="107" s="1"/>
  <c r="B113" i="107" s="1"/>
  <c r="B114" i="107" s="1"/>
  <c r="J92" i="107"/>
  <c r="W92" i="107" s="1"/>
  <c r="J83" i="107"/>
  <c r="W83" i="107" s="1"/>
  <c r="J82" i="107"/>
  <c r="W82" i="107" s="1"/>
  <c r="J81" i="107"/>
  <c r="J80" i="107"/>
  <c r="W80" i="107" s="1"/>
  <c r="J79" i="107"/>
  <c r="W79" i="107" s="1"/>
  <c r="J78" i="107"/>
  <c r="W78" i="107" s="1"/>
  <c r="J77" i="107"/>
  <c r="W77" i="107" s="1"/>
  <c r="J76" i="107"/>
  <c r="W76" i="107" s="1"/>
  <c r="J75" i="107"/>
  <c r="W75" i="107" s="1"/>
  <c r="J74" i="107"/>
  <c r="W74" i="107" s="1"/>
  <c r="J73" i="107"/>
  <c r="W73" i="107" s="1"/>
  <c r="J72" i="107"/>
  <c r="W72" i="107" s="1"/>
  <c r="J71" i="107"/>
  <c r="W71" i="107" s="1"/>
  <c r="J70" i="107"/>
  <c r="W70" i="107" s="1"/>
  <c r="J69" i="107"/>
  <c r="W69" i="107" s="1"/>
  <c r="J68" i="107"/>
  <c r="W68" i="107" s="1"/>
  <c r="J67" i="107"/>
  <c r="W67" i="107" s="1"/>
  <c r="J66" i="107"/>
  <c r="W66" i="107" s="1"/>
  <c r="J65" i="107"/>
  <c r="W65" i="107" s="1"/>
  <c r="J64" i="107"/>
  <c r="W64" i="107" s="1"/>
  <c r="J63" i="107"/>
  <c r="W63" i="107" s="1"/>
  <c r="J62" i="107"/>
  <c r="W62" i="107" s="1"/>
  <c r="J61" i="107"/>
  <c r="W61" i="107" s="1"/>
  <c r="B61" i="107"/>
  <c r="B62" i="107" s="1"/>
  <c r="B63" i="107" s="1"/>
  <c r="B64" i="107" s="1"/>
  <c r="B65" i="107" s="1"/>
  <c r="B66" i="107" s="1"/>
  <c r="B67" i="107" s="1"/>
  <c r="B68" i="107" s="1"/>
  <c r="B69" i="107" s="1"/>
  <c r="B70" i="107" s="1"/>
  <c r="B71" i="107" s="1"/>
  <c r="B72" i="107" s="1"/>
  <c r="B73" i="107" s="1"/>
  <c r="B74" i="107" s="1"/>
  <c r="B75" i="107" s="1"/>
  <c r="B76" i="107" s="1"/>
  <c r="B77" i="107" s="1"/>
  <c r="B78" i="107" s="1"/>
  <c r="B79" i="107" s="1"/>
  <c r="B80" i="107" s="1"/>
  <c r="B81" i="107" s="1"/>
  <c r="B82" i="107" s="1"/>
  <c r="B83" i="107" s="1"/>
  <c r="J60" i="107"/>
  <c r="W60" i="107" s="1"/>
  <c r="W51" i="107"/>
  <c r="V51" i="107"/>
  <c r="W50" i="107"/>
  <c r="V50" i="107"/>
  <c r="V49" i="107"/>
  <c r="W49" i="107"/>
  <c r="W48" i="107"/>
  <c r="V48" i="107"/>
  <c r="V46" i="107"/>
  <c r="V45" i="107"/>
  <c r="W45" i="107"/>
  <c r="W44" i="107"/>
  <c r="V44" i="107"/>
  <c r="V42" i="107"/>
  <c r="V41" i="107"/>
  <c r="W41" i="107"/>
  <c r="W40" i="107"/>
  <c r="V40" i="107"/>
  <c r="V38" i="107"/>
  <c r="V37" i="107"/>
  <c r="W37" i="107"/>
  <c r="W36" i="107"/>
  <c r="V36" i="107"/>
  <c r="V34" i="107"/>
  <c r="V33" i="107"/>
  <c r="W33" i="107"/>
  <c r="W32" i="107"/>
  <c r="V32" i="107"/>
  <c r="V30" i="107"/>
  <c r="V29" i="107"/>
  <c r="W29" i="107"/>
  <c r="W28" i="107"/>
  <c r="V28" i="107"/>
  <c r="V26" i="107"/>
  <c r="V25" i="107"/>
  <c r="W25" i="107"/>
  <c r="W24" i="107"/>
  <c r="V24" i="107"/>
  <c r="V22" i="107"/>
  <c r="V21" i="107"/>
  <c r="W21" i="107"/>
  <c r="V19" i="107"/>
  <c r="N16" i="107"/>
  <c r="V16" i="107"/>
  <c r="N14" i="107"/>
  <c r="N12" i="107"/>
  <c r="N10" i="107"/>
  <c r="N8" i="107"/>
  <c r="I7" i="107"/>
  <c r="J7" i="107" s="1"/>
  <c r="V7" i="107" s="1"/>
  <c r="B7" i="107"/>
  <c r="B8" i="107" s="1"/>
  <c r="B9" i="107" s="1"/>
  <c r="B10" i="107" s="1"/>
  <c r="B11" i="107" s="1"/>
  <c r="B12" i="107" s="1"/>
  <c r="B13" i="107" s="1"/>
  <c r="B14" i="107" s="1"/>
  <c r="B15" i="107" s="1"/>
  <c r="B16" i="107" s="1"/>
  <c r="B17" i="107" s="1"/>
  <c r="B18" i="107" s="1"/>
  <c r="B19" i="107" s="1"/>
  <c r="B20" i="107" s="1"/>
  <c r="B21" i="107" s="1"/>
  <c r="B22" i="107" s="1"/>
  <c r="B23" i="107" s="1"/>
  <c r="B24" i="107" s="1"/>
  <c r="B25" i="107" s="1"/>
  <c r="B26" i="107" s="1"/>
  <c r="B27" i="107" s="1"/>
  <c r="B28" i="107" s="1"/>
  <c r="B29" i="107" s="1"/>
  <c r="B30" i="107" s="1"/>
  <c r="B31" i="107" s="1"/>
  <c r="B32" i="107" s="1"/>
  <c r="B33" i="107" s="1"/>
  <c r="B34" i="107" s="1"/>
  <c r="B35" i="107" s="1"/>
  <c r="B36" i="107" s="1"/>
  <c r="B37" i="107" s="1"/>
  <c r="B38" i="107" s="1"/>
  <c r="B39" i="107" s="1"/>
  <c r="B40" i="107" s="1"/>
  <c r="B41" i="107" s="1"/>
  <c r="B42" i="107" s="1"/>
  <c r="B43" i="107" s="1"/>
  <c r="B44" i="107" s="1"/>
  <c r="B45" i="107" s="1"/>
  <c r="B46" i="107" s="1"/>
  <c r="B47" i="107" s="1"/>
  <c r="B48" i="107" s="1"/>
  <c r="B49" i="107" s="1"/>
  <c r="B50" i="107" s="1"/>
  <c r="B51" i="107" s="1"/>
  <c r="N6" i="107"/>
  <c r="I6" i="107"/>
  <c r="J6" i="107" s="1"/>
  <c r="V6" i="107" s="1"/>
  <c r="N4" i="107"/>
  <c r="I49" i="106"/>
  <c r="J49" i="106" s="1"/>
  <c r="I48" i="106"/>
  <c r="J48" i="106" s="1"/>
  <c r="I47" i="106"/>
  <c r="J47" i="106" s="1"/>
  <c r="I46" i="106"/>
  <c r="J46" i="106" s="1"/>
  <c r="I45" i="106"/>
  <c r="J45" i="106" s="1"/>
  <c r="I44" i="106"/>
  <c r="J44" i="106" s="1"/>
  <c r="I43" i="106"/>
  <c r="J43" i="106" s="1"/>
  <c r="I42" i="106"/>
  <c r="J42" i="106" s="1"/>
  <c r="I41" i="106"/>
  <c r="J41" i="106" s="1"/>
  <c r="I40" i="106"/>
  <c r="J40" i="106" s="1"/>
  <c r="I39" i="106"/>
  <c r="J39" i="106" s="1"/>
  <c r="I38" i="106"/>
  <c r="J38" i="106" s="1"/>
  <c r="I37" i="106"/>
  <c r="J37" i="106" s="1"/>
  <c r="I36" i="106"/>
  <c r="J36" i="106" s="1"/>
  <c r="I35" i="106"/>
  <c r="J35" i="106" s="1"/>
  <c r="I34" i="106"/>
  <c r="J34" i="106" s="1"/>
  <c r="I33" i="106"/>
  <c r="J33" i="106" s="1"/>
  <c r="I32" i="106"/>
  <c r="J32" i="106" s="1"/>
  <c r="I31" i="106"/>
  <c r="J31" i="106" s="1"/>
  <c r="I30" i="106"/>
  <c r="J30" i="106" s="1"/>
  <c r="I29" i="106"/>
  <c r="J29" i="106" s="1"/>
  <c r="I28" i="106"/>
  <c r="J28" i="106" s="1"/>
  <c r="I27" i="106"/>
  <c r="J27" i="106" s="1"/>
  <c r="I26" i="106"/>
  <c r="J26" i="106" s="1"/>
  <c r="I25" i="106"/>
  <c r="J25" i="106" s="1"/>
  <c r="I24" i="106"/>
  <c r="J24" i="106" s="1"/>
  <c r="I23" i="106"/>
  <c r="J23" i="106" s="1"/>
  <c r="I22" i="106"/>
  <c r="J22" i="106" s="1"/>
  <c r="W13" i="107" l="1"/>
  <c r="V13" i="107"/>
  <c r="V82" i="107"/>
  <c r="W206" i="107"/>
  <c r="V227" i="107"/>
  <c r="V233" i="107"/>
  <c r="V106" i="107"/>
  <c r="W186" i="107"/>
  <c r="W202" i="107"/>
  <c r="V217" i="107"/>
  <c r="V154" i="107"/>
  <c r="V199" i="107"/>
  <c r="V101" i="107"/>
  <c r="W138" i="107"/>
  <c r="V145" i="107"/>
  <c r="W185" i="107"/>
  <c r="V198" i="107"/>
  <c r="W126" i="107"/>
  <c r="V207" i="107"/>
  <c r="V219" i="107"/>
  <c r="V237" i="107"/>
  <c r="V239" i="107"/>
  <c r="V114" i="107"/>
  <c r="W134" i="107"/>
  <c r="V144" i="107"/>
  <c r="V163" i="107"/>
  <c r="V176" i="107"/>
  <c r="V83" i="107"/>
  <c r="V175" i="107"/>
  <c r="V225" i="107"/>
  <c r="Q18" i="110"/>
  <c r="V84" i="109"/>
  <c r="O6" i="109" s="1"/>
  <c r="R6" i="109" s="1"/>
  <c r="V177" i="109"/>
  <c r="O12" i="109" s="1"/>
  <c r="R12" i="109" s="1"/>
  <c r="V240" i="109"/>
  <c r="O16" i="109" s="1"/>
  <c r="R16" i="109" s="1"/>
  <c r="V115" i="109"/>
  <c r="O8" i="109" s="1"/>
  <c r="R8" i="109" s="1"/>
  <c r="W240" i="109"/>
  <c r="P16" i="109" s="1"/>
  <c r="W177" i="109"/>
  <c r="P12" i="109" s="1"/>
  <c r="W115" i="109"/>
  <c r="P8" i="109" s="1"/>
  <c r="W84" i="109"/>
  <c r="P6" i="109" s="1"/>
  <c r="W208" i="109"/>
  <c r="P14" i="109" s="1"/>
  <c r="Q14" i="109" s="1"/>
  <c r="W146" i="109"/>
  <c r="P10" i="109" s="1"/>
  <c r="Q10" i="109" s="1"/>
  <c r="W52" i="109"/>
  <c r="P4" i="109" s="1"/>
  <c r="V52" i="109"/>
  <c r="O4" i="109" s="1"/>
  <c r="V115" i="108"/>
  <c r="O8" i="108" s="1"/>
  <c r="R8" i="108" s="1"/>
  <c r="V84" i="108"/>
  <c r="O6" i="108" s="1"/>
  <c r="R6" i="108" s="1"/>
  <c r="W52" i="108"/>
  <c r="P4" i="108" s="1"/>
  <c r="V240" i="108"/>
  <c r="O16" i="108" s="1"/>
  <c r="W208" i="108"/>
  <c r="P14" i="108" s="1"/>
  <c r="Q14" i="108" s="1"/>
  <c r="V177" i="108"/>
  <c r="O12" i="108" s="1"/>
  <c r="R12" i="108" s="1"/>
  <c r="W146" i="108"/>
  <c r="P10" i="108" s="1"/>
  <c r="Q10" i="108" s="1"/>
  <c r="V52" i="108"/>
  <c r="O4" i="108" s="1"/>
  <c r="V205" i="107"/>
  <c r="V112" i="107"/>
  <c r="V173" i="107"/>
  <c r="V110" i="107"/>
  <c r="V140" i="107"/>
  <c r="V171" i="107"/>
  <c r="V109" i="107"/>
  <c r="V108" i="107"/>
  <c r="V231" i="107"/>
  <c r="V169" i="107"/>
  <c r="V107" i="107"/>
  <c r="V136" i="107"/>
  <c r="V165" i="107"/>
  <c r="V132" i="107"/>
  <c r="W194" i="107"/>
  <c r="W130" i="107"/>
  <c r="V223" i="107"/>
  <c r="V129" i="107"/>
  <c r="V221" i="107"/>
  <c r="W190" i="107"/>
  <c r="W125" i="107"/>
  <c r="V64" i="107"/>
  <c r="V156" i="107"/>
  <c r="V10" i="107"/>
  <c r="W240" i="107"/>
  <c r="P16" i="107" s="1"/>
  <c r="W115" i="107"/>
  <c r="P8" i="107" s="1"/>
  <c r="V93" i="107"/>
  <c r="W7" i="107"/>
  <c r="V218" i="107"/>
  <c r="V220" i="107"/>
  <c r="V222" i="107"/>
  <c r="V224" i="107"/>
  <c r="V226" i="107"/>
  <c r="V228" i="107"/>
  <c r="V230" i="107"/>
  <c r="V232" i="107"/>
  <c r="V234" i="107"/>
  <c r="V236" i="107"/>
  <c r="V216" i="107"/>
  <c r="W204" i="107"/>
  <c r="V188" i="107"/>
  <c r="V192" i="107"/>
  <c r="V196" i="107"/>
  <c r="W200" i="107"/>
  <c r="W189" i="107"/>
  <c r="W193" i="107"/>
  <c r="W197" i="107"/>
  <c r="J208" i="107"/>
  <c r="W187" i="107"/>
  <c r="W191" i="107"/>
  <c r="W195" i="107"/>
  <c r="V162" i="107"/>
  <c r="V164" i="107"/>
  <c r="V166" i="107"/>
  <c r="V168" i="107"/>
  <c r="V170" i="107"/>
  <c r="V172" i="107"/>
  <c r="V174" i="107"/>
  <c r="V158" i="107"/>
  <c r="V160" i="107"/>
  <c r="V155" i="107"/>
  <c r="V157" i="107"/>
  <c r="V159" i="107"/>
  <c r="V161" i="107"/>
  <c r="W143" i="107"/>
  <c r="J146" i="107"/>
  <c r="V124" i="107"/>
  <c r="W133" i="107"/>
  <c r="W137" i="107"/>
  <c r="V141" i="107"/>
  <c r="W142" i="107"/>
  <c r="V128" i="107"/>
  <c r="W127" i="107"/>
  <c r="W131" i="107"/>
  <c r="W135" i="107"/>
  <c r="W139" i="107"/>
  <c r="W123" i="107"/>
  <c r="V97" i="107"/>
  <c r="V99" i="107"/>
  <c r="V95" i="107"/>
  <c r="V103" i="107"/>
  <c r="V94" i="107"/>
  <c r="V96" i="107"/>
  <c r="V98" i="107"/>
  <c r="V100" i="107"/>
  <c r="V102" i="107"/>
  <c r="V104" i="107"/>
  <c r="V92" i="107"/>
  <c r="V70" i="107"/>
  <c r="V72" i="107"/>
  <c r="V74" i="107"/>
  <c r="V76" i="107"/>
  <c r="V78" i="107"/>
  <c r="V80" i="107"/>
  <c r="V71" i="107"/>
  <c r="V73" i="107"/>
  <c r="V75" i="107"/>
  <c r="V77" i="107"/>
  <c r="V79" i="107"/>
  <c r="V66" i="107"/>
  <c r="V60" i="107"/>
  <c r="V62" i="107"/>
  <c r="V68" i="107"/>
  <c r="V61" i="107"/>
  <c r="V63" i="107"/>
  <c r="V65" i="107"/>
  <c r="V67" i="107"/>
  <c r="V69" i="107"/>
  <c r="V15" i="107"/>
  <c r="W15" i="107"/>
  <c r="W18" i="107"/>
  <c r="V18" i="107"/>
  <c r="N18" i="107"/>
  <c r="V9" i="107"/>
  <c r="W9" i="107"/>
  <c r="V27" i="107"/>
  <c r="W27" i="107"/>
  <c r="V35" i="107"/>
  <c r="W35" i="107"/>
  <c r="V43" i="107"/>
  <c r="W43" i="107"/>
  <c r="V12" i="107"/>
  <c r="W12" i="107"/>
  <c r="V17" i="107"/>
  <c r="W17" i="107"/>
  <c r="V23" i="107"/>
  <c r="W23" i="107"/>
  <c r="V31" i="107"/>
  <c r="W31" i="107"/>
  <c r="V39" i="107"/>
  <c r="W39" i="107"/>
  <c r="V47" i="107"/>
  <c r="W47" i="107"/>
  <c r="W84" i="107"/>
  <c r="P6" i="107" s="1"/>
  <c r="W177" i="107"/>
  <c r="P12" i="107" s="1"/>
  <c r="V20" i="107"/>
  <c r="W20" i="107"/>
  <c r="J52" i="107"/>
  <c r="J84" i="107"/>
  <c r="W6" i="107"/>
  <c r="W14" i="107"/>
  <c r="J240" i="107"/>
  <c r="W8" i="107"/>
  <c r="W11" i="107"/>
  <c r="W16" i="107"/>
  <c r="W19" i="107"/>
  <c r="W22" i="107"/>
  <c r="W26" i="107"/>
  <c r="W30" i="107"/>
  <c r="W34" i="107"/>
  <c r="W38" i="107"/>
  <c r="W42" i="107"/>
  <c r="W46" i="107"/>
  <c r="J115" i="107"/>
  <c r="J177" i="107"/>
  <c r="I21" i="106"/>
  <c r="J21" i="106" s="1"/>
  <c r="I20" i="106"/>
  <c r="J20" i="106" s="1"/>
  <c r="I19" i="106"/>
  <c r="J19" i="106" s="1"/>
  <c r="V19" i="106" s="1"/>
  <c r="I18" i="106"/>
  <c r="J18" i="106" s="1"/>
  <c r="W18" i="106" s="1"/>
  <c r="I17" i="106"/>
  <c r="J17" i="106" s="1"/>
  <c r="I16" i="106"/>
  <c r="J16" i="106" s="1"/>
  <c r="V16" i="106" s="1"/>
  <c r="I15" i="106"/>
  <c r="J15" i="106" s="1"/>
  <c r="I14" i="106"/>
  <c r="J14" i="106" s="1"/>
  <c r="V14" i="106" s="1"/>
  <c r="I13" i="106"/>
  <c r="J13" i="106" s="1"/>
  <c r="I12" i="106"/>
  <c r="J12" i="106" s="1"/>
  <c r="I11" i="106"/>
  <c r="J11" i="106" s="1"/>
  <c r="V11" i="106" s="1"/>
  <c r="I10" i="106"/>
  <c r="J10" i="106" s="1"/>
  <c r="I8" i="106"/>
  <c r="J8" i="106" s="1"/>
  <c r="V8" i="106" s="1"/>
  <c r="I9" i="106"/>
  <c r="J9" i="106" s="1"/>
  <c r="J239" i="106"/>
  <c r="W239" i="106" s="1"/>
  <c r="J238" i="106"/>
  <c r="W238" i="106" s="1"/>
  <c r="J237" i="106"/>
  <c r="W237" i="106" s="1"/>
  <c r="J236" i="106"/>
  <c r="W236" i="106" s="1"/>
  <c r="J235" i="106"/>
  <c r="W235" i="106" s="1"/>
  <c r="J234" i="106"/>
  <c r="W234" i="106" s="1"/>
  <c r="J233" i="106"/>
  <c r="W233" i="106" s="1"/>
  <c r="J232" i="106"/>
  <c r="W232" i="106" s="1"/>
  <c r="J231" i="106"/>
  <c r="W231" i="106" s="1"/>
  <c r="J230" i="106"/>
  <c r="W230" i="106" s="1"/>
  <c r="J229" i="106"/>
  <c r="W229" i="106" s="1"/>
  <c r="J228" i="106"/>
  <c r="W228" i="106" s="1"/>
  <c r="J227" i="106"/>
  <c r="W227" i="106" s="1"/>
  <c r="J226" i="106"/>
  <c r="W226" i="106" s="1"/>
  <c r="J225" i="106"/>
  <c r="W225" i="106" s="1"/>
  <c r="J224" i="106"/>
  <c r="W224" i="106" s="1"/>
  <c r="J223" i="106"/>
  <c r="W223" i="106" s="1"/>
  <c r="J222" i="106"/>
  <c r="W222" i="106" s="1"/>
  <c r="J221" i="106"/>
  <c r="W221" i="106" s="1"/>
  <c r="J220" i="106"/>
  <c r="W220" i="106" s="1"/>
  <c r="J219" i="106"/>
  <c r="W219" i="106" s="1"/>
  <c r="J218" i="106"/>
  <c r="W218" i="106" s="1"/>
  <c r="J217" i="106"/>
  <c r="W217" i="106" s="1"/>
  <c r="B217" i="106"/>
  <c r="B218" i="106" s="1"/>
  <c r="B219" i="106" s="1"/>
  <c r="B220" i="106" s="1"/>
  <c r="B221" i="106" s="1"/>
  <c r="B222" i="106" s="1"/>
  <c r="B223" i="106" s="1"/>
  <c r="B224" i="106" s="1"/>
  <c r="B225" i="106" s="1"/>
  <c r="B226" i="106" s="1"/>
  <c r="B227" i="106" s="1"/>
  <c r="B228" i="106" s="1"/>
  <c r="B229" i="106" s="1"/>
  <c r="B230" i="106" s="1"/>
  <c r="B231" i="106" s="1"/>
  <c r="B232" i="106" s="1"/>
  <c r="B233" i="106" s="1"/>
  <c r="B234" i="106" s="1"/>
  <c r="B235" i="106" s="1"/>
  <c r="B236" i="106" s="1"/>
  <c r="B237" i="106" s="1"/>
  <c r="B238" i="106" s="1"/>
  <c r="B239" i="106" s="1"/>
  <c r="J216" i="106"/>
  <c r="W216" i="106" s="1"/>
  <c r="J207" i="106"/>
  <c r="W207" i="106" s="1"/>
  <c r="J206" i="106"/>
  <c r="V206" i="106" s="1"/>
  <c r="J205" i="106"/>
  <c r="V205" i="106" s="1"/>
  <c r="J204" i="106"/>
  <c r="V204" i="106" s="1"/>
  <c r="V203" i="106"/>
  <c r="J203" i="106"/>
  <c r="W203" i="106" s="1"/>
  <c r="J202" i="106"/>
  <c r="V202" i="106" s="1"/>
  <c r="W201" i="106"/>
  <c r="V201" i="106"/>
  <c r="J201" i="106"/>
  <c r="J200" i="106"/>
  <c r="V200" i="106" s="1"/>
  <c r="J199" i="106"/>
  <c r="W199" i="106" s="1"/>
  <c r="J198" i="106"/>
  <c r="V198" i="106" s="1"/>
  <c r="J197" i="106"/>
  <c r="V197" i="106" s="1"/>
  <c r="W196" i="106"/>
  <c r="J196" i="106"/>
  <c r="V196" i="106" s="1"/>
  <c r="J195" i="106"/>
  <c r="W195" i="106" s="1"/>
  <c r="J194" i="106"/>
  <c r="V194" i="106" s="1"/>
  <c r="J193" i="106"/>
  <c r="V193" i="106" s="1"/>
  <c r="J192" i="106"/>
  <c r="V192" i="106" s="1"/>
  <c r="J191" i="106"/>
  <c r="W191" i="106" s="1"/>
  <c r="J190" i="106"/>
  <c r="V190" i="106" s="1"/>
  <c r="J189" i="106"/>
  <c r="V189" i="106" s="1"/>
  <c r="J188" i="106"/>
  <c r="V188" i="106" s="1"/>
  <c r="V187" i="106"/>
  <c r="J187" i="106"/>
  <c r="W187" i="106" s="1"/>
  <c r="J186" i="106"/>
  <c r="V186" i="106" s="1"/>
  <c r="B186" i="106"/>
  <c r="B187" i="106" s="1"/>
  <c r="B188" i="106" s="1"/>
  <c r="B189" i="106" s="1"/>
  <c r="B190" i="106" s="1"/>
  <c r="B191" i="106" s="1"/>
  <c r="B192" i="106" s="1"/>
  <c r="B193" i="106" s="1"/>
  <c r="B194" i="106" s="1"/>
  <c r="B195" i="106" s="1"/>
  <c r="B196" i="106" s="1"/>
  <c r="B197" i="106" s="1"/>
  <c r="B198" i="106" s="1"/>
  <c r="B199" i="106" s="1"/>
  <c r="B200" i="106" s="1"/>
  <c r="B201" i="106" s="1"/>
  <c r="B202" i="106" s="1"/>
  <c r="B203" i="106" s="1"/>
  <c r="B204" i="106" s="1"/>
  <c r="B205" i="106" s="1"/>
  <c r="B206" i="106" s="1"/>
  <c r="B207" i="106" s="1"/>
  <c r="J185" i="106"/>
  <c r="V185" i="106" s="1"/>
  <c r="J176" i="106"/>
  <c r="W176" i="106" s="1"/>
  <c r="J175" i="106"/>
  <c r="W175" i="106" s="1"/>
  <c r="J174" i="106"/>
  <c r="W174" i="106" s="1"/>
  <c r="J173" i="106"/>
  <c r="W173" i="106" s="1"/>
  <c r="J172" i="106"/>
  <c r="W172" i="106" s="1"/>
  <c r="J171" i="106"/>
  <c r="W171" i="106" s="1"/>
  <c r="J170" i="106"/>
  <c r="W170" i="106" s="1"/>
  <c r="J169" i="106"/>
  <c r="W169" i="106" s="1"/>
  <c r="J168" i="106"/>
  <c r="W168" i="106" s="1"/>
  <c r="J167" i="106"/>
  <c r="W167" i="106" s="1"/>
  <c r="J166" i="106"/>
  <c r="W166" i="106" s="1"/>
  <c r="J165" i="106"/>
  <c r="W165" i="106" s="1"/>
  <c r="J164" i="106"/>
  <c r="W164" i="106" s="1"/>
  <c r="J163" i="106"/>
  <c r="W163" i="106" s="1"/>
  <c r="J162" i="106"/>
  <c r="W162" i="106" s="1"/>
  <c r="J161" i="106"/>
  <c r="W161" i="106" s="1"/>
  <c r="J160" i="106"/>
  <c r="W160" i="106" s="1"/>
  <c r="J159" i="106"/>
  <c r="W159" i="106" s="1"/>
  <c r="J158" i="106"/>
  <c r="W158" i="106" s="1"/>
  <c r="J157" i="106"/>
  <c r="W157" i="106" s="1"/>
  <c r="V156" i="106"/>
  <c r="J156" i="106"/>
  <c r="W156" i="106" s="1"/>
  <c r="J155" i="106"/>
  <c r="W155" i="106" s="1"/>
  <c r="B155" i="106"/>
  <c r="B156" i="106" s="1"/>
  <c r="B157" i="106" s="1"/>
  <c r="B158" i="106" s="1"/>
  <c r="B159" i="106" s="1"/>
  <c r="B160" i="106" s="1"/>
  <c r="B161" i="106" s="1"/>
  <c r="B162" i="106" s="1"/>
  <c r="B163" i="106" s="1"/>
  <c r="B164" i="106" s="1"/>
  <c r="B165" i="106" s="1"/>
  <c r="B166" i="106" s="1"/>
  <c r="B167" i="106" s="1"/>
  <c r="B168" i="106" s="1"/>
  <c r="B169" i="106" s="1"/>
  <c r="B170" i="106" s="1"/>
  <c r="B171" i="106" s="1"/>
  <c r="B172" i="106" s="1"/>
  <c r="B173" i="106" s="1"/>
  <c r="B174" i="106" s="1"/>
  <c r="B175" i="106" s="1"/>
  <c r="B176" i="106" s="1"/>
  <c r="J154" i="106"/>
  <c r="W154" i="106" s="1"/>
  <c r="J145" i="106"/>
  <c r="W145" i="106" s="1"/>
  <c r="J144" i="106"/>
  <c r="V144" i="106" s="1"/>
  <c r="J143" i="106"/>
  <c r="W143" i="106" s="1"/>
  <c r="J142" i="106"/>
  <c r="V142" i="106" s="1"/>
  <c r="J141" i="106"/>
  <c r="V141" i="106" s="1"/>
  <c r="J140" i="106"/>
  <c r="W140" i="106" s="1"/>
  <c r="V139" i="106"/>
  <c r="J139" i="106"/>
  <c r="W139" i="106" s="1"/>
  <c r="J138" i="106"/>
  <c r="V138" i="106" s="1"/>
  <c r="J137" i="106"/>
  <c r="V137" i="106" s="1"/>
  <c r="J136" i="106"/>
  <c r="V136" i="106" s="1"/>
  <c r="J135" i="106"/>
  <c r="W135" i="106" s="1"/>
  <c r="J134" i="106"/>
  <c r="V134" i="106" s="1"/>
  <c r="J133" i="106"/>
  <c r="V133" i="106" s="1"/>
  <c r="J132" i="106"/>
  <c r="V132" i="106" s="1"/>
  <c r="J131" i="106"/>
  <c r="W131" i="106" s="1"/>
  <c r="J130" i="106"/>
  <c r="V130" i="106" s="1"/>
  <c r="J129" i="106"/>
  <c r="V129" i="106" s="1"/>
  <c r="J128" i="106"/>
  <c r="V128" i="106" s="1"/>
  <c r="J127" i="106"/>
  <c r="W127" i="106" s="1"/>
  <c r="J126" i="106"/>
  <c r="V126" i="106" s="1"/>
  <c r="J125" i="106"/>
  <c r="W125" i="106" s="1"/>
  <c r="J124" i="106"/>
  <c r="V124" i="106" s="1"/>
  <c r="B124" i="106"/>
  <c r="B125" i="106" s="1"/>
  <c r="B126" i="106" s="1"/>
  <c r="B127" i="106" s="1"/>
  <c r="B128" i="106" s="1"/>
  <c r="B129" i="106" s="1"/>
  <c r="B130" i="106" s="1"/>
  <c r="B131" i="106" s="1"/>
  <c r="B132" i="106" s="1"/>
  <c r="B133" i="106" s="1"/>
  <c r="B134" i="106" s="1"/>
  <c r="B135" i="106" s="1"/>
  <c r="B136" i="106" s="1"/>
  <c r="B137" i="106" s="1"/>
  <c r="B138" i="106" s="1"/>
  <c r="B139" i="106" s="1"/>
  <c r="B140" i="106" s="1"/>
  <c r="B141" i="106" s="1"/>
  <c r="B142" i="106" s="1"/>
  <c r="B143" i="106" s="1"/>
  <c r="B144" i="106" s="1"/>
  <c r="B145" i="106" s="1"/>
  <c r="J123" i="106"/>
  <c r="V123" i="106" s="1"/>
  <c r="J114" i="106"/>
  <c r="W114" i="106" s="1"/>
  <c r="J113" i="106"/>
  <c r="W113" i="106" s="1"/>
  <c r="J112" i="106"/>
  <c r="W112" i="106" s="1"/>
  <c r="J111" i="106"/>
  <c r="W111" i="106" s="1"/>
  <c r="J110" i="106"/>
  <c r="W110" i="106" s="1"/>
  <c r="J109" i="106"/>
  <c r="W109" i="106" s="1"/>
  <c r="J108" i="106"/>
  <c r="W108" i="106" s="1"/>
  <c r="J107" i="106"/>
  <c r="W107" i="106" s="1"/>
  <c r="J106" i="106"/>
  <c r="W106" i="106" s="1"/>
  <c r="J105" i="106"/>
  <c r="W105" i="106" s="1"/>
  <c r="J104" i="106"/>
  <c r="W104" i="106" s="1"/>
  <c r="J103" i="106"/>
  <c r="W103" i="106" s="1"/>
  <c r="J102" i="106"/>
  <c r="W102" i="106" s="1"/>
  <c r="J101" i="106"/>
  <c r="W101" i="106" s="1"/>
  <c r="V100" i="106"/>
  <c r="J100" i="106"/>
  <c r="W100" i="106" s="1"/>
  <c r="J99" i="106"/>
  <c r="W99" i="106" s="1"/>
  <c r="J98" i="106"/>
  <c r="W98" i="106" s="1"/>
  <c r="J97" i="106"/>
  <c r="W97" i="106" s="1"/>
  <c r="J96" i="106"/>
  <c r="W96" i="106" s="1"/>
  <c r="J95" i="106"/>
  <c r="W95" i="106" s="1"/>
  <c r="J94" i="106"/>
  <c r="W94" i="106" s="1"/>
  <c r="J93" i="106"/>
  <c r="W93" i="106" s="1"/>
  <c r="B93" i="106"/>
  <c r="B94" i="106" s="1"/>
  <c r="B95" i="106" s="1"/>
  <c r="B96" i="106" s="1"/>
  <c r="B97" i="106" s="1"/>
  <c r="B98" i="106" s="1"/>
  <c r="B99" i="106" s="1"/>
  <c r="B100" i="106" s="1"/>
  <c r="B101" i="106" s="1"/>
  <c r="B102" i="106" s="1"/>
  <c r="B103" i="106" s="1"/>
  <c r="B104" i="106" s="1"/>
  <c r="B105" i="106" s="1"/>
  <c r="B106" i="106" s="1"/>
  <c r="B107" i="106" s="1"/>
  <c r="B108" i="106" s="1"/>
  <c r="B109" i="106" s="1"/>
  <c r="B110" i="106" s="1"/>
  <c r="B111" i="106" s="1"/>
  <c r="B112" i="106" s="1"/>
  <c r="B113" i="106" s="1"/>
  <c r="B114" i="106" s="1"/>
  <c r="J92" i="106"/>
  <c r="W92" i="106" s="1"/>
  <c r="V83" i="106"/>
  <c r="J83" i="106"/>
  <c r="W83" i="106" s="1"/>
  <c r="W82" i="106"/>
  <c r="J82" i="106"/>
  <c r="V82" i="106" s="1"/>
  <c r="J81" i="106"/>
  <c r="J80" i="106"/>
  <c r="W80" i="106" s="1"/>
  <c r="J79" i="106"/>
  <c r="W79" i="106" s="1"/>
  <c r="J78" i="106"/>
  <c r="W78" i="106" s="1"/>
  <c r="J77" i="106"/>
  <c r="W77" i="106" s="1"/>
  <c r="J76" i="106"/>
  <c r="W76" i="106" s="1"/>
  <c r="J75" i="106"/>
  <c r="W75" i="106" s="1"/>
  <c r="J74" i="106"/>
  <c r="W74" i="106" s="1"/>
  <c r="J73" i="106"/>
  <c r="W73" i="106" s="1"/>
  <c r="J72" i="106"/>
  <c r="W72" i="106" s="1"/>
  <c r="J71" i="106"/>
  <c r="W71" i="106" s="1"/>
  <c r="J70" i="106"/>
  <c r="W70" i="106" s="1"/>
  <c r="J69" i="106"/>
  <c r="W69" i="106" s="1"/>
  <c r="J68" i="106"/>
  <c r="W68" i="106" s="1"/>
  <c r="J67" i="106"/>
  <c r="W67" i="106" s="1"/>
  <c r="J66" i="106"/>
  <c r="W66" i="106" s="1"/>
  <c r="J65" i="106"/>
  <c r="W65" i="106" s="1"/>
  <c r="J64" i="106"/>
  <c r="W64" i="106" s="1"/>
  <c r="J63" i="106"/>
  <c r="W63" i="106" s="1"/>
  <c r="J62" i="106"/>
  <c r="W62" i="106" s="1"/>
  <c r="J61" i="106"/>
  <c r="W61" i="106" s="1"/>
  <c r="B61" i="106"/>
  <c r="B62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B72" i="106" s="1"/>
  <c r="B73" i="106" s="1"/>
  <c r="B74" i="106" s="1"/>
  <c r="B75" i="106" s="1"/>
  <c r="B76" i="106" s="1"/>
  <c r="B77" i="106" s="1"/>
  <c r="B78" i="106" s="1"/>
  <c r="B79" i="106" s="1"/>
  <c r="B80" i="106" s="1"/>
  <c r="B81" i="106" s="1"/>
  <c r="B82" i="106" s="1"/>
  <c r="B83" i="106" s="1"/>
  <c r="J60" i="106"/>
  <c r="W60" i="106" s="1"/>
  <c r="W51" i="106"/>
  <c r="V51" i="106"/>
  <c r="W50" i="106"/>
  <c r="V50" i="106"/>
  <c r="W49" i="106"/>
  <c r="V49" i="106"/>
  <c r="W48" i="106"/>
  <c r="V48" i="106"/>
  <c r="W45" i="106"/>
  <c r="W44" i="106"/>
  <c r="V44" i="106"/>
  <c r="V42" i="106"/>
  <c r="V41" i="106"/>
  <c r="W41" i="106"/>
  <c r="W40" i="106"/>
  <c r="V40" i="106"/>
  <c r="V38" i="106"/>
  <c r="V37" i="106"/>
  <c r="W37" i="106"/>
  <c r="W36" i="106"/>
  <c r="V36" i="106"/>
  <c r="V34" i="106"/>
  <c r="V33" i="106"/>
  <c r="W33" i="106"/>
  <c r="W32" i="106"/>
  <c r="V32" i="106"/>
  <c r="V30" i="106"/>
  <c r="V29" i="106"/>
  <c r="W29" i="106"/>
  <c r="W28" i="106"/>
  <c r="V28" i="106"/>
  <c r="V26" i="106"/>
  <c r="V25" i="106"/>
  <c r="W25" i="106"/>
  <c r="W24" i="106"/>
  <c r="V24" i="106"/>
  <c r="V22" i="106"/>
  <c r="N16" i="106"/>
  <c r="N14" i="106"/>
  <c r="N12" i="106"/>
  <c r="N10" i="106"/>
  <c r="N8" i="106"/>
  <c r="I7" i="106"/>
  <c r="J7" i="106" s="1"/>
  <c r="B7" i="106"/>
  <c r="B8" i="106" s="1"/>
  <c r="B9" i="106" s="1"/>
  <c r="B10" i="106" s="1"/>
  <c r="B11" i="106" s="1"/>
  <c r="B12" i="106" s="1"/>
  <c r="B13" i="106" s="1"/>
  <c r="B14" i="106" s="1"/>
  <c r="B15" i="106" s="1"/>
  <c r="B16" i="106" s="1"/>
  <c r="B17" i="106" s="1"/>
  <c r="B18" i="106" s="1"/>
  <c r="B19" i="106" s="1"/>
  <c r="B20" i="106" s="1"/>
  <c r="B21" i="106" s="1"/>
  <c r="B22" i="106" s="1"/>
  <c r="B23" i="106" s="1"/>
  <c r="B24" i="106" s="1"/>
  <c r="B25" i="106" s="1"/>
  <c r="B26" i="106" s="1"/>
  <c r="B27" i="106" s="1"/>
  <c r="B28" i="106" s="1"/>
  <c r="B29" i="106" s="1"/>
  <c r="B30" i="106" s="1"/>
  <c r="B31" i="106" s="1"/>
  <c r="B32" i="106" s="1"/>
  <c r="B33" i="106" s="1"/>
  <c r="B34" i="106" s="1"/>
  <c r="B35" i="106" s="1"/>
  <c r="B36" i="106" s="1"/>
  <c r="B37" i="106" s="1"/>
  <c r="B38" i="106" s="1"/>
  <c r="B39" i="106" s="1"/>
  <c r="B40" i="106" s="1"/>
  <c r="B41" i="106" s="1"/>
  <c r="B42" i="106" s="1"/>
  <c r="B43" i="106" s="1"/>
  <c r="B44" i="106" s="1"/>
  <c r="B45" i="106" s="1"/>
  <c r="B46" i="106" s="1"/>
  <c r="B47" i="106" s="1"/>
  <c r="B48" i="106" s="1"/>
  <c r="B49" i="106" s="1"/>
  <c r="B50" i="106" s="1"/>
  <c r="B51" i="106" s="1"/>
  <c r="N6" i="106"/>
  <c r="I6" i="106"/>
  <c r="J6" i="106" s="1"/>
  <c r="V6" i="106" s="1"/>
  <c r="N4" i="106"/>
  <c r="I47" i="105"/>
  <c r="J47" i="105" s="1"/>
  <c r="I46" i="105"/>
  <c r="J46" i="105" s="1"/>
  <c r="I45" i="105"/>
  <c r="J45" i="105" s="1"/>
  <c r="I44" i="105"/>
  <c r="J44" i="105" s="1"/>
  <c r="I43" i="105"/>
  <c r="J43" i="105" s="1"/>
  <c r="I42" i="105"/>
  <c r="J42" i="105" s="1"/>
  <c r="I41" i="105"/>
  <c r="J41" i="105" s="1"/>
  <c r="I40" i="105"/>
  <c r="J40" i="105" s="1"/>
  <c r="I39" i="105"/>
  <c r="J39" i="105" s="1"/>
  <c r="I38" i="105"/>
  <c r="J38" i="105" s="1"/>
  <c r="I37" i="105"/>
  <c r="J37" i="105" s="1"/>
  <c r="I36" i="105"/>
  <c r="J36" i="105" s="1"/>
  <c r="I35" i="105"/>
  <c r="J35" i="105" s="1"/>
  <c r="I34" i="105"/>
  <c r="J34" i="105" s="1"/>
  <c r="I33" i="105"/>
  <c r="J33" i="105" s="1"/>
  <c r="I32" i="105"/>
  <c r="J32" i="105" s="1"/>
  <c r="W21" i="106" l="1"/>
  <c r="V21" i="106"/>
  <c r="W15" i="106"/>
  <c r="V15" i="106"/>
  <c r="W132" i="106"/>
  <c r="V135" i="106"/>
  <c r="W141" i="106"/>
  <c r="V176" i="106"/>
  <c r="W189" i="106"/>
  <c r="W192" i="106"/>
  <c r="V72" i="106"/>
  <c r="V106" i="106"/>
  <c r="V109" i="106"/>
  <c r="V127" i="106"/>
  <c r="V172" i="106"/>
  <c r="V175" i="106"/>
  <c r="W205" i="106"/>
  <c r="V216" i="106"/>
  <c r="V131" i="106"/>
  <c r="V145" i="106"/>
  <c r="V195" i="106"/>
  <c r="W197" i="106"/>
  <c r="W200" i="106"/>
  <c r="W204" i="106"/>
  <c r="V62" i="106"/>
  <c r="V92" i="106"/>
  <c r="V110" i="106"/>
  <c r="W129" i="106"/>
  <c r="V143" i="106"/>
  <c r="V170" i="106"/>
  <c r="V191" i="106"/>
  <c r="W193" i="106"/>
  <c r="V102" i="106"/>
  <c r="V114" i="106"/>
  <c r="W124" i="106"/>
  <c r="V74" i="106"/>
  <c r="V239" i="106"/>
  <c r="Q4" i="109"/>
  <c r="R4" i="109"/>
  <c r="Q6" i="109"/>
  <c r="Q12" i="109"/>
  <c r="Q16" i="109"/>
  <c r="Q8" i="109"/>
  <c r="P18" i="109"/>
  <c r="O18" i="109"/>
  <c r="R18" i="109" s="1"/>
  <c r="P20" i="109" s="1"/>
  <c r="P18" i="108"/>
  <c r="Q8" i="108"/>
  <c r="Q6" i="108"/>
  <c r="R16" i="108"/>
  <c r="Q16" i="108"/>
  <c r="Q12" i="108"/>
  <c r="Q4" i="108"/>
  <c r="R4" i="108"/>
  <c r="O18" i="108"/>
  <c r="R18" i="108" s="1"/>
  <c r="P20" i="108" s="1"/>
  <c r="V208" i="107"/>
  <c r="O14" i="107" s="1"/>
  <c r="R14" i="107" s="1"/>
  <c r="V52" i="107"/>
  <c r="O4" i="107" s="1"/>
  <c r="R4" i="107" s="1"/>
  <c r="V240" i="107"/>
  <c r="O16" i="107" s="1"/>
  <c r="W208" i="107"/>
  <c r="P14" i="107" s="1"/>
  <c r="V177" i="107"/>
  <c r="O12" i="107" s="1"/>
  <c r="R12" i="107" s="1"/>
  <c r="V146" i="107"/>
  <c r="O10" i="107" s="1"/>
  <c r="R10" i="107" s="1"/>
  <c r="W146" i="107"/>
  <c r="P10" i="107" s="1"/>
  <c r="V115" i="107"/>
  <c r="O8" i="107" s="1"/>
  <c r="R8" i="107" s="1"/>
  <c r="V84" i="107"/>
  <c r="O6" i="107" s="1"/>
  <c r="R6" i="107" s="1"/>
  <c r="W52" i="107"/>
  <c r="P4" i="107" s="1"/>
  <c r="V207" i="106"/>
  <c r="V174" i="106"/>
  <c r="W144" i="106"/>
  <c r="V113" i="106"/>
  <c r="V112" i="106"/>
  <c r="V111" i="106"/>
  <c r="V80" i="106"/>
  <c r="V140" i="106"/>
  <c r="V78" i="106"/>
  <c r="V108" i="106"/>
  <c r="V76" i="106"/>
  <c r="V168" i="106"/>
  <c r="W137" i="106"/>
  <c r="V199" i="106"/>
  <c r="V166" i="106"/>
  <c r="W136" i="106"/>
  <c r="V104" i="106"/>
  <c r="V164" i="106"/>
  <c r="W133" i="106"/>
  <c r="V70" i="106"/>
  <c r="V162" i="106"/>
  <c r="V68" i="106"/>
  <c r="V160" i="106"/>
  <c r="V98" i="106"/>
  <c r="V66" i="106"/>
  <c r="V18" i="106"/>
  <c r="W128" i="106"/>
  <c r="V158" i="106"/>
  <c r="V64" i="106"/>
  <c r="W188" i="106"/>
  <c r="V125" i="106"/>
  <c r="V154" i="106"/>
  <c r="J240" i="106"/>
  <c r="V217" i="106"/>
  <c r="V219" i="106"/>
  <c r="V221" i="106"/>
  <c r="V223" i="106"/>
  <c r="V225" i="106"/>
  <c r="V227" i="106"/>
  <c r="V229" i="106"/>
  <c r="V231" i="106"/>
  <c r="V233" i="106"/>
  <c r="V235" i="106"/>
  <c r="V237" i="106"/>
  <c r="V218" i="106"/>
  <c r="V220" i="106"/>
  <c r="V222" i="106"/>
  <c r="V224" i="106"/>
  <c r="V226" i="106"/>
  <c r="V228" i="106"/>
  <c r="V230" i="106"/>
  <c r="V232" i="106"/>
  <c r="V234" i="106"/>
  <c r="V236" i="106"/>
  <c r="V238" i="106"/>
  <c r="W185" i="106"/>
  <c r="W186" i="106"/>
  <c r="W190" i="106"/>
  <c r="W194" i="106"/>
  <c r="W198" i="106"/>
  <c r="W202" i="106"/>
  <c r="W206" i="106"/>
  <c r="J208" i="106"/>
  <c r="V155" i="106"/>
  <c r="V157" i="106"/>
  <c r="V159" i="106"/>
  <c r="V161" i="106"/>
  <c r="V163" i="106"/>
  <c r="V165" i="106"/>
  <c r="V167" i="106"/>
  <c r="V169" i="106"/>
  <c r="V171" i="106"/>
  <c r="V173" i="106"/>
  <c r="W123" i="106"/>
  <c r="J146" i="106"/>
  <c r="W126" i="106"/>
  <c r="W130" i="106"/>
  <c r="W134" i="106"/>
  <c r="W138" i="106"/>
  <c r="W142" i="106"/>
  <c r="V94" i="106"/>
  <c r="V96" i="106"/>
  <c r="V93" i="106"/>
  <c r="V95" i="106"/>
  <c r="V97" i="106"/>
  <c r="V99" i="106"/>
  <c r="V101" i="106"/>
  <c r="V103" i="106"/>
  <c r="V105" i="106"/>
  <c r="V107" i="106"/>
  <c r="J115" i="106"/>
  <c r="W84" i="106"/>
  <c r="P6" i="106" s="1"/>
  <c r="V61" i="106"/>
  <c r="V63" i="106"/>
  <c r="V65" i="106"/>
  <c r="V67" i="106"/>
  <c r="V69" i="106"/>
  <c r="V71" i="106"/>
  <c r="V73" i="106"/>
  <c r="V75" i="106"/>
  <c r="V77" i="106"/>
  <c r="V79" i="106"/>
  <c r="N18" i="106"/>
  <c r="V60" i="106"/>
  <c r="W13" i="106"/>
  <c r="V13" i="106"/>
  <c r="V27" i="106"/>
  <c r="W27" i="106"/>
  <c r="V35" i="106"/>
  <c r="W35" i="106"/>
  <c r="V43" i="106"/>
  <c r="W43" i="106"/>
  <c r="V47" i="106"/>
  <c r="W47" i="106"/>
  <c r="W240" i="106"/>
  <c r="P16" i="106" s="1"/>
  <c r="V20" i="106"/>
  <c r="W20" i="106"/>
  <c r="W10" i="106"/>
  <c r="V10" i="106"/>
  <c r="V12" i="106"/>
  <c r="W12" i="106"/>
  <c r="V46" i="106"/>
  <c r="W46" i="106"/>
  <c r="W115" i="106"/>
  <c r="P8" i="106" s="1"/>
  <c r="V7" i="106"/>
  <c r="W7" i="106"/>
  <c r="V9" i="106"/>
  <c r="W9" i="106"/>
  <c r="V17" i="106"/>
  <c r="W17" i="106"/>
  <c r="V23" i="106"/>
  <c r="W23" i="106"/>
  <c r="V31" i="106"/>
  <c r="W31" i="106"/>
  <c r="V39" i="106"/>
  <c r="W39" i="106"/>
  <c r="W177" i="106"/>
  <c r="P12" i="106" s="1"/>
  <c r="V45" i="106"/>
  <c r="J52" i="106"/>
  <c r="J84" i="106"/>
  <c r="W14" i="106"/>
  <c r="W6" i="106"/>
  <c r="W8" i="106"/>
  <c r="W11" i="106"/>
  <c r="W16" i="106"/>
  <c r="W19" i="106"/>
  <c r="W22" i="106"/>
  <c r="W26" i="106"/>
  <c r="W30" i="106"/>
  <c r="W34" i="106"/>
  <c r="W38" i="106"/>
  <c r="W42" i="106"/>
  <c r="J177" i="106"/>
  <c r="I31" i="105"/>
  <c r="J31" i="105" s="1"/>
  <c r="I30" i="105"/>
  <c r="J30" i="105" s="1"/>
  <c r="I29" i="105"/>
  <c r="J29" i="105" s="1"/>
  <c r="I28" i="105"/>
  <c r="J28" i="105" s="1"/>
  <c r="I27" i="105"/>
  <c r="J27" i="105" s="1"/>
  <c r="I26" i="105"/>
  <c r="J26" i="105" s="1"/>
  <c r="I25" i="105"/>
  <c r="J25" i="105" s="1"/>
  <c r="I24" i="105"/>
  <c r="J24" i="105" s="1"/>
  <c r="I23" i="105"/>
  <c r="J23" i="105" s="1"/>
  <c r="I22" i="105"/>
  <c r="J22" i="105" s="1"/>
  <c r="I21" i="105"/>
  <c r="J21" i="105" s="1"/>
  <c r="I20" i="105"/>
  <c r="J20" i="105" s="1"/>
  <c r="I19" i="105"/>
  <c r="J19" i="105" s="1"/>
  <c r="I18" i="105"/>
  <c r="J18" i="105" s="1"/>
  <c r="I17" i="105"/>
  <c r="J17" i="105" s="1"/>
  <c r="I16" i="105"/>
  <c r="J16" i="105" s="1"/>
  <c r="I15" i="105"/>
  <c r="J15" i="105" s="1"/>
  <c r="I14" i="105"/>
  <c r="J14" i="105" s="1"/>
  <c r="Q18" i="109" l="1"/>
  <c r="Q18" i="108"/>
  <c r="Q14" i="107"/>
  <c r="O18" i="107"/>
  <c r="R18" i="107" s="1"/>
  <c r="P20" i="107" s="1"/>
  <c r="P18" i="107"/>
  <c r="Q4" i="107"/>
  <c r="R16" i="107"/>
  <c r="Q16" i="107"/>
  <c r="Q12" i="107"/>
  <c r="Q10" i="107"/>
  <c r="Q8" i="107"/>
  <c r="Q6" i="107"/>
  <c r="V208" i="106"/>
  <c r="O14" i="106" s="1"/>
  <c r="R14" i="106" s="1"/>
  <c r="V146" i="106"/>
  <c r="O10" i="106" s="1"/>
  <c r="R10" i="106" s="1"/>
  <c r="W146" i="106"/>
  <c r="P10" i="106" s="1"/>
  <c r="V52" i="106"/>
  <c r="O4" i="106" s="1"/>
  <c r="R4" i="106" s="1"/>
  <c r="W52" i="106"/>
  <c r="P4" i="106" s="1"/>
  <c r="V84" i="106"/>
  <c r="O6" i="106" s="1"/>
  <c r="Q6" i="106" s="1"/>
  <c r="V177" i="106"/>
  <c r="O12" i="106" s="1"/>
  <c r="R12" i="106" s="1"/>
  <c r="V240" i="106"/>
  <c r="O16" i="106" s="1"/>
  <c r="Q16" i="106" s="1"/>
  <c r="V115" i="106"/>
  <c r="O8" i="106" s="1"/>
  <c r="Q8" i="106" s="1"/>
  <c r="W208" i="106"/>
  <c r="P14" i="106" s="1"/>
  <c r="I13" i="105"/>
  <c r="J13" i="105" s="1"/>
  <c r="I12" i="105"/>
  <c r="J12" i="105" s="1"/>
  <c r="J11" i="105"/>
  <c r="I11" i="105"/>
  <c r="I10" i="105"/>
  <c r="J10" i="105" s="1"/>
  <c r="I8" i="105"/>
  <c r="J8" i="105" s="1"/>
  <c r="I9" i="105"/>
  <c r="J9" i="105" s="1"/>
  <c r="Q18" i="107" l="1"/>
  <c r="Q14" i="106"/>
  <c r="Q10" i="106"/>
  <c r="Q4" i="106"/>
  <c r="R6" i="106"/>
  <c r="Q12" i="106"/>
  <c r="R16" i="106"/>
  <c r="P18" i="106"/>
  <c r="O18" i="106"/>
  <c r="R18" i="106" s="1"/>
  <c r="P20" i="106" s="1"/>
  <c r="R8" i="106"/>
  <c r="J234" i="105"/>
  <c r="W234" i="105" s="1"/>
  <c r="J233" i="105"/>
  <c r="W233" i="105" s="1"/>
  <c r="J232" i="105"/>
  <c r="W232" i="105" s="1"/>
  <c r="J231" i="105"/>
  <c r="W231" i="105" s="1"/>
  <c r="J230" i="105"/>
  <c r="W230" i="105" s="1"/>
  <c r="J229" i="105"/>
  <c r="W229" i="105" s="1"/>
  <c r="J228" i="105"/>
  <c r="W228" i="105" s="1"/>
  <c r="J227" i="105"/>
  <c r="W227" i="105" s="1"/>
  <c r="J226" i="105"/>
  <c r="W226" i="105" s="1"/>
  <c r="J225" i="105"/>
  <c r="W225" i="105" s="1"/>
  <c r="J224" i="105"/>
  <c r="W224" i="105" s="1"/>
  <c r="J223" i="105"/>
  <c r="W223" i="105" s="1"/>
  <c r="J222" i="105"/>
  <c r="W222" i="105" s="1"/>
  <c r="J221" i="105"/>
  <c r="W221" i="105" s="1"/>
  <c r="J220" i="105"/>
  <c r="W220" i="105" s="1"/>
  <c r="J219" i="105"/>
  <c r="W219" i="105" s="1"/>
  <c r="J218" i="105"/>
  <c r="W218" i="105" s="1"/>
  <c r="J217" i="105"/>
  <c r="W217" i="105" s="1"/>
  <c r="J216" i="105"/>
  <c r="W216" i="105" s="1"/>
  <c r="J215" i="105"/>
  <c r="W215" i="105" s="1"/>
  <c r="J214" i="105"/>
  <c r="W214" i="105" s="1"/>
  <c r="J213" i="105"/>
  <c r="W213" i="105" s="1"/>
  <c r="B213" i="105"/>
  <c r="B214" i="105" s="1"/>
  <c r="B215" i="105" s="1"/>
  <c r="B216" i="105" s="1"/>
  <c r="J212" i="105"/>
  <c r="W212" i="105" s="1"/>
  <c r="J203" i="105"/>
  <c r="V203" i="105" s="1"/>
  <c r="J202" i="105"/>
  <c r="V202" i="105" s="1"/>
  <c r="J201" i="105"/>
  <c r="V201" i="105" s="1"/>
  <c r="J200" i="105"/>
  <c r="W200" i="105" s="1"/>
  <c r="J199" i="105"/>
  <c r="V199" i="105" s="1"/>
  <c r="J198" i="105"/>
  <c r="V198" i="105" s="1"/>
  <c r="J197" i="105"/>
  <c r="V197" i="105" s="1"/>
  <c r="J196" i="105"/>
  <c r="W196" i="105" s="1"/>
  <c r="J195" i="105"/>
  <c r="V195" i="105" s="1"/>
  <c r="J194" i="105"/>
  <c r="V194" i="105" s="1"/>
  <c r="J193" i="105"/>
  <c r="V193" i="105" s="1"/>
  <c r="J192" i="105"/>
  <c r="W192" i="105" s="1"/>
  <c r="J191" i="105"/>
  <c r="V191" i="105" s="1"/>
  <c r="J190" i="105"/>
  <c r="V190" i="105" s="1"/>
  <c r="J189" i="105"/>
  <c r="V189" i="105" s="1"/>
  <c r="J188" i="105"/>
  <c r="W188" i="105" s="1"/>
  <c r="J187" i="105"/>
  <c r="V187" i="105" s="1"/>
  <c r="J186" i="105"/>
  <c r="W186" i="105" s="1"/>
  <c r="J185" i="105"/>
  <c r="W185" i="105" s="1"/>
  <c r="J184" i="105"/>
  <c r="V184" i="105" s="1"/>
  <c r="J183" i="105"/>
  <c r="V183" i="105" s="1"/>
  <c r="B183" i="105"/>
  <c r="B184" i="105" s="1"/>
  <c r="B185" i="105" s="1"/>
  <c r="B186" i="105" s="1"/>
  <c r="J182" i="105"/>
  <c r="W182" i="105" s="1"/>
  <c r="J173" i="105"/>
  <c r="W173" i="105" s="1"/>
  <c r="J172" i="105"/>
  <c r="W172" i="105" s="1"/>
  <c r="J171" i="105"/>
  <c r="W171" i="105" s="1"/>
  <c r="J170" i="105"/>
  <c r="W170" i="105" s="1"/>
  <c r="J169" i="105"/>
  <c r="W169" i="105" s="1"/>
  <c r="J168" i="105"/>
  <c r="W168" i="105" s="1"/>
  <c r="J167" i="105"/>
  <c r="W167" i="105" s="1"/>
  <c r="J166" i="105"/>
  <c r="W166" i="105" s="1"/>
  <c r="J165" i="105"/>
  <c r="W165" i="105" s="1"/>
  <c r="J164" i="105"/>
  <c r="W164" i="105" s="1"/>
  <c r="J163" i="105"/>
  <c r="W163" i="105" s="1"/>
  <c r="J162" i="105"/>
  <c r="W162" i="105" s="1"/>
  <c r="J161" i="105"/>
  <c r="W161" i="105" s="1"/>
  <c r="J160" i="105"/>
  <c r="W160" i="105" s="1"/>
  <c r="J159" i="105"/>
  <c r="W159" i="105" s="1"/>
  <c r="J158" i="105"/>
  <c r="W158" i="105" s="1"/>
  <c r="J157" i="105"/>
  <c r="W157" i="105" s="1"/>
  <c r="J156" i="105"/>
  <c r="W156" i="105" s="1"/>
  <c r="J155" i="105"/>
  <c r="W155" i="105" s="1"/>
  <c r="J154" i="105"/>
  <c r="W154" i="105" s="1"/>
  <c r="J153" i="105"/>
  <c r="W153" i="105" s="1"/>
  <c r="B153" i="105"/>
  <c r="B154" i="105" s="1"/>
  <c r="B155" i="105" s="1"/>
  <c r="B156" i="105" s="1"/>
  <c r="B157" i="105" s="1"/>
  <c r="B158" i="105" s="1"/>
  <c r="J152" i="105"/>
  <c r="W152" i="105" s="1"/>
  <c r="J143" i="105"/>
  <c r="W143" i="105" s="1"/>
  <c r="J142" i="105"/>
  <c r="V142" i="105" s="1"/>
  <c r="J141" i="105"/>
  <c r="V141" i="105" s="1"/>
  <c r="J140" i="105"/>
  <c r="W140" i="105" s="1"/>
  <c r="J139" i="105"/>
  <c r="W139" i="105" s="1"/>
  <c r="J138" i="105"/>
  <c r="V138" i="105" s="1"/>
  <c r="J137" i="105"/>
  <c r="V137" i="105" s="1"/>
  <c r="J136" i="105"/>
  <c r="V136" i="105" s="1"/>
  <c r="J135" i="105"/>
  <c r="W135" i="105" s="1"/>
  <c r="J134" i="105"/>
  <c r="V134" i="105" s="1"/>
  <c r="J133" i="105"/>
  <c r="V133" i="105" s="1"/>
  <c r="J132" i="105"/>
  <c r="V132" i="105" s="1"/>
  <c r="J131" i="105"/>
  <c r="W131" i="105" s="1"/>
  <c r="J130" i="105"/>
  <c r="V130" i="105" s="1"/>
  <c r="J129" i="105"/>
  <c r="V129" i="105" s="1"/>
  <c r="J128" i="105"/>
  <c r="V128" i="105" s="1"/>
  <c r="J127" i="105"/>
  <c r="W127" i="105" s="1"/>
  <c r="J126" i="105"/>
  <c r="V126" i="105" s="1"/>
  <c r="J125" i="105"/>
  <c r="V125" i="105" s="1"/>
  <c r="J124" i="105"/>
  <c r="W124" i="105" s="1"/>
  <c r="J123" i="105"/>
  <c r="V123" i="105" s="1"/>
  <c r="B123" i="105"/>
  <c r="B124" i="105" s="1"/>
  <c r="B125" i="105" s="1"/>
  <c r="B126" i="105" s="1"/>
  <c r="J122" i="105"/>
  <c r="V122" i="105" s="1"/>
  <c r="J113" i="105"/>
  <c r="W113" i="105" s="1"/>
  <c r="J112" i="105"/>
  <c r="W112" i="105" s="1"/>
  <c r="J111" i="105"/>
  <c r="W111" i="105" s="1"/>
  <c r="J110" i="105"/>
  <c r="W110" i="105" s="1"/>
  <c r="J109" i="105"/>
  <c r="W109" i="105" s="1"/>
  <c r="J108" i="105"/>
  <c r="W108" i="105" s="1"/>
  <c r="J107" i="105"/>
  <c r="W107" i="105" s="1"/>
  <c r="J106" i="105"/>
  <c r="W106" i="105" s="1"/>
  <c r="J105" i="105"/>
  <c r="W105" i="105" s="1"/>
  <c r="J104" i="105"/>
  <c r="W104" i="105" s="1"/>
  <c r="J103" i="105"/>
  <c r="W103" i="105" s="1"/>
  <c r="J102" i="105"/>
  <c r="W102" i="105" s="1"/>
  <c r="J101" i="105"/>
  <c r="W101" i="105" s="1"/>
  <c r="J100" i="105"/>
  <c r="W100" i="105" s="1"/>
  <c r="J99" i="105"/>
  <c r="W99" i="105" s="1"/>
  <c r="J98" i="105"/>
  <c r="W98" i="105" s="1"/>
  <c r="J97" i="105"/>
  <c r="W97" i="105" s="1"/>
  <c r="J96" i="105"/>
  <c r="W96" i="105" s="1"/>
  <c r="J95" i="105"/>
  <c r="W95" i="105" s="1"/>
  <c r="J94" i="105"/>
  <c r="W94" i="105" s="1"/>
  <c r="J93" i="105"/>
  <c r="W93" i="105" s="1"/>
  <c r="B93" i="105"/>
  <c r="B94" i="105" s="1"/>
  <c r="B95" i="105" s="1"/>
  <c r="B96" i="105" s="1"/>
  <c r="J92" i="105"/>
  <c r="W92" i="105" s="1"/>
  <c r="J83" i="105"/>
  <c r="V83" i="105" s="1"/>
  <c r="J82" i="105"/>
  <c r="V82" i="105" s="1"/>
  <c r="J81" i="105"/>
  <c r="J80" i="105"/>
  <c r="W80" i="105" s="1"/>
  <c r="J79" i="105"/>
  <c r="W79" i="105" s="1"/>
  <c r="J78" i="105"/>
  <c r="W78" i="105" s="1"/>
  <c r="J77" i="105"/>
  <c r="W77" i="105" s="1"/>
  <c r="J76" i="105"/>
  <c r="W76" i="105" s="1"/>
  <c r="J75" i="105"/>
  <c r="W75" i="105" s="1"/>
  <c r="J74" i="105"/>
  <c r="W74" i="105" s="1"/>
  <c r="J73" i="105"/>
  <c r="W73" i="105" s="1"/>
  <c r="J72" i="105"/>
  <c r="W72" i="105" s="1"/>
  <c r="J71" i="105"/>
  <c r="W71" i="105" s="1"/>
  <c r="J70" i="105"/>
  <c r="W70" i="105" s="1"/>
  <c r="J69" i="105"/>
  <c r="W69" i="105" s="1"/>
  <c r="J68" i="105"/>
  <c r="W68" i="105" s="1"/>
  <c r="J67" i="105"/>
  <c r="W67" i="105" s="1"/>
  <c r="J66" i="105"/>
  <c r="W66" i="105" s="1"/>
  <c r="J65" i="105"/>
  <c r="W65" i="105" s="1"/>
  <c r="J64" i="105"/>
  <c r="W64" i="105" s="1"/>
  <c r="J63" i="105"/>
  <c r="W63" i="105" s="1"/>
  <c r="J62" i="105"/>
  <c r="W62" i="105" s="1"/>
  <c r="J61" i="105"/>
  <c r="W61" i="105" s="1"/>
  <c r="B61" i="105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J60" i="105"/>
  <c r="W60" i="105" s="1"/>
  <c r="W51" i="105"/>
  <c r="V51" i="105"/>
  <c r="W50" i="105"/>
  <c r="V50" i="105"/>
  <c r="V48" i="105"/>
  <c r="V44" i="105"/>
  <c r="V40" i="105"/>
  <c r="V36" i="105"/>
  <c r="V32" i="105"/>
  <c r="V28" i="105"/>
  <c r="V24" i="105"/>
  <c r="W18" i="105"/>
  <c r="N16" i="105"/>
  <c r="V15" i="105"/>
  <c r="N14" i="105"/>
  <c r="N12" i="105"/>
  <c r="N10" i="105"/>
  <c r="W10" i="105"/>
  <c r="N8" i="105"/>
  <c r="I7" i="105"/>
  <c r="J7" i="105" s="1"/>
  <c r="V7" i="105" s="1"/>
  <c r="B7" i="105"/>
  <c r="B8" i="105" s="1"/>
  <c r="B9" i="105" s="1"/>
  <c r="B10" i="105" s="1"/>
  <c r="B11" i="105" s="1"/>
  <c r="B12" i="105" s="1"/>
  <c r="B13" i="105" s="1"/>
  <c r="B14" i="105" s="1"/>
  <c r="B15" i="105" s="1"/>
  <c r="B16" i="105" s="1"/>
  <c r="B17" i="105" s="1"/>
  <c r="B18" i="105" s="1"/>
  <c r="B19" i="105" s="1"/>
  <c r="B20" i="105" s="1"/>
  <c r="B21" i="105" s="1"/>
  <c r="B22" i="105" s="1"/>
  <c r="B23" i="105" s="1"/>
  <c r="B24" i="105" s="1"/>
  <c r="B25" i="105" s="1"/>
  <c r="B26" i="105" s="1"/>
  <c r="B27" i="105" s="1"/>
  <c r="B28" i="105" s="1"/>
  <c r="B29" i="105" s="1"/>
  <c r="B30" i="105" s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N6" i="105"/>
  <c r="I6" i="105"/>
  <c r="J6" i="105" s="1"/>
  <c r="N4" i="105"/>
  <c r="J51" i="92"/>
  <c r="I49" i="104"/>
  <c r="J49" i="104" s="1"/>
  <c r="W49" i="104" s="1"/>
  <c r="I48" i="104"/>
  <c r="J48" i="104" s="1"/>
  <c r="V48" i="104" s="1"/>
  <c r="I47" i="104"/>
  <c r="J47" i="104" s="1"/>
  <c r="I46" i="104"/>
  <c r="J46" i="104" s="1"/>
  <c r="V46" i="104" s="1"/>
  <c r="I45" i="104"/>
  <c r="J45" i="104" s="1"/>
  <c r="I44" i="104"/>
  <c r="J44" i="104" s="1"/>
  <c r="I43" i="104"/>
  <c r="J43" i="104" s="1"/>
  <c r="I42" i="104"/>
  <c r="J42" i="104" s="1"/>
  <c r="V42" i="104" s="1"/>
  <c r="I41" i="104"/>
  <c r="J41" i="104" s="1"/>
  <c r="W41" i="104" s="1"/>
  <c r="I40" i="104"/>
  <c r="J40" i="104" s="1"/>
  <c r="V40" i="104" s="1"/>
  <c r="I39" i="104"/>
  <c r="J39" i="104" s="1"/>
  <c r="I38" i="104"/>
  <c r="J38" i="104" s="1"/>
  <c r="V38" i="104" s="1"/>
  <c r="I37" i="104"/>
  <c r="J37" i="104" s="1"/>
  <c r="I36" i="104"/>
  <c r="J36" i="104" s="1"/>
  <c r="I35" i="104"/>
  <c r="J35" i="104" s="1"/>
  <c r="I34" i="104"/>
  <c r="J34" i="104" s="1"/>
  <c r="V34" i="104" s="1"/>
  <c r="I33" i="104"/>
  <c r="J33" i="104" s="1"/>
  <c r="W33" i="104" s="1"/>
  <c r="I32" i="104"/>
  <c r="J32" i="104" s="1"/>
  <c r="V32" i="104" s="1"/>
  <c r="I31" i="104"/>
  <c r="J31" i="104" s="1"/>
  <c r="I30" i="104"/>
  <c r="J30" i="104" s="1"/>
  <c r="V30" i="104" s="1"/>
  <c r="I29" i="104"/>
  <c r="J29" i="104" s="1"/>
  <c r="V29" i="104" s="1"/>
  <c r="I28" i="104"/>
  <c r="J28" i="104" s="1"/>
  <c r="I27" i="104"/>
  <c r="J27" i="104" s="1"/>
  <c r="J26" i="104"/>
  <c r="V26" i="104" s="1"/>
  <c r="I26" i="104"/>
  <c r="I25" i="104"/>
  <c r="J25" i="104" s="1"/>
  <c r="J24" i="104"/>
  <c r="W24" i="104" s="1"/>
  <c r="I24" i="104"/>
  <c r="I23" i="104"/>
  <c r="J23" i="104" s="1"/>
  <c r="J22" i="104"/>
  <c r="V22" i="104" s="1"/>
  <c r="I22" i="104"/>
  <c r="I21" i="104"/>
  <c r="J21" i="104" s="1"/>
  <c r="W21" i="104" s="1"/>
  <c r="J20" i="104"/>
  <c r="I20" i="104"/>
  <c r="I19" i="104"/>
  <c r="J19" i="104" s="1"/>
  <c r="V19" i="104" s="1"/>
  <c r="J18" i="104"/>
  <c r="V18" i="104" s="1"/>
  <c r="I18" i="104"/>
  <c r="I17" i="104"/>
  <c r="J17" i="104" s="1"/>
  <c r="J16" i="104"/>
  <c r="V16" i="104" s="1"/>
  <c r="I16" i="104"/>
  <c r="I15" i="104"/>
  <c r="J15" i="104" s="1"/>
  <c r="V15" i="104" s="1"/>
  <c r="I14" i="104"/>
  <c r="J14" i="104" s="1"/>
  <c r="V14" i="104" s="1"/>
  <c r="I13" i="104"/>
  <c r="J13" i="104" s="1"/>
  <c r="I12" i="104"/>
  <c r="J12" i="104" s="1"/>
  <c r="I11" i="104"/>
  <c r="J11" i="104" s="1"/>
  <c r="V11" i="104" s="1"/>
  <c r="I10" i="104"/>
  <c r="J10" i="104" s="1"/>
  <c r="I8" i="104"/>
  <c r="J8" i="104" s="1"/>
  <c r="V8" i="104" s="1"/>
  <c r="I9" i="104"/>
  <c r="J9" i="104" s="1"/>
  <c r="J239" i="104"/>
  <c r="V239" i="104" s="1"/>
  <c r="J238" i="104"/>
  <c r="V238" i="104" s="1"/>
  <c r="J237" i="104"/>
  <c r="V237" i="104" s="1"/>
  <c r="J236" i="104"/>
  <c r="V236" i="104" s="1"/>
  <c r="J235" i="104"/>
  <c r="V235" i="104" s="1"/>
  <c r="J234" i="104"/>
  <c r="V234" i="104" s="1"/>
  <c r="J233" i="104"/>
  <c r="V233" i="104" s="1"/>
  <c r="J232" i="104"/>
  <c r="V232" i="104" s="1"/>
  <c r="J231" i="104"/>
  <c r="V231" i="104" s="1"/>
  <c r="J230" i="104"/>
  <c r="V230" i="104" s="1"/>
  <c r="J229" i="104"/>
  <c r="V229" i="104" s="1"/>
  <c r="J228" i="104"/>
  <c r="V228" i="104" s="1"/>
  <c r="J227" i="104"/>
  <c r="V227" i="104" s="1"/>
  <c r="J226" i="104"/>
  <c r="V226" i="104" s="1"/>
  <c r="J225" i="104"/>
  <c r="V225" i="104" s="1"/>
  <c r="J224" i="104"/>
  <c r="V224" i="104" s="1"/>
  <c r="J223" i="104"/>
  <c r="V223" i="104" s="1"/>
  <c r="J222" i="104"/>
  <c r="V222" i="104" s="1"/>
  <c r="J221" i="104"/>
  <c r="V221" i="104" s="1"/>
  <c r="J220" i="104"/>
  <c r="V220" i="104" s="1"/>
  <c r="J219" i="104"/>
  <c r="V219" i="104" s="1"/>
  <c r="J218" i="104"/>
  <c r="V218" i="104" s="1"/>
  <c r="J217" i="104"/>
  <c r="V217" i="104" s="1"/>
  <c r="B217" i="104"/>
  <c r="B218" i="104" s="1"/>
  <c r="B219" i="104" s="1"/>
  <c r="B220" i="104" s="1"/>
  <c r="B221" i="104" s="1"/>
  <c r="B222" i="104" s="1"/>
  <c r="B223" i="104" s="1"/>
  <c r="B224" i="104" s="1"/>
  <c r="B225" i="104" s="1"/>
  <c r="B226" i="104" s="1"/>
  <c r="B227" i="104" s="1"/>
  <c r="B228" i="104" s="1"/>
  <c r="B229" i="104" s="1"/>
  <c r="B230" i="104" s="1"/>
  <c r="B231" i="104" s="1"/>
  <c r="B232" i="104" s="1"/>
  <c r="B233" i="104" s="1"/>
  <c r="B234" i="104" s="1"/>
  <c r="B235" i="104" s="1"/>
  <c r="B236" i="104" s="1"/>
  <c r="B237" i="104" s="1"/>
  <c r="B238" i="104" s="1"/>
  <c r="B239" i="104" s="1"/>
  <c r="J216" i="104"/>
  <c r="V216" i="104" s="1"/>
  <c r="J207" i="104"/>
  <c r="V207" i="104" s="1"/>
  <c r="J206" i="104"/>
  <c r="V206" i="104" s="1"/>
  <c r="J205" i="104"/>
  <c r="V205" i="104" s="1"/>
  <c r="J204" i="104"/>
  <c r="V204" i="104" s="1"/>
  <c r="J203" i="104"/>
  <c r="V203" i="104" s="1"/>
  <c r="J202" i="104"/>
  <c r="V202" i="104" s="1"/>
  <c r="J201" i="104"/>
  <c r="V201" i="104" s="1"/>
  <c r="J200" i="104"/>
  <c r="V200" i="104" s="1"/>
  <c r="J199" i="104"/>
  <c r="V199" i="104" s="1"/>
  <c r="J198" i="104"/>
  <c r="V198" i="104" s="1"/>
  <c r="J197" i="104"/>
  <c r="V197" i="104" s="1"/>
  <c r="J196" i="104"/>
  <c r="V196" i="104" s="1"/>
  <c r="J195" i="104"/>
  <c r="V195" i="104" s="1"/>
  <c r="J194" i="104"/>
  <c r="V194" i="104" s="1"/>
  <c r="J193" i="104"/>
  <c r="V193" i="104" s="1"/>
  <c r="J192" i="104"/>
  <c r="V192" i="104" s="1"/>
  <c r="J191" i="104"/>
  <c r="V191" i="104" s="1"/>
  <c r="J190" i="104"/>
  <c r="V190" i="104" s="1"/>
  <c r="J189" i="104"/>
  <c r="V189" i="104" s="1"/>
  <c r="J188" i="104"/>
  <c r="V188" i="104" s="1"/>
  <c r="J187" i="104"/>
  <c r="V187" i="104" s="1"/>
  <c r="J186" i="104"/>
  <c r="V186" i="104" s="1"/>
  <c r="B186" i="104"/>
  <c r="B187" i="104" s="1"/>
  <c r="B188" i="104" s="1"/>
  <c r="B189" i="104" s="1"/>
  <c r="B190" i="104" s="1"/>
  <c r="B191" i="104" s="1"/>
  <c r="B192" i="104" s="1"/>
  <c r="B193" i="104" s="1"/>
  <c r="B194" i="104" s="1"/>
  <c r="B195" i="104" s="1"/>
  <c r="B196" i="104" s="1"/>
  <c r="B197" i="104" s="1"/>
  <c r="B198" i="104" s="1"/>
  <c r="B199" i="104" s="1"/>
  <c r="B200" i="104" s="1"/>
  <c r="B201" i="104" s="1"/>
  <c r="B202" i="104" s="1"/>
  <c r="B203" i="104" s="1"/>
  <c r="B204" i="104" s="1"/>
  <c r="B205" i="104" s="1"/>
  <c r="B206" i="104" s="1"/>
  <c r="B207" i="104" s="1"/>
  <c r="J185" i="104"/>
  <c r="V185" i="104" s="1"/>
  <c r="W176" i="104"/>
  <c r="J176" i="104"/>
  <c r="V176" i="104" s="1"/>
  <c r="J175" i="104"/>
  <c r="V175" i="104" s="1"/>
  <c r="J174" i="104"/>
  <c r="V174" i="104" s="1"/>
  <c r="J173" i="104"/>
  <c r="V173" i="104" s="1"/>
  <c r="J172" i="104"/>
  <c r="V172" i="104" s="1"/>
  <c r="J171" i="104"/>
  <c r="V171" i="104" s="1"/>
  <c r="J170" i="104"/>
  <c r="V170" i="104" s="1"/>
  <c r="J169" i="104"/>
  <c r="V169" i="104" s="1"/>
  <c r="J168" i="104"/>
  <c r="V168" i="104" s="1"/>
  <c r="J167" i="104"/>
  <c r="V167" i="104" s="1"/>
  <c r="J166" i="104"/>
  <c r="V166" i="104" s="1"/>
  <c r="J165" i="104"/>
  <c r="V165" i="104" s="1"/>
  <c r="J164" i="104"/>
  <c r="V164" i="104" s="1"/>
  <c r="J163" i="104"/>
  <c r="V163" i="104" s="1"/>
  <c r="J162" i="104"/>
  <c r="V162" i="104" s="1"/>
  <c r="J161" i="104"/>
  <c r="V161" i="104" s="1"/>
  <c r="J160" i="104"/>
  <c r="V160" i="104" s="1"/>
  <c r="J159" i="104"/>
  <c r="V159" i="104" s="1"/>
  <c r="J158" i="104"/>
  <c r="V158" i="104" s="1"/>
  <c r="J157" i="104"/>
  <c r="V157" i="104" s="1"/>
  <c r="J156" i="104"/>
  <c r="V156" i="104" s="1"/>
  <c r="J155" i="104"/>
  <c r="V155" i="104" s="1"/>
  <c r="B155" i="104"/>
  <c r="B156" i="104" s="1"/>
  <c r="B157" i="104" s="1"/>
  <c r="B158" i="104" s="1"/>
  <c r="B159" i="104" s="1"/>
  <c r="B160" i="104" s="1"/>
  <c r="B161" i="104" s="1"/>
  <c r="B162" i="104" s="1"/>
  <c r="B163" i="104" s="1"/>
  <c r="B164" i="104" s="1"/>
  <c r="B165" i="104" s="1"/>
  <c r="B166" i="104" s="1"/>
  <c r="B167" i="104" s="1"/>
  <c r="B168" i="104" s="1"/>
  <c r="B169" i="104" s="1"/>
  <c r="B170" i="104" s="1"/>
  <c r="B171" i="104" s="1"/>
  <c r="B172" i="104" s="1"/>
  <c r="B173" i="104" s="1"/>
  <c r="B174" i="104" s="1"/>
  <c r="B175" i="104" s="1"/>
  <c r="B176" i="104" s="1"/>
  <c r="J154" i="104"/>
  <c r="V154" i="104" s="1"/>
  <c r="J145" i="104"/>
  <c r="V145" i="104" s="1"/>
  <c r="J144" i="104"/>
  <c r="V144" i="104" s="1"/>
  <c r="J143" i="104"/>
  <c r="V143" i="104" s="1"/>
  <c r="J142" i="104"/>
  <c r="V142" i="104" s="1"/>
  <c r="J141" i="104"/>
  <c r="V141" i="104" s="1"/>
  <c r="J140" i="104"/>
  <c r="V140" i="104" s="1"/>
  <c r="J139" i="104"/>
  <c r="V139" i="104" s="1"/>
  <c r="J138" i="104"/>
  <c r="V138" i="104" s="1"/>
  <c r="J137" i="104"/>
  <c r="V137" i="104" s="1"/>
  <c r="J136" i="104"/>
  <c r="V136" i="104" s="1"/>
  <c r="J135" i="104"/>
  <c r="V135" i="104" s="1"/>
  <c r="J134" i="104"/>
  <c r="V134" i="104" s="1"/>
  <c r="J133" i="104"/>
  <c r="V133" i="104" s="1"/>
  <c r="J132" i="104"/>
  <c r="V132" i="104" s="1"/>
  <c r="J131" i="104"/>
  <c r="V131" i="104" s="1"/>
  <c r="J130" i="104"/>
  <c r="V130" i="104" s="1"/>
  <c r="J129" i="104"/>
  <c r="V129" i="104" s="1"/>
  <c r="J128" i="104"/>
  <c r="V128" i="104" s="1"/>
  <c r="J127" i="104"/>
  <c r="V127" i="104" s="1"/>
  <c r="J126" i="104"/>
  <c r="V126" i="104" s="1"/>
  <c r="J125" i="104"/>
  <c r="V125" i="104" s="1"/>
  <c r="J124" i="104"/>
  <c r="V124" i="104" s="1"/>
  <c r="B124" i="104"/>
  <c r="B125" i="104" s="1"/>
  <c r="B126" i="104" s="1"/>
  <c r="B127" i="104" s="1"/>
  <c r="B128" i="104" s="1"/>
  <c r="B129" i="104" s="1"/>
  <c r="B130" i="104" s="1"/>
  <c r="B131" i="104" s="1"/>
  <c r="B132" i="104" s="1"/>
  <c r="B133" i="104" s="1"/>
  <c r="B134" i="104" s="1"/>
  <c r="B135" i="104" s="1"/>
  <c r="B136" i="104" s="1"/>
  <c r="B137" i="104" s="1"/>
  <c r="B138" i="104" s="1"/>
  <c r="B139" i="104" s="1"/>
  <c r="B140" i="104" s="1"/>
  <c r="B141" i="104" s="1"/>
  <c r="B142" i="104" s="1"/>
  <c r="B143" i="104" s="1"/>
  <c r="B144" i="104" s="1"/>
  <c r="B145" i="104" s="1"/>
  <c r="J123" i="104"/>
  <c r="V123" i="104" s="1"/>
  <c r="J114" i="104"/>
  <c r="V114" i="104" s="1"/>
  <c r="J113" i="104"/>
  <c r="V113" i="104" s="1"/>
  <c r="J112" i="104"/>
  <c r="V112" i="104" s="1"/>
  <c r="J111" i="104"/>
  <c r="V111" i="104" s="1"/>
  <c r="J110" i="104"/>
  <c r="V110" i="104" s="1"/>
  <c r="J109" i="104"/>
  <c r="V109" i="104" s="1"/>
  <c r="J108" i="104"/>
  <c r="V108" i="104" s="1"/>
  <c r="J107" i="104"/>
  <c r="V107" i="104" s="1"/>
  <c r="J106" i="104"/>
  <c r="V106" i="104" s="1"/>
  <c r="J105" i="104"/>
  <c r="V105" i="104" s="1"/>
  <c r="J104" i="104"/>
  <c r="V104" i="104" s="1"/>
  <c r="J103" i="104"/>
  <c r="V103" i="104" s="1"/>
  <c r="J102" i="104"/>
  <c r="V102" i="104" s="1"/>
  <c r="J101" i="104"/>
  <c r="V101" i="104" s="1"/>
  <c r="J100" i="104"/>
  <c r="V100" i="104" s="1"/>
  <c r="J99" i="104"/>
  <c r="V99" i="104" s="1"/>
  <c r="J98" i="104"/>
  <c r="V98" i="104" s="1"/>
  <c r="J97" i="104"/>
  <c r="V97" i="104" s="1"/>
  <c r="J96" i="104"/>
  <c r="V96" i="104" s="1"/>
  <c r="J95" i="104"/>
  <c r="V95" i="104" s="1"/>
  <c r="J94" i="104"/>
  <c r="V94" i="104" s="1"/>
  <c r="J93" i="104"/>
  <c r="V93" i="104" s="1"/>
  <c r="B93" i="104"/>
  <c r="B94" i="104" s="1"/>
  <c r="B95" i="104" s="1"/>
  <c r="B96" i="104" s="1"/>
  <c r="B97" i="104" s="1"/>
  <c r="B98" i="104" s="1"/>
  <c r="B99" i="104" s="1"/>
  <c r="B100" i="104" s="1"/>
  <c r="B101" i="104" s="1"/>
  <c r="B102" i="104" s="1"/>
  <c r="B103" i="104" s="1"/>
  <c r="B104" i="104" s="1"/>
  <c r="B105" i="104" s="1"/>
  <c r="B106" i="104" s="1"/>
  <c r="B107" i="104" s="1"/>
  <c r="B108" i="104" s="1"/>
  <c r="B109" i="104" s="1"/>
  <c r="B110" i="104" s="1"/>
  <c r="B111" i="104" s="1"/>
  <c r="B112" i="104" s="1"/>
  <c r="B113" i="104" s="1"/>
  <c r="B114" i="104" s="1"/>
  <c r="J92" i="104"/>
  <c r="V92" i="104" s="1"/>
  <c r="J83" i="104"/>
  <c r="V83" i="104" s="1"/>
  <c r="J82" i="104"/>
  <c r="V82" i="104" s="1"/>
  <c r="J81" i="104"/>
  <c r="J80" i="104"/>
  <c r="V80" i="104" s="1"/>
  <c r="J79" i="104"/>
  <c r="V79" i="104" s="1"/>
  <c r="J78" i="104"/>
  <c r="V78" i="104" s="1"/>
  <c r="J77" i="104"/>
  <c r="V77" i="104" s="1"/>
  <c r="J76" i="104"/>
  <c r="V76" i="104" s="1"/>
  <c r="J75" i="104"/>
  <c r="V75" i="104" s="1"/>
  <c r="J74" i="104"/>
  <c r="V74" i="104" s="1"/>
  <c r="J73" i="104"/>
  <c r="V73" i="104" s="1"/>
  <c r="J72" i="104"/>
  <c r="V72" i="104" s="1"/>
  <c r="J71" i="104"/>
  <c r="V71" i="104" s="1"/>
  <c r="J70" i="104"/>
  <c r="V70" i="104" s="1"/>
  <c r="J69" i="104"/>
  <c r="V69" i="104" s="1"/>
  <c r="J68" i="104"/>
  <c r="V68" i="104" s="1"/>
  <c r="J67" i="104"/>
  <c r="V67" i="104" s="1"/>
  <c r="J66" i="104"/>
  <c r="V66" i="104" s="1"/>
  <c r="J65" i="104"/>
  <c r="V65" i="104" s="1"/>
  <c r="W64" i="104"/>
  <c r="J64" i="104"/>
  <c r="V64" i="104" s="1"/>
  <c r="J63" i="104"/>
  <c r="V63" i="104" s="1"/>
  <c r="J62" i="104"/>
  <c r="V62" i="104" s="1"/>
  <c r="J61" i="104"/>
  <c r="V61" i="104" s="1"/>
  <c r="B61" i="104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J60" i="104"/>
  <c r="W60" i="104" s="1"/>
  <c r="W51" i="104"/>
  <c r="V51" i="104"/>
  <c r="W50" i="104"/>
  <c r="V50" i="104"/>
  <c r="V24" i="104"/>
  <c r="N16" i="104"/>
  <c r="N14" i="104"/>
  <c r="N12" i="104"/>
  <c r="N10" i="104"/>
  <c r="N8" i="104"/>
  <c r="I7" i="104"/>
  <c r="J7" i="104" s="1"/>
  <c r="B7" i="104"/>
  <c r="B8" i="104" s="1"/>
  <c r="B9" i="104" s="1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B23" i="104" s="1"/>
  <c r="B24" i="104" s="1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45" i="104" s="1"/>
  <c r="B46" i="104" s="1"/>
  <c r="B47" i="104" s="1"/>
  <c r="B48" i="104" s="1"/>
  <c r="B49" i="104" s="1"/>
  <c r="B50" i="104" s="1"/>
  <c r="B51" i="104" s="1"/>
  <c r="N6" i="104"/>
  <c r="I6" i="104"/>
  <c r="J6" i="104" s="1"/>
  <c r="V6" i="104" s="1"/>
  <c r="N4" i="104"/>
  <c r="I49" i="103"/>
  <c r="J49" i="103" s="1"/>
  <c r="J48" i="103"/>
  <c r="V48" i="103" s="1"/>
  <c r="I48" i="103"/>
  <c r="I47" i="103"/>
  <c r="J47" i="103" s="1"/>
  <c r="J46" i="103"/>
  <c r="W46" i="103" s="1"/>
  <c r="I46" i="103"/>
  <c r="I45" i="103"/>
  <c r="J45" i="103" s="1"/>
  <c r="J44" i="103"/>
  <c r="W44" i="103" s="1"/>
  <c r="I44" i="103"/>
  <c r="I43" i="103"/>
  <c r="J43" i="103" s="1"/>
  <c r="V43" i="103" s="1"/>
  <c r="J42" i="103"/>
  <c r="I42" i="103"/>
  <c r="I41" i="103"/>
  <c r="J41" i="103" s="1"/>
  <c r="J40" i="103"/>
  <c r="I40" i="103"/>
  <c r="I39" i="103"/>
  <c r="J39" i="103" s="1"/>
  <c r="V39" i="103" s="1"/>
  <c r="J38" i="103"/>
  <c r="I38" i="103"/>
  <c r="I37" i="103"/>
  <c r="J37" i="103" s="1"/>
  <c r="J36" i="103"/>
  <c r="I36" i="103"/>
  <c r="I35" i="103"/>
  <c r="J35" i="103" s="1"/>
  <c r="V35" i="103" s="1"/>
  <c r="J34" i="103"/>
  <c r="I34" i="103"/>
  <c r="I33" i="103"/>
  <c r="J33" i="103" s="1"/>
  <c r="J32" i="103"/>
  <c r="I32" i="103"/>
  <c r="I31" i="103"/>
  <c r="J31" i="103" s="1"/>
  <c r="V31" i="103" s="1"/>
  <c r="J30" i="103"/>
  <c r="I30" i="103"/>
  <c r="I29" i="103"/>
  <c r="J29" i="103" s="1"/>
  <c r="J28" i="103"/>
  <c r="I28" i="103"/>
  <c r="I27" i="103"/>
  <c r="J27" i="103" s="1"/>
  <c r="V27" i="103" s="1"/>
  <c r="J26" i="103"/>
  <c r="I26" i="103"/>
  <c r="I25" i="103"/>
  <c r="J25" i="103" s="1"/>
  <c r="J24" i="103"/>
  <c r="I24" i="103"/>
  <c r="I23" i="103"/>
  <c r="J23" i="103" s="1"/>
  <c r="V23" i="103" s="1"/>
  <c r="J22" i="103"/>
  <c r="I22" i="103"/>
  <c r="I21" i="103"/>
  <c r="J21" i="103" s="1"/>
  <c r="J20" i="103"/>
  <c r="V20" i="103" s="1"/>
  <c r="I20" i="103"/>
  <c r="I19" i="103"/>
  <c r="J19" i="103" s="1"/>
  <c r="J18" i="103"/>
  <c r="I18" i="103"/>
  <c r="I17" i="103"/>
  <c r="J17" i="103" s="1"/>
  <c r="V17" i="103" s="1"/>
  <c r="J16" i="103"/>
  <c r="I16" i="103"/>
  <c r="I15" i="103"/>
  <c r="J15" i="103" s="1"/>
  <c r="J14" i="103"/>
  <c r="I14" i="103"/>
  <c r="I13" i="103"/>
  <c r="J13" i="103" s="1"/>
  <c r="J12" i="103"/>
  <c r="V12" i="103" s="1"/>
  <c r="I12" i="103"/>
  <c r="I11" i="103"/>
  <c r="J11" i="103" s="1"/>
  <c r="V11" i="103" s="1"/>
  <c r="I10" i="103"/>
  <c r="J10" i="103" s="1"/>
  <c r="V10" i="103" s="1"/>
  <c r="I9" i="103"/>
  <c r="J9" i="103" s="1"/>
  <c r="I8" i="103"/>
  <c r="J8" i="103" s="1"/>
  <c r="I7" i="103"/>
  <c r="J239" i="103"/>
  <c r="W239" i="103" s="1"/>
  <c r="J238" i="103"/>
  <c r="W238" i="103" s="1"/>
  <c r="J237" i="103"/>
  <c r="W237" i="103" s="1"/>
  <c r="J236" i="103"/>
  <c r="W236" i="103" s="1"/>
  <c r="J235" i="103"/>
  <c r="W235" i="103" s="1"/>
  <c r="J234" i="103"/>
  <c r="W234" i="103" s="1"/>
  <c r="J233" i="103"/>
  <c r="W233" i="103" s="1"/>
  <c r="J232" i="103"/>
  <c r="W232" i="103" s="1"/>
  <c r="J231" i="103"/>
  <c r="W231" i="103" s="1"/>
  <c r="J230" i="103"/>
  <c r="W230" i="103" s="1"/>
  <c r="J229" i="103"/>
  <c r="W229" i="103" s="1"/>
  <c r="J228" i="103"/>
  <c r="W228" i="103" s="1"/>
  <c r="J227" i="103"/>
  <c r="W227" i="103" s="1"/>
  <c r="J226" i="103"/>
  <c r="W226" i="103" s="1"/>
  <c r="J225" i="103"/>
  <c r="W225" i="103" s="1"/>
  <c r="J224" i="103"/>
  <c r="W224" i="103" s="1"/>
  <c r="J223" i="103"/>
  <c r="W223" i="103" s="1"/>
  <c r="J222" i="103"/>
  <c r="W222" i="103" s="1"/>
  <c r="J221" i="103"/>
  <c r="W221" i="103" s="1"/>
  <c r="J220" i="103"/>
  <c r="W220" i="103" s="1"/>
  <c r="J219" i="103"/>
  <c r="W219" i="103" s="1"/>
  <c r="J218" i="103"/>
  <c r="W218" i="103" s="1"/>
  <c r="J217" i="103"/>
  <c r="W217" i="103" s="1"/>
  <c r="B217" i="103"/>
  <c r="B218" i="103" s="1"/>
  <c r="B219" i="103" s="1"/>
  <c r="B220" i="103" s="1"/>
  <c r="B221" i="103" s="1"/>
  <c r="B222" i="103" s="1"/>
  <c r="B223" i="103" s="1"/>
  <c r="B224" i="103" s="1"/>
  <c r="B225" i="103" s="1"/>
  <c r="B226" i="103" s="1"/>
  <c r="B227" i="103" s="1"/>
  <c r="B228" i="103" s="1"/>
  <c r="B229" i="103" s="1"/>
  <c r="B230" i="103" s="1"/>
  <c r="B231" i="103" s="1"/>
  <c r="B232" i="103" s="1"/>
  <c r="B233" i="103" s="1"/>
  <c r="B234" i="103" s="1"/>
  <c r="B235" i="103" s="1"/>
  <c r="B236" i="103" s="1"/>
  <c r="B237" i="103" s="1"/>
  <c r="B238" i="103" s="1"/>
  <c r="B239" i="103" s="1"/>
  <c r="J216" i="103"/>
  <c r="W216" i="103" s="1"/>
  <c r="W207" i="103"/>
  <c r="J207" i="103"/>
  <c r="V207" i="103" s="1"/>
  <c r="J206" i="103"/>
  <c r="V206" i="103" s="1"/>
  <c r="J205" i="103"/>
  <c r="V205" i="103" s="1"/>
  <c r="J204" i="103"/>
  <c r="V204" i="103" s="1"/>
  <c r="J203" i="103"/>
  <c r="V203" i="103" s="1"/>
  <c r="J202" i="103"/>
  <c r="V202" i="103" s="1"/>
  <c r="J201" i="103"/>
  <c r="V201" i="103" s="1"/>
  <c r="J200" i="103"/>
  <c r="V200" i="103" s="1"/>
  <c r="J199" i="103"/>
  <c r="V199" i="103" s="1"/>
  <c r="J198" i="103"/>
  <c r="V198" i="103" s="1"/>
  <c r="W197" i="103"/>
  <c r="J197" i="103"/>
  <c r="V197" i="103" s="1"/>
  <c r="J196" i="103"/>
  <c r="V196" i="103" s="1"/>
  <c r="J195" i="103"/>
  <c r="V195" i="103" s="1"/>
  <c r="J194" i="103"/>
  <c r="V194" i="103" s="1"/>
  <c r="J193" i="103"/>
  <c r="V193" i="103" s="1"/>
  <c r="J192" i="103"/>
  <c r="V192" i="103" s="1"/>
  <c r="J191" i="103"/>
  <c r="V191" i="103" s="1"/>
  <c r="J190" i="103"/>
  <c r="V190" i="103" s="1"/>
  <c r="J189" i="103"/>
  <c r="V189" i="103" s="1"/>
  <c r="J188" i="103"/>
  <c r="V188" i="103" s="1"/>
  <c r="J187" i="103"/>
  <c r="V187" i="103" s="1"/>
  <c r="J186" i="103"/>
  <c r="V186" i="103" s="1"/>
  <c r="B186" i="103"/>
  <c r="B187" i="103" s="1"/>
  <c r="B188" i="103" s="1"/>
  <c r="B189" i="103" s="1"/>
  <c r="B190" i="103" s="1"/>
  <c r="B191" i="103" s="1"/>
  <c r="B192" i="103" s="1"/>
  <c r="B193" i="103" s="1"/>
  <c r="B194" i="103" s="1"/>
  <c r="B195" i="103" s="1"/>
  <c r="B196" i="103" s="1"/>
  <c r="B197" i="103" s="1"/>
  <c r="B198" i="103" s="1"/>
  <c r="B199" i="103" s="1"/>
  <c r="B200" i="103" s="1"/>
  <c r="B201" i="103" s="1"/>
  <c r="B202" i="103" s="1"/>
  <c r="B203" i="103" s="1"/>
  <c r="B204" i="103" s="1"/>
  <c r="B205" i="103" s="1"/>
  <c r="B206" i="103" s="1"/>
  <c r="B207" i="103" s="1"/>
  <c r="J185" i="103"/>
  <c r="V185" i="103" s="1"/>
  <c r="J176" i="103"/>
  <c r="W176" i="103" s="1"/>
  <c r="J175" i="103"/>
  <c r="W175" i="103" s="1"/>
  <c r="J174" i="103"/>
  <c r="W174" i="103" s="1"/>
  <c r="J173" i="103"/>
  <c r="W173" i="103" s="1"/>
  <c r="J172" i="103"/>
  <c r="W172" i="103" s="1"/>
  <c r="J171" i="103"/>
  <c r="W171" i="103" s="1"/>
  <c r="J170" i="103"/>
  <c r="W170" i="103" s="1"/>
  <c r="J169" i="103"/>
  <c r="W169" i="103" s="1"/>
  <c r="J168" i="103"/>
  <c r="W168" i="103" s="1"/>
  <c r="J167" i="103"/>
  <c r="W167" i="103" s="1"/>
  <c r="J166" i="103"/>
  <c r="W166" i="103" s="1"/>
  <c r="J165" i="103"/>
  <c r="W165" i="103" s="1"/>
  <c r="J164" i="103"/>
  <c r="W164" i="103" s="1"/>
  <c r="J163" i="103"/>
  <c r="W163" i="103" s="1"/>
  <c r="J162" i="103"/>
  <c r="W162" i="103" s="1"/>
  <c r="J161" i="103"/>
  <c r="W161" i="103" s="1"/>
  <c r="J160" i="103"/>
  <c r="W160" i="103" s="1"/>
  <c r="J159" i="103"/>
  <c r="W159" i="103" s="1"/>
  <c r="J158" i="103"/>
  <c r="W158" i="103" s="1"/>
  <c r="J157" i="103"/>
  <c r="W157" i="103" s="1"/>
  <c r="J156" i="103"/>
  <c r="W156" i="103" s="1"/>
  <c r="J155" i="103"/>
  <c r="W155" i="103" s="1"/>
  <c r="B155" i="103"/>
  <c r="B156" i="103" s="1"/>
  <c r="B157" i="103" s="1"/>
  <c r="B158" i="103" s="1"/>
  <c r="B159" i="103" s="1"/>
  <c r="B160" i="103" s="1"/>
  <c r="B161" i="103" s="1"/>
  <c r="B162" i="103" s="1"/>
  <c r="B163" i="103" s="1"/>
  <c r="B164" i="103" s="1"/>
  <c r="B165" i="103" s="1"/>
  <c r="B166" i="103" s="1"/>
  <c r="B167" i="103" s="1"/>
  <c r="B168" i="103" s="1"/>
  <c r="B169" i="103" s="1"/>
  <c r="B170" i="103" s="1"/>
  <c r="B171" i="103" s="1"/>
  <c r="B172" i="103" s="1"/>
  <c r="B173" i="103" s="1"/>
  <c r="B174" i="103" s="1"/>
  <c r="B175" i="103" s="1"/>
  <c r="B176" i="103" s="1"/>
  <c r="J154" i="103"/>
  <c r="W154" i="103" s="1"/>
  <c r="J145" i="103"/>
  <c r="V145" i="103" s="1"/>
  <c r="J144" i="103"/>
  <c r="V144" i="103" s="1"/>
  <c r="J143" i="103"/>
  <c r="V143" i="103" s="1"/>
  <c r="J142" i="103"/>
  <c r="V142" i="103" s="1"/>
  <c r="J141" i="103"/>
  <c r="V141" i="103" s="1"/>
  <c r="J140" i="103"/>
  <c r="V140" i="103" s="1"/>
  <c r="J139" i="103"/>
  <c r="V139" i="103" s="1"/>
  <c r="J138" i="103"/>
  <c r="V138" i="103" s="1"/>
  <c r="J137" i="103"/>
  <c r="V137" i="103" s="1"/>
  <c r="J136" i="103"/>
  <c r="V136" i="103" s="1"/>
  <c r="J135" i="103"/>
  <c r="V135" i="103" s="1"/>
  <c r="J134" i="103"/>
  <c r="V134" i="103" s="1"/>
  <c r="J133" i="103"/>
  <c r="V133" i="103" s="1"/>
  <c r="J132" i="103"/>
  <c r="V132" i="103" s="1"/>
  <c r="J131" i="103"/>
  <c r="V131" i="103" s="1"/>
  <c r="J130" i="103"/>
  <c r="V130" i="103" s="1"/>
  <c r="J129" i="103"/>
  <c r="V129" i="103" s="1"/>
  <c r="J128" i="103"/>
  <c r="V128" i="103" s="1"/>
  <c r="J127" i="103"/>
  <c r="V127" i="103" s="1"/>
  <c r="J126" i="103"/>
  <c r="V126" i="103" s="1"/>
  <c r="J125" i="103"/>
  <c r="V125" i="103" s="1"/>
  <c r="J124" i="103"/>
  <c r="V124" i="103" s="1"/>
  <c r="B124" i="103"/>
  <c r="B125" i="103" s="1"/>
  <c r="B126" i="103" s="1"/>
  <c r="B127" i="103" s="1"/>
  <c r="B128" i="103" s="1"/>
  <c r="B129" i="103" s="1"/>
  <c r="B130" i="103" s="1"/>
  <c r="B131" i="103" s="1"/>
  <c r="B132" i="103" s="1"/>
  <c r="B133" i="103" s="1"/>
  <c r="B134" i="103" s="1"/>
  <c r="B135" i="103" s="1"/>
  <c r="B136" i="103" s="1"/>
  <c r="B137" i="103" s="1"/>
  <c r="B138" i="103" s="1"/>
  <c r="B139" i="103" s="1"/>
  <c r="B140" i="103" s="1"/>
  <c r="B141" i="103" s="1"/>
  <c r="B142" i="103" s="1"/>
  <c r="B143" i="103" s="1"/>
  <c r="B144" i="103" s="1"/>
  <c r="B145" i="103" s="1"/>
  <c r="J123" i="103"/>
  <c r="V123" i="103" s="1"/>
  <c r="J114" i="103"/>
  <c r="W114" i="103" s="1"/>
  <c r="J113" i="103"/>
  <c r="W113" i="103" s="1"/>
  <c r="J112" i="103"/>
  <c r="W112" i="103" s="1"/>
  <c r="J111" i="103"/>
  <c r="W111" i="103" s="1"/>
  <c r="J110" i="103"/>
  <c r="W110" i="103" s="1"/>
  <c r="J109" i="103"/>
  <c r="W109" i="103" s="1"/>
  <c r="J108" i="103"/>
  <c r="W108" i="103" s="1"/>
  <c r="J107" i="103"/>
  <c r="W107" i="103" s="1"/>
  <c r="J106" i="103"/>
  <c r="W106" i="103" s="1"/>
  <c r="J105" i="103"/>
  <c r="W105" i="103" s="1"/>
  <c r="J104" i="103"/>
  <c r="W104" i="103" s="1"/>
  <c r="J103" i="103"/>
  <c r="W103" i="103" s="1"/>
  <c r="J102" i="103"/>
  <c r="W102" i="103" s="1"/>
  <c r="J101" i="103"/>
  <c r="W101" i="103" s="1"/>
  <c r="J100" i="103"/>
  <c r="W100" i="103" s="1"/>
  <c r="J99" i="103"/>
  <c r="W99" i="103" s="1"/>
  <c r="J98" i="103"/>
  <c r="W98" i="103" s="1"/>
  <c r="J97" i="103"/>
  <c r="W97" i="103" s="1"/>
  <c r="J96" i="103"/>
  <c r="W96" i="103" s="1"/>
  <c r="J95" i="103"/>
  <c r="W95" i="103" s="1"/>
  <c r="J94" i="103"/>
  <c r="W94" i="103" s="1"/>
  <c r="J93" i="103"/>
  <c r="W93" i="103" s="1"/>
  <c r="B93" i="103"/>
  <c r="B94" i="103" s="1"/>
  <c r="B95" i="103" s="1"/>
  <c r="B96" i="103" s="1"/>
  <c r="B97" i="103" s="1"/>
  <c r="B98" i="103" s="1"/>
  <c r="B99" i="103" s="1"/>
  <c r="B100" i="103" s="1"/>
  <c r="B101" i="103" s="1"/>
  <c r="B102" i="103" s="1"/>
  <c r="B103" i="103" s="1"/>
  <c r="B104" i="103" s="1"/>
  <c r="B105" i="103" s="1"/>
  <c r="B106" i="103" s="1"/>
  <c r="B107" i="103" s="1"/>
  <c r="B108" i="103" s="1"/>
  <c r="B109" i="103" s="1"/>
  <c r="B110" i="103" s="1"/>
  <c r="B111" i="103" s="1"/>
  <c r="B112" i="103" s="1"/>
  <c r="B113" i="103" s="1"/>
  <c r="B114" i="103" s="1"/>
  <c r="J92" i="103"/>
  <c r="W92" i="103" s="1"/>
  <c r="J83" i="103"/>
  <c r="V83" i="103" s="1"/>
  <c r="J82" i="103"/>
  <c r="V82" i="103" s="1"/>
  <c r="J81" i="103"/>
  <c r="J80" i="103"/>
  <c r="W80" i="103" s="1"/>
  <c r="J79" i="103"/>
  <c r="W79" i="103" s="1"/>
  <c r="J78" i="103"/>
  <c r="W78" i="103" s="1"/>
  <c r="J77" i="103"/>
  <c r="W77" i="103" s="1"/>
  <c r="J76" i="103"/>
  <c r="W76" i="103" s="1"/>
  <c r="J75" i="103"/>
  <c r="W75" i="103" s="1"/>
  <c r="J74" i="103"/>
  <c r="W74" i="103" s="1"/>
  <c r="J73" i="103"/>
  <c r="W73" i="103" s="1"/>
  <c r="J72" i="103"/>
  <c r="W72" i="103" s="1"/>
  <c r="J71" i="103"/>
  <c r="W71" i="103" s="1"/>
  <c r="J70" i="103"/>
  <c r="W70" i="103" s="1"/>
  <c r="J69" i="103"/>
  <c r="W69" i="103" s="1"/>
  <c r="J68" i="103"/>
  <c r="W68" i="103" s="1"/>
  <c r="J67" i="103"/>
  <c r="W67" i="103" s="1"/>
  <c r="J66" i="103"/>
  <c r="W66" i="103" s="1"/>
  <c r="J65" i="103"/>
  <c r="W65" i="103" s="1"/>
  <c r="J64" i="103"/>
  <c r="W64" i="103" s="1"/>
  <c r="J63" i="103"/>
  <c r="W63" i="103" s="1"/>
  <c r="J62" i="103"/>
  <c r="W62" i="103" s="1"/>
  <c r="J61" i="103"/>
  <c r="W61" i="103" s="1"/>
  <c r="B61" i="103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J60" i="103"/>
  <c r="W60" i="103" s="1"/>
  <c r="W51" i="103"/>
  <c r="V51" i="103"/>
  <c r="W50" i="103"/>
  <c r="V50" i="103"/>
  <c r="V46" i="103"/>
  <c r="N16" i="103"/>
  <c r="N14" i="103"/>
  <c r="N12" i="103"/>
  <c r="N10" i="103"/>
  <c r="N8" i="103"/>
  <c r="J7" i="103"/>
  <c r="V7" i="103" s="1"/>
  <c r="B7" i="103"/>
  <c r="B8" i="103" s="1"/>
  <c r="B9" i="103" s="1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B23" i="103" s="1"/>
  <c r="B24" i="103" s="1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45" i="103" s="1"/>
  <c r="B46" i="103" s="1"/>
  <c r="B47" i="103" s="1"/>
  <c r="B48" i="103" s="1"/>
  <c r="B49" i="103" s="1"/>
  <c r="B50" i="103" s="1"/>
  <c r="B51" i="103" s="1"/>
  <c r="N6" i="103"/>
  <c r="I6" i="103"/>
  <c r="J6" i="103" s="1"/>
  <c r="N4" i="103"/>
  <c r="I43" i="102"/>
  <c r="J43" i="102" s="1"/>
  <c r="J42" i="102"/>
  <c r="I42" i="102"/>
  <c r="I41" i="102"/>
  <c r="J41" i="102" s="1"/>
  <c r="J40" i="102"/>
  <c r="I40" i="102"/>
  <c r="I39" i="102"/>
  <c r="J39" i="102" s="1"/>
  <c r="J38" i="102"/>
  <c r="I38" i="102"/>
  <c r="I36" i="102"/>
  <c r="J36" i="102" s="1"/>
  <c r="I37" i="102"/>
  <c r="J37" i="102" s="1"/>
  <c r="I35" i="102"/>
  <c r="J35" i="102" s="1"/>
  <c r="I34" i="102"/>
  <c r="J34" i="102" s="1"/>
  <c r="I33" i="102"/>
  <c r="J33" i="102" s="1"/>
  <c r="I32" i="102"/>
  <c r="J32" i="102" s="1"/>
  <c r="I31" i="102"/>
  <c r="J31" i="102" s="1"/>
  <c r="I30" i="102"/>
  <c r="J30" i="102" s="1"/>
  <c r="I29" i="102"/>
  <c r="J29" i="102" s="1"/>
  <c r="I28" i="102"/>
  <c r="J28" i="102" s="1"/>
  <c r="I27" i="102"/>
  <c r="J27" i="102" s="1"/>
  <c r="I26" i="102"/>
  <c r="J26" i="102" s="1"/>
  <c r="I23" i="102"/>
  <c r="J23" i="102" s="1"/>
  <c r="I22" i="102"/>
  <c r="J22" i="102" s="1"/>
  <c r="V49" i="103" l="1"/>
  <c r="W49" i="103"/>
  <c r="W47" i="103"/>
  <c r="V47" i="103"/>
  <c r="W45" i="103"/>
  <c r="V45" i="103"/>
  <c r="V25" i="104"/>
  <c r="W25" i="104"/>
  <c r="W83" i="103"/>
  <c r="V44" i="103"/>
  <c r="W48" i="103"/>
  <c r="W206" i="103"/>
  <c r="W18" i="104"/>
  <c r="W80" i="104"/>
  <c r="W113" i="104"/>
  <c r="W216" i="104"/>
  <c r="W229" i="104"/>
  <c r="W74" i="104"/>
  <c r="W92" i="104"/>
  <c r="W219" i="104"/>
  <c r="V28" i="104"/>
  <c r="W28" i="104"/>
  <c r="V36" i="104"/>
  <c r="W36" i="104"/>
  <c r="W44" i="104"/>
  <c r="V44" i="104"/>
  <c r="W37" i="104"/>
  <c r="V37" i="104"/>
  <c r="V45" i="104"/>
  <c r="W45" i="104"/>
  <c r="V220" i="103"/>
  <c r="W76" i="104"/>
  <c r="W217" i="104"/>
  <c r="W237" i="104"/>
  <c r="W239" i="104"/>
  <c r="W145" i="103"/>
  <c r="W114" i="104"/>
  <c r="W221" i="104"/>
  <c r="W238" i="104"/>
  <c r="W190" i="105"/>
  <c r="W193" i="105"/>
  <c r="B217" i="105"/>
  <c r="B218" i="105" s="1"/>
  <c r="B219" i="105" s="1"/>
  <c r="B220" i="105" s="1"/>
  <c r="B221" i="105" s="1"/>
  <c r="B222" i="105" s="1"/>
  <c r="B223" i="105" s="1"/>
  <c r="B224" i="105" s="1"/>
  <c r="B225" i="105" s="1"/>
  <c r="B226" i="105" s="1"/>
  <c r="B227" i="105" s="1"/>
  <c r="B228" i="105" s="1"/>
  <c r="B229" i="105" s="1"/>
  <c r="B230" i="105" s="1"/>
  <c r="B231" i="105" s="1"/>
  <c r="B232" i="105" s="1"/>
  <c r="B233" i="105" s="1"/>
  <c r="B234" i="105" s="1"/>
  <c r="B187" i="105"/>
  <c r="B188" i="105" s="1"/>
  <c r="B189" i="105" s="1"/>
  <c r="B190" i="105" s="1"/>
  <c r="B191" i="105" s="1"/>
  <c r="B192" i="105" s="1"/>
  <c r="B193" i="105" s="1"/>
  <c r="B194" i="105" s="1"/>
  <c r="B195" i="105" s="1"/>
  <c r="B196" i="105" s="1"/>
  <c r="B197" i="105" s="1"/>
  <c r="B198" i="105" s="1"/>
  <c r="B199" i="105" s="1"/>
  <c r="B200" i="105" s="1"/>
  <c r="B201" i="105" s="1"/>
  <c r="B202" i="105" s="1"/>
  <c r="B203" i="105" s="1"/>
  <c r="B159" i="105"/>
  <c r="B160" i="105" s="1"/>
  <c r="B161" i="105" s="1"/>
  <c r="B162" i="105" s="1"/>
  <c r="B163" i="105" s="1"/>
  <c r="B164" i="105" s="1"/>
  <c r="B165" i="105" s="1"/>
  <c r="B166" i="105" s="1"/>
  <c r="B167" i="105" s="1"/>
  <c r="B168" i="105" s="1"/>
  <c r="B169" i="105" s="1"/>
  <c r="B170" i="105" s="1"/>
  <c r="B171" i="105" s="1"/>
  <c r="B172" i="105" s="1"/>
  <c r="B173" i="105" s="1"/>
  <c r="B127" i="105"/>
  <c r="B128" i="105" s="1"/>
  <c r="B129" i="105" s="1"/>
  <c r="B130" i="105" s="1"/>
  <c r="B131" i="105" s="1"/>
  <c r="B132" i="105" s="1"/>
  <c r="B133" i="105" s="1"/>
  <c r="B134" i="105" s="1"/>
  <c r="B135" i="105" s="1"/>
  <c r="B136" i="105" s="1"/>
  <c r="B137" i="105" s="1"/>
  <c r="B138" i="105" s="1"/>
  <c r="B139" i="105" s="1"/>
  <c r="B140" i="105" s="1"/>
  <c r="B141" i="105" s="1"/>
  <c r="B142" i="105" s="1"/>
  <c r="B143" i="105" s="1"/>
  <c r="V124" i="105"/>
  <c r="W129" i="105"/>
  <c r="B97" i="105"/>
  <c r="B98" i="105" s="1"/>
  <c r="B99" i="105" s="1"/>
  <c r="B100" i="105" s="1"/>
  <c r="B101" i="105" s="1"/>
  <c r="B102" i="105" s="1"/>
  <c r="B103" i="105" s="1"/>
  <c r="B104" i="105" s="1"/>
  <c r="B105" i="105" s="1"/>
  <c r="B106" i="105" s="1"/>
  <c r="B107" i="105" s="1"/>
  <c r="B108" i="105" s="1"/>
  <c r="B109" i="105" s="1"/>
  <c r="B110" i="105" s="1"/>
  <c r="B111" i="105" s="1"/>
  <c r="B112" i="105" s="1"/>
  <c r="B113" i="105" s="1"/>
  <c r="W83" i="105"/>
  <c r="V143" i="105"/>
  <c r="W183" i="105"/>
  <c r="W203" i="105"/>
  <c r="Q18" i="106"/>
  <c r="W202" i="105"/>
  <c r="V135" i="105"/>
  <c r="V127" i="105"/>
  <c r="W141" i="105"/>
  <c r="W189" i="105"/>
  <c r="W197" i="105"/>
  <c r="V131" i="105"/>
  <c r="W137" i="105"/>
  <c r="V140" i="105"/>
  <c r="V182" i="105"/>
  <c r="W194" i="105"/>
  <c r="W133" i="105"/>
  <c r="W126" i="105"/>
  <c r="W235" i="105"/>
  <c r="P16" i="105" s="1"/>
  <c r="V186" i="105"/>
  <c r="W201" i="105"/>
  <c r="V185" i="105"/>
  <c r="V188" i="105"/>
  <c r="V192" i="105"/>
  <c r="W198" i="105"/>
  <c r="V196" i="105"/>
  <c r="V200" i="105"/>
  <c r="J204" i="105"/>
  <c r="W184" i="105"/>
  <c r="W187" i="105"/>
  <c r="W191" i="105"/>
  <c r="W195" i="105"/>
  <c r="W199" i="105"/>
  <c r="W174" i="105"/>
  <c r="P12" i="105" s="1"/>
  <c r="J174" i="105"/>
  <c r="W125" i="105"/>
  <c r="W128" i="105"/>
  <c r="W132" i="105"/>
  <c r="W136" i="105"/>
  <c r="V139" i="105"/>
  <c r="W122" i="105"/>
  <c r="W123" i="105"/>
  <c r="W130" i="105"/>
  <c r="W134" i="105"/>
  <c r="W138" i="105"/>
  <c r="W142" i="105"/>
  <c r="J144" i="105"/>
  <c r="J114" i="105"/>
  <c r="W82" i="105"/>
  <c r="V8" i="105"/>
  <c r="W8" i="105"/>
  <c r="W17" i="105"/>
  <c r="V17" i="105"/>
  <c r="V20" i="105"/>
  <c r="W20" i="105"/>
  <c r="W27" i="105"/>
  <c r="V27" i="105"/>
  <c r="V30" i="105"/>
  <c r="W30" i="105"/>
  <c r="W33" i="105"/>
  <c r="V33" i="105"/>
  <c r="V43" i="105"/>
  <c r="W43" i="105"/>
  <c r="V46" i="105"/>
  <c r="W46" i="105"/>
  <c r="W49" i="105"/>
  <c r="V49" i="105"/>
  <c r="W6" i="105"/>
  <c r="J52" i="105"/>
  <c r="V6" i="105"/>
  <c r="V12" i="105"/>
  <c r="W12" i="105"/>
  <c r="V19" i="105"/>
  <c r="W19" i="105"/>
  <c r="V23" i="105"/>
  <c r="W23" i="105"/>
  <c r="V26" i="105"/>
  <c r="W26" i="105"/>
  <c r="W29" i="105"/>
  <c r="V29" i="105"/>
  <c r="V39" i="105"/>
  <c r="W39" i="105"/>
  <c r="V42" i="105"/>
  <c r="W42" i="105"/>
  <c r="W45" i="105"/>
  <c r="V45" i="105"/>
  <c r="V9" i="105"/>
  <c r="W9" i="105"/>
  <c r="V11" i="105"/>
  <c r="W11" i="105"/>
  <c r="W14" i="105"/>
  <c r="V14" i="105"/>
  <c r="V16" i="105"/>
  <c r="W16" i="105"/>
  <c r="V22" i="105"/>
  <c r="W22" i="105"/>
  <c r="W25" i="105"/>
  <c r="V25" i="105"/>
  <c r="V35" i="105"/>
  <c r="W35" i="105"/>
  <c r="V38" i="105"/>
  <c r="W38" i="105"/>
  <c r="W41" i="105"/>
  <c r="V41" i="105"/>
  <c r="W114" i="105"/>
  <c r="P8" i="105" s="1"/>
  <c r="W13" i="105"/>
  <c r="V13" i="105"/>
  <c r="W21" i="105"/>
  <c r="V21" i="105"/>
  <c r="V31" i="105"/>
  <c r="W31" i="105"/>
  <c r="V34" i="105"/>
  <c r="W34" i="105"/>
  <c r="W37" i="105"/>
  <c r="V37" i="105"/>
  <c r="V47" i="105"/>
  <c r="W47" i="105"/>
  <c r="W7" i="105"/>
  <c r="V10" i="105"/>
  <c r="W15" i="105"/>
  <c r="V18" i="105"/>
  <c r="W24" i="105"/>
  <c r="W28" i="105"/>
  <c r="W32" i="105"/>
  <c r="W36" i="105"/>
  <c r="W40" i="105"/>
  <c r="W44" i="105"/>
  <c r="W48" i="105"/>
  <c r="V60" i="105"/>
  <c r="V61" i="105"/>
  <c r="V62" i="105"/>
  <c r="V63" i="105"/>
  <c r="V64" i="105"/>
  <c r="V65" i="105"/>
  <c r="V66" i="105"/>
  <c r="V67" i="105"/>
  <c r="V68" i="105"/>
  <c r="V69" i="105"/>
  <c r="V70" i="105"/>
  <c r="V71" i="105"/>
  <c r="V72" i="105"/>
  <c r="V73" i="105"/>
  <c r="V74" i="105"/>
  <c r="V75" i="105"/>
  <c r="V76" i="105"/>
  <c r="V77" i="105"/>
  <c r="V78" i="105"/>
  <c r="V79" i="105"/>
  <c r="V80" i="105"/>
  <c r="J84" i="105"/>
  <c r="V92" i="105"/>
  <c r="V93" i="105"/>
  <c r="V94" i="105"/>
  <c r="V95" i="105"/>
  <c r="V96" i="105"/>
  <c r="V97" i="105"/>
  <c r="V98" i="105"/>
  <c r="V99" i="105"/>
  <c r="V100" i="105"/>
  <c r="V101" i="105"/>
  <c r="V102" i="105"/>
  <c r="V103" i="105"/>
  <c r="V104" i="105"/>
  <c r="V105" i="105"/>
  <c r="V106" i="105"/>
  <c r="V107" i="105"/>
  <c r="V108" i="105"/>
  <c r="V109" i="105"/>
  <c r="V110" i="105"/>
  <c r="V111" i="105"/>
  <c r="V112" i="105"/>
  <c r="V113" i="105"/>
  <c r="V152" i="105"/>
  <c r="V153" i="105"/>
  <c r="V154" i="105"/>
  <c r="V155" i="105"/>
  <c r="V156" i="105"/>
  <c r="V157" i="105"/>
  <c r="V158" i="105"/>
  <c r="V159" i="105"/>
  <c r="V160" i="105"/>
  <c r="V161" i="105"/>
  <c r="V162" i="105"/>
  <c r="V163" i="105"/>
  <c r="V164" i="105"/>
  <c r="V165" i="105"/>
  <c r="V166" i="105"/>
  <c r="V167" i="105"/>
  <c r="V168" i="105"/>
  <c r="V169" i="105"/>
  <c r="V170" i="105"/>
  <c r="V171" i="105"/>
  <c r="V172" i="105"/>
  <c r="V173" i="105"/>
  <c r="V212" i="105"/>
  <c r="V213" i="105"/>
  <c r="V214" i="105"/>
  <c r="V215" i="105"/>
  <c r="V216" i="105"/>
  <c r="V217" i="105"/>
  <c r="V218" i="105"/>
  <c r="V219" i="105"/>
  <c r="V220" i="105"/>
  <c r="V221" i="105"/>
  <c r="V222" i="105"/>
  <c r="V223" i="105"/>
  <c r="V224" i="105"/>
  <c r="V225" i="105"/>
  <c r="V226" i="105"/>
  <c r="V227" i="105"/>
  <c r="V228" i="105"/>
  <c r="V229" i="105"/>
  <c r="V230" i="105"/>
  <c r="V231" i="105"/>
  <c r="V232" i="105"/>
  <c r="V233" i="105"/>
  <c r="V234" i="105"/>
  <c r="N18" i="105"/>
  <c r="J235" i="105"/>
  <c r="V49" i="104"/>
  <c r="W48" i="104"/>
  <c r="W235" i="104"/>
  <c r="W233" i="104"/>
  <c r="V41" i="104"/>
  <c r="W40" i="104"/>
  <c r="W78" i="104"/>
  <c r="W231" i="104"/>
  <c r="V33" i="104"/>
  <c r="W32" i="104"/>
  <c r="W72" i="104"/>
  <c r="W29" i="104"/>
  <c r="W227" i="104"/>
  <c r="W225" i="104"/>
  <c r="W223" i="104"/>
  <c r="V21" i="104"/>
  <c r="W15" i="104"/>
  <c r="W154" i="104"/>
  <c r="J240" i="104"/>
  <c r="W218" i="104"/>
  <c r="W220" i="104"/>
  <c r="W222" i="104"/>
  <c r="W224" i="104"/>
  <c r="W226" i="104"/>
  <c r="W228" i="104"/>
  <c r="W230" i="104"/>
  <c r="W232" i="104"/>
  <c r="W234" i="104"/>
  <c r="W236" i="104"/>
  <c r="W155" i="104"/>
  <c r="W157" i="104"/>
  <c r="W159" i="104"/>
  <c r="W161" i="104"/>
  <c r="W163" i="104"/>
  <c r="W165" i="104"/>
  <c r="W167" i="104"/>
  <c r="W169" i="104"/>
  <c r="W171" i="104"/>
  <c r="W173" i="104"/>
  <c r="W175" i="104"/>
  <c r="J177" i="104"/>
  <c r="W156" i="104"/>
  <c r="W158" i="104"/>
  <c r="W160" i="104"/>
  <c r="W162" i="104"/>
  <c r="W164" i="104"/>
  <c r="W166" i="104"/>
  <c r="W168" i="104"/>
  <c r="W170" i="104"/>
  <c r="W172" i="104"/>
  <c r="W174" i="104"/>
  <c r="W93" i="104"/>
  <c r="W95" i="104"/>
  <c r="W97" i="104"/>
  <c r="W99" i="104"/>
  <c r="W101" i="104"/>
  <c r="W103" i="104"/>
  <c r="W105" i="104"/>
  <c r="W107" i="104"/>
  <c r="W109" i="104"/>
  <c r="W111" i="104"/>
  <c r="J115" i="104"/>
  <c r="W94" i="104"/>
  <c r="W96" i="104"/>
  <c r="W98" i="104"/>
  <c r="W100" i="104"/>
  <c r="W102" i="104"/>
  <c r="W104" i="104"/>
  <c r="W106" i="104"/>
  <c r="W108" i="104"/>
  <c r="W110" i="104"/>
  <c r="W112" i="104"/>
  <c r="W73" i="104"/>
  <c r="W75" i="104"/>
  <c r="W77" i="104"/>
  <c r="W79" i="104"/>
  <c r="W62" i="104"/>
  <c r="W70" i="104"/>
  <c r="W66" i="104"/>
  <c r="W68" i="104"/>
  <c r="J84" i="104"/>
  <c r="W61" i="104"/>
  <c r="W63" i="104"/>
  <c r="W65" i="104"/>
  <c r="W67" i="104"/>
  <c r="W69" i="104"/>
  <c r="W71" i="104"/>
  <c r="W13" i="104"/>
  <c r="V13" i="104"/>
  <c r="V7" i="104"/>
  <c r="W7" i="104"/>
  <c r="W10" i="104"/>
  <c r="V10" i="104"/>
  <c r="N18" i="104"/>
  <c r="V9" i="104"/>
  <c r="W9" i="104"/>
  <c r="V27" i="104"/>
  <c r="W27" i="104"/>
  <c r="V35" i="104"/>
  <c r="W35" i="104"/>
  <c r="V43" i="104"/>
  <c r="W43" i="104"/>
  <c r="V115" i="104"/>
  <c r="O8" i="104" s="1"/>
  <c r="R8" i="104" s="1"/>
  <c r="V146" i="104"/>
  <c r="O10" i="104" s="1"/>
  <c r="R10" i="104" s="1"/>
  <c r="V177" i="104"/>
  <c r="O12" i="104" s="1"/>
  <c r="R12" i="104" s="1"/>
  <c r="V208" i="104"/>
  <c r="O14" i="104" s="1"/>
  <c r="V240" i="104"/>
  <c r="O16" i="104" s="1"/>
  <c r="R16" i="104" s="1"/>
  <c r="V20" i="104"/>
  <c r="W20" i="104"/>
  <c r="V12" i="104"/>
  <c r="W12" i="104"/>
  <c r="V17" i="104"/>
  <c r="W17" i="104"/>
  <c r="V23" i="104"/>
  <c r="W23" i="104"/>
  <c r="V31" i="104"/>
  <c r="W31" i="104"/>
  <c r="V39" i="104"/>
  <c r="W39" i="104"/>
  <c r="V47" i="104"/>
  <c r="W47" i="104"/>
  <c r="J52" i="104"/>
  <c r="V60" i="104"/>
  <c r="V84" i="104" s="1"/>
  <c r="J146" i="104"/>
  <c r="J208" i="104"/>
  <c r="W82" i="104"/>
  <c r="W83" i="104"/>
  <c r="W123" i="104"/>
  <c r="W124" i="104"/>
  <c r="W125" i="104"/>
  <c r="W126" i="104"/>
  <c r="W127" i="104"/>
  <c r="W128" i="104"/>
  <c r="W129" i="104"/>
  <c r="W130" i="104"/>
  <c r="W131" i="104"/>
  <c r="W132" i="104"/>
  <c r="W133" i="104"/>
  <c r="W134" i="104"/>
  <c r="W135" i="104"/>
  <c r="W136" i="104"/>
  <c r="W137" i="104"/>
  <c r="W138" i="104"/>
  <c r="W139" i="104"/>
  <c r="W140" i="104"/>
  <c r="W141" i="104"/>
  <c r="W142" i="104"/>
  <c r="W143" i="104"/>
  <c r="W144" i="104"/>
  <c r="W145" i="104"/>
  <c r="W185" i="104"/>
  <c r="W186" i="104"/>
  <c r="W187" i="104"/>
  <c r="W188" i="104"/>
  <c r="W189" i="104"/>
  <c r="W190" i="104"/>
  <c r="W191" i="104"/>
  <c r="W192" i="104"/>
  <c r="W193" i="104"/>
  <c r="W194" i="104"/>
  <c r="W195" i="104"/>
  <c r="W196" i="104"/>
  <c r="W197" i="104"/>
  <c r="W198" i="104"/>
  <c r="W199" i="104"/>
  <c r="W200" i="104"/>
  <c r="W201" i="104"/>
  <c r="W202" i="104"/>
  <c r="W203" i="104"/>
  <c r="W204" i="104"/>
  <c r="W205" i="104"/>
  <c r="W206" i="104"/>
  <c r="W207" i="104"/>
  <c r="W6" i="104"/>
  <c r="W14" i="104"/>
  <c r="W8" i="104"/>
  <c r="W11" i="104"/>
  <c r="W16" i="104"/>
  <c r="W19" i="104"/>
  <c r="W22" i="104"/>
  <c r="W26" i="104"/>
  <c r="W30" i="104"/>
  <c r="W34" i="104"/>
  <c r="W38" i="104"/>
  <c r="W42" i="104"/>
  <c r="W46" i="104"/>
  <c r="V175" i="103"/>
  <c r="W205" i="103"/>
  <c r="V111" i="103"/>
  <c r="V228" i="103"/>
  <c r="V97" i="103"/>
  <c r="W187" i="103"/>
  <c r="W82" i="103"/>
  <c r="V79" i="103"/>
  <c r="V114" i="103"/>
  <c r="W143" i="103"/>
  <c r="W201" i="103"/>
  <c r="V226" i="103"/>
  <c r="V231" i="103"/>
  <c r="V233" i="103"/>
  <c r="V235" i="103"/>
  <c r="V237" i="103"/>
  <c r="V239" i="103"/>
  <c r="V80" i="103"/>
  <c r="V103" i="103"/>
  <c r="V113" i="103"/>
  <c r="W123" i="103"/>
  <c r="W144" i="103"/>
  <c r="V176" i="103"/>
  <c r="W189" i="103"/>
  <c r="V218" i="103"/>
  <c r="V230" i="103"/>
  <c r="V232" i="103"/>
  <c r="V234" i="103"/>
  <c r="V236" i="103"/>
  <c r="V238" i="103"/>
  <c r="V154" i="103"/>
  <c r="V60" i="103"/>
  <c r="V224" i="103"/>
  <c r="V229" i="103"/>
  <c r="V222" i="103"/>
  <c r="W240" i="103"/>
  <c r="P16" i="103" s="1"/>
  <c r="V217" i="103"/>
  <c r="V219" i="103"/>
  <c r="V221" i="103"/>
  <c r="V223" i="103"/>
  <c r="V225" i="103"/>
  <c r="V227" i="103"/>
  <c r="V216" i="103"/>
  <c r="W193" i="103"/>
  <c r="W195" i="103"/>
  <c r="W203" i="103"/>
  <c r="W191" i="103"/>
  <c r="W199" i="103"/>
  <c r="W204" i="103"/>
  <c r="V208" i="103"/>
  <c r="O14" i="103" s="1"/>
  <c r="R14" i="103" s="1"/>
  <c r="W186" i="103"/>
  <c r="W188" i="103"/>
  <c r="W190" i="103"/>
  <c r="W192" i="103"/>
  <c r="W194" i="103"/>
  <c r="W196" i="103"/>
  <c r="W198" i="103"/>
  <c r="W200" i="103"/>
  <c r="W202" i="103"/>
  <c r="J208" i="103"/>
  <c r="W185" i="103"/>
  <c r="V156" i="103"/>
  <c r="V158" i="103"/>
  <c r="V160" i="103"/>
  <c r="V162" i="103"/>
  <c r="V164" i="103"/>
  <c r="V166" i="103"/>
  <c r="V168" i="103"/>
  <c r="V170" i="103"/>
  <c r="V172" i="103"/>
  <c r="V174" i="103"/>
  <c r="V155" i="103"/>
  <c r="V157" i="103"/>
  <c r="V159" i="103"/>
  <c r="V161" i="103"/>
  <c r="V163" i="103"/>
  <c r="V165" i="103"/>
  <c r="V167" i="103"/>
  <c r="V169" i="103"/>
  <c r="V171" i="103"/>
  <c r="V173" i="103"/>
  <c r="J146" i="103"/>
  <c r="W125" i="103"/>
  <c r="W127" i="103"/>
  <c r="W129" i="103"/>
  <c r="W131" i="103"/>
  <c r="W133" i="103"/>
  <c r="W135" i="103"/>
  <c r="W137" i="103"/>
  <c r="W139" i="103"/>
  <c r="W141" i="103"/>
  <c r="W124" i="103"/>
  <c r="W126" i="103"/>
  <c r="W128" i="103"/>
  <c r="W130" i="103"/>
  <c r="W132" i="103"/>
  <c r="W134" i="103"/>
  <c r="W136" i="103"/>
  <c r="W138" i="103"/>
  <c r="W140" i="103"/>
  <c r="W142" i="103"/>
  <c r="V93" i="103"/>
  <c r="V101" i="103"/>
  <c r="V110" i="103"/>
  <c r="V112" i="103"/>
  <c r="V95" i="103"/>
  <c r="V105" i="103"/>
  <c r="V99" i="103"/>
  <c r="V94" i="103"/>
  <c r="V96" i="103"/>
  <c r="V98" i="103"/>
  <c r="V100" i="103"/>
  <c r="V102" i="103"/>
  <c r="V104" i="103"/>
  <c r="V106" i="103"/>
  <c r="V108" i="103"/>
  <c r="V92" i="103"/>
  <c r="V107" i="103"/>
  <c r="V109" i="103"/>
  <c r="N18" i="103"/>
  <c r="V62" i="103"/>
  <c r="V64" i="103"/>
  <c r="V66" i="103"/>
  <c r="V68" i="103"/>
  <c r="V70" i="103"/>
  <c r="V72" i="103"/>
  <c r="V74" i="103"/>
  <c r="V76" i="103"/>
  <c r="V78" i="103"/>
  <c r="V61" i="103"/>
  <c r="V63" i="103"/>
  <c r="V65" i="103"/>
  <c r="V67" i="103"/>
  <c r="V69" i="103"/>
  <c r="V71" i="103"/>
  <c r="V73" i="103"/>
  <c r="V75" i="103"/>
  <c r="V77" i="103"/>
  <c r="J84" i="103"/>
  <c r="W9" i="103"/>
  <c r="V9" i="103"/>
  <c r="W11" i="103"/>
  <c r="V16" i="103"/>
  <c r="W16" i="103"/>
  <c r="V24" i="103"/>
  <c r="W24" i="103"/>
  <c r="V34" i="103"/>
  <c r="W34" i="103"/>
  <c r="W37" i="103"/>
  <c r="V37" i="103"/>
  <c r="V40" i="103"/>
  <c r="W40" i="103"/>
  <c r="V13" i="103"/>
  <c r="W13" i="103"/>
  <c r="V30" i="103"/>
  <c r="W30" i="103"/>
  <c r="W18" i="103"/>
  <c r="V18" i="103"/>
  <c r="W6" i="103"/>
  <c r="J52" i="103"/>
  <c r="V6" i="103"/>
  <c r="V15" i="103"/>
  <c r="W15" i="103"/>
  <c r="W33" i="103"/>
  <c r="V33" i="103"/>
  <c r="V26" i="103"/>
  <c r="W26" i="103"/>
  <c r="W29" i="103"/>
  <c r="V29" i="103"/>
  <c r="V32" i="103"/>
  <c r="W32" i="103"/>
  <c r="V42" i="103"/>
  <c r="W42" i="103"/>
  <c r="W115" i="103"/>
  <c r="P8" i="103" s="1"/>
  <c r="W21" i="103"/>
  <c r="V21" i="103"/>
  <c r="V36" i="103"/>
  <c r="W36" i="103"/>
  <c r="W8" i="103"/>
  <c r="V8" i="103"/>
  <c r="V14" i="103"/>
  <c r="W14" i="103"/>
  <c r="V19" i="103"/>
  <c r="W19" i="103"/>
  <c r="V22" i="103"/>
  <c r="W22" i="103"/>
  <c r="W25" i="103"/>
  <c r="V25" i="103"/>
  <c r="V28" i="103"/>
  <c r="W28" i="103"/>
  <c r="V38" i="103"/>
  <c r="W38" i="103"/>
  <c r="W41" i="103"/>
  <c r="V41" i="103"/>
  <c r="W84" i="103"/>
  <c r="P6" i="103" s="1"/>
  <c r="V146" i="103"/>
  <c r="O10" i="103" s="1"/>
  <c r="W177" i="103"/>
  <c r="P12" i="103" s="1"/>
  <c r="W10" i="103"/>
  <c r="W7" i="103"/>
  <c r="W12" i="103"/>
  <c r="W20" i="103"/>
  <c r="W17" i="103"/>
  <c r="W23" i="103"/>
  <c r="W27" i="103"/>
  <c r="W31" i="103"/>
  <c r="W35" i="103"/>
  <c r="W39" i="103"/>
  <c r="W43" i="103"/>
  <c r="J115" i="103"/>
  <c r="J177" i="103"/>
  <c r="J240" i="103"/>
  <c r="I21" i="102"/>
  <c r="J21" i="102" s="1"/>
  <c r="I20" i="102"/>
  <c r="J20" i="102" s="1"/>
  <c r="V20" i="102" s="1"/>
  <c r="I25" i="102"/>
  <c r="J25" i="102" s="1"/>
  <c r="I24" i="102"/>
  <c r="J24" i="102" s="1"/>
  <c r="I19" i="102"/>
  <c r="J19" i="102" s="1"/>
  <c r="W19" i="102" s="1"/>
  <c r="I18" i="102"/>
  <c r="J18" i="102" s="1"/>
  <c r="I17" i="102"/>
  <c r="J17" i="102" s="1"/>
  <c r="V17" i="102" s="1"/>
  <c r="I16" i="102"/>
  <c r="J16" i="102" s="1"/>
  <c r="I15" i="102"/>
  <c r="J15" i="102" s="1"/>
  <c r="I14" i="102"/>
  <c r="J14" i="102" s="1"/>
  <c r="V14" i="102" s="1"/>
  <c r="I13" i="102"/>
  <c r="J13" i="102" s="1"/>
  <c r="I12" i="102"/>
  <c r="J12" i="102" s="1"/>
  <c r="V12" i="102" s="1"/>
  <c r="I11" i="102"/>
  <c r="J11" i="102" s="1"/>
  <c r="W11" i="102" s="1"/>
  <c r="I10" i="102"/>
  <c r="J10" i="102" s="1"/>
  <c r="I8" i="102"/>
  <c r="J8" i="102" s="1"/>
  <c r="W8" i="102" s="1"/>
  <c r="I9" i="102"/>
  <c r="J9" i="102" s="1"/>
  <c r="V9" i="102" s="1"/>
  <c r="J239" i="102"/>
  <c r="W239" i="102" s="1"/>
  <c r="J238" i="102"/>
  <c r="V238" i="102" s="1"/>
  <c r="J237" i="102"/>
  <c r="V237" i="102" s="1"/>
  <c r="J236" i="102"/>
  <c r="V236" i="102" s="1"/>
  <c r="J235" i="102"/>
  <c r="V235" i="102" s="1"/>
  <c r="J234" i="102"/>
  <c r="V234" i="102" s="1"/>
  <c r="J233" i="102"/>
  <c r="V233" i="102" s="1"/>
  <c r="J232" i="102"/>
  <c r="V232" i="102" s="1"/>
  <c r="J231" i="102"/>
  <c r="V231" i="102" s="1"/>
  <c r="J230" i="102"/>
  <c r="V230" i="102" s="1"/>
  <c r="J229" i="102"/>
  <c r="V229" i="102" s="1"/>
  <c r="J228" i="102"/>
  <c r="V228" i="102" s="1"/>
  <c r="J227" i="102"/>
  <c r="V227" i="102" s="1"/>
  <c r="J226" i="102"/>
  <c r="V226" i="102" s="1"/>
  <c r="J225" i="102"/>
  <c r="V225" i="102" s="1"/>
  <c r="J224" i="102"/>
  <c r="V224" i="102" s="1"/>
  <c r="J223" i="102"/>
  <c r="V223" i="102" s="1"/>
  <c r="J222" i="102"/>
  <c r="V222" i="102" s="1"/>
  <c r="J221" i="102"/>
  <c r="V221" i="102" s="1"/>
  <c r="J220" i="102"/>
  <c r="V220" i="102" s="1"/>
  <c r="J219" i="102"/>
  <c r="V219" i="102" s="1"/>
  <c r="J218" i="102"/>
  <c r="V218" i="102" s="1"/>
  <c r="J217" i="102"/>
  <c r="V217" i="102" s="1"/>
  <c r="B217" i="102"/>
  <c r="B218" i="102" s="1"/>
  <c r="B219" i="102" s="1"/>
  <c r="B220" i="102" s="1"/>
  <c r="B221" i="102" s="1"/>
  <c r="B222" i="102" s="1"/>
  <c r="B223" i="102" s="1"/>
  <c r="B224" i="102" s="1"/>
  <c r="B225" i="102" s="1"/>
  <c r="B226" i="102" s="1"/>
  <c r="B227" i="102" s="1"/>
  <c r="B228" i="102" s="1"/>
  <c r="B229" i="102" s="1"/>
  <c r="B230" i="102" s="1"/>
  <c r="B231" i="102" s="1"/>
  <c r="B232" i="102" s="1"/>
  <c r="B233" i="102" s="1"/>
  <c r="B234" i="102" s="1"/>
  <c r="B235" i="102" s="1"/>
  <c r="B236" i="102" s="1"/>
  <c r="B237" i="102" s="1"/>
  <c r="B238" i="102" s="1"/>
  <c r="B239" i="102" s="1"/>
  <c r="J216" i="102"/>
  <c r="W216" i="102" s="1"/>
  <c r="J207" i="102"/>
  <c r="V207" i="102" s="1"/>
  <c r="J206" i="102"/>
  <c r="V206" i="102" s="1"/>
  <c r="J205" i="102"/>
  <c r="V205" i="102" s="1"/>
  <c r="J204" i="102"/>
  <c r="V204" i="102" s="1"/>
  <c r="J203" i="102"/>
  <c r="V203" i="102" s="1"/>
  <c r="J202" i="102"/>
  <c r="V202" i="102" s="1"/>
  <c r="J201" i="102"/>
  <c r="V201" i="102" s="1"/>
  <c r="J200" i="102"/>
  <c r="V200" i="102" s="1"/>
  <c r="J199" i="102"/>
  <c r="V199" i="102" s="1"/>
  <c r="J198" i="102"/>
  <c r="V198" i="102" s="1"/>
  <c r="J197" i="102"/>
  <c r="V197" i="102" s="1"/>
  <c r="J196" i="102"/>
  <c r="V196" i="102" s="1"/>
  <c r="J195" i="102"/>
  <c r="V195" i="102" s="1"/>
  <c r="J194" i="102"/>
  <c r="V194" i="102" s="1"/>
  <c r="J193" i="102"/>
  <c r="V193" i="102" s="1"/>
  <c r="J192" i="102"/>
  <c r="V192" i="102" s="1"/>
  <c r="J191" i="102"/>
  <c r="V191" i="102" s="1"/>
  <c r="J190" i="102"/>
  <c r="V190" i="102" s="1"/>
  <c r="J189" i="102"/>
  <c r="V189" i="102" s="1"/>
  <c r="J188" i="102"/>
  <c r="V188" i="102" s="1"/>
  <c r="J187" i="102"/>
  <c r="V187" i="102" s="1"/>
  <c r="J186" i="102"/>
  <c r="V186" i="102" s="1"/>
  <c r="B186" i="102"/>
  <c r="B187" i="102" s="1"/>
  <c r="B188" i="102" s="1"/>
  <c r="B189" i="102" s="1"/>
  <c r="B190" i="102" s="1"/>
  <c r="B191" i="102" s="1"/>
  <c r="B192" i="102" s="1"/>
  <c r="B193" i="102" s="1"/>
  <c r="B194" i="102" s="1"/>
  <c r="B195" i="102" s="1"/>
  <c r="B196" i="102" s="1"/>
  <c r="B197" i="102" s="1"/>
  <c r="B198" i="102" s="1"/>
  <c r="B199" i="102" s="1"/>
  <c r="B200" i="102" s="1"/>
  <c r="B201" i="102" s="1"/>
  <c r="B202" i="102" s="1"/>
  <c r="B203" i="102" s="1"/>
  <c r="B204" i="102" s="1"/>
  <c r="B205" i="102" s="1"/>
  <c r="B206" i="102" s="1"/>
  <c r="B207" i="102" s="1"/>
  <c r="J185" i="102"/>
  <c r="V185" i="102" s="1"/>
  <c r="J176" i="102"/>
  <c r="V176" i="102" s="1"/>
  <c r="W175" i="102"/>
  <c r="J175" i="102"/>
  <c r="V175" i="102" s="1"/>
  <c r="J174" i="102"/>
  <c r="V174" i="102" s="1"/>
  <c r="W173" i="102"/>
  <c r="J173" i="102"/>
  <c r="V173" i="102" s="1"/>
  <c r="J172" i="102"/>
  <c r="V172" i="102" s="1"/>
  <c r="J171" i="102"/>
  <c r="V171" i="102" s="1"/>
  <c r="J170" i="102"/>
  <c r="V170" i="102" s="1"/>
  <c r="J169" i="102"/>
  <c r="V169" i="102" s="1"/>
  <c r="J168" i="102"/>
  <c r="V168" i="102" s="1"/>
  <c r="J167" i="102"/>
  <c r="V167" i="102" s="1"/>
  <c r="J166" i="102"/>
  <c r="V166" i="102" s="1"/>
  <c r="J165" i="102"/>
  <c r="V165" i="102" s="1"/>
  <c r="J164" i="102"/>
  <c r="V164" i="102" s="1"/>
  <c r="J163" i="102"/>
  <c r="V163" i="102" s="1"/>
  <c r="J162" i="102"/>
  <c r="V162" i="102" s="1"/>
  <c r="J161" i="102"/>
  <c r="V161" i="102" s="1"/>
  <c r="J160" i="102"/>
  <c r="V160" i="102" s="1"/>
  <c r="J159" i="102"/>
  <c r="V159" i="102" s="1"/>
  <c r="J158" i="102"/>
  <c r="V158" i="102" s="1"/>
  <c r="J157" i="102"/>
  <c r="V157" i="102" s="1"/>
  <c r="J156" i="102"/>
  <c r="V156" i="102" s="1"/>
  <c r="J155" i="102"/>
  <c r="V155" i="102" s="1"/>
  <c r="B155" i="102"/>
  <c r="B156" i="102" s="1"/>
  <c r="B157" i="102" s="1"/>
  <c r="B158" i="102" s="1"/>
  <c r="B159" i="102" s="1"/>
  <c r="B160" i="102" s="1"/>
  <c r="B161" i="102" s="1"/>
  <c r="B162" i="102" s="1"/>
  <c r="B163" i="102" s="1"/>
  <c r="B164" i="102" s="1"/>
  <c r="B165" i="102" s="1"/>
  <c r="B166" i="102" s="1"/>
  <c r="B167" i="102" s="1"/>
  <c r="B168" i="102" s="1"/>
  <c r="B169" i="102" s="1"/>
  <c r="B170" i="102" s="1"/>
  <c r="B171" i="102" s="1"/>
  <c r="B172" i="102" s="1"/>
  <c r="B173" i="102" s="1"/>
  <c r="B174" i="102" s="1"/>
  <c r="B175" i="102" s="1"/>
  <c r="B176" i="102" s="1"/>
  <c r="J154" i="102"/>
  <c r="W154" i="102" s="1"/>
  <c r="J145" i="102"/>
  <c r="V145" i="102" s="1"/>
  <c r="J144" i="102"/>
  <c r="V144" i="102" s="1"/>
  <c r="J143" i="102"/>
  <c r="V143" i="102" s="1"/>
  <c r="J142" i="102"/>
  <c r="V142" i="102" s="1"/>
  <c r="J141" i="102"/>
  <c r="V141" i="102" s="1"/>
  <c r="J140" i="102"/>
  <c r="V140" i="102" s="1"/>
  <c r="J139" i="102"/>
  <c r="V139" i="102" s="1"/>
  <c r="J138" i="102"/>
  <c r="V138" i="102" s="1"/>
  <c r="J137" i="102"/>
  <c r="V137" i="102" s="1"/>
  <c r="J136" i="102"/>
  <c r="V136" i="102" s="1"/>
  <c r="J135" i="102"/>
  <c r="V135" i="102" s="1"/>
  <c r="J134" i="102"/>
  <c r="V134" i="102" s="1"/>
  <c r="J133" i="102"/>
  <c r="V133" i="102" s="1"/>
  <c r="J132" i="102"/>
  <c r="V132" i="102" s="1"/>
  <c r="J131" i="102"/>
  <c r="V131" i="102" s="1"/>
  <c r="J130" i="102"/>
  <c r="V130" i="102" s="1"/>
  <c r="J129" i="102"/>
  <c r="V129" i="102" s="1"/>
  <c r="J128" i="102"/>
  <c r="V128" i="102" s="1"/>
  <c r="J127" i="102"/>
  <c r="V127" i="102" s="1"/>
  <c r="J126" i="102"/>
  <c r="V126" i="102" s="1"/>
  <c r="J125" i="102"/>
  <c r="V125" i="102" s="1"/>
  <c r="J124" i="102"/>
  <c r="V124" i="102" s="1"/>
  <c r="B124" i="102"/>
  <c r="B125" i="102" s="1"/>
  <c r="B126" i="102" s="1"/>
  <c r="B127" i="102" s="1"/>
  <c r="B128" i="102" s="1"/>
  <c r="B129" i="102" s="1"/>
  <c r="B130" i="102" s="1"/>
  <c r="B131" i="102" s="1"/>
  <c r="B132" i="102" s="1"/>
  <c r="B133" i="102" s="1"/>
  <c r="B134" i="102" s="1"/>
  <c r="B135" i="102" s="1"/>
  <c r="B136" i="102" s="1"/>
  <c r="B137" i="102" s="1"/>
  <c r="B138" i="102" s="1"/>
  <c r="B139" i="102" s="1"/>
  <c r="B140" i="102" s="1"/>
  <c r="B141" i="102" s="1"/>
  <c r="B142" i="102" s="1"/>
  <c r="B143" i="102" s="1"/>
  <c r="B144" i="102" s="1"/>
  <c r="B145" i="102" s="1"/>
  <c r="J123" i="102"/>
  <c r="V123" i="102" s="1"/>
  <c r="J114" i="102"/>
  <c r="V114" i="102" s="1"/>
  <c r="W113" i="102"/>
  <c r="J113" i="102"/>
  <c r="V113" i="102" s="1"/>
  <c r="J112" i="102"/>
  <c r="V112" i="102" s="1"/>
  <c r="W111" i="102"/>
  <c r="J111" i="102"/>
  <c r="V111" i="102" s="1"/>
  <c r="J110" i="102"/>
  <c r="V110" i="102" s="1"/>
  <c r="J109" i="102"/>
  <c r="V109" i="102" s="1"/>
  <c r="J108" i="102"/>
  <c r="V108" i="102" s="1"/>
  <c r="J107" i="102"/>
  <c r="V107" i="102" s="1"/>
  <c r="J106" i="102"/>
  <c r="V106" i="102" s="1"/>
  <c r="J105" i="102"/>
  <c r="V105" i="102" s="1"/>
  <c r="J104" i="102"/>
  <c r="V104" i="102" s="1"/>
  <c r="J103" i="102"/>
  <c r="V103" i="102" s="1"/>
  <c r="J102" i="102"/>
  <c r="V102" i="102" s="1"/>
  <c r="J101" i="102"/>
  <c r="V101" i="102" s="1"/>
  <c r="J100" i="102"/>
  <c r="V100" i="102" s="1"/>
  <c r="J99" i="102"/>
  <c r="V99" i="102" s="1"/>
  <c r="J98" i="102"/>
  <c r="V98" i="102" s="1"/>
  <c r="J97" i="102"/>
  <c r="V97" i="102" s="1"/>
  <c r="J96" i="102"/>
  <c r="V96" i="102" s="1"/>
  <c r="J95" i="102"/>
  <c r="V95" i="102" s="1"/>
  <c r="J94" i="102"/>
  <c r="V94" i="102" s="1"/>
  <c r="J93" i="102"/>
  <c r="V93" i="102" s="1"/>
  <c r="B93" i="102"/>
  <c r="B94" i="102" s="1"/>
  <c r="B95" i="102" s="1"/>
  <c r="B96" i="102" s="1"/>
  <c r="B97" i="102" s="1"/>
  <c r="B98" i="102" s="1"/>
  <c r="B99" i="102" s="1"/>
  <c r="B100" i="102" s="1"/>
  <c r="B101" i="102" s="1"/>
  <c r="B102" i="102" s="1"/>
  <c r="B103" i="102" s="1"/>
  <c r="B104" i="102" s="1"/>
  <c r="B105" i="102" s="1"/>
  <c r="B106" i="102" s="1"/>
  <c r="B107" i="102" s="1"/>
  <c r="B108" i="102" s="1"/>
  <c r="B109" i="102" s="1"/>
  <c r="B110" i="102" s="1"/>
  <c r="B111" i="102" s="1"/>
  <c r="B112" i="102" s="1"/>
  <c r="B113" i="102" s="1"/>
  <c r="B114" i="102" s="1"/>
  <c r="J92" i="102"/>
  <c r="W92" i="102" s="1"/>
  <c r="J83" i="102"/>
  <c r="V83" i="102" s="1"/>
  <c r="J82" i="102"/>
  <c r="V82" i="102" s="1"/>
  <c r="J81" i="102"/>
  <c r="J80" i="102"/>
  <c r="V80" i="102" s="1"/>
  <c r="J79" i="102"/>
  <c r="V79" i="102" s="1"/>
  <c r="J78" i="102"/>
  <c r="V78" i="102" s="1"/>
  <c r="J77" i="102"/>
  <c r="V77" i="102" s="1"/>
  <c r="J76" i="102"/>
  <c r="V76" i="102" s="1"/>
  <c r="J75" i="102"/>
  <c r="V75" i="102" s="1"/>
  <c r="J74" i="102"/>
  <c r="V74" i="102" s="1"/>
  <c r="J73" i="102"/>
  <c r="V73" i="102" s="1"/>
  <c r="J72" i="102"/>
  <c r="V72" i="102" s="1"/>
  <c r="J71" i="102"/>
  <c r="V71" i="102" s="1"/>
  <c r="W70" i="102"/>
  <c r="J70" i="102"/>
  <c r="V70" i="102" s="1"/>
  <c r="J69" i="102"/>
  <c r="V69" i="102" s="1"/>
  <c r="J68" i="102"/>
  <c r="V68" i="102" s="1"/>
  <c r="J67" i="102"/>
  <c r="V67" i="102" s="1"/>
  <c r="J66" i="102"/>
  <c r="V66" i="102" s="1"/>
  <c r="J65" i="102"/>
  <c r="V65" i="102" s="1"/>
  <c r="J64" i="102"/>
  <c r="V64" i="102" s="1"/>
  <c r="J63" i="102"/>
  <c r="V63" i="102" s="1"/>
  <c r="J62" i="102"/>
  <c r="V62" i="102" s="1"/>
  <c r="J61" i="102"/>
  <c r="V61" i="102" s="1"/>
  <c r="B61" i="102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J60" i="102"/>
  <c r="W60" i="102" s="1"/>
  <c r="W51" i="102"/>
  <c r="V51" i="102"/>
  <c r="W50" i="102"/>
  <c r="V50" i="102"/>
  <c r="W49" i="102"/>
  <c r="V49" i="102"/>
  <c r="W48" i="102"/>
  <c r="V48" i="102"/>
  <c r="W47" i="102"/>
  <c r="V47" i="102"/>
  <c r="W46" i="102"/>
  <c r="V46" i="102"/>
  <c r="W45" i="102"/>
  <c r="V45" i="102"/>
  <c r="W44" i="102"/>
  <c r="V44" i="102"/>
  <c r="W43" i="102"/>
  <c r="V43" i="102"/>
  <c r="W42" i="102"/>
  <c r="V42" i="102"/>
  <c r="W41" i="102"/>
  <c r="V41" i="102"/>
  <c r="V39" i="102"/>
  <c r="V38" i="102"/>
  <c r="W38" i="102"/>
  <c r="W37" i="102"/>
  <c r="V37" i="102"/>
  <c r="V35" i="102"/>
  <c r="V34" i="102"/>
  <c r="W34" i="102"/>
  <c r="W33" i="102"/>
  <c r="V33" i="102"/>
  <c r="V31" i="102"/>
  <c r="V30" i="102"/>
  <c r="W30" i="102"/>
  <c r="W29" i="102"/>
  <c r="V29" i="102"/>
  <c r="V27" i="102"/>
  <c r="V26" i="102"/>
  <c r="W26" i="102"/>
  <c r="V23" i="102"/>
  <c r="V22" i="102"/>
  <c r="W22" i="102"/>
  <c r="W21" i="102"/>
  <c r="V21" i="102"/>
  <c r="N16" i="102"/>
  <c r="N14" i="102"/>
  <c r="N12" i="102"/>
  <c r="N10" i="102"/>
  <c r="N8" i="102"/>
  <c r="I7" i="102"/>
  <c r="J7" i="102" s="1"/>
  <c r="B7" i="102"/>
  <c r="B8" i="102" s="1"/>
  <c r="B9" i="102" s="1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B23" i="102" s="1"/>
  <c r="B24" i="102" s="1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45" i="102" s="1"/>
  <c r="B46" i="102" s="1"/>
  <c r="B47" i="102" s="1"/>
  <c r="B48" i="102" s="1"/>
  <c r="B49" i="102" s="1"/>
  <c r="B50" i="102" s="1"/>
  <c r="B51" i="102" s="1"/>
  <c r="N6" i="102"/>
  <c r="I6" i="102"/>
  <c r="J6" i="102" s="1"/>
  <c r="V6" i="102" s="1"/>
  <c r="N4" i="102"/>
  <c r="J41" i="101"/>
  <c r="I41" i="101"/>
  <c r="I40" i="101"/>
  <c r="J40" i="101" s="1"/>
  <c r="V40" i="101" s="1"/>
  <c r="J39" i="101"/>
  <c r="V39" i="101" s="1"/>
  <c r="I39" i="101"/>
  <c r="I38" i="101"/>
  <c r="J38" i="101" s="1"/>
  <c r="I37" i="101"/>
  <c r="J37" i="101" s="1"/>
  <c r="I36" i="101"/>
  <c r="J36" i="101" s="1"/>
  <c r="V36" i="101" s="1"/>
  <c r="I35" i="101"/>
  <c r="J35" i="101" s="1"/>
  <c r="V35" i="101" s="1"/>
  <c r="I34" i="101"/>
  <c r="J34" i="101" s="1"/>
  <c r="J33" i="101"/>
  <c r="I33" i="101"/>
  <c r="I32" i="101"/>
  <c r="J32" i="101" s="1"/>
  <c r="V32" i="101" s="1"/>
  <c r="J31" i="101"/>
  <c r="V31" i="101" s="1"/>
  <c r="I31" i="101"/>
  <c r="I30" i="101"/>
  <c r="J30" i="101" s="1"/>
  <c r="I29" i="101"/>
  <c r="J29" i="101" s="1"/>
  <c r="I28" i="101"/>
  <c r="J28" i="101" s="1"/>
  <c r="V28" i="101" s="1"/>
  <c r="I27" i="101"/>
  <c r="J27" i="101" s="1"/>
  <c r="V27" i="101" s="1"/>
  <c r="I26" i="101"/>
  <c r="J26" i="101" s="1"/>
  <c r="J25" i="101"/>
  <c r="I25" i="101"/>
  <c r="I24" i="101"/>
  <c r="J24" i="101" s="1"/>
  <c r="V24" i="101" s="1"/>
  <c r="J23" i="101"/>
  <c r="V23" i="101" s="1"/>
  <c r="I23" i="101"/>
  <c r="I22" i="101"/>
  <c r="J22" i="101" s="1"/>
  <c r="I21" i="101"/>
  <c r="J21" i="101" s="1"/>
  <c r="I20" i="101"/>
  <c r="J20" i="101" s="1"/>
  <c r="I19" i="101"/>
  <c r="J19" i="101" s="1"/>
  <c r="I18" i="101"/>
  <c r="J18" i="101" s="1"/>
  <c r="W18" i="101" s="1"/>
  <c r="J17" i="101"/>
  <c r="V17" i="101" s="1"/>
  <c r="I17" i="101"/>
  <c r="I16" i="101"/>
  <c r="J16" i="101" s="1"/>
  <c r="J15" i="101"/>
  <c r="V15" i="101" s="1"/>
  <c r="I15" i="101"/>
  <c r="I14" i="101"/>
  <c r="J14" i="101" s="1"/>
  <c r="I13" i="101"/>
  <c r="J13" i="101" s="1"/>
  <c r="J12" i="101"/>
  <c r="I12" i="101"/>
  <c r="I11" i="101"/>
  <c r="J11" i="101" s="1"/>
  <c r="I10" i="101"/>
  <c r="J10" i="101" s="1"/>
  <c r="W10" i="101" s="1"/>
  <c r="I7" i="101"/>
  <c r="J7" i="101" s="1"/>
  <c r="I8" i="101"/>
  <c r="J8" i="101" s="1"/>
  <c r="V8" i="101" s="1"/>
  <c r="I9" i="101"/>
  <c r="J9" i="101" s="1"/>
  <c r="J239" i="101"/>
  <c r="W239" i="101" s="1"/>
  <c r="J238" i="101"/>
  <c r="W238" i="101" s="1"/>
  <c r="J237" i="101"/>
  <c r="W237" i="101" s="1"/>
  <c r="J236" i="101"/>
  <c r="W236" i="101" s="1"/>
  <c r="J235" i="101"/>
  <c r="W235" i="101" s="1"/>
  <c r="J234" i="101"/>
  <c r="W234" i="101" s="1"/>
  <c r="J233" i="101"/>
  <c r="W233" i="101" s="1"/>
  <c r="J232" i="101"/>
  <c r="W232" i="101" s="1"/>
  <c r="J231" i="101"/>
  <c r="W231" i="101" s="1"/>
  <c r="J230" i="101"/>
  <c r="W230" i="101" s="1"/>
  <c r="J229" i="101"/>
  <c r="W229" i="101" s="1"/>
  <c r="J228" i="101"/>
  <c r="W228" i="101" s="1"/>
  <c r="J227" i="101"/>
  <c r="W227" i="101" s="1"/>
  <c r="J226" i="101"/>
  <c r="W226" i="101" s="1"/>
  <c r="J225" i="101"/>
  <c r="W225" i="101" s="1"/>
  <c r="J224" i="101"/>
  <c r="W224" i="101" s="1"/>
  <c r="J223" i="101"/>
  <c r="W223" i="101" s="1"/>
  <c r="J222" i="101"/>
  <c r="W222" i="101" s="1"/>
  <c r="J221" i="101"/>
  <c r="W221" i="101" s="1"/>
  <c r="J220" i="101"/>
  <c r="W220" i="101" s="1"/>
  <c r="J219" i="101"/>
  <c r="W219" i="101" s="1"/>
  <c r="J218" i="101"/>
  <c r="W218" i="101" s="1"/>
  <c r="J217" i="101"/>
  <c r="W217" i="101" s="1"/>
  <c r="B217" i="101"/>
  <c r="B218" i="101" s="1"/>
  <c r="B219" i="101" s="1"/>
  <c r="B220" i="101" s="1"/>
  <c r="B221" i="101" s="1"/>
  <c r="B222" i="101" s="1"/>
  <c r="B223" i="101" s="1"/>
  <c r="B224" i="101" s="1"/>
  <c r="B225" i="101" s="1"/>
  <c r="B226" i="101" s="1"/>
  <c r="B227" i="101" s="1"/>
  <c r="B228" i="101" s="1"/>
  <c r="B229" i="101" s="1"/>
  <c r="B230" i="101" s="1"/>
  <c r="B231" i="101" s="1"/>
  <c r="B232" i="101" s="1"/>
  <c r="B233" i="101" s="1"/>
  <c r="B234" i="101" s="1"/>
  <c r="B235" i="101" s="1"/>
  <c r="B236" i="101" s="1"/>
  <c r="B237" i="101" s="1"/>
  <c r="B238" i="101" s="1"/>
  <c r="B239" i="101" s="1"/>
  <c r="J216" i="101"/>
  <c r="W216" i="101" s="1"/>
  <c r="V207" i="101"/>
  <c r="J207" i="101"/>
  <c r="W207" i="101" s="1"/>
  <c r="J206" i="101"/>
  <c r="W206" i="101" s="1"/>
  <c r="W205" i="101"/>
  <c r="J205" i="101"/>
  <c r="V205" i="101" s="1"/>
  <c r="J204" i="101"/>
  <c r="W204" i="101" s="1"/>
  <c r="J203" i="101"/>
  <c r="V203" i="101" s="1"/>
  <c r="J202" i="101"/>
  <c r="W202" i="101" s="1"/>
  <c r="J201" i="101"/>
  <c r="V201" i="101" s="1"/>
  <c r="J200" i="101"/>
  <c r="W200" i="101" s="1"/>
  <c r="J199" i="101"/>
  <c r="V199" i="101" s="1"/>
  <c r="J198" i="101"/>
  <c r="W198" i="101" s="1"/>
  <c r="J197" i="101"/>
  <c r="V197" i="101" s="1"/>
  <c r="J196" i="101"/>
  <c r="W196" i="101" s="1"/>
  <c r="J195" i="101"/>
  <c r="V195" i="101" s="1"/>
  <c r="J194" i="101"/>
  <c r="V194" i="101" s="1"/>
  <c r="J193" i="101"/>
  <c r="V193" i="101" s="1"/>
  <c r="J192" i="101"/>
  <c r="W192" i="101" s="1"/>
  <c r="J191" i="101"/>
  <c r="V191" i="101" s="1"/>
  <c r="J190" i="101"/>
  <c r="W190" i="101" s="1"/>
  <c r="J189" i="101"/>
  <c r="V189" i="101" s="1"/>
  <c r="J188" i="101"/>
  <c r="W188" i="101" s="1"/>
  <c r="J187" i="101"/>
  <c r="V187" i="101" s="1"/>
  <c r="V186" i="101"/>
  <c r="J186" i="101"/>
  <c r="W186" i="101" s="1"/>
  <c r="B186" i="101"/>
  <c r="B187" i="101" s="1"/>
  <c r="B188" i="101" s="1"/>
  <c r="B189" i="101" s="1"/>
  <c r="B190" i="101" s="1"/>
  <c r="B191" i="101" s="1"/>
  <c r="B192" i="101" s="1"/>
  <c r="B193" i="101" s="1"/>
  <c r="B194" i="101" s="1"/>
  <c r="B195" i="101" s="1"/>
  <c r="B196" i="101" s="1"/>
  <c r="B197" i="101" s="1"/>
  <c r="B198" i="101" s="1"/>
  <c r="B199" i="101" s="1"/>
  <c r="B200" i="101" s="1"/>
  <c r="B201" i="101" s="1"/>
  <c r="B202" i="101" s="1"/>
  <c r="B203" i="101" s="1"/>
  <c r="B204" i="101" s="1"/>
  <c r="B205" i="101" s="1"/>
  <c r="B206" i="101" s="1"/>
  <c r="B207" i="101" s="1"/>
  <c r="J185" i="101"/>
  <c r="V185" i="101" s="1"/>
  <c r="J176" i="101"/>
  <c r="W176" i="101" s="1"/>
  <c r="J175" i="101"/>
  <c r="W175" i="101" s="1"/>
  <c r="J174" i="101"/>
  <c r="W174" i="101" s="1"/>
  <c r="J173" i="101"/>
  <c r="W173" i="101" s="1"/>
  <c r="J172" i="101"/>
  <c r="W172" i="101" s="1"/>
  <c r="J171" i="101"/>
  <c r="W171" i="101" s="1"/>
  <c r="J170" i="101"/>
  <c r="W170" i="101" s="1"/>
  <c r="J169" i="101"/>
  <c r="W169" i="101" s="1"/>
  <c r="J168" i="101"/>
  <c r="W168" i="101" s="1"/>
  <c r="J167" i="101"/>
  <c r="W167" i="101" s="1"/>
  <c r="J166" i="101"/>
  <c r="W166" i="101" s="1"/>
  <c r="J165" i="101"/>
  <c r="W165" i="101" s="1"/>
  <c r="J164" i="101"/>
  <c r="W164" i="101" s="1"/>
  <c r="J163" i="101"/>
  <c r="W163" i="101" s="1"/>
  <c r="J162" i="101"/>
  <c r="W162" i="101" s="1"/>
  <c r="J161" i="101"/>
  <c r="W161" i="101" s="1"/>
  <c r="J160" i="101"/>
  <c r="W160" i="101" s="1"/>
  <c r="J159" i="101"/>
  <c r="W159" i="101" s="1"/>
  <c r="J158" i="101"/>
  <c r="W158" i="101" s="1"/>
  <c r="J157" i="101"/>
  <c r="W157" i="101" s="1"/>
  <c r="J156" i="101"/>
  <c r="W156" i="101" s="1"/>
  <c r="J155" i="101"/>
  <c r="W155" i="101" s="1"/>
  <c r="B155" i="101"/>
  <c r="B156" i="101" s="1"/>
  <c r="B157" i="101" s="1"/>
  <c r="B158" i="101" s="1"/>
  <c r="B159" i="101" s="1"/>
  <c r="B160" i="101" s="1"/>
  <c r="B161" i="101" s="1"/>
  <c r="B162" i="101" s="1"/>
  <c r="B163" i="101" s="1"/>
  <c r="B164" i="101" s="1"/>
  <c r="B165" i="101" s="1"/>
  <c r="B166" i="101" s="1"/>
  <c r="B167" i="101" s="1"/>
  <c r="B168" i="101" s="1"/>
  <c r="B169" i="101" s="1"/>
  <c r="B170" i="101" s="1"/>
  <c r="B171" i="101" s="1"/>
  <c r="B172" i="101" s="1"/>
  <c r="B173" i="101" s="1"/>
  <c r="B174" i="101" s="1"/>
  <c r="B175" i="101" s="1"/>
  <c r="B176" i="101" s="1"/>
  <c r="J154" i="101"/>
  <c r="W154" i="101" s="1"/>
  <c r="W145" i="101"/>
  <c r="J145" i="101"/>
  <c r="V145" i="101" s="1"/>
  <c r="J144" i="101"/>
  <c r="W144" i="101" s="1"/>
  <c r="J143" i="101"/>
  <c r="W143" i="101" s="1"/>
  <c r="J142" i="101"/>
  <c r="V142" i="101" s="1"/>
  <c r="W141" i="101"/>
  <c r="J141" i="101"/>
  <c r="V141" i="101" s="1"/>
  <c r="J140" i="101"/>
  <c r="V140" i="101" s="1"/>
  <c r="J139" i="101"/>
  <c r="W139" i="101" s="1"/>
  <c r="J138" i="101"/>
  <c r="V138" i="101" s="1"/>
  <c r="J137" i="101"/>
  <c r="W137" i="101" s="1"/>
  <c r="J136" i="101"/>
  <c r="V136" i="101" s="1"/>
  <c r="J135" i="101"/>
  <c r="W135" i="101" s="1"/>
  <c r="J134" i="101"/>
  <c r="V134" i="101" s="1"/>
  <c r="J133" i="101"/>
  <c r="V133" i="101" s="1"/>
  <c r="J132" i="101"/>
  <c r="V132" i="101" s="1"/>
  <c r="J131" i="101"/>
  <c r="W131" i="101" s="1"/>
  <c r="J130" i="101"/>
  <c r="V130" i="101" s="1"/>
  <c r="J129" i="101"/>
  <c r="V129" i="101" s="1"/>
  <c r="J128" i="101"/>
  <c r="V128" i="101" s="1"/>
  <c r="J127" i="101"/>
  <c r="W127" i="101" s="1"/>
  <c r="J126" i="101"/>
  <c r="V126" i="101" s="1"/>
  <c r="J125" i="101"/>
  <c r="V125" i="101" s="1"/>
  <c r="J124" i="101"/>
  <c r="W124" i="101" s="1"/>
  <c r="B124" i="101"/>
  <c r="B125" i="101" s="1"/>
  <c r="B126" i="101" s="1"/>
  <c r="B127" i="101" s="1"/>
  <c r="B128" i="101" s="1"/>
  <c r="B129" i="101" s="1"/>
  <c r="B130" i="101" s="1"/>
  <c r="B131" i="101" s="1"/>
  <c r="B132" i="101" s="1"/>
  <c r="B133" i="101" s="1"/>
  <c r="B134" i="101" s="1"/>
  <c r="B135" i="101" s="1"/>
  <c r="B136" i="101" s="1"/>
  <c r="B137" i="101" s="1"/>
  <c r="B138" i="101" s="1"/>
  <c r="B139" i="101" s="1"/>
  <c r="B140" i="101" s="1"/>
  <c r="B141" i="101" s="1"/>
  <c r="B142" i="101" s="1"/>
  <c r="B143" i="101" s="1"/>
  <c r="B144" i="101" s="1"/>
  <c r="B145" i="101" s="1"/>
  <c r="J123" i="101"/>
  <c r="V123" i="101" s="1"/>
  <c r="J114" i="101"/>
  <c r="W114" i="101" s="1"/>
  <c r="J113" i="101"/>
  <c r="W113" i="101" s="1"/>
  <c r="J112" i="101"/>
  <c r="W112" i="101" s="1"/>
  <c r="J111" i="101"/>
  <c r="W111" i="101" s="1"/>
  <c r="J110" i="101"/>
  <c r="W110" i="101" s="1"/>
  <c r="J109" i="101"/>
  <c r="W109" i="101" s="1"/>
  <c r="J108" i="101"/>
  <c r="W108" i="101" s="1"/>
  <c r="J107" i="101"/>
  <c r="W107" i="101" s="1"/>
  <c r="J106" i="101"/>
  <c r="W106" i="101" s="1"/>
  <c r="J105" i="101"/>
  <c r="W105" i="101" s="1"/>
  <c r="J104" i="101"/>
  <c r="W104" i="101" s="1"/>
  <c r="J103" i="101"/>
  <c r="W103" i="101" s="1"/>
  <c r="J102" i="101"/>
  <c r="W102" i="101" s="1"/>
  <c r="J101" i="101"/>
  <c r="W101" i="101" s="1"/>
  <c r="J100" i="101"/>
  <c r="W100" i="101" s="1"/>
  <c r="J99" i="101"/>
  <c r="W99" i="101" s="1"/>
  <c r="J98" i="101"/>
  <c r="W98" i="101" s="1"/>
  <c r="J97" i="101"/>
  <c r="W97" i="101" s="1"/>
  <c r="J96" i="101"/>
  <c r="W96" i="101" s="1"/>
  <c r="J95" i="101"/>
  <c r="W95" i="101" s="1"/>
  <c r="J94" i="101"/>
  <c r="W94" i="101" s="1"/>
  <c r="J93" i="101"/>
  <c r="W93" i="101" s="1"/>
  <c r="B93" i="101"/>
  <c r="B94" i="101" s="1"/>
  <c r="B95" i="101" s="1"/>
  <c r="B96" i="101" s="1"/>
  <c r="B97" i="101" s="1"/>
  <c r="B98" i="101" s="1"/>
  <c r="B99" i="101" s="1"/>
  <c r="B100" i="101" s="1"/>
  <c r="B101" i="101" s="1"/>
  <c r="B102" i="101" s="1"/>
  <c r="B103" i="101" s="1"/>
  <c r="B104" i="101" s="1"/>
  <c r="B105" i="101" s="1"/>
  <c r="B106" i="101" s="1"/>
  <c r="B107" i="101" s="1"/>
  <c r="B108" i="101" s="1"/>
  <c r="B109" i="101" s="1"/>
  <c r="B110" i="101" s="1"/>
  <c r="B111" i="101" s="1"/>
  <c r="B112" i="101" s="1"/>
  <c r="B113" i="101" s="1"/>
  <c r="B114" i="101" s="1"/>
  <c r="J92" i="101"/>
  <c r="W92" i="101" s="1"/>
  <c r="J83" i="101"/>
  <c r="W83" i="101" s="1"/>
  <c r="J82" i="101"/>
  <c r="V82" i="101" s="1"/>
  <c r="J81" i="101"/>
  <c r="J80" i="101"/>
  <c r="W80" i="101" s="1"/>
  <c r="J79" i="101"/>
  <c r="W79" i="101" s="1"/>
  <c r="J78" i="101"/>
  <c r="W78" i="101" s="1"/>
  <c r="J77" i="101"/>
  <c r="W77" i="101" s="1"/>
  <c r="J76" i="101"/>
  <c r="W76" i="101" s="1"/>
  <c r="J75" i="101"/>
  <c r="W75" i="101" s="1"/>
  <c r="J74" i="101"/>
  <c r="W74" i="101" s="1"/>
  <c r="J73" i="101"/>
  <c r="W73" i="101" s="1"/>
  <c r="J72" i="101"/>
  <c r="W72" i="101" s="1"/>
  <c r="J71" i="101"/>
  <c r="W71" i="101" s="1"/>
  <c r="J70" i="101"/>
  <c r="W70" i="101" s="1"/>
  <c r="J69" i="101"/>
  <c r="W69" i="101" s="1"/>
  <c r="J68" i="101"/>
  <c r="W68" i="101" s="1"/>
  <c r="J67" i="101"/>
  <c r="W67" i="101" s="1"/>
  <c r="J66" i="101"/>
  <c r="W66" i="101" s="1"/>
  <c r="J65" i="101"/>
  <c r="W65" i="101" s="1"/>
  <c r="J64" i="101"/>
  <c r="W64" i="101" s="1"/>
  <c r="J63" i="101"/>
  <c r="W63" i="101" s="1"/>
  <c r="J62" i="101"/>
  <c r="W62" i="101" s="1"/>
  <c r="J61" i="101"/>
  <c r="W61" i="101" s="1"/>
  <c r="B61" i="10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J60" i="101"/>
  <c r="W60" i="101" s="1"/>
  <c r="W51" i="101"/>
  <c r="V51" i="101"/>
  <c r="W50" i="101"/>
  <c r="V50" i="101"/>
  <c r="W49" i="101"/>
  <c r="V49" i="101"/>
  <c r="W48" i="101"/>
  <c r="V48" i="101"/>
  <c r="W47" i="101"/>
  <c r="V47" i="101"/>
  <c r="W46" i="101"/>
  <c r="V46" i="101"/>
  <c r="W45" i="101"/>
  <c r="V45" i="101"/>
  <c r="W44" i="101"/>
  <c r="V44" i="101"/>
  <c r="V43" i="101"/>
  <c r="N16" i="101"/>
  <c r="N14" i="101"/>
  <c r="N12" i="101"/>
  <c r="N10" i="101"/>
  <c r="N8" i="101"/>
  <c r="B7" i="101"/>
  <c r="B8" i="101" s="1"/>
  <c r="B9" i="101" s="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N6" i="101"/>
  <c r="I6" i="101"/>
  <c r="J6" i="101" s="1"/>
  <c r="N4" i="101"/>
  <c r="I43" i="100"/>
  <c r="J43" i="100" s="1"/>
  <c r="I42" i="100"/>
  <c r="J42" i="100" s="1"/>
  <c r="I41" i="100"/>
  <c r="J41" i="100" s="1"/>
  <c r="I40" i="100"/>
  <c r="J40" i="100" s="1"/>
  <c r="I38" i="100"/>
  <c r="J38" i="100" s="1"/>
  <c r="I39" i="100"/>
  <c r="J39" i="100" s="1"/>
  <c r="I37" i="100"/>
  <c r="J37" i="100" s="1"/>
  <c r="I36" i="100"/>
  <c r="J36" i="100" s="1"/>
  <c r="I35" i="100"/>
  <c r="J35" i="100" s="1"/>
  <c r="I34" i="100"/>
  <c r="J34" i="100" s="1"/>
  <c r="I33" i="100"/>
  <c r="J33" i="100" s="1"/>
  <c r="I32" i="100"/>
  <c r="J32" i="100" s="1"/>
  <c r="I31" i="100"/>
  <c r="J31" i="100" s="1"/>
  <c r="I30" i="100"/>
  <c r="J30" i="100" s="1"/>
  <c r="I29" i="100"/>
  <c r="J29" i="100" s="1"/>
  <c r="N4" i="100"/>
  <c r="N6" i="100"/>
  <c r="N8" i="100"/>
  <c r="N10" i="100"/>
  <c r="N12" i="100"/>
  <c r="N14" i="100"/>
  <c r="N16" i="100"/>
  <c r="I28" i="100"/>
  <c r="J28" i="100" s="1"/>
  <c r="I27" i="100"/>
  <c r="J27" i="100" s="1"/>
  <c r="I26" i="100"/>
  <c r="J26" i="100" s="1"/>
  <c r="I25" i="100"/>
  <c r="J25" i="100" s="1"/>
  <c r="I24" i="100"/>
  <c r="J24" i="100" s="1"/>
  <c r="I23" i="100"/>
  <c r="J23" i="100" s="1"/>
  <c r="I22" i="100"/>
  <c r="J22" i="100" s="1"/>
  <c r="I21" i="100"/>
  <c r="J21" i="100" s="1"/>
  <c r="I20" i="100"/>
  <c r="J20" i="100" s="1"/>
  <c r="I19" i="100"/>
  <c r="J19" i="100" s="1"/>
  <c r="I18" i="100"/>
  <c r="J18" i="100" s="1"/>
  <c r="I17" i="100"/>
  <c r="J17" i="100" s="1"/>
  <c r="I16" i="100"/>
  <c r="J16" i="100" s="1"/>
  <c r="I15" i="100"/>
  <c r="J15" i="100" s="1"/>
  <c r="I14" i="100"/>
  <c r="J14" i="100" s="1"/>
  <c r="I13" i="100"/>
  <c r="J13" i="100" s="1"/>
  <c r="W195" i="101" l="1"/>
  <c r="V202" i="101"/>
  <c r="V204" i="101"/>
  <c r="W133" i="101"/>
  <c r="W142" i="101"/>
  <c r="W80" i="102"/>
  <c r="W112" i="102"/>
  <c r="W114" i="102"/>
  <c r="W174" i="102"/>
  <c r="W176" i="102"/>
  <c r="W228" i="102"/>
  <c r="W82" i="101"/>
  <c r="W125" i="101"/>
  <c r="V144" i="101"/>
  <c r="V83" i="101"/>
  <c r="V124" i="101"/>
  <c r="W99" i="102"/>
  <c r="W222" i="102"/>
  <c r="V16" i="102"/>
  <c r="W16" i="102"/>
  <c r="V131" i="101"/>
  <c r="V135" i="101"/>
  <c r="W72" i="102"/>
  <c r="W93" i="102"/>
  <c r="W218" i="102"/>
  <c r="W234" i="102"/>
  <c r="W236" i="102"/>
  <c r="W238" i="102"/>
  <c r="W132" i="101"/>
  <c r="W136" i="101"/>
  <c r="V143" i="101"/>
  <c r="V206" i="101"/>
  <c r="W64" i="102"/>
  <c r="W101" i="102"/>
  <c r="W226" i="102"/>
  <c r="W235" i="102"/>
  <c r="W237" i="102"/>
  <c r="W62" i="102"/>
  <c r="W84" i="105"/>
  <c r="P6" i="105" s="1"/>
  <c r="V144" i="105"/>
  <c r="O10" i="105" s="1"/>
  <c r="R10" i="105" s="1"/>
  <c r="V204" i="105"/>
  <c r="O14" i="105" s="1"/>
  <c r="R14" i="105" s="1"/>
  <c r="W204" i="105"/>
  <c r="P14" i="105" s="1"/>
  <c r="W144" i="105"/>
  <c r="P10" i="105" s="1"/>
  <c r="V114" i="105"/>
  <c r="O8" i="105" s="1"/>
  <c r="V52" i="105"/>
  <c r="O4" i="105" s="1"/>
  <c r="V235" i="105"/>
  <c r="O16" i="105" s="1"/>
  <c r="V84" i="105"/>
  <c r="O6" i="105" s="1"/>
  <c r="V174" i="105"/>
  <c r="O12" i="105" s="1"/>
  <c r="W52" i="105"/>
  <c r="P4" i="105" s="1"/>
  <c r="W84" i="104"/>
  <c r="P6" i="104" s="1"/>
  <c r="Q6" i="104" s="1"/>
  <c r="W240" i="104"/>
  <c r="P16" i="104" s="1"/>
  <c r="Q16" i="104" s="1"/>
  <c r="W177" i="104"/>
  <c r="P12" i="104" s="1"/>
  <c r="Q12" i="104" s="1"/>
  <c r="W115" i="104"/>
  <c r="P8" i="104" s="1"/>
  <c r="Q8" i="104" s="1"/>
  <c r="V52" i="104"/>
  <c r="O4" i="104" s="1"/>
  <c r="O18" i="104" s="1"/>
  <c r="R18" i="104" s="1"/>
  <c r="P20" i="104" s="1"/>
  <c r="R14" i="104"/>
  <c r="R6" i="104"/>
  <c r="W52" i="104"/>
  <c r="P4" i="104" s="1"/>
  <c r="W208" i="104"/>
  <c r="P14" i="104" s="1"/>
  <c r="Q14" i="104" s="1"/>
  <c r="W146" i="104"/>
  <c r="P10" i="104" s="1"/>
  <c r="Q10" i="104" s="1"/>
  <c r="V84" i="103"/>
  <c r="R6" i="103" s="1"/>
  <c r="V240" i="103"/>
  <c r="O16" i="103" s="1"/>
  <c r="R16" i="103" s="1"/>
  <c r="W208" i="103"/>
  <c r="P14" i="103" s="1"/>
  <c r="Q14" i="103" s="1"/>
  <c r="V177" i="103"/>
  <c r="O12" i="103" s="1"/>
  <c r="Q12" i="103" s="1"/>
  <c r="W146" i="103"/>
  <c r="P10" i="103" s="1"/>
  <c r="Q10" i="103" s="1"/>
  <c r="V115" i="103"/>
  <c r="O8" i="103" s="1"/>
  <c r="R8" i="103" s="1"/>
  <c r="V52" i="103"/>
  <c r="O4" i="103" s="1"/>
  <c r="R10" i="103"/>
  <c r="W52" i="103"/>
  <c r="P4" i="103" s="1"/>
  <c r="W109" i="102"/>
  <c r="W78" i="102"/>
  <c r="W76" i="102"/>
  <c r="W232" i="102"/>
  <c r="W107" i="102"/>
  <c r="W74" i="102"/>
  <c r="W105" i="102"/>
  <c r="W230" i="102"/>
  <c r="W103" i="102"/>
  <c r="W68" i="102"/>
  <c r="W224" i="102"/>
  <c r="W25" i="102"/>
  <c r="V25" i="102"/>
  <c r="W97" i="102"/>
  <c r="W66" i="102"/>
  <c r="V19" i="102"/>
  <c r="W220" i="102"/>
  <c r="W95" i="102"/>
  <c r="J240" i="102"/>
  <c r="W217" i="102"/>
  <c r="W219" i="102"/>
  <c r="W221" i="102"/>
  <c r="W223" i="102"/>
  <c r="W225" i="102"/>
  <c r="W227" i="102"/>
  <c r="W229" i="102"/>
  <c r="W231" i="102"/>
  <c r="W233" i="102"/>
  <c r="W156" i="102"/>
  <c r="W158" i="102"/>
  <c r="W160" i="102"/>
  <c r="W162" i="102"/>
  <c r="W164" i="102"/>
  <c r="W166" i="102"/>
  <c r="W168" i="102"/>
  <c r="W170" i="102"/>
  <c r="W172" i="102"/>
  <c r="J177" i="102"/>
  <c r="W155" i="102"/>
  <c r="W157" i="102"/>
  <c r="W159" i="102"/>
  <c r="W161" i="102"/>
  <c r="W163" i="102"/>
  <c r="W165" i="102"/>
  <c r="W167" i="102"/>
  <c r="W169" i="102"/>
  <c r="W171" i="102"/>
  <c r="J115" i="102"/>
  <c r="N18" i="102"/>
  <c r="W94" i="102"/>
  <c r="W96" i="102"/>
  <c r="W98" i="102"/>
  <c r="W100" i="102"/>
  <c r="W102" i="102"/>
  <c r="W104" i="102"/>
  <c r="W106" i="102"/>
  <c r="W108" i="102"/>
  <c r="W110" i="102"/>
  <c r="J84" i="102"/>
  <c r="W61" i="102"/>
  <c r="W63" i="102"/>
  <c r="W65" i="102"/>
  <c r="W67" i="102"/>
  <c r="W69" i="102"/>
  <c r="W71" i="102"/>
  <c r="W73" i="102"/>
  <c r="W75" i="102"/>
  <c r="W77" i="102"/>
  <c r="W79" i="102"/>
  <c r="V13" i="102"/>
  <c r="W13" i="102"/>
  <c r="V11" i="102"/>
  <c r="V8" i="102"/>
  <c r="V7" i="102"/>
  <c r="W7" i="102"/>
  <c r="W10" i="102"/>
  <c r="V10" i="102"/>
  <c r="V28" i="102"/>
  <c r="W28" i="102"/>
  <c r="V36" i="102"/>
  <c r="W36" i="102"/>
  <c r="W18" i="102"/>
  <c r="V18" i="102"/>
  <c r="V146" i="102"/>
  <c r="O10" i="102" s="1"/>
  <c r="R10" i="102" s="1"/>
  <c r="V15" i="102"/>
  <c r="W15" i="102"/>
  <c r="V24" i="102"/>
  <c r="W24" i="102"/>
  <c r="V32" i="102"/>
  <c r="W32" i="102"/>
  <c r="V40" i="102"/>
  <c r="W40" i="102"/>
  <c r="V208" i="102"/>
  <c r="O14" i="102" s="1"/>
  <c r="R14" i="102" s="1"/>
  <c r="W12" i="102"/>
  <c r="W20" i="102"/>
  <c r="J52" i="102"/>
  <c r="V60" i="102"/>
  <c r="V84" i="102" s="1"/>
  <c r="O6" i="102" s="1"/>
  <c r="R6" i="102" s="1"/>
  <c r="V92" i="102"/>
  <c r="V115" i="102" s="1"/>
  <c r="O8" i="102" s="1"/>
  <c r="R8" i="102" s="1"/>
  <c r="J146" i="102"/>
  <c r="V154" i="102"/>
  <c r="V177" i="102" s="1"/>
  <c r="O12" i="102" s="1"/>
  <c r="J208" i="102"/>
  <c r="V216" i="102"/>
  <c r="V239" i="102"/>
  <c r="W6" i="102"/>
  <c r="W9" i="102"/>
  <c r="W14" i="102"/>
  <c r="W17" i="102"/>
  <c r="W23" i="102"/>
  <c r="W27" i="102"/>
  <c r="W31" i="102"/>
  <c r="W35" i="102"/>
  <c r="W39" i="102"/>
  <c r="W82" i="102"/>
  <c r="W83" i="102"/>
  <c r="W123" i="102"/>
  <c r="W124" i="102"/>
  <c r="W125" i="102"/>
  <c r="W126" i="102"/>
  <c r="W127" i="102"/>
  <c r="W128" i="102"/>
  <c r="W129" i="102"/>
  <c r="W130" i="102"/>
  <c r="W131" i="102"/>
  <c r="W132" i="102"/>
  <c r="W133" i="102"/>
  <c r="W134" i="102"/>
  <c r="W135" i="102"/>
  <c r="W136" i="102"/>
  <c r="W137" i="102"/>
  <c r="W138" i="102"/>
  <c r="W139" i="102"/>
  <c r="W140" i="102"/>
  <c r="W141" i="102"/>
  <c r="W142" i="102"/>
  <c r="W143" i="102"/>
  <c r="W144" i="102"/>
  <c r="W145" i="102"/>
  <c r="W185" i="102"/>
  <c r="W186" i="102"/>
  <c r="W187" i="102"/>
  <c r="W188" i="102"/>
  <c r="W189" i="102"/>
  <c r="W190" i="102"/>
  <c r="W191" i="102"/>
  <c r="W192" i="102"/>
  <c r="W193" i="102"/>
  <c r="W194" i="102"/>
  <c r="W195" i="102"/>
  <c r="W196" i="102"/>
  <c r="W197" i="102"/>
  <c r="W198" i="102"/>
  <c r="W199" i="102"/>
  <c r="W200" i="102"/>
  <c r="W201" i="102"/>
  <c r="W202" i="102"/>
  <c r="W203" i="102"/>
  <c r="W204" i="102"/>
  <c r="W205" i="102"/>
  <c r="W206" i="102"/>
  <c r="W207" i="102"/>
  <c r="W140" i="101"/>
  <c r="V139" i="101"/>
  <c r="W199" i="101"/>
  <c r="V137" i="101"/>
  <c r="V198" i="101"/>
  <c r="W194" i="101"/>
  <c r="W191" i="101"/>
  <c r="W129" i="101"/>
  <c r="V190" i="101"/>
  <c r="W128" i="101"/>
  <c r="J146" i="101"/>
  <c r="V127" i="101"/>
  <c r="W187" i="101"/>
  <c r="W240" i="101"/>
  <c r="P16" i="101" s="1"/>
  <c r="W185" i="101"/>
  <c r="V188" i="101"/>
  <c r="W189" i="101"/>
  <c r="V192" i="101"/>
  <c r="W193" i="101"/>
  <c r="V196" i="101"/>
  <c r="W197" i="101"/>
  <c r="V200" i="101"/>
  <c r="W201" i="101"/>
  <c r="J208" i="101"/>
  <c r="W203" i="101"/>
  <c r="W123" i="101"/>
  <c r="W126" i="101"/>
  <c r="W130" i="101"/>
  <c r="W134" i="101"/>
  <c r="W138" i="101"/>
  <c r="W9" i="101"/>
  <c r="V9" i="101"/>
  <c r="W7" i="101"/>
  <c r="V7" i="101"/>
  <c r="W12" i="101"/>
  <c r="V12" i="101"/>
  <c r="W20" i="101"/>
  <c r="V20" i="101"/>
  <c r="W17" i="101"/>
  <c r="W23" i="101"/>
  <c r="W27" i="101"/>
  <c r="W31" i="101"/>
  <c r="W35" i="101"/>
  <c r="W39" i="101"/>
  <c r="W43" i="101"/>
  <c r="V26" i="101"/>
  <c r="W26" i="101"/>
  <c r="V6" i="101"/>
  <c r="W6" i="101"/>
  <c r="J52" i="101"/>
  <c r="V19" i="101"/>
  <c r="W19" i="101"/>
  <c r="W25" i="101"/>
  <c r="V25" i="101"/>
  <c r="W29" i="101"/>
  <c r="V29" i="101"/>
  <c r="W33" i="101"/>
  <c r="V33" i="101"/>
  <c r="W41" i="101"/>
  <c r="V41" i="101"/>
  <c r="V34" i="101"/>
  <c r="W34" i="101"/>
  <c r="V42" i="101"/>
  <c r="W42" i="101"/>
  <c r="V16" i="101"/>
  <c r="W16" i="101"/>
  <c r="W21" i="101"/>
  <c r="V21" i="101"/>
  <c r="W37" i="101"/>
  <c r="V37" i="101"/>
  <c r="W13" i="101"/>
  <c r="V13" i="101"/>
  <c r="W115" i="101"/>
  <c r="P8" i="101" s="1"/>
  <c r="V22" i="101"/>
  <c r="W22" i="101"/>
  <c r="V30" i="101"/>
  <c r="W30" i="101"/>
  <c r="V38" i="101"/>
  <c r="W38" i="101"/>
  <c r="V14" i="101"/>
  <c r="W14" i="101"/>
  <c r="V11" i="101"/>
  <c r="W11" i="101"/>
  <c r="W84" i="101"/>
  <c r="P6" i="101" s="1"/>
  <c r="W177" i="101"/>
  <c r="P12" i="101" s="1"/>
  <c r="W8" i="101"/>
  <c r="V10" i="101"/>
  <c r="W15" i="101"/>
  <c r="V18" i="101"/>
  <c r="W24" i="101"/>
  <c r="W28" i="101"/>
  <c r="W32" i="101"/>
  <c r="W36" i="101"/>
  <c r="W40" i="101"/>
  <c r="V60" i="101"/>
  <c r="V61" i="101"/>
  <c r="V62" i="101"/>
  <c r="V63" i="101"/>
  <c r="V64" i="101"/>
  <c r="V65" i="101"/>
  <c r="V66" i="101"/>
  <c r="V67" i="101"/>
  <c r="V68" i="101"/>
  <c r="V69" i="101"/>
  <c r="V70" i="101"/>
  <c r="V71" i="101"/>
  <c r="V72" i="101"/>
  <c r="V73" i="101"/>
  <c r="V74" i="101"/>
  <c r="V75" i="101"/>
  <c r="V76" i="101"/>
  <c r="V77" i="101"/>
  <c r="V78" i="101"/>
  <c r="V79" i="101"/>
  <c r="V80" i="101"/>
  <c r="J84" i="101"/>
  <c r="V92" i="101"/>
  <c r="V93" i="101"/>
  <c r="V94" i="101"/>
  <c r="V95" i="101"/>
  <c r="V96" i="101"/>
  <c r="V97" i="101"/>
  <c r="V98" i="101"/>
  <c r="V99" i="101"/>
  <c r="V100" i="101"/>
  <c r="V101" i="101"/>
  <c r="V102" i="101"/>
  <c r="V103" i="101"/>
  <c r="V104" i="101"/>
  <c r="V105" i="101"/>
  <c r="V106" i="101"/>
  <c r="V107" i="101"/>
  <c r="V108" i="101"/>
  <c r="V109" i="101"/>
  <c r="V110" i="101"/>
  <c r="V111" i="101"/>
  <c r="V112" i="101"/>
  <c r="V113" i="101"/>
  <c r="V114" i="101"/>
  <c r="V154" i="101"/>
  <c r="V155" i="101"/>
  <c r="V156" i="101"/>
  <c r="V157" i="101"/>
  <c r="V158" i="101"/>
  <c r="V159" i="101"/>
  <c r="V160" i="101"/>
  <c r="V161" i="101"/>
  <c r="V162" i="101"/>
  <c r="V163" i="101"/>
  <c r="V164" i="101"/>
  <c r="V165" i="101"/>
  <c r="V166" i="101"/>
  <c r="V167" i="101"/>
  <c r="V168" i="101"/>
  <c r="V169" i="101"/>
  <c r="V170" i="101"/>
  <c r="V171" i="101"/>
  <c r="V172" i="101"/>
  <c r="V173" i="101"/>
  <c r="V174" i="101"/>
  <c r="V175" i="101"/>
  <c r="V176" i="101"/>
  <c r="V216" i="101"/>
  <c r="V217" i="101"/>
  <c r="V218" i="101"/>
  <c r="V219" i="101"/>
  <c r="V220" i="101"/>
  <c r="V221" i="101"/>
  <c r="V222" i="101"/>
  <c r="V223" i="101"/>
  <c r="V224" i="101"/>
  <c r="V225" i="101"/>
  <c r="V226" i="101"/>
  <c r="V227" i="101"/>
  <c r="V228" i="101"/>
  <c r="V229" i="101"/>
  <c r="V230" i="101"/>
  <c r="V231" i="101"/>
  <c r="V232" i="101"/>
  <c r="V233" i="101"/>
  <c r="V234" i="101"/>
  <c r="V235" i="101"/>
  <c r="V236" i="101"/>
  <c r="V237" i="101"/>
  <c r="V238" i="101"/>
  <c r="V239" i="101"/>
  <c r="N18" i="101"/>
  <c r="J115" i="101"/>
  <c r="J177" i="101"/>
  <c r="J240" i="101"/>
  <c r="N18" i="100"/>
  <c r="I12" i="100"/>
  <c r="J12" i="100" s="1"/>
  <c r="I11" i="100"/>
  <c r="J11" i="100" s="1"/>
  <c r="I8" i="100"/>
  <c r="J8" i="100" s="1"/>
  <c r="V8" i="100" s="1"/>
  <c r="I9" i="100"/>
  <c r="J9" i="100" s="1"/>
  <c r="I10" i="100"/>
  <c r="J10" i="100" s="1"/>
  <c r="W10" i="100" s="1"/>
  <c r="J239" i="100"/>
  <c r="W239" i="100" s="1"/>
  <c r="J238" i="100"/>
  <c r="V238" i="100" s="1"/>
  <c r="V237" i="100"/>
  <c r="J237" i="100"/>
  <c r="W237" i="100" s="1"/>
  <c r="J236" i="100"/>
  <c r="V236" i="100" s="1"/>
  <c r="J235" i="100"/>
  <c r="V235" i="100" s="1"/>
  <c r="J234" i="100"/>
  <c r="W234" i="100" s="1"/>
  <c r="J233" i="100"/>
  <c r="W233" i="100" s="1"/>
  <c r="J232" i="100"/>
  <c r="V232" i="100" s="1"/>
  <c r="J231" i="100"/>
  <c r="V231" i="100" s="1"/>
  <c r="J230" i="100"/>
  <c r="W230" i="100" s="1"/>
  <c r="J229" i="100"/>
  <c r="W229" i="100" s="1"/>
  <c r="J228" i="100"/>
  <c r="V228" i="100" s="1"/>
  <c r="J227" i="100"/>
  <c r="V227" i="100" s="1"/>
  <c r="J226" i="100"/>
  <c r="V226" i="100" s="1"/>
  <c r="J225" i="100"/>
  <c r="W225" i="100" s="1"/>
  <c r="J224" i="100"/>
  <c r="V224" i="100" s="1"/>
  <c r="J223" i="100"/>
  <c r="V223" i="100" s="1"/>
  <c r="J222" i="100"/>
  <c r="V222" i="100" s="1"/>
  <c r="J221" i="100"/>
  <c r="W221" i="100" s="1"/>
  <c r="J220" i="100"/>
  <c r="V220" i="100" s="1"/>
  <c r="W219" i="100"/>
  <c r="J219" i="100"/>
  <c r="V219" i="100" s="1"/>
  <c r="J218" i="100"/>
  <c r="V218" i="100" s="1"/>
  <c r="J217" i="100"/>
  <c r="W217" i="100" s="1"/>
  <c r="B217" i="100"/>
  <c r="B218" i="100" s="1"/>
  <c r="B219" i="100" s="1"/>
  <c r="B220" i="100" s="1"/>
  <c r="B221" i="100" s="1"/>
  <c r="B222" i="100" s="1"/>
  <c r="B223" i="100" s="1"/>
  <c r="B224" i="100" s="1"/>
  <c r="B225" i="100" s="1"/>
  <c r="B226" i="100" s="1"/>
  <c r="B227" i="100" s="1"/>
  <c r="B228" i="100" s="1"/>
  <c r="B229" i="100" s="1"/>
  <c r="B230" i="100" s="1"/>
  <c r="B231" i="100" s="1"/>
  <c r="B232" i="100" s="1"/>
  <c r="B233" i="100" s="1"/>
  <c r="B234" i="100" s="1"/>
  <c r="B235" i="100" s="1"/>
  <c r="B236" i="100" s="1"/>
  <c r="B237" i="100" s="1"/>
  <c r="B238" i="100" s="1"/>
  <c r="B239" i="100" s="1"/>
  <c r="J216" i="100"/>
  <c r="W216" i="100" s="1"/>
  <c r="J207" i="100"/>
  <c r="V207" i="100" s="1"/>
  <c r="J206" i="100"/>
  <c r="V206" i="100" s="1"/>
  <c r="J205" i="100"/>
  <c r="V205" i="100" s="1"/>
  <c r="J204" i="100"/>
  <c r="V204" i="100" s="1"/>
  <c r="J203" i="100"/>
  <c r="V203" i="100" s="1"/>
  <c r="J202" i="100"/>
  <c r="V202" i="100" s="1"/>
  <c r="J201" i="100"/>
  <c r="V201" i="100" s="1"/>
  <c r="J200" i="100"/>
  <c r="V200" i="100" s="1"/>
  <c r="J199" i="100"/>
  <c r="V199" i="100" s="1"/>
  <c r="J198" i="100"/>
  <c r="V198" i="100" s="1"/>
  <c r="J197" i="100"/>
  <c r="V197" i="100" s="1"/>
  <c r="J196" i="100"/>
  <c r="V196" i="100" s="1"/>
  <c r="J195" i="100"/>
  <c r="V195" i="100" s="1"/>
  <c r="J194" i="100"/>
  <c r="V194" i="100" s="1"/>
  <c r="J193" i="100"/>
  <c r="V193" i="100" s="1"/>
  <c r="J192" i="100"/>
  <c r="V192" i="100" s="1"/>
  <c r="J191" i="100"/>
  <c r="V191" i="100" s="1"/>
  <c r="J190" i="100"/>
  <c r="V190" i="100" s="1"/>
  <c r="J189" i="100"/>
  <c r="V189" i="100" s="1"/>
  <c r="J188" i="100"/>
  <c r="V188" i="100" s="1"/>
  <c r="J187" i="100"/>
  <c r="V187" i="100" s="1"/>
  <c r="J186" i="100"/>
  <c r="V186" i="100" s="1"/>
  <c r="B186" i="100"/>
  <c r="B187" i="100" s="1"/>
  <c r="B188" i="100" s="1"/>
  <c r="B189" i="100" s="1"/>
  <c r="B190" i="100" s="1"/>
  <c r="B191" i="100" s="1"/>
  <c r="B192" i="100" s="1"/>
  <c r="B193" i="100" s="1"/>
  <c r="B194" i="100" s="1"/>
  <c r="B195" i="100" s="1"/>
  <c r="B196" i="100" s="1"/>
  <c r="B197" i="100" s="1"/>
  <c r="B198" i="100" s="1"/>
  <c r="B199" i="100" s="1"/>
  <c r="B200" i="100" s="1"/>
  <c r="B201" i="100" s="1"/>
  <c r="B202" i="100" s="1"/>
  <c r="B203" i="100" s="1"/>
  <c r="B204" i="100" s="1"/>
  <c r="B205" i="100" s="1"/>
  <c r="B206" i="100" s="1"/>
  <c r="B207" i="100" s="1"/>
  <c r="J185" i="100"/>
  <c r="V185" i="100" s="1"/>
  <c r="J176" i="100"/>
  <c r="W176" i="100" s="1"/>
  <c r="J175" i="100"/>
  <c r="W175" i="100" s="1"/>
  <c r="W174" i="100"/>
  <c r="J174" i="100"/>
  <c r="V174" i="100" s="1"/>
  <c r="J173" i="100"/>
  <c r="V173" i="100" s="1"/>
  <c r="J172" i="100"/>
  <c r="V172" i="100" s="1"/>
  <c r="J171" i="100"/>
  <c r="V171" i="100" s="1"/>
  <c r="J170" i="100"/>
  <c r="W170" i="100" s="1"/>
  <c r="J169" i="100"/>
  <c r="V169" i="100" s="1"/>
  <c r="J168" i="100"/>
  <c r="W168" i="100" s="1"/>
  <c r="J167" i="100"/>
  <c r="V167" i="100" s="1"/>
  <c r="J166" i="100"/>
  <c r="W166" i="100" s="1"/>
  <c r="J165" i="100"/>
  <c r="V165" i="100" s="1"/>
  <c r="J164" i="100"/>
  <c r="W164" i="100" s="1"/>
  <c r="J163" i="100"/>
  <c r="V163" i="100" s="1"/>
  <c r="J162" i="100"/>
  <c r="W162" i="100" s="1"/>
  <c r="J161" i="100"/>
  <c r="V161" i="100" s="1"/>
  <c r="J160" i="100"/>
  <c r="V160" i="100" s="1"/>
  <c r="J159" i="100"/>
  <c r="V159" i="100" s="1"/>
  <c r="J158" i="100"/>
  <c r="W158" i="100" s="1"/>
  <c r="J157" i="100"/>
  <c r="V157" i="100" s="1"/>
  <c r="J156" i="100"/>
  <c r="V156" i="100" s="1"/>
  <c r="J155" i="100"/>
  <c r="W155" i="100" s="1"/>
  <c r="B155" i="100"/>
  <c r="B156" i="100" s="1"/>
  <c r="B157" i="100" s="1"/>
  <c r="B158" i="100" s="1"/>
  <c r="B159" i="100" s="1"/>
  <c r="B160" i="100" s="1"/>
  <c r="B161" i="100" s="1"/>
  <c r="B162" i="100" s="1"/>
  <c r="B163" i="100" s="1"/>
  <c r="B164" i="100" s="1"/>
  <c r="B165" i="100" s="1"/>
  <c r="B166" i="100" s="1"/>
  <c r="B167" i="100" s="1"/>
  <c r="B168" i="100" s="1"/>
  <c r="B169" i="100" s="1"/>
  <c r="B170" i="100" s="1"/>
  <c r="B171" i="100" s="1"/>
  <c r="B172" i="100" s="1"/>
  <c r="B173" i="100" s="1"/>
  <c r="B174" i="100" s="1"/>
  <c r="B175" i="100" s="1"/>
  <c r="B176" i="100" s="1"/>
  <c r="J154" i="100"/>
  <c r="V154" i="100" s="1"/>
  <c r="J145" i="100"/>
  <c r="V145" i="100" s="1"/>
  <c r="J144" i="100"/>
  <c r="V144" i="100" s="1"/>
  <c r="J143" i="100"/>
  <c r="V143" i="100" s="1"/>
  <c r="J142" i="100"/>
  <c r="V142" i="100" s="1"/>
  <c r="J141" i="100"/>
  <c r="V141" i="100" s="1"/>
  <c r="J140" i="100"/>
  <c r="V140" i="100" s="1"/>
  <c r="J139" i="100"/>
  <c r="V139" i="100" s="1"/>
  <c r="J138" i="100"/>
  <c r="V138" i="100" s="1"/>
  <c r="J137" i="100"/>
  <c r="V137" i="100" s="1"/>
  <c r="J136" i="100"/>
  <c r="V136" i="100" s="1"/>
  <c r="J135" i="100"/>
  <c r="V135" i="100" s="1"/>
  <c r="J134" i="100"/>
  <c r="V134" i="100" s="1"/>
  <c r="J133" i="100"/>
  <c r="V133" i="100" s="1"/>
  <c r="J132" i="100"/>
  <c r="V132" i="100" s="1"/>
  <c r="J131" i="100"/>
  <c r="V131" i="100" s="1"/>
  <c r="J130" i="100"/>
  <c r="V130" i="100" s="1"/>
  <c r="J129" i="100"/>
  <c r="V129" i="100" s="1"/>
  <c r="J128" i="100"/>
  <c r="V128" i="100" s="1"/>
  <c r="J127" i="100"/>
  <c r="V127" i="100" s="1"/>
  <c r="J126" i="100"/>
  <c r="V126" i="100" s="1"/>
  <c r="J125" i="100"/>
  <c r="V125" i="100" s="1"/>
  <c r="J124" i="100"/>
  <c r="V124" i="100" s="1"/>
  <c r="B124" i="100"/>
  <c r="B125" i="100" s="1"/>
  <c r="B126" i="100" s="1"/>
  <c r="B127" i="100" s="1"/>
  <c r="B128" i="100" s="1"/>
  <c r="B129" i="100" s="1"/>
  <c r="B130" i="100" s="1"/>
  <c r="B131" i="100" s="1"/>
  <c r="B132" i="100" s="1"/>
  <c r="B133" i="100" s="1"/>
  <c r="B134" i="100" s="1"/>
  <c r="B135" i="100" s="1"/>
  <c r="B136" i="100" s="1"/>
  <c r="B137" i="100" s="1"/>
  <c r="B138" i="100" s="1"/>
  <c r="B139" i="100" s="1"/>
  <c r="B140" i="100" s="1"/>
  <c r="B141" i="100" s="1"/>
  <c r="B142" i="100" s="1"/>
  <c r="B143" i="100" s="1"/>
  <c r="B144" i="100" s="1"/>
  <c r="B145" i="100" s="1"/>
  <c r="J123" i="100"/>
  <c r="V123" i="100" s="1"/>
  <c r="V114" i="100"/>
  <c r="J114" i="100"/>
  <c r="W114" i="100" s="1"/>
  <c r="J113" i="100"/>
  <c r="W113" i="100" s="1"/>
  <c r="J112" i="100"/>
  <c r="V112" i="100" s="1"/>
  <c r="J111" i="100"/>
  <c r="W111" i="100" s="1"/>
  <c r="J110" i="100"/>
  <c r="V110" i="100" s="1"/>
  <c r="J109" i="100"/>
  <c r="W109" i="100" s="1"/>
  <c r="J108" i="100"/>
  <c r="V108" i="100" s="1"/>
  <c r="J107" i="100"/>
  <c r="W107" i="100" s="1"/>
  <c r="J106" i="100"/>
  <c r="V106" i="100" s="1"/>
  <c r="J105" i="100"/>
  <c r="V105" i="100" s="1"/>
  <c r="J104" i="100"/>
  <c r="V104" i="100" s="1"/>
  <c r="J103" i="100"/>
  <c r="W103" i="100" s="1"/>
  <c r="J102" i="100"/>
  <c r="V102" i="100" s="1"/>
  <c r="W101" i="100"/>
  <c r="J101" i="100"/>
  <c r="V101" i="100" s="1"/>
  <c r="J100" i="100"/>
  <c r="V100" i="100" s="1"/>
  <c r="J99" i="100"/>
  <c r="W99" i="100" s="1"/>
  <c r="J98" i="100"/>
  <c r="V98" i="100" s="1"/>
  <c r="W97" i="100"/>
  <c r="V97" i="100"/>
  <c r="J97" i="100"/>
  <c r="J96" i="100"/>
  <c r="V96" i="100" s="1"/>
  <c r="J95" i="100"/>
  <c r="W95" i="100" s="1"/>
  <c r="J94" i="100"/>
  <c r="V94" i="100" s="1"/>
  <c r="J93" i="100"/>
  <c r="W93" i="100" s="1"/>
  <c r="B93" i="100"/>
  <c r="B94" i="100" s="1"/>
  <c r="B95" i="100" s="1"/>
  <c r="B96" i="100" s="1"/>
  <c r="B97" i="100" s="1"/>
  <c r="B98" i="100" s="1"/>
  <c r="B99" i="100" s="1"/>
  <c r="B100" i="100" s="1"/>
  <c r="B101" i="100" s="1"/>
  <c r="B102" i="100" s="1"/>
  <c r="B103" i="100" s="1"/>
  <c r="B104" i="100" s="1"/>
  <c r="B105" i="100" s="1"/>
  <c r="B106" i="100" s="1"/>
  <c r="B107" i="100" s="1"/>
  <c r="B108" i="100" s="1"/>
  <c r="B109" i="100" s="1"/>
  <c r="B110" i="100" s="1"/>
  <c r="B111" i="100" s="1"/>
  <c r="B112" i="100" s="1"/>
  <c r="B113" i="100" s="1"/>
  <c r="B114" i="100" s="1"/>
  <c r="J92" i="100"/>
  <c r="J83" i="100"/>
  <c r="V83" i="100" s="1"/>
  <c r="J82" i="100"/>
  <c r="V82" i="100" s="1"/>
  <c r="J81" i="100"/>
  <c r="J80" i="100"/>
  <c r="V80" i="100" s="1"/>
  <c r="J79" i="100"/>
  <c r="W79" i="100" s="1"/>
  <c r="J78" i="100"/>
  <c r="V78" i="100" s="1"/>
  <c r="J77" i="100"/>
  <c r="W77" i="100" s="1"/>
  <c r="J76" i="100"/>
  <c r="V76" i="100" s="1"/>
  <c r="J75" i="100"/>
  <c r="W75" i="100" s="1"/>
  <c r="J74" i="100"/>
  <c r="V74" i="100" s="1"/>
  <c r="J73" i="100"/>
  <c r="V73" i="100" s="1"/>
  <c r="J72" i="100"/>
  <c r="V72" i="100" s="1"/>
  <c r="J71" i="100"/>
  <c r="W71" i="100" s="1"/>
  <c r="J70" i="100"/>
  <c r="V70" i="100" s="1"/>
  <c r="J69" i="100"/>
  <c r="V69" i="100" s="1"/>
  <c r="J68" i="100"/>
  <c r="V68" i="100" s="1"/>
  <c r="J67" i="100"/>
  <c r="W67" i="100" s="1"/>
  <c r="J66" i="100"/>
  <c r="V66" i="100" s="1"/>
  <c r="J65" i="100"/>
  <c r="W65" i="100" s="1"/>
  <c r="J64" i="100"/>
  <c r="V64" i="100" s="1"/>
  <c r="J63" i="100"/>
  <c r="W63" i="100" s="1"/>
  <c r="J62" i="100"/>
  <c r="V62" i="100" s="1"/>
  <c r="J61" i="100"/>
  <c r="W61" i="100" s="1"/>
  <c r="B61" i="100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J60" i="100"/>
  <c r="W60" i="100" s="1"/>
  <c r="W51" i="100"/>
  <c r="V51" i="100"/>
  <c r="W50" i="100"/>
  <c r="V50" i="100"/>
  <c r="W49" i="100"/>
  <c r="V49" i="100"/>
  <c r="W48" i="100"/>
  <c r="V48" i="100"/>
  <c r="W47" i="100"/>
  <c r="V47" i="100"/>
  <c r="W46" i="100"/>
  <c r="V46" i="100"/>
  <c r="W45" i="100"/>
  <c r="W44" i="100"/>
  <c r="V44" i="100"/>
  <c r="W41" i="100"/>
  <c r="W40" i="100"/>
  <c r="V40" i="100"/>
  <c r="W37" i="100"/>
  <c r="W36" i="100"/>
  <c r="V36" i="100"/>
  <c r="W33" i="100"/>
  <c r="W32" i="100"/>
  <c r="V32" i="100"/>
  <c r="W29" i="100"/>
  <c r="W28" i="100"/>
  <c r="V28" i="100"/>
  <c r="W25" i="100"/>
  <c r="W24" i="100"/>
  <c r="V24" i="100"/>
  <c r="W21" i="100"/>
  <c r="V18" i="100"/>
  <c r="W18" i="100"/>
  <c r="V16" i="100"/>
  <c r="W15" i="100"/>
  <c r="V15" i="100"/>
  <c r="W13" i="100"/>
  <c r="I7" i="100"/>
  <c r="J7" i="100" s="1"/>
  <c r="W7" i="100" s="1"/>
  <c r="B7" i="100"/>
  <c r="B8" i="100" s="1"/>
  <c r="B9" i="100" s="1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I6" i="100"/>
  <c r="J6" i="100" s="1"/>
  <c r="I45" i="99"/>
  <c r="J45" i="99" s="1"/>
  <c r="I44" i="99"/>
  <c r="J44" i="99" s="1"/>
  <c r="I43" i="99"/>
  <c r="J43" i="99" s="1"/>
  <c r="I42" i="99"/>
  <c r="J42" i="99" s="1"/>
  <c r="I41" i="99"/>
  <c r="J41" i="99" s="1"/>
  <c r="I40" i="99"/>
  <c r="J40" i="99" s="1"/>
  <c r="I39" i="99"/>
  <c r="J39" i="99" s="1"/>
  <c r="I38" i="99"/>
  <c r="J38" i="99" s="1"/>
  <c r="I37" i="99"/>
  <c r="J37" i="99" s="1"/>
  <c r="I36" i="99"/>
  <c r="J36" i="99" s="1"/>
  <c r="I35" i="99"/>
  <c r="J35" i="99" s="1"/>
  <c r="I34" i="99"/>
  <c r="J34" i="99" s="1"/>
  <c r="I33" i="99"/>
  <c r="J33" i="99" s="1"/>
  <c r="I32" i="99"/>
  <c r="J32" i="99" s="1"/>
  <c r="W80" i="100" l="1"/>
  <c r="W165" i="100"/>
  <c r="V168" i="100"/>
  <c r="V221" i="100"/>
  <c r="W238" i="100"/>
  <c r="V240" i="102"/>
  <c r="O16" i="102" s="1"/>
  <c r="R16" i="102" s="1"/>
  <c r="W72" i="100"/>
  <c r="V75" i="100"/>
  <c r="W98" i="100"/>
  <c r="W172" i="100"/>
  <c r="V79" i="100"/>
  <c r="W105" i="100"/>
  <c r="W110" i="100"/>
  <c r="V113" i="100"/>
  <c r="V176" i="100"/>
  <c r="W9" i="100"/>
  <c r="V9" i="100"/>
  <c r="V67" i="100"/>
  <c r="V93" i="100"/>
  <c r="V109" i="100"/>
  <c r="W156" i="100"/>
  <c r="V175" i="100"/>
  <c r="V225" i="100"/>
  <c r="V239" i="100"/>
  <c r="W169" i="100"/>
  <c r="W218" i="100"/>
  <c r="W223" i="100"/>
  <c r="V233" i="100"/>
  <c r="Q10" i="105"/>
  <c r="Q14" i="105"/>
  <c r="P18" i="105"/>
  <c r="R12" i="105"/>
  <c r="Q12" i="105"/>
  <c r="Q8" i="105"/>
  <c r="R8" i="105"/>
  <c r="R4" i="105"/>
  <c r="O18" i="105"/>
  <c r="R18" i="105" s="1"/>
  <c r="P20" i="105" s="1"/>
  <c r="Q4" i="105"/>
  <c r="Q16" i="105"/>
  <c r="R16" i="105"/>
  <c r="R6" i="105"/>
  <c r="Q6" i="105"/>
  <c r="R4" i="104"/>
  <c r="P18" i="104"/>
  <c r="Q4" i="104"/>
  <c r="Q18" i="104" s="1"/>
  <c r="P18" i="103"/>
  <c r="Q16" i="103"/>
  <c r="R12" i="103"/>
  <c r="Q8" i="103"/>
  <c r="R4" i="103"/>
  <c r="O18" i="103"/>
  <c r="R18" i="103" s="1"/>
  <c r="P20" i="103" s="1"/>
  <c r="Q4" i="103"/>
  <c r="W115" i="102"/>
  <c r="P8" i="102" s="1"/>
  <c r="Q8" i="102" s="1"/>
  <c r="W240" i="102"/>
  <c r="P16" i="102" s="1"/>
  <c r="Q16" i="102" s="1"/>
  <c r="W177" i="102"/>
  <c r="P12" i="102" s="1"/>
  <c r="Q12" i="102" s="1"/>
  <c r="V52" i="102"/>
  <c r="O4" i="102" s="1"/>
  <c r="O18" i="102" s="1"/>
  <c r="R18" i="102" s="1"/>
  <c r="P20" i="102" s="1"/>
  <c r="W84" i="102"/>
  <c r="P6" i="102" s="1"/>
  <c r="Q6" i="102" s="1"/>
  <c r="W208" i="102"/>
  <c r="P14" i="102" s="1"/>
  <c r="Q14" i="102" s="1"/>
  <c r="W146" i="102"/>
  <c r="P10" i="102" s="1"/>
  <c r="Q10" i="102" s="1"/>
  <c r="R12" i="102"/>
  <c r="W52" i="102"/>
  <c r="P4" i="102" s="1"/>
  <c r="V146" i="101"/>
  <c r="O10" i="101" s="1"/>
  <c r="R10" i="101" s="1"/>
  <c r="V208" i="101"/>
  <c r="O14" i="101" s="1"/>
  <c r="R14" i="101" s="1"/>
  <c r="W208" i="101"/>
  <c r="P14" i="101" s="1"/>
  <c r="W146" i="101"/>
  <c r="P10" i="101" s="1"/>
  <c r="V240" i="101"/>
  <c r="O16" i="101" s="1"/>
  <c r="V84" i="101"/>
  <c r="O6" i="101" s="1"/>
  <c r="V177" i="101"/>
  <c r="O12" i="101" s="1"/>
  <c r="V115" i="101"/>
  <c r="O8" i="101" s="1"/>
  <c r="V52" i="101"/>
  <c r="O4" i="101" s="1"/>
  <c r="W52" i="101"/>
  <c r="P4" i="101" s="1"/>
  <c r="V234" i="100"/>
  <c r="V77" i="100"/>
  <c r="W106" i="100"/>
  <c r="W76" i="100"/>
  <c r="W231" i="100"/>
  <c r="V230" i="100"/>
  <c r="V229" i="100"/>
  <c r="W73" i="100"/>
  <c r="W227" i="100"/>
  <c r="V71" i="100"/>
  <c r="W102" i="100"/>
  <c r="V164" i="100"/>
  <c r="W226" i="100"/>
  <c r="W69" i="100"/>
  <c r="W68" i="100"/>
  <c r="W161" i="100"/>
  <c r="W222" i="100"/>
  <c r="W160" i="100"/>
  <c r="V65" i="100"/>
  <c r="W64" i="100"/>
  <c r="W157" i="100"/>
  <c r="V63" i="100"/>
  <c r="V155" i="100"/>
  <c r="J115" i="100"/>
  <c r="W94" i="100"/>
  <c r="W92" i="100"/>
  <c r="V61" i="100"/>
  <c r="V60" i="100"/>
  <c r="V7" i="100"/>
  <c r="V92" i="100"/>
  <c r="V216" i="100"/>
  <c r="V217" i="100"/>
  <c r="J240" i="100"/>
  <c r="W235" i="100"/>
  <c r="W220" i="100"/>
  <c r="W224" i="100"/>
  <c r="W228" i="100"/>
  <c r="W232" i="100"/>
  <c r="W236" i="100"/>
  <c r="J208" i="100"/>
  <c r="W154" i="100"/>
  <c r="V158" i="100"/>
  <c r="W159" i="100"/>
  <c r="V162" i="100"/>
  <c r="W163" i="100"/>
  <c r="V166" i="100"/>
  <c r="W167" i="100"/>
  <c r="V170" i="100"/>
  <c r="W171" i="100"/>
  <c r="J177" i="100"/>
  <c r="W173" i="100"/>
  <c r="J146" i="100"/>
  <c r="V95" i="100"/>
  <c r="W96" i="100"/>
  <c r="V99" i="100"/>
  <c r="W100" i="100"/>
  <c r="V103" i="100"/>
  <c r="W104" i="100"/>
  <c r="V107" i="100"/>
  <c r="W108" i="100"/>
  <c r="V111" i="100"/>
  <c r="W112" i="100"/>
  <c r="J84" i="100"/>
  <c r="W62" i="100"/>
  <c r="W70" i="100"/>
  <c r="W74" i="100"/>
  <c r="W78" i="100"/>
  <c r="W66" i="100"/>
  <c r="V10" i="100"/>
  <c r="V12" i="100"/>
  <c r="W12" i="100"/>
  <c r="W14" i="100"/>
  <c r="V14" i="100"/>
  <c r="V208" i="100"/>
  <c r="O14" i="100" s="1"/>
  <c r="V6" i="100"/>
  <c r="W6" i="100"/>
  <c r="J52" i="100"/>
  <c r="V11" i="100"/>
  <c r="W11" i="100"/>
  <c r="V20" i="100"/>
  <c r="W20" i="100"/>
  <c r="V23" i="100"/>
  <c r="W23" i="100"/>
  <c r="W27" i="100"/>
  <c r="V27" i="100"/>
  <c r="V31" i="100"/>
  <c r="W31" i="100"/>
  <c r="W35" i="100"/>
  <c r="V35" i="100"/>
  <c r="V39" i="100"/>
  <c r="W39" i="100"/>
  <c r="V43" i="100"/>
  <c r="W43" i="100"/>
  <c r="V17" i="100"/>
  <c r="W17" i="100"/>
  <c r="V19" i="100"/>
  <c r="W19" i="100"/>
  <c r="V22" i="100"/>
  <c r="W22" i="100"/>
  <c r="V26" i="100"/>
  <c r="W26" i="100"/>
  <c r="V30" i="100"/>
  <c r="W30" i="100"/>
  <c r="V34" i="100"/>
  <c r="W34" i="100"/>
  <c r="V38" i="100"/>
  <c r="W38" i="100"/>
  <c r="V42" i="100"/>
  <c r="W42" i="100"/>
  <c r="V146" i="100"/>
  <c r="O10" i="100" s="1"/>
  <c r="V13" i="100"/>
  <c r="V21" i="100"/>
  <c r="V25" i="100"/>
  <c r="V29" i="100"/>
  <c r="V33" i="100"/>
  <c r="V37" i="100"/>
  <c r="V41" i="100"/>
  <c r="V45" i="100"/>
  <c r="W82" i="100"/>
  <c r="W83" i="100"/>
  <c r="W123" i="100"/>
  <c r="W124" i="100"/>
  <c r="W125" i="100"/>
  <c r="W126" i="100"/>
  <c r="W127" i="100"/>
  <c r="W128" i="100"/>
  <c r="W129" i="100"/>
  <c r="W130" i="100"/>
  <c r="W131" i="100"/>
  <c r="W132" i="100"/>
  <c r="W133" i="100"/>
  <c r="W134" i="100"/>
  <c r="W135" i="100"/>
  <c r="W136" i="100"/>
  <c r="W137" i="100"/>
  <c r="W138" i="100"/>
  <c r="W139" i="100"/>
  <c r="W140" i="100"/>
  <c r="W141" i="100"/>
  <c r="W142" i="100"/>
  <c r="W143" i="100"/>
  <c r="W144" i="100"/>
  <c r="W145" i="100"/>
  <c r="W185" i="100"/>
  <c r="W186" i="100"/>
  <c r="W187" i="100"/>
  <c r="W188" i="100"/>
  <c r="W189" i="100"/>
  <c r="W190" i="100"/>
  <c r="W191" i="100"/>
  <c r="W192" i="100"/>
  <c r="W193" i="100"/>
  <c r="W194" i="100"/>
  <c r="W195" i="100"/>
  <c r="W196" i="100"/>
  <c r="W197" i="100"/>
  <c r="W198" i="100"/>
  <c r="W199" i="100"/>
  <c r="W200" i="100"/>
  <c r="W201" i="100"/>
  <c r="W202" i="100"/>
  <c r="W203" i="100"/>
  <c r="W204" i="100"/>
  <c r="W205" i="100"/>
  <c r="W206" i="100"/>
  <c r="W207" i="100"/>
  <c r="W16" i="100"/>
  <c r="W8" i="100"/>
  <c r="I31" i="99"/>
  <c r="J31" i="99" s="1"/>
  <c r="J30" i="99"/>
  <c r="I30" i="99"/>
  <c r="I29" i="99"/>
  <c r="J29" i="99" s="1"/>
  <c r="J28" i="99"/>
  <c r="I28" i="99"/>
  <c r="I27" i="99"/>
  <c r="J27" i="99" s="1"/>
  <c r="I26" i="99"/>
  <c r="J26" i="99" s="1"/>
  <c r="I25" i="99"/>
  <c r="J25" i="99" s="1"/>
  <c r="I24" i="99"/>
  <c r="J24" i="99" s="1"/>
  <c r="I23" i="99"/>
  <c r="J23" i="99" s="1"/>
  <c r="I22" i="99"/>
  <c r="J22" i="99" s="1"/>
  <c r="I21" i="99"/>
  <c r="J21" i="99" s="1"/>
  <c r="J20" i="99"/>
  <c r="I20" i="99"/>
  <c r="Q18" i="105" l="1"/>
  <c r="Q18" i="103"/>
  <c r="R4" i="102"/>
  <c r="P18" i="102"/>
  <c r="Q4" i="102"/>
  <c r="Q18" i="102" s="1"/>
  <c r="Q10" i="101"/>
  <c r="Q14" i="101"/>
  <c r="P18" i="101"/>
  <c r="R4" i="101"/>
  <c r="O18" i="101"/>
  <c r="R18" i="101" s="1"/>
  <c r="P20" i="101" s="1"/>
  <c r="Q4" i="101"/>
  <c r="R6" i="101"/>
  <c r="Q6" i="101"/>
  <c r="R12" i="101"/>
  <c r="Q12" i="101"/>
  <c r="Q16" i="101"/>
  <c r="R16" i="101"/>
  <c r="Q8" i="101"/>
  <c r="R8" i="101"/>
  <c r="R14" i="100"/>
  <c r="R10" i="100"/>
  <c r="V115" i="100"/>
  <c r="O8" i="100" s="1"/>
  <c r="R8" i="100" s="1"/>
  <c r="W240" i="100"/>
  <c r="P16" i="100" s="1"/>
  <c r="V240" i="100"/>
  <c r="O16" i="100" s="1"/>
  <c r="R16" i="100" s="1"/>
  <c r="V177" i="100"/>
  <c r="O12" i="100" s="1"/>
  <c r="W115" i="100"/>
  <c r="P8" i="100" s="1"/>
  <c r="V84" i="100"/>
  <c r="O6" i="100" s="1"/>
  <c r="W177" i="100"/>
  <c r="P12" i="100" s="1"/>
  <c r="W84" i="100"/>
  <c r="P6" i="100" s="1"/>
  <c r="V52" i="100"/>
  <c r="O4" i="100" s="1"/>
  <c r="W52" i="100"/>
  <c r="P4" i="100" s="1"/>
  <c r="W208" i="100"/>
  <c r="P14" i="100" s="1"/>
  <c r="Q14" i="100" s="1"/>
  <c r="W146" i="100"/>
  <c r="P10" i="100" s="1"/>
  <c r="Q10" i="100" s="1"/>
  <c r="I19" i="99"/>
  <c r="J19" i="99" s="1"/>
  <c r="V19" i="99" s="1"/>
  <c r="I18" i="99"/>
  <c r="J18" i="99" s="1"/>
  <c r="W18" i="99" s="1"/>
  <c r="I17" i="99"/>
  <c r="J17" i="99" s="1"/>
  <c r="I16" i="99"/>
  <c r="J16" i="99" s="1"/>
  <c r="V16" i="99" s="1"/>
  <c r="I15" i="99"/>
  <c r="J15" i="99" s="1"/>
  <c r="I14" i="99"/>
  <c r="J14" i="99" s="1"/>
  <c r="V14" i="99" s="1"/>
  <c r="I13" i="99"/>
  <c r="J13" i="99" s="1"/>
  <c r="W13" i="99" s="1"/>
  <c r="J12" i="99"/>
  <c r="I12" i="99"/>
  <c r="I11" i="99"/>
  <c r="J11" i="99" s="1"/>
  <c r="V11" i="99" s="1"/>
  <c r="I10" i="99"/>
  <c r="J10" i="99" s="1"/>
  <c r="W10" i="99" s="1"/>
  <c r="I8" i="99"/>
  <c r="J8" i="99" s="1"/>
  <c r="V8" i="99" s="1"/>
  <c r="I9" i="99"/>
  <c r="J9" i="99" s="1"/>
  <c r="J239" i="99"/>
  <c r="W239" i="99" s="1"/>
  <c r="J238" i="99"/>
  <c r="W238" i="99" s="1"/>
  <c r="J237" i="99"/>
  <c r="W237" i="99" s="1"/>
  <c r="J236" i="99"/>
  <c r="W236" i="99" s="1"/>
  <c r="J235" i="99"/>
  <c r="W235" i="99" s="1"/>
  <c r="J234" i="99"/>
  <c r="W234" i="99" s="1"/>
  <c r="J233" i="99"/>
  <c r="W233" i="99" s="1"/>
  <c r="J232" i="99"/>
  <c r="W232" i="99" s="1"/>
  <c r="J231" i="99"/>
  <c r="W231" i="99" s="1"/>
  <c r="V230" i="99"/>
  <c r="J230" i="99"/>
  <c r="W230" i="99" s="1"/>
  <c r="J229" i="99"/>
  <c r="W229" i="99" s="1"/>
  <c r="J228" i="99"/>
  <c r="W228" i="99" s="1"/>
  <c r="J227" i="99"/>
  <c r="W227" i="99" s="1"/>
  <c r="J226" i="99"/>
  <c r="W226" i="99" s="1"/>
  <c r="J225" i="99"/>
  <c r="W225" i="99" s="1"/>
  <c r="J224" i="99"/>
  <c r="W224" i="99" s="1"/>
  <c r="J223" i="99"/>
  <c r="W223" i="99" s="1"/>
  <c r="J222" i="99"/>
  <c r="W222" i="99" s="1"/>
  <c r="J221" i="99"/>
  <c r="W221" i="99" s="1"/>
  <c r="J220" i="99"/>
  <c r="W220" i="99" s="1"/>
  <c r="J219" i="99"/>
  <c r="W219" i="99" s="1"/>
  <c r="J218" i="99"/>
  <c r="W218" i="99" s="1"/>
  <c r="J217" i="99"/>
  <c r="W217" i="99" s="1"/>
  <c r="B217" i="99"/>
  <c r="B218" i="99" s="1"/>
  <c r="B219" i="99" s="1"/>
  <c r="B220" i="99" s="1"/>
  <c r="B221" i="99" s="1"/>
  <c r="B222" i="99" s="1"/>
  <c r="B223" i="99" s="1"/>
  <c r="B224" i="99" s="1"/>
  <c r="B225" i="99" s="1"/>
  <c r="B226" i="99" s="1"/>
  <c r="B227" i="99" s="1"/>
  <c r="B228" i="99" s="1"/>
  <c r="B229" i="99" s="1"/>
  <c r="B230" i="99" s="1"/>
  <c r="B231" i="99" s="1"/>
  <c r="B232" i="99" s="1"/>
  <c r="B233" i="99" s="1"/>
  <c r="B234" i="99" s="1"/>
  <c r="B235" i="99" s="1"/>
  <c r="B236" i="99" s="1"/>
  <c r="B237" i="99" s="1"/>
  <c r="B238" i="99" s="1"/>
  <c r="B239" i="99" s="1"/>
  <c r="J216" i="99"/>
  <c r="W216" i="99" s="1"/>
  <c r="J207" i="99"/>
  <c r="W207" i="99" s="1"/>
  <c r="W206" i="99"/>
  <c r="V206" i="99"/>
  <c r="J206" i="99"/>
  <c r="W205" i="99"/>
  <c r="J205" i="99"/>
  <c r="V205" i="99" s="1"/>
  <c r="J204" i="99"/>
  <c r="W204" i="99" s="1"/>
  <c r="J203" i="99"/>
  <c r="V203" i="99" s="1"/>
  <c r="J202" i="99"/>
  <c r="W202" i="99" s="1"/>
  <c r="J201" i="99"/>
  <c r="V201" i="99" s="1"/>
  <c r="V200" i="99"/>
  <c r="J200" i="99"/>
  <c r="W200" i="99" s="1"/>
  <c r="J199" i="99"/>
  <c r="V199" i="99" s="1"/>
  <c r="J198" i="99"/>
  <c r="W198" i="99" s="1"/>
  <c r="J197" i="99"/>
  <c r="V197" i="99" s="1"/>
  <c r="J196" i="99"/>
  <c r="W196" i="99" s="1"/>
  <c r="J195" i="99"/>
  <c r="V195" i="99" s="1"/>
  <c r="J194" i="99"/>
  <c r="V194" i="99" s="1"/>
  <c r="J193" i="99"/>
  <c r="V193" i="99" s="1"/>
  <c r="J192" i="99"/>
  <c r="W192" i="99" s="1"/>
  <c r="J191" i="99"/>
  <c r="V191" i="99" s="1"/>
  <c r="V190" i="99"/>
  <c r="J190" i="99"/>
  <c r="W190" i="99" s="1"/>
  <c r="J189" i="99"/>
  <c r="V189" i="99" s="1"/>
  <c r="J188" i="99"/>
  <c r="W188" i="99" s="1"/>
  <c r="J187" i="99"/>
  <c r="V187" i="99" s="1"/>
  <c r="J186" i="99"/>
  <c r="W186" i="99" s="1"/>
  <c r="B186" i="99"/>
  <c r="B187" i="99" s="1"/>
  <c r="B188" i="99" s="1"/>
  <c r="B189" i="99" s="1"/>
  <c r="B190" i="99" s="1"/>
  <c r="B191" i="99" s="1"/>
  <c r="B192" i="99" s="1"/>
  <c r="B193" i="99" s="1"/>
  <c r="B194" i="99" s="1"/>
  <c r="B195" i="99" s="1"/>
  <c r="B196" i="99" s="1"/>
  <c r="B197" i="99" s="1"/>
  <c r="B198" i="99" s="1"/>
  <c r="B199" i="99" s="1"/>
  <c r="B200" i="99" s="1"/>
  <c r="B201" i="99" s="1"/>
  <c r="B202" i="99" s="1"/>
  <c r="B203" i="99" s="1"/>
  <c r="B204" i="99" s="1"/>
  <c r="B205" i="99" s="1"/>
  <c r="B206" i="99" s="1"/>
  <c r="B207" i="99" s="1"/>
  <c r="J185" i="99"/>
  <c r="J176" i="99"/>
  <c r="W176" i="99" s="1"/>
  <c r="V175" i="99"/>
  <c r="J175" i="99"/>
  <c r="W175" i="99" s="1"/>
  <c r="J174" i="99"/>
  <c r="W174" i="99" s="1"/>
  <c r="J173" i="99"/>
  <c r="W173" i="99" s="1"/>
  <c r="J172" i="99"/>
  <c r="W172" i="99" s="1"/>
  <c r="J171" i="99"/>
  <c r="W171" i="99" s="1"/>
  <c r="J170" i="99"/>
  <c r="W170" i="99" s="1"/>
  <c r="J169" i="99"/>
  <c r="W169" i="99" s="1"/>
  <c r="J168" i="99"/>
  <c r="W168" i="99" s="1"/>
  <c r="J167" i="99"/>
  <c r="W167" i="99" s="1"/>
  <c r="J166" i="99"/>
  <c r="W166" i="99" s="1"/>
  <c r="J165" i="99"/>
  <c r="W165" i="99" s="1"/>
  <c r="J164" i="99"/>
  <c r="W164" i="99" s="1"/>
  <c r="J163" i="99"/>
  <c r="W163" i="99" s="1"/>
  <c r="J162" i="99"/>
  <c r="W162" i="99" s="1"/>
  <c r="J161" i="99"/>
  <c r="W161" i="99" s="1"/>
  <c r="J160" i="99"/>
  <c r="W160" i="99" s="1"/>
  <c r="J159" i="99"/>
  <c r="W159" i="99" s="1"/>
  <c r="J158" i="99"/>
  <c r="W158" i="99" s="1"/>
  <c r="J157" i="99"/>
  <c r="W157" i="99" s="1"/>
  <c r="J156" i="99"/>
  <c r="W156" i="99" s="1"/>
  <c r="J155" i="99"/>
  <c r="W155" i="99" s="1"/>
  <c r="B155" i="99"/>
  <c r="B156" i="99" s="1"/>
  <c r="B157" i="99" s="1"/>
  <c r="B158" i="99" s="1"/>
  <c r="B159" i="99" s="1"/>
  <c r="B160" i="99" s="1"/>
  <c r="B161" i="99" s="1"/>
  <c r="B162" i="99" s="1"/>
  <c r="B163" i="99" s="1"/>
  <c r="B164" i="99" s="1"/>
  <c r="B165" i="99" s="1"/>
  <c r="B166" i="99" s="1"/>
  <c r="B167" i="99" s="1"/>
  <c r="B168" i="99" s="1"/>
  <c r="B169" i="99" s="1"/>
  <c r="B170" i="99" s="1"/>
  <c r="B171" i="99" s="1"/>
  <c r="B172" i="99" s="1"/>
  <c r="B173" i="99" s="1"/>
  <c r="B174" i="99" s="1"/>
  <c r="B175" i="99" s="1"/>
  <c r="B176" i="99" s="1"/>
  <c r="J154" i="99"/>
  <c r="W154" i="99" s="1"/>
  <c r="J145" i="99"/>
  <c r="W145" i="99" s="1"/>
  <c r="J144" i="99"/>
  <c r="W144" i="99" s="1"/>
  <c r="J143" i="99"/>
  <c r="V143" i="99" s="1"/>
  <c r="J142" i="99"/>
  <c r="W142" i="99" s="1"/>
  <c r="J141" i="99"/>
  <c r="V141" i="99" s="1"/>
  <c r="J140" i="99"/>
  <c r="W140" i="99" s="1"/>
  <c r="J139" i="99"/>
  <c r="V139" i="99" s="1"/>
  <c r="J138" i="99"/>
  <c r="V138" i="99" s="1"/>
  <c r="J137" i="99"/>
  <c r="W137" i="99" s="1"/>
  <c r="J136" i="99"/>
  <c r="W136" i="99" s="1"/>
  <c r="J135" i="99"/>
  <c r="V135" i="99" s="1"/>
  <c r="J134" i="99"/>
  <c r="V134" i="99" s="1"/>
  <c r="J133" i="99"/>
  <c r="W133" i="99" s="1"/>
  <c r="J132" i="99"/>
  <c r="W132" i="99" s="1"/>
  <c r="J131" i="99"/>
  <c r="V131" i="99" s="1"/>
  <c r="J130" i="99"/>
  <c r="V130" i="99" s="1"/>
  <c r="J129" i="99"/>
  <c r="W129" i="99" s="1"/>
  <c r="J128" i="99"/>
  <c r="W128" i="99" s="1"/>
  <c r="J127" i="99"/>
  <c r="V127" i="99" s="1"/>
  <c r="J126" i="99"/>
  <c r="V126" i="99" s="1"/>
  <c r="J125" i="99"/>
  <c r="W125" i="99" s="1"/>
  <c r="J124" i="99"/>
  <c r="W124" i="99" s="1"/>
  <c r="B124" i="99"/>
  <c r="B125" i="99" s="1"/>
  <c r="B126" i="99" s="1"/>
  <c r="B127" i="99" s="1"/>
  <c r="B128" i="99" s="1"/>
  <c r="B129" i="99" s="1"/>
  <c r="B130" i="99" s="1"/>
  <c r="B131" i="99" s="1"/>
  <c r="B132" i="99" s="1"/>
  <c r="B133" i="99" s="1"/>
  <c r="B134" i="99" s="1"/>
  <c r="B135" i="99" s="1"/>
  <c r="B136" i="99" s="1"/>
  <c r="B137" i="99" s="1"/>
  <c r="B138" i="99" s="1"/>
  <c r="B139" i="99" s="1"/>
  <c r="B140" i="99" s="1"/>
  <c r="B141" i="99" s="1"/>
  <c r="B142" i="99" s="1"/>
  <c r="B143" i="99" s="1"/>
  <c r="B144" i="99" s="1"/>
  <c r="B145" i="99" s="1"/>
  <c r="J123" i="99"/>
  <c r="J114" i="99"/>
  <c r="W114" i="99" s="1"/>
  <c r="J113" i="99"/>
  <c r="W113" i="99" s="1"/>
  <c r="J112" i="99"/>
  <c r="W112" i="99" s="1"/>
  <c r="J111" i="99"/>
  <c r="W111" i="99" s="1"/>
  <c r="J110" i="99"/>
  <c r="W110" i="99" s="1"/>
  <c r="J109" i="99"/>
  <c r="W109" i="99" s="1"/>
  <c r="J108" i="99"/>
  <c r="W108" i="99" s="1"/>
  <c r="J107" i="99"/>
  <c r="W107" i="99" s="1"/>
  <c r="J106" i="99"/>
  <c r="W106" i="99" s="1"/>
  <c r="J105" i="99"/>
  <c r="W105" i="99" s="1"/>
  <c r="J104" i="99"/>
  <c r="W104" i="99" s="1"/>
  <c r="J103" i="99"/>
  <c r="W103" i="99" s="1"/>
  <c r="J102" i="99"/>
  <c r="W102" i="99" s="1"/>
  <c r="J101" i="99"/>
  <c r="W101" i="99" s="1"/>
  <c r="J100" i="99"/>
  <c r="W100" i="99" s="1"/>
  <c r="J99" i="99"/>
  <c r="W99" i="99" s="1"/>
  <c r="J98" i="99"/>
  <c r="W98" i="99" s="1"/>
  <c r="J97" i="99"/>
  <c r="W97" i="99" s="1"/>
  <c r="J96" i="99"/>
  <c r="W96" i="99" s="1"/>
  <c r="J95" i="99"/>
  <c r="W95" i="99" s="1"/>
  <c r="J94" i="99"/>
  <c r="W94" i="99" s="1"/>
  <c r="J93" i="99"/>
  <c r="W93" i="99" s="1"/>
  <c r="B93" i="99"/>
  <c r="B94" i="99" s="1"/>
  <c r="B95" i="99" s="1"/>
  <c r="B96" i="99" s="1"/>
  <c r="B97" i="99" s="1"/>
  <c r="B98" i="99" s="1"/>
  <c r="B99" i="99" s="1"/>
  <c r="B100" i="99" s="1"/>
  <c r="B101" i="99" s="1"/>
  <c r="B102" i="99" s="1"/>
  <c r="B103" i="99" s="1"/>
  <c r="B104" i="99" s="1"/>
  <c r="B105" i="99" s="1"/>
  <c r="B106" i="99" s="1"/>
  <c r="B107" i="99" s="1"/>
  <c r="B108" i="99" s="1"/>
  <c r="B109" i="99" s="1"/>
  <c r="B110" i="99" s="1"/>
  <c r="B111" i="99" s="1"/>
  <c r="B112" i="99" s="1"/>
  <c r="B113" i="99" s="1"/>
  <c r="B114" i="99" s="1"/>
  <c r="J92" i="99"/>
  <c r="W92" i="99" s="1"/>
  <c r="J83" i="99"/>
  <c r="V83" i="99" s="1"/>
  <c r="J82" i="99"/>
  <c r="V82" i="99" s="1"/>
  <c r="J81" i="99"/>
  <c r="J80" i="99"/>
  <c r="W80" i="99" s="1"/>
  <c r="J79" i="99"/>
  <c r="W79" i="99" s="1"/>
  <c r="J78" i="99"/>
  <c r="W78" i="99" s="1"/>
  <c r="J77" i="99"/>
  <c r="W77" i="99" s="1"/>
  <c r="J76" i="99"/>
  <c r="W76" i="99" s="1"/>
  <c r="J75" i="99"/>
  <c r="W75" i="99" s="1"/>
  <c r="J74" i="99"/>
  <c r="W74" i="99" s="1"/>
  <c r="J73" i="99"/>
  <c r="W73" i="99" s="1"/>
  <c r="J72" i="99"/>
  <c r="W72" i="99" s="1"/>
  <c r="J71" i="99"/>
  <c r="W71" i="99" s="1"/>
  <c r="J70" i="99"/>
  <c r="W70" i="99" s="1"/>
  <c r="J69" i="99"/>
  <c r="W69" i="99" s="1"/>
  <c r="J68" i="99"/>
  <c r="W68" i="99" s="1"/>
  <c r="J67" i="99"/>
  <c r="W67" i="99" s="1"/>
  <c r="J66" i="99"/>
  <c r="W66" i="99" s="1"/>
  <c r="J65" i="99"/>
  <c r="W65" i="99" s="1"/>
  <c r="J64" i="99"/>
  <c r="W64" i="99" s="1"/>
  <c r="J63" i="99"/>
  <c r="W63" i="99" s="1"/>
  <c r="J62" i="99"/>
  <c r="W62" i="99" s="1"/>
  <c r="J61" i="99"/>
  <c r="W61" i="99" s="1"/>
  <c r="B61" i="99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J60" i="99"/>
  <c r="W60" i="99" s="1"/>
  <c r="W51" i="99"/>
  <c r="V51" i="99"/>
  <c r="W50" i="99"/>
  <c r="V50" i="99"/>
  <c r="V49" i="99"/>
  <c r="W49" i="99"/>
  <c r="W48" i="99"/>
  <c r="V48" i="99"/>
  <c r="V46" i="99"/>
  <c r="V45" i="99"/>
  <c r="W45" i="99"/>
  <c r="W44" i="99"/>
  <c r="V44" i="99"/>
  <c r="V42" i="99"/>
  <c r="V41" i="99"/>
  <c r="W41" i="99"/>
  <c r="W40" i="99"/>
  <c r="V40" i="99"/>
  <c r="V38" i="99"/>
  <c r="V37" i="99"/>
  <c r="W37" i="99"/>
  <c r="W36" i="99"/>
  <c r="V36" i="99"/>
  <c r="V34" i="99"/>
  <c r="V33" i="99"/>
  <c r="W33" i="99"/>
  <c r="W32" i="99"/>
  <c r="V32" i="99"/>
  <c r="V30" i="99"/>
  <c r="V29" i="99"/>
  <c r="W29" i="99"/>
  <c r="W28" i="99"/>
  <c r="V28" i="99"/>
  <c r="V26" i="99"/>
  <c r="V25" i="99"/>
  <c r="W25" i="99"/>
  <c r="W24" i="99"/>
  <c r="V24" i="99"/>
  <c r="V22" i="99"/>
  <c r="V21" i="99"/>
  <c r="W21" i="99"/>
  <c r="N16" i="99"/>
  <c r="N14" i="99"/>
  <c r="N12" i="99"/>
  <c r="N10" i="99"/>
  <c r="N8" i="99"/>
  <c r="I7" i="99"/>
  <c r="J7" i="99" s="1"/>
  <c r="V7" i="99" s="1"/>
  <c r="B7" i="99"/>
  <c r="B8" i="99" s="1"/>
  <c r="B9" i="99" s="1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N6" i="99"/>
  <c r="I6" i="99"/>
  <c r="J6" i="99" s="1"/>
  <c r="V6" i="99" s="1"/>
  <c r="N4" i="99"/>
  <c r="I49" i="98"/>
  <c r="J49" i="98" s="1"/>
  <c r="I48" i="98"/>
  <c r="J48" i="98" s="1"/>
  <c r="I47" i="98"/>
  <c r="J47" i="98" s="1"/>
  <c r="I46" i="98"/>
  <c r="J46" i="98" s="1"/>
  <c r="I45" i="98"/>
  <c r="J45" i="98" s="1"/>
  <c r="I44" i="98"/>
  <c r="J44" i="98" s="1"/>
  <c r="J43" i="98"/>
  <c r="I43" i="98"/>
  <c r="I42" i="98"/>
  <c r="J42" i="98" s="1"/>
  <c r="I41" i="98"/>
  <c r="J41" i="98" s="1"/>
  <c r="I40" i="98"/>
  <c r="J40" i="98" s="1"/>
  <c r="I39" i="98"/>
  <c r="J39" i="98" s="1"/>
  <c r="I38" i="98"/>
  <c r="J38" i="98" s="1"/>
  <c r="I37" i="98"/>
  <c r="J37" i="98" s="1"/>
  <c r="I36" i="98"/>
  <c r="J36" i="98" s="1"/>
  <c r="J35" i="98"/>
  <c r="I35" i="98"/>
  <c r="I34" i="98"/>
  <c r="J34" i="98" s="1"/>
  <c r="I33" i="98"/>
  <c r="J33" i="98" s="1"/>
  <c r="I32" i="98"/>
  <c r="J32" i="98" s="1"/>
  <c r="I31" i="98"/>
  <c r="J31" i="98" s="1"/>
  <c r="I30" i="98"/>
  <c r="J30" i="98" s="1"/>
  <c r="I29" i="98"/>
  <c r="J29" i="98" s="1"/>
  <c r="I28" i="98"/>
  <c r="J28" i="98" s="1"/>
  <c r="J27" i="98"/>
  <c r="I27" i="98"/>
  <c r="I26" i="98"/>
  <c r="J26" i="98" s="1"/>
  <c r="I25" i="98"/>
  <c r="J25" i="98" s="1"/>
  <c r="I24" i="98"/>
  <c r="J24" i="98" s="1"/>
  <c r="I23" i="98"/>
  <c r="J23" i="98" s="1"/>
  <c r="I22" i="98"/>
  <c r="J22" i="98" s="1"/>
  <c r="I21" i="98"/>
  <c r="J21" i="98" s="1"/>
  <c r="I20" i="98"/>
  <c r="J20" i="98" s="1"/>
  <c r="J19" i="98"/>
  <c r="I19" i="98"/>
  <c r="I18" i="98"/>
  <c r="J18" i="98" s="1"/>
  <c r="I17" i="98"/>
  <c r="J17" i="98" s="1"/>
  <c r="I16" i="98"/>
  <c r="J16" i="98" s="1"/>
  <c r="I15" i="98"/>
  <c r="J15" i="98" s="1"/>
  <c r="I14" i="98"/>
  <c r="J14" i="98" s="1"/>
  <c r="I13" i="98"/>
  <c r="J13" i="98" s="1"/>
  <c r="I12" i="98"/>
  <c r="J12" i="98" s="1"/>
  <c r="J11" i="98"/>
  <c r="I11" i="98"/>
  <c r="I10" i="98"/>
  <c r="J10" i="98" s="1"/>
  <c r="I8" i="98"/>
  <c r="J8" i="98" s="1"/>
  <c r="I9" i="98"/>
  <c r="J9" i="98" s="1"/>
  <c r="V113" i="99" l="1"/>
  <c r="V173" i="99"/>
  <c r="W194" i="99"/>
  <c r="V239" i="99"/>
  <c r="V79" i="99"/>
  <c r="V100" i="99"/>
  <c r="V234" i="99"/>
  <c r="V237" i="99"/>
  <c r="V94" i="99"/>
  <c r="V112" i="99"/>
  <c r="V114" i="99"/>
  <c r="V188" i="99"/>
  <c r="W193" i="99"/>
  <c r="V218" i="99"/>
  <c r="V232" i="99"/>
  <c r="V63" i="99"/>
  <c r="W83" i="99"/>
  <c r="V102" i="99"/>
  <c r="V125" i="99"/>
  <c r="V145" i="99"/>
  <c r="V133" i="99"/>
  <c r="V155" i="99"/>
  <c r="V222" i="99"/>
  <c r="V231" i="99"/>
  <c r="V233" i="99"/>
  <c r="V98" i="99"/>
  <c r="V137" i="99"/>
  <c r="V144" i="99"/>
  <c r="V174" i="99"/>
  <c r="V176" i="99"/>
  <c r="W189" i="99"/>
  <c r="V196" i="99"/>
  <c r="V207" i="99"/>
  <c r="V226" i="99"/>
  <c r="V236" i="99"/>
  <c r="V238" i="99"/>
  <c r="V60" i="99"/>
  <c r="V69" i="99"/>
  <c r="Q18" i="101"/>
  <c r="Q16" i="100"/>
  <c r="P18" i="100"/>
  <c r="Q8" i="100"/>
  <c r="O18" i="100"/>
  <c r="R18" i="100" s="1"/>
  <c r="P20" i="100" s="1"/>
  <c r="R4" i="100"/>
  <c r="Q4" i="100"/>
  <c r="R6" i="100"/>
  <c r="Q6" i="100"/>
  <c r="Q12" i="100"/>
  <c r="R12" i="100"/>
  <c r="V142" i="99"/>
  <c r="V204" i="99"/>
  <c r="V235" i="99"/>
  <c r="V172" i="99"/>
  <c r="V110" i="99"/>
  <c r="V202" i="99"/>
  <c r="W201" i="99"/>
  <c r="V171" i="99"/>
  <c r="V170" i="99"/>
  <c r="V108" i="99"/>
  <c r="V77" i="99"/>
  <c r="V169" i="99"/>
  <c r="W138" i="99"/>
  <c r="V168" i="99"/>
  <c r="V106" i="99"/>
  <c r="V75" i="99"/>
  <c r="V167" i="99"/>
  <c r="V198" i="99"/>
  <c r="V228" i="99"/>
  <c r="W197" i="99"/>
  <c r="W135" i="99"/>
  <c r="V104" i="99"/>
  <c r="V73" i="99"/>
  <c r="V165" i="99"/>
  <c r="W134" i="99"/>
  <c r="V71" i="99"/>
  <c r="V163" i="99"/>
  <c r="V224" i="99"/>
  <c r="W131" i="99"/>
  <c r="V67" i="99"/>
  <c r="V161" i="99"/>
  <c r="V192" i="99"/>
  <c r="W130" i="99"/>
  <c r="V129" i="99"/>
  <c r="V18" i="99"/>
  <c r="V65" i="99"/>
  <c r="V159" i="99"/>
  <c r="V220" i="99"/>
  <c r="W127" i="99"/>
  <c r="V96" i="99"/>
  <c r="V157" i="99"/>
  <c r="J146" i="99"/>
  <c r="W126" i="99"/>
  <c r="V186" i="99"/>
  <c r="J208" i="99"/>
  <c r="W185" i="99"/>
  <c r="V61" i="99"/>
  <c r="V92" i="99"/>
  <c r="W240" i="99"/>
  <c r="P16" i="99" s="1"/>
  <c r="V217" i="99"/>
  <c r="V219" i="99"/>
  <c r="V221" i="99"/>
  <c r="V223" i="99"/>
  <c r="V225" i="99"/>
  <c r="V227" i="99"/>
  <c r="V229" i="99"/>
  <c r="V216" i="99"/>
  <c r="V185" i="99"/>
  <c r="W187" i="99"/>
  <c r="W191" i="99"/>
  <c r="W195" i="99"/>
  <c r="W199" i="99"/>
  <c r="W203" i="99"/>
  <c r="V154" i="99"/>
  <c r="V156" i="99"/>
  <c r="V158" i="99"/>
  <c r="V160" i="99"/>
  <c r="V162" i="99"/>
  <c r="V164" i="99"/>
  <c r="V166" i="99"/>
  <c r="V123" i="99"/>
  <c r="V124" i="99"/>
  <c r="V128" i="99"/>
  <c r="V132" i="99"/>
  <c r="V136" i="99"/>
  <c r="V140" i="99"/>
  <c r="W141" i="99"/>
  <c r="W139" i="99"/>
  <c r="W143" i="99"/>
  <c r="W123" i="99"/>
  <c r="W115" i="99"/>
  <c r="P8" i="99" s="1"/>
  <c r="V93" i="99"/>
  <c r="V95" i="99"/>
  <c r="V97" i="99"/>
  <c r="V99" i="99"/>
  <c r="V101" i="99"/>
  <c r="V103" i="99"/>
  <c r="V105" i="99"/>
  <c r="V107" i="99"/>
  <c r="V109" i="99"/>
  <c r="V111" i="99"/>
  <c r="V62" i="99"/>
  <c r="V64" i="99"/>
  <c r="V66" i="99"/>
  <c r="V68" i="99"/>
  <c r="V70" i="99"/>
  <c r="V72" i="99"/>
  <c r="V74" i="99"/>
  <c r="V76" i="99"/>
  <c r="V78" i="99"/>
  <c r="V80" i="99"/>
  <c r="W82" i="99"/>
  <c r="W84" i="99" s="1"/>
  <c r="P6" i="99" s="1"/>
  <c r="V15" i="99"/>
  <c r="W15" i="99"/>
  <c r="W7" i="99"/>
  <c r="V10" i="99"/>
  <c r="N18" i="99"/>
  <c r="V13" i="99"/>
  <c r="V9" i="99"/>
  <c r="W9" i="99"/>
  <c r="V27" i="99"/>
  <c r="W27" i="99"/>
  <c r="V35" i="99"/>
  <c r="W35" i="99"/>
  <c r="V43" i="99"/>
  <c r="W43" i="99"/>
  <c r="V12" i="99"/>
  <c r="W12" i="99"/>
  <c r="V20" i="99"/>
  <c r="W20" i="99"/>
  <c r="V17" i="99"/>
  <c r="W17" i="99"/>
  <c r="V23" i="99"/>
  <c r="W23" i="99"/>
  <c r="V31" i="99"/>
  <c r="W31" i="99"/>
  <c r="V39" i="99"/>
  <c r="W39" i="99"/>
  <c r="V47" i="99"/>
  <c r="W47" i="99"/>
  <c r="W177" i="99"/>
  <c r="P12" i="99" s="1"/>
  <c r="J52" i="99"/>
  <c r="J84" i="99"/>
  <c r="W6" i="99"/>
  <c r="W14" i="99"/>
  <c r="J177" i="99"/>
  <c r="J240" i="99"/>
  <c r="W8" i="99"/>
  <c r="W11" i="99"/>
  <c r="W16" i="99"/>
  <c r="W19" i="99"/>
  <c r="W22" i="99"/>
  <c r="W26" i="99"/>
  <c r="W30" i="99"/>
  <c r="W34" i="99"/>
  <c r="W38" i="99"/>
  <c r="W42" i="99"/>
  <c r="W46" i="99"/>
  <c r="J115" i="99"/>
  <c r="J239" i="98"/>
  <c r="W239" i="98" s="1"/>
  <c r="J238" i="98"/>
  <c r="W238" i="98" s="1"/>
  <c r="J237" i="98"/>
  <c r="W237" i="98" s="1"/>
  <c r="J236" i="98"/>
  <c r="W236" i="98" s="1"/>
  <c r="J235" i="98"/>
  <c r="W235" i="98" s="1"/>
  <c r="J234" i="98"/>
  <c r="W234" i="98" s="1"/>
  <c r="J233" i="98"/>
  <c r="W233" i="98" s="1"/>
  <c r="J232" i="98"/>
  <c r="W232" i="98" s="1"/>
  <c r="J231" i="98"/>
  <c r="W231" i="98" s="1"/>
  <c r="J230" i="98"/>
  <c r="W230" i="98" s="1"/>
  <c r="J229" i="98"/>
  <c r="W229" i="98" s="1"/>
  <c r="J228" i="98"/>
  <c r="W228" i="98" s="1"/>
  <c r="J227" i="98"/>
  <c r="W227" i="98" s="1"/>
  <c r="J226" i="98"/>
  <c r="W226" i="98" s="1"/>
  <c r="J225" i="98"/>
  <c r="W225" i="98" s="1"/>
  <c r="J224" i="98"/>
  <c r="W224" i="98" s="1"/>
  <c r="J223" i="98"/>
  <c r="W223" i="98" s="1"/>
  <c r="J222" i="98"/>
  <c r="W222" i="98" s="1"/>
  <c r="J221" i="98"/>
  <c r="W221" i="98" s="1"/>
  <c r="J220" i="98"/>
  <c r="W220" i="98" s="1"/>
  <c r="J219" i="98"/>
  <c r="W219" i="98" s="1"/>
  <c r="J218" i="98"/>
  <c r="W218" i="98" s="1"/>
  <c r="J217" i="98"/>
  <c r="W217" i="98" s="1"/>
  <c r="B217" i="98"/>
  <c r="B218" i="98" s="1"/>
  <c r="B219" i="98" s="1"/>
  <c r="B220" i="98" s="1"/>
  <c r="B221" i="98" s="1"/>
  <c r="B222" i="98" s="1"/>
  <c r="B223" i="98" s="1"/>
  <c r="B224" i="98" s="1"/>
  <c r="B225" i="98" s="1"/>
  <c r="B226" i="98" s="1"/>
  <c r="B227" i="98" s="1"/>
  <c r="B228" i="98" s="1"/>
  <c r="B229" i="98" s="1"/>
  <c r="B230" i="98" s="1"/>
  <c r="B231" i="98" s="1"/>
  <c r="B232" i="98" s="1"/>
  <c r="B233" i="98" s="1"/>
  <c r="B234" i="98" s="1"/>
  <c r="B235" i="98" s="1"/>
  <c r="B236" i="98" s="1"/>
  <c r="B237" i="98" s="1"/>
  <c r="B238" i="98" s="1"/>
  <c r="B239" i="98" s="1"/>
  <c r="J216" i="98"/>
  <c r="W216" i="98" s="1"/>
  <c r="J207" i="98"/>
  <c r="V207" i="98" s="1"/>
  <c r="J206" i="98"/>
  <c r="V206" i="98" s="1"/>
  <c r="J205" i="98"/>
  <c r="V205" i="98" s="1"/>
  <c r="J204" i="98"/>
  <c r="V204" i="98" s="1"/>
  <c r="J203" i="98"/>
  <c r="V203" i="98" s="1"/>
  <c r="J202" i="98"/>
  <c r="V202" i="98" s="1"/>
  <c r="J201" i="98"/>
  <c r="V201" i="98" s="1"/>
  <c r="J200" i="98"/>
  <c r="V200" i="98" s="1"/>
  <c r="J199" i="98"/>
  <c r="V199" i="98" s="1"/>
  <c r="J198" i="98"/>
  <c r="V198" i="98" s="1"/>
  <c r="J197" i="98"/>
  <c r="V197" i="98" s="1"/>
  <c r="J196" i="98"/>
  <c r="V196" i="98" s="1"/>
  <c r="J195" i="98"/>
  <c r="V195" i="98" s="1"/>
  <c r="J194" i="98"/>
  <c r="V194" i="98" s="1"/>
  <c r="J193" i="98"/>
  <c r="V193" i="98" s="1"/>
  <c r="J192" i="98"/>
  <c r="V192" i="98" s="1"/>
  <c r="J191" i="98"/>
  <c r="V191" i="98" s="1"/>
  <c r="J190" i="98"/>
  <c r="V190" i="98" s="1"/>
  <c r="J189" i="98"/>
  <c r="V189" i="98" s="1"/>
  <c r="J188" i="98"/>
  <c r="V188" i="98" s="1"/>
  <c r="J187" i="98"/>
  <c r="V187" i="98" s="1"/>
  <c r="J186" i="98"/>
  <c r="V186" i="98" s="1"/>
  <c r="B186" i="98"/>
  <c r="B187" i="98" s="1"/>
  <c r="B188" i="98" s="1"/>
  <c r="B189" i="98" s="1"/>
  <c r="B190" i="98" s="1"/>
  <c r="B191" i="98" s="1"/>
  <c r="B192" i="98" s="1"/>
  <c r="B193" i="98" s="1"/>
  <c r="B194" i="98" s="1"/>
  <c r="B195" i="98" s="1"/>
  <c r="B196" i="98" s="1"/>
  <c r="B197" i="98" s="1"/>
  <c r="B198" i="98" s="1"/>
  <c r="B199" i="98" s="1"/>
  <c r="B200" i="98" s="1"/>
  <c r="B201" i="98" s="1"/>
  <c r="B202" i="98" s="1"/>
  <c r="B203" i="98" s="1"/>
  <c r="B204" i="98" s="1"/>
  <c r="B205" i="98" s="1"/>
  <c r="B206" i="98" s="1"/>
  <c r="B207" i="98" s="1"/>
  <c r="J185" i="98"/>
  <c r="V185" i="98" s="1"/>
  <c r="J176" i="98"/>
  <c r="W176" i="98" s="1"/>
  <c r="J175" i="98"/>
  <c r="W175" i="98" s="1"/>
  <c r="J174" i="98"/>
  <c r="W174" i="98" s="1"/>
  <c r="J173" i="98"/>
  <c r="W173" i="98" s="1"/>
  <c r="J172" i="98"/>
  <c r="W172" i="98" s="1"/>
  <c r="J171" i="98"/>
  <c r="W171" i="98" s="1"/>
  <c r="J170" i="98"/>
  <c r="W170" i="98" s="1"/>
  <c r="J169" i="98"/>
  <c r="W169" i="98" s="1"/>
  <c r="J168" i="98"/>
  <c r="W168" i="98" s="1"/>
  <c r="J167" i="98"/>
  <c r="W167" i="98" s="1"/>
  <c r="J166" i="98"/>
  <c r="W166" i="98" s="1"/>
  <c r="J165" i="98"/>
  <c r="W165" i="98" s="1"/>
  <c r="J164" i="98"/>
  <c r="W164" i="98" s="1"/>
  <c r="J163" i="98"/>
  <c r="W163" i="98" s="1"/>
  <c r="J162" i="98"/>
  <c r="W162" i="98" s="1"/>
  <c r="J161" i="98"/>
  <c r="W161" i="98" s="1"/>
  <c r="J160" i="98"/>
  <c r="W160" i="98" s="1"/>
  <c r="J159" i="98"/>
  <c r="W159" i="98" s="1"/>
  <c r="J158" i="98"/>
  <c r="W158" i="98" s="1"/>
  <c r="J157" i="98"/>
  <c r="W157" i="98" s="1"/>
  <c r="J156" i="98"/>
  <c r="W156" i="98" s="1"/>
  <c r="J155" i="98"/>
  <c r="W155" i="98" s="1"/>
  <c r="B155" i="98"/>
  <c r="B156" i="98" s="1"/>
  <c r="B157" i="98" s="1"/>
  <c r="B158" i="98" s="1"/>
  <c r="B159" i="98" s="1"/>
  <c r="B160" i="98" s="1"/>
  <c r="B161" i="98" s="1"/>
  <c r="B162" i="98" s="1"/>
  <c r="B163" i="98" s="1"/>
  <c r="B164" i="98" s="1"/>
  <c r="B165" i="98" s="1"/>
  <c r="B166" i="98" s="1"/>
  <c r="B167" i="98" s="1"/>
  <c r="B168" i="98" s="1"/>
  <c r="B169" i="98" s="1"/>
  <c r="B170" i="98" s="1"/>
  <c r="B171" i="98" s="1"/>
  <c r="B172" i="98" s="1"/>
  <c r="B173" i="98" s="1"/>
  <c r="B174" i="98" s="1"/>
  <c r="B175" i="98" s="1"/>
  <c r="B176" i="98" s="1"/>
  <c r="J154" i="98"/>
  <c r="W154" i="98" s="1"/>
  <c r="J145" i="98"/>
  <c r="V145" i="98" s="1"/>
  <c r="J144" i="98"/>
  <c r="V144" i="98" s="1"/>
  <c r="J143" i="98"/>
  <c r="V143" i="98" s="1"/>
  <c r="J142" i="98"/>
  <c r="V142" i="98" s="1"/>
  <c r="J141" i="98"/>
  <c r="V141" i="98" s="1"/>
  <c r="J140" i="98"/>
  <c r="V140" i="98" s="1"/>
  <c r="J139" i="98"/>
  <c r="V139" i="98" s="1"/>
  <c r="J138" i="98"/>
  <c r="V138" i="98" s="1"/>
  <c r="J137" i="98"/>
  <c r="V137" i="98" s="1"/>
  <c r="J136" i="98"/>
  <c r="V136" i="98" s="1"/>
  <c r="J135" i="98"/>
  <c r="V135" i="98" s="1"/>
  <c r="J134" i="98"/>
  <c r="V134" i="98" s="1"/>
  <c r="J133" i="98"/>
  <c r="V133" i="98" s="1"/>
  <c r="J132" i="98"/>
  <c r="V132" i="98" s="1"/>
  <c r="J131" i="98"/>
  <c r="V131" i="98" s="1"/>
  <c r="J130" i="98"/>
  <c r="V130" i="98" s="1"/>
  <c r="J129" i="98"/>
  <c r="V129" i="98" s="1"/>
  <c r="J128" i="98"/>
  <c r="V128" i="98" s="1"/>
  <c r="J127" i="98"/>
  <c r="V127" i="98" s="1"/>
  <c r="J126" i="98"/>
  <c r="V126" i="98" s="1"/>
  <c r="J125" i="98"/>
  <c r="V125" i="98" s="1"/>
  <c r="J124" i="98"/>
  <c r="V124" i="98" s="1"/>
  <c r="B124" i="98"/>
  <c r="B125" i="98" s="1"/>
  <c r="B126" i="98" s="1"/>
  <c r="B127" i="98" s="1"/>
  <c r="B128" i="98" s="1"/>
  <c r="B129" i="98" s="1"/>
  <c r="B130" i="98" s="1"/>
  <c r="B131" i="98" s="1"/>
  <c r="B132" i="98" s="1"/>
  <c r="B133" i="98" s="1"/>
  <c r="B134" i="98" s="1"/>
  <c r="B135" i="98" s="1"/>
  <c r="B136" i="98" s="1"/>
  <c r="B137" i="98" s="1"/>
  <c r="B138" i="98" s="1"/>
  <c r="B139" i="98" s="1"/>
  <c r="B140" i="98" s="1"/>
  <c r="B141" i="98" s="1"/>
  <c r="B142" i="98" s="1"/>
  <c r="B143" i="98" s="1"/>
  <c r="B144" i="98" s="1"/>
  <c r="B145" i="98" s="1"/>
  <c r="J123" i="98"/>
  <c r="V123" i="98" s="1"/>
  <c r="J114" i="98"/>
  <c r="W114" i="98" s="1"/>
  <c r="J113" i="98"/>
  <c r="W113" i="98" s="1"/>
  <c r="J112" i="98"/>
  <c r="W112" i="98" s="1"/>
  <c r="J111" i="98"/>
  <c r="W111" i="98" s="1"/>
  <c r="J110" i="98"/>
  <c r="W110" i="98" s="1"/>
  <c r="J109" i="98"/>
  <c r="W109" i="98" s="1"/>
  <c r="J108" i="98"/>
  <c r="W108" i="98" s="1"/>
  <c r="J107" i="98"/>
  <c r="W107" i="98" s="1"/>
  <c r="J106" i="98"/>
  <c r="W106" i="98" s="1"/>
  <c r="J105" i="98"/>
  <c r="W105" i="98" s="1"/>
  <c r="J104" i="98"/>
  <c r="W104" i="98" s="1"/>
  <c r="J103" i="98"/>
  <c r="W103" i="98" s="1"/>
  <c r="J102" i="98"/>
  <c r="W102" i="98" s="1"/>
  <c r="J101" i="98"/>
  <c r="W101" i="98" s="1"/>
  <c r="J100" i="98"/>
  <c r="W100" i="98" s="1"/>
  <c r="J99" i="98"/>
  <c r="W99" i="98" s="1"/>
  <c r="J98" i="98"/>
  <c r="W98" i="98" s="1"/>
  <c r="J97" i="98"/>
  <c r="W97" i="98" s="1"/>
  <c r="J96" i="98"/>
  <c r="W96" i="98" s="1"/>
  <c r="J95" i="98"/>
  <c r="W95" i="98" s="1"/>
  <c r="J94" i="98"/>
  <c r="W94" i="98" s="1"/>
  <c r="J93" i="98"/>
  <c r="W93" i="98" s="1"/>
  <c r="B93" i="98"/>
  <c r="B94" i="98" s="1"/>
  <c r="B95" i="98" s="1"/>
  <c r="B96" i="98" s="1"/>
  <c r="B97" i="98" s="1"/>
  <c r="B98" i="98" s="1"/>
  <c r="B99" i="98" s="1"/>
  <c r="B100" i="98" s="1"/>
  <c r="B101" i="98" s="1"/>
  <c r="B102" i="98" s="1"/>
  <c r="B103" i="98" s="1"/>
  <c r="B104" i="98" s="1"/>
  <c r="B105" i="98" s="1"/>
  <c r="B106" i="98" s="1"/>
  <c r="B107" i="98" s="1"/>
  <c r="B108" i="98" s="1"/>
  <c r="B109" i="98" s="1"/>
  <c r="B110" i="98" s="1"/>
  <c r="B111" i="98" s="1"/>
  <c r="B112" i="98" s="1"/>
  <c r="B113" i="98" s="1"/>
  <c r="B114" i="98" s="1"/>
  <c r="J92" i="98"/>
  <c r="W92" i="98" s="1"/>
  <c r="J83" i="98"/>
  <c r="V83" i="98" s="1"/>
  <c r="J82" i="98"/>
  <c r="V82" i="98" s="1"/>
  <c r="J81" i="98"/>
  <c r="J80" i="98"/>
  <c r="W80" i="98" s="1"/>
  <c r="J79" i="98"/>
  <c r="W79" i="98" s="1"/>
  <c r="J78" i="98"/>
  <c r="W78" i="98" s="1"/>
  <c r="J77" i="98"/>
  <c r="W77" i="98" s="1"/>
  <c r="J76" i="98"/>
  <c r="W76" i="98" s="1"/>
  <c r="J75" i="98"/>
  <c r="W75" i="98" s="1"/>
  <c r="J74" i="98"/>
  <c r="W74" i="98" s="1"/>
  <c r="J73" i="98"/>
  <c r="W73" i="98" s="1"/>
  <c r="J72" i="98"/>
  <c r="W72" i="98" s="1"/>
  <c r="J71" i="98"/>
  <c r="W71" i="98" s="1"/>
  <c r="J70" i="98"/>
  <c r="W70" i="98" s="1"/>
  <c r="J69" i="98"/>
  <c r="W69" i="98" s="1"/>
  <c r="J68" i="98"/>
  <c r="W68" i="98" s="1"/>
  <c r="J67" i="98"/>
  <c r="W67" i="98" s="1"/>
  <c r="J66" i="98"/>
  <c r="W66" i="98" s="1"/>
  <c r="J65" i="98"/>
  <c r="W65" i="98" s="1"/>
  <c r="J64" i="98"/>
  <c r="W64" i="98" s="1"/>
  <c r="J63" i="98"/>
  <c r="W63" i="98" s="1"/>
  <c r="J62" i="98"/>
  <c r="W62" i="98" s="1"/>
  <c r="J61" i="98"/>
  <c r="W61" i="98" s="1"/>
  <c r="B61" i="98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J60" i="98"/>
  <c r="W60" i="98" s="1"/>
  <c r="W51" i="98"/>
  <c r="V51" i="98"/>
  <c r="W50" i="98"/>
  <c r="V50" i="98"/>
  <c r="W49" i="98"/>
  <c r="V49" i="98"/>
  <c r="W48" i="98"/>
  <c r="V48" i="98"/>
  <c r="V47" i="98"/>
  <c r="V44" i="98"/>
  <c r="V43" i="98"/>
  <c r="W43" i="98"/>
  <c r="W42" i="98"/>
  <c r="V42" i="98"/>
  <c r="V40" i="98"/>
  <c r="V39" i="98"/>
  <c r="W39" i="98"/>
  <c r="W38" i="98"/>
  <c r="V38" i="98"/>
  <c r="V36" i="98"/>
  <c r="V35" i="98"/>
  <c r="W35" i="98"/>
  <c r="W34" i="98"/>
  <c r="V34" i="98"/>
  <c r="V32" i="98"/>
  <c r="V31" i="98"/>
  <c r="W31" i="98"/>
  <c r="W30" i="98"/>
  <c r="V30" i="98"/>
  <c r="W29" i="98"/>
  <c r="V29" i="98"/>
  <c r="V27" i="98"/>
  <c r="V26" i="98"/>
  <c r="W26" i="98"/>
  <c r="W25" i="98"/>
  <c r="V25" i="98"/>
  <c r="V23" i="98"/>
  <c r="V22" i="98"/>
  <c r="W22" i="98"/>
  <c r="W21" i="98"/>
  <c r="V21" i="98"/>
  <c r="W20" i="98"/>
  <c r="V19" i="98"/>
  <c r="W19" i="98"/>
  <c r="V17" i="98"/>
  <c r="V16" i="98"/>
  <c r="N16" i="98"/>
  <c r="W16" i="98"/>
  <c r="N14" i="98"/>
  <c r="V14" i="98"/>
  <c r="V13" i="98"/>
  <c r="N12" i="98"/>
  <c r="W12" i="98"/>
  <c r="N10" i="98"/>
  <c r="V9" i="98"/>
  <c r="N8" i="98"/>
  <c r="I7" i="98"/>
  <c r="J7" i="98" s="1"/>
  <c r="B7" i="98"/>
  <c r="B8" i="98" s="1"/>
  <c r="B9" i="98" s="1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23" i="98" s="1"/>
  <c r="B24" i="98" s="1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45" i="98" s="1"/>
  <c r="B46" i="98" s="1"/>
  <c r="B47" i="98" s="1"/>
  <c r="B48" i="98" s="1"/>
  <c r="B49" i="98" s="1"/>
  <c r="B50" i="98" s="1"/>
  <c r="B51" i="98" s="1"/>
  <c r="N6" i="98"/>
  <c r="I6" i="98"/>
  <c r="J6" i="98" s="1"/>
  <c r="V6" i="98" s="1"/>
  <c r="N4" i="98"/>
  <c r="I47" i="97"/>
  <c r="J47" i="97" s="1"/>
  <c r="V47" i="97" s="1"/>
  <c r="I46" i="97"/>
  <c r="J46" i="97" s="1"/>
  <c r="W46" i="97" s="1"/>
  <c r="I45" i="97"/>
  <c r="J45" i="97" s="1"/>
  <c r="V45" i="97" s="1"/>
  <c r="I44" i="97"/>
  <c r="J44" i="97" s="1"/>
  <c r="V44" i="97" s="1"/>
  <c r="I43" i="97"/>
  <c r="J43" i="97" s="1"/>
  <c r="V43" i="97" s="1"/>
  <c r="I42" i="97"/>
  <c r="J42" i="97" s="1"/>
  <c r="I41" i="97"/>
  <c r="J41" i="97" s="1"/>
  <c r="V41" i="97" s="1"/>
  <c r="I40" i="97"/>
  <c r="J40" i="97" s="1"/>
  <c r="I39" i="97"/>
  <c r="J39" i="97" s="1"/>
  <c r="V39" i="97" s="1"/>
  <c r="I38" i="97"/>
  <c r="J38" i="97" s="1"/>
  <c r="I37" i="97"/>
  <c r="J37" i="97" s="1"/>
  <c r="I36" i="97"/>
  <c r="J36" i="97" s="1"/>
  <c r="I35" i="97"/>
  <c r="J35" i="97" s="1"/>
  <c r="V35" i="97" s="1"/>
  <c r="I34" i="97"/>
  <c r="J34" i="97" s="1"/>
  <c r="I33" i="97"/>
  <c r="J33" i="97" s="1"/>
  <c r="I32" i="97"/>
  <c r="J32" i="97" s="1"/>
  <c r="I31" i="97"/>
  <c r="J31" i="97" s="1"/>
  <c r="V31" i="97" s="1"/>
  <c r="I30" i="97"/>
  <c r="J30" i="97" s="1"/>
  <c r="J29" i="97"/>
  <c r="W29" i="97" s="1"/>
  <c r="I28" i="97"/>
  <c r="J28" i="97" s="1"/>
  <c r="J27" i="97"/>
  <c r="I27" i="97"/>
  <c r="I26" i="97"/>
  <c r="J26" i="97" s="1"/>
  <c r="J25" i="97"/>
  <c r="W25" i="97" s="1"/>
  <c r="I25" i="97"/>
  <c r="I24" i="97"/>
  <c r="J24" i="97" s="1"/>
  <c r="I23" i="97"/>
  <c r="J23" i="97" s="1"/>
  <c r="I22" i="97"/>
  <c r="J22" i="97" s="1"/>
  <c r="J21" i="97"/>
  <c r="W21" i="97" s="1"/>
  <c r="I21" i="97"/>
  <c r="I20" i="97"/>
  <c r="J20" i="97" s="1"/>
  <c r="J19" i="97"/>
  <c r="I19" i="97"/>
  <c r="I18" i="97"/>
  <c r="J18" i="97" s="1"/>
  <c r="J17" i="97"/>
  <c r="V17" i="97" s="1"/>
  <c r="I17" i="97"/>
  <c r="I16" i="97"/>
  <c r="J16" i="97" s="1"/>
  <c r="V16" i="97" s="1"/>
  <c r="I15" i="97"/>
  <c r="J15" i="97" s="1"/>
  <c r="I14" i="97"/>
  <c r="J14" i="97" s="1"/>
  <c r="J13" i="97"/>
  <c r="V13" i="97" s="1"/>
  <c r="I13" i="97"/>
  <c r="I12" i="97"/>
  <c r="J12" i="97" s="1"/>
  <c r="V12" i="97" s="1"/>
  <c r="J11" i="97"/>
  <c r="I11" i="97"/>
  <c r="I10" i="97"/>
  <c r="J10" i="97" s="1"/>
  <c r="I8" i="97"/>
  <c r="J8" i="97" s="1"/>
  <c r="W8" i="97" s="1"/>
  <c r="I9" i="97"/>
  <c r="J9" i="97" s="1"/>
  <c r="V9" i="97" s="1"/>
  <c r="J239" i="97"/>
  <c r="W239" i="97" s="1"/>
  <c r="J238" i="97"/>
  <c r="W238" i="97" s="1"/>
  <c r="J237" i="97"/>
  <c r="W237" i="97" s="1"/>
  <c r="J236" i="97"/>
  <c r="W236" i="97" s="1"/>
  <c r="J235" i="97"/>
  <c r="W235" i="97" s="1"/>
  <c r="J234" i="97"/>
  <c r="W234" i="97" s="1"/>
  <c r="J233" i="97"/>
  <c r="W233" i="97" s="1"/>
  <c r="J232" i="97"/>
  <c r="W232" i="97" s="1"/>
  <c r="J231" i="97"/>
  <c r="W231" i="97" s="1"/>
  <c r="J230" i="97"/>
  <c r="W230" i="97" s="1"/>
  <c r="J229" i="97"/>
  <c r="W229" i="97" s="1"/>
  <c r="J228" i="97"/>
  <c r="W228" i="97" s="1"/>
  <c r="J227" i="97"/>
  <c r="W227" i="97" s="1"/>
  <c r="J226" i="97"/>
  <c r="W226" i="97" s="1"/>
  <c r="J225" i="97"/>
  <c r="W225" i="97" s="1"/>
  <c r="J224" i="97"/>
  <c r="W224" i="97" s="1"/>
  <c r="J223" i="97"/>
  <c r="W223" i="97" s="1"/>
  <c r="J222" i="97"/>
  <c r="W222" i="97" s="1"/>
  <c r="J221" i="97"/>
  <c r="W221" i="97" s="1"/>
  <c r="J220" i="97"/>
  <c r="W220" i="97" s="1"/>
  <c r="J219" i="97"/>
  <c r="W219" i="97" s="1"/>
  <c r="J218" i="97"/>
  <c r="W218" i="97" s="1"/>
  <c r="J217" i="97"/>
  <c r="W217" i="97" s="1"/>
  <c r="B217" i="97"/>
  <c r="B218" i="97" s="1"/>
  <c r="B219" i="97" s="1"/>
  <c r="B220" i="97" s="1"/>
  <c r="B221" i="97" s="1"/>
  <c r="B222" i="97" s="1"/>
  <c r="B223" i="97" s="1"/>
  <c r="B224" i="97" s="1"/>
  <c r="B225" i="97" s="1"/>
  <c r="B226" i="97" s="1"/>
  <c r="B227" i="97" s="1"/>
  <c r="B228" i="97" s="1"/>
  <c r="B229" i="97" s="1"/>
  <c r="B230" i="97" s="1"/>
  <c r="B231" i="97" s="1"/>
  <c r="B232" i="97" s="1"/>
  <c r="B233" i="97" s="1"/>
  <c r="B234" i="97" s="1"/>
  <c r="B235" i="97" s="1"/>
  <c r="B236" i="97" s="1"/>
  <c r="B237" i="97" s="1"/>
  <c r="B238" i="97" s="1"/>
  <c r="B239" i="97" s="1"/>
  <c r="J216" i="97"/>
  <c r="W216" i="97" s="1"/>
  <c r="J207" i="97"/>
  <c r="V207" i="97" s="1"/>
  <c r="J206" i="97"/>
  <c r="V206" i="97" s="1"/>
  <c r="J205" i="97"/>
  <c r="V205" i="97" s="1"/>
  <c r="J204" i="97"/>
  <c r="V204" i="97" s="1"/>
  <c r="J203" i="97"/>
  <c r="V203" i="97" s="1"/>
  <c r="J202" i="97"/>
  <c r="V202" i="97" s="1"/>
  <c r="J201" i="97"/>
  <c r="V201" i="97" s="1"/>
  <c r="J200" i="97"/>
  <c r="V200" i="97" s="1"/>
  <c r="J199" i="97"/>
  <c r="V199" i="97" s="1"/>
  <c r="J198" i="97"/>
  <c r="V198" i="97" s="1"/>
  <c r="J197" i="97"/>
  <c r="V197" i="97" s="1"/>
  <c r="J196" i="97"/>
  <c r="V196" i="97" s="1"/>
  <c r="J195" i="97"/>
  <c r="V195" i="97" s="1"/>
  <c r="J194" i="97"/>
  <c r="V194" i="97" s="1"/>
  <c r="W193" i="97"/>
  <c r="J193" i="97"/>
  <c r="V193" i="97" s="1"/>
  <c r="J192" i="97"/>
  <c r="V192" i="97" s="1"/>
  <c r="J191" i="97"/>
  <c r="V191" i="97" s="1"/>
  <c r="J190" i="97"/>
  <c r="V190" i="97" s="1"/>
  <c r="J189" i="97"/>
  <c r="V189" i="97" s="1"/>
  <c r="J188" i="97"/>
  <c r="V188" i="97" s="1"/>
  <c r="J187" i="97"/>
  <c r="V187" i="97" s="1"/>
  <c r="J186" i="97"/>
  <c r="V186" i="97" s="1"/>
  <c r="B186" i="97"/>
  <c r="B187" i="97" s="1"/>
  <c r="B188" i="97" s="1"/>
  <c r="B189" i="97" s="1"/>
  <c r="B190" i="97" s="1"/>
  <c r="B191" i="97" s="1"/>
  <c r="B192" i="97" s="1"/>
  <c r="B193" i="97" s="1"/>
  <c r="B194" i="97" s="1"/>
  <c r="B195" i="97" s="1"/>
  <c r="B196" i="97" s="1"/>
  <c r="B197" i="97" s="1"/>
  <c r="B198" i="97" s="1"/>
  <c r="B199" i="97" s="1"/>
  <c r="B200" i="97" s="1"/>
  <c r="B201" i="97" s="1"/>
  <c r="B202" i="97" s="1"/>
  <c r="B203" i="97" s="1"/>
  <c r="B204" i="97" s="1"/>
  <c r="B205" i="97" s="1"/>
  <c r="B206" i="97" s="1"/>
  <c r="B207" i="97" s="1"/>
  <c r="J185" i="97"/>
  <c r="V185" i="97" s="1"/>
  <c r="J176" i="97"/>
  <c r="W176" i="97" s="1"/>
  <c r="J175" i="97"/>
  <c r="W175" i="97" s="1"/>
  <c r="J174" i="97"/>
  <c r="W174" i="97" s="1"/>
  <c r="J173" i="97"/>
  <c r="W173" i="97" s="1"/>
  <c r="J172" i="97"/>
  <c r="W172" i="97" s="1"/>
  <c r="J171" i="97"/>
  <c r="W171" i="97" s="1"/>
  <c r="J170" i="97"/>
  <c r="W170" i="97" s="1"/>
  <c r="J169" i="97"/>
  <c r="W169" i="97" s="1"/>
  <c r="J168" i="97"/>
  <c r="W168" i="97" s="1"/>
  <c r="J167" i="97"/>
  <c r="W167" i="97" s="1"/>
  <c r="J166" i="97"/>
  <c r="W166" i="97" s="1"/>
  <c r="J165" i="97"/>
  <c r="W165" i="97" s="1"/>
  <c r="J164" i="97"/>
  <c r="W164" i="97" s="1"/>
  <c r="J163" i="97"/>
  <c r="W163" i="97" s="1"/>
  <c r="J162" i="97"/>
  <c r="W162" i="97" s="1"/>
  <c r="J161" i="97"/>
  <c r="W161" i="97" s="1"/>
  <c r="J160" i="97"/>
  <c r="W160" i="97" s="1"/>
  <c r="J159" i="97"/>
  <c r="W159" i="97" s="1"/>
  <c r="J158" i="97"/>
  <c r="W158" i="97" s="1"/>
  <c r="J157" i="97"/>
  <c r="W157" i="97" s="1"/>
  <c r="J156" i="97"/>
  <c r="W156" i="97" s="1"/>
  <c r="J155" i="97"/>
  <c r="W155" i="97" s="1"/>
  <c r="B155" i="97"/>
  <c r="B156" i="97" s="1"/>
  <c r="B157" i="97" s="1"/>
  <c r="B158" i="97" s="1"/>
  <c r="B159" i="97" s="1"/>
  <c r="B160" i="97" s="1"/>
  <c r="B161" i="97" s="1"/>
  <c r="B162" i="97" s="1"/>
  <c r="B163" i="97" s="1"/>
  <c r="B164" i="97" s="1"/>
  <c r="B165" i="97" s="1"/>
  <c r="B166" i="97" s="1"/>
  <c r="B167" i="97" s="1"/>
  <c r="B168" i="97" s="1"/>
  <c r="B169" i="97" s="1"/>
  <c r="B170" i="97" s="1"/>
  <c r="B171" i="97" s="1"/>
  <c r="B172" i="97" s="1"/>
  <c r="B173" i="97" s="1"/>
  <c r="B174" i="97" s="1"/>
  <c r="B175" i="97" s="1"/>
  <c r="B176" i="97" s="1"/>
  <c r="J154" i="97"/>
  <c r="W154" i="97" s="1"/>
  <c r="J145" i="97"/>
  <c r="V145" i="97" s="1"/>
  <c r="J144" i="97"/>
  <c r="V144" i="97" s="1"/>
  <c r="J143" i="97"/>
  <c r="V143" i="97" s="1"/>
  <c r="W142" i="97"/>
  <c r="J142" i="97"/>
  <c r="V142" i="97" s="1"/>
  <c r="J141" i="97"/>
  <c r="V141" i="97" s="1"/>
  <c r="J140" i="97"/>
  <c r="V140" i="97" s="1"/>
  <c r="J139" i="97"/>
  <c r="V139" i="97" s="1"/>
  <c r="J138" i="97"/>
  <c r="V138" i="97" s="1"/>
  <c r="J137" i="97"/>
  <c r="V137" i="97" s="1"/>
  <c r="J136" i="97"/>
  <c r="V136" i="97" s="1"/>
  <c r="J135" i="97"/>
  <c r="V135" i="97" s="1"/>
  <c r="J134" i="97"/>
  <c r="V134" i="97" s="1"/>
  <c r="J133" i="97"/>
  <c r="V133" i="97" s="1"/>
  <c r="J132" i="97"/>
  <c r="V132" i="97" s="1"/>
  <c r="J131" i="97"/>
  <c r="V131" i="97" s="1"/>
  <c r="J130" i="97"/>
  <c r="V130" i="97" s="1"/>
  <c r="J129" i="97"/>
  <c r="V129" i="97" s="1"/>
  <c r="J128" i="97"/>
  <c r="V128" i="97" s="1"/>
  <c r="J127" i="97"/>
  <c r="V127" i="97" s="1"/>
  <c r="J126" i="97"/>
  <c r="V126" i="97" s="1"/>
  <c r="J125" i="97"/>
  <c r="V125" i="97" s="1"/>
  <c r="J124" i="97"/>
  <c r="V124" i="97" s="1"/>
  <c r="B124" i="97"/>
  <c r="B125" i="97" s="1"/>
  <c r="B126" i="97" s="1"/>
  <c r="B127" i="97" s="1"/>
  <c r="B128" i="97" s="1"/>
  <c r="B129" i="97" s="1"/>
  <c r="B130" i="97" s="1"/>
  <c r="B131" i="97" s="1"/>
  <c r="B132" i="97" s="1"/>
  <c r="B133" i="97" s="1"/>
  <c r="B134" i="97" s="1"/>
  <c r="B135" i="97" s="1"/>
  <c r="B136" i="97" s="1"/>
  <c r="B137" i="97" s="1"/>
  <c r="B138" i="97" s="1"/>
  <c r="B139" i="97" s="1"/>
  <c r="B140" i="97" s="1"/>
  <c r="B141" i="97" s="1"/>
  <c r="B142" i="97" s="1"/>
  <c r="B143" i="97" s="1"/>
  <c r="B144" i="97" s="1"/>
  <c r="B145" i="97" s="1"/>
  <c r="J123" i="97"/>
  <c r="V123" i="97" s="1"/>
  <c r="J114" i="97"/>
  <c r="W114" i="97" s="1"/>
  <c r="J113" i="97"/>
  <c r="W113" i="97" s="1"/>
  <c r="J112" i="97"/>
  <c r="W112" i="97" s="1"/>
  <c r="J111" i="97"/>
  <c r="W111" i="97" s="1"/>
  <c r="J110" i="97"/>
  <c r="W110" i="97" s="1"/>
  <c r="J109" i="97"/>
  <c r="W109" i="97" s="1"/>
  <c r="J108" i="97"/>
  <c r="W108" i="97" s="1"/>
  <c r="J107" i="97"/>
  <c r="W107" i="97" s="1"/>
  <c r="J106" i="97"/>
  <c r="W106" i="97" s="1"/>
  <c r="J105" i="97"/>
  <c r="W105" i="97" s="1"/>
  <c r="J104" i="97"/>
  <c r="W104" i="97" s="1"/>
  <c r="J103" i="97"/>
  <c r="W103" i="97" s="1"/>
  <c r="J102" i="97"/>
  <c r="W102" i="97" s="1"/>
  <c r="J101" i="97"/>
  <c r="W101" i="97" s="1"/>
  <c r="J100" i="97"/>
  <c r="W100" i="97" s="1"/>
  <c r="J99" i="97"/>
  <c r="W99" i="97" s="1"/>
  <c r="J98" i="97"/>
  <c r="W98" i="97" s="1"/>
  <c r="J97" i="97"/>
  <c r="W97" i="97" s="1"/>
  <c r="J96" i="97"/>
  <c r="W96" i="97" s="1"/>
  <c r="J95" i="97"/>
  <c r="W95" i="97" s="1"/>
  <c r="J94" i="97"/>
  <c r="W94" i="97" s="1"/>
  <c r="J93" i="97"/>
  <c r="W93" i="97" s="1"/>
  <c r="B93" i="97"/>
  <c r="B94" i="97" s="1"/>
  <c r="B95" i="97" s="1"/>
  <c r="B96" i="97" s="1"/>
  <c r="B97" i="97" s="1"/>
  <c r="B98" i="97" s="1"/>
  <c r="B99" i="97" s="1"/>
  <c r="B100" i="97" s="1"/>
  <c r="B101" i="97" s="1"/>
  <c r="B102" i="97" s="1"/>
  <c r="B103" i="97" s="1"/>
  <c r="B104" i="97" s="1"/>
  <c r="B105" i="97" s="1"/>
  <c r="B106" i="97" s="1"/>
  <c r="B107" i="97" s="1"/>
  <c r="B108" i="97" s="1"/>
  <c r="B109" i="97" s="1"/>
  <c r="B110" i="97" s="1"/>
  <c r="B111" i="97" s="1"/>
  <c r="B112" i="97" s="1"/>
  <c r="B113" i="97" s="1"/>
  <c r="B114" i="97" s="1"/>
  <c r="J92" i="97"/>
  <c r="W92" i="97" s="1"/>
  <c r="J83" i="97"/>
  <c r="V83" i="97" s="1"/>
  <c r="J82" i="97"/>
  <c r="V82" i="97" s="1"/>
  <c r="J81" i="97"/>
  <c r="J80" i="97"/>
  <c r="W80" i="97" s="1"/>
  <c r="J79" i="97"/>
  <c r="W79" i="97" s="1"/>
  <c r="J78" i="97"/>
  <c r="W78" i="97" s="1"/>
  <c r="J77" i="97"/>
  <c r="W77" i="97" s="1"/>
  <c r="J76" i="97"/>
  <c r="W76" i="97" s="1"/>
  <c r="J75" i="97"/>
  <c r="W75" i="97" s="1"/>
  <c r="J74" i="97"/>
  <c r="W74" i="97" s="1"/>
  <c r="J73" i="97"/>
  <c r="W73" i="97" s="1"/>
  <c r="J72" i="97"/>
  <c r="W72" i="97" s="1"/>
  <c r="J71" i="97"/>
  <c r="W71" i="97" s="1"/>
  <c r="J70" i="97"/>
  <c r="W70" i="97" s="1"/>
  <c r="J69" i="97"/>
  <c r="W69" i="97" s="1"/>
  <c r="J68" i="97"/>
  <c r="W68" i="97" s="1"/>
  <c r="J67" i="97"/>
  <c r="W67" i="97" s="1"/>
  <c r="J66" i="97"/>
  <c r="W66" i="97" s="1"/>
  <c r="J65" i="97"/>
  <c r="W65" i="97" s="1"/>
  <c r="J64" i="97"/>
  <c r="W64" i="97" s="1"/>
  <c r="J63" i="97"/>
  <c r="W63" i="97" s="1"/>
  <c r="J62" i="97"/>
  <c r="W62" i="97" s="1"/>
  <c r="J61" i="97"/>
  <c r="W61" i="97" s="1"/>
  <c r="B61" i="97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J60" i="97"/>
  <c r="W60" i="97" s="1"/>
  <c r="W51" i="97"/>
  <c r="V51" i="97"/>
  <c r="W50" i="97"/>
  <c r="V50" i="97"/>
  <c r="W49" i="97"/>
  <c r="V49" i="97"/>
  <c r="V27" i="97"/>
  <c r="W17" i="97"/>
  <c r="N16" i="97"/>
  <c r="N14" i="97"/>
  <c r="N12" i="97"/>
  <c r="N10" i="97"/>
  <c r="N8" i="97"/>
  <c r="I7" i="97"/>
  <c r="J7" i="97" s="1"/>
  <c r="B7" i="97"/>
  <c r="B8" i="97" s="1"/>
  <c r="B9" i="97" s="1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25" i="97" s="1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45" i="97" s="1"/>
  <c r="B46" i="97" s="1"/>
  <c r="B47" i="97" s="1"/>
  <c r="B48" i="97" s="1"/>
  <c r="B49" i="97" s="1"/>
  <c r="B50" i="97" s="1"/>
  <c r="B51" i="97" s="1"/>
  <c r="N6" i="97"/>
  <c r="I6" i="97"/>
  <c r="J6" i="97" s="1"/>
  <c r="N4" i="97"/>
  <c r="J233" i="96"/>
  <c r="V233" i="96" s="1"/>
  <c r="I43" i="96"/>
  <c r="J43" i="96" s="1"/>
  <c r="J42" i="96"/>
  <c r="I42" i="96"/>
  <c r="I41" i="96"/>
  <c r="J41" i="96" s="1"/>
  <c r="I40" i="96"/>
  <c r="J40" i="96" s="1"/>
  <c r="I39" i="96"/>
  <c r="J39" i="96" s="1"/>
  <c r="I38" i="96"/>
  <c r="J38" i="96" s="1"/>
  <c r="I37" i="96"/>
  <c r="J37" i="96" s="1"/>
  <c r="I36" i="96"/>
  <c r="J36" i="96" s="1"/>
  <c r="I35" i="96"/>
  <c r="J35" i="96" s="1"/>
  <c r="I34" i="96"/>
  <c r="J34" i="96" s="1"/>
  <c r="I33" i="96"/>
  <c r="J33" i="96" s="1"/>
  <c r="I32" i="96"/>
  <c r="J32" i="96" s="1"/>
  <c r="I31" i="96"/>
  <c r="J31" i="96" s="1"/>
  <c r="I30" i="96"/>
  <c r="J30" i="96" s="1"/>
  <c r="I29" i="96"/>
  <c r="J29" i="96" s="1"/>
  <c r="I28" i="96"/>
  <c r="J28" i="96" s="1"/>
  <c r="J27" i="96"/>
  <c r="I27" i="96"/>
  <c r="I26" i="96"/>
  <c r="J26" i="96" s="1"/>
  <c r="I25" i="96"/>
  <c r="J25" i="96" s="1"/>
  <c r="I24" i="96"/>
  <c r="J24" i="96" s="1"/>
  <c r="I23" i="96"/>
  <c r="J23" i="96" s="1"/>
  <c r="I22" i="96"/>
  <c r="J22" i="96" s="1"/>
  <c r="I20" i="96"/>
  <c r="J20" i="96" s="1"/>
  <c r="I21" i="96"/>
  <c r="J21" i="96" s="1"/>
  <c r="I19" i="96"/>
  <c r="J19" i="96" s="1"/>
  <c r="J18" i="96"/>
  <c r="I18" i="96"/>
  <c r="W23" i="97" l="1"/>
  <c r="V23" i="97"/>
  <c r="V60" i="97"/>
  <c r="V234" i="97"/>
  <c r="W82" i="98"/>
  <c r="W20" i="97"/>
  <c r="V20" i="97"/>
  <c r="W33" i="97"/>
  <c r="V33" i="97"/>
  <c r="V37" i="97"/>
  <c r="W37" i="97"/>
  <c r="W83" i="97"/>
  <c r="V114" i="97"/>
  <c r="V176" i="97"/>
  <c r="V238" i="97"/>
  <c r="W185" i="98"/>
  <c r="W191" i="98"/>
  <c r="W144" i="97"/>
  <c r="V174" i="97"/>
  <c r="W206" i="97"/>
  <c r="W83" i="98"/>
  <c r="W84" i="98" s="1"/>
  <c r="P6" i="98" s="1"/>
  <c r="W207" i="98"/>
  <c r="W145" i="98"/>
  <c r="Q18" i="100"/>
  <c r="V52" i="99"/>
  <c r="O4" i="99" s="1"/>
  <c r="R4" i="99" s="1"/>
  <c r="V84" i="99"/>
  <c r="O6" i="99" s="1"/>
  <c r="R6" i="99" s="1"/>
  <c r="V208" i="99"/>
  <c r="O14" i="99" s="1"/>
  <c r="R14" i="99" s="1"/>
  <c r="W208" i="99"/>
  <c r="P14" i="99" s="1"/>
  <c r="V177" i="99"/>
  <c r="O12" i="99" s="1"/>
  <c r="R12" i="99" s="1"/>
  <c r="V115" i="99"/>
  <c r="O8" i="99" s="1"/>
  <c r="R8" i="99" s="1"/>
  <c r="V240" i="99"/>
  <c r="O16" i="99" s="1"/>
  <c r="V146" i="99"/>
  <c r="O10" i="99" s="1"/>
  <c r="W146" i="99"/>
  <c r="P10" i="99" s="1"/>
  <c r="W52" i="99"/>
  <c r="P4" i="99" s="1"/>
  <c r="W206" i="98"/>
  <c r="W199" i="98"/>
  <c r="W240" i="98"/>
  <c r="P16" i="98" s="1"/>
  <c r="W123" i="98"/>
  <c r="W187" i="98"/>
  <c r="W195" i="98"/>
  <c r="W203" i="98"/>
  <c r="W189" i="98"/>
  <c r="W197" i="98"/>
  <c r="W205" i="98"/>
  <c r="W193" i="98"/>
  <c r="W201" i="98"/>
  <c r="W186" i="98"/>
  <c r="W188" i="98"/>
  <c r="W190" i="98"/>
  <c r="W192" i="98"/>
  <c r="W194" i="98"/>
  <c r="W196" i="98"/>
  <c r="W198" i="98"/>
  <c r="W200" i="98"/>
  <c r="W202" i="98"/>
  <c r="W204" i="98"/>
  <c r="W133" i="98"/>
  <c r="W135" i="98"/>
  <c r="W137" i="98"/>
  <c r="W139" i="98"/>
  <c r="W141" i="98"/>
  <c r="W143" i="98"/>
  <c r="V146" i="98"/>
  <c r="O10" i="98" s="1"/>
  <c r="R10" i="98" s="1"/>
  <c r="W132" i="98"/>
  <c r="W134" i="98"/>
  <c r="W136" i="98"/>
  <c r="W138" i="98"/>
  <c r="W140" i="98"/>
  <c r="W142" i="98"/>
  <c r="W144" i="98"/>
  <c r="W131" i="98"/>
  <c r="W130" i="98"/>
  <c r="W125" i="98"/>
  <c r="W127" i="98"/>
  <c r="W129" i="98"/>
  <c r="W124" i="98"/>
  <c r="W126" i="98"/>
  <c r="W128" i="98"/>
  <c r="N18" i="98"/>
  <c r="W11" i="98"/>
  <c r="V11" i="98"/>
  <c r="W8" i="98"/>
  <c r="V8" i="98"/>
  <c r="W13" i="98"/>
  <c r="W15" i="98"/>
  <c r="V15" i="98"/>
  <c r="W28" i="98"/>
  <c r="V28" i="98"/>
  <c r="V46" i="98"/>
  <c r="W46" i="98"/>
  <c r="V18" i="98"/>
  <c r="W18" i="98"/>
  <c r="W37" i="98"/>
  <c r="V37" i="98"/>
  <c r="W45" i="98"/>
  <c r="V45" i="98"/>
  <c r="W24" i="98"/>
  <c r="V24" i="98"/>
  <c r="W115" i="98"/>
  <c r="P8" i="98" s="1"/>
  <c r="W7" i="98"/>
  <c r="V7" i="98"/>
  <c r="W10" i="98"/>
  <c r="V10" i="98"/>
  <c r="W33" i="98"/>
  <c r="V33" i="98"/>
  <c r="W41" i="98"/>
  <c r="V41" i="98"/>
  <c r="W177" i="98"/>
  <c r="P12" i="98" s="1"/>
  <c r="V208" i="98"/>
  <c r="O14" i="98" s="1"/>
  <c r="W6" i="98"/>
  <c r="W9" i="98"/>
  <c r="V12" i="98"/>
  <c r="W14" i="98"/>
  <c r="W17" i="98"/>
  <c r="V20" i="98"/>
  <c r="W23" i="98"/>
  <c r="W27" i="98"/>
  <c r="W32" i="98"/>
  <c r="W36" i="98"/>
  <c r="W40" i="98"/>
  <c r="W44" i="98"/>
  <c r="J52" i="98"/>
  <c r="V60" i="98"/>
  <c r="V61" i="98"/>
  <c r="V62" i="98"/>
  <c r="V63" i="98"/>
  <c r="V64" i="98"/>
  <c r="V65" i="98"/>
  <c r="V66" i="98"/>
  <c r="V67" i="98"/>
  <c r="V68" i="98"/>
  <c r="V69" i="98"/>
  <c r="V70" i="98"/>
  <c r="V71" i="98"/>
  <c r="V72" i="98"/>
  <c r="V73" i="98"/>
  <c r="V74" i="98"/>
  <c r="V75" i="98"/>
  <c r="V76" i="98"/>
  <c r="V77" i="98"/>
  <c r="V78" i="98"/>
  <c r="V79" i="98"/>
  <c r="V80" i="98"/>
  <c r="J84" i="98"/>
  <c r="V92" i="98"/>
  <c r="V93" i="98"/>
  <c r="V94" i="98"/>
  <c r="V95" i="98"/>
  <c r="V96" i="98"/>
  <c r="V97" i="98"/>
  <c r="V98" i="98"/>
  <c r="V99" i="98"/>
  <c r="V100" i="98"/>
  <c r="V101" i="98"/>
  <c r="V102" i="98"/>
  <c r="V103" i="98"/>
  <c r="V104" i="98"/>
  <c r="V105" i="98"/>
  <c r="V106" i="98"/>
  <c r="V107" i="98"/>
  <c r="V108" i="98"/>
  <c r="V109" i="98"/>
  <c r="V110" i="98"/>
  <c r="V111" i="98"/>
  <c r="V112" i="98"/>
  <c r="V113" i="98"/>
  <c r="V114" i="98"/>
  <c r="J146" i="98"/>
  <c r="V154" i="98"/>
  <c r="V155" i="98"/>
  <c r="V156" i="98"/>
  <c r="V157" i="98"/>
  <c r="V158" i="98"/>
  <c r="V159" i="98"/>
  <c r="V160" i="98"/>
  <c r="V161" i="98"/>
  <c r="V162" i="98"/>
  <c r="V163" i="98"/>
  <c r="V164" i="98"/>
  <c r="V165" i="98"/>
  <c r="V166" i="98"/>
  <c r="V167" i="98"/>
  <c r="V168" i="98"/>
  <c r="V169" i="98"/>
  <c r="V170" i="98"/>
  <c r="V171" i="98"/>
  <c r="V172" i="98"/>
  <c r="V173" i="98"/>
  <c r="V174" i="98"/>
  <c r="V175" i="98"/>
  <c r="V176" i="98"/>
  <c r="J208" i="98"/>
  <c r="V216" i="98"/>
  <c r="V217" i="98"/>
  <c r="V218" i="98"/>
  <c r="V219" i="98"/>
  <c r="V220" i="98"/>
  <c r="V221" i="98"/>
  <c r="V222" i="98"/>
  <c r="V223" i="98"/>
  <c r="V224" i="98"/>
  <c r="V225" i="98"/>
  <c r="V226" i="98"/>
  <c r="V227" i="98"/>
  <c r="V228" i="98"/>
  <c r="V229" i="98"/>
  <c r="V230" i="98"/>
  <c r="V231" i="98"/>
  <c r="V232" i="98"/>
  <c r="V233" i="98"/>
  <c r="V234" i="98"/>
  <c r="V235" i="98"/>
  <c r="V236" i="98"/>
  <c r="V237" i="98"/>
  <c r="V238" i="98"/>
  <c r="V239" i="98"/>
  <c r="W47" i="98"/>
  <c r="J115" i="98"/>
  <c r="J177" i="98"/>
  <c r="J240" i="98"/>
  <c r="V48" i="97"/>
  <c r="W48" i="97"/>
  <c r="V236" i="97"/>
  <c r="W47" i="97"/>
  <c r="V46" i="97"/>
  <c r="W204" i="97"/>
  <c r="W45" i="97"/>
  <c r="W44" i="97"/>
  <c r="W140" i="97"/>
  <c r="V109" i="97"/>
  <c r="W41" i="97"/>
  <c r="W134" i="97"/>
  <c r="V226" i="97"/>
  <c r="V224" i="97"/>
  <c r="V218" i="97"/>
  <c r="V154" i="97"/>
  <c r="W82" i="97"/>
  <c r="W84" i="97" s="1"/>
  <c r="P6" i="97" s="1"/>
  <c r="V92" i="97"/>
  <c r="V105" i="97"/>
  <c r="W138" i="97"/>
  <c r="W143" i="97"/>
  <c r="W145" i="97"/>
  <c r="V158" i="97"/>
  <c r="V173" i="97"/>
  <c r="V175" i="97"/>
  <c r="V222" i="97"/>
  <c r="V230" i="97"/>
  <c r="V235" i="97"/>
  <c r="V237" i="97"/>
  <c r="V239" i="97"/>
  <c r="V107" i="97"/>
  <c r="V112" i="97"/>
  <c r="V232" i="97"/>
  <c r="V80" i="97"/>
  <c r="V103" i="97"/>
  <c r="V111" i="97"/>
  <c r="V113" i="97"/>
  <c r="W123" i="97"/>
  <c r="W136" i="97"/>
  <c r="W189" i="97"/>
  <c r="W203" i="97"/>
  <c r="W205" i="97"/>
  <c r="W207" i="97"/>
  <c r="V220" i="97"/>
  <c r="V228" i="97"/>
  <c r="W240" i="97"/>
  <c r="P16" i="97" s="1"/>
  <c r="V217" i="97"/>
  <c r="V219" i="97"/>
  <c r="V221" i="97"/>
  <c r="V223" i="97"/>
  <c r="V225" i="97"/>
  <c r="V227" i="97"/>
  <c r="V229" i="97"/>
  <c r="V231" i="97"/>
  <c r="V233" i="97"/>
  <c r="V216" i="97"/>
  <c r="W195" i="97"/>
  <c r="W197" i="97"/>
  <c r="W199" i="97"/>
  <c r="W201" i="97"/>
  <c r="W196" i="97"/>
  <c r="W198" i="97"/>
  <c r="W200" i="97"/>
  <c r="W202" i="97"/>
  <c r="W187" i="97"/>
  <c r="W191" i="97"/>
  <c r="V208" i="97"/>
  <c r="O14" i="97" s="1"/>
  <c r="R14" i="97" s="1"/>
  <c r="W186" i="97"/>
  <c r="W188" i="97"/>
  <c r="W190" i="97"/>
  <c r="W192" i="97"/>
  <c r="W194" i="97"/>
  <c r="J208" i="97"/>
  <c r="W185" i="97"/>
  <c r="V162" i="97"/>
  <c r="V164" i="97"/>
  <c r="V166" i="97"/>
  <c r="V168" i="97"/>
  <c r="V170" i="97"/>
  <c r="V172" i="97"/>
  <c r="V163" i="97"/>
  <c r="V165" i="97"/>
  <c r="V167" i="97"/>
  <c r="V169" i="97"/>
  <c r="V171" i="97"/>
  <c r="V160" i="97"/>
  <c r="V156" i="97"/>
  <c r="V161" i="97"/>
  <c r="V155" i="97"/>
  <c r="V157" i="97"/>
  <c r="V159" i="97"/>
  <c r="W133" i="97"/>
  <c r="W135" i="97"/>
  <c r="W137" i="97"/>
  <c r="W139" i="97"/>
  <c r="W141" i="97"/>
  <c r="J146" i="97"/>
  <c r="W125" i="97"/>
  <c r="W127" i="97"/>
  <c r="W129" i="97"/>
  <c r="W131" i="97"/>
  <c r="W124" i="97"/>
  <c r="W126" i="97"/>
  <c r="W128" i="97"/>
  <c r="W130" i="97"/>
  <c r="W132" i="97"/>
  <c r="V104" i="97"/>
  <c r="V106" i="97"/>
  <c r="V108" i="97"/>
  <c r="V110" i="97"/>
  <c r="V94" i="97"/>
  <c r="V96" i="97"/>
  <c r="V98" i="97"/>
  <c r="V100" i="97"/>
  <c r="V102" i="97"/>
  <c r="V93" i="97"/>
  <c r="V95" i="97"/>
  <c r="V97" i="97"/>
  <c r="V99" i="97"/>
  <c r="V101" i="97"/>
  <c r="V8" i="97"/>
  <c r="W13" i="97"/>
  <c r="N18" i="97"/>
  <c r="V62" i="97"/>
  <c r="V64" i="97"/>
  <c r="V66" i="97"/>
  <c r="V68" i="97"/>
  <c r="V70" i="97"/>
  <c r="V72" i="97"/>
  <c r="V74" i="97"/>
  <c r="V76" i="97"/>
  <c r="V78" i="97"/>
  <c r="V61" i="97"/>
  <c r="V63" i="97"/>
  <c r="V65" i="97"/>
  <c r="V67" i="97"/>
  <c r="V69" i="97"/>
  <c r="V71" i="97"/>
  <c r="V73" i="97"/>
  <c r="V75" i="97"/>
  <c r="V77" i="97"/>
  <c r="V79" i="97"/>
  <c r="J84" i="97"/>
  <c r="V6" i="97"/>
  <c r="W6" i="97"/>
  <c r="J52" i="97"/>
  <c r="V14" i="97"/>
  <c r="W14" i="97"/>
  <c r="V22" i="97"/>
  <c r="W22" i="97"/>
  <c r="V34" i="97"/>
  <c r="W34" i="97"/>
  <c r="W10" i="97"/>
  <c r="V10" i="97"/>
  <c r="V36" i="97"/>
  <c r="W36" i="97"/>
  <c r="V15" i="97"/>
  <c r="W15" i="97"/>
  <c r="V19" i="97"/>
  <c r="W19" i="97"/>
  <c r="V28" i="97"/>
  <c r="W28" i="97"/>
  <c r="V40" i="97"/>
  <c r="W40" i="97"/>
  <c r="V42" i="97"/>
  <c r="W42" i="97"/>
  <c r="W115" i="97"/>
  <c r="P8" i="97" s="1"/>
  <c r="V24" i="97"/>
  <c r="W24" i="97"/>
  <c r="V32" i="97"/>
  <c r="W32" i="97"/>
  <c r="V7" i="97"/>
  <c r="W7" i="97"/>
  <c r="V26" i="97"/>
  <c r="W26" i="97"/>
  <c r="V38" i="97"/>
  <c r="W38" i="97"/>
  <c r="W11" i="97"/>
  <c r="V11" i="97"/>
  <c r="W18" i="97"/>
  <c r="V18" i="97"/>
  <c r="V30" i="97"/>
  <c r="W30" i="97"/>
  <c r="V146" i="97"/>
  <c r="O10" i="97" s="1"/>
  <c r="R10" i="97" s="1"/>
  <c r="W177" i="97"/>
  <c r="P12" i="97" s="1"/>
  <c r="W12" i="97"/>
  <c r="V21" i="97"/>
  <c r="V25" i="97"/>
  <c r="V29" i="97"/>
  <c r="W27" i="97"/>
  <c r="W31" i="97"/>
  <c r="W35" i="97"/>
  <c r="W39" i="97"/>
  <c r="W43" i="97"/>
  <c r="W9" i="97"/>
  <c r="W16" i="97"/>
  <c r="J115" i="97"/>
  <c r="J177" i="97"/>
  <c r="J240" i="97"/>
  <c r="W233" i="96"/>
  <c r="I17" i="96"/>
  <c r="J17" i="96" s="1"/>
  <c r="I16" i="96"/>
  <c r="J16" i="96" s="1"/>
  <c r="V16" i="96" s="1"/>
  <c r="I15" i="96"/>
  <c r="J15" i="96" s="1"/>
  <c r="I14" i="96"/>
  <c r="J14" i="96" s="1"/>
  <c r="I13" i="96"/>
  <c r="J13" i="96" s="1"/>
  <c r="W13" i="96" s="1"/>
  <c r="I12" i="96"/>
  <c r="J12" i="96" s="1"/>
  <c r="I11" i="96"/>
  <c r="J11" i="96" s="1"/>
  <c r="I10" i="96"/>
  <c r="J10" i="96" s="1"/>
  <c r="I9" i="96"/>
  <c r="J9" i="96" s="1"/>
  <c r="I8" i="96"/>
  <c r="J8" i="96" s="1"/>
  <c r="V8" i="96" s="1"/>
  <c r="J186" i="96"/>
  <c r="V186" i="96" s="1"/>
  <c r="J187" i="96"/>
  <c r="V187" i="96" s="1"/>
  <c r="J188" i="96"/>
  <c r="V188" i="96" s="1"/>
  <c r="J189" i="96"/>
  <c r="W189" i="96" s="1"/>
  <c r="J190" i="96"/>
  <c r="V190" i="96" s="1"/>
  <c r="J191" i="96"/>
  <c r="W191" i="96" s="1"/>
  <c r="J192" i="96"/>
  <c r="W192" i="96" s="1"/>
  <c r="J239" i="96"/>
  <c r="W239" i="96" s="1"/>
  <c r="J238" i="96"/>
  <c r="W238" i="96" s="1"/>
  <c r="J237" i="96"/>
  <c r="W237" i="96" s="1"/>
  <c r="J236" i="96"/>
  <c r="W236" i="96" s="1"/>
  <c r="J235" i="96"/>
  <c r="W235" i="96" s="1"/>
  <c r="J234" i="96"/>
  <c r="W234" i="96" s="1"/>
  <c r="J232" i="96"/>
  <c r="W232" i="96" s="1"/>
  <c r="J231" i="96"/>
  <c r="W231" i="96" s="1"/>
  <c r="J230" i="96"/>
  <c r="W230" i="96" s="1"/>
  <c r="J229" i="96"/>
  <c r="W229" i="96" s="1"/>
  <c r="J228" i="96"/>
  <c r="W228" i="96" s="1"/>
  <c r="J227" i="96"/>
  <c r="W227" i="96" s="1"/>
  <c r="J226" i="96"/>
  <c r="W226" i="96" s="1"/>
  <c r="J225" i="96"/>
  <c r="W225" i="96" s="1"/>
  <c r="J224" i="96"/>
  <c r="W224" i="96" s="1"/>
  <c r="J223" i="96"/>
  <c r="W223" i="96" s="1"/>
  <c r="J222" i="96"/>
  <c r="W222" i="96" s="1"/>
  <c r="J221" i="96"/>
  <c r="W221" i="96" s="1"/>
  <c r="J220" i="96"/>
  <c r="W220" i="96" s="1"/>
  <c r="J219" i="96"/>
  <c r="W219" i="96" s="1"/>
  <c r="J218" i="96"/>
  <c r="W218" i="96" s="1"/>
  <c r="J217" i="96"/>
  <c r="W217" i="96" s="1"/>
  <c r="B217" i="96"/>
  <c r="B218" i="96" s="1"/>
  <c r="B219" i="96" s="1"/>
  <c r="B220" i="96" s="1"/>
  <c r="B221" i="96" s="1"/>
  <c r="B222" i="96" s="1"/>
  <c r="B223" i="96" s="1"/>
  <c r="B224" i="96" s="1"/>
  <c r="B225" i="96" s="1"/>
  <c r="B226" i="96" s="1"/>
  <c r="B227" i="96" s="1"/>
  <c r="B228" i="96" s="1"/>
  <c r="B229" i="96" s="1"/>
  <c r="B230" i="96" s="1"/>
  <c r="B231" i="96" s="1"/>
  <c r="B232" i="96" s="1"/>
  <c r="J216" i="96"/>
  <c r="W216" i="96" s="1"/>
  <c r="J207" i="96"/>
  <c r="V207" i="96" s="1"/>
  <c r="J206" i="96"/>
  <c r="V206" i="96" s="1"/>
  <c r="J205" i="96"/>
  <c r="V205" i="96" s="1"/>
  <c r="W204" i="96"/>
  <c r="J204" i="96"/>
  <c r="V204" i="96" s="1"/>
  <c r="J203" i="96"/>
  <c r="V203" i="96" s="1"/>
  <c r="J202" i="96"/>
  <c r="V202" i="96" s="1"/>
  <c r="J201" i="96"/>
  <c r="V201" i="96" s="1"/>
  <c r="J200" i="96"/>
  <c r="V200" i="96" s="1"/>
  <c r="J199" i="96"/>
  <c r="V199" i="96" s="1"/>
  <c r="J198" i="96"/>
  <c r="V198" i="96" s="1"/>
  <c r="J197" i="96"/>
  <c r="V197" i="96" s="1"/>
  <c r="J196" i="96"/>
  <c r="V196" i="96" s="1"/>
  <c r="J195" i="96"/>
  <c r="V195" i="96" s="1"/>
  <c r="J194" i="96"/>
  <c r="V194" i="96" s="1"/>
  <c r="J193" i="96"/>
  <c r="V193" i="96" s="1"/>
  <c r="W187" i="96"/>
  <c r="B186" i="96"/>
  <c r="B187" i="96" s="1"/>
  <c r="B188" i="96" s="1"/>
  <c r="B189" i="96" s="1"/>
  <c r="B190" i="96" s="1"/>
  <c r="B191" i="96" s="1"/>
  <c r="B192" i="96" s="1"/>
  <c r="B193" i="96" s="1"/>
  <c r="B194" i="96" s="1"/>
  <c r="B195" i="96" s="1"/>
  <c r="B196" i="96" s="1"/>
  <c r="B197" i="96" s="1"/>
  <c r="B198" i="96" s="1"/>
  <c r="B199" i="96" s="1"/>
  <c r="B200" i="96" s="1"/>
  <c r="B201" i="96" s="1"/>
  <c r="B202" i="96" s="1"/>
  <c r="B203" i="96" s="1"/>
  <c r="B204" i="96" s="1"/>
  <c r="B205" i="96" s="1"/>
  <c r="B206" i="96" s="1"/>
  <c r="B207" i="96" s="1"/>
  <c r="J185" i="96"/>
  <c r="V185" i="96" s="1"/>
  <c r="J176" i="96"/>
  <c r="W176" i="96" s="1"/>
  <c r="J175" i="96"/>
  <c r="W175" i="96" s="1"/>
  <c r="J174" i="96"/>
  <c r="W174" i="96" s="1"/>
  <c r="J173" i="96"/>
  <c r="W173" i="96" s="1"/>
  <c r="J172" i="96"/>
  <c r="W172" i="96" s="1"/>
  <c r="J171" i="96"/>
  <c r="W171" i="96" s="1"/>
  <c r="J170" i="96"/>
  <c r="W170" i="96" s="1"/>
  <c r="J169" i="96"/>
  <c r="W169" i="96" s="1"/>
  <c r="J168" i="96"/>
  <c r="W168" i="96" s="1"/>
  <c r="J167" i="96"/>
  <c r="W167" i="96" s="1"/>
  <c r="J166" i="96"/>
  <c r="W166" i="96" s="1"/>
  <c r="J165" i="96"/>
  <c r="W165" i="96" s="1"/>
  <c r="J164" i="96"/>
  <c r="W164" i="96" s="1"/>
  <c r="J163" i="96"/>
  <c r="W163" i="96" s="1"/>
  <c r="J162" i="96"/>
  <c r="W162" i="96" s="1"/>
  <c r="J161" i="96"/>
  <c r="W161" i="96" s="1"/>
  <c r="J160" i="96"/>
  <c r="W160" i="96" s="1"/>
  <c r="J159" i="96"/>
  <c r="W159" i="96" s="1"/>
  <c r="J158" i="96"/>
  <c r="W158" i="96" s="1"/>
  <c r="J157" i="96"/>
  <c r="W157" i="96" s="1"/>
  <c r="J156" i="96"/>
  <c r="W156" i="96" s="1"/>
  <c r="J155" i="96"/>
  <c r="W155" i="96" s="1"/>
  <c r="B155" i="96"/>
  <c r="B156" i="96" s="1"/>
  <c r="B157" i="96" s="1"/>
  <c r="B158" i="96" s="1"/>
  <c r="B159" i="96" s="1"/>
  <c r="B160" i="96" s="1"/>
  <c r="B161" i="96" s="1"/>
  <c r="B162" i="96" s="1"/>
  <c r="B163" i="96" s="1"/>
  <c r="B164" i="96" s="1"/>
  <c r="B165" i="96" s="1"/>
  <c r="B166" i="96" s="1"/>
  <c r="B167" i="96" s="1"/>
  <c r="B168" i="96" s="1"/>
  <c r="B169" i="96" s="1"/>
  <c r="B170" i="96" s="1"/>
  <c r="B171" i="96" s="1"/>
  <c r="B172" i="96" s="1"/>
  <c r="B173" i="96" s="1"/>
  <c r="B174" i="96" s="1"/>
  <c r="B175" i="96" s="1"/>
  <c r="B176" i="96" s="1"/>
  <c r="J154" i="96"/>
  <c r="W154" i="96" s="1"/>
  <c r="J145" i="96"/>
  <c r="V145" i="96" s="1"/>
  <c r="J144" i="96"/>
  <c r="V144" i="96" s="1"/>
  <c r="J143" i="96"/>
  <c r="V143" i="96" s="1"/>
  <c r="J142" i="96"/>
  <c r="V142" i="96" s="1"/>
  <c r="W141" i="96"/>
  <c r="J141" i="96"/>
  <c r="V141" i="96" s="1"/>
  <c r="J140" i="96"/>
  <c r="V140" i="96" s="1"/>
  <c r="J139" i="96"/>
  <c r="V139" i="96" s="1"/>
  <c r="J138" i="96"/>
  <c r="V138" i="96" s="1"/>
  <c r="J137" i="96"/>
  <c r="V137" i="96" s="1"/>
  <c r="J136" i="96"/>
  <c r="V136" i="96" s="1"/>
  <c r="J135" i="96"/>
  <c r="V135" i="96" s="1"/>
  <c r="J134" i="96"/>
  <c r="V134" i="96" s="1"/>
  <c r="J133" i="96"/>
  <c r="V133" i="96" s="1"/>
  <c r="J132" i="96"/>
  <c r="V132" i="96" s="1"/>
  <c r="J131" i="96"/>
  <c r="V131" i="96" s="1"/>
  <c r="J130" i="96"/>
  <c r="V130" i="96" s="1"/>
  <c r="J129" i="96"/>
  <c r="V129" i="96" s="1"/>
  <c r="J128" i="96"/>
  <c r="V128" i="96" s="1"/>
  <c r="J127" i="96"/>
  <c r="V127" i="96" s="1"/>
  <c r="J126" i="96"/>
  <c r="V126" i="96" s="1"/>
  <c r="J125" i="96"/>
  <c r="V125" i="96" s="1"/>
  <c r="J124" i="96"/>
  <c r="V124" i="96" s="1"/>
  <c r="B124" i="96"/>
  <c r="B125" i="96" s="1"/>
  <c r="B126" i="96" s="1"/>
  <c r="B127" i="96" s="1"/>
  <c r="B128" i="96" s="1"/>
  <c r="B129" i="96" s="1"/>
  <c r="B130" i="96" s="1"/>
  <c r="B131" i="96" s="1"/>
  <c r="B132" i="96" s="1"/>
  <c r="B133" i="96" s="1"/>
  <c r="B134" i="96" s="1"/>
  <c r="B135" i="96" s="1"/>
  <c r="B136" i="96" s="1"/>
  <c r="B137" i="96" s="1"/>
  <c r="B138" i="96" s="1"/>
  <c r="B139" i="96" s="1"/>
  <c r="B140" i="96" s="1"/>
  <c r="B141" i="96" s="1"/>
  <c r="B142" i="96" s="1"/>
  <c r="B143" i="96" s="1"/>
  <c r="B144" i="96" s="1"/>
  <c r="B145" i="96" s="1"/>
  <c r="J123" i="96"/>
  <c r="V123" i="96" s="1"/>
  <c r="J114" i="96"/>
  <c r="W114" i="96" s="1"/>
  <c r="J113" i="96"/>
  <c r="W113" i="96" s="1"/>
  <c r="J112" i="96"/>
  <c r="W112" i="96" s="1"/>
  <c r="J111" i="96"/>
  <c r="W111" i="96" s="1"/>
  <c r="J110" i="96"/>
  <c r="W110" i="96" s="1"/>
  <c r="J109" i="96"/>
  <c r="W109" i="96" s="1"/>
  <c r="J108" i="96"/>
  <c r="W108" i="96" s="1"/>
  <c r="J107" i="96"/>
  <c r="W107" i="96" s="1"/>
  <c r="J106" i="96"/>
  <c r="W106" i="96" s="1"/>
  <c r="J105" i="96"/>
  <c r="W105" i="96" s="1"/>
  <c r="J104" i="96"/>
  <c r="W104" i="96" s="1"/>
  <c r="J103" i="96"/>
  <c r="W103" i="96" s="1"/>
  <c r="J102" i="96"/>
  <c r="W102" i="96" s="1"/>
  <c r="J101" i="96"/>
  <c r="W101" i="96" s="1"/>
  <c r="J100" i="96"/>
  <c r="W100" i="96" s="1"/>
  <c r="J99" i="96"/>
  <c r="W99" i="96" s="1"/>
  <c r="J98" i="96"/>
  <c r="W98" i="96" s="1"/>
  <c r="J97" i="96"/>
  <c r="W97" i="96" s="1"/>
  <c r="J96" i="96"/>
  <c r="W96" i="96" s="1"/>
  <c r="J95" i="96"/>
  <c r="W95" i="96" s="1"/>
  <c r="J94" i="96"/>
  <c r="W94" i="96" s="1"/>
  <c r="J93" i="96"/>
  <c r="W93" i="96" s="1"/>
  <c r="B93" i="96"/>
  <c r="B94" i="96" s="1"/>
  <c r="B95" i="96" s="1"/>
  <c r="B96" i="96" s="1"/>
  <c r="B97" i="96" s="1"/>
  <c r="B98" i="96" s="1"/>
  <c r="B99" i="96" s="1"/>
  <c r="B100" i="96" s="1"/>
  <c r="B101" i="96" s="1"/>
  <c r="B102" i="96" s="1"/>
  <c r="B103" i="96" s="1"/>
  <c r="B104" i="96" s="1"/>
  <c r="B105" i="96" s="1"/>
  <c r="B106" i="96" s="1"/>
  <c r="B107" i="96" s="1"/>
  <c r="B108" i="96" s="1"/>
  <c r="B109" i="96" s="1"/>
  <c r="B110" i="96" s="1"/>
  <c r="B111" i="96" s="1"/>
  <c r="B112" i="96" s="1"/>
  <c r="B113" i="96" s="1"/>
  <c r="B114" i="96" s="1"/>
  <c r="J92" i="96"/>
  <c r="W92" i="96" s="1"/>
  <c r="J83" i="96"/>
  <c r="V83" i="96" s="1"/>
  <c r="J82" i="96"/>
  <c r="V82" i="96" s="1"/>
  <c r="J81" i="96"/>
  <c r="J80" i="96"/>
  <c r="W80" i="96" s="1"/>
  <c r="J79" i="96"/>
  <c r="W79" i="96" s="1"/>
  <c r="J78" i="96"/>
  <c r="W78" i="96" s="1"/>
  <c r="J77" i="96"/>
  <c r="W77" i="96" s="1"/>
  <c r="J76" i="96"/>
  <c r="W76" i="96" s="1"/>
  <c r="J75" i="96"/>
  <c r="W75" i="96" s="1"/>
  <c r="J74" i="96"/>
  <c r="W74" i="96" s="1"/>
  <c r="J73" i="96"/>
  <c r="W73" i="96" s="1"/>
  <c r="J72" i="96"/>
  <c r="W72" i="96" s="1"/>
  <c r="J71" i="96"/>
  <c r="W71" i="96" s="1"/>
  <c r="J70" i="96"/>
  <c r="W70" i="96" s="1"/>
  <c r="J69" i="96"/>
  <c r="W69" i="96" s="1"/>
  <c r="J68" i="96"/>
  <c r="W68" i="96" s="1"/>
  <c r="J67" i="96"/>
  <c r="W67" i="96" s="1"/>
  <c r="J66" i="96"/>
  <c r="W66" i="96" s="1"/>
  <c r="J65" i="96"/>
  <c r="W65" i="96" s="1"/>
  <c r="J64" i="96"/>
  <c r="W64" i="96" s="1"/>
  <c r="J63" i="96"/>
  <c r="W63" i="96" s="1"/>
  <c r="J62" i="96"/>
  <c r="W62" i="96" s="1"/>
  <c r="J61" i="96"/>
  <c r="W61" i="96" s="1"/>
  <c r="B61" i="96"/>
  <c r="B62" i="96" s="1"/>
  <c r="B63" i="96" s="1"/>
  <c r="B64" i="96" s="1"/>
  <c r="B65" i="96" s="1"/>
  <c r="B66" i="96" s="1"/>
  <c r="B67" i="96" s="1"/>
  <c r="B68" i="96" s="1"/>
  <c r="B69" i="96" s="1"/>
  <c r="B70" i="96" s="1"/>
  <c r="B71" i="96" s="1"/>
  <c r="B72" i="96" s="1"/>
  <c r="B73" i="96" s="1"/>
  <c r="B74" i="96" s="1"/>
  <c r="B75" i="96" s="1"/>
  <c r="B76" i="96" s="1"/>
  <c r="B77" i="96" s="1"/>
  <c r="B78" i="96" s="1"/>
  <c r="B79" i="96" s="1"/>
  <c r="B80" i="96" s="1"/>
  <c r="B81" i="96" s="1"/>
  <c r="B82" i="96" s="1"/>
  <c r="B83" i="96" s="1"/>
  <c r="J60" i="96"/>
  <c r="W60" i="96" s="1"/>
  <c r="W51" i="96"/>
  <c r="V51" i="96"/>
  <c r="W50" i="96"/>
  <c r="V50" i="96"/>
  <c r="W49" i="96"/>
  <c r="V49" i="96"/>
  <c r="W48" i="96"/>
  <c r="V48" i="96"/>
  <c r="W47" i="96"/>
  <c r="V47" i="96"/>
  <c r="W46" i="96"/>
  <c r="V46" i="96"/>
  <c r="W45" i="96"/>
  <c r="V45" i="96"/>
  <c r="W44" i="96"/>
  <c r="V44" i="96"/>
  <c r="W43" i="96"/>
  <c r="V43" i="96"/>
  <c r="W42" i="96"/>
  <c r="V42" i="96"/>
  <c r="W41" i="96"/>
  <c r="V41" i="96"/>
  <c r="W40" i="96"/>
  <c r="V40" i="96"/>
  <c r="W39" i="96"/>
  <c r="V39" i="96"/>
  <c r="W38" i="96"/>
  <c r="V38" i="96"/>
  <c r="W37" i="96"/>
  <c r="V37" i="96"/>
  <c r="W36" i="96"/>
  <c r="V36" i="96"/>
  <c r="W33" i="96"/>
  <c r="W29" i="96"/>
  <c r="W25" i="96"/>
  <c r="W21" i="96"/>
  <c r="N16" i="96"/>
  <c r="N14" i="96"/>
  <c r="N12" i="96"/>
  <c r="N10" i="96"/>
  <c r="N8" i="96"/>
  <c r="I7" i="96"/>
  <c r="J7" i="96" s="1"/>
  <c r="B7" i="96"/>
  <c r="B8" i="96" s="1"/>
  <c r="B9" i="96" s="1"/>
  <c r="B10" i="96" s="1"/>
  <c r="B11" i="96" s="1"/>
  <c r="B12" i="96" s="1"/>
  <c r="B13" i="96" s="1"/>
  <c r="B14" i="96" s="1"/>
  <c r="B15" i="96" s="1"/>
  <c r="B16" i="96" s="1"/>
  <c r="B17" i="96" s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B30" i="96" s="1"/>
  <c r="B31" i="96" s="1"/>
  <c r="B32" i="96" s="1"/>
  <c r="B33" i="96" s="1"/>
  <c r="B34" i="96" s="1"/>
  <c r="B35" i="96" s="1"/>
  <c r="B36" i="96" s="1"/>
  <c r="B37" i="96" s="1"/>
  <c r="B38" i="96" s="1"/>
  <c r="B39" i="96" s="1"/>
  <c r="B40" i="96" s="1"/>
  <c r="B41" i="96" s="1"/>
  <c r="B42" i="96" s="1"/>
  <c r="B43" i="96" s="1"/>
  <c r="B44" i="96" s="1"/>
  <c r="B45" i="96" s="1"/>
  <c r="B46" i="96" s="1"/>
  <c r="B47" i="96" s="1"/>
  <c r="B48" i="96" s="1"/>
  <c r="B49" i="96" s="1"/>
  <c r="B50" i="96" s="1"/>
  <c r="B51" i="96" s="1"/>
  <c r="N6" i="96"/>
  <c r="I6" i="96"/>
  <c r="J6" i="96" s="1"/>
  <c r="N4" i="96"/>
  <c r="I35" i="95"/>
  <c r="J35" i="95" s="1"/>
  <c r="I34" i="95"/>
  <c r="J34" i="95" s="1"/>
  <c r="I33" i="95"/>
  <c r="J33" i="95" s="1"/>
  <c r="I32" i="95"/>
  <c r="J32" i="95" s="1"/>
  <c r="I31" i="95"/>
  <c r="J31" i="95" s="1"/>
  <c r="I30" i="95"/>
  <c r="J30" i="95" s="1"/>
  <c r="I29" i="95"/>
  <c r="J29" i="95" s="1"/>
  <c r="I28" i="95"/>
  <c r="J28" i="95" s="1"/>
  <c r="I27" i="95"/>
  <c r="J27" i="95" s="1"/>
  <c r="J26" i="95"/>
  <c r="I26" i="95"/>
  <c r="I25" i="95"/>
  <c r="J25" i="95" s="1"/>
  <c r="I24" i="95"/>
  <c r="J24" i="95" s="1"/>
  <c r="I23" i="95"/>
  <c r="W82" i="96" l="1"/>
  <c r="W145" i="96"/>
  <c r="W206" i="96"/>
  <c r="W143" i="96"/>
  <c r="W194" i="96"/>
  <c r="B233" i="96"/>
  <c r="B234" i="96" s="1"/>
  <c r="B235" i="96" s="1"/>
  <c r="B236" i="96" s="1"/>
  <c r="B237" i="96" s="1"/>
  <c r="B238" i="96" s="1"/>
  <c r="B239" i="96" s="1"/>
  <c r="W139" i="96"/>
  <c r="W83" i="96"/>
  <c r="W142" i="96"/>
  <c r="W144" i="96"/>
  <c r="W185" i="96"/>
  <c r="W196" i="96"/>
  <c r="W203" i="96"/>
  <c r="W205" i="96"/>
  <c r="W207" i="96"/>
  <c r="Q6" i="99"/>
  <c r="Q14" i="99"/>
  <c r="P18" i="99"/>
  <c r="Q12" i="99"/>
  <c r="O18" i="99"/>
  <c r="R18" i="99" s="1"/>
  <c r="P20" i="99" s="1"/>
  <c r="Q8" i="99"/>
  <c r="R16" i="99"/>
  <c r="Q16" i="99"/>
  <c r="R10" i="99"/>
  <c r="Q10" i="99"/>
  <c r="Q4" i="99"/>
  <c r="V52" i="98"/>
  <c r="O4" i="98" s="1"/>
  <c r="R4" i="98" s="1"/>
  <c r="W208" i="98"/>
  <c r="P14" i="98" s="1"/>
  <c r="Q14" i="98" s="1"/>
  <c r="W146" i="98"/>
  <c r="P10" i="98" s="1"/>
  <c r="Q10" i="98" s="1"/>
  <c r="V240" i="98"/>
  <c r="O16" i="98" s="1"/>
  <c r="W52" i="98"/>
  <c r="P4" i="98" s="1"/>
  <c r="V177" i="98"/>
  <c r="O12" i="98" s="1"/>
  <c r="V115" i="98"/>
  <c r="O8" i="98" s="1"/>
  <c r="V84" i="98"/>
  <c r="O6" i="98" s="1"/>
  <c r="R14" i="98"/>
  <c r="V115" i="97"/>
  <c r="O8" i="97" s="1"/>
  <c r="R8" i="97" s="1"/>
  <c r="V240" i="97"/>
  <c r="O16" i="97" s="1"/>
  <c r="W208" i="97"/>
  <c r="P14" i="97" s="1"/>
  <c r="Q14" i="97" s="1"/>
  <c r="V177" i="97"/>
  <c r="O12" i="97" s="1"/>
  <c r="R12" i="97" s="1"/>
  <c r="W146" i="97"/>
  <c r="P10" i="97" s="1"/>
  <c r="Q10" i="97" s="1"/>
  <c r="V84" i="97"/>
  <c r="O6" i="97" s="1"/>
  <c r="Q6" i="97" s="1"/>
  <c r="W52" i="97"/>
  <c r="P4" i="97" s="1"/>
  <c r="V52" i="97"/>
  <c r="O4" i="97" s="1"/>
  <c r="W202" i="96"/>
  <c r="W201" i="96"/>
  <c r="W140" i="96"/>
  <c r="W200" i="96"/>
  <c r="W137" i="96"/>
  <c r="W198" i="96"/>
  <c r="W133" i="96"/>
  <c r="W131" i="96"/>
  <c r="V192" i="96"/>
  <c r="W129" i="96"/>
  <c r="V189" i="96"/>
  <c r="W123" i="96"/>
  <c r="W195" i="96"/>
  <c r="W197" i="96"/>
  <c r="W199" i="96"/>
  <c r="V191" i="96"/>
  <c r="W193" i="96"/>
  <c r="J208" i="96"/>
  <c r="W186" i="96"/>
  <c r="W188" i="96"/>
  <c r="W190" i="96"/>
  <c r="W135" i="96"/>
  <c r="W130" i="96"/>
  <c r="W132" i="96"/>
  <c r="W134" i="96"/>
  <c r="W136" i="96"/>
  <c r="W138" i="96"/>
  <c r="W127" i="96"/>
  <c r="W128" i="96"/>
  <c r="W125" i="96"/>
  <c r="J146" i="96"/>
  <c r="W124" i="96"/>
  <c r="W126" i="96"/>
  <c r="V34" i="96"/>
  <c r="W34" i="96"/>
  <c r="V11" i="96"/>
  <c r="W11" i="96"/>
  <c r="V28" i="96"/>
  <c r="W28" i="96"/>
  <c r="V15" i="96"/>
  <c r="W15" i="96"/>
  <c r="W17" i="96"/>
  <c r="V17" i="96"/>
  <c r="V24" i="96"/>
  <c r="W24" i="96"/>
  <c r="W27" i="96"/>
  <c r="V27" i="96"/>
  <c r="V30" i="96"/>
  <c r="W30" i="96"/>
  <c r="W18" i="96"/>
  <c r="V18" i="96"/>
  <c r="V31" i="96"/>
  <c r="W31" i="96"/>
  <c r="W6" i="96"/>
  <c r="V6" i="96"/>
  <c r="J52" i="96"/>
  <c r="W10" i="96"/>
  <c r="V10" i="96"/>
  <c r="V20" i="96"/>
  <c r="W20" i="96"/>
  <c r="W23" i="96"/>
  <c r="V23" i="96"/>
  <c r="V26" i="96"/>
  <c r="W26" i="96"/>
  <c r="V7" i="96"/>
  <c r="W7" i="96"/>
  <c r="V9" i="96"/>
  <c r="W9" i="96"/>
  <c r="V12" i="96"/>
  <c r="W12" i="96"/>
  <c r="V14" i="96"/>
  <c r="W14" i="96"/>
  <c r="V19" i="96"/>
  <c r="W19" i="96"/>
  <c r="V22" i="96"/>
  <c r="W22" i="96"/>
  <c r="V32" i="96"/>
  <c r="W32" i="96"/>
  <c r="W35" i="96"/>
  <c r="V35" i="96"/>
  <c r="W84" i="96"/>
  <c r="P6" i="96" s="1"/>
  <c r="W115" i="96"/>
  <c r="P8" i="96" s="1"/>
  <c r="V146" i="96"/>
  <c r="O10" i="96" s="1"/>
  <c r="R10" i="96" s="1"/>
  <c r="W177" i="96"/>
  <c r="P12" i="96" s="1"/>
  <c r="W240" i="96"/>
  <c r="P16" i="96" s="1"/>
  <c r="V13" i="96"/>
  <c r="V21" i="96"/>
  <c r="V25" i="96"/>
  <c r="V29" i="96"/>
  <c r="V33" i="96"/>
  <c r="V60" i="96"/>
  <c r="V61" i="96"/>
  <c r="V62" i="96"/>
  <c r="V63" i="96"/>
  <c r="V64" i="96"/>
  <c r="V65" i="96"/>
  <c r="V66" i="96"/>
  <c r="V67" i="96"/>
  <c r="V68" i="96"/>
  <c r="V69" i="96"/>
  <c r="V70" i="96"/>
  <c r="V71" i="96"/>
  <c r="V72" i="96"/>
  <c r="V73" i="96"/>
  <c r="V74" i="96"/>
  <c r="V75" i="96"/>
  <c r="V76" i="96"/>
  <c r="V77" i="96"/>
  <c r="V78" i="96"/>
  <c r="V79" i="96"/>
  <c r="V80" i="96"/>
  <c r="J84" i="96"/>
  <c r="V92" i="96"/>
  <c r="V93" i="96"/>
  <c r="V94" i="96"/>
  <c r="V95" i="96"/>
  <c r="V96" i="96"/>
  <c r="V97" i="96"/>
  <c r="V98" i="96"/>
  <c r="V99" i="96"/>
  <c r="V100" i="96"/>
  <c r="V101" i="96"/>
  <c r="V102" i="96"/>
  <c r="V103" i="96"/>
  <c r="V104" i="96"/>
  <c r="V105" i="96"/>
  <c r="V106" i="96"/>
  <c r="V107" i="96"/>
  <c r="V108" i="96"/>
  <c r="V109" i="96"/>
  <c r="V110" i="96"/>
  <c r="V111" i="96"/>
  <c r="V112" i="96"/>
  <c r="V113" i="96"/>
  <c r="V114" i="96"/>
  <c r="V154" i="96"/>
  <c r="V155" i="96"/>
  <c r="V156" i="96"/>
  <c r="V157" i="96"/>
  <c r="V158" i="96"/>
  <c r="V159" i="96"/>
  <c r="V160" i="96"/>
  <c r="V161" i="96"/>
  <c r="V162" i="96"/>
  <c r="V163" i="96"/>
  <c r="V164" i="96"/>
  <c r="V165" i="96"/>
  <c r="V166" i="96"/>
  <c r="V167" i="96"/>
  <c r="V168" i="96"/>
  <c r="V169" i="96"/>
  <c r="V170" i="96"/>
  <c r="V171" i="96"/>
  <c r="V172" i="96"/>
  <c r="V173" i="96"/>
  <c r="V174" i="96"/>
  <c r="V175" i="96"/>
  <c r="V176" i="96"/>
  <c r="V216" i="96"/>
  <c r="V217" i="96"/>
  <c r="V218" i="96"/>
  <c r="V219" i="96"/>
  <c r="V220" i="96"/>
  <c r="V221" i="96"/>
  <c r="V222" i="96"/>
  <c r="V223" i="96"/>
  <c r="V224" i="96"/>
  <c r="V225" i="96"/>
  <c r="V226" i="96"/>
  <c r="V227" i="96"/>
  <c r="V228" i="96"/>
  <c r="V229" i="96"/>
  <c r="V230" i="96"/>
  <c r="V231" i="96"/>
  <c r="V232" i="96"/>
  <c r="V234" i="96"/>
  <c r="V235" i="96"/>
  <c r="V236" i="96"/>
  <c r="V237" i="96"/>
  <c r="V238" i="96"/>
  <c r="V239" i="96"/>
  <c r="N18" i="96"/>
  <c r="W8" i="96"/>
  <c r="W16" i="96"/>
  <c r="J115" i="96"/>
  <c r="J177" i="96"/>
  <c r="J240" i="96"/>
  <c r="J23" i="95"/>
  <c r="J22" i="95"/>
  <c r="I22" i="95"/>
  <c r="I21" i="95"/>
  <c r="J21" i="95" s="1"/>
  <c r="V21" i="95" s="1"/>
  <c r="I20" i="95"/>
  <c r="J20" i="95" s="1"/>
  <c r="I19" i="95"/>
  <c r="J19" i="95" s="1"/>
  <c r="J18" i="95"/>
  <c r="I18" i="95"/>
  <c r="I17" i="95"/>
  <c r="J17" i="95" s="1"/>
  <c r="I16" i="95"/>
  <c r="J16" i="95" s="1"/>
  <c r="V16" i="95" s="1"/>
  <c r="I15" i="95"/>
  <c r="J15" i="95" s="1"/>
  <c r="V15" i="95" s="1"/>
  <c r="J14" i="95"/>
  <c r="I14" i="95"/>
  <c r="I13" i="95"/>
  <c r="J13" i="95" s="1"/>
  <c r="V13" i="95" s="1"/>
  <c r="I12" i="95"/>
  <c r="J12" i="95" s="1"/>
  <c r="I11" i="95"/>
  <c r="J11" i="95" s="1"/>
  <c r="V11" i="95" s="1"/>
  <c r="J10" i="95"/>
  <c r="W10" i="95" s="1"/>
  <c r="I10" i="95"/>
  <c r="I8" i="95"/>
  <c r="J8" i="95" s="1"/>
  <c r="V8" i="95" s="1"/>
  <c r="I9" i="95"/>
  <c r="J9" i="95" s="1"/>
  <c r="W238" i="95"/>
  <c r="J238" i="95"/>
  <c r="V238" i="95" s="1"/>
  <c r="J237" i="95"/>
  <c r="V237" i="95" s="1"/>
  <c r="J236" i="95"/>
  <c r="W236" i="95" s="1"/>
  <c r="J235" i="95"/>
  <c r="V235" i="95" s="1"/>
  <c r="J234" i="95"/>
  <c r="W234" i="95" s="1"/>
  <c r="J233" i="95"/>
  <c r="V233" i="95" s="1"/>
  <c r="J232" i="95"/>
  <c r="W232" i="95" s="1"/>
  <c r="J231" i="95"/>
  <c r="V231" i="95" s="1"/>
  <c r="J230" i="95"/>
  <c r="W230" i="95" s="1"/>
  <c r="J229" i="95"/>
  <c r="V229" i="95" s="1"/>
  <c r="J228" i="95"/>
  <c r="W228" i="95" s="1"/>
  <c r="J227" i="95"/>
  <c r="V227" i="95" s="1"/>
  <c r="J226" i="95"/>
  <c r="V226" i="95" s="1"/>
  <c r="J225" i="95"/>
  <c r="V225" i="95" s="1"/>
  <c r="J224" i="95"/>
  <c r="W224" i="95" s="1"/>
  <c r="J223" i="95"/>
  <c r="V223" i="95" s="1"/>
  <c r="J222" i="95"/>
  <c r="V222" i="95" s="1"/>
  <c r="J221" i="95"/>
  <c r="V221" i="95" s="1"/>
  <c r="V220" i="95"/>
  <c r="J220" i="95"/>
  <c r="W220" i="95" s="1"/>
  <c r="J219" i="95"/>
  <c r="V219" i="95" s="1"/>
  <c r="V218" i="95"/>
  <c r="J218" i="95"/>
  <c r="W218" i="95" s="1"/>
  <c r="J217" i="95"/>
  <c r="V217" i="95" s="1"/>
  <c r="B217" i="95"/>
  <c r="B218" i="95" s="1"/>
  <c r="B219" i="95" s="1"/>
  <c r="B220" i="95" s="1"/>
  <c r="B221" i="95" s="1"/>
  <c r="B222" i="95" s="1"/>
  <c r="B223" i="95" s="1"/>
  <c r="B224" i="95" s="1"/>
  <c r="B225" i="95" s="1"/>
  <c r="B226" i="95" s="1"/>
  <c r="B227" i="95" s="1"/>
  <c r="B228" i="95" s="1"/>
  <c r="B229" i="95" s="1"/>
  <c r="B230" i="95" s="1"/>
  <c r="B231" i="95" s="1"/>
  <c r="B232" i="95" s="1"/>
  <c r="B233" i="95" s="1"/>
  <c r="B234" i="95" s="1"/>
  <c r="B235" i="95" s="1"/>
  <c r="B236" i="95" s="1"/>
  <c r="B237" i="95" s="1"/>
  <c r="B238" i="95" s="1"/>
  <c r="W216" i="95"/>
  <c r="J216" i="95"/>
  <c r="J207" i="95"/>
  <c r="V207" i="95" s="1"/>
  <c r="J206" i="95"/>
  <c r="V206" i="95" s="1"/>
  <c r="J205" i="95"/>
  <c r="V205" i="95" s="1"/>
  <c r="J204" i="95"/>
  <c r="V204" i="95" s="1"/>
  <c r="J203" i="95"/>
  <c r="V203" i="95" s="1"/>
  <c r="J202" i="95"/>
  <c r="V202" i="95" s="1"/>
  <c r="J201" i="95"/>
  <c r="V201" i="95" s="1"/>
  <c r="J200" i="95"/>
  <c r="V200" i="95" s="1"/>
  <c r="J199" i="95"/>
  <c r="V199" i="95" s="1"/>
  <c r="J198" i="95"/>
  <c r="V198" i="95" s="1"/>
  <c r="J197" i="95"/>
  <c r="V197" i="95" s="1"/>
  <c r="J196" i="95"/>
  <c r="V196" i="95" s="1"/>
  <c r="J195" i="95"/>
  <c r="V195" i="95" s="1"/>
  <c r="J194" i="95"/>
  <c r="V194" i="95" s="1"/>
  <c r="J193" i="95"/>
  <c r="V193" i="95" s="1"/>
  <c r="J192" i="95"/>
  <c r="V192" i="95" s="1"/>
  <c r="J191" i="95"/>
  <c r="V191" i="95" s="1"/>
  <c r="J190" i="95"/>
  <c r="V190" i="95" s="1"/>
  <c r="J189" i="95"/>
  <c r="V189" i="95" s="1"/>
  <c r="J188" i="95"/>
  <c r="V188" i="95" s="1"/>
  <c r="J187" i="95"/>
  <c r="V187" i="95" s="1"/>
  <c r="J186" i="95"/>
  <c r="V186" i="95" s="1"/>
  <c r="B186" i="95"/>
  <c r="B187" i="95" s="1"/>
  <c r="B188" i="95" s="1"/>
  <c r="B189" i="95" s="1"/>
  <c r="B190" i="95" s="1"/>
  <c r="B191" i="95" s="1"/>
  <c r="B192" i="95" s="1"/>
  <c r="B193" i="95" s="1"/>
  <c r="B194" i="95" s="1"/>
  <c r="B195" i="95" s="1"/>
  <c r="B196" i="95" s="1"/>
  <c r="B197" i="95" s="1"/>
  <c r="B198" i="95" s="1"/>
  <c r="B199" i="95" s="1"/>
  <c r="B200" i="95" s="1"/>
  <c r="B201" i="95" s="1"/>
  <c r="B202" i="95" s="1"/>
  <c r="B203" i="95" s="1"/>
  <c r="B204" i="95" s="1"/>
  <c r="B205" i="95" s="1"/>
  <c r="B206" i="95" s="1"/>
  <c r="B207" i="95" s="1"/>
  <c r="J185" i="95"/>
  <c r="V185" i="95" s="1"/>
  <c r="J176" i="95"/>
  <c r="W176" i="95" s="1"/>
  <c r="J175" i="95"/>
  <c r="W175" i="95" s="1"/>
  <c r="V174" i="95"/>
  <c r="J174" i="95"/>
  <c r="W174" i="95" s="1"/>
  <c r="J173" i="95"/>
  <c r="W173" i="95" s="1"/>
  <c r="J172" i="95"/>
  <c r="V172" i="95" s="1"/>
  <c r="J171" i="95"/>
  <c r="W171" i="95" s="1"/>
  <c r="J170" i="95"/>
  <c r="W170" i="95" s="1"/>
  <c r="J169" i="95"/>
  <c r="W169" i="95" s="1"/>
  <c r="J168" i="95"/>
  <c r="V168" i="95" s="1"/>
  <c r="J167" i="95"/>
  <c r="V167" i="95" s="1"/>
  <c r="J166" i="95"/>
  <c r="W166" i="95" s="1"/>
  <c r="J165" i="95"/>
  <c r="W165" i="95" s="1"/>
  <c r="J164" i="95"/>
  <c r="V164" i="95" s="1"/>
  <c r="J163" i="95"/>
  <c r="V163" i="95" s="1"/>
  <c r="J162" i="95"/>
  <c r="W162" i="95" s="1"/>
  <c r="J161" i="95"/>
  <c r="W161" i="95" s="1"/>
  <c r="J160" i="95"/>
  <c r="V160" i="95" s="1"/>
  <c r="W159" i="95"/>
  <c r="J159" i="95"/>
  <c r="V159" i="95" s="1"/>
  <c r="J158" i="95"/>
  <c r="W158" i="95" s="1"/>
  <c r="J157" i="95"/>
  <c r="W157" i="95" s="1"/>
  <c r="J156" i="95"/>
  <c r="V156" i="95" s="1"/>
  <c r="J155" i="95"/>
  <c r="W155" i="95" s="1"/>
  <c r="B155" i="95"/>
  <c r="B156" i="95" s="1"/>
  <c r="B157" i="95" s="1"/>
  <c r="B158" i="95" s="1"/>
  <c r="B159" i="95" s="1"/>
  <c r="B160" i="95" s="1"/>
  <c r="B161" i="95" s="1"/>
  <c r="B162" i="95" s="1"/>
  <c r="B163" i="95" s="1"/>
  <c r="B164" i="95" s="1"/>
  <c r="B165" i="95" s="1"/>
  <c r="B166" i="95" s="1"/>
  <c r="B167" i="95" s="1"/>
  <c r="B168" i="95" s="1"/>
  <c r="B169" i="95" s="1"/>
  <c r="B170" i="95" s="1"/>
  <c r="B171" i="95" s="1"/>
  <c r="B172" i="95" s="1"/>
  <c r="B173" i="95" s="1"/>
  <c r="B174" i="95" s="1"/>
  <c r="B175" i="95" s="1"/>
  <c r="B176" i="95" s="1"/>
  <c r="J154" i="95"/>
  <c r="V154" i="95" s="1"/>
  <c r="J145" i="95"/>
  <c r="V145" i="95" s="1"/>
  <c r="J144" i="95"/>
  <c r="V144" i="95" s="1"/>
  <c r="J143" i="95"/>
  <c r="V143" i="95" s="1"/>
  <c r="J142" i="95"/>
  <c r="V142" i="95" s="1"/>
  <c r="J141" i="95"/>
  <c r="V141" i="95" s="1"/>
  <c r="J140" i="95"/>
  <c r="V140" i="95" s="1"/>
  <c r="J139" i="95"/>
  <c r="V139" i="95" s="1"/>
  <c r="J138" i="95"/>
  <c r="V138" i="95" s="1"/>
  <c r="J137" i="95"/>
  <c r="V137" i="95" s="1"/>
  <c r="J136" i="95"/>
  <c r="V136" i="95" s="1"/>
  <c r="J135" i="95"/>
  <c r="V135" i="95" s="1"/>
  <c r="J134" i="95"/>
  <c r="V134" i="95" s="1"/>
  <c r="J133" i="95"/>
  <c r="V133" i="95" s="1"/>
  <c r="J132" i="95"/>
  <c r="V132" i="95" s="1"/>
  <c r="J131" i="95"/>
  <c r="V131" i="95" s="1"/>
  <c r="J130" i="95"/>
  <c r="V130" i="95" s="1"/>
  <c r="J129" i="95"/>
  <c r="V129" i="95" s="1"/>
  <c r="J128" i="95"/>
  <c r="V128" i="95" s="1"/>
  <c r="J127" i="95"/>
  <c r="V127" i="95" s="1"/>
  <c r="J126" i="95"/>
  <c r="V126" i="95" s="1"/>
  <c r="J125" i="95"/>
  <c r="V125" i="95" s="1"/>
  <c r="J124" i="95"/>
  <c r="V124" i="95" s="1"/>
  <c r="B124" i="95"/>
  <c r="B125" i="95" s="1"/>
  <c r="B126" i="95" s="1"/>
  <c r="B127" i="95" s="1"/>
  <c r="B128" i="95" s="1"/>
  <c r="B129" i="95" s="1"/>
  <c r="B130" i="95" s="1"/>
  <c r="B131" i="95" s="1"/>
  <c r="B132" i="95" s="1"/>
  <c r="B133" i="95" s="1"/>
  <c r="B134" i="95" s="1"/>
  <c r="B135" i="95" s="1"/>
  <c r="B136" i="95" s="1"/>
  <c r="B137" i="95" s="1"/>
  <c r="B138" i="95" s="1"/>
  <c r="B139" i="95" s="1"/>
  <c r="B140" i="95" s="1"/>
  <c r="B141" i="95" s="1"/>
  <c r="B142" i="95" s="1"/>
  <c r="B143" i="95" s="1"/>
  <c r="B144" i="95" s="1"/>
  <c r="B145" i="95" s="1"/>
  <c r="J123" i="95"/>
  <c r="V123" i="95" s="1"/>
  <c r="V114" i="95"/>
  <c r="J114" i="95"/>
  <c r="W114" i="95" s="1"/>
  <c r="J113" i="95"/>
  <c r="W113" i="95" s="1"/>
  <c r="J112" i="95"/>
  <c r="W112" i="95" s="1"/>
  <c r="J111" i="95"/>
  <c r="V111" i="95" s="1"/>
  <c r="J110" i="95"/>
  <c r="W110" i="95" s="1"/>
  <c r="J109" i="95"/>
  <c r="V109" i="95" s="1"/>
  <c r="V108" i="95"/>
  <c r="J108" i="95"/>
  <c r="W108" i="95" s="1"/>
  <c r="J107" i="95"/>
  <c r="V107" i="95" s="1"/>
  <c r="J106" i="95"/>
  <c r="W106" i="95" s="1"/>
  <c r="J105" i="95"/>
  <c r="V105" i="95" s="1"/>
  <c r="J104" i="95"/>
  <c r="W104" i="95" s="1"/>
  <c r="J103" i="95"/>
  <c r="V103" i="95" s="1"/>
  <c r="J102" i="95"/>
  <c r="W102" i="95" s="1"/>
  <c r="J101" i="95"/>
  <c r="V101" i="95" s="1"/>
  <c r="J100" i="95"/>
  <c r="W100" i="95" s="1"/>
  <c r="J99" i="95"/>
  <c r="W99" i="95" s="1"/>
  <c r="J98" i="95"/>
  <c r="W98" i="95" s="1"/>
  <c r="J97" i="95"/>
  <c r="V97" i="95" s="1"/>
  <c r="J96" i="95"/>
  <c r="V96" i="95" s="1"/>
  <c r="V95" i="95"/>
  <c r="J95" i="95"/>
  <c r="W95" i="95" s="1"/>
  <c r="J94" i="95"/>
  <c r="W94" i="95" s="1"/>
  <c r="J93" i="95"/>
  <c r="V93" i="95" s="1"/>
  <c r="B93" i="95"/>
  <c r="B94" i="95" s="1"/>
  <c r="B95" i="95" s="1"/>
  <c r="B96" i="95" s="1"/>
  <c r="B97" i="95" s="1"/>
  <c r="B98" i="95" s="1"/>
  <c r="B99" i="95" s="1"/>
  <c r="B100" i="95" s="1"/>
  <c r="B101" i="95" s="1"/>
  <c r="B102" i="95" s="1"/>
  <c r="B103" i="95" s="1"/>
  <c r="B104" i="95" s="1"/>
  <c r="B105" i="95" s="1"/>
  <c r="B106" i="95" s="1"/>
  <c r="B107" i="95" s="1"/>
  <c r="B108" i="95" s="1"/>
  <c r="B109" i="95" s="1"/>
  <c r="B110" i="95" s="1"/>
  <c r="B111" i="95" s="1"/>
  <c r="B112" i="95" s="1"/>
  <c r="B113" i="95" s="1"/>
  <c r="B114" i="95" s="1"/>
  <c r="J92" i="95"/>
  <c r="V92" i="95" s="1"/>
  <c r="J83" i="95"/>
  <c r="V83" i="95" s="1"/>
  <c r="J82" i="95"/>
  <c r="V82" i="95" s="1"/>
  <c r="J81" i="95"/>
  <c r="V80" i="95"/>
  <c r="J80" i="95"/>
  <c r="W80" i="95" s="1"/>
  <c r="J79" i="95"/>
  <c r="W79" i="95" s="1"/>
  <c r="J78" i="95"/>
  <c r="W78" i="95" s="1"/>
  <c r="J77" i="95"/>
  <c r="V77" i="95" s="1"/>
  <c r="W76" i="95"/>
  <c r="V76" i="95"/>
  <c r="J76" i="95"/>
  <c r="J75" i="95"/>
  <c r="W75" i="95" s="1"/>
  <c r="J74" i="95"/>
  <c r="W74" i="95" s="1"/>
  <c r="J73" i="95"/>
  <c r="V73" i="95" s="1"/>
  <c r="J72" i="95"/>
  <c r="V72" i="95" s="1"/>
  <c r="J71" i="95"/>
  <c r="V71" i="95" s="1"/>
  <c r="V70" i="95"/>
  <c r="J70" i="95"/>
  <c r="W70" i="95" s="1"/>
  <c r="J69" i="95"/>
  <c r="V69" i="95" s="1"/>
  <c r="J68" i="95"/>
  <c r="V68" i="95" s="1"/>
  <c r="J67" i="95"/>
  <c r="W67" i="95" s="1"/>
  <c r="J66" i="95"/>
  <c r="W66" i="95" s="1"/>
  <c r="J65" i="95"/>
  <c r="V65" i="95" s="1"/>
  <c r="W64" i="95"/>
  <c r="J64" i="95"/>
  <c r="V64" i="95" s="1"/>
  <c r="J63" i="95"/>
  <c r="W63" i="95" s="1"/>
  <c r="J62" i="95"/>
  <c r="W62" i="95" s="1"/>
  <c r="J61" i="95"/>
  <c r="V61" i="95" s="1"/>
  <c r="B61" i="95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J60" i="95"/>
  <c r="V60" i="95" s="1"/>
  <c r="W51" i="95"/>
  <c r="V51" i="95"/>
  <c r="W50" i="95"/>
  <c r="V50" i="95"/>
  <c r="W49" i="95"/>
  <c r="V49" i="95"/>
  <c r="W48" i="95"/>
  <c r="V48" i="95"/>
  <c r="W47" i="95"/>
  <c r="V47" i="95"/>
  <c r="W46" i="95"/>
  <c r="V46" i="95"/>
  <c r="W45" i="95"/>
  <c r="V45" i="95"/>
  <c r="W44" i="95"/>
  <c r="V44" i="95"/>
  <c r="W43" i="95"/>
  <c r="V43" i="95"/>
  <c r="V41" i="95"/>
  <c r="V37" i="95"/>
  <c r="V33" i="95"/>
  <c r="V29" i="95"/>
  <c r="V25" i="95"/>
  <c r="N16" i="95"/>
  <c r="N14" i="95"/>
  <c r="N12" i="95"/>
  <c r="N10" i="95"/>
  <c r="N8" i="95"/>
  <c r="I7" i="95"/>
  <c r="J7" i="95" s="1"/>
  <c r="B7" i="95"/>
  <c r="B8" i="95" s="1"/>
  <c r="B9" i="95" s="1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B23" i="95" s="1"/>
  <c r="B24" i="95" s="1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45" i="95" s="1"/>
  <c r="B46" i="95" s="1"/>
  <c r="B47" i="95" s="1"/>
  <c r="B48" i="95" s="1"/>
  <c r="B49" i="95" s="1"/>
  <c r="B50" i="95" s="1"/>
  <c r="B51" i="95" s="1"/>
  <c r="N6" i="95"/>
  <c r="I6" i="95"/>
  <c r="J6" i="95" s="1"/>
  <c r="W6" i="95" s="1"/>
  <c r="N4" i="95"/>
  <c r="I42" i="94"/>
  <c r="J42" i="94" s="1"/>
  <c r="I41" i="94"/>
  <c r="J41" i="94" s="1"/>
  <c r="I40" i="94"/>
  <c r="J40" i="94" s="1"/>
  <c r="I39" i="94"/>
  <c r="J39" i="94" s="1"/>
  <c r="J38" i="94"/>
  <c r="I38" i="94"/>
  <c r="I37" i="94"/>
  <c r="J37" i="94" s="1"/>
  <c r="I36" i="94"/>
  <c r="J36" i="94" s="1"/>
  <c r="I35" i="94"/>
  <c r="J35" i="94" s="1"/>
  <c r="J34" i="94"/>
  <c r="I34" i="94"/>
  <c r="I33" i="94"/>
  <c r="J33" i="94" s="1"/>
  <c r="I32" i="94"/>
  <c r="J32" i="94" s="1"/>
  <c r="I31" i="94"/>
  <c r="J31" i="94" s="1"/>
  <c r="J30" i="94"/>
  <c r="I30" i="94"/>
  <c r="I29" i="94"/>
  <c r="J29" i="94" s="1"/>
  <c r="I28" i="94"/>
  <c r="J28" i="94" s="1"/>
  <c r="I27" i="94"/>
  <c r="J27" i="94" s="1"/>
  <c r="J26" i="94"/>
  <c r="I26" i="94"/>
  <c r="I25" i="94"/>
  <c r="J25" i="94" s="1"/>
  <c r="W237" i="95" l="1"/>
  <c r="V66" i="95"/>
  <c r="W72" i="95"/>
  <c r="V62" i="95"/>
  <c r="W167" i="95"/>
  <c r="V170" i="95"/>
  <c r="W226" i="95"/>
  <c r="V79" i="95"/>
  <c r="W93" i="95"/>
  <c r="V113" i="95"/>
  <c r="W172" i="95"/>
  <c r="V176" i="95"/>
  <c r="W229" i="95"/>
  <c r="V232" i="95"/>
  <c r="V234" i="95"/>
  <c r="V236" i="95"/>
  <c r="V63" i="95"/>
  <c r="W92" i="95"/>
  <c r="V100" i="95"/>
  <c r="W109" i="95"/>
  <c r="V112" i="95"/>
  <c r="V158" i="95"/>
  <c r="V171" i="95"/>
  <c r="V175" i="95"/>
  <c r="W154" i="95"/>
  <c r="W156" i="95"/>
  <c r="W160" i="95"/>
  <c r="V228" i="95"/>
  <c r="W233" i="95"/>
  <c r="Q18" i="99"/>
  <c r="P18" i="98"/>
  <c r="O18" i="98"/>
  <c r="R18" i="98" s="1"/>
  <c r="P20" i="98" s="1"/>
  <c r="Q12" i="98"/>
  <c r="R12" i="98"/>
  <c r="Q4" i="98"/>
  <c r="R8" i="98"/>
  <c r="Q8" i="98"/>
  <c r="R6" i="98"/>
  <c r="Q6" i="98"/>
  <c r="R16" i="98"/>
  <c r="Q16" i="98"/>
  <c r="Q8" i="97"/>
  <c r="P18" i="97"/>
  <c r="R16" i="97"/>
  <c r="Q16" i="97"/>
  <c r="Q12" i="97"/>
  <c r="R6" i="97"/>
  <c r="Q4" i="97"/>
  <c r="R4" i="97"/>
  <c r="O18" i="97"/>
  <c r="R18" i="97" s="1"/>
  <c r="P20" i="97" s="1"/>
  <c r="V208" i="96"/>
  <c r="O14" i="96" s="1"/>
  <c r="R14" i="96" s="1"/>
  <c r="W146" i="96"/>
  <c r="P10" i="96" s="1"/>
  <c r="Q10" i="96" s="1"/>
  <c r="W208" i="96"/>
  <c r="P14" i="96" s="1"/>
  <c r="V177" i="96"/>
  <c r="O12" i="96" s="1"/>
  <c r="V115" i="96"/>
  <c r="O8" i="96" s="1"/>
  <c r="W52" i="96"/>
  <c r="P4" i="96" s="1"/>
  <c r="V52" i="96"/>
  <c r="O4" i="96" s="1"/>
  <c r="V240" i="96"/>
  <c r="O16" i="96" s="1"/>
  <c r="V84" i="96"/>
  <c r="O6" i="96" s="1"/>
  <c r="V75" i="95"/>
  <c r="W168" i="95"/>
  <c r="V230" i="95"/>
  <c r="W105" i="95"/>
  <c r="V104" i="95"/>
  <c r="V166" i="95"/>
  <c r="W71" i="95"/>
  <c r="W164" i="95"/>
  <c r="W225" i="95"/>
  <c r="W163" i="95"/>
  <c r="W101" i="95"/>
  <c r="V162" i="95"/>
  <c r="W68" i="95"/>
  <c r="V224" i="95"/>
  <c r="V99" i="95"/>
  <c r="V67" i="95"/>
  <c r="W222" i="95"/>
  <c r="W97" i="95"/>
  <c r="W221" i="95"/>
  <c r="W96" i="95"/>
  <c r="V10" i="95"/>
  <c r="J239" i="95"/>
  <c r="W217" i="95"/>
  <c r="V155" i="95"/>
  <c r="V216" i="95"/>
  <c r="W219" i="95"/>
  <c r="W223" i="95"/>
  <c r="W227" i="95"/>
  <c r="W231" i="95"/>
  <c r="W235" i="95"/>
  <c r="J208" i="95"/>
  <c r="V157" i="95"/>
  <c r="V161" i="95"/>
  <c r="V165" i="95"/>
  <c r="V169" i="95"/>
  <c r="V173" i="95"/>
  <c r="J177" i="95"/>
  <c r="V146" i="95"/>
  <c r="O10" i="95" s="1"/>
  <c r="R10" i="95" s="1"/>
  <c r="J146" i="95"/>
  <c r="N18" i="95"/>
  <c r="V94" i="95"/>
  <c r="V98" i="95"/>
  <c r="V102" i="95"/>
  <c r="W103" i="95"/>
  <c r="V106" i="95"/>
  <c r="W107" i="95"/>
  <c r="V110" i="95"/>
  <c r="W111" i="95"/>
  <c r="J115" i="95"/>
  <c r="V74" i="95"/>
  <c r="V78" i="95"/>
  <c r="J84" i="95"/>
  <c r="W60" i="95"/>
  <c r="W61" i="95"/>
  <c r="W65" i="95"/>
  <c r="W69" i="95"/>
  <c r="W73" i="95"/>
  <c r="W77" i="95"/>
  <c r="V24" i="95"/>
  <c r="W24" i="95"/>
  <c r="V32" i="95"/>
  <c r="W32" i="95"/>
  <c r="V40" i="95"/>
  <c r="W40" i="95"/>
  <c r="W7" i="95"/>
  <c r="V7" i="95"/>
  <c r="V28" i="95"/>
  <c r="W28" i="95"/>
  <c r="V36" i="95"/>
  <c r="W36" i="95"/>
  <c r="W18" i="95"/>
  <c r="V18" i="95"/>
  <c r="W15" i="95"/>
  <c r="W9" i="95"/>
  <c r="V9" i="95"/>
  <c r="W14" i="95"/>
  <c r="V14" i="95"/>
  <c r="W23" i="95"/>
  <c r="V23" i="95"/>
  <c r="W39" i="95"/>
  <c r="V39" i="95"/>
  <c r="V12" i="95"/>
  <c r="W12" i="95"/>
  <c r="V20" i="95"/>
  <c r="W20" i="95"/>
  <c r="W27" i="95"/>
  <c r="V27" i="95"/>
  <c r="W31" i="95"/>
  <c r="V31" i="95"/>
  <c r="W35" i="95"/>
  <c r="V35" i="95"/>
  <c r="W17" i="95"/>
  <c r="V17" i="95"/>
  <c r="V19" i="95"/>
  <c r="W19" i="95"/>
  <c r="V22" i="95"/>
  <c r="W22" i="95"/>
  <c r="V26" i="95"/>
  <c r="W26" i="95"/>
  <c r="V30" i="95"/>
  <c r="W30" i="95"/>
  <c r="V34" i="95"/>
  <c r="W34" i="95"/>
  <c r="V38" i="95"/>
  <c r="W38" i="95"/>
  <c r="V42" i="95"/>
  <c r="W42" i="95"/>
  <c r="V208" i="95"/>
  <c r="O14" i="95" s="1"/>
  <c r="V6" i="95"/>
  <c r="W8" i="95"/>
  <c r="W11" i="95"/>
  <c r="W16" i="95"/>
  <c r="J52" i="95"/>
  <c r="W13" i="95"/>
  <c r="W21" i="95"/>
  <c r="W25" i="95"/>
  <c r="W29" i="95"/>
  <c r="W33" i="95"/>
  <c r="W37" i="95"/>
  <c r="W41" i="95"/>
  <c r="W82" i="95"/>
  <c r="W83" i="95"/>
  <c r="W123" i="95"/>
  <c r="W124" i="95"/>
  <c r="W125" i="95"/>
  <c r="W126" i="95"/>
  <c r="W127" i="95"/>
  <c r="W128" i="95"/>
  <c r="W129" i="95"/>
  <c r="W130" i="95"/>
  <c r="W131" i="95"/>
  <c r="W132" i="95"/>
  <c r="W133" i="95"/>
  <c r="W134" i="95"/>
  <c r="W135" i="95"/>
  <c r="W136" i="95"/>
  <c r="W137" i="95"/>
  <c r="W138" i="95"/>
  <c r="W139" i="95"/>
  <c r="W140" i="95"/>
  <c r="W141" i="95"/>
  <c r="W142" i="95"/>
  <c r="W143" i="95"/>
  <c r="W144" i="95"/>
  <c r="W145" i="95"/>
  <c r="W185" i="95"/>
  <c r="W186" i="95"/>
  <c r="W187" i="95"/>
  <c r="W188" i="95"/>
  <c r="W189" i="95"/>
  <c r="W190" i="95"/>
  <c r="W191" i="95"/>
  <c r="W192" i="95"/>
  <c r="W193" i="95"/>
  <c r="W194" i="95"/>
  <c r="W195" i="95"/>
  <c r="W196" i="95"/>
  <c r="W197" i="95"/>
  <c r="W198" i="95"/>
  <c r="W199" i="95"/>
  <c r="W200" i="95"/>
  <c r="W201" i="95"/>
  <c r="W202" i="95"/>
  <c r="W203" i="95"/>
  <c r="W204" i="95"/>
  <c r="W205" i="95"/>
  <c r="W206" i="95"/>
  <c r="W207" i="95"/>
  <c r="I24" i="94"/>
  <c r="J24" i="94" s="1"/>
  <c r="I23" i="94"/>
  <c r="J23" i="94" s="1"/>
  <c r="I22" i="94"/>
  <c r="J22" i="94" s="1"/>
  <c r="I21" i="94"/>
  <c r="J21" i="94" s="1"/>
  <c r="I20" i="94"/>
  <c r="J20" i="94" s="1"/>
  <c r="I19" i="94"/>
  <c r="J19" i="94" s="1"/>
  <c r="I18" i="94"/>
  <c r="J18" i="94" s="1"/>
  <c r="Q18" i="98" l="1"/>
  <c r="Q18" i="97"/>
  <c r="Q14" i="96"/>
  <c r="P18" i="96"/>
  <c r="Q4" i="96"/>
  <c r="R4" i="96"/>
  <c r="O18" i="96"/>
  <c r="R18" i="96" s="1"/>
  <c r="P20" i="96" s="1"/>
  <c r="R16" i="96"/>
  <c r="Q16" i="96"/>
  <c r="Q12" i="96"/>
  <c r="R12" i="96"/>
  <c r="R6" i="96"/>
  <c r="Q6" i="96"/>
  <c r="Q8" i="96"/>
  <c r="R8" i="96"/>
  <c r="W177" i="95"/>
  <c r="P12" i="95" s="1"/>
  <c r="V239" i="95"/>
  <c r="O16" i="95" s="1"/>
  <c r="R16" i="95" s="1"/>
  <c r="V84" i="95"/>
  <c r="O6" i="95" s="1"/>
  <c r="R6" i="95" s="1"/>
  <c r="W115" i="95"/>
  <c r="P8" i="95" s="1"/>
  <c r="W239" i="95"/>
  <c r="P16" i="95" s="1"/>
  <c r="V115" i="95"/>
  <c r="O8" i="95" s="1"/>
  <c r="V177" i="95"/>
  <c r="O12" i="95" s="1"/>
  <c r="R12" i="95" s="1"/>
  <c r="W84" i="95"/>
  <c r="P6" i="95" s="1"/>
  <c r="W52" i="95"/>
  <c r="P4" i="95" s="1"/>
  <c r="W208" i="95"/>
  <c r="P14" i="95" s="1"/>
  <c r="Q14" i="95" s="1"/>
  <c r="R14" i="95"/>
  <c r="W146" i="95"/>
  <c r="P10" i="95" s="1"/>
  <c r="Q10" i="95" s="1"/>
  <c r="V52" i="95"/>
  <c r="O4" i="95" s="1"/>
  <c r="I17" i="94"/>
  <c r="J17" i="94" s="1"/>
  <c r="V17" i="94" s="1"/>
  <c r="I16" i="94"/>
  <c r="J16" i="94" s="1"/>
  <c r="W16" i="94" s="1"/>
  <c r="J15" i="94"/>
  <c r="I15" i="94"/>
  <c r="I14" i="94"/>
  <c r="J14" i="94" s="1"/>
  <c r="V14" i="94" s="1"/>
  <c r="I13" i="94"/>
  <c r="J13" i="94" s="1"/>
  <c r="V13" i="94" s="1"/>
  <c r="I12" i="94"/>
  <c r="J12" i="94" s="1"/>
  <c r="V12" i="94" s="1"/>
  <c r="J11" i="94"/>
  <c r="I11" i="94"/>
  <c r="I10" i="94"/>
  <c r="J10" i="94" s="1"/>
  <c r="I8" i="94"/>
  <c r="J8" i="94" s="1"/>
  <c r="I9" i="94"/>
  <c r="J9" i="94" s="1"/>
  <c r="V9" i="94" s="1"/>
  <c r="V238" i="94"/>
  <c r="J238" i="94"/>
  <c r="W238" i="94" s="1"/>
  <c r="J237" i="94"/>
  <c r="W237" i="94" s="1"/>
  <c r="J236" i="94"/>
  <c r="W236" i="94" s="1"/>
  <c r="W235" i="94"/>
  <c r="J235" i="94"/>
  <c r="V235" i="94" s="1"/>
  <c r="J234" i="94"/>
  <c r="V234" i="94" s="1"/>
  <c r="J233" i="94"/>
  <c r="V233" i="94" s="1"/>
  <c r="J232" i="94"/>
  <c r="W232" i="94" s="1"/>
  <c r="J231" i="94"/>
  <c r="V231" i="94" s="1"/>
  <c r="J230" i="94"/>
  <c r="V230" i="94" s="1"/>
  <c r="J229" i="94"/>
  <c r="W229" i="94" s="1"/>
  <c r="J228" i="94"/>
  <c r="W228" i="94" s="1"/>
  <c r="J227" i="94"/>
  <c r="V227" i="94" s="1"/>
  <c r="J226" i="94"/>
  <c r="V226" i="94" s="1"/>
  <c r="J225" i="94"/>
  <c r="W225" i="94" s="1"/>
  <c r="J224" i="94"/>
  <c r="W224" i="94" s="1"/>
  <c r="J223" i="94"/>
  <c r="V223" i="94" s="1"/>
  <c r="J222" i="94"/>
  <c r="V222" i="94" s="1"/>
  <c r="J221" i="94"/>
  <c r="W221" i="94" s="1"/>
  <c r="J220" i="94"/>
  <c r="W220" i="94" s="1"/>
  <c r="J219" i="94"/>
  <c r="V219" i="94" s="1"/>
  <c r="J218" i="94"/>
  <c r="V218" i="94" s="1"/>
  <c r="J217" i="94"/>
  <c r="W217" i="94" s="1"/>
  <c r="B217" i="94"/>
  <c r="B218" i="94" s="1"/>
  <c r="B219" i="94" s="1"/>
  <c r="B220" i="94" s="1"/>
  <c r="B221" i="94" s="1"/>
  <c r="B222" i="94" s="1"/>
  <c r="B223" i="94" s="1"/>
  <c r="B224" i="94" s="1"/>
  <c r="B225" i="94" s="1"/>
  <c r="B226" i="94" s="1"/>
  <c r="B227" i="94" s="1"/>
  <c r="B228" i="94" s="1"/>
  <c r="B229" i="94" s="1"/>
  <c r="B230" i="94" s="1"/>
  <c r="B231" i="94" s="1"/>
  <c r="B232" i="94" s="1"/>
  <c r="B233" i="94" s="1"/>
  <c r="B234" i="94" s="1"/>
  <c r="B235" i="94" s="1"/>
  <c r="B236" i="94" s="1"/>
  <c r="B237" i="94" s="1"/>
  <c r="B238" i="94" s="1"/>
  <c r="J216" i="94"/>
  <c r="V216" i="94" s="1"/>
  <c r="J207" i="94"/>
  <c r="V207" i="94" s="1"/>
  <c r="J206" i="94"/>
  <c r="V206" i="94" s="1"/>
  <c r="J205" i="94"/>
  <c r="V205" i="94" s="1"/>
  <c r="J204" i="94"/>
  <c r="V204" i="94" s="1"/>
  <c r="J203" i="94"/>
  <c r="V203" i="94" s="1"/>
  <c r="J202" i="94"/>
  <c r="V202" i="94" s="1"/>
  <c r="J201" i="94"/>
  <c r="V201" i="94" s="1"/>
  <c r="J200" i="94"/>
  <c r="V200" i="94" s="1"/>
  <c r="J199" i="94"/>
  <c r="V199" i="94" s="1"/>
  <c r="J198" i="94"/>
  <c r="V198" i="94" s="1"/>
  <c r="J197" i="94"/>
  <c r="V197" i="94" s="1"/>
  <c r="J196" i="94"/>
  <c r="V196" i="94" s="1"/>
  <c r="J195" i="94"/>
  <c r="V195" i="94" s="1"/>
  <c r="J194" i="94"/>
  <c r="V194" i="94" s="1"/>
  <c r="J193" i="94"/>
  <c r="V193" i="94" s="1"/>
  <c r="J192" i="94"/>
  <c r="V192" i="94" s="1"/>
  <c r="J191" i="94"/>
  <c r="V191" i="94" s="1"/>
  <c r="J190" i="94"/>
  <c r="V190" i="94" s="1"/>
  <c r="J189" i="94"/>
  <c r="V189" i="94" s="1"/>
  <c r="J188" i="94"/>
  <c r="V188" i="94" s="1"/>
  <c r="J187" i="94"/>
  <c r="V187" i="94" s="1"/>
  <c r="J186" i="94"/>
  <c r="V186" i="94" s="1"/>
  <c r="B186" i="94"/>
  <c r="B187" i="94" s="1"/>
  <c r="B188" i="94" s="1"/>
  <c r="B189" i="94" s="1"/>
  <c r="B190" i="94" s="1"/>
  <c r="B191" i="94" s="1"/>
  <c r="B192" i="94" s="1"/>
  <c r="B193" i="94" s="1"/>
  <c r="B194" i="94" s="1"/>
  <c r="B195" i="94" s="1"/>
  <c r="B196" i="94" s="1"/>
  <c r="B197" i="94" s="1"/>
  <c r="B198" i="94" s="1"/>
  <c r="B199" i="94" s="1"/>
  <c r="B200" i="94" s="1"/>
  <c r="B201" i="94" s="1"/>
  <c r="B202" i="94" s="1"/>
  <c r="B203" i="94" s="1"/>
  <c r="B204" i="94" s="1"/>
  <c r="B205" i="94" s="1"/>
  <c r="B206" i="94" s="1"/>
  <c r="B207" i="94" s="1"/>
  <c r="J185" i="94"/>
  <c r="V185" i="94" s="1"/>
  <c r="J176" i="94"/>
  <c r="V176" i="94" s="1"/>
  <c r="W175" i="94"/>
  <c r="J175" i="94"/>
  <c r="V175" i="94" s="1"/>
  <c r="J174" i="94"/>
  <c r="W174" i="94" s="1"/>
  <c r="J173" i="94"/>
  <c r="V173" i="94" s="1"/>
  <c r="J172" i="94"/>
  <c r="W172" i="94" s="1"/>
  <c r="J171" i="94"/>
  <c r="V171" i="94" s="1"/>
  <c r="J170" i="94"/>
  <c r="V170" i="94" s="1"/>
  <c r="J169" i="94"/>
  <c r="V169" i="94" s="1"/>
  <c r="J168" i="94"/>
  <c r="W168" i="94" s="1"/>
  <c r="J167" i="94"/>
  <c r="V167" i="94" s="1"/>
  <c r="J166" i="94"/>
  <c r="W166" i="94" s="1"/>
  <c r="J165" i="94"/>
  <c r="V165" i="94" s="1"/>
  <c r="J164" i="94"/>
  <c r="V164" i="94" s="1"/>
  <c r="J163" i="94"/>
  <c r="W163" i="94" s="1"/>
  <c r="J162" i="94"/>
  <c r="V162" i="94" s="1"/>
  <c r="J161" i="94"/>
  <c r="V161" i="94" s="1"/>
  <c r="J160" i="94"/>
  <c r="V160" i="94" s="1"/>
  <c r="J159" i="94"/>
  <c r="W159" i="94" s="1"/>
  <c r="J158" i="94"/>
  <c r="V158" i="94" s="1"/>
  <c r="J157" i="94"/>
  <c r="V157" i="94" s="1"/>
  <c r="J156" i="94"/>
  <c r="V156" i="94" s="1"/>
  <c r="J155" i="94"/>
  <c r="W155" i="94" s="1"/>
  <c r="B155" i="94"/>
  <c r="B156" i="94" s="1"/>
  <c r="B157" i="94" s="1"/>
  <c r="B158" i="94" s="1"/>
  <c r="B159" i="94" s="1"/>
  <c r="B160" i="94" s="1"/>
  <c r="B161" i="94" s="1"/>
  <c r="B162" i="94" s="1"/>
  <c r="B163" i="94" s="1"/>
  <c r="B164" i="94" s="1"/>
  <c r="B165" i="94" s="1"/>
  <c r="B166" i="94" s="1"/>
  <c r="B167" i="94" s="1"/>
  <c r="B168" i="94" s="1"/>
  <c r="B169" i="94" s="1"/>
  <c r="B170" i="94" s="1"/>
  <c r="B171" i="94" s="1"/>
  <c r="B172" i="94" s="1"/>
  <c r="B173" i="94" s="1"/>
  <c r="B174" i="94" s="1"/>
  <c r="B175" i="94" s="1"/>
  <c r="B176" i="94" s="1"/>
  <c r="J154" i="94"/>
  <c r="V154" i="94" s="1"/>
  <c r="J145" i="94"/>
  <c r="V145" i="94" s="1"/>
  <c r="J144" i="94"/>
  <c r="V144" i="94" s="1"/>
  <c r="J143" i="94"/>
  <c r="V143" i="94" s="1"/>
  <c r="J142" i="94"/>
  <c r="V142" i="94" s="1"/>
  <c r="J141" i="94"/>
  <c r="V141" i="94" s="1"/>
  <c r="J140" i="94"/>
  <c r="V140" i="94" s="1"/>
  <c r="J139" i="94"/>
  <c r="V139" i="94" s="1"/>
  <c r="J138" i="94"/>
  <c r="V138" i="94" s="1"/>
  <c r="J137" i="94"/>
  <c r="V137" i="94" s="1"/>
  <c r="J136" i="94"/>
  <c r="V136" i="94" s="1"/>
  <c r="J135" i="94"/>
  <c r="V135" i="94" s="1"/>
  <c r="J134" i="94"/>
  <c r="V134" i="94" s="1"/>
  <c r="J133" i="94"/>
  <c r="V133" i="94" s="1"/>
  <c r="J132" i="94"/>
  <c r="V132" i="94" s="1"/>
  <c r="J131" i="94"/>
  <c r="V131" i="94" s="1"/>
  <c r="J130" i="94"/>
  <c r="V130" i="94" s="1"/>
  <c r="J129" i="94"/>
  <c r="V129" i="94" s="1"/>
  <c r="J128" i="94"/>
  <c r="V128" i="94" s="1"/>
  <c r="J127" i="94"/>
  <c r="V127" i="94" s="1"/>
  <c r="J126" i="94"/>
  <c r="V126" i="94" s="1"/>
  <c r="J125" i="94"/>
  <c r="V125" i="94" s="1"/>
  <c r="J124" i="94"/>
  <c r="V124" i="94" s="1"/>
  <c r="B124" i="94"/>
  <c r="B125" i="94" s="1"/>
  <c r="B126" i="94" s="1"/>
  <c r="B127" i="94" s="1"/>
  <c r="B128" i="94" s="1"/>
  <c r="B129" i="94" s="1"/>
  <c r="B130" i="94" s="1"/>
  <c r="B131" i="94" s="1"/>
  <c r="B132" i="94" s="1"/>
  <c r="B133" i="94" s="1"/>
  <c r="B134" i="94" s="1"/>
  <c r="B135" i="94" s="1"/>
  <c r="B136" i="94" s="1"/>
  <c r="B137" i="94" s="1"/>
  <c r="B138" i="94" s="1"/>
  <c r="B139" i="94" s="1"/>
  <c r="B140" i="94" s="1"/>
  <c r="B141" i="94" s="1"/>
  <c r="B142" i="94" s="1"/>
  <c r="B143" i="94" s="1"/>
  <c r="B144" i="94" s="1"/>
  <c r="B145" i="94" s="1"/>
  <c r="J123" i="94"/>
  <c r="V123" i="94" s="1"/>
  <c r="J114" i="94"/>
  <c r="W114" i="94" s="1"/>
  <c r="W113" i="94"/>
  <c r="J113" i="94"/>
  <c r="V113" i="94" s="1"/>
  <c r="V112" i="94"/>
  <c r="J112" i="94"/>
  <c r="W112" i="94" s="1"/>
  <c r="J111" i="94"/>
  <c r="W111" i="94" s="1"/>
  <c r="J110" i="94"/>
  <c r="V110" i="94" s="1"/>
  <c r="J109" i="94"/>
  <c r="V109" i="94" s="1"/>
  <c r="J108" i="94"/>
  <c r="W108" i="94" s="1"/>
  <c r="J107" i="94"/>
  <c r="W107" i="94" s="1"/>
  <c r="J106" i="94"/>
  <c r="W106" i="94" s="1"/>
  <c r="J105" i="94"/>
  <c r="V105" i="94" s="1"/>
  <c r="J104" i="94"/>
  <c r="V104" i="94" s="1"/>
  <c r="J103" i="94"/>
  <c r="V103" i="94" s="1"/>
  <c r="J102" i="94"/>
  <c r="V102" i="94" s="1"/>
  <c r="J101" i="94"/>
  <c r="V101" i="94" s="1"/>
  <c r="J100" i="94"/>
  <c r="V100" i="94" s="1"/>
  <c r="J99" i="94"/>
  <c r="V99" i="94" s="1"/>
  <c r="J98" i="94"/>
  <c r="W98" i="94" s="1"/>
  <c r="J97" i="94"/>
  <c r="V97" i="94" s="1"/>
  <c r="J96" i="94"/>
  <c r="V96" i="94" s="1"/>
  <c r="J95" i="94"/>
  <c r="V95" i="94" s="1"/>
  <c r="W94" i="94"/>
  <c r="J94" i="94"/>
  <c r="V94" i="94" s="1"/>
  <c r="J93" i="94"/>
  <c r="V93" i="94" s="1"/>
  <c r="B93" i="94"/>
  <c r="B94" i="94" s="1"/>
  <c r="B95" i="94" s="1"/>
  <c r="B96" i="94" s="1"/>
  <c r="B97" i="94" s="1"/>
  <c r="B98" i="94" s="1"/>
  <c r="B99" i="94" s="1"/>
  <c r="B100" i="94" s="1"/>
  <c r="B101" i="94" s="1"/>
  <c r="B102" i="94" s="1"/>
  <c r="B103" i="94" s="1"/>
  <c r="B104" i="94" s="1"/>
  <c r="B105" i="94" s="1"/>
  <c r="B106" i="94" s="1"/>
  <c r="B107" i="94" s="1"/>
  <c r="B108" i="94" s="1"/>
  <c r="B109" i="94" s="1"/>
  <c r="B110" i="94" s="1"/>
  <c r="B111" i="94" s="1"/>
  <c r="B112" i="94" s="1"/>
  <c r="B113" i="94" s="1"/>
  <c r="B114" i="94" s="1"/>
  <c r="J92" i="94"/>
  <c r="V92" i="94" s="1"/>
  <c r="J83" i="94"/>
  <c r="V83" i="94" s="1"/>
  <c r="J82" i="94"/>
  <c r="V82" i="94" s="1"/>
  <c r="J81" i="94"/>
  <c r="J80" i="94"/>
  <c r="V80" i="94" s="1"/>
  <c r="J79" i="94"/>
  <c r="W79" i="94" s="1"/>
  <c r="J78" i="94"/>
  <c r="V78" i="94" s="1"/>
  <c r="J77" i="94"/>
  <c r="W77" i="94" s="1"/>
  <c r="J76" i="94"/>
  <c r="V76" i="94" s="1"/>
  <c r="J75" i="94"/>
  <c r="W75" i="94" s="1"/>
  <c r="J74" i="94"/>
  <c r="V74" i="94" s="1"/>
  <c r="J73" i="94"/>
  <c r="W73" i="94" s="1"/>
  <c r="J72" i="94"/>
  <c r="V72" i="94" s="1"/>
  <c r="J71" i="94"/>
  <c r="W71" i="94" s="1"/>
  <c r="J70" i="94"/>
  <c r="V70" i="94" s="1"/>
  <c r="J69" i="94"/>
  <c r="V69" i="94" s="1"/>
  <c r="J68" i="94"/>
  <c r="V68" i="94" s="1"/>
  <c r="J67" i="94"/>
  <c r="W67" i="94" s="1"/>
  <c r="J66" i="94"/>
  <c r="V66" i="94" s="1"/>
  <c r="J65" i="94"/>
  <c r="W65" i="94" s="1"/>
  <c r="J64" i="94"/>
  <c r="V64" i="94" s="1"/>
  <c r="J63" i="94"/>
  <c r="W63" i="94" s="1"/>
  <c r="J62" i="94"/>
  <c r="V62" i="94" s="1"/>
  <c r="J61" i="94"/>
  <c r="W61" i="94" s="1"/>
  <c r="B61" i="94"/>
  <c r="B62" i="94" s="1"/>
  <c r="B63" i="94" s="1"/>
  <c r="B64" i="94" s="1"/>
  <c r="B65" i="94" s="1"/>
  <c r="B66" i="94" s="1"/>
  <c r="B67" i="94" s="1"/>
  <c r="B68" i="94" s="1"/>
  <c r="B69" i="94" s="1"/>
  <c r="B70" i="94" s="1"/>
  <c r="B71" i="94" s="1"/>
  <c r="B72" i="94" s="1"/>
  <c r="B73" i="94" s="1"/>
  <c r="B74" i="94" s="1"/>
  <c r="B75" i="94" s="1"/>
  <c r="B76" i="94" s="1"/>
  <c r="B77" i="94" s="1"/>
  <c r="B78" i="94" s="1"/>
  <c r="B79" i="94" s="1"/>
  <c r="B80" i="94" s="1"/>
  <c r="B81" i="94" s="1"/>
  <c r="B82" i="94" s="1"/>
  <c r="B83" i="94" s="1"/>
  <c r="J60" i="94"/>
  <c r="W60" i="94" s="1"/>
  <c r="W51" i="94"/>
  <c r="V51" i="94"/>
  <c r="W50" i="94"/>
  <c r="V50" i="94"/>
  <c r="W49" i="94"/>
  <c r="V49" i="94"/>
  <c r="W48" i="94"/>
  <c r="V48" i="94"/>
  <c r="W47" i="94"/>
  <c r="V47" i="94"/>
  <c r="W46" i="94"/>
  <c r="V46" i="94"/>
  <c r="W45" i="94"/>
  <c r="V45" i="94"/>
  <c r="W44" i="94"/>
  <c r="V44" i="94"/>
  <c r="V43" i="94"/>
  <c r="V42" i="94"/>
  <c r="W42" i="94"/>
  <c r="W41" i="94"/>
  <c r="V41" i="94"/>
  <c r="V39" i="94"/>
  <c r="V38" i="94"/>
  <c r="W38" i="94"/>
  <c r="W37" i="94"/>
  <c r="V37" i="94"/>
  <c r="V35" i="94"/>
  <c r="V34" i="94"/>
  <c r="W34" i="94"/>
  <c r="W33" i="94"/>
  <c r="V33" i="94"/>
  <c r="V31" i="94"/>
  <c r="V30" i="94"/>
  <c r="W30" i="94"/>
  <c r="W29" i="94"/>
  <c r="V29" i="94"/>
  <c r="V27" i="94"/>
  <c r="V26" i="94"/>
  <c r="W26" i="94"/>
  <c r="W25" i="94"/>
  <c r="V25" i="94"/>
  <c r="V23" i="94"/>
  <c r="V22" i="94"/>
  <c r="W22" i="94"/>
  <c r="W21" i="94"/>
  <c r="V21" i="94"/>
  <c r="W20" i="94"/>
  <c r="V19" i="94"/>
  <c r="W19" i="94"/>
  <c r="N16" i="94"/>
  <c r="N14" i="94"/>
  <c r="N12" i="94"/>
  <c r="N10" i="94"/>
  <c r="N8" i="94"/>
  <c r="B8" i="94"/>
  <c r="B9" i="94" s="1"/>
  <c r="B10" i="94" s="1"/>
  <c r="B11" i="94" s="1"/>
  <c r="B12" i="94" s="1"/>
  <c r="B13" i="94" s="1"/>
  <c r="B14" i="94" s="1"/>
  <c r="B15" i="94" s="1"/>
  <c r="B16" i="94" s="1"/>
  <c r="B17" i="94" s="1"/>
  <c r="B18" i="94" s="1"/>
  <c r="B19" i="94" s="1"/>
  <c r="B20" i="94" s="1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B32" i="94" s="1"/>
  <c r="B33" i="94" s="1"/>
  <c r="B34" i="94" s="1"/>
  <c r="B35" i="94" s="1"/>
  <c r="B36" i="94" s="1"/>
  <c r="B37" i="94" s="1"/>
  <c r="B38" i="94" s="1"/>
  <c r="B39" i="94" s="1"/>
  <c r="B40" i="94" s="1"/>
  <c r="B41" i="94" s="1"/>
  <c r="B42" i="94" s="1"/>
  <c r="B43" i="94" s="1"/>
  <c r="B44" i="94" s="1"/>
  <c r="B45" i="94" s="1"/>
  <c r="B46" i="94" s="1"/>
  <c r="B47" i="94" s="1"/>
  <c r="B48" i="94" s="1"/>
  <c r="B49" i="94" s="1"/>
  <c r="B50" i="94" s="1"/>
  <c r="B51" i="94" s="1"/>
  <c r="I7" i="94"/>
  <c r="J7" i="94" s="1"/>
  <c r="B7" i="94"/>
  <c r="N6" i="94"/>
  <c r="J6" i="94"/>
  <c r="V6" i="94" s="1"/>
  <c r="I6" i="94"/>
  <c r="N4" i="94"/>
  <c r="I43" i="93"/>
  <c r="J43" i="93" s="1"/>
  <c r="I42" i="93"/>
  <c r="J42" i="93" s="1"/>
  <c r="I41" i="93"/>
  <c r="J41" i="93" s="1"/>
  <c r="I40" i="93"/>
  <c r="J40" i="93" s="1"/>
  <c r="V225" i="94" l="1"/>
  <c r="V114" i="94"/>
  <c r="W167" i="94"/>
  <c r="W170" i="94"/>
  <c r="W78" i="94"/>
  <c r="V111" i="94"/>
  <c r="W176" i="94"/>
  <c r="V217" i="94"/>
  <c r="V65" i="94"/>
  <c r="V108" i="94"/>
  <c r="V174" i="94"/>
  <c r="W230" i="94"/>
  <c r="V237" i="94"/>
  <c r="V221" i="94"/>
  <c r="V229" i="94"/>
  <c r="V236" i="94"/>
  <c r="Q18" i="96"/>
  <c r="Q16" i="95"/>
  <c r="Q6" i="95"/>
  <c r="Q8" i="95"/>
  <c r="R8" i="95"/>
  <c r="Q12" i="95"/>
  <c r="P18" i="95"/>
  <c r="O18" i="95"/>
  <c r="R18" i="95" s="1"/>
  <c r="P20" i="95" s="1"/>
  <c r="R4" i="95"/>
  <c r="Q4" i="95"/>
  <c r="W234" i="94"/>
  <c r="W109" i="94"/>
  <c r="W171" i="94"/>
  <c r="W233" i="94"/>
  <c r="V232" i="94"/>
  <c r="V77" i="94"/>
  <c r="V107" i="94"/>
  <c r="V106" i="94"/>
  <c r="W74" i="94"/>
  <c r="V166" i="94"/>
  <c r="V228" i="94"/>
  <c r="W103" i="94"/>
  <c r="W226" i="94"/>
  <c r="V224" i="94"/>
  <c r="W69" i="94"/>
  <c r="W222" i="94"/>
  <c r="V220" i="94"/>
  <c r="W13" i="94"/>
  <c r="W218" i="94"/>
  <c r="W62" i="94"/>
  <c r="V61" i="94"/>
  <c r="W216" i="94"/>
  <c r="V60" i="94"/>
  <c r="J239" i="94"/>
  <c r="W219" i="94"/>
  <c r="W223" i="94"/>
  <c r="W227" i="94"/>
  <c r="W231" i="94"/>
  <c r="V168" i="94"/>
  <c r="W169" i="94"/>
  <c r="V172" i="94"/>
  <c r="W173" i="94"/>
  <c r="W157" i="94"/>
  <c r="W161" i="94"/>
  <c r="W165" i="94"/>
  <c r="J177" i="94"/>
  <c r="V155" i="94"/>
  <c r="V159" i="94"/>
  <c r="V163" i="94"/>
  <c r="W156" i="94"/>
  <c r="W160" i="94"/>
  <c r="W164" i="94"/>
  <c r="W162" i="94"/>
  <c r="W158" i="94"/>
  <c r="W154" i="94"/>
  <c r="W110" i="94"/>
  <c r="W95" i="94"/>
  <c r="V98" i="94"/>
  <c r="W102" i="94"/>
  <c r="W99" i="94"/>
  <c r="W96" i="94"/>
  <c r="W100" i="94"/>
  <c r="W104" i="94"/>
  <c r="W92" i="94"/>
  <c r="W93" i="94"/>
  <c r="W97" i="94"/>
  <c r="W101" i="94"/>
  <c r="W105" i="94"/>
  <c r="J115" i="94"/>
  <c r="W70" i="94"/>
  <c r="V73" i="94"/>
  <c r="W66" i="94"/>
  <c r="V63" i="94"/>
  <c r="W64" i="94"/>
  <c r="V67" i="94"/>
  <c r="W68" i="94"/>
  <c r="V71" i="94"/>
  <c r="W72" i="94"/>
  <c r="V75" i="94"/>
  <c r="W76" i="94"/>
  <c r="V79" i="94"/>
  <c r="W80" i="94"/>
  <c r="N18" i="94"/>
  <c r="W8" i="94"/>
  <c r="V8" i="94"/>
  <c r="W11" i="94"/>
  <c r="V11" i="94"/>
  <c r="V16" i="94"/>
  <c r="V18" i="94"/>
  <c r="W18" i="94"/>
  <c r="V24" i="94"/>
  <c r="W24" i="94"/>
  <c r="W32" i="94"/>
  <c r="V32" i="94"/>
  <c r="W40" i="94"/>
  <c r="V40" i="94"/>
  <c r="V7" i="94"/>
  <c r="W7" i="94"/>
  <c r="V10" i="94"/>
  <c r="W10" i="94"/>
  <c r="V146" i="94"/>
  <c r="O10" i="94" s="1"/>
  <c r="R10" i="94" s="1"/>
  <c r="V208" i="94"/>
  <c r="O14" i="94" s="1"/>
  <c r="R14" i="94" s="1"/>
  <c r="W15" i="94"/>
  <c r="V15" i="94"/>
  <c r="V28" i="94"/>
  <c r="W28" i="94"/>
  <c r="V36" i="94"/>
  <c r="W36" i="94"/>
  <c r="J52" i="94"/>
  <c r="J84" i="94"/>
  <c r="J146" i="94"/>
  <c r="J208" i="94"/>
  <c r="W12" i="94"/>
  <c r="W6" i="94"/>
  <c r="W9" i="94"/>
  <c r="W14" i="94"/>
  <c r="W17" i="94"/>
  <c r="V20" i="94"/>
  <c r="W23" i="94"/>
  <c r="W27" i="94"/>
  <c r="W31" i="94"/>
  <c r="W35" i="94"/>
  <c r="W39" i="94"/>
  <c r="W43" i="94"/>
  <c r="W82" i="94"/>
  <c r="W83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I39" i="93"/>
  <c r="J39" i="93" s="1"/>
  <c r="I38" i="93"/>
  <c r="J38" i="93" s="1"/>
  <c r="I37" i="93"/>
  <c r="J37" i="93" s="1"/>
  <c r="I36" i="93"/>
  <c r="J36" i="93" s="1"/>
  <c r="I35" i="93"/>
  <c r="J35" i="93" s="1"/>
  <c r="V115" i="94" l="1"/>
  <c r="O8" i="94" s="1"/>
  <c r="R8" i="94" s="1"/>
  <c r="Q18" i="95"/>
  <c r="V177" i="94"/>
  <c r="O12" i="94" s="1"/>
  <c r="R12" i="94" s="1"/>
  <c r="V239" i="94"/>
  <c r="O16" i="94" s="1"/>
  <c r="R16" i="94" s="1"/>
  <c r="W239" i="94"/>
  <c r="P16" i="94" s="1"/>
  <c r="V52" i="94"/>
  <c r="O4" i="94" s="1"/>
  <c r="W177" i="94"/>
  <c r="P12" i="94" s="1"/>
  <c r="W115" i="94"/>
  <c r="P8" i="94" s="1"/>
  <c r="Q8" i="94" s="1"/>
  <c r="V84" i="94"/>
  <c r="O6" i="94" s="1"/>
  <c r="R6" i="94" s="1"/>
  <c r="W84" i="94"/>
  <c r="P6" i="94" s="1"/>
  <c r="W208" i="94"/>
  <c r="P14" i="94" s="1"/>
  <c r="Q14" i="94" s="1"/>
  <c r="W52" i="94"/>
  <c r="P4" i="94" s="1"/>
  <c r="W146" i="94"/>
  <c r="P10" i="94" s="1"/>
  <c r="Q10" i="94" s="1"/>
  <c r="I34" i="93"/>
  <c r="J34" i="93" s="1"/>
  <c r="I33" i="93"/>
  <c r="J33" i="93" s="1"/>
  <c r="J32" i="93"/>
  <c r="I32" i="93"/>
  <c r="I31" i="93"/>
  <c r="J31" i="93" s="1"/>
  <c r="I30" i="93"/>
  <c r="J30" i="93" s="1"/>
  <c r="I29" i="93"/>
  <c r="J29" i="93" s="1"/>
  <c r="I28" i="93"/>
  <c r="J28" i="93" s="1"/>
  <c r="I27" i="93"/>
  <c r="J27" i="93" s="1"/>
  <c r="I26" i="93"/>
  <c r="J26" i="93" s="1"/>
  <c r="I25" i="93"/>
  <c r="J25" i="93" s="1"/>
  <c r="I24" i="93"/>
  <c r="J24" i="93" s="1"/>
  <c r="I23" i="93"/>
  <c r="J23" i="93" s="1"/>
  <c r="I22" i="93"/>
  <c r="J22" i="93" s="1"/>
  <c r="I21" i="93"/>
  <c r="J21" i="93" s="1"/>
  <c r="I20" i="93"/>
  <c r="J20" i="93" s="1"/>
  <c r="Q12" i="94" l="1"/>
  <c r="Q16" i="94"/>
  <c r="O18" i="94"/>
  <c r="R18" i="94" s="1"/>
  <c r="P20" i="94" s="1"/>
  <c r="P18" i="94"/>
  <c r="R4" i="94"/>
  <c r="Q6" i="94"/>
  <c r="Q4" i="94"/>
  <c r="J19" i="93"/>
  <c r="I19" i="93"/>
  <c r="I18" i="93"/>
  <c r="J18" i="93" s="1"/>
  <c r="J17" i="93"/>
  <c r="I17" i="93"/>
  <c r="I16" i="93"/>
  <c r="J16" i="93" s="1"/>
  <c r="J15" i="93"/>
  <c r="I15" i="93"/>
  <c r="I14" i="93"/>
  <c r="J14" i="93" s="1"/>
  <c r="I13" i="93"/>
  <c r="J13" i="93" s="1"/>
  <c r="I12" i="93"/>
  <c r="J12" i="93" s="1"/>
  <c r="I11" i="93"/>
  <c r="J11" i="93" s="1"/>
  <c r="I10" i="93"/>
  <c r="J10" i="93" s="1"/>
  <c r="N16" i="93"/>
  <c r="N14" i="93"/>
  <c r="N12" i="93"/>
  <c r="N10" i="93"/>
  <c r="N8" i="93"/>
  <c r="N6" i="93"/>
  <c r="N4" i="93"/>
  <c r="I8" i="93"/>
  <c r="J8" i="93" s="1"/>
  <c r="I9" i="93"/>
  <c r="J9" i="93" s="1"/>
  <c r="Q18" i="94" l="1"/>
  <c r="N18" i="93"/>
  <c r="J123" i="93" l="1"/>
  <c r="V123" i="93" s="1"/>
  <c r="J124" i="93"/>
  <c r="W124" i="93" s="1"/>
  <c r="J125" i="93"/>
  <c r="W125" i="93" s="1"/>
  <c r="J126" i="93"/>
  <c r="W126" i="93" s="1"/>
  <c r="J127" i="93"/>
  <c r="W127" i="93" s="1"/>
  <c r="J128" i="93"/>
  <c r="V128" i="93" s="1"/>
  <c r="J129" i="93"/>
  <c r="V129" i="93" s="1"/>
  <c r="J130" i="93"/>
  <c r="W130" i="93" s="1"/>
  <c r="J238" i="93"/>
  <c r="W238" i="93" s="1"/>
  <c r="J237" i="93"/>
  <c r="W237" i="93" s="1"/>
  <c r="J236" i="93"/>
  <c r="W236" i="93" s="1"/>
  <c r="J235" i="93"/>
  <c r="W235" i="93" s="1"/>
  <c r="J234" i="93"/>
  <c r="W234" i="93" s="1"/>
  <c r="J233" i="93"/>
  <c r="W233" i="93" s="1"/>
  <c r="J232" i="93"/>
  <c r="W232" i="93" s="1"/>
  <c r="J231" i="93"/>
  <c r="W231" i="93" s="1"/>
  <c r="J230" i="93"/>
  <c r="W230" i="93" s="1"/>
  <c r="J229" i="93"/>
  <c r="W229" i="93" s="1"/>
  <c r="J228" i="93"/>
  <c r="W228" i="93" s="1"/>
  <c r="J227" i="93"/>
  <c r="W227" i="93" s="1"/>
  <c r="J226" i="93"/>
  <c r="W226" i="93" s="1"/>
  <c r="J225" i="93"/>
  <c r="W225" i="93" s="1"/>
  <c r="J224" i="93"/>
  <c r="W224" i="93" s="1"/>
  <c r="J223" i="93"/>
  <c r="W223" i="93" s="1"/>
  <c r="J222" i="93"/>
  <c r="W222" i="93" s="1"/>
  <c r="J221" i="93"/>
  <c r="W221" i="93" s="1"/>
  <c r="J220" i="93"/>
  <c r="W220" i="93" s="1"/>
  <c r="J219" i="93"/>
  <c r="W219" i="93" s="1"/>
  <c r="J218" i="93"/>
  <c r="W218" i="93" s="1"/>
  <c r="J217" i="93"/>
  <c r="W217" i="93" s="1"/>
  <c r="B217" i="93"/>
  <c r="B218" i="93" s="1"/>
  <c r="B219" i="93" s="1"/>
  <c r="B220" i="93" s="1"/>
  <c r="B221" i="93" s="1"/>
  <c r="B222" i="93" s="1"/>
  <c r="B223" i="93" s="1"/>
  <c r="B224" i="93" s="1"/>
  <c r="B225" i="93" s="1"/>
  <c r="B226" i="93" s="1"/>
  <c r="B227" i="93" s="1"/>
  <c r="B228" i="93" s="1"/>
  <c r="B229" i="93" s="1"/>
  <c r="B230" i="93" s="1"/>
  <c r="B231" i="93" s="1"/>
  <c r="B232" i="93" s="1"/>
  <c r="B233" i="93" s="1"/>
  <c r="B234" i="93" s="1"/>
  <c r="B235" i="93" s="1"/>
  <c r="B236" i="93" s="1"/>
  <c r="B237" i="93" s="1"/>
  <c r="B238" i="93" s="1"/>
  <c r="J216" i="93"/>
  <c r="W216" i="93" s="1"/>
  <c r="J207" i="93"/>
  <c r="V207" i="93" s="1"/>
  <c r="J206" i="93"/>
  <c r="V206" i="93" s="1"/>
  <c r="J205" i="93"/>
  <c r="V205" i="93" s="1"/>
  <c r="J204" i="93"/>
  <c r="V204" i="93" s="1"/>
  <c r="J203" i="93"/>
  <c r="V203" i="93" s="1"/>
  <c r="J202" i="93"/>
  <c r="V202" i="93" s="1"/>
  <c r="J201" i="93"/>
  <c r="V201" i="93" s="1"/>
  <c r="J200" i="93"/>
  <c r="V200" i="93" s="1"/>
  <c r="J199" i="93"/>
  <c r="V199" i="93" s="1"/>
  <c r="J198" i="93"/>
  <c r="V198" i="93" s="1"/>
  <c r="J197" i="93"/>
  <c r="V197" i="93" s="1"/>
  <c r="J196" i="93"/>
  <c r="V196" i="93" s="1"/>
  <c r="J195" i="93"/>
  <c r="V195" i="93" s="1"/>
  <c r="J194" i="93"/>
  <c r="V194" i="93" s="1"/>
  <c r="J193" i="93"/>
  <c r="V193" i="93" s="1"/>
  <c r="J192" i="93"/>
  <c r="V192" i="93" s="1"/>
  <c r="J191" i="93"/>
  <c r="V191" i="93" s="1"/>
  <c r="J190" i="93"/>
  <c r="V190" i="93" s="1"/>
  <c r="J189" i="93"/>
  <c r="V189" i="93" s="1"/>
  <c r="J188" i="93"/>
  <c r="V188" i="93" s="1"/>
  <c r="J187" i="93"/>
  <c r="V187" i="93" s="1"/>
  <c r="J186" i="93"/>
  <c r="V186" i="93" s="1"/>
  <c r="B186" i="93"/>
  <c r="B187" i="93" s="1"/>
  <c r="B188" i="93" s="1"/>
  <c r="B189" i="93" s="1"/>
  <c r="B190" i="93" s="1"/>
  <c r="B191" i="93" s="1"/>
  <c r="B192" i="93" s="1"/>
  <c r="B193" i="93" s="1"/>
  <c r="B194" i="93" s="1"/>
  <c r="B195" i="93" s="1"/>
  <c r="B196" i="93" s="1"/>
  <c r="B197" i="93" s="1"/>
  <c r="B198" i="93" s="1"/>
  <c r="B199" i="93" s="1"/>
  <c r="B200" i="93" s="1"/>
  <c r="B201" i="93" s="1"/>
  <c r="B202" i="93" s="1"/>
  <c r="B203" i="93" s="1"/>
  <c r="B204" i="93" s="1"/>
  <c r="B205" i="93" s="1"/>
  <c r="B206" i="93" s="1"/>
  <c r="B207" i="93" s="1"/>
  <c r="J185" i="93"/>
  <c r="V185" i="93" s="1"/>
  <c r="J176" i="93"/>
  <c r="W176" i="93" s="1"/>
  <c r="J175" i="93"/>
  <c r="W175" i="93" s="1"/>
  <c r="J174" i="93"/>
  <c r="W174" i="93" s="1"/>
  <c r="J173" i="93"/>
  <c r="W173" i="93" s="1"/>
  <c r="J172" i="93"/>
  <c r="W172" i="93" s="1"/>
  <c r="J171" i="93"/>
  <c r="W171" i="93" s="1"/>
  <c r="J170" i="93"/>
  <c r="W170" i="93" s="1"/>
  <c r="J169" i="93"/>
  <c r="W169" i="93" s="1"/>
  <c r="J168" i="93"/>
  <c r="W168" i="93" s="1"/>
  <c r="J167" i="93"/>
  <c r="W167" i="93" s="1"/>
  <c r="J166" i="93"/>
  <c r="W166" i="93" s="1"/>
  <c r="J165" i="93"/>
  <c r="W165" i="93" s="1"/>
  <c r="J164" i="93"/>
  <c r="W164" i="93" s="1"/>
  <c r="J163" i="93"/>
  <c r="W163" i="93" s="1"/>
  <c r="J162" i="93"/>
  <c r="W162" i="93" s="1"/>
  <c r="J161" i="93"/>
  <c r="W161" i="93" s="1"/>
  <c r="J160" i="93"/>
  <c r="W160" i="93" s="1"/>
  <c r="J159" i="93"/>
  <c r="W159" i="93" s="1"/>
  <c r="J158" i="93"/>
  <c r="W158" i="93" s="1"/>
  <c r="J157" i="93"/>
  <c r="W157" i="93" s="1"/>
  <c r="J156" i="93"/>
  <c r="W156" i="93" s="1"/>
  <c r="J155" i="93"/>
  <c r="W155" i="93" s="1"/>
  <c r="B155" i="93"/>
  <c r="B156" i="93" s="1"/>
  <c r="B157" i="93" s="1"/>
  <c r="B158" i="93" s="1"/>
  <c r="B159" i="93" s="1"/>
  <c r="B160" i="93" s="1"/>
  <c r="B161" i="93" s="1"/>
  <c r="B162" i="93" s="1"/>
  <c r="B163" i="93" s="1"/>
  <c r="B164" i="93" s="1"/>
  <c r="B165" i="93" s="1"/>
  <c r="B166" i="93" s="1"/>
  <c r="B167" i="93" s="1"/>
  <c r="B168" i="93" s="1"/>
  <c r="B169" i="93" s="1"/>
  <c r="B170" i="93" s="1"/>
  <c r="B171" i="93" s="1"/>
  <c r="B172" i="93" s="1"/>
  <c r="B173" i="93" s="1"/>
  <c r="B174" i="93" s="1"/>
  <c r="B175" i="93" s="1"/>
  <c r="B176" i="93" s="1"/>
  <c r="J154" i="93"/>
  <c r="W154" i="93" s="1"/>
  <c r="J145" i="93"/>
  <c r="V145" i="93" s="1"/>
  <c r="W144" i="93"/>
  <c r="J144" i="93"/>
  <c r="V144" i="93" s="1"/>
  <c r="J143" i="93"/>
  <c r="V143" i="93" s="1"/>
  <c r="J142" i="93"/>
  <c r="V142" i="93" s="1"/>
  <c r="J141" i="93"/>
  <c r="V141" i="93" s="1"/>
  <c r="J140" i="93"/>
  <c r="V140" i="93" s="1"/>
  <c r="J139" i="93"/>
  <c r="V139" i="93" s="1"/>
  <c r="J138" i="93"/>
  <c r="V138" i="93" s="1"/>
  <c r="J137" i="93"/>
  <c r="V137" i="93" s="1"/>
  <c r="J136" i="93"/>
  <c r="V136" i="93" s="1"/>
  <c r="J135" i="93"/>
  <c r="V135" i="93" s="1"/>
  <c r="J134" i="93"/>
  <c r="V134" i="93" s="1"/>
  <c r="J133" i="93"/>
  <c r="V133" i="93" s="1"/>
  <c r="J132" i="93"/>
  <c r="V132" i="93" s="1"/>
  <c r="J131" i="93"/>
  <c r="V131" i="93" s="1"/>
  <c r="W129" i="93"/>
  <c r="W128" i="93"/>
  <c r="V125" i="93"/>
  <c r="V124" i="93"/>
  <c r="B124" i="93"/>
  <c r="B125" i="93" s="1"/>
  <c r="B126" i="93" s="1"/>
  <c r="B127" i="93" s="1"/>
  <c r="B128" i="93" s="1"/>
  <c r="B129" i="93" s="1"/>
  <c r="B130" i="93" s="1"/>
  <c r="B131" i="93" s="1"/>
  <c r="B132" i="93" s="1"/>
  <c r="B133" i="93" s="1"/>
  <c r="B134" i="93" s="1"/>
  <c r="B135" i="93" s="1"/>
  <c r="B136" i="93" s="1"/>
  <c r="B137" i="93" s="1"/>
  <c r="B138" i="93" s="1"/>
  <c r="B139" i="93" s="1"/>
  <c r="B140" i="93" s="1"/>
  <c r="B141" i="93" s="1"/>
  <c r="B142" i="93" s="1"/>
  <c r="B143" i="93" s="1"/>
  <c r="B144" i="93" s="1"/>
  <c r="B145" i="93" s="1"/>
  <c r="J114" i="93"/>
  <c r="W114" i="93" s="1"/>
  <c r="J113" i="93"/>
  <c r="W113" i="93" s="1"/>
  <c r="J112" i="93"/>
  <c r="W112" i="93" s="1"/>
  <c r="J111" i="93"/>
  <c r="W111" i="93" s="1"/>
  <c r="J110" i="93"/>
  <c r="W110" i="93" s="1"/>
  <c r="J109" i="93"/>
  <c r="W109" i="93" s="1"/>
  <c r="J108" i="93"/>
  <c r="W108" i="93" s="1"/>
  <c r="J107" i="93"/>
  <c r="W107" i="93" s="1"/>
  <c r="J106" i="93"/>
  <c r="W106" i="93" s="1"/>
  <c r="J105" i="93"/>
  <c r="W105" i="93" s="1"/>
  <c r="J104" i="93"/>
  <c r="W104" i="93" s="1"/>
  <c r="J103" i="93"/>
  <c r="W103" i="93" s="1"/>
  <c r="J102" i="93"/>
  <c r="W102" i="93" s="1"/>
  <c r="J101" i="93"/>
  <c r="W101" i="93" s="1"/>
  <c r="J100" i="93"/>
  <c r="W100" i="93" s="1"/>
  <c r="J99" i="93"/>
  <c r="W99" i="93" s="1"/>
  <c r="J98" i="93"/>
  <c r="W98" i="93" s="1"/>
  <c r="J97" i="93"/>
  <c r="W97" i="93" s="1"/>
  <c r="J96" i="93"/>
  <c r="W96" i="93" s="1"/>
  <c r="J95" i="93"/>
  <c r="W95" i="93" s="1"/>
  <c r="J94" i="93"/>
  <c r="W94" i="93" s="1"/>
  <c r="J93" i="93"/>
  <c r="W93" i="93" s="1"/>
  <c r="B93" i="93"/>
  <c r="B94" i="93" s="1"/>
  <c r="B95" i="93" s="1"/>
  <c r="B96" i="93" s="1"/>
  <c r="B97" i="93" s="1"/>
  <c r="B98" i="93" s="1"/>
  <c r="B99" i="93" s="1"/>
  <c r="B100" i="93" s="1"/>
  <c r="B101" i="93" s="1"/>
  <c r="B102" i="93" s="1"/>
  <c r="B103" i="93" s="1"/>
  <c r="B104" i="93" s="1"/>
  <c r="B105" i="93" s="1"/>
  <c r="B106" i="93" s="1"/>
  <c r="B107" i="93" s="1"/>
  <c r="B108" i="93" s="1"/>
  <c r="B109" i="93" s="1"/>
  <c r="B110" i="93" s="1"/>
  <c r="B111" i="93" s="1"/>
  <c r="B112" i="93" s="1"/>
  <c r="B113" i="93" s="1"/>
  <c r="B114" i="93" s="1"/>
  <c r="J92" i="93"/>
  <c r="W92" i="93" s="1"/>
  <c r="J83" i="93"/>
  <c r="V83" i="93" s="1"/>
  <c r="J82" i="93"/>
  <c r="V82" i="93" s="1"/>
  <c r="J81" i="93"/>
  <c r="J80" i="93"/>
  <c r="W80" i="93" s="1"/>
  <c r="J79" i="93"/>
  <c r="W79" i="93" s="1"/>
  <c r="J78" i="93"/>
  <c r="W78" i="93" s="1"/>
  <c r="J77" i="93"/>
  <c r="W77" i="93" s="1"/>
  <c r="J76" i="93"/>
  <c r="W76" i="93" s="1"/>
  <c r="J75" i="93"/>
  <c r="W75" i="93" s="1"/>
  <c r="J74" i="93"/>
  <c r="W74" i="93" s="1"/>
  <c r="J73" i="93"/>
  <c r="W73" i="93" s="1"/>
  <c r="J72" i="93"/>
  <c r="W72" i="93" s="1"/>
  <c r="J71" i="93"/>
  <c r="W71" i="93" s="1"/>
  <c r="J70" i="93"/>
  <c r="W70" i="93" s="1"/>
  <c r="J69" i="93"/>
  <c r="W69" i="93" s="1"/>
  <c r="J68" i="93"/>
  <c r="W68" i="93" s="1"/>
  <c r="J67" i="93"/>
  <c r="W67" i="93" s="1"/>
  <c r="J66" i="93"/>
  <c r="W66" i="93" s="1"/>
  <c r="J65" i="93"/>
  <c r="W65" i="93" s="1"/>
  <c r="J64" i="93"/>
  <c r="W64" i="93" s="1"/>
  <c r="J63" i="93"/>
  <c r="W63" i="93" s="1"/>
  <c r="J62" i="93"/>
  <c r="W62" i="93" s="1"/>
  <c r="J61" i="93"/>
  <c r="W61" i="93" s="1"/>
  <c r="B61" i="93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J60" i="93"/>
  <c r="W60" i="93" s="1"/>
  <c r="W51" i="93"/>
  <c r="V51" i="93"/>
  <c r="V48" i="93"/>
  <c r="V47" i="93"/>
  <c r="W47" i="93"/>
  <c r="V44" i="93"/>
  <c r="V43" i="93"/>
  <c r="W43" i="93"/>
  <c r="V40" i="93"/>
  <c r="V39" i="93"/>
  <c r="W39" i="93"/>
  <c r="V36" i="93"/>
  <c r="V35" i="93"/>
  <c r="W35" i="93"/>
  <c r="V32" i="93"/>
  <c r="V31" i="93"/>
  <c r="W31" i="93"/>
  <c r="V28" i="93"/>
  <c r="V27" i="93"/>
  <c r="W27" i="93"/>
  <c r="V24" i="93"/>
  <c r="V23" i="93"/>
  <c r="W23" i="93"/>
  <c r="V20" i="93"/>
  <c r="V18" i="93"/>
  <c r="W17" i="93"/>
  <c r="V15" i="93"/>
  <c r="V12" i="93"/>
  <c r="W10" i="93"/>
  <c r="B8" i="93"/>
  <c r="B9" i="93" s="1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B23" i="93" s="1"/>
  <c r="B24" i="93" s="1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45" i="93" s="1"/>
  <c r="B46" i="93" s="1"/>
  <c r="B47" i="93" s="1"/>
  <c r="B48" i="93" s="1"/>
  <c r="B49" i="93" s="1"/>
  <c r="B50" i="93" s="1"/>
  <c r="B51" i="93" s="1"/>
  <c r="I7" i="93"/>
  <c r="J7" i="93" s="1"/>
  <c r="V7" i="93" s="1"/>
  <c r="B7" i="93"/>
  <c r="I6" i="93"/>
  <c r="J6" i="93" s="1"/>
  <c r="W6" i="93" s="1"/>
  <c r="I50" i="92"/>
  <c r="J50" i="92" s="1"/>
  <c r="I49" i="92"/>
  <c r="J49" i="92" s="1"/>
  <c r="W138" i="93" l="1"/>
  <c r="V157" i="93"/>
  <c r="W207" i="93"/>
  <c r="V75" i="93"/>
  <c r="W142" i="93"/>
  <c r="V175" i="93"/>
  <c r="V61" i="93"/>
  <c r="W83" i="93"/>
  <c r="V126" i="93"/>
  <c r="V130" i="93"/>
  <c r="V173" i="93"/>
  <c r="V154" i="93"/>
  <c r="V163" i="93"/>
  <c r="V171" i="93"/>
  <c r="W140" i="93"/>
  <c r="V79" i="93"/>
  <c r="V169" i="93"/>
  <c r="V77" i="93"/>
  <c r="V167" i="93"/>
  <c r="W136" i="93"/>
  <c r="V73" i="93"/>
  <c r="V165" i="93"/>
  <c r="W132" i="93"/>
  <c r="V71" i="93"/>
  <c r="V161" i="93"/>
  <c r="V69" i="93"/>
  <c r="V67" i="93"/>
  <c r="V159" i="93"/>
  <c r="V127" i="93"/>
  <c r="V65" i="93"/>
  <c r="V63" i="93"/>
  <c r="V216" i="93"/>
  <c r="V155" i="93"/>
  <c r="V218" i="93"/>
  <c r="V220" i="93"/>
  <c r="V222" i="93"/>
  <c r="V224" i="93"/>
  <c r="V226" i="93"/>
  <c r="V228" i="93"/>
  <c r="V230" i="93"/>
  <c r="V232" i="93"/>
  <c r="V234" i="93"/>
  <c r="V236" i="93"/>
  <c r="V238" i="93"/>
  <c r="V217" i="93"/>
  <c r="V219" i="93"/>
  <c r="V221" i="93"/>
  <c r="V223" i="93"/>
  <c r="V225" i="93"/>
  <c r="V227" i="93"/>
  <c r="V229" i="93"/>
  <c r="V231" i="93"/>
  <c r="V233" i="93"/>
  <c r="V235" i="93"/>
  <c r="V237" i="93"/>
  <c r="W185" i="93"/>
  <c r="W187" i="93"/>
  <c r="W189" i="93"/>
  <c r="W191" i="93"/>
  <c r="W193" i="93"/>
  <c r="W195" i="93"/>
  <c r="W197" i="93"/>
  <c r="W199" i="93"/>
  <c r="W201" i="93"/>
  <c r="W203" i="93"/>
  <c r="W205" i="93"/>
  <c r="W186" i="93"/>
  <c r="W188" i="93"/>
  <c r="W190" i="93"/>
  <c r="W192" i="93"/>
  <c r="W194" i="93"/>
  <c r="W196" i="93"/>
  <c r="W198" i="93"/>
  <c r="W200" i="93"/>
  <c r="W202" i="93"/>
  <c r="W204" i="93"/>
  <c r="W206" i="93"/>
  <c r="J208" i="93"/>
  <c r="V156" i="93"/>
  <c r="V158" i="93"/>
  <c r="V160" i="93"/>
  <c r="V162" i="93"/>
  <c r="V164" i="93"/>
  <c r="V166" i="93"/>
  <c r="V168" i="93"/>
  <c r="V170" i="93"/>
  <c r="V172" i="93"/>
  <c r="V174" i="93"/>
  <c r="V176" i="93"/>
  <c r="W123" i="93"/>
  <c r="W134" i="93"/>
  <c r="J146" i="93"/>
  <c r="W131" i="93"/>
  <c r="W133" i="93"/>
  <c r="W135" i="93"/>
  <c r="W137" i="93"/>
  <c r="W139" i="93"/>
  <c r="W141" i="93"/>
  <c r="W143" i="93"/>
  <c r="W145" i="93"/>
  <c r="W115" i="93"/>
  <c r="P8" i="93" s="1"/>
  <c r="V93" i="93"/>
  <c r="V95" i="93"/>
  <c r="V97" i="93"/>
  <c r="V99" i="93"/>
  <c r="V101" i="93"/>
  <c r="V103" i="93"/>
  <c r="V105" i="93"/>
  <c r="V107" i="93"/>
  <c r="V109" i="93"/>
  <c r="V111" i="93"/>
  <c r="V113" i="93"/>
  <c r="V94" i="93"/>
  <c r="V96" i="93"/>
  <c r="V98" i="93"/>
  <c r="V100" i="93"/>
  <c r="V102" i="93"/>
  <c r="V104" i="93"/>
  <c r="V106" i="93"/>
  <c r="V108" i="93"/>
  <c r="V110" i="93"/>
  <c r="V112" i="93"/>
  <c r="V114" i="93"/>
  <c r="V92" i="93"/>
  <c r="V60" i="93"/>
  <c r="W82" i="93"/>
  <c r="W84" i="93" s="1"/>
  <c r="P6" i="93" s="1"/>
  <c r="J84" i="93"/>
  <c r="V62" i="93"/>
  <c r="V64" i="93"/>
  <c r="V66" i="93"/>
  <c r="V68" i="93"/>
  <c r="V70" i="93"/>
  <c r="V72" i="93"/>
  <c r="V74" i="93"/>
  <c r="V76" i="93"/>
  <c r="V78" i="93"/>
  <c r="V80" i="93"/>
  <c r="W9" i="93"/>
  <c r="V9" i="93"/>
  <c r="V17" i="93"/>
  <c r="V29" i="93"/>
  <c r="W29" i="93"/>
  <c r="W14" i="93"/>
  <c r="V14" i="93"/>
  <c r="V50" i="93"/>
  <c r="W50" i="93"/>
  <c r="W13" i="93"/>
  <c r="V13" i="93"/>
  <c r="V22" i="93"/>
  <c r="W22" i="93"/>
  <c r="W33" i="93"/>
  <c r="V33" i="93"/>
  <c r="V38" i="93"/>
  <c r="W38" i="93"/>
  <c r="W49" i="93"/>
  <c r="V49" i="93"/>
  <c r="W177" i="93"/>
  <c r="P12" i="93" s="1"/>
  <c r="V34" i="93"/>
  <c r="W34" i="93"/>
  <c r="V21" i="93"/>
  <c r="W21" i="93"/>
  <c r="W26" i="93"/>
  <c r="V26" i="93"/>
  <c r="W37" i="93"/>
  <c r="V37" i="93"/>
  <c r="V42" i="93"/>
  <c r="W42" i="93"/>
  <c r="V208" i="93"/>
  <c r="O14" i="93" s="1"/>
  <c r="W239" i="93"/>
  <c r="P16" i="93" s="1"/>
  <c r="V16" i="93"/>
  <c r="W16" i="93"/>
  <c r="V45" i="93"/>
  <c r="W45" i="93"/>
  <c r="V8" i="93"/>
  <c r="W8" i="93"/>
  <c r="V11" i="93"/>
  <c r="W11" i="93"/>
  <c r="W19" i="93"/>
  <c r="V19" i="93"/>
  <c r="W25" i="93"/>
  <c r="V25" i="93"/>
  <c r="V30" i="93"/>
  <c r="W30" i="93"/>
  <c r="V41" i="93"/>
  <c r="W41" i="93"/>
  <c r="V46" i="93"/>
  <c r="W46" i="93"/>
  <c r="J52" i="93"/>
  <c r="W18" i="93"/>
  <c r="W7" i="93"/>
  <c r="V10" i="93"/>
  <c r="W12" i="93"/>
  <c r="W15" i="93"/>
  <c r="W20" i="93"/>
  <c r="W24" i="93"/>
  <c r="W28" i="93"/>
  <c r="W32" i="93"/>
  <c r="W36" i="93"/>
  <c r="W40" i="93"/>
  <c r="W44" i="93"/>
  <c r="W48" i="93"/>
  <c r="J115" i="93"/>
  <c r="J177" i="93"/>
  <c r="J239" i="93"/>
  <c r="V6" i="93"/>
  <c r="J48" i="92"/>
  <c r="V48" i="92" s="1"/>
  <c r="I48" i="92"/>
  <c r="I47" i="92"/>
  <c r="J47" i="92" s="1"/>
  <c r="I46" i="92"/>
  <c r="J46" i="92" s="1"/>
  <c r="V46" i="92" s="1"/>
  <c r="I45" i="92"/>
  <c r="J45" i="92" s="1"/>
  <c r="V45" i="92" s="1"/>
  <c r="J44" i="92"/>
  <c r="W44" i="92" s="1"/>
  <c r="I44" i="92"/>
  <c r="I43" i="92"/>
  <c r="J43" i="92" s="1"/>
  <c r="I42" i="92"/>
  <c r="J42" i="92" s="1"/>
  <c r="V42" i="92" s="1"/>
  <c r="I41" i="92"/>
  <c r="J41" i="92" s="1"/>
  <c r="J40" i="92"/>
  <c r="I40" i="92"/>
  <c r="I39" i="92"/>
  <c r="J39" i="92" s="1"/>
  <c r="I38" i="92"/>
  <c r="J38" i="92" s="1"/>
  <c r="V38" i="92" s="1"/>
  <c r="I37" i="92"/>
  <c r="J37" i="92" s="1"/>
  <c r="W37" i="92" s="1"/>
  <c r="J36" i="92"/>
  <c r="V36" i="92" s="1"/>
  <c r="I36" i="92"/>
  <c r="I35" i="92"/>
  <c r="J35" i="92" s="1"/>
  <c r="I34" i="92"/>
  <c r="J34" i="92" s="1"/>
  <c r="V34" i="92" s="1"/>
  <c r="I33" i="92"/>
  <c r="J33" i="92" s="1"/>
  <c r="J32" i="92"/>
  <c r="I32" i="92"/>
  <c r="I31" i="92"/>
  <c r="J31" i="92" s="1"/>
  <c r="I30" i="92"/>
  <c r="J30" i="92" s="1"/>
  <c r="V30" i="92" s="1"/>
  <c r="I29" i="92"/>
  <c r="J29" i="92" s="1"/>
  <c r="W29" i="92" s="1"/>
  <c r="J28" i="92"/>
  <c r="V28" i="92" s="1"/>
  <c r="I28" i="92"/>
  <c r="I27" i="92"/>
  <c r="J27" i="92" s="1"/>
  <c r="I26" i="92"/>
  <c r="J26" i="92" s="1"/>
  <c r="V26" i="92" s="1"/>
  <c r="I25" i="92"/>
  <c r="J25" i="92" s="1"/>
  <c r="J24" i="92"/>
  <c r="I24" i="92"/>
  <c r="I23" i="92"/>
  <c r="J23" i="92" s="1"/>
  <c r="I22" i="92"/>
  <c r="J22" i="92" s="1"/>
  <c r="V22" i="92" s="1"/>
  <c r="I21" i="92"/>
  <c r="J21" i="92" s="1"/>
  <c r="W21" i="92" s="1"/>
  <c r="J20" i="92"/>
  <c r="I20" i="92"/>
  <c r="I19" i="92"/>
  <c r="J19" i="92" s="1"/>
  <c r="V19" i="92" s="1"/>
  <c r="I18" i="92"/>
  <c r="J18" i="92" s="1"/>
  <c r="I17" i="92"/>
  <c r="J17" i="92" s="1"/>
  <c r="J16" i="92"/>
  <c r="V16" i="92" s="1"/>
  <c r="I16" i="92"/>
  <c r="I15" i="92"/>
  <c r="J15" i="92" s="1"/>
  <c r="I14" i="92"/>
  <c r="J14" i="92" s="1"/>
  <c r="W14" i="92" s="1"/>
  <c r="I13" i="92"/>
  <c r="J13" i="92" s="1"/>
  <c r="W13" i="92" s="1"/>
  <c r="J12" i="92"/>
  <c r="I12" i="92"/>
  <c r="I11" i="92"/>
  <c r="J11" i="92" s="1"/>
  <c r="V11" i="92" s="1"/>
  <c r="I10" i="92"/>
  <c r="J10" i="92" s="1"/>
  <c r="W10" i="92" s="1"/>
  <c r="I8" i="92"/>
  <c r="J8" i="92" s="1"/>
  <c r="V8" i="92" s="1"/>
  <c r="I9" i="92"/>
  <c r="J9" i="92" s="1"/>
  <c r="J238" i="92"/>
  <c r="W238" i="92" s="1"/>
  <c r="J237" i="92"/>
  <c r="W237" i="92" s="1"/>
  <c r="J236" i="92"/>
  <c r="W236" i="92" s="1"/>
  <c r="J235" i="92"/>
  <c r="W235" i="92" s="1"/>
  <c r="J234" i="92"/>
  <c r="W234" i="92" s="1"/>
  <c r="J233" i="92"/>
  <c r="W233" i="92" s="1"/>
  <c r="J232" i="92"/>
  <c r="W232" i="92" s="1"/>
  <c r="J231" i="92"/>
  <c r="W231" i="92" s="1"/>
  <c r="J230" i="92"/>
  <c r="W230" i="92" s="1"/>
  <c r="J229" i="92"/>
  <c r="W229" i="92" s="1"/>
  <c r="J228" i="92"/>
  <c r="W228" i="92" s="1"/>
  <c r="J227" i="92"/>
  <c r="W227" i="92" s="1"/>
  <c r="J226" i="92"/>
  <c r="W226" i="92" s="1"/>
  <c r="J225" i="92"/>
  <c r="W225" i="92" s="1"/>
  <c r="J224" i="92"/>
  <c r="W224" i="92" s="1"/>
  <c r="J223" i="92"/>
  <c r="W223" i="92" s="1"/>
  <c r="J222" i="92"/>
  <c r="W222" i="92" s="1"/>
  <c r="V221" i="92"/>
  <c r="J221" i="92"/>
  <c r="W221" i="92" s="1"/>
  <c r="J220" i="92"/>
  <c r="W220" i="92" s="1"/>
  <c r="J219" i="92"/>
  <c r="W219" i="92" s="1"/>
  <c r="J218" i="92"/>
  <c r="W218" i="92" s="1"/>
  <c r="J217" i="92"/>
  <c r="W217" i="92" s="1"/>
  <c r="B217" i="92"/>
  <c r="B218" i="92" s="1"/>
  <c r="B219" i="92" s="1"/>
  <c r="B220" i="92" s="1"/>
  <c r="B221" i="92" s="1"/>
  <c r="B222" i="92" s="1"/>
  <c r="B223" i="92" s="1"/>
  <c r="B224" i="92" s="1"/>
  <c r="B225" i="92" s="1"/>
  <c r="B226" i="92" s="1"/>
  <c r="B227" i="92" s="1"/>
  <c r="B228" i="92" s="1"/>
  <c r="B229" i="92" s="1"/>
  <c r="B230" i="92" s="1"/>
  <c r="B231" i="92" s="1"/>
  <c r="B232" i="92" s="1"/>
  <c r="B233" i="92" s="1"/>
  <c r="B234" i="92" s="1"/>
  <c r="B235" i="92" s="1"/>
  <c r="B236" i="92" s="1"/>
  <c r="B237" i="92" s="1"/>
  <c r="B238" i="92" s="1"/>
  <c r="J216" i="92"/>
  <c r="W216" i="92" s="1"/>
  <c r="J207" i="92"/>
  <c r="V207" i="92" s="1"/>
  <c r="J206" i="92"/>
  <c r="V206" i="92" s="1"/>
  <c r="J205" i="92"/>
  <c r="V205" i="92" s="1"/>
  <c r="J204" i="92"/>
  <c r="V204" i="92" s="1"/>
  <c r="J203" i="92"/>
  <c r="V203" i="92" s="1"/>
  <c r="J202" i="92"/>
  <c r="W202" i="92" s="1"/>
  <c r="J201" i="92"/>
  <c r="V201" i="92" s="1"/>
  <c r="J200" i="92"/>
  <c r="V200" i="92" s="1"/>
  <c r="J199" i="92"/>
  <c r="V199" i="92" s="1"/>
  <c r="J198" i="92"/>
  <c r="W198" i="92" s="1"/>
  <c r="J197" i="92"/>
  <c r="V197" i="92" s="1"/>
  <c r="J196" i="92"/>
  <c r="V196" i="92" s="1"/>
  <c r="J195" i="92"/>
  <c r="V195" i="92" s="1"/>
  <c r="J194" i="92"/>
  <c r="W194" i="92" s="1"/>
  <c r="J193" i="92"/>
  <c r="V193" i="92" s="1"/>
  <c r="W192" i="92"/>
  <c r="J192" i="92"/>
  <c r="V192" i="92" s="1"/>
  <c r="J191" i="92"/>
  <c r="V191" i="92" s="1"/>
  <c r="J190" i="92"/>
  <c r="W190" i="92" s="1"/>
  <c r="J189" i="92"/>
  <c r="V189" i="92" s="1"/>
  <c r="J188" i="92"/>
  <c r="V188" i="92" s="1"/>
  <c r="J187" i="92"/>
  <c r="V187" i="92" s="1"/>
  <c r="J186" i="92"/>
  <c r="W186" i="92" s="1"/>
  <c r="B186" i="92"/>
  <c r="B187" i="92" s="1"/>
  <c r="B188" i="92" s="1"/>
  <c r="B189" i="92" s="1"/>
  <c r="B190" i="92" s="1"/>
  <c r="B191" i="92" s="1"/>
  <c r="B192" i="92" s="1"/>
  <c r="B193" i="92" s="1"/>
  <c r="B194" i="92" s="1"/>
  <c r="B195" i="92" s="1"/>
  <c r="B196" i="92" s="1"/>
  <c r="B197" i="92" s="1"/>
  <c r="B198" i="92" s="1"/>
  <c r="B199" i="92" s="1"/>
  <c r="B200" i="92" s="1"/>
  <c r="B201" i="92" s="1"/>
  <c r="B202" i="92" s="1"/>
  <c r="B203" i="92" s="1"/>
  <c r="B204" i="92" s="1"/>
  <c r="B205" i="92" s="1"/>
  <c r="B206" i="92" s="1"/>
  <c r="B207" i="92" s="1"/>
  <c r="J185" i="92"/>
  <c r="J176" i="92"/>
  <c r="W176" i="92" s="1"/>
  <c r="J175" i="92"/>
  <c r="W175" i="92" s="1"/>
  <c r="J174" i="92"/>
  <c r="W174" i="92" s="1"/>
  <c r="J173" i="92"/>
  <c r="W173" i="92" s="1"/>
  <c r="J172" i="92"/>
  <c r="W172" i="92" s="1"/>
  <c r="J171" i="92"/>
  <c r="W171" i="92" s="1"/>
  <c r="J170" i="92"/>
  <c r="W170" i="92" s="1"/>
  <c r="J169" i="92"/>
  <c r="W169" i="92" s="1"/>
  <c r="J168" i="92"/>
  <c r="W168" i="92" s="1"/>
  <c r="J167" i="92"/>
  <c r="W167" i="92" s="1"/>
  <c r="J166" i="92"/>
  <c r="W166" i="92" s="1"/>
  <c r="J165" i="92"/>
  <c r="W165" i="92" s="1"/>
  <c r="J164" i="92"/>
  <c r="W164" i="92" s="1"/>
  <c r="J163" i="92"/>
  <c r="W163" i="92" s="1"/>
  <c r="V162" i="92"/>
  <c r="J162" i="92"/>
  <c r="W162" i="92" s="1"/>
  <c r="J161" i="92"/>
  <c r="W161" i="92" s="1"/>
  <c r="J160" i="92"/>
  <c r="W160" i="92" s="1"/>
  <c r="J159" i="92"/>
  <c r="W159" i="92" s="1"/>
  <c r="J158" i="92"/>
  <c r="W158" i="92" s="1"/>
  <c r="J157" i="92"/>
  <c r="W157" i="92" s="1"/>
  <c r="J156" i="92"/>
  <c r="W156" i="92" s="1"/>
  <c r="J155" i="92"/>
  <c r="W155" i="92" s="1"/>
  <c r="B155" i="92"/>
  <c r="B156" i="92" s="1"/>
  <c r="B157" i="92" s="1"/>
  <c r="B158" i="92" s="1"/>
  <c r="B159" i="92" s="1"/>
  <c r="B160" i="92" s="1"/>
  <c r="B161" i="92" s="1"/>
  <c r="B162" i="92" s="1"/>
  <c r="B163" i="92" s="1"/>
  <c r="B164" i="92" s="1"/>
  <c r="B165" i="92" s="1"/>
  <c r="B166" i="92" s="1"/>
  <c r="B167" i="92" s="1"/>
  <c r="B168" i="92" s="1"/>
  <c r="B169" i="92" s="1"/>
  <c r="B170" i="92" s="1"/>
  <c r="B171" i="92" s="1"/>
  <c r="B172" i="92" s="1"/>
  <c r="B173" i="92" s="1"/>
  <c r="B174" i="92" s="1"/>
  <c r="B175" i="92" s="1"/>
  <c r="B176" i="92" s="1"/>
  <c r="J154" i="92"/>
  <c r="W154" i="92" s="1"/>
  <c r="J145" i="92"/>
  <c r="V145" i="92" s="1"/>
  <c r="J144" i="92"/>
  <c r="V144" i="92" s="1"/>
  <c r="J143" i="92"/>
  <c r="V143" i="92" s="1"/>
  <c r="J142" i="92"/>
  <c r="W142" i="92" s="1"/>
  <c r="J141" i="92"/>
  <c r="V141" i="92" s="1"/>
  <c r="J140" i="92"/>
  <c r="V140" i="92" s="1"/>
  <c r="J139" i="92"/>
  <c r="V139" i="92" s="1"/>
  <c r="J138" i="92"/>
  <c r="W138" i="92" s="1"/>
  <c r="J137" i="92"/>
  <c r="V137" i="92" s="1"/>
  <c r="W136" i="92"/>
  <c r="J136" i="92"/>
  <c r="V136" i="92" s="1"/>
  <c r="J135" i="92"/>
  <c r="V135" i="92" s="1"/>
  <c r="J134" i="92"/>
  <c r="W134" i="92" s="1"/>
  <c r="W133" i="92"/>
  <c r="J133" i="92"/>
  <c r="V133" i="92" s="1"/>
  <c r="J132" i="92"/>
  <c r="V132" i="92" s="1"/>
  <c r="J131" i="92"/>
  <c r="W131" i="92" s="1"/>
  <c r="J130" i="92"/>
  <c r="W130" i="92" s="1"/>
  <c r="J129" i="92"/>
  <c r="V129" i="92" s="1"/>
  <c r="W128" i="92"/>
  <c r="J128" i="92"/>
  <c r="V128" i="92" s="1"/>
  <c r="V127" i="92"/>
  <c r="J127" i="92"/>
  <c r="W127" i="92" s="1"/>
  <c r="J126" i="92"/>
  <c r="W126" i="92" s="1"/>
  <c r="J125" i="92"/>
  <c r="V125" i="92" s="1"/>
  <c r="J124" i="92"/>
  <c r="V124" i="92" s="1"/>
  <c r="B124" i="92"/>
  <c r="B125" i="92" s="1"/>
  <c r="B126" i="92" s="1"/>
  <c r="B127" i="92" s="1"/>
  <c r="B128" i="92" s="1"/>
  <c r="B129" i="92" s="1"/>
  <c r="B130" i="92" s="1"/>
  <c r="B131" i="92" s="1"/>
  <c r="B132" i="92" s="1"/>
  <c r="B133" i="92" s="1"/>
  <c r="B134" i="92" s="1"/>
  <c r="B135" i="92" s="1"/>
  <c r="B136" i="92" s="1"/>
  <c r="B137" i="92" s="1"/>
  <c r="B138" i="92" s="1"/>
  <c r="B139" i="92" s="1"/>
  <c r="B140" i="92" s="1"/>
  <c r="B141" i="92" s="1"/>
  <c r="B142" i="92" s="1"/>
  <c r="B143" i="92" s="1"/>
  <c r="B144" i="92" s="1"/>
  <c r="B145" i="92" s="1"/>
  <c r="J123" i="92"/>
  <c r="J114" i="92"/>
  <c r="W114" i="92" s="1"/>
  <c r="J113" i="92"/>
  <c r="W113" i="92" s="1"/>
  <c r="J112" i="92"/>
  <c r="W112" i="92" s="1"/>
  <c r="J111" i="92"/>
  <c r="W111" i="92" s="1"/>
  <c r="J110" i="92"/>
  <c r="W110" i="92" s="1"/>
  <c r="J109" i="92"/>
  <c r="W109" i="92" s="1"/>
  <c r="J108" i="92"/>
  <c r="W108" i="92" s="1"/>
  <c r="J107" i="92"/>
  <c r="W107" i="92" s="1"/>
  <c r="J106" i="92"/>
  <c r="W106" i="92" s="1"/>
  <c r="V105" i="92"/>
  <c r="J105" i="92"/>
  <c r="W105" i="92" s="1"/>
  <c r="J104" i="92"/>
  <c r="W104" i="92" s="1"/>
  <c r="J103" i="92"/>
  <c r="W103" i="92" s="1"/>
  <c r="J102" i="92"/>
  <c r="W102" i="92" s="1"/>
  <c r="J101" i="92"/>
  <c r="W101" i="92" s="1"/>
  <c r="J100" i="92"/>
  <c r="W100" i="92" s="1"/>
  <c r="J99" i="92"/>
  <c r="W99" i="92" s="1"/>
  <c r="J98" i="92"/>
  <c r="W98" i="92" s="1"/>
  <c r="J97" i="92"/>
  <c r="W97" i="92" s="1"/>
  <c r="J96" i="92"/>
  <c r="W96" i="92" s="1"/>
  <c r="J95" i="92"/>
  <c r="W95" i="92" s="1"/>
  <c r="J94" i="92"/>
  <c r="W94" i="92" s="1"/>
  <c r="J93" i="92"/>
  <c r="W93" i="92" s="1"/>
  <c r="B93" i="92"/>
  <c r="B94" i="92" s="1"/>
  <c r="B95" i="92" s="1"/>
  <c r="B96" i="92" s="1"/>
  <c r="B97" i="92" s="1"/>
  <c r="B98" i="92" s="1"/>
  <c r="B99" i="92" s="1"/>
  <c r="B100" i="92" s="1"/>
  <c r="B101" i="92" s="1"/>
  <c r="B102" i="92" s="1"/>
  <c r="B103" i="92" s="1"/>
  <c r="B104" i="92" s="1"/>
  <c r="B105" i="92" s="1"/>
  <c r="B106" i="92" s="1"/>
  <c r="B107" i="92" s="1"/>
  <c r="B108" i="92" s="1"/>
  <c r="B109" i="92" s="1"/>
  <c r="B110" i="92" s="1"/>
  <c r="B111" i="92" s="1"/>
  <c r="B112" i="92" s="1"/>
  <c r="B113" i="92" s="1"/>
  <c r="B114" i="92" s="1"/>
  <c r="J92" i="92"/>
  <c r="W92" i="92" s="1"/>
  <c r="V83" i="92"/>
  <c r="J83" i="92"/>
  <c r="W83" i="92" s="1"/>
  <c r="J82" i="92"/>
  <c r="W82" i="92" s="1"/>
  <c r="J81" i="92"/>
  <c r="J80" i="92"/>
  <c r="W80" i="92" s="1"/>
  <c r="J79" i="92"/>
  <c r="W79" i="92" s="1"/>
  <c r="J78" i="92"/>
  <c r="W78" i="92" s="1"/>
  <c r="J77" i="92"/>
  <c r="W77" i="92" s="1"/>
  <c r="J76" i="92"/>
  <c r="W76" i="92" s="1"/>
  <c r="J75" i="92"/>
  <c r="W75" i="92" s="1"/>
  <c r="J74" i="92"/>
  <c r="W74" i="92" s="1"/>
  <c r="J73" i="92"/>
  <c r="W73" i="92" s="1"/>
  <c r="J72" i="92"/>
  <c r="W72" i="92" s="1"/>
  <c r="J71" i="92"/>
  <c r="W71" i="92" s="1"/>
  <c r="J70" i="92"/>
  <c r="W70" i="92" s="1"/>
  <c r="J69" i="92"/>
  <c r="W69" i="92" s="1"/>
  <c r="J68" i="92"/>
  <c r="W68" i="92" s="1"/>
  <c r="J67" i="92"/>
  <c r="W67" i="92" s="1"/>
  <c r="J66" i="92"/>
  <c r="W66" i="92" s="1"/>
  <c r="J65" i="92"/>
  <c r="W65" i="92" s="1"/>
  <c r="J64" i="92"/>
  <c r="W64" i="92" s="1"/>
  <c r="J63" i="92"/>
  <c r="W63" i="92" s="1"/>
  <c r="J62" i="92"/>
  <c r="W62" i="92" s="1"/>
  <c r="J61" i="92"/>
  <c r="W61" i="92" s="1"/>
  <c r="B61" i="92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J60" i="92"/>
  <c r="W60" i="92" s="1"/>
  <c r="W51" i="92"/>
  <c r="V51" i="92"/>
  <c r="W50" i="92"/>
  <c r="V50" i="92"/>
  <c r="W49" i="92"/>
  <c r="V49" i="92"/>
  <c r="N16" i="92"/>
  <c r="N14" i="92"/>
  <c r="N12" i="92"/>
  <c r="N10" i="92"/>
  <c r="N8" i="92"/>
  <c r="J7" i="92"/>
  <c r="V7" i="92" s="1"/>
  <c r="I7" i="92"/>
  <c r="B7" i="92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N6" i="92"/>
  <c r="I6" i="92"/>
  <c r="J6" i="92" s="1"/>
  <c r="V6" i="92" s="1"/>
  <c r="N4" i="92"/>
  <c r="J43" i="91"/>
  <c r="I43" i="91"/>
  <c r="J42" i="91"/>
  <c r="I42" i="91"/>
  <c r="J41" i="91"/>
  <c r="I41" i="91"/>
  <c r="J40" i="91"/>
  <c r="I40" i="91"/>
  <c r="J39" i="91"/>
  <c r="I39" i="91"/>
  <c r="J38" i="91"/>
  <c r="I38" i="91"/>
  <c r="J37" i="91"/>
  <c r="I37" i="91"/>
  <c r="J36" i="91"/>
  <c r="I36" i="91"/>
  <c r="J35" i="91"/>
  <c r="I35" i="91"/>
  <c r="J34" i="91"/>
  <c r="I34" i="91"/>
  <c r="J33" i="91"/>
  <c r="I33" i="91"/>
  <c r="J32" i="91"/>
  <c r="I32" i="91"/>
  <c r="J31" i="91"/>
  <c r="I31" i="91"/>
  <c r="J30" i="91"/>
  <c r="I30" i="91"/>
  <c r="J29" i="91"/>
  <c r="I29" i="91"/>
  <c r="J28" i="91"/>
  <c r="I28" i="91"/>
  <c r="J27" i="91"/>
  <c r="I27" i="91"/>
  <c r="J26" i="91"/>
  <c r="I26" i="91"/>
  <c r="J25" i="91"/>
  <c r="I25" i="91"/>
  <c r="J24" i="91"/>
  <c r="I24" i="91"/>
  <c r="J23" i="91"/>
  <c r="I23" i="91"/>
  <c r="J22" i="91"/>
  <c r="I22" i="91"/>
  <c r="J21" i="91"/>
  <c r="I21" i="91"/>
  <c r="J20" i="91"/>
  <c r="I20" i="91"/>
  <c r="J19" i="91"/>
  <c r="I19" i="91"/>
  <c r="J18" i="91"/>
  <c r="I18" i="91"/>
  <c r="J17" i="91"/>
  <c r="I17" i="91"/>
  <c r="J16" i="91"/>
  <c r="I16" i="91"/>
  <c r="W145" i="92" l="1"/>
  <c r="V238" i="92"/>
  <c r="V111" i="92"/>
  <c r="V114" i="92"/>
  <c r="W144" i="92"/>
  <c r="V168" i="92"/>
  <c r="V175" i="92"/>
  <c r="W200" i="92"/>
  <c r="V233" i="92"/>
  <c r="V47" i="92"/>
  <c r="W47" i="92"/>
  <c r="V103" i="92"/>
  <c r="V109" i="92"/>
  <c r="W125" i="92"/>
  <c r="W140" i="92"/>
  <c r="V160" i="92"/>
  <c r="W196" i="92"/>
  <c r="V216" i="92"/>
  <c r="V224" i="92"/>
  <c r="V226" i="92"/>
  <c r="V231" i="92"/>
  <c r="V236" i="92"/>
  <c r="W48" i="92"/>
  <c r="V176" i="92"/>
  <c r="V229" i="92"/>
  <c r="V234" i="92"/>
  <c r="V146" i="93"/>
  <c r="O10" i="93" s="1"/>
  <c r="R10" i="93" s="1"/>
  <c r="V164" i="92"/>
  <c r="W197" i="92"/>
  <c r="V223" i="92"/>
  <c r="V225" i="92"/>
  <c r="V227" i="92"/>
  <c r="V239" i="93"/>
  <c r="O16" i="93" s="1"/>
  <c r="R14" i="93"/>
  <c r="V177" i="93"/>
  <c r="O12" i="93" s="1"/>
  <c r="Q12" i="93" s="1"/>
  <c r="V52" i="93"/>
  <c r="O4" i="93" s="1"/>
  <c r="W52" i="93"/>
  <c r="P4" i="93" s="1"/>
  <c r="W208" i="93"/>
  <c r="P14" i="93" s="1"/>
  <c r="Q14" i="93" s="1"/>
  <c r="W146" i="93"/>
  <c r="P10" i="93" s="1"/>
  <c r="Q10" i="93" s="1"/>
  <c r="V115" i="93"/>
  <c r="O8" i="93" s="1"/>
  <c r="V84" i="93"/>
  <c r="O6" i="93" s="1"/>
  <c r="W207" i="92"/>
  <c r="V82" i="92"/>
  <c r="V113" i="92"/>
  <c r="V237" i="92"/>
  <c r="W206" i="92"/>
  <c r="V174" i="92"/>
  <c r="V112" i="92"/>
  <c r="W46" i="92"/>
  <c r="W45" i="92"/>
  <c r="V80" i="92"/>
  <c r="V235" i="92"/>
  <c r="W204" i="92"/>
  <c r="V44" i="92"/>
  <c r="V172" i="92"/>
  <c r="W141" i="92"/>
  <c r="V232" i="92"/>
  <c r="W201" i="92"/>
  <c r="V170" i="92"/>
  <c r="V107" i="92"/>
  <c r="V230" i="92"/>
  <c r="W137" i="92"/>
  <c r="V228" i="92"/>
  <c r="V166" i="92"/>
  <c r="W132" i="92"/>
  <c r="V101" i="92"/>
  <c r="W193" i="92"/>
  <c r="V131" i="92"/>
  <c r="V99" i="92"/>
  <c r="V222" i="92"/>
  <c r="W129" i="92"/>
  <c r="V97" i="92"/>
  <c r="W189" i="92"/>
  <c r="V158" i="92"/>
  <c r="V219" i="92"/>
  <c r="W188" i="92"/>
  <c r="V95" i="92"/>
  <c r="V156" i="92"/>
  <c r="J208" i="92"/>
  <c r="V218" i="92"/>
  <c r="V217" i="92"/>
  <c r="J146" i="92"/>
  <c r="W124" i="92"/>
  <c r="V93" i="92"/>
  <c r="V123" i="92"/>
  <c r="W123" i="92"/>
  <c r="V92" i="92"/>
  <c r="V60" i="92"/>
  <c r="V220" i="92"/>
  <c r="V185" i="92"/>
  <c r="V186" i="92"/>
  <c r="W187" i="92"/>
  <c r="V190" i="92"/>
  <c r="W191" i="92"/>
  <c r="V194" i="92"/>
  <c r="W195" i="92"/>
  <c r="V198" i="92"/>
  <c r="W199" i="92"/>
  <c r="V202" i="92"/>
  <c r="W203" i="92"/>
  <c r="W205" i="92"/>
  <c r="W185" i="92"/>
  <c r="W177" i="92"/>
  <c r="P12" i="92" s="1"/>
  <c r="V155" i="92"/>
  <c r="V157" i="92"/>
  <c r="V159" i="92"/>
  <c r="V161" i="92"/>
  <c r="V163" i="92"/>
  <c r="V165" i="92"/>
  <c r="V167" i="92"/>
  <c r="V169" i="92"/>
  <c r="V171" i="92"/>
  <c r="V173" i="92"/>
  <c r="V154" i="92"/>
  <c r="V126" i="92"/>
  <c r="V130" i="92"/>
  <c r="V134" i="92"/>
  <c r="W135" i="92"/>
  <c r="V138" i="92"/>
  <c r="W139" i="92"/>
  <c r="V142" i="92"/>
  <c r="W143" i="92"/>
  <c r="V94" i="92"/>
  <c r="V96" i="92"/>
  <c r="V98" i="92"/>
  <c r="V100" i="92"/>
  <c r="V102" i="92"/>
  <c r="V104" i="92"/>
  <c r="V106" i="92"/>
  <c r="V108" i="92"/>
  <c r="V110" i="92"/>
  <c r="V61" i="92"/>
  <c r="V63" i="92"/>
  <c r="V65" i="92"/>
  <c r="V67" i="92"/>
  <c r="V69" i="92"/>
  <c r="V71" i="92"/>
  <c r="V73" i="92"/>
  <c r="V75" i="92"/>
  <c r="V77" i="92"/>
  <c r="V79" i="92"/>
  <c r="N18" i="92"/>
  <c r="V62" i="92"/>
  <c r="V64" i="92"/>
  <c r="V66" i="92"/>
  <c r="V68" i="92"/>
  <c r="V70" i="92"/>
  <c r="V72" i="92"/>
  <c r="V74" i="92"/>
  <c r="V76" i="92"/>
  <c r="V78" i="92"/>
  <c r="J84" i="92"/>
  <c r="W15" i="92"/>
  <c r="V15" i="92"/>
  <c r="W25" i="92"/>
  <c r="V25" i="92"/>
  <c r="W41" i="92"/>
  <c r="V41" i="92"/>
  <c r="W24" i="92"/>
  <c r="V24" i="92"/>
  <c r="W40" i="92"/>
  <c r="V40" i="92"/>
  <c r="W33" i="92"/>
  <c r="V33" i="92"/>
  <c r="W18" i="92"/>
  <c r="V18" i="92"/>
  <c r="V32" i="92"/>
  <c r="W32" i="92"/>
  <c r="W7" i="92"/>
  <c r="V10" i="92"/>
  <c r="W28" i="92"/>
  <c r="W36" i="92"/>
  <c r="V13" i="92"/>
  <c r="V21" i="92"/>
  <c r="V29" i="92"/>
  <c r="V37" i="92"/>
  <c r="V17" i="92"/>
  <c r="W17" i="92"/>
  <c r="W31" i="92"/>
  <c r="V31" i="92"/>
  <c r="V39" i="92"/>
  <c r="W39" i="92"/>
  <c r="W84" i="92"/>
  <c r="P6" i="92" s="1"/>
  <c r="W9" i="92"/>
  <c r="V9" i="92"/>
  <c r="W20" i="92"/>
  <c r="V20" i="92"/>
  <c r="V27" i="92"/>
  <c r="W27" i="92"/>
  <c r="V35" i="92"/>
  <c r="W35" i="92"/>
  <c r="V43" i="92"/>
  <c r="W43" i="92"/>
  <c r="W115" i="92"/>
  <c r="P8" i="92" s="1"/>
  <c r="W239" i="92"/>
  <c r="P16" i="92" s="1"/>
  <c r="V23" i="92"/>
  <c r="W23" i="92"/>
  <c r="V12" i="92"/>
  <c r="W12" i="92"/>
  <c r="W6" i="92"/>
  <c r="W8" i="92"/>
  <c r="W11" i="92"/>
  <c r="V14" i="92"/>
  <c r="W16" i="92"/>
  <c r="W22" i="92"/>
  <c r="W26" i="92"/>
  <c r="W30" i="92"/>
  <c r="W34" i="92"/>
  <c r="W38" i="92"/>
  <c r="W42" i="92"/>
  <c r="J115" i="92"/>
  <c r="J177" i="92"/>
  <c r="J239" i="92"/>
  <c r="J52" i="92"/>
  <c r="W19" i="92"/>
  <c r="I15" i="91"/>
  <c r="J15" i="91" s="1"/>
  <c r="V15" i="91" s="1"/>
  <c r="I14" i="91"/>
  <c r="J14" i="91" s="1"/>
  <c r="J13" i="91"/>
  <c r="I13" i="91"/>
  <c r="I12" i="91"/>
  <c r="J12" i="91" s="1"/>
  <c r="V12" i="91" s="1"/>
  <c r="J11" i="91"/>
  <c r="I11" i="91"/>
  <c r="I10" i="91"/>
  <c r="J10" i="91" s="1"/>
  <c r="V10" i="91" s="1"/>
  <c r="I8" i="91"/>
  <c r="J8" i="91" s="1"/>
  <c r="I9" i="91"/>
  <c r="J9" i="91" s="1"/>
  <c r="W9" i="91" s="1"/>
  <c r="J238" i="91"/>
  <c r="W238" i="91" s="1"/>
  <c r="J237" i="91"/>
  <c r="W237" i="91" s="1"/>
  <c r="J236" i="91"/>
  <c r="W236" i="91" s="1"/>
  <c r="J235" i="91"/>
  <c r="W235" i="91" s="1"/>
  <c r="J234" i="91"/>
  <c r="W234" i="91" s="1"/>
  <c r="J233" i="91"/>
  <c r="W233" i="91" s="1"/>
  <c r="J232" i="91"/>
  <c r="W232" i="91" s="1"/>
  <c r="J231" i="91"/>
  <c r="W231" i="91" s="1"/>
  <c r="J230" i="91"/>
  <c r="W230" i="91" s="1"/>
  <c r="J229" i="91"/>
  <c r="W229" i="91" s="1"/>
  <c r="J228" i="91"/>
  <c r="W228" i="91" s="1"/>
  <c r="J227" i="91"/>
  <c r="W227" i="91" s="1"/>
  <c r="J226" i="91"/>
  <c r="W226" i="91" s="1"/>
  <c r="J225" i="91"/>
  <c r="W225" i="91" s="1"/>
  <c r="J224" i="91"/>
  <c r="W224" i="91" s="1"/>
  <c r="J223" i="91"/>
  <c r="W223" i="91" s="1"/>
  <c r="J222" i="91"/>
  <c r="W222" i="91" s="1"/>
  <c r="J221" i="91"/>
  <c r="W221" i="91" s="1"/>
  <c r="J220" i="91"/>
  <c r="W220" i="91" s="1"/>
  <c r="J219" i="91"/>
  <c r="W219" i="91" s="1"/>
  <c r="J218" i="91"/>
  <c r="W218" i="91" s="1"/>
  <c r="J217" i="91"/>
  <c r="W217" i="91" s="1"/>
  <c r="B217" i="91"/>
  <c r="B218" i="91" s="1"/>
  <c r="B219" i="91" s="1"/>
  <c r="B220" i="91" s="1"/>
  <c r="B221" i="91" s="1"/>
  <c r="B222" i="91" s="1"/>
  <c r="B223" i="91" s="1"/>
  <c r="B224" i="91" s="1"/>
  <c r="B225" i="91" s="1"/>
  <c r="B226" i="91" s="1"/>
  <c r="B227" i="91" s="1"/>
  <c r="B228" i="91" s="1"/>
  <c r="B229" i="91" s="1"/>
  <c r="B230" i="91" s="1"/>
  <c r="B231" i="91" s="1"/>
  <c r="B232" i="91" s="1"/>
  <c r="B233" i="91" s="1"/>
  <c r="B234" i="91" s="1"/>
  <c r="B235" i="91" s="1"/>
  <c r="B236" i="91" s="1"/>
  <c r="B237" i="91" s="1"/>
  <c r="B238" i="91" s="1"/>
  <c r="J216" i="91"/>
  <c r="W216" i="91" s="1"/>
  <c r="J207" i="91"/>
  <c r="W207" i="91" s="1"/>
  <c r="J206" i="91"/>
  <c r="V206" i="91" s="1"/>
  <c r="W205" i="91"/>
  <c r="J205" i="91"/>
  <c r="V205" i="91" s="1"/>
  <c r="J204" i="91"/>
  <c r="W204" i="91" s="1"/>
  <c r="J203" i="91"/>
  <c r="V203" i="91" s="1"/>
  <c r="J202" i="91"/>
  <c r="V202" i="91" s="1"/>
  <c r="J201" i="91"/>
  <c r="W201" i="91" s="1"/>
  <c r="J200" i="91"/>
  <c r="W200" i="91" s="1"/>
  <c r="J199" i="91"/>
  <c r="V199" i="91" s="1"/>
  <c r="J198" i="91"/>
  <c r="W198" i="91" s="1"/>
  <c r="J197" i="91"/>
  <c r="W197" i="91" s="1"/>
  <c r="J196" i="91"/>
  <c r="W196" i="91" s="1"/>
  <c r="J195" i="91"/>
  <c r="V195" i="91" s="1"/>
  <c r="J194" i="91"/>
  <c r="V194" i="91" s="1"/>
  <c r="J193" i="91"/>
  <c r="W193" i="91" s="1"/>
  <c r="J192" i="91"/>
  <c r="W192" i="91" s="1"/>
  <c r="J191" i="91"/>
  <c r="V191" i="91" s="1"/>
  <c r="J190" i="91"/>
  <c r="V190" i="91" s="1"/>
  <c r="J189" i="91"/>
  <c r="W189" i="91" s="1"/>
  <c r="J188" i="91"/>
  <c r="W188" i="91" s="1"/>
  <c r="J187" i="91"/>
  <c r="V187" i="91" s="1"/>
  <c r="J186" i="91"/>
  <c r="V186" i="91" s="1"/>
  <c r="B186" i="91"/>
  <c r="B187" i="91" s="1"/>
  <c r="B188" i="91" s="1"/>
  <c r="B189" i="91" s="1"/>
  <c r="B190" i="91" s="1"/>
  <c r="B191" i="91" s="1"/>
  <c r="B192" i="91" s="1"/>
  <c r="B193" i="91" s="1"/>
  <c r="B194" i="91" s="1"/>
  <c r="B195" i="91" s="1"/>
  <c r="B196" i="91" s="1"/>
  <c r="B197" i="91" s="1"/>
  <c r="B198" i="91" s="1"/>
  <c r="B199" i="91" s="1"/>
  <c r="B200" i="91" s="1"/>
  <c r="B201" i="91" s="1"/>
  <c r="B202" i="91" s="1"/>
  <c r="B203" i="91" s="1"/>
  <c r="B204" i="91" s="1"/>
  <c r="B205" i="91" s="1"/>
  <c r="B206" i="91" s="1"/>
  <c r="B207" i="91" s="1"/>
  <c r="J185" i="91"/>
  <c r="J176" i="91"/>
  <c r="W176" i="91" s="1"/>
  <c r="J175" i="91"/>
  <c r="W175" i="91" s="1"/>
  <c r="J174" i="91"/>
  <c r="W174" i="91" s="1"/>
  <c r="J173" i="91"/>
  <c r="W173" i="91" s="1"/>
  <c r="J172" i="91"/>
  <c r="W172" i="91" s="1"/>
  <c r="J171" i="91"/>
  <c r="W171" i="91" s="1"/>
  <c r="J170" i="91"/>
  <c r="W170" i="91" s="1"/>
  <c r="J169" i="91"/>
  <c r="W169" i="91" s="1"/>
  <c r="J168" i="91"/>
  <c r="W168" i="91" s="1"/>
  <c r="J167" i="91"/>
  <c r="W167" i="91" s="1"/>
  <c r="J166" i="91"/>
  <c r="W166" i="91" s="1"/>
  <c r="J165" i="91"/>
  <c r="W165" i="91" s="1"/>
  <c r="J164" i="91"/>
  <c r="W164" i="91" s="1"/>
  <c r="J163" i="91"/>
  <c r="W163" i="91" s="1"/>
  <c r="J162" i="91"/>
  <c r="W162" i="91" s="1"/>
  <c r="J161" i="91"/>
  <c r="W161" i="91" s="1"/>
  <c r="J160" i="91"/>
  <c r="W160" i="91" s="1"/>
  <c r="J159" i="91"/>
  <c r="W159" i="91" s="1"/>
  <c r="J158" i="91"/>
  <c r="W158" i="91" s="1"/>
  <c r="J157" i="91"/>
  <c r="W157" i="91" s="1"/>
  <c r="J156" i="91"/>
  <c r="W156" i="91" s="1"/>
  <c r="J155" i="91"/>
  <c r="W155" i="91" s="1"/>
  <c r="B155" i="91"/>
  <c r="B156" i="91" s="1"/>
  <c r="B157" i="91" s="1"/>
  <c r="B158" i="91" s="1"/>
  <c r="B159" i="91" s="1"/>
  <c r="B160" i="91" s="1"/>
  <c r="B161" i="91" s="1"/>
  <c r="B162" i="91" s="1"/>
  <c r="B163" i="91" s="1"/>
  <c r="B164" i="91" s="1"/>
  <c r="B165" i="91" s="1"/>
  <c r="B166" i="91" s="1"/>
  <c r="B167" i="91" s="1"/>
  <c r="B168" i="91" s="1"/>
  <c r="B169" i="91" s="1"/>
  <c r="B170" i="91" s="1"/>
  <c r="B171" i="91" s="1"/>
  <c r="B172" i="91" s="1"/>
  <c r="B173" i="91" s="1"/>
  <c r="B174" i="91" s="1"/>
  <c r="B175" i="91" s="1"/>
  <c r="B176" i="91" s="1"/>
  <c r="J154" i="91"/>
  <c r="W154" i="91" s="1"/>
  <c r="J145" i="91"/>
  <c r="W145" i="91" s="1"/>
  <c r="W144" i="91"/>
  <c r="J144" i="91"/>
  <c r="V144" i="91" s="1"/>
  <c r="J143" i="91"/>
  <c r="W143" i="91" s="1"/>
  <c r="J142" i="91"/>
  <c r="W142" i="91" s="1"/>
  <c r="J141" i="91"/>
  <c r="V141" i="91" s="1"/>
  <c r="V140" i="91"/>
  <c r="J140" i="91"/>
  <c r="W140" i="91" s="1"/>
  <c r="J139" i="91"/>
  <c r="V139" i="91" s="1"/>
  <c r="J138" i="91"/>
  <c r="W138" i="91" s="1"/>
  <c r="J137" i="91"/>
  <c r="V137" i="91" s="1"/>
  <c r="J136" i="91"/>
  <c r="V136" i="91" s="1"/>
  <c r="J135" i="91"/>
  <c r="V135" i="91" s="1"/>
  <c r="J134" i="91"/>
  <c r="W134" i="91" s="1"/>
  <c r="J133" i="91"/>
  <c r="V133" i="91" s="1"/>
  <c r="J132" i="91"/>
  <c r="V132" i="91" s="1"/>
  <c r="J131" i="91"/>
  <c r="V131" i="91" s="1"/>
  <c r="J130" i="91"/>
  <c r="W130" i="91" s="1"/>
  <c r="J129" i="91"/>
  <c r="V129" i="91" s="1"/>
  <c r="J128" i="91"/>
  <c r="V128" i="91" s="1"/>
  <c r="J127" i="91"/>
  <c r="V127" i="91" s="1"/>
  <c r="J126" i="91"/>
  <c r="W126" i="91" s="1"/>
  <c r="J125" i="91"/>
  <c r="V125" i="91" s="1"/>
  <c r="J124" i="91"/>
  <c r="V124" i="91" s="1"/>
  <c r="B124" i="91"/>
  <c r="B125" i="91" s="1"/>
  <c r="B126" i="91" s="1"/>
  <c r="B127" i="91" s="1"/>
  <c r="B128" i="91" s="1"/>
  <c r="B129" i="91" s="1"/>
  <c r="B130" i="91" s="1"/>
  <c r="B131" i="91" s="1"/>
  <c r="B132" i="91" s="1"/>
  <c r="B133" i="91" s="1"/>
  <c r="B134" i="91" s="1"/>
  <c r="B135" i="91" s="1"/>
  <c r="B136" i="91" s="1"/>
  <c r="B137" i="91" s="1"/>
  <c r="B138" i="91" s="1"/>
  <c r="B139" i="91" s="1"/>
  <c r="B140" i="91" s="1"/>
  <c r="B141" i="91" s="1"/>
  <c r="B142" i="91" s="1"/>
  <c r="B143" i="91" s="1"/>
  <c r="B144" i="91" s="1"/>
  <c r="B145" i="91" s="1"/>
  <c r="W123" i="91"/>
  <c r="J123" i="91"/>
  <c r="V123" i="91" s="1"/>
  <c r="J114" i="91"/>
  <c r="W114" i="91" s="1"/>
  <c r="J113" i="91"/>
  <c r="W113" i="91" s="1"/>
  <c r="J112" i="91"/>
  <c r="W112" i="91" s="1"/>
  <c r="J111" i="91"/>
  <c r="W111" i="91" s="1"/>
  <c r="J110" i="91"/>
  <c r="W110" i="91" s="1"/>
  <c r="J109" i="91"/>
  <c r="W109" i="91" s="1"/>
  <c r="J108" i="91"/>
  <c r="W108" i="91" s="1"/>
  <c r="J107" i="91"/>
  <c r="W107" i="91" s="1"/>
  <c r="J106" i="91"/>
  <c r="W106" i="91" s="1"/>
  <c r="J105" i="91"/>
  <c r="W105" i="91" s="1"/>
  <c r="J104" i="91"/>
  <c r="W104" i="91" s="1"/>
  <c r="J103" i="91"/>
  <c r="W103" i="91" s="1"/>
  <c r="J102" i="91"/>
  <c r="W102" i="91" s="1"/>
  <c r="J101" i="91"/>
  <c r="W101" i="91" s="1"/>
  <c r="J100" i="91"/>
  <c r="W100" i="91" s="1"/>
  <c r="J99" i="91"/>
  <c r="W99" i="91" s="1"/>
  <c r="J98" i="91"/>
  <c r="W98" i="91" s="1"/>
  <c r="J97" i="91"/>
  <c r="W97" i="91" s="1"/>
  <c r="J96" i="91"/>
  <c r="W96" i="91" s="1"/>
  <c r="J95" i="91"/>
  <c r="W95" i="91" s="1"/>
  <c r="J94" i="91"/>
  <c r="W94" i="91" s="1"/>
  <c r="J93" i="91"/>
  <c r="W93" i="91" s="1"/>
  <c r="B93" i="91"/>
  <c r="B94" i="91" s="1"/>
  <c r="B95" i="91" s="1"/>
  <c r="B96" i="91" s="1"/>
  <c r="B97" i="91" s="1"/>
  <c r="B98" i="91" s="1"/>
  <c r="B99" i="91" s="1"/>
  <c r="B100" i="91" s="1"/>
  <c r="B101" i="91" s="1"/>
  <c r="B102" i="91" s="1"/>
  <c r="B103" i="91" s="1"/>
  <c r="B104" i="91" s="1"/>
  <c r="B105" i="91" s="1"/>
  <c r="B106" i="91" s="1"/>
  <c r="B107" i="91" s="1"/>
  <c r="B108" i="91" s="1"/>
  <c r="B109" i="91" s="1"/>
  <c r="B110" i="91" s="1"/>
  <c r="B111" i="91" s="1"/>
  <c r="B112" i="91" s="1"/>
  <c r="B113" i="91" s="1"/>
  <c r="B114" i="91" s="1"/>
  <c r="J92" i="91"/>
  <c r="W92" i="91" s="1"/>
  <c r="J83" i="91"/>
  <c r="W83" i="91" s="1"/>
  <c r="J82" i="91"/>
  <c r="W82" i="91" s="1"/>
  <c r="J81" i="91"/>
  <c r="J80" i="91"/>
  <c r="W80" i="91" s="1"/>
  <c r="J79" i="91"/>
  <c r="W79" i="91" s="1"/>
  <c r="J78" i="91"/>
  <c r="W78" i="91" s="1"/>
  <c r="J77" i="91"/>
  <c r="W77" i="91" s="1"/>
  <c r="J76" i="91"/>
  <c r="W76" i="91" s="1"/>
  <c r="J75" i="91"/>
  <c r="W75" i="91" s="1"/>
  <c r="J74" i="91"/>
  <c r="W74" i="91" s="1"/>
  <c r="J73" i="91"/>
  <c r="W73" i="91" s="1"/>
  <c r="J72" i="91"/>
  <c r="W72" i="91" s="1"/>
  <c r="J71" i="91"/>
  <c r="W71" i="91" s="1"/>
  <c r="J70" i="91"/>
  <c r="W70" i="91" s="1"/>
  <c r="J69" i="91"/>
  <c r="W69" i="91" s="1"/>
  <c r="J68" i="91"/>
  <c r="W68" i="91" s="1"/>
  <c r="J67" i="91"/>
  <c r="W67" i="91" s="1"/>
  <c r="J66" i="91"/>
  <c r="W66" i="91" s="1"/>
  <c r="J65" i="91"/>
  <c r="W65" i="91" s="1"/>
  <c r="J64" i="91"/>
  <c r="W64" i="91" s="1"/>
  <c r="J63" i="91"/>
  <c r="W63" i="91" s="1"/>
  <c r="J62" i="91"/>
  <c r="W62" i="91" s="1"/>
  <c r="J61" i="91"/>
  <c r="W61" i="91" s="1"/>
  <c r="B61" i="91"/>
  <c r="B62" i="91" s="1"/>
  <c r="B63" i="91" s="1"/>
  <c r="B64" i="91" s="1"/>
  <c r="B65" i="91" s="1"/>
  <c r="B66" i="91" s="1"/>
  <c r="B67" i="91" s="1"/>
  <c r="B68" i="91" s="1"/>
  <c r="B69" i="91" s="1"/>
  <c r="B70" i="91" s="1"/>
  <c r="B71" i="91" s="1"/>
  <c r="B72" i="91" s="1"/>
  <c r="B73" i="91" s="1"/>
  <c r="B74" i="91" s="1"/>
  <c r="B75" i="91" s="1"/>
  <c r="B76" i="91" s="1"/>
  <c r="B77" i="91" s="1"/>
  <c r="B78" i="91" s="1"/>
  <c r="B79" i="91" s="1"/>
  <c r="B80" i="91" s="1"/>
  <c r="B81" i="91" s="1"/>
  <c r="B82" i="91" s="1"/>
  <c r="B83" i="91" s="1"/>
  <c r="J60" i="91"/>
  <c r="W60" i="91" s="1"/>
  <c r="W51" i="91"/>
  <c r="V51" i="91"/>
  <c r="W50" i="91"/>
  <c r="V50" i="91"/>
  <c r="W49" i="91"/>
  <c r="V49" i="91"/>
  <c r="V48" i="91"/>
  <c r="W46" i="91"/>
  <c r="V46" i="91"/>
  <c r="V44" i="91"/>
  <c r="W42" i="91"/>
  <c r="V42" i="91"/>
  <c r="V40" i="91"/>
  <c r="W38" i="91"/>
  <c r="V38" i="91"/>
  <c r="V36" i="91"/>
  <c r="W34" i="91"/>
  <c r="V34" i="91"/>
  <c r="V32" i="91"/>
  <c r="W30" i="91"/>
  <c r="V30" i="91"/>
  <c r="V28" i="91"/>
  <c r="W26" i="91"/>
  <c r="V26" i="91"/>
  <c r="V24" i="91"/>
  <c r="W22" i="91"/>
  <c r="V22" i="91"/>
  <c r="V20" i="91"/>
  <c r="W19" i="91"/>
  <c r="V19" i="91"/>
  <c r="V18" i="91"/>
  <c r="V17" i="91"/>
  <c r="W17" i="91"/>
  <c r="N16" i="91"/>
  <c r="N14" i="91"/>
  <c r="N12" i="91"/>
  <c r="N10" i="91"/>
  <c r="N8" i="91"/>
  <c r="I7" i="91"/>
  <c r="J7" i="91" s="1"/>
  <c r="V7" i="91" s="1"/>
  <c r="B7" i="91"/>
  <c r="B8" i="91" s="1"/>
  <c r="B9" i="91" s="1"/>
  <c r="B10" i="91" s="1"/>
  <c r="B11" i="91" s="1"/>
  <c r="B12" i="91" s="1"/>
  <c r="B13" i="91" s="1"/>
  <c r="B14" i="91" s="1"/>
  <c r="B15" i="91" s="1"/>
  <c r="B16" i="91" s="1"/>
  <c r="B17" i="91" s="1"/>
  <c r="B18" i="91" s="1"/>
  <c r="B19" i="91" s="1"/>
  <c r="B20" i="91" s="1"/>
  <c r="B21" i="91" s="1"/>
  <c r="B22" i="91" s="1"/>
  <c r="B23" i="91" s="1"/>
  <c r="B24" i="91" s="1"/>
  <c r="B25" i="91" s="1"/>
  <c r="B26" i="91" s="1"/>
  <c r="B27" i="91" s="1"/>
  <c r="B28" i="91" s="1"/>
  <c r="B29" i="91" s="1"/>
  <c r="B30" i="91" s="1"/>
  <c r="B31" i="91" s="1"/>
  <c r="B32" i="91" s="1"/>
  <c r="B33" i="91" s="1"/>
  <c r="B34" i="91" s="1"/>
  <c r="B35" i="91" s="1"/>
  <c r="B36" i="91" s="1"/>
  <c r="B37" i="91" s="1"/>
  <c r="B38" i="91" s="1"/>
  <c r="B39" i="91" s="1"/>
  <c r="B40" i="91" s="1"/>
  <c r="B41" i="91" s="1"/>
  <c r="B42" i="91" s="1"/>
  <c r="B43" i="91" s="1"/>
  <c r="B44" i="91" s="1"/>
  <c r="B45" i="91" s="1"/>
  <c r="B46" i="91" s="1"/>
  <c r="B47" i="91" s="1"/>
  <c r="B48" i="91" s="1"/>
  <c r="B49" i="91" s="1"/>
  <c r="B50" i="91" s="1"/>
  <c r="B51" i="91" s="1"/>
  <c r="N6" i="91"/>
  <c r="I6" i="91"/>
  <c r="J6" i="91" s="1"/>
  <c r="N4" i="91"/>
  <c r="I48" i="90"/>
  <c r="J48" i="90" s="1"/>
  <c r="I47" i="90"/>
  <c r="J47" i="90" s="1"/>
  <c r="J81" i="90"/>
  <c r="I46" i="90"/>
  <c r="J46" i="90" s="1"/>
  <c r="I45" i="90"/>
  <c r="J45" i="90" s="1"/>
  <c r="I44" i="90"/>
  <c r="J44" i="90" s="1"/>
  <c r="I43" i="90"/>
  <c r="J43" i="90" s="1"/>
  <c r="I42" i="90"/>
  <c r="J42" i="90" s="1"/>
  <c r="I41" i="90"/>
  <c r="J41" i="90" s="1"/>
  <c r="I40" i="90"/>
  <c r="J40" i="90" s="1"/>
  <c r="I39" i="90"/>
  <c r="J39" i="90" s="1"/>
  <c r="I38" i="90"/>
  <c r="J38" i="90" s="1"/>
  <c r="I37" i="90"/>
  <c r="J37" i="90" s="1"/>
  <c r="I36" i="90"/>
  <c r="J36" i="90" s="1"/>
  <c r="I35" i="90"/>
  <c r="J35" i="90" s="1"/>
  <c r="I34" i="90"/>
  <c r="J34" i="90" s="1"/>
  <c r="I33" i="90"/>
  <c r="J33" i="90" s="1"/>
  <c r="I32" i="90"/>
  <c r="J32" i="90" s="1"/>
  <c r="I31" i="90"/>
  <c r="J31" i="90" s="1"/>
  <c r="I30" i="90"/>
  <c r="J30" i="90" s="1"/>
  <c r="I29" i="90"/>
  <c r="J29" i="90" s="1"/>
  <c r="I28" i="90"/>
  <c r="J28" i="90" s="1"/>
  <c r="I27" i="90"/>
  <c r="J27" i="90" s="1"/>
  <c r="I26" i="90"/>
  <c r="J26" i="90" s="1"/>
  <c r="I25" i="90"/>
  <c r="J25" i="90" s="1"/>
  <c r="I24" i="90"/>
  <c r="J24" i="90" s="1"/>
  <c r="I23" i="90"/>
  <c r="J23" i="90" s="1"/>
  <c r="I22" i="90"/>
  <c r="J22" i="90" s="1"/>
  <c r="I21" i="90"/>
  <c r="J21" i="90" s="1"/>
  <c r="I20" i="90"/>
  <c r="J20" i="90" s="1"/>
  <c r="I19" i="90"/>
  <c r="J19" i="90" s="1"/>
  <c r="I18" i="90"/>
  <c r="J18" i="90" s="1"/>
  <c r="I17" i="90"/>
  <c r="J17" i="90" s="1"/>
  <c r="I16" i="90"/>
  <c r="J16" i="90" s="1"/>
  <c r="I15" i="90"/>
  <c r="J15" i="90" s="1"/>
  <c r="I14" i="90"/>
  <c r="J14" i="90" s="1"/>
  <c r="I13" i="90"/>
  <c r="J13" i="90" s="1"/>
  <c r="I12" i="90"/>
  <c r="J12" i="90" s="1"/>
  <c r="I11" i="90"/>
  <c r="J11" i="90" s="1"/>
  <c r="J10" i="90"/>
  <c r="I10" i="90"/>
  <c r="V83" i="91" l="1"/>
  <c r="V143" i="91"/>
  <c r="V77" i="91"/>
  <c r="V145" i="91"/>
  <c r="W194" i="91"/>
  <c r="W206" i="91"/>
  <c r="W124" i="91"/>
  <c r="V142" i="91"/>
  <c r="W202" i="91"/>
  <c r="V237" i="91"/>
  <c r="V71" i="91"/>
  <c r="V112" i="91"/>
  <c r="V114" i="91"/>
  <c r="W127" i="91"/>
  <c r="W136" i="91"/>
  <c r="V154" i="91"/>
  <c r="V176" i="91"/>
  <c r="W186" i="91"/>
  <c r="V198" i="91"/>
  <c r="V216" i="91"/>
  <c r="W190" i="91"/>
  <c r="V207" i="91"/>
  <c r="V238" i="91"/>
  <c r="V79" i="91"/>
  <c r="V92" i="91"/>
  <c r="V113" i="91"/>
  <c r="V126" i="91"/>
  <c r="W128" i="91"/>
  <c r="W135" i="91"/>
  <c r="P18" i="93"/>
  <c r="Q4" i="93"/>
  <c r="R4" i="93"/>
  <c r="R16" i="93"/>
  <c r="Q16" i="93"/>
  <c r="R12" i="93"/>
  <c r="R8" i="93"/>
  <c r="Q8" i="93"/>
  <c r="Q6" i="93"/>
  <c r="R6" i="93"/>
  <c r="O18" i="93"/>
  <c r="R18" i="93" s="1"/>
  <c r="P20" i="93" s="1"/>
  <c r="V146" i="92"/>
  <c r="O10" i="92" s="1"/>
  <c r="R10" i="92" s="1"/>
  <c r="V208" i="92"/>
  <c r="O14" i="92" s="1"/>
  <c r="R14" i="92" s="1"/>
  <c r="V177" i="92"/>
  <c r="O12" i="92" s="1"/>
  <c r="R12" i="92" s="1"/>
  <c r="V52" i="92"/>
  <c r="O4" i="92" s="1"/>
  <c r="R4" i="92" s="1"/>
  <c r="W208" i="92"/>
  <c r="P14" i="92" s="1"/>
  <c r="V239" i="92"/>
  <c r="O16" i="92" s="1"/>
  <c r="R16" i="92" s="1"/>
  <c r="W146" i="92"/>
  <c r="P10" i="92" s="1"/>
  <c r="V115" i="92"/>
  <c r="O8" i="92" s="1"/>
  <c r="Q8" i="92" s="1"/>
  <c r="V84" i="92"/>
  <c r="R6" i="92" s="1"/>
  <c r="W52" i="92"/>
  <c r="P4" i="92" s="1"/>
  <c r="V110" i="91"/>
  <c r="V201" i="91"/>
  <c r="W139" i="91"/>
  <c r="V108" i="91"/>
  <c r="V138" i="91"/>
  <c r="V75" i="91"/>
  <c r="V106" i="91"/>
  <c r="V73" i="91"/>
  <c r="V197" i="91"/>
  <c r="V134" i="91"/>
  <c r="W132" i="91"/>
  <c r="V69" i="91"/>
  <c r="V193" i="91"/>
  <c r="W131" i="91"/>
  <c r="V130" i="91"/>
  <c r="V67" i="91"/>
  <c r="V65" i="91"/>
  <c r="J146" i="91"/>
  <c r="V189" i="91"/>
  <c r="J208" i="91"/>
  <c r="V63" i="91"/>
  <c r="V61" i="91"/>
  <c r="W185" i="91"/>
  <c r="V185" i="91"/>
  <c r="V60" i="91"/>
  <c r="J239" i="91"/>
  <c r="V218" i="91"/>
  <c r="V220" i="91"/>
  <c r="V222" i="91"/>
  <c r="V224" i="91"/>
  <c r="V226" i="91"/>
  <c r="V228" i="91"/>
  <c r="V230" i="91"/>
  <c r="V232" i="91"/>
  <c r="V234" i="91"/>
  <c r="V236" i="91"/>
  <c r="V217" i="91"/>
  <c r="V219" i="91"/>
  <c r="V221" i="91"/>
  <c r="V223" i="91"/>
  <c r="V225" i="91"/>
  <c r="V227" i="91"/>
  <c r="V229" i="91"/>
  <c r="V231" i="91"/>
  <c r="V233" i="91"/>
  <c r="V235" i="91"/>
  <c r="V188" i="91"/>
  <c r="V192" i="91"/>
  <c r="V196" i="91"/>
  <c r="V200" i="91"/>
  <c r="V204" i="91"/>
  <c r="W187" i="91"/>
  <c r="W191" i="91"/>
  <c r="W195" i="91"/>
  <c r="W199" i="91"/>
  <c r="W203" i="91"/>
  <c r="J177" i="91"/>
  <c r="V156" i="91"/>
  <c r="V158" i="91"/>
  <c r="V160" i="91"/>
  <c r="V162" i="91"/>
  <c r="V164" i="91"/>
  <c r="V166" i="91"/>
  <c r="V168" i="91"/>
  <c r="V170" i="91"/>
  <c r="V172" i="91"/>
  <c r="V174" i="91"/>
  <c r="V155" i="91"/>
  <c r="V157" i="91"/>
  <c r="V159" i="91"/>
  <c r="V161" i="91"/>
  <c r="V163" i="91"/>
  <c r="V165" i="91"/>
  <c r="V167" i="91"/>
  <c r="V169" i="91"/>
  <c r="V171" i="91"/>
  <c r="V173" i="91"/>
  <c r="V175" i="91"/>
  <c r="W125" i="91"/>
  <c r="W129" i="91"/>
  <c r="W133" i="91"/>
  <c r="W137" i="91"/>
  <c r="W141" i="91"/>
  <c r="J115" i="91"/>
  <c r="V94" i="91"/>
  <c r="V96" i="91"/>
  <c r="V98" i="91"/>
  <c r="V100" i="91"/>
  <c r="V102" i="91"/>
  <c r="V104" i="91"/>
  <c r="V93" i="91"/>
  <c r="V95" i="91"/>
  <c r="V97" i="91"/>
  <c r="V99" i="91"/>
  <c r="V101" i="91"/>
  <c r="V103" i="91"/>
  <c r="V105" i="91"/>
  <c r="V107" i="91"/>
  <c r="V109" i="91"/>
  <c r="V111" i="91"/>
  <c r="V82" i="91"/>
  <c r="N18" i="91"/>
  <c r="V62" i="91"/>
  <c r="V64" i="91"/>
  <c r="V66" i="91"/>
  <c r="V68" i="91"/>
  <c r="V70" i="91"/>
  <c r="V72" i="91"/>
  <c r="V74" i="91"/>
  <c r="V76" i="91"/>
  <c r="V78" i="91"/>
  <c r="V80" i="91"/>
  <c r="W6" i="91"/>
  <c r="V6" i="91"/>
  <c r="W11" i="91"/>
  <c r="V11" i="91"/>
  <c r="W14" i="91"/>
  <c r="V14" i="91"/>
  <c r="V9" i="91"/>
  <c r="V13" i="91"/>
  <c r="W13" i="91"/>
  <c r="V21" i="91"/>
  <c r="W21" i="91"/>
  <c r="V37" i="91"/>
  <c r="W37" i="91"/>
  <c r="W23" i="91"/>
  <c r="V23" i="91"/>
  <c r="W39" i="91"/>
  <c r="V39" i="91"/>
  <c r="W27" i="91"/>
  <c r="V27" i="91"/>
  <c r="V41" i="91"/>
  <c r="W41" i="91"/>
  <c r="W84" i="91"/>
  <c r="P6" i="91" s="1"/>
  <c r="W31" i="91"/>
  <c r="V31" i="91"/>
  <c r="V45" i="91"/>
  <c r="W45" i="91"/>
  <c r="W47" i="91"/>
  <c r="V47" i="91"/>
  <c r="V8" i="91"/>
  <c r="W8" i="91"/>
  <c r="V16" i="91"/>
  <c r="W16" i="91"/>
  <c r="V25" i="91"/>
  <c r="W25" i="91"/>
  <c r="W43" i="91"/>
  <c r="V43" i="91"/>
  <c r="V29" i="91"/>
  <c r="W29" i="91"/>
  <c r="V33" i="91"/>
  <c r="W33" i="91"/>
  <c r="W35" i="91"/>
  <c r="V35" i="91"/>
  <c r="W115" i="91"/>
  <c r="P8" i="91" s="1"/>
  <c r="W177" i="91"/>
  <c r="P12" i="91" s="1"/>
  <c r="W239" i="91"/>
  <c r="P16" i="91" s="1"/>
  <c r="J52" i="91"/>
  <c r="J84" i="91"/>
  <c r="W18" i="91"/>
  <c r="W7" i="91"/>
  <c r="W28" i="91"/>
  <c r="W32" i="91"/>
  <c r="W40" i="91"/>
  <c r="W48" i="91"/>
  <c r="W10" i="91"/>
  <c r="W12" i="91"/>
  <c r="W15" i="91"/>
  <c r="W20" i="91"/>
  <c r="W24" i="91"/>
  <c r="W36" i="91"/>
  <c r="W44" i="91"/>
  <c r="I8" i="90"/>
  <c r="J8" i="90" s="1"/>
  <c r="I9" i="90"/>
  <c r="J9" i="90" s="1"/>
  <c r="V9" i="90" s="1"/>
  <c r="J238" i="90"/>
  <c r="W238" i="90" s="1"/>
  <c r="J237" i="90"/>
  <c r="W237" i="90" s="1"/>
  <c r="J236" i="90"/>
  <c r="W236" i="90" s="1"/>
  <c r="J235" i="90"/>
  <c r="W235" i="90" s="1"/>
  <c r="J234" i="90"/>
  <c r="W234" i="90" s="1"/>
  <c r="J233" i="90"/>
  <c r="W233" i="90" s="1"/>
  <c r="J232" i="90"/>
  <c r="W232" i="90" s="1"/>
  <c r="J231" i="90"/>
  <c r="W231" i="90" s="1"/>
  <c r="J230" i="90"/>
  <c r="W230" i="90" s="1"/>
  <c r="J229" i="90"/>
  <c r="W229" i="90" s="1"/>
  <c r="J228" i="90"/>
  <c r="W228" i="90" s="1"/>
  <c r="J227" i="90"/>
  <c r="W227" i="90" s="1"/>
  <c r="J226" i="90"/>
  <c r="W226" i="90" s="1"/>
  <c r="J225" i="90"/>
  <c r="W225" i="90" s="1"/>
  <c r="J224" i="90"/>
  <c r="W224" i="90" s="1"/>
  <c r="J223" i="90"/>
  <c r="W223" i="90" s="1"/>
  <c r="J222" i="90"/>
  <c r="W222" i="90" s="1"/>
  <c r="J221" i="90"/>
  <c r="W221" i="90" s="1"/>
  <c r="J220" i="90"/>
  <c r="W220" i="90" s="1"/>
  <c r="J219" i="90"/>
  <c r="W219" i="90" s="1"/>
  <c r="J218" i="90"/>
  <c r="W218" i="90" s="1"/>
  <c r="J217" i="90"/>
  <c r="W217" i="90" s="1"/>
  <c r="B217" i="90"/>
  <c r="B218" i="90" s="1"/>
  <c r="B219" i="90" s="1"/>
  <c r="B220" i="90" s="1"/>
  <c r="B221" i="90" s="1"/>
  <c r="B222" i="90" s="1"/>
  <c r="B223" i="90" s="1"/>
  <c r="B224" i="90" s="1"/>
  <c r="B225" i="90" s="1"/>
  <c r="B226" i="90" s="1"/>
  <c r="B227" i="90" s="1"/>
  <c r="B228" i="90" s="1"/>
  <c r="B229" i="90" s="1"/>
  <c r="B230" i="90" s="1"/>
  <c r="B231" i="90" s="1"/>
  <c r="B232" i="90" s="1"/>
  <c r="B233" i="90" s="1"/>
  <c r="B234" i="90" s="1"/>
  <c r="B235" i="90" s="1"/>
  <c r="B236" i="90" s="1"/>
  <c r="B237" i="90" s="1"/>
  <c r="B238" i="90" s="1"/>
  <c r="J216" i="90"/>
  <c r="W216" i="90" s="1"/>
  <c r="J207" i="90"/>
  <c r="V207" i="90" s="1"/>
  <c r="J206" i="90"/>
  <c r="V206" i="90" s="1"/>
  <c r="J205" i="90"/>
  <c r="V205" i="90" s="1"/>
  <c r="J204" i="90"/>
  <c r="V204" i="90" s="1"/>
  <c r="J203" i="90"/>
  <c r="V203" i="90" s="1"/>
  <c r="J202" i="90"/>
  <c r="V202" i="90" s="1"/>
  <c r="J201" i="90"/>
  <c r="V201" i="90" s="1"/>
  <c r="J200" i="90"/>
  <c r="V200" i="90" s="1"/>
  <c r="J199" i="90"/>
  <c r="V199" i="90" s="1"/>
  <c r="J198" i="90"/>
  <c r="V198" i="90" s="1"/>
  <c r="J197" i="90"/>
  <c r="V197" i="90" s="1"/>
  <c r="J196" i="90"/>
  <c r="V196" i="90" s="1"/>
  <c r="J195" i="90"/>
  <c r="V195" i="90" s="1"/>
  <c r="J194" i="90"/>
  <c r="V194" i="90" s="1"/>
  <c r="J193" i="90"/>
  <c r="V193" i="90" s="1"/>
  <c r="J192" i="90"/>
  <c r="V192" i="90" s="1"/>
  <c r="J191" i="90"/>
  <c r="V191" i="90" s="1"/>
  <c r="J190" i="90"/>
  <c r="V190" i="90" s="1"/>
  <c r="J189" i="90"/>
  <c r="V189" i="90" s="1"/>
  <c r="J188" i="90"/>
  <c r="V188" i="90" s="1"/>
  <c r="J187" i="90"/>
  <c r="V187" i="90" s="1"/>
  <c r="J186" i="90"/>
  <c r="V186" i="90" s="1"/>
  <c r="B186" i="90"/>
  <c r="B187" i="90" s="1"/>
  <c r="B188" i="90" s="1"/>
  <c r="B189" i="90" s="1"/>
  <c r="B190" i="90" s="1"/>
  <c r="B191" i="90" s="1"/>
  <c r="B192" i="90" s="1"/>
  <c r="B193" i="90" s="1"/>
  <c r="B194" i="90" s="1"/>
  <c r="B195" i="90" s="1"/>
  <c r="B196" i="90" s="1"/>
  <c r="B197" i="90" s="1"/>
  <c r="B198" i="90" s="1"/>
  <c r="B199" i="90" s="1"/>
  <c r="B200" i="90" s="1"/>
  <c r="B201" i="90" s="1"/>
  <c r="B202" i="90" s="1"/>
  <c r="B203" i="90" s="1"/>
  <c r="B204" i="90" s="1"/>
  <c r="B205" i="90" s="1"/>
  <c r="B206" i="90" s="1"/>
  <c r="B207" i="90" s="1"/>
  <c r="J185" i="90"/>
  <c r="V185" i="90" s="1"/>
  <c r="J176" i="90"/>
  <c r="W176" i="90" s="1"/>
  <c r="J175" i="90"/>
  <c r="W175" i="90" s="1"/>
  <c r="J174" i="90"/>
  <c r="W174" i="90" s="1"/>
  <c r="J173" i="90"/>
  <c r="W173" i="90" s="1"/>
  <c r="J172" i="90"/>
  <c r="W172" i="90" s="1"/>
  <c r="J171" i="90"/>
  <c r="W171" i="90" s="1"/>
  <c r="J170" i="90"/>
  <c r="W170" i="90" s="1"/>
  <c r="J169" i="90"/>
  <c r="W169" i="90" s="1"/>
  <c r="J168" i="90"/>
  <c r="W168" i="90" s="1"/>
  <c r="J167" i="90"/>
  <c r="W167" i="90" s="1"/>
  <c r="J166" i="90"/>
  <c r="W166" i="90" s="1"/>
  <c r="J165" i="90"/>
  <c r="W165" i="90" s="1"/>
  <c r="J164" i="90"/>
  <c r="W164" i="90" s="1"/>
  <c r="J163" i="90"/>
  <c r="W163" i="90" s="1"/>
  <c r="J162" i="90"/>
  <c r="W162" i="90" s="1"/>
  <c r="J161" i="90"/>
  <c r="W161" i="90" s="1"/>
  <c r="J160" i="90"/>
  <c r="W160" i="90" s="1"/>
  <c r="J159" i="90"/>
  <c r="W159" i="90" s="1"/>
  <c r="J158" i="90"/>
  <c r="W158" i="90" s="1"/>
  <c r="J157" i="90"/>
  <c r="W157" i="90" s="1"/>
  <c r="J156" i="90"/>
  <c r="W156" i="90" s="1"/>
  <c r="J155" i="90"/>
  <c r="W155" i="90" s="1"/>
  <c r="B155" i="90"/>
  <c r="B156" i="90" s="1"/>
  <c r="B157" i="90" s="1"/>
  <c r="B158" i="90" s="1"/>
  <c r="B159" i="90" s="1"/>
  <c r="B160" i="90" s="1"/>
  <c r="B161" i="90" s="1"/>
  <c r="B162" i="90" s="1"/>
  <c r="B163" i="90" s="1"/>
  <c r="B164" i="90" s="1"/>
  <c r="B165" i="90" s="1"/>
  <c r="B166" i="90" s="1"/>
  <c r="B167" i="90" s="1"/>
  <c r="B168" i="90" s="1"/>
  <c r="B169" i="90" s="1"/>
  <c r="B170" i="90" s="1"/>
  <c r="B171" i="90" s="1"/>
  <c r="B172" i="90" s="1"/>
  <c r="B173" i="90" s="1"/>
  <c r="B174" i="90" s="1"/>
  <c r="B175" i="90" s="1"/>
  <c r="B176" i="90" s="1"/>
  <c r="J154" i="90"/>
  <c r="W154" i="90" s="1"/>
  <c r="J145" i="90"/>
  <c r="V145" i="90" s="1"/>
  <c r="W144" i="90"/>
  <c r="J144" i="90"/>
  <c r="V144" i="90" s="1"/>
  <c r="J143" i="90"/>
  <c r="V143" i="90" s="1"/>
  <c r="J142" i="90"/>
  <c r="V142" i="90" s="1"/>
  <c r="J141" i="90"/>
  <c r="V141" i="90" s="1"/>
  <c r="J140" i="90"/>
  <c r="V140" i="90" s="1"/>
  <c r="J139" i="90"/>
  <c r="V139" i="90" s="1"/>
  <c r="J138" i="90"/>
  <c r="V138" i="90" s="1"/>
  <c r="J137" i="90"/>
  <c r="V137" i="90" s="1"/>
  <c r="J136" i="90"/>
  <c r="V136" i="90" s="1"/>
  <c r="J135" i="90"/>
  <c r="V135" i="90" s="1"/>
  <c r="J134" i="90"/>
  <c r="V134" i="90" s="1"/>
  <c r="J133" i="90"/>
  <c r="V133" i="90" s="1"/>
  <c r="J132" i="90"/>
  <c r="V132" i="90" s="1"/>
  <c r="J131" i="90"/>
  <c r="V131" i="90" s="1"/>
  <c r="J130" i="90"/>
  <c r="V130" i="90" s="1"/>
  <c r="J129" i="90"/>
  <c r="V129" i="90" s="1"/>
  <c r="J128" i="90"/>
  <c r="V128" i="90" s="1"/>
  <c r="J127" i="90"/>
  <c r="V127" i="90" s="1"/>
  <c r="J126" i="90"/>
  <c r="V126" i="90" s="1"/>
  <c r="J125" i="90"/>
  <c r="V125" i="90" s="1"/>
  <c r="J124" i="90"/>
  <c r="V124" i="90" s="1"/>
  <c r="B124" i="90"/>
  <c r="B125" i="90" s="1"/>
  <c r="B126" i="90" s="1"/>
  <c r="B127" i="90" s="1"/>
  <c r="B128" i="90" s="1"/>
  <c r="B129" i="90" s="1"/>
  <c r="B130" i="90" s="1"/>
  <c r="B131" i="90" s="1"/>
  <c r="B132" i="90" s="1"/>
  <c r="B133" i="90" s="1"/>
  <c r="B134" i="90" s="1"/>
  <c r="B135" i="90" s="1"/>
  <c r="B136" i="90" s="1"/>
  <c r="B137" i="90" s="1"/>
  <c r="B138" i="90" s="1"/>
  <c r="B139" i="90" s="1"/>
  <c r="B140" i="90" s="1"/>
  <c r="B141" i="90" s="1"/>
  <c r="B142" i="90" s="1"/>
  <c r="B143" i="90" s="1"/>
  <c r="B144" i="90" s="1"/>
  <c r="B145" i="90" s="1"/>
  <c r="J123" i="90"/>
  <c r="V123" i="90" s="1"/>
  <c r="J114" i="90"/>
  <c r="W114" i="90" s="1"/>
  <c r="J113" i="90"/>
  <c r="W113" i="90" s="1"/>
  <c r="J112" i="90"/>
  <c r="W112" i="90" s="1"/>
  <c r="J111" i="90"/>
  <c r="W111" i="90" s="1"/>
  <c r="J110" i="90"/>
  <c r="W110" i="90" s="1"/>
  <c r="J109" i="90"/>
  <c r="W109" i="90" s="1"/>
  <c r="J108" i="90"/>
  <c r="W108" i="90" s="1"/>
  <c r="J107" i="90"/>
  <c r="W107" i="90" s="1"/>
  <c r="J106" i="90"/>
  <c r="W106" i="90" s="1"/>
  <c r="J105" i="90"/>
  <c r="W105" i="90" s="1"/>
  <c r="J104" i="90"/>
  <c r="W104" i="90" s="1"/>
  <c r="J103" i="90"/>
  <c r="W103" i="90" s="1"/>
  <c r="J102" i="90"/>
  <c r="W102" i="90" s="1"/>
  <c r="J101" i="90"/>
  <c r="W101" i="90" s="1"/>
  <c r="J100" i="90"/>
  <c r="W100" i="90" s="1"/>
  <c r="J99" i="90"/>
  <c r="W99" i="90" s="1"/>
  <c r="J98" i="90"/>
  <c r="W98" i="90" s="1"/>
  <c r="J97" i="90"/>
  <c r="W97" i="90" s="1"/>
  <c r="J96" i="90"/>
  <c r="W96" i="90" s="1"/>
  <c r="J95" i="90"/>
  <c r="W95" i="90" s="1"/>
  <c r="J94" i="90"/>
  <c r="W94" i="90" s="1"/>
  <c r="J93" i="90"/>
  <c r="W93" i="90" s="1"/>
  <c r="B93" i="90"/>
  <c r="B94" i="90" s="1"/>
  <c r="B95" i="90" s="1"/>
  <c r="B96" i="90" s="1"/>
  <c r="B97" i="90" s="1"/>
  <c r="B98" i="90" s="1"/>
  <c r="B99" i="90" s="1"/>
  <c r="B100" i="90" s="1"/>
  <c r="B101" i="90" s="1"/>
  <c r="B102" i="90" s="1"/>
  <c r="B103" i="90" s="1"/>
  <c r="B104" i="90" s="1"/>
  <c r="B105" i="90" s="1"/>
  <c r="B106" i="90" s="1"/>
  <c r="B107" i="90" s="1"/>
  <c r="B108" i="90" s="1"/>
  <c r="B109" i="90" s="1"/>
  <c r="B110" i="90" s="1"/>
  <c r="B111" i="90" s="1"/>
  <c r="B112" i="90" s="1"/>
  <c r="B113" i="90" s="1"/>
  <c r="B114" i="90" s="1"/>
  <c r="J92" i="90"/>
  <c r="W92" i="90" s="1"/>
  <c r="W83" i="90"/>
  <c r="J83" i="90"/>
  <c r="V83" i="90" s="1"/>
  <c r="J82" i="90"/>
  <c r="V82" i="90" s="1"/>
  <c r="J80" i="90"/>
  <c r="V80" i="90" s="1"/>
  <c r="W79" i="90"/>
  <c r="J79" i="90"/>
  <c r="V79" i="90" s="1"/>
  <c r="J78" i="90"/>
  <c r="V78" i="90" s="1"/>
  <c r="J77" i="90"/>
  <c r="V77" i="90" s="1"/>
  <c r="J76" i="90"/>
  <c r="V76" i="90" s="1"/>
  <c r="J75" i="90"/>
  <c r="V75" i="90" s="1"/>
  <c r="J74" i="90"/>
  <c r="V74" i="90" s="1"/>
  <c r="J73" i="90"/>
  <c r="V73" i="90" s="1"/>
  <c r="J72" i="90"/>
  <c r="V72" i="90" s="1"/>
  <c r="J71" i="90"/>
  <c r="V71" i="90" s="1"/>
  <c r="J70" i="90"/>
  <c r="V70" i="90" s="1"/>
  <c r="J69" i="90"/>
  <c r="V69" i="90" s="1"/>
  <c r="J68" i="90"/>
  <c r="V68" i="90" s="1"/>
  <c r="J67" i="90"/>
  <c r="V67" i="90" s="1"/>
  <c r="J66" i="90"/>
  <c r="V66" i="90" s="1"/>
  <c r="J65" i="90"/>
  <c r="V65" i="90" s="1"/>
  <c r="J64" i="90"/>
  <c r="V64" i="90" s="1"/>
  <c r="J63" i="90"/>
  <c r="V63" i="90" s="1"/>
  <c r="J62" i="90"/>
  <c r="V62" i="90" s="1"/>
  <c r="J61" i="90"/>
  <c r="V61" i="90" s="1"/>
  <c r="B61" i="90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J60" i="90"/>
  <c r="V60" i="90" s="1"/>
  <c r="W51" i="90"/>
  <c r="V51" i="90"/>
  <c r="W50" i="90"/>
  <c r="V50" i="90"/>
  <c r="W49" i="90"/>
  <c r="V49" i="90"/>
  <c r="W48" i="90"/>
  <c r="V48" i="90"/>
  <c r="W47" i="90"/>
  <c r="V47" i="90"/>
  <c r="W46" i="90"/>
  <c r="V46" i="90"/>
  <c r="W45" i="90"/>
  <c r="V45" i="90"/>
  <c r="W44" i="90"/>
  <c r="V44" i="90"/>
  <c r="W43" i="90"/>
  <c r="V43" i="90"/>
  <c r="V39" i="90"/>
  <c r="W38" i="90"/>
  <c r="V35" i="90"/>
  <c r="V31" i="90"/>
  <c r="V27" i="90"/>
  <c r="V23" i="90"/>
  <c r="W22" i="90"/>
  <c r="V20" i="90"/>
  <c r="V17" i="90"/>
  <c r="N16" i="90"/>
  <c r="N14" i="90"/>
  <c r="V14" i="90"/>
  <c r="N12" i="90"/>
  <c r="V12" i="90"/>
  <c r="N10" i="90"/>
  <c r="N8" i="90"/>
  <c r="I7" i="90"/>
  <c r="J7" i="90" s="1"/>
  <c r="B7" i="90"/>
  <c r="B8" i="90" s="1"/>
  <c r="B9" i="90" s="1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B23" i="90" s="1"/>
  <c r="B24" i="90" s="1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45" i="90" s="1"/>
  <c r="B46" i="90" s="1"/>
  <c r="B47" i="90" s="1"/>
  <c r="B48" i="90" s="1"/>
  <c r="B49" i="90" s="1"/>
  <c r="B50" i="90" s="1"/>
  <c r="B51" i="90" s="1"/>
  <c r="N6" i="90"/>
  <c r="I6" i="90"/>
  <c r="J6" i="90" s="1"/>
  <c r="V6" i="90" s="1"/>
  <c r="N4" i="90"/>
  <c r="I42" i="89"/>
  <c r="J42" i="89" s="1"/>
  <c r="I41" i="89"/>
  <c r="J41" i="89" s="1"/>
  <c r="I40" i="89"/>
  <c r="J40" i="89" s="1"/>
  <c r="J39" i="89"/>
  <c r="I39" i="89"/>
  <c r="I38" i="89"/>
  <c r="J38" i="89" s="1"/>
  <c r="J37" i="89"/>
  <c r="I37" i="89"/>
  <c r="I36" i="89"/>
  <c r="J36" i="89" s="1"/>
  <c r="I35" i="89"/>
  <c r="J35" i="89" s="1"/>
  <c r="I34" i="89"/>
  <c r="J34" i="89" s="1"/>
  <c r="I33" i="89"/>
  <c r="J33" i="89" s="1"/>
  <c r="I32" i="89"/>
  <c r="J32" i="89" s="1"/>
  <c r="J31" i="89"/>
  <c r="I31" i="89"/>
  <c r="I30" i="89"/>
  <c r="J30" i="89" s="1"/>
  <c r="J29" i="89"/>
  <c r="I29" i="89"/>
  <c r="I28" i="89"/>
  <c r="J28" i="89" s="1"/>
  <c r="I27" i="89"/>
  <c r="J27" i="89" s="1"/>
  <c r="I26" i="89"/>
  <c r="J26" i="89" s="1"/>
  <c r="I25" i="89"/>
  <c r="J25" i="89" s="1"/>
  <c r="I24" i="89"/>
  <c r="J24" i="89" s="1"/>
  <c r="J23" i="89"/>
  <c r="I23" i="89"/>
  <c r="I22" i="89"/>
  <c r="J22" i="89" s="1"/>
  <c r="J21" i="89"/>
  <c r="I21" i="89"/>
  <c r="I20" i="89"/>
  <c r="J20" i="89" s="1"/>
  <c r="I19" i="89"/>
  <c r="J19" i="89" s="1"/>
  <c r="I18" i="89"/>
  <c r="J18" i="89" s="1"/>
  <c r="W206" i="90" l="1"/>
  <c r="W204" i="90"/>
  <c r="W142" i="90"/>
  <c r="W207" i="90"/>
  <c r="W145" i="90"/>
  <c r="Q18" i="93"/>
  <c r="Q10" i="92"/>
  <c r="Q14" i="92"/>
  <c r="Q12" i="92"/>
  <c r="Q4" i="92"/>
  <c r="Q16" i="92"/>
  <c r="P18" i="92"/>
  <c r="R8" i="92"/>
  <c r="O18" i="92"/>
  <c r="R18" i="92" s="1"/>
  <c r="P20" i="92" s="1"/>
  <c r="V146" i="91"/>
  <c r="O10" i="91" s="1"/>
  <c r="R10" i="91" s="1"/>
  <c r="V208" i="91"/>
  <c r="O14" i="91" s="1"/>
  <c r="R14" i="91" s="1"/>
  <c r="W146" i="91"/>
  <c r="P10" i="91" s="1"/>
  <c r="V177" i="91"/>
  <c r="O12" i="91" s="1"/>
  <c r="R12" i="91" s="1"/>
  <c r="V239" i="91"/>
  <c r="O16" i="91" s="1"/>
  <c r="R16" i="91" s="1"/>
  <c r="V115" i="91"/>
  <c r="O8" i="91" s="1"/>
  <c r="R8" i="91" s="1"/>
  <c r="W208" i="91"/>
  <c r="P14" i="91" s="1"/>
  <c r="V84" i="91"/>
  <c r="O6" i="91" s="1"/>
  <c r="Q6" i="91" s="1"/>
  <c r="W52" i="91"/>
  <c r="P4" i="91" s="1"/>
  <c r="V52" i="91"/>
  <c r="O4" i="91" s="1"/>
  <c r="W205" i="90"/>
  <c r="W143" i="90"/>
  <c r="W82" i="90"/>
  <c r="W141" i="90"/>
  <c r="W80" i="90"/>
  <c r="W78" i="90"/>
  <c r="W137" i="90"/>
  <c r="W185" i="90"/>
  <c r="W60" i="90"/>
  <c r="W62" i="90"/>
  <c r="W64" i="90"/>
  <c r="W66" i="90"/>
  <c r="W68" i="90"/>
  <c r="W70" i="90"/>
  <c r="W72" i="90"/>
  <c r="W74" i="90"/>
  <c r="W76" i="90"/>
  <c r="W61" i="90"/>
  <c r="W63" i="90"/>
  <c r="W65" i="90"/>
  <c r="W67" i="90"/>
  <c r="W69" i="90"/>
  <c r="W71" i="90"/>
  <c r="W73" i="90"/>
  <c r="W75" i="90"/>
  <c r="W77" i="90"/>
  <c r="J84" i="90"/>
  <c r="W124" i="90"/>
  <c r="W126" i="90"/>
  <c r="W128" i="90"/>
  <c r="W130" i="90"/>
  <c r="W132" i="90"/>
  <c r="W134" i="90"/>
  <c r="W136" i="90"/>
  <c r="W138" i="90"/>
  <c r="W140" i="90"/>
  <c r="J146" i="90"/>
  <c r="W125" i="90"/>
  <c r="W127" i="90"/>
  <c r="W129" i="90"/>
  <c r="W131" i="90"/>
  <c r="W133" i="90"/>
  <c r="W135" i="90"/>
  <c r="W139" i="90"/>
  <c r="W123" i="90"/>
  <c r="J208" i="90"/>
  <c r="W187" i="90"/>
  <c r="W189" i="90"/>
  <c r="W191" i="90"/>
  <c r="W193" i="90"/>
  <c r="W195" i="90"/>
  <c r="W197" i="90"/>
  <c r="W199" i="90"/>
  <c r="W201" i="90"/>
  <c r="W203" i="90"/>
  <c r="W186" i="90"/>
  <c r="W188" i="90"/>
  <c r="W190" i="90"/>
  <c r="W192" i="90"/>
  <c r="W194" i="90"/>
  <c r="W196" i="90"/>
  <c r="W198" i="90"/>
  <c r="W200" i="90"/>
  <c r="W202" i="90"/>
  <c r="W30" i="90"/>
  <c r="V30" i="90"/>
  <c r="W34" i="90"/>
  <c r="V34" i="90"/>
  <c r="W19" i="90"/>
  <c r="V19" i="90"/>
  <c r="W26" i="90"/>
  <c r="V26" i="90"/>
  <c r="W42" i="90"/>
  <c r="V42" i="90"/>
  <c r="W11" i="90"/>
  <c r="V11" i="90"/>
  <c r="V22" i="90"/>
  <c r="V38" i="90"/>
  <c r="V32" i="90"/>
  <c r="W32" i="90"/>
  <c r="W37" i="90"/>
  <c r="V37" i="90"/>
  <c r="W21" i="90"/>
  <c r="V21" i="90"/>
  <c r="V7" i="90"/>
  <c r="W7" i="90"/>
  <c r="W25" i="90"/>
  <c r="V25" i="90"/>
  <c r="V36" i="90"/>
  <c r="W36" i="90"/>
  <c r="W41" i="90"/>
  <c r="V41" i="90"/>
  <c r="J52" i="90"/>
  <c r="V16" i="90"/>
  <c r="W16" i="90"/>
  <c r="W18" i="90"/>
  <c r="V18" i="90"/>
  <c r="W29" i="90"/>
  <c r="V29" i="90"/>
  <c r="V40" i="90"/>
  <c r="W40" i="90"/>
  <c r="V24" i="90"/>
  <c r="W24" i="90"/>
  <c r="W8" i="90"/>
  <c r="V8" i="90"/>
  <c r="W10" i="90"/>
  <c r="V10" i="90"/>
  <c r="W13" i="90"/>
  <c r="V13" i="90"/>
  <c r="V15" i="90"/>
  <c r="W15" i="90"/>
  <c r="V28" i="90"/>
  <c r="W28" i="90"/>
  <c r="W33" i="90"/>
  <c r="V33" i="90"/>
  <c r="V84" i="90"/>
  <c r="O6" i="90" s="1"/>
  <c r="R6" i="90" s="1"/>
  <c r="W115" i="90"/>
  <c r="P8" i="90" s="1"/>
  <c r="V146" i="90"/>
  <c r="O10" i="90" s="1"/>
  <c r="W177" i="90"/>
  <c r="P12" i="90" s="1"/>
  <c r="V208" i="90"/>
  <c r="O14" i="90" s="1"/>
  <c r="R14" i="90" s="1"/>
  <c r="W239" i="90"/>
  <c r="P16" i="90" s="1"/>
  <c r="W12" i="90"/>
  <c r="W20" i="90"/>
  <c r="V92" i="90"/>
  <c r="V93" i="90"/>
  <c r="V94" i="90"/>
  <c r="V95" i="90"/>
  <c r="V96" i="90"/>
  <c r="V97" i="90"/>
  <c r="V98" i="90"/>
  <c r="V99" i="90"/>
  <c r="V100" i="90"/>
  <c r="V101" i="90"/>
  <c r="V102" i="90"/>
  <c r="V103" i="90"/>
  <c r="V104" i="90"/>
  <c r="V105" i="90"/>
  <c r="V106" i="90"/>
  <c r="V107" i="90"/>
  <c r="V108" i="90"/>
  <c r="V109" i="90"/>
  <c r="V110" i="90"/>
  <c r="V111" i="90"/>
  <c r="V112" i="90"/>
  <c r="V113" i="90"/>
  <c r="V114" i="90"/>
  <c r="V154" i="90"/>
  <c r="V155" i="90"/>
  <c r="V156" i="90"/>
  <c r="V157" i="90"/>
  <c r="V158" i="90"/>
  <c r="V159" i="90"/>
  <c r="V160" i="90"/>
  <c r="V161" i="90"/>
  <c r="V162" i="90"/>
  <c r="V163" i="90"/>
  <c r="V164" i="90"/>
  <c r="V165" i="90"/>
  <c r="V166" i="90"/>
  <c r="V167" i="90"/>
  <c r="V168" i="90"/>
  <c r="V169" i="90"/>
  <c r="V170" i="90"/>
  <c r="V171" i="90"/>
  <c r="V172" i="90"/>
  <c r="V173" i="90"/>
  <c r="V174" i="90"/>
  <c r="V175" i="90"/>
  <c r="V176" i="90"/>
  <c r="V216" i="90"/>
  <c r="V217" i="90"/>
  <c r="V218" i="90"/>
  <c r="V219" i="90"/>
  <c r="V220" i="90"/>
  <c r="V221" i="90"/>
  <c r="V222" i="90"/>
  <c r="V223" i="90"/>
  <c r="V224" i="90"/>
  <c r="V225" i="90"/>
  <c r="V226" i="90"/>
  <c r="V227" i="90"/>
  <c r="V228" i="90"/>
  <c r="V229" i="90"/>
  <c r="V230" i="90"/>
  <c r="V231" i="90"/>
  <c r="V232" i="90"/>
  <c r="V233" i="90"/>
  <c r="V234" i="90"/>
  <c r="V235" i="90"/>
  <c r="V236" i="90"/>
  <c r="V237" i="90"/>
  <c r="V238" i="90"/>
  <c r="W6" i="90"/>
  <c r="W9" i="90"/>
  <c r="W14" i="90"/>
  <c r="W17" i="90"/>
  <c r="N18" i="90"/>
  <c r="W23" i="90"/>
  <c r="W27" i="90"/>
  <c r="W31" i="90"/>
  <c r="W35" i="90"/>
  <c r="W39" i="90"/>
  <c r="J115" i="90"/>
  <c r="J177" i="90"/>
  <c r="J239" i="90"/>
  <c r="J17" i="89"/>
  <c r="I17" i="89"/>
  <c r="I16" i="89"/>
  <c r="J16" i="89" s="1"/>
  <c r="Q18" i="92" l="1"/>
  <c r="Q10" i="91"/>
  <c r="Q14" i="91"/>
  <c r="Q12" i="91"/>
  <c r="Q16" i="91"/>
  <c r="Q8" i="91"/>
  <c r="P18" i="91"/>
  <c r="R6" i="91"/>
  <c r="Q4" i="91"/>
  <c r="O18" i="91"/>
  <c r="R18" i="91" s="1"/>
  <c r="P20" i="91" s="1"/>
  <c r="R4" i="91"/>
  <c r="W84" i="90"/>
  <c r="P6" i="90" s="1"/>
  <c r="Q6" i="90" s="1"/>
  <c r="V52" i="90"/>
  <c r="O4" i="90" s="1"/>
  <c r="R4" i="90" s="1"/>
  <c r="W208" i="90"/>
  <c r="P14" i="90" s="1"/>
  <c r="Q14" i="90" s="1"/>
  <c r="W52" i="90"/>
  <c r="P4" i="90" s="1"/>
  <c r="W146" i="90"/>
  <c r="P10" i="90" s="1"/>
  <c r="Q10" i="90" s="1"/>
  <c r="R10" i="90"/>
  <c r="V239" i="90"/>
  <c r="O16" i="90" s="1"/>
  <c r="V177" i="90"/>
  <c r="O12" i="90" s="1"/>
  <c r="V115" i="90"/>
  <c r="O8" i="90" s="1"/>
  <c r="I15" i="89"/>
  <c r="J15" i="89" s="1"/>
  <c r="I14" i="89"/>
  <c r="J14" i="89" s="1"/>
  <c r="I13" i="89"/>
  <c r="J13" i="89" s="1"/>
  <c r="I12" i="89"/>
  <c r="J12" i="89" s="1"/>
  <c r="I11" i="89"/>
  <c r="J11" i="89" s="1"/>
  <c r="I10" i="89"/>
  <c r="J10" i="89" s="1"/>
  <c r="I8" i="89"/>
  <c r="J8" i="89" s="1"/>
  <c r="I9" i="89"/>
  <c r="J9" i="89" s="1"/>
  <c r="Q18" i="91" l="1"/>
  <c r="P18" i="90"/>
  <c r="Q4" i="90"/>
  <c r="R8" i="90"/>
  <c r="Q8" i="90"/>
  <c r="O18" i="90"/>
  <c r="R18" i="90" s="1"/>
  <c r="P20" i="90" s="1"/>
  <c r="R16" i="90"/>
  <c r="Q16" i="90"/>
  <c r="Q12" i="90"/>
  <c r="R12" i="90"/>
  <c r="J237" i="89"/>
  <c r="W237" i="89" s="1"/>
  <c r="J236" i="89"/>
  <c r="W236" i="89" s="1"/>
  <c r="J235" i="89"/>
  <c r="W235" i="89" s="1"/>
  <c r="J234" i="89"/>
  <c r="W234" i="89" s="1"/>
  <c r="J233" i="89"/>
  <c r="W233" i="89" s="1"/>
  <c r="J232" i="89"/>
  <c r="W232" i="89" s="1"/>
  <c r="J231" i="89"/>
  <c r="W231" i="89" s="1"/>
  <c r="J230" i="89"/>
  <c r="W230" i="89" s="1"/>
  <c r="J229" i="89"/>
  <c r="W229" i="89" s="1"/>
  <c r="J228" i="89"/>
  <c r="W228" i="89" s="1"/>
  <c r="J227" i="89"/>
  <c r="W227" i="89" s="1"/>
  <c r="J226" i="89"/>
  <c r="W226" i="89" s="1"/>
  <c r="J225" i="89"/>
  <c r="W225" i="89" s="1"/>
  <c r="J224" i="89"/>
  <c r="W224" i="89" s="1"/>
  <c r="J223" i="89"/>
  <c r="W223" i="89" s="1"/>
  <c r="J222" i="89"/>
  <c r="W222" i="89" s="1"/>
  <c r="J221" i="89"/>
  <c r="W221" i="89" s="1"/>
  <c r="J220" i="89"/>
  <c r="W220" i="89" s="1"/>
  <c r="J219" i="89"/>
  <c r="W219" i="89" s="1"/>
  <c r="J218" i="89"/>
  <c r="W218" i="89" s="1"/>
  <c r="J217" i="89"/>
  <c r="W217" i="89" s="1"/>
  <c r="J216" i="89"/>
  <c r="W216" i="89" s="1"/>
  <c r="B216" i="89"/>
  <c r="B217" i="89" s="1"/>
  <c r="B218" i="89" s="1"/>
  <c r="B219" i="89" s="1"/>
  <c r="B220" i="89" s="1"/>
  <c r="B221" i="89" s="1"/>
  <c r="B222" i="89" s="1"/>
  <c r="B223" i="89" s="1"/>
  <c r="B224" i="89" s="1"/>
  <c r="B225" i="89" s="1"/>
  <c r="B226" i="89" s="1"/>
  <c r="B227" i="89" s="1"/>
  <c r="B228" i="89" s="1"/>
  <c r="B229" i="89" s="1"/>
  <c r="B230" i="89" s="1"/>
  <c r="B231" i="89" s="1"/>
  <c r="B232" i="89" s="1"/>
  <c r="B233" i="89" s="1"/>
  <c r="B234" i="89" s="1"/>
  <c r="B235" i="89" s="1"/>
  <c r="B236" i="89" s="1"/>
  <c r="B237" i="89" s="1"/>
  <c r="J215" i="89"/>
  <c r="W215" i="89" s="1"/>
  <c r="J206" i="89"/>
  <c r="V206" i="89" s="1"/>
  <c r="J205" i="89"/>
  <c r="V205" i="89" s="1"/>
  <c r="J204" i="89"/>
  <c r="V204" i="89" s="1"/>
  <c r="J203" i="89"/>
  <c r="V203" i="89" s="1"/>
  <c r="J202" i="89"/>
  <c r="V202" i="89" s="1"/>
  <c r="J201" i="89"/>
  <c r="V201" i="89" s="1"/>
  <c r="J200" i="89"/>
  <c r="V200" i="89" s="1"/>
  <c r="J199" i="89"/>
  <c r="V199" i="89" s="1"/>
  <c r="J198" i="89"/>
  <c r="V198" i="89" s="1"/>
  <c r="J197" i="89"/>
  <c r="V197" i="89" s="1"/>
  <c r="J196" i="89"/>
  <c r="V196" i="89" s="1"/>
  <c r="J195" i="89"/>
  <c r="V195" i="89" s="1"/>
  <c r="J194" i="89"/>
  <c r="V194" i="89" s="1"/>
  <c r="J193" i="89"/>
  <c r="V193" i="89" s="1"/>
  <c r="J192" i="89"/>
  <c r="V192" i="89" s="1"/>
  <c r="J191" i="89"/>
  <c r="V191" i="89" s="1"/>
  <c r="J190" i="89"/>
  <c r="V190" i="89" s="1"/>
  <c r="J189" i="89"/>
  <c r="V189" i="89" s="1"/>
  <c r="J188" i="89"/>
  <c r="V188" i="89" s="1"/>
  <c r="J187" i="89"/>
  <c r="V187" i="89" s="1"/>
  <c r="J186" i="89"/>
  <c r="V186" i="89" s="1"/>
  <c r="J185" i="89"/>
  <c r="V185" i="89" s="1"/>
  <c r="B185" i="89"/>
  <c r="B186" i="89" s="1"/>
  <c r="B187" i="89" s="1"/>
  <c r="B188" i="89" s="1"/>
  <c r="B189" i="89" s="1"/>
  <c r="B190" i="89" s="1"/>
  <c r="B191" i="89" s="1"/>
  <c r="B192" i="89" s="1"/>
  <c r="B193" i="89" s="1"/>
  <c r="B194" i="89" s="1"/>
  <c r="B195" i="89" s="1"/>
  <c r="B196" i="89" s="1"/>
  <c r="B197" i="89" s="1"/>
  <c r="B198" i="89" s="1"/>
  <c r="B199" i="89" s="1"/>
  <c r="B200" i="89" s="1"/>
  <c r="B201" i="89" s="1"/>
  <c r="B202" i="89" s="1"/>
  <c r="B203" i="89" s="1"/>
  <c r="B204" i="89" s="1"/>
  <c r="B205" i="89" s="1"/>
  <c r="B206" i="89" s="1"/>
  <c r="J184" i="89"/>
  <c r="V184" i="89" s="1"/>
  <c r="J175" i="89"/>
  <c r="W175" i="89" s="1"/>
  <c r="J174" i="89"/>
  <c r="W174" i="89" s="1"/>
  <c r="J173" i="89"/>
  <c r="W173" i="89" s="1"/>
  <c r="J172" i="89"/>
  <c r="W172" i="89" s="1"/>
  <c r="J171" i="89"/>
  <c r="W171" i="89" s="1"/>
  <c r="J170" i="89"/>
  <c r="W170" i="89" s="1"/>
  <c r="J169" i="89"/>
  <c r="W169" i="89" s="1"/>
  <c r="J168" i="89"/>
  <c r="W168" i="89" s="1"/>
  <c r="J167" i="89"/>
  <c r="W167" i="89" s="1"/>
  <c r="J166" i="89"/>
  <c r="W166" i="89" s="1"/>
  <c r="J165" i="89"/>
  <c r="W165" i="89" s="1"/>
  <c r="J164" i="89"/>
  <c r="W164" i="89" s="1"/>
  <c r="J163" i="89"/>
  <c r="W163" i="89" s="1"/>
  <c r="J162" i="89"/>
  <c r="W162" i="89" s="1"/>
  <c r="J161" i="89"/>
  <c r="W161" i="89" s="1"/>
  <c r="J160" i="89"/>
  <c r="W160" i="89" s="1"/>
  <c r="J159" i="89"/>
  <c r="W159" i="89" s="1"/>
  <c r="J158" i="89"/>
  <c r="W158" i="89" s="1"/>
  <c r="J157" i="89"/>
  <c r="W157" i="89" s="1"/>
  <c r="J156" i="89"/>
  <c r="W156" i="89" s="1"/>
  <c r="J155" i="89"/>
  <c r="W155" i="89" s="1"/>
  <c r="J154" i="89"/>
  <c r="W154" i="89" s="1"/>
  <c r="B154" i="89"/>
  <c r="B155" i="89" s="1"/>
  <c r="B156" i="89" s="1"/>
  <c r="B157" i="89" s="1"/>
  <c r="B158" i="89" s="1"/>
  <c r="B159" i="89" s="1"/>
  <c r="B160" i="89" s="1"/>
  <c r="B161" i="89" s="1"/>
  <c r="B162" i="89" s="1"/>
  <c r="B163" i="89" s="1"/>
  <c r="B164" i="89" s="1"/>
  <c r="B165" i="89" s="1"/>
  <c r="B166" i="89" s="1"/>
  <c r="B167" i="89" s="1"/>
  <c r="B168" i="89" s="1"/>
  <c r="B169" i="89" s="1"/>
  <c r="B170" i="89" s="1"/>
  <c r="B171" i="89" s="1"/>
  <c r="B172" i="89" s="1"/>
  <c r="B173" i="89" s="1"/>
  <c r="B174" i="89" s="1"/>
  <c r="B175" i="89" s="1"/>
  <c r="J153" i="89"/>
  <c r="W153" i="89" s="1"/>
  <c r="W144" i="89"/>
  <c r="J144" i="89"/>
  <c r="V144" i="89" s="1"/>
  <c r="J143" i="89"/>
  <c r="V143" i="89" s="1"/>
  <c r="J142" i="89"/>
  <c r="V142" i="89" s="1"/>
  <c r="J141" i="89"/>
  <c r="V141" i="89" s="1"/>
  <c r="J140" i="89"/>
  <c r="V140" i="89" s="1"/>
  <c r="J139" i="89"/>
  <c r="V139" i="89" s="1"/>
  <c r="J138" i="89"/>
  <c r="V138" i="89" s="1"/>
  <c r="J137" i="89"/>
  <c r="V137" i="89" s="1"/>
  <c r="J136" i="89"/>
  <c r="V136" i="89" s="1"/>
  <c r="J135" i="89"/>
  <c r="V135" i="89" s="1"/>
  <c r="J134" i="89"/>
  <c r="V134" i="89" s="1"/>
  <c r="J133" i="89"/>
  <c r="V133" i="89" s="1"/>
  <c r="J132" i="89"/>
  <c r="V132" i="89" s="1"/>
  <c r="J131" i="89"/>
  <c r="V131" i="89" s="1"/>
  <c r="J130" i="89"/>
  <c r="V130" i="89" s="1"/>
  <c r="J129" i="89"/>
  <c r="V129" i="89" s="1"/>
  <c r="J128" i="89"/>
  <c r="V128" i="89" s="1"/>
  <c r="J127" i="89"/>
  <c r="V127" i="89" s="1"/>
  <c r="W126" i="89"/>
  <c r="J126" i="89"/>
  <c r="V126" i="89" s="1"/>
  <c r="J125" i="89"/>
  <c r="V125" i="89" s="1"/>
  <c r="J124" i="89"/>
  <c r="V124" i="89" s="1"/>
  <c r="J123" i="89"/>
  <c r="V123" i="89" s="1"/>
  <c r="B123" i="89"/>
  <c r="B124" i="89" s="1"/>
  <c r="B125" i="89" s="1"/>
  <c r="B126" i="89" s="1"/>
  <c r="B127" i="89" s="1"/>
  <c r="B128" i="89" s="1"/>
  <c r="B129" i="89" s="1"/>
  <c r="B130" i="89" s="1"/>
  <c r="B131" i="89" s="1"/>
  <c r="B132" i="89" s="1"/>
  <c r="B133" i="89" s="1"/>
  <c r="B134" i="89" s="1"/>
  <c r="B135" i="89" s="1"/>
  <c r="B136" i="89" s="1"/>
  <c r="B137" i="89" s="1"/>
  <c r="B138" i="89" s="1"/>
  <c r="B139" i="89" s="1"/>
  <c r="B140" i="89" s="1"/>
  <c r="B141" i="89" s="1"/>
  <c r="B142" i="89" s="1"/>
  <c r="B143" i="89" s="1"/>
  <c r="B144" i="89" s="1"/>
  <c r="J122" i="89"/>
  <c r="V122" i="89" s="1"/>
  <c r="J113" i="89"/>
  <c r="W113" i="89" s="1"/>
  <c r="J112" i="89"/>
  <c r="W112" i="89" s="1"/>
  <c r="J111" i="89"/>
  <c r="W111" i="89" s="1"/>
  <c r="J110" i="89"/>
  <c r="W110" i="89" s="1"/>
  <c r="J109" i="89"/>
  <c r="W109" i="89" s="1"/>
  <c r="J108" i="89"/>
  <c r="W108" i="89" s="1"/>
  <c r="J107" i="89"/>
  <c r="W107" i="89" s="1"/>
  <c r="J106" i="89"/>
  <c r="W106" i="89" s="1"/>
  <c r="J105" i="89"/>
  <c r="W105" i="89" s="1"/>
  <c r="J104" i="89"/>
  <c r="W104" i="89" s="1"/>
  <c r="J103" i="89"/>
  <c r="W103" i="89" s="1"/>
  <c r="J102" i="89"/>
  <c r="W102" i="89" s="1"/>
  <c r="J101" i="89"/>
  <c r="W101" i="89" s="1"/>
  <c r="J100" i="89"/>
  <c r="W100" i="89" s="1"/>
  <c r="J99" i="89"/>
  <c r="W99" i="89" s="1"/>
  <c r="J98" i="89"/>
  <c r="W98" i="89" s="1"/>
  <c r="J97" i="89"/>
  <c r="W97" i="89" s="1"/>
  <c r="J96" i="89"/>
  <c r="W96" i="89" s="1"/>
  <c r="J95" i="89"/>
  <c r="W95" i="89" s="1"/>
  <c r="J94" i="89"/>
  <c r="W94" i="89" s="1"/>
  <c r="J93" i="89"/>
  <c r="W93" i="89" s="1"/>
  <c r="J92" i="89"/>
  <c r="W92" i="89" s="1"/>
  <c r="B92" i="89"/>
  <c r="B93" i="89" s="1"/>
  <c r="B94" i="89" s="1"/>
  <c r="B95" i="89" s="1"/>
  <c r="B96" i="89" s="1"/>
  <c r="B97" i="89" s="1"/>
  <c r="B98" i="89" s="1"/>
  <c r="B99" i="89" s="1"/>
  <c r="B100" i="89" s="1"/>
  <c r="B101" i="89" s="1"/>
  <c r="B102" i="89" s="1"/>
  <c r="B103" i="89" s="1"/>
  <c r="B104" i="89" s="1"/>
  <c r="B105" i="89" s="1"/>
  <c r="B106" i="89" s="1"/>
  <c r="B107" i="89" s="1"/>
  <c r="B108" i="89" s="1"/>
  <c r="B109" i="89" s="1"/>
  <c r="B110" i="89" s="1"/>
  <c r="B111" i="89" s="1"/>
  <c r="B112" i="89" s="1"/>
  <c r="B113" i="89" s="1"/>
  <c r="J91" i="89"/>
  <c r="W91" i="89" s="1"/>
  <c r="J82" i="89"/>
  <c r="V82" i="89" s="1"/>
  <c r="J81" i="89"/>
  <c r="V81" i="89" s="1"/>
  <c r="J80" i="89"/>
  <c r="V80" i="89" s="1"/>
  <c r="J79" i="89"/>
  <c r="V79" i="89" s="1"/>
  <c r="J78" i="89"/>
  <c r="V78" i="89" s="1"/>
  <c r="J77" i="89"/>
  <c r="V77" i="89" s="1"/>
  <c r="J76" i="89"/>
  <c r="V76" i="89" s="1"/>
  <c r="J75" i="89"/>
  <c r="V75" i="89" s="1"/>
  <c r="J74" i="89"/>
  <c r="V74" i="89" s="1"/>
  <c r="J73" i="89"/>
  <c r="V73" i="89" s="1"/>
  <c r="J72" i="89"/>
  <c r="V72" i="89" s="1"/>
  <c r="J71" i="89"/>
  <c r="V71" i="89" s="1"/>
  <c r="J70" i="89"/>
  <c r="V70" i="89" s="1"/>
  <c r="J69" i="89"/>
  <c r="V69" i="89" s="1"/>
  <c r="J68" i="89"/>
  <c r="V68" i="89" s="1"/>
  <c r="J67" i="89"/>
  <c r="V67" i="89" s="1"/>
  <c r="J66" i="89"/>
  <c r="V66" i="89" s="1"/>
  <c r="J65" i="89"/>
  <c r="V65" i="89" s="1"/>
  <c r="J64" i="89"/>
  <c r="V64" i="89" s="1"/>
  <c r="J63" i="89"/>
  <c r="V63" i="89" s="1"/>
  <c r="J62" i="89"/>
  <c r="V62" i="89" s="1"/>
  <c r="J61" i="89"/>
  <c r="V61" i="89" s="1"/>
  <c r="B61" i="89"/>
  <c r="B62" i="89" s="1"/>
  <c r="B63" i="89" s="1"/>
  <c r="B64" i="89" s="1"/>
  <c r="B65" i="89" s="1"/>
  <c r="B66" i="89" s="1"/>
  <c r="B67" i="89" s="1"/>
  <c r="B68" i="89" s="1"/>
  <c r="B69" i="89" s="1"/>
  <c r="B70" i="89" s="1"/>
  <c r="B71" i="89" s="1"/>
  <c r="B72" i="89" s="1"/>
  <c r="B73" i="89" s="1"/>
  <c r="B74" i="89" s="1"/>
  <c r="B75" i="89" s="1"/>
  <c r="B76" i="89" s="1"/>
  <c r="B77" i="89" s="1"/>
  <c r="B78" i="89" s="1"/>
  <c r="B79" i="89" s="1"/>
  <c r="B80" i="89" s="1"/>
  <c r="B81" i="89" s="1"/>
  <c r="B82" i="89" s="1"/>
  <c r="J60" i="89"/>
  <c r="V60" i="89" s="1"/>
  <c r="W51" i="89"/>
  <c r="V51" i="89"/>
  <c r="W50" i="89"/>
  <c r="V50" i="89"/>
  <c r="W49" i="89"/>
  <c r="V49" i="89"/>
  <c r="W48" i="89"/>
  <c r="V48" i="89"/>
  <c r="W47" i="89"/>
  <c r="V47" i="89"/>
  <c r="W46" i="89"/>
  <c r="V46" i="89"/>
  <c r="W45" i="89"/>
  <c r="V45" i="89"/>
  <c r="W44" i="89"/>
  <c r="V44" i="89"/>
  <c r="W43" i="89"/>
  <c r="W39" i="89"/>
  <c r="W35" i="89"/>
  <c r="W31" i="89"/>
  <c r="W27" i="89"/>
  <c r="W23" i="89"/>
  <c r="V20" i="89"/>
  <c r="W17" i="89"/>
  <c r="N16" i="89"/>
  <c r="N14" i="89"/>
  <c r="N12" i="89"/>
  <c r="V12" i="89"/>
  <c r="N10" i="89"/>
  <c r="W9" i="89"/>
  <c r="N8" i="89"/>
  <c r="B8" i="89"/>
  <c r="B9" i="89" s="1"/>
  <c r="B10" i="89" s="1"/>
  <c r="B11" i="89" s="1"/>
  <c r="B12" i="89" s="1"/>
  <c r="B13" i="89" s="1"/>
  <c r="B14" i="89" s="1"/>
  <c r="B15" i="89" s="1"/>
  <c r="B16" i="89" s="1"/>
  <c r="B17" i="89" s="1"/>
  <c r="B18" i="89" s="1"/>
  <c r="B19" i="89" s="1"/>
  <c r="B20" i="89" s="1"/>
  <c r="B21" i="89" s="1"/>
  <c r="B22" i="89" s="1"/>
  <c r="B23" i="89" s="1"/>
  <c r="B24" i="89" s="1"/>
  <c r="B25" i="89" s="1"/>
  <c r="B26" i="89" s="1"/>
  <c r="B27" i="89" s="1"/>
  <c r="B28" i="89" s="1"/>
  <c r="B29" i="89" s="1"/>
  <c r="B30" i="89" s="1"/>
  <c r="B31" i="89" s="1"/>
  <c r="B32" i="89" s="1"/>
  <c r="B33" i="89" s="1"/>
  <c r="B34" i="89" s="1"/>
  <c r="B35" i="89" s="1"/>
  <c r="B36" i="89" s="1"/>
  <c r="B37" i="89" s="1"/>
  <c r="B38" i="89" s="1"/>
  <c r="B39" i="89" s="1"/>
  <c r="B40" i="89" s="1"/>
  <c r="B41" i="89" s="1"/>
  <c r="B42" i="89" s="1"/>
  <c r="B43" i="89" s="1"/>
  <c r="B44" i="89" s="1"/>
  <c r="B45" i="89" s="1"/>
  <c r="B46" i="89" s="1"/>
  <c r="B47" i="89" s="1"/>
  <c r="B48" i="89" s="1"/>
  <c r="B49" i="89" s="1"/>
  <c r="B50" i="89" s="1"/>
  <c r="B51" i="89" s="1"/>
  <c r="I7" i="89"/>
  <c r="J7" i="89" s="1"/>
  <c r="B7" i="89"/>
  <c r="N6" i="89"/>
  <c r="I6" i="89"/>
  <c r="J6" i="89" s="1"/>
  <c r="N4" i="89"/>
  <c r="I43" i="88"/>
  <c r="J43" i="88" s="1"/>
  <c r="I42" i="88"/>
  <c r="J42" i="88" s="1"/>
  <c r="I41" i="88"/>
  <c r="J41" i="88" s="1"/>
  <c r="I40" i="88"/>
  <c r="J40" i="88" s="1"/>
  <c r="I39" i="88"/>
  <c r="J39" i="88" s="1"/>
  <c r="I38" i="88"/>
  <c r="J38" i="88" s="1"/>
  <c r="J37" i="88"/>
  <c r="I37" i="88"/>
  <c r="I36" i="88"/>
  <c r="J36" i="88" s="1"/>
  <c r="W138" i="89" l="1"/>
  <c r="W205" i="89"/>
  <c r="W196" i="89"/>
  <c r="W81" i="89"/>
  <c r="W142" i="89"/>
  <c r="W204" i="89"/>
  <c r="W206" i="89"/>
  <c r="W198" i="89"/>
  <c r="W80" i="89"/>
  <c r="W82" i="89"/>
  <c r="W130" i="89"/>
  <c r="Q18" i="90"/>
  <c r="W202" i="89"/>
  <c r="W200" i="89"/>
  <c r="W140" i="89"/>
  <c r="W136" i="89"/>
  <c r="W134" i="89"/>
  <c r="W194" i="89"/>
  <c r="W132" i="89"/>
  <c r="W192" i="89"/>
  <c r="W190" i="89"/>
  <c r="W128" i="89"/>
  <c r="W188" i="89"/>
  <c r="W186" i="89"/>
  <c r="W124" i="89"/>
  <c r="W184" i="89"/>
  <c r="W122" i="89"/>
  <c r="W60" i="89"/>
  <c r="J207" i="89"/>
  <c r="W185" i="89"/>
  <c r="W187" i="89"/>
  <c r="W189" i="89"/>
  <c r="W191" i="89"/>
  <c r="W193" i="89"/>
  <c r="W195" i="89"/>
  <c r="W197" i="89"/>
  <c r="W199" i="89"/>
  <c r="W201" i="89"/>
  <c r="W203" i="89"/>
  <c r="J145" i="89"/>
  <c r="W123" i="89"/>
  <c r="W125" i="89"/>
  <c r="W127" i="89"/>
  <c r="W129" i="89"/>
  <c r="W131" i="89"/>
  <c r="W133" i="89"/>
  <c r="W135" i="89"/>
  <c r="W137" i="89"/>
  <c r="W139" i="89"/>
  <c r="W141" i="89"/>
  <c r="W143" i="89"/>
  <c r="N18" i="89"/>
  <c r="J83" i="89"/>
  <c r="W62" i="89"/>
  <c r="W64" i="89"/>
  <c r="W66" i="89"/>
  <c r="W68" i="89"/>
  <c r="W70" i="89"/>
  <c r="W72" i="89"/>
  <c r="W74" i="89"/>
  <c r="W76" i="89"/>
  <c r="W78" i="89"/>
  <c r="W61" i="89"/>
  <c r="W63" i="89"/>
  <c r="W65" i="89"/>
  <c r="W67" i="89"/>
  <c r="W69" i="89"/>
  <c r="W71" i="89"/>
  <c r="W73" i="89"/>
  <c r="W75" i="89"/>
  <c r="W77" i="89"/>
  <c r="W79" i="89"/>
  <c r="V8" i="89"/>
  <c r="W8" i="89"/>
  <c r="V26" i="89"/>
  <c r="W26" i="89"/>
  <c r="V29" i="89"/>
  <c r="W29" i="89"/>
  <c r="V32" i="89"/>
  <c r="W32" i="89"/>
  <c r="V42" i="89"/>
  <c r="W42" i="89"/>
  <c r="V7" i="89"/>
  <c r="W7" i="89"/>
  <c r="V11" i="89"/>
  <c r="W11" i="89"/>
  <c r="V13" i="89"/>
  <c r="W13" i="89"/>
  <c r="W16" i="89"/>
  <c r="V16" i="89"/>
  <c r="V18" i="89"/>
  <c r="W18" i="89"/>
  <c r="V21" i="89"/>
  <c r="W21" i="89"/>
  <c r="V24" i="89"/>
  <c r="W24" i="89"/>
  <c r="V34" i="89"/>
  <c r="W34" i="89"/>
  <c r="W37" i="89"/>
  <c r="V37" i="89"/>
  <c r="V40" i="89"/>
  <c r="W40" i="89"/>
  <c r="V30" i="89"/>
  <c r="W30" i="89"/>
  <c r="V33" i="89"/>
  <c r="W33" i="89"/>
  <c r="V36" i="89"/>
  <c r="W36" i="89"/>
  <c r="V15" i="89"/>
  <c r="W15" i="89"/>
  <c r="V10" i="89"/>
  <c r="W10" i="89"/>
  <c r="W6" i="89"/>
  <c r="J52" i="89"/>
  <c r="V6" i="89"/>
  <c r="W14" i="89"/>
  <c r="V14" i="89"/>
  <c r="V19" i="89"/>
  <c r="W19" i="89"/>
  <c r="V22" i="89"/>
  <c r="W22" i="89"/>
  <c r="V25" i="89"/>
  <c r="W25" i="89"/>
  <c r="V28" i="89"/>
  <c r="W28" i="89"/>
  <c r="V38" i="89"/>
  <c r="W38" i="89"/>
  <c r="V41" i="89"/>
  <c r="W41" i="89"/>
  <c r="V83" i="89"/>
  <c r="O6" i="89" s="1"/>
  <c r="R6" i="89" s="1"/>
  <c r="W114" i="89"/>
  <c r="P8" i="89" s="1"/>
  <c r="V145" i="89"/>
  <c r="O10" i="89" s="1"/>
  <c r="W176" i="89"/>
  <c r="P12" i="89" s="1"/>
  <c r="V207" i="89"/>
  <c r="O14" i="89" s="1"/>
  <c r="R14" i="89" s="1"/>
  <c r="W238" i="89"/>
  <c r="P16" i="89" s="1"/>
  <c r="V9" i="89"/>
  <c r="V17" i="89"/>
  <c r="V23" i="89"/>
  <c r="V27" i="89"/>
  <c r="V31" i="89"/>
  <c r="V35" i="89"/>
  <c r="V39" i="89"/>
  <c r="V43" i="89"/>
  <c r="V91" i="89"/>
  <c r="V92" i="89"/>
  <c r="V93" i="89"/>
  <c r="V94" i="89"/>
  <c r="V95" i="89"/>
  <c r="V96" i="89"/>
  <c r="V97" i="89"/>
  <c r="V98" i="89"/>
  <c r="V99" i="89"/>
  <c r="V100" i="89"/>
  <c r="V101" i="89"/>
  <c r="V102" i="89"/>
  <c r="V103" i="89"/>
  <c r="V104" i="89"/>
  <c r="V105" i="89"/>
  <c r="V106" i="89"/>
  <c r="V107" i="89"/>
  <c r="V108" i="89"/>
  <c r="V109" i="89"/>
  <c r="V110" i="89"/>
  <c r="V111" i="89"/>
  <c r="V112" i="89"/>
  <c r="V113" i="89"/>
  <c r="V153" i="89"/>
  <c r="V154" i="89"/>
  <c r="V155" i="89"/>
  <c r="V156" i="89"/>
  <c r="V157" i="89"/>
  <c r="V158" i="89"/>
  <c r="V159" i="89"/>
  <c r="V160" i="89"/>
  <c r="V161" i="89"/>
  <c r="V162" i="89"/>
  <c r="V163" i="89"/>
  <c r="V164" i="89"/>
  <c r="V165" i="89"/>
  <c r="V166" i="89"/>
  <c r="V167" i="89"/>
  <c r="V168" i="89"/>
  <c r="V169" i="89"/>
  <c r="V170" i="89"/>
  <c r="V171" i="89"/>
  <c r="V172" i="89"/>
  <c r="V173" i="89"/>
  <c r="V174" i="89"/>
  <c r="V175" i="89"/>
  <c r="V215" i="89"/>
  <c r="V216" i="89"/>
  <c r="V217" i="89"/>
  <c r="V218" i="89"/>
  <c r="V219" i="89"/>
  <c r="V220" i="89"/>
  <c r="V221" i="89"/>
  <c r="V222" i="89"/>
  <c r="V223" i="89"/>
  <c r="V224" i="89"/>
  <c r="V225" i="89"/>
  <c r="V226" i="89"/>
  <c r="V227" i="89"/>
  <c r="V228" i="89"/>
  <c r="V229" i="89"/>
  <c r="V230" i="89"/>
  <c r="V231" i="89"/>
  <c r="V232" i="89"/>
  <c r="V233" i="89"/>
  <c r="V234" i="89"/>
  <c r="V235" i="89"/>
  <c r="V236" i="89"/>
  <c r="V237" i="89"/>
  <c r="W12" i="89"/>
  <c r="W20" i="89"/>
  <c r="J114" i="89"/>
  <c r="J176" i="89"/>
  <c r="J238" i="89"/>
  <c r="I35" i="88"/>
  <c r="J35" i="88" s="1"/>
  <c r="W35" i="88" s="1"/>
  <c r="I34" i="88"/>
  <c r="J34" i="88" s="1"/>
  <c r="I33" i="88"/>
  <c r="J33" i="88" s="1"/>
  <c r="J32" i="88"/>
  <c r="I32" i="88"/>
  <c r="I31" i="88"/>
  <c r="J31" i="88" s="1"/>
  <c r="W31" i="88" s="1"/>
  <c r="I30" i="88"/>
  <c r="J30" i="88" s="1"/>
  <c r="I29" i="88"/>
  <c r="J29" i="88" s="1"/>
  <c r="J28" i="88"/>
  <c r="I28" i="88"/>
  <c r="I27" i="88"/>
  <c r="J27" i="88" s="1"/>
  <c r="W27" i="88" s="1"/>
  <c r="I26" i="88"/>
  <c r="J26" i="88" s="1"/>
  <c r="I25" i="88"/>
  <c r="J25" i="88" s="1"/>
  <c r="V25" i="88" s="1"/>
  <c r="J24" i="88"/>
  <c r="I24" i="88"/>
  <c r="I23" i="88"/>
  <c r="J23" i="88" s="1"/>
  <c r="W23" i="88" s="1"/>
  <c r="I22" i="88"/>
  <c r="J22" i="88" s="1"/>
  <c r="I21" i="88"/>
  <c r="J21" i="88" s="1"/>
  <c r="V21" i="88" s="1"/>
  <c r="J20" i="88"/>
  <c r="V20" i="88" s="1"/>
  <c r="I20" i="88"/>
  <c r="I19" i="88"/>
  <c r="J19" i="88" s="1"/>
  <c r="I18" i="88"/>
  <c r="J18" i="88" s="1"/>
  <c r="I17" i="88"/>
  <c r="J17" i="88" s="1"/>
  <c r="W17" i="88" s="1"/>
  <c r="J16" i="88"/>
  <c r="I16" i="88"/>
  <c r="I15" i="88"/>
  <c r="J15" i="88" s="1"/>
  <c r="I14" i="88"/>
  <c r="J14" i="88" s="1"/>
  <c r="I13" i="88"/>
  <c r="J13" i="88" s="1"/>
  <c r="V13" i="88" s="1"/>
  <c r="J12" i="88"/>
  <c r="V12" i="88" s="1"/>
  <c r="I12" i="88"/>
  <c r="I10" i="88"/>
  <c r="J10" i="88" s="1"/>
  <c r="I11" i="88"/>
  <c r="J11" i="88" s="1"/>
  <c r="I8" i="88"/>
  <c r="J8" i="88" s="1"/>
  <c r="I9" i="88"/>
  <c r="J9" i="88" s="1"/>
  <c r="V9" i="88" s="1"/>
  <c r="J237" i="88"/>
  <c r="W237" i="88" s="1"/>
  <c r="J236" i="88"/>
  <c r="W236" i="88" s="1"/>
  <c r="J235" i="88"/>
  <c r="W235" i="88" s="1"/>
  <c r="J234" i="88"/>
  <c r="W234" i="88" s="1"/>
  <c r="J233" i="88"/>
  <c r="W233" i="88" s="1"/>
  <c r="J232" i="88"/>
  <c r="W232" i="88" s="1"/>
  <c r="J231" i="88"/>
  <c r="W231" i="88" s="1"/>
  <c r="J230" i="88"/>
  <c r="W230" i="88" s="1"/>
  <c r="J229" i="88"/>
  <c r="W229" i="88" s="1"/>
  <c r="J228" i="88"/>
  <c r="W228" i="88" s="1"/>
  <c r="J227" i="88"/>
  <c r="W227" i="88" s="1"/>
  <c r="J226" i="88"/>
  <c r="W226" i="88" s="1"/>
  <c r="J225" i="88"/>
  <c r="W225" i="88" s="1"/>
  <c r="J224" i="88"/>
  <c r="W224" i="88" s="1"/>
  <c r="J223" i="88"/>
  <c r="W223" i="88" s="1"/>
  <c r="J222" i="88"/>
  <c r="W222" i="88" s="1"/>
  <c r="J221" i="88"/>
  <c r="W221" i="88" s="1"/>
  <c r="J220" i="88"/>
  <c r="W220" i="88" s="1"/>
  <c r="J219" i="88"/>
  <c r="W219" i="88" s="1"/>
  <c r="J218" i="88"/>
  <c r="W218" i="88" s="1"/>
  <c r="J217" i="88"/>
  <c r="W217" i="88" s="1"/>
  <c r="J216" i="88"/>
  <c r="W216" i="88" s="1"/>
  <c r="B216" i="88"/>
  <c r="B217" i="88" s="1"/>
  <c r="B218" i="88" s="1"/>
  <c r="B219" i="88" s="1"/>
  <c r="B220" i="88" s="1"/>
  <c r="B221" i="88" s="1"/>
  <c r="B222" i="88" s="1"/>
  <c r="B223" i="88" s="1"/>
  <c r="B224" i="88" s="1"/>
  <c r="B225" i="88" s="1"/>
  <c r="B226" i="88" s="1"/>
  <c r="B227" i="88" s="1"/>
  <c r="B228" i="88" s="1"/>
  <c r="B229" i="88" s="1"/>
  <c r="B230" i="88" s="1"/>
  <c r="B231" i="88" s="1"/>
  <c r="B232" i="88" s="1"/>
  <c r="B233" i="88" s="1"/>
  <c r="B234" i="88" s="1"/>
  <c r="B235" i="88" s="1"/>
  <c r="B236" i="88" s="1"/>
  <c r="B237" i="88" s="1"/>
  <c r="J215" i="88"/>
  <c r="W215" i="88" s="1"/>
  <c r="J206" i="88"/>
  <c r="V206" i="88" s="1"/>
  <c r="J205" i="88"/>
  <c r="V205" i="88" s="1"/>
  <c r="J204" i="88"/>
  <c r="V204" i="88" s="1"/>
  <c r="J203" i="88"/>
  <c r="V203" i="88" s="1"/>
  <c r="J202" i="88"/>
  <c r="V202" i="88" s="1"/>
  <c r="J201" i="88"/>
  <c r="V201" i="88" s="1"/>
  <c r="J200" i="88"/>
  <c r="V200" i="88" s="1"/>
  <c r="J199" i="88"/>
  <c r="V199" i="88" s="1"/>
  <c r="J198" i="88"/>
  <c r="V198" i="88" s="1"/>
  <c r="J197" i="88"/>
  <c r="V197" i="88" s="1"/>
  <c r="J196" i="88"/>
  <c r="V196" i="88" s="1"/>
  <c r="J195" i="88"/>
  <c r="V195" i="88" s="1"/>
  <c r="J194" i="88"/>
  <c r="V194" i="88" s="1"/>
  <c r="J193" i="88"/>
  <c r="V193" i="88" s="1"/>
  <c r="J192" i="88"/>
  <c r="V192" i="88" s="1"/>
  <c r="J191" i="88"/>
  <c r="V191" i="88" s="1"/>
  <c r="J190" i="88"/>
  <c r="V190" i="88" s="1"/>
  <c r="J189" i="88"/>
  <c r="V189" i="88" s="1"/>
  <c r="J188" i="88"/>
  <c r="V188" i="88" s="1"/>
  <c r="J187" i="88"/>
  <c r="V187" i="88" s="1"/>
  <c r="J186" i="88"/>
  <c r="V186" i="88" s="1"/>
  <c r="J185" i="88"/>
  <c r="V185" i="88" s="1"/>
  <c r="B185" i="88"/>
  <c r="B186" i="88" s="1"/>
  <c r="B187" i="88" s="1"/>
  <c r="B188" i="88" s="1"/>
  <c r="B189" i="88" s="1"/>
  <c r="B190" i="88" s="1"/>
  <c r="B191" i="88" s="1"/>
  <c r="B192" i="88" s="1"/>
  <c r="B193" i="88" s="1"/>
  <c r="B194" i="88" s="1"/>
  <c r="B195" i="88" s="1"/>
  <c r="B196" i="88" s="1"/>
  <c r="B197" i="88" s="1"/>
  <c r="B198" i="88" s="1"/>
  <c r="B199" i="88" s="1"/>
  <c r="B200" i="88" s="1"/>
  <c r="B201" i="88" s="1"/>
  <c r="B202" i="88" s="1"/>
  <c r="B203" i="88" s="1"/>
  <c r="B204" i="88" s="1"/>
  <c r="B205" i="88" s="1"/>
  <c r="B206" i="88" s="1"/>
  <c r="J184" i="88"/>
  <c r="V184" i="88" s="1"/>
  <c r="J175" i="88"/>
  <c r="W175" i="88" s="1"/>
  <c r="J174" i="88"/>
  <c r="W174" i="88" s="1"/>
  <c r="J173" i="88"/>
  <c r="W173" i="88" s="1"/>
  <c r="J172" i="88"/>
  <c r="W172" i="88" s="1"/>
  <c r="J171" i="88"/>
  <c r="W171" i="88" s="1"/>
  <c r="J170" i="88"/>
  <c r="W170" i="88" s="1"/>
  <c r="J169" i="88"/>
  <c r="W169" i="88" s="1"/>
  <c r="J168" i="88"/>
  <c r="W168" i="88" s="1"/>
  <c r="J167" i="88"/>
  <c r="W167" i="88" s="1"/>
  <c r="J166" i="88"/>
  <c r="W166" i="88" s="1"/>
  <c r="J165" i="88"/>
  <c r="W165" i="88" s="1"/>
  <c r="J164" i="88"/>
  <c r="W164" i="88" s="1"/>
  <c r="J163" i="88"/>
  <c r="W163" i="88" s="1"/>
  <c r="J162" i="88"/>
  <c r="W162" i="88" s="1"/>
  <c r="J161" i="88"/>
  <c r="W161" i="88" s="1"/>
  <c r="J160" i="88"/>
  <c r="W160" i="88" s="1"/>
  <c r="J159" i="88"/>
  <c r="W159" i="88" s="1"/>
  <c r="J158" i="88"/>
  <c r="W158" i="88" s="1"/>
  <c r="J157" i="88"/>
  <c r="W157" i="88" s="1"/>
  <c r="J156" i="88"/>
  <c r="W156" i="88" s="1"/>
  <c r="J155" i="88"/>
  <c r="W155" i="88" s="1"/>
  <c r="J154" i="88"/>
  <c r="W154" i="88" s="1"/>
  <c r="B154" i="88"/>
  <c r="B155" i="88" s="1"/>
  <c r="B156" i="88" s="1"/>
  <c r="B157" i="88" s="1"/>
  <c r="B158" i="88" s="1"/>
  <c r="B159" i="88" s="1"/>
  <c r="B160" i="88" s="1"/>
  <c r="B161" i="88" s="1"/>
  <c r="B162" i="88" s="1"/>
  <c r="B163" i="88" s="1"/>
  <c r="B164" i="88" s="1"/>
  <c r="B165" i="88" s="1"/>
  <c r="B166" i="88" s="1"/>
  <c r="B167" i="88" s="1"/>
  <c r="B168" i="88" s="1"/>
  <c r="B169" i="88" s="1"/>
  <c r="B170" i="88" s="1"/>
  <c r="B171" i="88" s="1"/>
  <c r="B172" i="88" s="1"/>
  <c r="B173" i="88" s="1"/>
  <c r="B174" i="88" s="1"/>
  <c r="B175" i="88" s="1"/>
  <c r="J153" i="88"/>
  <c r="W153" i="88" s="1"/>
  <c r="J144" i="88"/>
  <c r="V144" i="88" s="1"/>
  <c r="J143" i="88"/>
  <c r="V143" i="88" s="1"/>
  <c r="J142" i="88"/>
  <c r="V142" i="88" s="1"/>
  <c r="J141" i="88"/>
  <c r="V141" i="88" s="1"/>
  <c r="J140" i="88"/>
  <c r="V140" i="88" s="1"/>
  <c r="J139" i="88"/>
  <c r="V139" i="88" s="1"/>
  <c r="J138" i="88"/>
  <c r="V138" i="88" s="1"/>
  <c r="J137" i="88"/>
  <c r="V137" i="88" s="1"/>
  <c r="J136" i="88"/>
  <c r="V136" i="88" s="1"/>
  <c r="J135" i="88"/>
  <c r="V135" i="88" s="1"/>
  <c r="J134" i="88"/>
  <c r="V134" i="88" s="1"/>
  <c r="J133" i="88"/>
  <c r="V133" i="88" s="1"/>
  <c r="J132" i="88"/>
  <c r="V132" i="88" s="1"/>
  <c r="J131" i="88"/>
  <c r="V131" i="88" s="1"/>
  <c r="J130" i="88"/>
  <c r="V130" i="88" s="1"/>
  <c r="J129" i="88"/>
  <c r="V129" i="88" s="1"/>
  <c r="J128" i="88"/>
  <c r="V128" i="88" s="1"/>
  <c r="J127" i="88"/>
  <c r="V127" i="88" s="1"/>
  <c r="J126" i="88"/>
  <c r="V126" i="88" s="1"/>
  <c r="J125" i="88"/>
  <c r="V125" i="88" s="1"/>
  <c r="J124" i="88"/>
  <c r="V124" i="88" s="1"/>
  <c r="J123" i="88"/>
  <c r="V123" i="88" s="1"/>
  <c r="B123" i="88"/>
  <c r="B124" i="88" s="1"/>
  <c r="B125" i="88" s="1"/>
  <c r="B126" i="88" s="1"/>
  <c r="B127" i="88" s="1"/>
  <c r="B128" i="88" s="1"/>
  <c r="B129" i="88" s="1"/>
  <c r="B130" i="88" s="1"/>
  <c r="B131" i="88" s="1"/>
  <c r="B132" i="88" s="1"/>
  <c r="B133" i="88" s="1"/>
  <c r="B134" i="88" s="1"/>
  <c r="B135" i="88" s="1"/>
  <c r="B136" i="88" s="1"/>
  <c r="B137" i="88" s="1"/>
  <c r="B138" i="88" s="1"/>
  <c r="B139" i="88" s="1"/>
  <c r="B140" i="88" s="1"/>
  <c r="B141" i="88" s="1"/>
  <c r="B142" i="88" s="1"/>
  <c r="B143" i="88" s="1"/>
  <c r="B144" i="88" s="1"/>
  <c r="J122" i="88"/>
  <c r="V122" i="88" s="1"/>
  <c r="J113" i="88"/>
  <c r="W113" i="88" s="1"/>
  <c r="J112" i="88"/>
  <c r="W112" i="88" s="1"/>
  <c r="J111" i="88"/>
  <c r="W111" i="88" s="1"/>
  <c r="J110" i="88"/>
  <c r="W110" i="88" s="1"/>
  <c r="J109" i="88"/>
  <c r="W109" i="88" s="1"/>
  <c r="J108" i="88"/>
  <c r="W108" i="88" s="1"/>
  <c r="J107" i="88"/>
  <c r="W107" i="88" s="1"/>
  <c r="J106" i="88"/>
  <c r="W106" i="88" s="1"/>
  <c r="J105" i="88"/>
  <c r="W105" i="88" s="1"/>
  <c r="J104" i="88"/>
  <c r="W104" i="88" s="1"/>
  <c r="J103" i="88"/>
  <c r="W103" i="88" s="1"/>
  <c r="J102" i="88"/>
  <c r="W102" i="88" s="1"/>
  <c r="J101" i="88"/>
  <c r="W101" i="88" s="1"/>
  <c r="J100" i="88"/>
  <c r="W100" i="88" s="1"/>
  <c r="J99" i="88"/>
  <c r="W99" i="88" s="1"/>
  <c r="J98" i="88"/>
  <c r="W98" i="88" s="1"/>
  <c r="J97" i="88"/>
  <c r="W97" i="88" s="1"/>
  <c r="J96" i="88"/>
  <c r="W96" i="88" s="1"/>
  <c r="J95" i="88"/>
  <c r="W95" i="88" s="1"/>
  <c r="J94" i="88"/>
  <c r="W94" i="88" s="1"/>
  <c r="J93" i="88"/>
  <c r="W93" i="88" s="1"/>
  <c r="J92" i="88"/>
  <c r="W92" i="88" s="1"/>
  <c r="B92" i="88"/>
  <c r="B93" i="88" s="1"/>
  <c r="B94" i="88" s="1"/>
  <c r="B95" i="88" s="1"/>
  <c r="B96" i="88" s="1"/>
  <c r="B97" i="88" s="1"/>
  <c r="B98" i="88" s="1"/>
  <c r="B99" i="88" s="1"/>
  <c r="B100" i="88" s="1"/>
  <c r="B101" i="88" s="1"/>
  <c r="B102" i="88" s="1"/>
  <c r="B103" i="88" s="1"/>
  <c r="B104" i="88" s="1"/>
  <c r="B105" i="88" s="1"/>
  <c r="B106" i="88" s="1"/>
  <c r="B107" i="88" s="1"/>
  <c r="B108" i="88" s="1"/>
  <c r="B109" i="88" s="1"/>
  <c r="B110" i="88" s="1"/>
  <c r="B111" i="88" s="1"/>
  <c r="B112" i="88" s="1"/>
  <c r="B113" i="88" s="1"/>
  <c r="J91" i="88"/>
  <c r="W91" i="88" s="1"/>
  <c r="J82" i="88"/>
  <c r="V82" i="88" s="1"/>
  <c r="J81" i="88"/>
  <c r="V81" i="88" s="1"/>
  <c r="J80" i="88"/>
  <c r="V80" i="88" s="1"/>
  <c r="J79" i="88"/>
  <c r="V79" i="88" s="1"/>
  <c r="J78" i="88"/>
  <c r="V78" i="88" s="1"/>
  <c r="J77" i="88"/>
  <c r="V77" i="88" s="1"/>
  <c r="J76" i="88"/>
  <c r="V76" i="88" s="1"/>
  <c r="J75" i="88"/>
  <c r="V75" i="88" s="1"/>
  <c r="J74" i="88"/>
  <c r="V74" i="88" s="1"/>
  <c r="J73" i="88"/>
  <c r="V73" i="88" s="1"/>
  <c r="J72" i="88"/>
  <c r="V72" i="88" s="1"/>
  <c r="J71" i="88"/>
  <c r="V71" i="88" s="1"/>
  <c r="J70" i="88"/>
  <c r="V70" i="88" s="1"/>
  <c r="J69" i="88"/>
  <c r="V69" i="88" s="1"/>
  <c r="J68" i="88"/>
  <c r="V68" i="88" s="1"/>
  <c r="J67" i="88"/>
  <c r="V67" i="88" s="1"/>
  <c r="J66" i="88"/>
  <c r="V66" i="88" s="1"/>
  <c r="J65" i="88"/>
  <c r="V65" i="88" s="1"/>
  <c r="J64" i="88"/>
  <c r="V64" i="88" s="1"/>
  <c r="J63" i="88"/>
  <c r="V63" i="88" s="1"/>
  <c r="J62" i="88"/>
  <c r="V62" i="88" s="1"/>
  <c r="J61" i="88"/>
  <c r="V61" i="88" s="1"/>
  <c r="B61" i="88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J60" i="88"/>
  <c r="V60" i="88" s="1"/>
  <c r="W51" i="88"/>
  <c r="V51" i="88"/>
  <c r="W50" i="88"/>
  <c r="V50" i="88"/>
  <c r="W49" i="88"/>
  <c r="V49" i="88"/>
  <c r="W48" i="88"/>
  <c r="V48" i="88"/>
  <c r="W47" i="88"/>
  <c r="V47" i="88"/>
  <c r="W46" i="88"/>
  <c r="V46" i="88"/>
  <c r="W45" i="88"/>
  <c r="V45" i="88"/>
  <c r="W43" i="88"/>
  <c r="W41" i="88"/>
  <c r="V41" i="88"/>
  <c r="W39" i="88"/>
  <c r="W37" i="88"/>
  <c r="V37" i="88"/>
  <c r="N16" i="88"/>
  <c r="W16" i="88"/>
  <c r="N14" i="88"/>
  <c r="N12" i="88"/>
  <c r="N10" i="88"/>
  <c r="N8" i="88"/>
  <c r="I7" i="88"/>
  <c r="J7" i="88" s="1"/>
  <c r="B7" i="88"/>
  <c r="B8" i="88" s="1"/>
  <c r="B9" i="88" s="1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B23" i="88" s="1"/>
  <c r="B24" i="88" s="1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45" i="88" s="1"/>
  <c r="B46" i="88" s="1"/>
  <c r="B47" i="88" s="1"/>
  <c r="B48" i="88" s="1"/>
  <c r="B49" i="88" s="1"/>
  <c r="B50" i="88" s="1"/>
  <c r="B51" i="88" s="1"/>
  <c r="N6" i="88"/>
  <c r="I6" i="88"/>
  <c r="J6" i="88" s="1"/>
  <c r="N4" i="88"/>
  <c r="I45" i="87"/>
  <c r="J45" i="87" s="1"/>
  <c r="I44" i="87"/>
  <c r="J44" i="87" s="1"/>
  <c r="I43" i="87"/>
  <c r="J43" i="87" s="1"/>
  <c r="I42" i="87"/>
  <c r="J42" i="87" s="1"/>
  <c r="I41" i="87"/>
  <c r="J41" i="87" s="1"/>
  <c r="I40" i="87"/>
  <c r="J40" i="87" s="1"/>
  <c r="I39" i="87"/>
  <c r="J39" i="87" s="1"/>
  <c r="I38" i="87"/>
  <c r="J38" i="87" s="1"/>
  <c r="J184" i="87"/>
  <c r="J185" i="87"/>
  <c r="J186" i="87"/>
  <c r="J187" i="87"/>
  <c r="J188" i="87"/>
  <c r="J189" i="87"/>
  <c r="J190" i="87"/>
  <c r="J191" i="87"/>
  <c r="J192" i="87"/>
  <c r="J193" i="87"/>
  <c r="J194" i="87"/>
  <c r="J195" i="87"/>
  <c r="J196" i="87"/>
  <c r="J197" i="87"/>
  <c r="J198" i="87"/>
  <c r="J199" i="87"/>
  <c r="I37" i="87"/>
  <c r="J37" i="87" s="1"/>
  <c r="I36" i="87"/>
  <c r="J36" i="87" s="1"/>
  <c r="I35" i="87"/>
  <c r="J35" i="87" s="1"/>
  <c r="I34" i="87"/>
  <c r="J34" i="87" s="1"/>
  <c r="I33" i="87"/>
  <c r="J33" i="87" s="1"/>
  <c r="I32" i="87"/>
  <c r="J32" i="87" s="1"/>
  <c r="I31" i="87"/>
  <c r="J31" i="87" s="1"/>
  <c r="I30" i="87"/>
  <c r="J30" i="87" s="1"/>
  <c r="I29" i="87"/>
  <c r="J29" i="87" s="1"/>
  <c r="I28" i="87"/>
  <c r="J28" i="87" s="1"/>
  <c r="W82" i="88" l="1"/>
  <c r="W33" i="88"/>
  <c r="V33" i="88"/>
  <c r="W29" i="88"/>
  <c r="V29" i="88"/>
  <c r="W143" i="88"/>
  <c r="W184" i="88"/>
  <c r="W186" i="88"/>
  <c r="W200" i="88"/>
  <c r="W206" i="88"/>
  <c r="W190" i="88"/>
  <c r="W204" i="88"/>
  <c r="W142" i="88"/>
  <c r="W144" i="88"/>
  <c r="W145" i="89"/>
  <c r="P10" i="89" s="1"/>
  <c r="Q10" i="89" s="1"/>
  <c r="W207" i="89"/>
  <c r="P14" i="89" s="1"/>
  <c r="Q14" i="89" s="1"/>
  <c r="W83" i="89"/>
  <c r="P6" i="89" s="1"/>
  <c r="Q6" i="89" s="1"/>
  <c r="V176" i="89"/>
  <c r="O12" i="89" s="1"/>
  <c r="V52" i="89"/>
  <c r="O4" i="89" s="1"/>
  <c r="R10" i="89"/>
  <c r="V114" i="89"/>
  <c r="O8" i="89" s="1"/>
  <c r="W52" i="89"/>
  <c r="P4" i="89" s="1"/>
  <c r="V238" i="89"/>
  <c r="O16" i="89" s="1"/>
  <c r="W138" i="88"/>
  <c r="W136" i="88"/>
  <c r="W198" i="88"/>
  <c r="W134" i="88"/>
  <c r="W25" i="88"/>
  <c r="W128" i="88"/>
  <c r="W21" i="88"/>
  <c r="V8" i="88"/>
  <c r="W8" i="88"/>
  <c r="W122" i="88"/>
  <c r="W60" i="88"/>
  <c r="W192" i="88"/>
  <c r="W194" i="88"/>
  <c r="W202" i="88"/>
  <c r="W188" i="88"/>
  <c r="W196" i="88"/>
  <c r="J207" i="88"/>
  <c r="W185" i="88"/>
  <c r="W187" i="88"/>
  <c r="W189" i="88"/>
  <c r="W191" i="88"/>
  <c r="W193" i="88"/>
  <c r="W195" i="88"/>
  <c r="W197" i="88"/>
  <c r="W199" i="88"/>
  <c r="W201" i="88"/>
  <c r="W203" i="88"/>
  <c r="W205" i="88"/>
  <c r="W126" i="88"/>
  <c r="W130" i="88"/>
  <c r="W124" i="88"/>
  <c r="W132" i="88"/>
  <c r="W140" i="88"/>
  <c r="J145" i="88"/>
  <c r="W123" i="88"/>
  <c r="W125" i="88"/>
  <c r="W127" i="88"/>
  <c r="W129" i="88"/>
  <c r="W131" i="88"/>
  <c r="W133" i="88"/>
  <c r="W135" i="88"/>
  <c r="W137" i="88"/>
  <c r="W139" i="88"/>
  <c r="W141" i="88"/>
  <c r="W62" i="88"/>
  <c r="W64" i="88"/>
  <c r="W66" i="88"/>
  <c r="W68" i="88"/>
  <c r="W70" i="88"/>
  <c r="W72" i="88"/>
  <c r="W74" i="88"/>
  <c r="W76" i="88"/>
  <c r="W78" i="88"/>
  <c r="W80" i="88"/>
  <c r="N18" i="88"/>
  <c r="W61" i="88"/>
  <c r="W63" i="88"/>
  <c r="W65" i="88"/>
  <c r="W67" i="88"/>
  <c r="W69" i="88"/>
  <c r="W71" i="88"/>
  <c r="W73" i="88"/>
  <c r="W75" i="88"/>
  <c r="W77" i="88"/>
  <c r="W79" i="88"/>
  <c r="W81" i="88"/>
  <c r="W13" i="88"/>
  <c r="V16" i="88"/>
  <c r="W14" i="88"/>
  <c r="V14" i="88"/>
  <c r="V22" i="88"/>
  <c r="W22" i="88"/>
  <c r="V36" i="88"/>
  <c r="W36" i="88"/>
  <c r="V38" i="88"/>
  <c r="W38" i="88"/>
  <c r="V26" i="88"/>
  <c r="W26" i="88"/>
  <c r="V40" i="88"/>
  <c r="W40" i="88"/>
  <c r="V42" i="88"/>
  <c r="W42" i="88"/>
  <c r="V7" i="88"/>
  <c r="W7" i="88"/>
  <c r="J52" i="88"/>
  <c r="V6" i="88"/>
  <c r="W6" i="88"/>
  <c r="W10" i="88"/>
  <c r="V10" i="88"/>
  <c r="V24" i="88"/>
  <c r="W24" i="88"/>
  <c r="V15" i="88"/>
  <c r="W15" i="88"/>
  <c r="V19" i="88"/>
  <c r="W19" i="88"/>
  <c r="V28" i="88"/>
  <c r="W28" i="88"/>
  <c r="V30" i="88"/>
  <c r="W30" i="88"/>
  <c r="V44" i="88"/>
  <c r="W44" i="88"/>
  <c r="V11" i="88"/>
  <c r="W11" i="88"/>
  <c r="V18" i="88"/>
  <c r="W18" i="88"/>
  <c r="V32" i="88"/>
  <c r="W32" i="88"/>
  <c r="V34" i="88"/>
  <c r="W34" i="88"/>
  <c r="V83" i="88"/>
  <c r="O6" i="88" s="1"/>
  <c r="R6" i="88" s="1"/>
  <c r="W114" i="88"/>
  <c r="P8" i="88" s="1"/>
  <c r="V145" i="88"/>
  <c r="O10" i="88" s="1"/>
  <c r="R10" i="88" s="1"/>
  <c r="W176" i="88"/>
  <c r="P12" i="88" s="1"/>
  <c r="V207" i="88"/>
  <c r="O14" i="88" s="1"/>
  <c r="R14" i="88" s="1"/>
  <c r="W238" i="88"/>
  <c r="P16" i="88" s="1"/>
  <c r="W9" i="88"/>
  <c r="V17" i="88"/>
  <c r="V23" i="88"/>
  <c r="V27" i="88"/>
  <c r="V31" i="88"/>
  <c r="V35" i="88"/>
  <c r="V39" i="88"/>
  <c r="V43" i="88"/>
  <c r="J83" i="88"/>
  <c r="V91" i="88"/>
  <c r="V92" i="88"/>
  <c r="V93" i="88"/>
  <c r="V94" i="88"/>
  <c r="V95" i="88"/>
  <c r="V96" i="88"/>
  <c r="V97" i="88"/>
  <c r="V98" i="88"/>
  <c r="V99" i="88"/>
  <c r="V100" i="88"/>
  <c r="V101" i="88"/>
  <c r="V102" i="88"/>
  <c r="V103" i="88"/>
  <c r="V104" i="88"/>
  <c r="V105" i="88"/>
  <c r="V106" i="88"/>
  <c r="V107" i="88"/>
  <c r="V108" i="88"/>
  <c r="V109" i="88"/>
  <c r="V110" i="88"/>
  <c r="V111" i="88"/>
  <c r="V112" i="88"/>
  <c r="V113" i="88"/>
  <c r="V153" i="88"/>
  <c r="V154" i="88"/>
  <c r="V155" i="88"/>
  <c r="V156" i="88"/>
  <c r="V157" i="88"/>
  <c r="V158" i="88"/>
  <c r="V159" i="88"/>
  <c r="V160" i="88"/>
  <c r="V161" i="88"/>
  <c r="V162" i="88"/>
  <c r="V163" i="88"/>
  <c r="V164" i="88"/>
  <c r="V165" i="88"/>
  <c r="V166" i="88"/>
  <c r="V167" i="88"/>
  <c r="V168" i="88"/>
  <c r="V169" i="88"/>
  <c r="V170" i="88"/>
  <c r="V171" i="88"/>
  <c r="V172" i="88"/>
  <c r="V173" i="88"/>
  <c r="V174" i="88"/>
  <c r="V175" i="88"/>
  <c r="V215" i="88"/>
  <c r="V216" i="88"/>
  <c r="V217" i="88"/>
  <c r="V218" i="88"/>
  <c r="V219" i="88"/>
  <c r="V220" i="88"/>
  <c r="V221" i="88"/>
  <c r="V222" i="88"/>
  <c r="V223" i="88"/>
  <c r="V224" i="88"/>
  <c r="V225" i="88"/>
  <c r="V226" i="88"/>
  <c r="V227" i="88"/>
  <c r="V228" i="88"/>
  <c r="V229" i="88"/>
  <c r="V230" i="88"/>
  <c r="V231" i="88"/>
  <c r="V232" i="88"/>
  <c r="V233" i="88"/>
  <c r="V234" i="88"/>
  <c r="V235" i="88"/>
  <c r="V236" i="88"/>
  <c r="V237" i="88"/>
  <c r="W12" i="88"/>
  <c r="W20" i="88"/>
  <c r="J114" i="88"/>
  <c r="J176" i="88"/>
  <c r="J238" i="88"/>
  <c r="I27" i="87"/>
  <c r="J27" i="87" s="1"/>
  <c r="I26" i="87"/>
  <c r="J26" i="87" s="1"/>
  <c r="J25" i="87"/>
  <c r="I25" i="87"/>
  <c r="I24" i="87"/>
  <c r="J24" i="87" s="1"/>
  <c r="I23" i="87"/>
  <c r="J23" i="87" s="1"/>
  <c r="I22" i="87"/>
  <c r="J22" i="87" s="1"/>
  <c r="I21" i="87"/>
  <c r="J21" i="87" s="1"/>
  <c r="I20" i="87"/>
  <c r="J20" i="87" s="1"/>
  <c r="I19" i="87"/>
  <c r="J19" i="87" s="1"/>
  <c r="I18" i="87"/>
  <c r="J18" i="87" s="1"/>
  <c r="J17" i="87"/>
  <c r="I17" i="87"/>
  <c r="I16" i="87"/>
  <c r="J16" i="87" s="1"/>
  <c r="I15" i="87"/>
  <c r="J15" i="87" s="1"/>
  <c r="I14" i="87"/>
  <c r="J14" i="87" s="1"/>
  <c r="I13" i="87"/>
  <c r="J13" i="87" s="1"/>
  <c r="I12" i="87"/>
  <c r="J12" i="87" s="1"/>
  <c r="I10" i="87"/>
  <c r="J10" i="87" s="1"/>
  <c r="I11" i="87"/>
  <c r="J11" i="87" s="1"/>
  <c r="I8" i="87"/>
  <c r="J8" i="87" s="1"/>
  <c r="I9" i="87"/>
  <c r="J9" i="87" s="1"/>
  <c r="P18" i="89" l="1"/>
  <c r="Q8" i="89"/>
  <c r="R8" i="89"/>
  <c r="Q12" i="89"/>
  <c r="R12" i="89"/>
  <c r="Q4" i="89"/>
  <c r="O18" i="89"/>
  <c r="R18" i="89" s="1"/>
  <c r="P20" i="89" s="1"/>
  <c r="R4" i="89"/>
  <c r="Q16" i="89"/>
  <c r="R16" i="89"/>
  <c r="W145" i="88"/>
  <c r="P10" i="88" s="1"/>
  <c r="Q10" i="88" s="1"/>
  <c r="W83" i="88"/>
  <c r="P6" i="88" s="1"/>
  <c r="Q6" i="88" s="1"/>
  <c r="W207" i="88"/>
  <c r="P14" i="88" s="1"/>
  <c r="Q14" i="88" s="1"/>
  <c r="V52" i="88"/>
  <c r="O4" i="88" s="1"/>
  <c r="V176" i="88"/>
  <c r="O12" i="88" s="1"/>
  <c r="W52" i="88"/>
  <c r="P4" i="88" s="1"/>
  <c r="V238" i="88"/>
  <c r="O16" i="88" s="1"/>
  <c r="V114" i="88"/>
  <c r="O8" i="88" s="1"/>
  <c r="J237" i="87"/>
  <c r="V237" i="87" s="1"/>
  <c r="J236" i="87"/>
  <c r="V236" i="87" s="1"/>
  <c r="J235" i="87"/>
  <c r="W235" i="87" s="1"/>
  <c r="J234" i="87"/>
  <c r="V234" i="87" s="1"/>
  <c r="J233" i="87"/>
  <c r="V233" i="87" s="1"/>
  <c r="J232" i="87"/>
  <c r="V232" i="87" s="1"/>
  <c r="J231" i="87"/>
  <c r="W231" i="87" s="1"/>
  <c r="J230" i="87"/>
  <c r="V230" i="87" s="1"/>
  <c r="J229" i="87"/>
  <c r="V229" i="87" s="1"/>
  <c r="J228" i="87"/>
  <c r="V228" i="87" s="1"/>
  <c r="J227" i="87"/>
  <c r="W227" i="87" s="1"/>
  <c r="J226" i="87"/>
  <c r="V226" i="87" s="1"/>
  <c r="J225" i="87"/>
  <c r="V225" i="87" s="1"/>
  <c r="J224" i="87"/>
  <c r="V224" i="87" s="1"/>
  <c r="J223" i="87"/>
  <c r="W223" i="87" s="1"/>
  <c r="J222" i="87"/>
  <c r="V222" i="87" s="1"/>
  <c r="J221" i="87"/>
  <c r="V221" i="87" s="1"/>
  <c r="J220" i="87"/>
  <c r="V220" i="87" s="1"/>
  <c r="J219" i="87"/>
  <c r="W219" i="87" s="1"/>
  <c r="J218" i="87"/>
  <c r="V218" i="87" s="1"/>
  <c r="J217" i="87"/>
  <c r="V217" i="87" s="1"/>
  <c r="J216" i="87"/>
  <c r="V216" i="87" s="1"/>
  <c r="B216" i="87"/>
  <c r="B217" i="87" s="1"/>
  <c r="B218" i="87" s="1"/>
  <c r="B219" i="87" s="1"/>
  <c r="B220" i="87" s="1"/>
  <c r="B221" i="87" s="1"/>
  <c r="B222" i="87" s="1"/>
  <c r="B223" i="87" s="1"/>
  <c r="B224" i="87" s="1"/>
  <c r="B225" i="87" s="1"/>
  <c r="B226" i="87" s="1"/>
  <c r="B227" i="87" s="1"/>
  <c r="B228" i="87" s="1"/>
  <c r="B229" i="87" s="1"/>
  <c r="B230" i="87" s="1"/>
  <c r="B231" i="87" s="1"/>
  <c r="B232" i="87" s="1"/>
  <c r="B233" i="87" s="1"/>
  <c r="B234" i="87" s="1"/>
  <c r="B235" i="87" s="1"/>
  <c r="B236" i="87" s="1"/>
  <c r="B237" i="87" s="1"/>
  <c r="J215" i="87"/>
  <c r="V215" i="87" s="1"/>
  <c r="J206" i="87"/>
  <c r="V206" i="87" s="1"/>
  <c r="J205" i="87"/>
  <c r="V205" i="87" s="1"/>
  <c r="J204" i="87"/>
  <c r="V204" i="87" s="1"/>
  <c r="J203" i="87"/>
  <c r="V203" i="87" s="1"/>
  <c r="J202" i="87"/>
  <c r="V202" i="87" s="1"/>
  <c r="J201" i="87"/>
  <c r="V201" i="87" s="1"/>
  <c r="J200" i="87"/>
  <c r="V200" i="87" s="1"/>
  <c r="V199" i="87"/>
  <c r="V198" i="87"/>
  <c r="V197" i="87"/>
  <c r="V196" i="87"/>
  <c r="V195" i="87"/>
  <c r="V194" i="87"/>
  <c r="V193" i="87"/>
  <c r="V192" i="87"/>
  <c r="V191" i="87"/>
  <c r="V190" i="87"/>
  <c r="V189" i="87"/>
  <c r="V188" i="87"/>
  <c r="V187" i="87"/>
  <c r="V186" i="87"/>
  <c r="V185" i="87"/>
  <c r="B185" i="87"/>
  <c r="B186" i="87" s="1"/>
  <c r="B187" i="87" s="1"/>
  <c r="B188" i="87" s="1"/>
  <c r="B189" i="87" s="1"/>
  <c r="B190" i="87" s="1"/>
  <c r="B191" i="87" s="1"/>
  <c r="B192" i="87" s="1"/>
  <c r="B193" i="87" s="1"/>
  <c r="B194" i="87" s="1"/>
  <c r="B195" i="87" s="1"/>
  <c r="B196" i="87" s="1"/>
  <c r="B197" i="87" s="1"/>
  <c r="B198" i="87" s="1"/>
  <c r="B199" i="87" s="1"/>
  <c r="B200" i="87" s="1"/>
  <c r="B201" i="87" s="1"/>
  <c r="B202" i="87" s="1"/>
  <c r="B203" i="87" s="1"/>
  <c r="B204" i="87" s="1"/>
  <c r="B205" i="87" s="1"/>
  <c r="B206" i="87" s="1"/>
  <c r="V184" i="87"/>
  <c r="J175" i="87"/>
  <c r="V175" i="87" s="1"/>
  <c r="J174" i="87"/>
  <c r="W174" i="87" s="1"/>
  <c r="J173" i="87"/>
  <c r="V173" i="87" s="1"/>
  <c r="J172" i="87"/>
  <c r="V172" i="87" s="1"/>
  <c r="J171" i="87"/>
  <c r="V171" i="87" s="1"/>
  <c r="J170" i="87"/>
  <c r="W170" i="87" s="1"/>
  <c r="J169" i="87"/>
  <c r="V169" i="87" s="1"/>
  <c r="J168" i="87"/>
  <c r="V168" i="87" s="1"/>
  <c r="J167" i="87"/>
  <c r="V167" i="87" s="1"/>
  <c r="J166" i="87"/>
  <c r="W166" i="87" s="1"/>
  <c r="J165" i="87"/>
  <c r="V165" i="87" s="1"/>
  <c r="J164" i="87"/>
  <c r="V164" i="87" s="1"/>
  <c r="J163" i="87"/>
  <c r="W163" i="87" s="1"/>
  <c r="J162" i="87"/>
  <c r="W162" i="87" s="1"/>
  <c r="J161" i="87"/>
  <c r="V161" i="87" s="1"/>
  <c r="J160" i="87"/>
  <c r="V160" i="87" s="1"/>
  <c r="J159" i="87"/>
  <c r="W159" i="87" s="1"/>
  <c r="J158" i="87"/>
  <c r="W158" i="87" s="1"/>
  <c r="J157" i="87"/>
  <c r="V157" i="87" s="1"/>
  <c r="J156" i="87"/>
  <c r="V156" i="87" s="1"/>
  <c r="J155" i="87"/>
  <c r="V155" i="87" s="1"/>
  <c r="J154" i="87"/>
  <c r="W154" i="87" s="1"/>
  <c r="B154" i="87"/>
  <c r="B155" i="87" s="1"/>
  <c r="B156" i="87" s="1"/>
  <c r="B157" i="87" s="1"/>
  <c r="B158" i="87" s="1"/>
  <c r="B159" i="87" s="1"/>
  <c r="B160" i="87" s="1"/>
  <c r="B161" i="87" s="1"/>
  <c r="B162" i="87" s="1"/>
  <c r="B163" i="87" s="1"/>
  <c r="B164" i="87" s="1"/>
  <c r="B165" i="87" s="1"/>
  <c r="B166" i="87" s="1"/>
  <c r="B167" i="87" s="1"/>
  <c r="B168" i="87" s="1"/>
  <c r="B169" i="87" s="1"/>
  <c r="B170" i="87" s="1"/>
  <c r="B171" i="87" s="1"/>
  <c r="B172" i="87" s="1"/>
  <c r="B173" i="87" s="1"/>
  <c r="B174" i="87" s="1"/>
  <c r="B175" i="87" s="1"/>
  <c r="J153" i="87"/>
  <c r="J144" i="87"/>
  <c r="V144" i="87" s="1"/>
  <c r="J143" i="87"/>
  <c r="V143" i="87" s="1"/>
  <c r="J142" i="87"/>
  <c r="V142" i="87" s="1"/>
  <c r="J141" i="87"/>
  <c r="V141" i="87" s="1"/>
  <c r="J140" i="87"/>
  <c r="V140" i="87" s="1"/>
  <c r="J139" i="87"/>
  <c r="V139" i="87" s="1"/>
  <c r="J138" i="87"/>
  <c r="V138" i="87" s="1"/>
  <c r="J137" i="87"/>
  <c r="V137" i="87" s="1"/>
  <c r="J136" i="87"/>
  <c r="V136" i="87" s="1"/>
  <c r="J135" i="87"/>
  <c r="V135" i="87" s="1"/>
  <c r="J134" i="87"/>
  <c r="V134" i="87" s="1"/>
  <c r="J133" i="87"/>
  <c r="V133" i="87" s="1"/>
  <c r="J132" i="87"/>
  <c r="V132" i="87" s="1"/>
  <c r="J131" i="87"/>
  <c r="V131" i="87" s="1"/>
  <c r="J130" i="87"/>
  <c r="V130" i="87" s="1"/>
  <c r="J129" i="87"/>
  <c r="V129" i="87" s="1"/>
  <c r="J128" i="87"/>
  <c r="V128" i="87" s="1"/>
  <c r="J127" i="87"/>
  <c r="V127" i="87" s="1"/>
  <c r="J126" i="87"/>
  <c r="V126" i="87" s="1"/>
  <c r="J125" i="87"/>
  <c r="V125" i="87" s="1"/>
  <c r="J124" i="87"/>
  <c r="V124" i="87" s="1"/>
  <c r="J123" i="87"/>
  <c r="V123" i="87" s="1"/>
  <c r="B123" i="87"/>
  <c r="B124" i="87" s="1"/>
  <c r="B125" i="87" s="1"/>
  <c r="B126" i="87" s="1"/>
  <c r="B127" i="87" s="1"/>
  <c r="B128" i="87" s="1"/>
  <c r="B129" i="87" s="1"/>
  <c r="B130" i="87" s="1"/>
  <c r="B131" i="87" s="1"/>
  <c r="B132" i="87" s="1"/>
  <c r="B133" i="87" s="1"/>
  <c r="B134" i="87" s="1"/>
  <c r="B135" i="87" s="1"/>
  <c r="B136" i="87" s="1"/>
  <c r="B137" i="87" s="1"/>
  <c r="B138" i="87" s="1"/>
  <c r="B139" i="87" s="1"/>
  <c r="B140" i="87" s="1"/>
  <c r="B141" i="87" s="1"/>
  <c r="B142" i="87" s="1"/>
  <c r="B143" i="87" s="1"/>
  <c r="B144" i="87" s="1"/>
  <c r="J122" i="87"/>
  <c r="V122" i="87" s="1"/>
  <c r="J113" i="87"/>
  <c r="V113" i="87" s="1"/>
  <c r="J112" i="87"/>
  <c r="V112" i="87" s="1"/>
  <c r="J111" i="87"/>
  <c r="W111" i="87" s="1"/>
  <c r="J110" i="87"/>
  <c r="V110" i="87" s="1"/>
  <c r="J109" i="87"/>
  <c r="V109" i="87" s="1"/>
  <c r="J108" i="87"/>
  <c r="V108" i="87" s="1"/>
  <c r="J107" i="87"/>
  <c r="W107" i="87" s="1"/>
  <c r="J106" i="87"/>
  <c r="V106" i="87" s="1"/>
  <c r="J105" i="87"/>
  <c r="V105" i="87" s="1"/>
  <c r="J104" i="87"/>
  <c r="V104" i="87" s="1"/>
  <c r="J103" i="87"/>
  <c r="W103" i="87" s="1"/>
  <c r="J102" i="87"/>
  <c r="V102" i="87" s="1"/>
  <c r="J101" i="87"/>
  <c r="V101" i="87" s="1"/>
  <c r="J100" i="87"/>
  <c r="V100" i="87" s="1"/>
  <c r="J99" i="87"/>
  <c r="W99" i="87" s="1"/>
  <c r="J98" i="87"/>
  <c r="V98" i="87" s="1"/>
  <c r="J97" i="87"/>
  <c r="V97" i="87" s="1"/>
  <c r="J96" i="87"/>
  <c r="V96" i="87" s="1"/>
  <c r="J95" i="87"/>
  <c r="W95" i="87" s="1"/>
  <c r="J94" i="87"/>
  <c r="V94" i="87" s="1"/>
  <c r="J93" i="87"/>
  <c r="V93" i="87" s="1"/>
  <c r="J92" i="87"/>
  <c r="V92" i="87" s="1"/>
  <c r="B92" i="87"/>
  <c r="B93" i="87" s="1"/>
  <c r="B94" i="87" s="1"/>
  <c r="B95" i="87" s="1"/>
  <c r="B96" i="87" s="1"/>
  <c r="B97" i="87" s="1"/>
  <c r="B98" i="87" s="1"/>
  <c r="B99" i="87" s="1"/>
  <c r="B100" i="87" s="1"/>
  <c r="B101" i="87" s="1"/>
  <c r="B102" i="87" s="1"/>
  <c r="B103" i="87" s="1"/>
  <c r="B104" i="87" s="1"/>
  <c r="B105" i="87" s="1"/>
  <c r="B106" i="87" s="1"/>
  <c r="B107" i="87" s="1"/>
  <c r="B108" i="87" s="1"/>
  <c r="B109" i="87" s="1"/>
  <c r="B110" i="87" s="1"/>
  <c r="B111" i="87" s="1"/>
  <c r="B112" i="87" s="1"/>
  <c r="B113" i="87" s="1"/>
  <c r="J91" i="87"/>
  <c r="V91" i="87" s="1"/>
  <c r="J82" i="87"/>
  <c r="V82" i="87" s="1"/>
  <c r="J81" i="87"/>
  <c r="V81" i="87" s="1"/>
  <c r="J80" i="87"/>
  <c r="V80" i="87" s="1"/>
  <c r="J79" i="87"/>
  <c r="V79" i="87" s="1"/>
  <c r="J78" i="87"/>
  <c r="V78" i="87" s="1"/>
  <c r="J77" i="87"/>
  <c r="V77" i="87" s="1"/>
  <c r="J76" i="87"/>
  <c r="V76" i="87" s="1"/>
  <c r="J75" i="87"/>
  <c r="V75" i="87" s="1"/>
  <c r="J74" i="87"/>
  <c r="V74" i="87" s="1"/>
  <c r="J73" i="87"/>
  <c r="V73" i="87" s="1"/>
  <c r="J72" i="87"/>
  <c r="V72" i="87" s="1"/>
  <c r="J71" i="87"/>
  <c r="V71" i="87" s="1"/>
  <c r="J70" i="87"/>
  <c r="V70" i="87" s="1"/>
  <c r="J69" i="87"/>
  <c r="V69" i="87" s="1"/>
  <c r="J68" i="87"/>
  <c r="V68" i="87" s="1"/>
  <c r="J67" i="87"/>
  <c r="V67" i="87" s="1"/>
  <c r="J66" i="87"/>
  <c r="V66" i="87" s="1"/>
  <c r="J65" i="87"/>
  <c r="V65" i="87" s="1"/>
  <c r="J64" i="87"/>
  <c r="V64" i="87" s="1"/>
  <c r="J63" i="87"/>
  <c r="V63" i="87" s="1"/>
  <c r="J62" i="87"/>
  <c r="V62" i="87" s="1"/>
  <c r="J61" i="87"/>
  <c r="V61" i="87" s="1"/>
  <c r="B61" i="87"/>
  <c r="B62" i="87" s="1"/>
  <c r="B63" i="87" s="1"/>
  <c r="B64" i="87" s="1"/>
  <c r="B65" i="87" s="1"/>
  <c r="B66" i="87" s="1"/>
  <c r="B67" i="87" s="1"/>
  <c r="B68" i="87" s="1"/>
  <c r="B69" i="87" s="1"/>
  <c r="B70" i="87" s="1"/>
  <c r="B71" i="87" s="1"/>
  <c r="B72" i="87" s="1"/>
  <c r="B73" i="87" s="1"/>
  <c r="B74" i="87" s="1"/>
  <c r="B75" i="87" s="1"/>
  <c r="B76" i="87" s="1"/>
  <c r="B77" i="87" s="1"/>
  <c r="B78" i="87" s="1"/>
  <c r="B79" i="87" s="1"/>
  <c r="B80" i="87" s="1"/>
  <c r="B81" i="87" s="1"/>
  <c r="B82" i="87" s="1"/>
  <c r="J60" i="87"/>
  <c r="V60" i="87" s="1"/>
  <c r="W51" i="87"/>
  <c r="V51" i="87"/>
  <c r="W50" i="87"/>
  <c r="V50" i="87"/>
  <c r="W49" i="87"/>
  <c r="V49" i="87"/>
  <c r="W48" i="87"/>
  <c r="V48" i="87"/>
  <c r="V45" i="87"/>
  <c r="V44" i="87"/>
  <c r="W44" i="87"/>
  <c r="V41" i="87"/>
  <c r="V40" i="87"/>
  <c r="W40" i="87"/>
  <c r="V37" i="87"/>
  <c r="V36" i="87"/>
  <c r="W36" i="87"/>
  <c r="V33" i="87"/>
  <c r="V32" i="87"/>
  <c r="W32" i="87"/>
  <c r="V29" i="87"/>
  <c r="V28" i="87"/>
  <c r="W28" i="87"/>
  <c r="V25" i="87"/>
  <c r="V24" i="87"/>
  <c r="W24" i="87"/>
  <c r="V21" i="87"/>
  <c r="V18" i="87"/>
  <c r="N16" i="87"/>
  <c r="V16" i="87"/>
  <c r="N14" i="87"/>
  <c r="V13" i="87"/>
  <c r="N12" i="87"/>
  <c r="N10" i="87"/>
  <c r="V10" i="87"/>
  <c r="N8" i="87"/>
  <c r="W8" i="87"/>
  <c r="I7" i="87"/>
  <c r="J7" i="87" s="1"/>
  <c r="B7" i="87"/>
  <c r="B8" i="87" s="1"/>
  <c r="B9" i="87" s="1"/>
  <c r="B10" i="87" s="1"/>
  <c r="B11" i="87" s="1"/>
  <c r="B12" i="87" s="1"/>
  <c r="B13" i="87" s="1"/>
  <c r="B14" i="87" s="1"/>
  <c r="B15" i="87" s="1"/>
  <c r="B16" i="87" s="1"/>
  <c r="B17" i="87" s="1"/>
  <c r="B18" i="87" s="1"/>
  <c r="B19" i="87" s="1"/>
  <c r="B20" i="87" s="1"/>
  <c r="B21" i="87" s="1"/>
  <c r="B22" i="87" s="1"/>
  <c r="B23" i="87" s="1"/>
  <c r="B24" i="87" s="1"/>
  <c r="B25" i="87" s="1"/>
  <c r="B26" i="87" s="1"/>
  <c r="B27" i="87" s="1"/>
  <c r="B28" i="87" s="1"/>
  <c r="B29" i="87" s="1"/>
  <c r="B30" i="87" s="1"/>
  <c r="B31" i="87" s="1"/>
  <c r="B32" i="87" s="1"/>
  <c r="B33" i="87" s="1"/>
  <c r="B34" i="87" s="1"/>
  <c r="B35" i="87" s="1"/>
  <c r="B36" i="87" s="1"/>
  <c r="B37" i="87" s="1"/>
  <c r="B38" i="87" s="1"/>
  <c r="B39" i="87" s="1"/>
  <c r="B40" i="87" s="1"/>
  <c r="B41" i="87" s="1"/>
  <c r="B42" i="87" s="1"/>
  <c r="B43" i="87" s="1"/>
  <c r="B44" i="87" s="1"/>
  <c r="B45" i="87" s="1"/>
  <c r="B46" i="87" s="1"/>
  <c r="B47" i="87" s="1"/>
  <c r="B48" i="87" s="1"/>
  <c r="B49" i="87" s="1"/>
  <c r="B50" i="87" s="1"/>
  <c r="B51" i="87" s="1"/>
  <c r="N6" i="87"/>
  <c r="I6" i="87"/>
  <c r="J6" i="87" s="1"/>
  <c r="N4" i="87"/>
  <c r="J47" i="86"/>
  <c r="I47" i="86"/>
  <c r="I46" i="86"/>
  <c r="J46" i="86" s="1"/>
  <c r="I45" i="86"/>
  <c r="J45" i="86" s="1"/>
  <c r="I44" i="86"/>
  <c r="J44" i="86" s="1"/>
  <c r="I43" i="86"/>
  <c r="J43" i="86" s="1"/>
  <c r="I42" i="86"/>
  <c r="J42" i="86" s="1"/>
  <c r="I41" i="86"/>
  <c r="J41" i="86" s="1"/>
  <c r="I40" i="86"/>
  <c r="J40" i="86" s="1"/>
  <c r="J39" i="86"/>
  <c r="I39" i="86"/>
  <c r="I38" i="86"/>
  <c r="J38" i="86" s="1"/>
  <c r="J185" i="86"/>
  <c r="J186" i="86"/>
  <c r="J187" i="86"/>
  <c r="J188" i="86"/>
  <c r="J189" i="86"/>
  <c r="J190" i="86"/>
  <c r="J191" i="86"/>
  <c r="J192" i="86"/>
  <c r="J193" i="86"/>
  <c r="J194" i="86"/>
  <c r="J195" i="86"/>
  <c r="J196" i="86"/>
  <c r="J197" i="86"/>
  <c r="J198" i="86"/>
  <c r="J199" i="86"/>
  <c r="W164" i="87" l="1"/>
  <c r="W237" i="87"/>
  <c r="W155" i="87"/>
  <c r="Q18" i="89"/>
  <c r="P18" i="88"/>
  <c r="Q16" i="88"/>
  <c r="R16" i="88"/>
  <c r="R8" i="88"/>
  <c r="Q8" i="88"/>
  <c r="O18" i="88"/>
  <c r="R18" i="88" s="1"/>
  <c r="P20" i="88" s="1"/>
  <c r="R4" i="88"/>
  <c r="Q4" i="88"/>
  <c r="Q12" i="88"/>
  <c r="R12" i="88"/>
  <c r="W229" i="87"/>
  <c r="W167" i="87"/>
  <c r="W233" i="87"/>
  <c r="W105" i="87"/>
  <c r="W221" i="87"/>
  <c r="W225" i="87"/>
  <c r="W100" i="87"/>
  <c r="W97" i="87"/>
  <c r="W217" i="87"/>
  <c r="W92" i="87"/>
  <c r="W93" i="87"/>
  <c r="W96" i="87"/>
  <c r="W101" i="87"/>
  <c r="W104" i="87"/>
  <c r="W113" i="87"/>
  <c r="W175" i="87"/>
  <c r="W216" i="87"/>
  <c r="W220" i="87"/>
  <c r="W224" i="87"/>
  <c r="W228" i="87"/>
  <c r="W232" i="87"/>
  <c r="W236" i="87"/>
  <c r="W160" i="87"/>
  <c r="V163" i="87"/>
  <c r="V219" i="87"/>
  <c r="V223" i="87"/>
  <c r="V227" i="87"/>
  <c r="V231" i="87"/>
  <c r="V235" i="87"/>
  <c r="W215" i="87"/>
  <c r="W91" i="87"/>
  <c r="J238" i="87"/>
  <c r="W218" i="87"/>
  <c r="W222" i="87"/>
  <c r="W226" i="87"/>
  <c r="W230" i="87"/>
  <c r="W234" i="87"/>
  <c r="W156" i="87"/>
  <c r="V159" i="87"/>
  <c r="W172" i="87"/>
  <c r="W171" i="87"/>
  <c r="J176" i="87"/>
  <c r="W168" i="87"/>
  <c r="V153" i="87"/>
  <c r="V154" i="87"/>
  <c r="V158" i="87"/>
  <c r="V162" i="87"/>
  <c r="V166" i="87"/>
  <c r="V170" i="87"/>
  <c r="V174" i="87"/>
  <c r="W157" i="87"/>
  <c r="W161" i="87"/>
  <c r="W165" i="87"/>
  <c r="W169" i="87"/>
  <c r="W173" i="87"/>
  <c r="W153" i="87"/>
  <c r="V95" i="87"/>
  <c r="V99" i="87"/>
  <c r="V103" i="87"/>
  <c r="V107" i="87"/>
  <c r="W109" i="87"/>
  <c r="V111" i="87"/>
  <c r="W94" i="87"/>
  <c r="W98" i="87"/>
  <c r="W102" i="87"/>
  <c r="W106" i="87"/>
  <c r="W110" i="87"/>
  <c r="W108" i="87"/>
  <c r="W112" i="87"/>
  <c r="J114" i="87"/>
  <c r="V83" i="87"/>
  <c r="O6" i="87" s="1"/>
  <c r="R6" i="87" s="1"/>
  <c r="W15" i="87"/>
  <c r="V15" i="87"/>
  <c r="V9" i="87"/>
  <c r="W9" i="87"/>
  <c r="W12" i="87"/>
  <c r="V12" i="87"/>
  <c r="W7" i="87"/>
  <c r="V7" i="87"/>
  <c r="W22" i="87"/>
  <c r="V22" i="87"/>
  <c r="V27" i="87"/>
  <c r="W27" i="87"/>
  <c r="V43" i="87"/>
  <c r="W43" i="87"/>
  <c r="V26" i="87"/>
  <c r="W26" i="87"/>
  <c r="V31" i="87"/>
  <c r="W31" i="87"/>
  <c r="V42" i="87"/>
  <c r="W42" i="87"/>
  <c r="W47" i="87"/>
  <c r="V47" i="87"/>
  <c r="V145" i="87"/>
  <c r="O10" i="87" s="1"/>
  <c r="R10" i="87" s="1"/>
  <c r="J52" i="87"/>
  <c r="V6" i="87"/>
  <c r="W6" i="87"/>
  <c r="V19" i="87"/>
  <c r="W19" i="87"/>
  <c r="V38" i="87"/>
  <c r="W38" i="87"/>
  <c r="V30" i="87"/>
  <c r="W30" i="87"/>
  <c r="W35" i="87"/>
  <c r="V35" i="87"/>
  <c r="V46" i="87"/>
  <c r="W46" i="87"/>
  <c r="V207" i="87"/>
  <c r="O14" i="87" s="1"/>
  <c r="R14" i="87" s="1"/>
  <c r="V11" i="87"/>
  <c r="W11" i="87"/>
  <c r="V14" i="87"/>
  <c r="W14" i="87"/>
  <c r="V17" i="87"/>
  <c r="W17" i="87"/>
  <c r="W20" i="87"/>
  <c r="V20" i="87"/>
  <c r="V23" i="87"/>
  <c r="W23" i="87"/>
  <c r="V34" i="87"/>
  <c r="W34" i="87"/>
  <c r="W39" i="87"/>
  <c r="V39" i="87"/>
  <c r="N18" i="87"/>
  <c r="W16" i="87"/>
  <c r="J145" i="87"/>
  <c r="J207" i="87"/>
  <c r="J83" i="87"/>
  <c r="V8" i="87"/>
  <c r="W10" i="87"/>
  <c r="W13" i="87"/>
  <c r="W18" i="87"/>
  <c r="W21" i="87"/>
  <c r="W25" i="87"/>
  <c r="W29" i="87"/>
  <c r="W33" i="87"/>
  <c r="W37" i="87"/>
  <c r="W41" i="87"/>
  <c r="W45" i="87"/>
  <c r="W60" i="87"/>
  <c r="W61" i="87"/>
  <c r="W62" i="87"/>
  <c r="W63" i="87"/>
  <c r="W64" i="87"/>
  <c r="W65" i="87"/>
  <c r="W66" i="87"/>
  <c r="W67" i="87"/>
  <c r="W68" i="87"/>
  <c r="W69" i="87"/>
  <c r="W70" i="87"/>
  <c r="W71" i="87"/>
  <c r="W72" i="87"/>
  <c r="W73" i="87"/>
  <c r="W74" i="87"/>
  <c r="W75" i="87"/>
  <c r="W76" i="87"/>
  <c r="W77" i="87"/>
  <c r="W78" i="87"/>
  <c r="W79" i="87"/>
  <c r="W80" i="87"/>
  <c r="W81" i="87"/>
  <c r="W82" i="87"/>
  <c r="W122" i="87"/>
  <c r="W123" i="87"/>
  <c r="W124" i="87"/>
  <c r="W125" i="87"/>
  <c r="W126" i="87"/>
  <c r="W127" i="87"/>
  <c r="W128" i="87"/>
  <c r="W129" i="87"/>
  <c r="W130" i="87"/>
  <c r="W131" i="87"/>
  <c r="W132" i="87"/>
  <c r="W133" i="87"/>
  <c r="W134" i="87"/>
  <c r="W135" i="87"/>
  <c r="W136" i="87"/>
  <c r="W137" i="87"/>
  <c r="W138" i="87"/>
  <c r="W139" i="87"/>
  <c r="W140" i="87"/>
  <c r="W141" i="87"/>
  <c r="W142" i="87"/>
  <c r="W143" i="87"/>
  <c r="W144" i="87"/>
  <c r="W184" i="87"/>
  <c r="W185" i="87"/>
  <c r="W186" i="87"/>
  <c r="W187" i="87"/>
  <c r="W188" i="87"/>
  <c r="W189" i="87"/>
  <c r="W190" i="87"/>
  <c r="W191" i="87"/>
  <c r="W192" i="87"/>
  <c r="W193" i="87"/>
  <c r="W194" i="87"/>
  <c r="W195" i="87"/>
  <c r="W196" i="87"/>
  <c r="W197" i="87"/>
  <c r="W198" i="87"/>
  <c r="W199" i="87"/>
  <c r="W200" i="87"/>
  <c r="W201" i="87"/>
  <c r="W202" i="87"/>
  <c r="W203" i="87"/>
  <c r="W204" i="87"/>
  <c r="W205" i="87"/>
  <c r="W206" i="87"/>
  <c r="I37" i="86"/>
  <c r="J37" i="86" s="1"/>
  <c r="I36" i="86"/>
  <c r="J36" i="86" s="1"/>
  <c r="J200" i="86"/>
  <c r="J201" i="86"/>
  <c r="J202" i="86"/>
  <c r="J203" i="86"/>
  <c r="I35" i="86"/>
  <c r="J35" i="86" s="1"/>
  <c r="I34" i="86"/>
  <c r="J34" i="86" s="1"/>
  <c r="I33" i="86"/>
  <c r="J33" i="86" s="1"/>
  <c r="I32" i="86"/>
  <c r="J32" i="86" s="1"/>
  <c r="I31" i="86"/>
  <c r="J31" i="86" s="1"/>
  <c r="I30" i="86"/>
  <c r="J30" i="86" s="1"/>
  <c r="I29" i="86"/>
  <c r="J29" i="86" s="1"/>
  <c r="I28" i="86"/>
  <c r="J28" i="86" s="1"/>
  <c r="I27" i="86"/>
  <c r="J27" i="86" s="1"/>
  <c r="I26" i="86"/>
  <c r="J26" i="86" s="1"/>
  <c r="I25" i="86"/>
  <c r="J25" i="86" s="1"/>
  <c r="I24" i="86"/>
  <c r="J24" i="86" s="1"/>
  <c r="I23" i="86"/>
  <c r="J23" i="86" s="1"/>
  <c r="I22" i="86"/>
  <c r="J22" i="86" s="1"/>
  <c r="I21" i="86"/>
  <c r="J21" i="86" s="1"/>
  <c r="I20" i="86"/>
  <c r="J20" i="86" s="1"/>
  <c r="I19" i="86"/>
  <c r="J19" i="86" s="1"/>
  <c r="I18" i="86"/>
  <c r="J18" i="86" s="1"/>
  <c r="I17" i="86"/>
  <c r="J17" i="86" s="1"/>
  <c r="I16" i="86"/>
  <c r="J16" i="86" s="1"/>
  <c r="I15" i="86"/>
  <c r="J15" i="86" s="1"/>
  <c r="I14" i="86"/>
  <c r="J14" i="86" s="1"/>
  <c r="I13" i="86"/>
  <c r="J13" i="86" s="1"/>
  <c r="I12" i="86"/>
  <c r="J12" i="86" s="1"/>
  <c r="Q18" i="88" l="1"/>
  <c r="V238" i="87"/>
  <c r="O16" i="87" s="1"/>
  <c r="R16" i="87" s="1"/>
  <c r="V114" i="87"/>
  <c r="O8" i="87" s="1"/>
  <c r="R8" i="87" s="1"/>
  <c r="W238" i="87"/>
  <c r="P16" i="87" s="1"/>
  <c r="V176" i="87"/>
  <c r="O12" i="87" s="1"/>
  <c r="W176" i="87"/>
  <c r="P12" i="87" s="1"/>
  <c r="W114" i="87"/>
  <c r="P8" i="87" s="1"/>
  <c r="W52" i="87"/>
  <c r="P4" i="87" s="1"/>
  <c r="W207" i="87"/>
  <c r="P14" i="87" s="1"/>
  <c r="Q14" i="87" s="1"/>
  <c r="W145" i="87"/>
  <c r="P10" i="87" s="1"/>
  <c r="Q10" i="87" s="1"/>
  <c r="W83" i="87"/>
  <c r="P6" i="87" s="1"/>
  <c r="Q6" i="87" s="1"/>
  <c r="V52" i="87"/>
  <c r="O4" i="87" s="1"/>
  <c r="I10" i="86"/>
  <c r="J10" i="86" s="1"/>
  <c r="I11" i="86"/>
  <c r="J11" i="86" s="1"/>
  <c r="V11" i="86" s="1"/>
  <c r="I8" i="86"/>
  <c r="J8" i="86" s="1"/>
  <c r="V8" i="86" s="1"/>
  <c r="I9" i="86"/>
  <c r="J9" i="86" s="1"/>
  <c r="J237" i="86"/>
  <c r="W237" i="86" s="1"/>
  <c r="J236" i="86"/>
  <c r="W236" i="86" s="1"/>
  <c r="J235" i="86"/>
  <c r="W235" i="86" s="1"/>
  <c r="J234" i="86"/>
  <c r="W234" i="86" s="1"/>
  <c r="J233" i="86"/>
  <c r="W233" i="86" s="1"/>
  <c r="J232" i="86"/>
  <c r="W232" i="86" s="1"/>
  <c r="J231" i="86"/>
  <c r="W231" i="86" s="1"/>
  <c r="J230" i="86"/>
  <c r="W230" i="86" s="1"/>
  <c r="J229" i="86"/>
  <c r="W229" i="86" s="1"/>
  <c r="J228" i="86"/>
  <c r="W228" i="86" s="1"/>
  <c r="J227" i="86"/>
  <c r="W227" i="86" s="1"/>
  <c r="J226" i="86"/>
  <c r="W226" i="86" s="1"/>
  <c r="J225" i="86"/>
  <c r="W225" i="86" s="1"/>
  <c r="J224" i="86"/>
  <c r="W224" i="86" s="1"/>
  <c r="J223" i="86"/>
  <c r="W223" i="86" s="1"/>
  <c r="J222" i="86"/>
  <c r="W222" i="86" s="1"/>
  <c r="J221" i="86"/>
  <c r="W221" i="86" s="1"/>
  <c r="J220" i="86"/>
  <c r="W220" i="86" s="1"/>
  <c r="J219" i="86"/>
  <c r="W219" i="86" s="1"/>
  <c r="J218" i="86"/>
  <c r="W218" i="86" s="1"/>
  <c r="J217" i="86"/>
  <c r="W217" i="86" s="1"/>
  <c r="J216" i="86"/>
  <c r="W216" i="86" s="1"/>
  <c r="B216" i="86"/>
  <c r="B217" i="86" s="1"/>
  <c r="B218" i="86" s="1"/>
  <c r="B219" i="86" s="1"/>
  <c r="B220" i="86" s="1"/>
  <c r="B221" i="86" s="1"/>
  <c r="B222" i="86" s="1"/>
  <c r="B223" i="86" s="1"/>
  <c r="B224" i="86" s="1"/>
  <c r="B225" i="86" s="1"/>
  <c r="B226" i="86" s="1"/>
  <c r="B227" i="86" s="1"/>
  <c r="B228" i="86" s="1"/>
  <c r="B229" i="86" s="1"/>
  <c r="B230" i="86" s="1"/>
  <c r="B231" i="86" s="1"/>
  <c r="B232" i="86" s="1"/>
  <c r="B233" i="86" s="1"/>
  <c r="B234" i="86" s="1"/>
  <c r="B235" i="86" s="1"/>
  <c r="B236" i="86" s="1"/>
  <c r="B237" i="86" s="1"/>
  <c r="J215" i="86"/>
  <c r="W215" i="86" s="1"/>
  <c r="J206" i="86"/>
  <c r="V206" i="86" s="1"/>
  <c r="J205" i="86"/>
  <c r="V205" i="86" s="1"/>
  <c r="J204" i="86"/>
  <c r="V204" i="86" s="1"/>
  <c r="V203" i="86"/>
  <c r="V202" i="86"/>
  <c r="V201" i="86"/>
  <c r="V200" i="86"/>
  <c r="V199" i="86"/>
  <c r="V198" i="86"/>
  <c r="V197" i="86"/>
  <c r="V196" i="86"/>
  <c r="V195" i="86"/>
  <c r="V194" i="86"/>
  <c r="V193" i="86"/>
  <c r="V192" i="86"/>
  <c r="V191" i="86"/>
  <c r="V190" i="86"/>
  <c r="V189" i="86"/>
  <c r="V188" i="86"/>
  <c r="V187" i="86"/>
  <c r="V186" i="86"/>
  <c r="V185" i="86"/>
  <c r="B185" i="86"/>
  <c r="B186" i="86" s="1"/>
  <c r="B187" i="86" s="1"/>
  <c r="B188" i="86" s="1"/>
  <c r="B189" i="86" s="1"/>
  <c r="B190" i="86" s="1"/>
  <c r="B191" i="86" s="1"/>
  <c r="B192" i="86" s="1"/>
  <c r="B193" i="86" s="1"/>
  <c r="B194" i="86" s="1"/>
  <c r="B195" i="86" s="1"/>
  <c r="B196" i="86" s="1"/>
  <c r="B197" i="86" s="1"/>
  <c r="B198" i="86" s="1"/>
  <c r="B199" i="86" s="1"/>
  <c r="B200" i="86" s="1"/>
  <c r="B201" i="86" s="1"/>
  <c r="B202" i="86" s="1"/>
  <c r="B203" i="86" s="1"/>
  <c r="B204" i="86" s="1"/>
  <c r="B205" i="86" s="1"/>
  <c r="B206" i="86" s="1"/>
  <c r="J184" i="86"/>
  <c r="V184" i="86" s="1"/>
  <c r="J175" i="86"/>
  <c r="W175" i="86" s="1"/>
  <c r="J174" i="86"/>
  <c r="W174" i="86" s="1"/>
  <c r="J173" i="86"/>
  <c r="W173" i="86" s="1"/>
  <c r="J172" i="86"/>
  <c r="W172" i="86" s="1"/>
  <c r="J171" i="86"/>
  <c r="W171" i="86" s="1"/>
  <c r="J170" i="86"/>
  <c r="W170" i="86" s="1"/>
  <c r="J169" i="86"/>
  <c r="W169" i="86" s="1"/>
  <c r="J168" i="86"/>
  <c r="W168" i="86" s="1"/>
  <c r="J167" i="86"/>
  <c r="W167" i="86" s="1"/>
  <c r="J166" i="86"/>
  <c r="W166" i="86" s="1"/>
  <c r="J165" i="86"/>
  <c r="W165" i="86" s="1"/>
  <c r="J164" i="86"/>
  <c r="W164" i="86" s="1"/>
  <c r="J163" i="86"/>
  <c r="W163" i="86" s="1"/>
  <c r="J162" i="86"/>
  <c r="W162" i="86" s="1"/>
  <c r="J161" i="86"/>
  <c r="W161" i="86" s="1"/>
  <c r="J160" i="86"/>
  <c r="W160" i="86" s="1"/>
  <c r="J159" i="86"/>
  <c r="W159" i="86" s="1"/>
  <c r="J158" i="86"/>
  <c r="W158" i="86" s="1"/>
  <c r="J157" i="86"/>
  <c r="W157" i="86" s="1"/>
  <c r="J156" i="86"/>
  <c r="W156" i="86" s="1"/>
  <c r="J155" i="86"/>
  <c r="W155" i="86" s="1"/>
  <c r="J154" i="86"/>
  <c r="W154" i="86" s="1"/>
  <c r="B154" i="86"/>
  <c r="B155" i="86" s="1"/>
  <c r="B156" i="86" s="1"/>
  <c r="B157" i="86" s="1"/>
  <c r="B158" i="86" s="1"/>
  <c r="B159" i="86" s="1"/>
  <c r="B160" i="86" s="1"/>
  <c r="B161" i="86" s="1"/>
  <c r="B162" i="86" s="1"/>
  <c r="B163" i="86" s="1"/>
  <c r="B164" i="86" s="1"/>
  <c r="B165" i="86" s="1"/>
  <c r="B166" i="86" s="1"/>
  <c r="B167" i="86" s="1"/>
  <c r="B168" i="86" s="1"/>
  <c r="B169" i="86" s="1"/>
  <c r="B170" i="86" s="1"/>
  <c r="B171" i="86" s="1"/>
  <c r="B172" i="86" s="1"/>
  <c r="B173" i="86" s="1"/>
  <c r="B174" i="86" s="1"/>
  <c r="B175" i="86" s="1"/>
  <c r="J153" i="86"/>
  <c r="W153" i="86" s="1"/>
  <c r="J144" i="86"/>
  <c r="V144" i="86" s="1"/>
  <c r="J143" i="86"/>
  <c r="V143" i="86" s="1"/>
  <c r="J142" i="86"/>
  <c r="V142" i="86" s="1"/>
  <c r="J141" i="86"/>
  <c r="V141" i="86" s="1"/>
  <c r="J140" i="86"/>
  <c r="V140" i="86" s="1"/>
  <c r="J139" i="86"/>
  <c r="V139" i="86" s="1"/>
  <c r="J138" i="86"/>
  <c r="V138" i="86" s="1"/>
  <c r="J137" i="86"/>
  <c r="V137" i="86" s="1"/>
  <c r="J136" i="86"/>
  <c r="V136" i="86" s="1"/>
  <c r="J135" i="86"/>
  <c r="V135" i="86" s="1"/>
  <c r="J134" i="86"/>
  <c r="V134" i="86" s="1"/>
  <c r="J133" i="86"/>
  <c r="V133" i="86" s="1"/>
  <c r="J132" i="86"/>
  <c r="V132" i="86" s="1"/>
  <c r="J131" i="86"/>
  <c r="V131" i="86" s="1"/>
  <c r="J130" i="86"/>
  <c r="V130" i="86" s="1"/>
  <c r="J129" i="86"/>
  <c r="V129" i="86" s="1"/>
  <c r="J128" i="86"/>
  <c r="V128" i="86" s="1"/>
  <c r="J127" i="86"/>
  <c r="V127" i="86" s="1"/>
  <c r="J126" i="86"/>
  <c r="V126" i="86" s="1"/>
  <c r="J125" i="86"/>
  <c r="V125" i="86" s="1"/>
  <c r="J124" i="86"/>
  <c r="V124" i="86" s="1"/>
  <c r="J123" i="86"/>
  <c r="V123" i="86" s="1"/>
  <c r="B123" i="86"/>
  <c r="B124" i="86" s="1"/>
  <c r="B125" i="86" s="1"/>
  <c r="B126" i="86" s="1"/>
  <c r="B127" i="86" s="1"/>
  <c r="B128" i="86" s="1"/>
  <c r="B129" i="86" s="1"/>
  <c r="B130" i="86" s="1"/>
  <c r="B131" i="86" s="1"/>
  <c r="B132" i="86" s="1"/>
  <c r="B133" i="86" s="1"/>
  <c r="B134" i="86" s="1"/>
  <c r="B135" i="86" s="1"/>
  <c r="B136" i="86" s="1"/>
  <c r="B137" i="86" s="1"/>
  <c r="B138" i="86" s="1"/>
  <c r="B139" i="86" s="1"/>
  <c r="B140" i="86" s="1"/>
  <c r="B141" i="86" s="1"/>
  <c r="B142" i="86" s="1"/>
  <c r="B143" i="86" s="1"/>
  <c r="B144" i="86" s="1"/>
  <c r="J122" i="86"/>
  <c r="V122" i="86" s="1"/>
  <c r="J113" i="86"/>
  <c r="W113" i="86" s="1"/>
  <c r="J112" i="86"/>
  <c r="W112" i="86" s="1"/>
  <c r="J111" i="86"/>
  <c r="W111" i="86" s="1"/>
  <c r="J110" i="86"/>
  <c r="W110" i="86" s="1"/>
  <c r="J109" i="86"/>
  <c r="W109" i="86" s="1"/>
  <c r="J108" i="86"/>
  <c r="W108" i="86" s="1"/>
  <c r="J107" i="86"/>
  <c r="W107" i="86" s="1"/>
  <c r="J106" i="86"/>
  <c r="W106" i="86" s="1"/>
  <c r="J105" i="86"/>
  <c r="W105" i="86" s="1"/>
  <c r="J104" i="86"/>
  <c r="W104" i="86" s="1"/>
  <c r="J103" i="86"/>
  <c r="W103" i="86" s="1"/>
  <c r="J102" i="86"/>
  <c r="W102" i="86" s="1"/>
  <c r="J101" i="86"/>
  <c r="W101" i="86" s="1"/>
  <c r="J100" i="86"/>
  <c r="W100" i="86" s="1"/>
  <c r="J99" i="86"/>
  <c r="W99" i="86" s="1"/>
  <c r="J98" i="86"/>
  <c r="W98" i="86" s="1"/>
  <c r="J97" i="86"/>
  <c r="W97" i="86" s="1"/>
  <c r="J96" i="86"/>
  <c r="W96" i="86" s="1"/>
  <c r="J95" i="86"/>
  <c r="W95" i="86" s="1"/>
  <c r="J94" i="86"/>
  <c r="W94" i="86" s="1"/>
  <c r="J93" i="86"/>
  <c r="W93" i="86" s="1"/>
  <c r="J92" i="86"/>
  <c r="W92" i="86" s="1"/>
  <c r="B92" i="86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B103" i="86" s="1"/>
  <c r="B104" i="86" s="1"/>
  <c r="B105" i="86" s="1"/>
  <c r="B106" i="86" s="1"/>
  <c r="B107" i="86" s="1"/>
  <c r="B108" i="86" s="1"/>
  <c r="B109" i="86" s="1"/>
  <c r="B110" i="86" s="1"/>
  <c r="B111" i="86" s="1"/>
  <c r="B112" i="86" s="1"/>
  <c r="B113" i="86" s="1"/>
  <c r="J91" i="86"/>
  <c r="W91" i="86" s="1"/>
  <c r="J82" i="86"/>
  <c r="V82" i="86" s="1"/>
  <c r="J81" i="86"/>
  <c r="V81" i="86" s="1"/>
  <c r="J80" i="86"/>
  <c r="V80" i="86" s="1"/>
  <c r="J79" i="86"/>
  <c r="V79" i="86" s="1"/>
  <c r="J78" i="86"/>
  <c r="V78" i="86" s="1"/>
  <c r="J77" i="86"/>
  <c r="V77" i="86" s="1"/>
  <c r="J76" i="86"/>
  <c r="V76" i="86" s="1"/>
  <c r="J75" i="86"/>
  <c r="V75" i="86" s="1"/>
  <c r="J74" i="86"/>
  <c r="V74" i="86" s="1"/>
  <c r="J73" i="86"/>
  <c r="V73" i="86" s="1"/>
  <c r="J72" i="86"/>
  <c r="V72" i="86" s="1"/>
  <c r="J71" i="86"/>
  <c r="V71" i="86" s="1"/>
  <c r="J70" i="86"/>
  <c r="V70" i="86" s="1"/>
  <c r="J69" i="86"/>
  <c r="V69" i="86" s="1"/>
  <c r="J68" i="86"/>
  <c r="V68" i="86" s="1"/>
  <c r="J67" i="86"/>
  <c r="V67" i="86" s="1"/>
  <c r="J66" i="86"/>
  <c r="V66" i="86" s="1"/>
  <c r="J65" i="86"/>
  <c r="V65" i="86" s="1"/>
  <c r="J64" i="86"/>
  <c r="V64" i="86" s="1"/>
  <c r="J63" i="86"/>
  <c r="V63" i="86" s="1"/>
  <c r="J62" i="86"/>
  <c r="V62" i="86" s="1"/>
  <c r="J61" i="86"/>
  <c r="V61" i="86" s="1"/>
  <c r="B61" i="86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J60" i="86"/>
  <c r="V60" i="86" s="1"/>
  <c r="W51" i="86"/>
  <c r="V51" i="86"/>
  <c r="W50" i="86"/>
  <c r="V50" i="86"/>
  <c r="W49" i="86"/>
  <c r="V49" i="86"/>
  <c r="W48" i="86"/>
  <c r="V48" i="86"/>
  <c r="W47" i="86"/>
  <c r="V47" i="86"/>
  <c r="W46" i="86"/>
  <c r="V46" i="86"/>
  <c r="W45" i="86"/>
  <c r="V45" i="86"/>
  <c r="W44" i="86"/>
  <c r="V44" i="86"/>
  <c r="W43" i="86"/>
  <c r="V43" i="86"/>
  <c r="V42" i="86"/>
  <c r="V41" i="86"/>
  <c r="W41" i="86"/>
  <c r="V38" i="86"/>
  <c r="V37" i="86"/>
  <c r="W37" i="86"/>
  <c r="V34" i="86"/>
  <c r="V33" i="86"/>
  <c r="W33" i="86"/>
  <c r="V30" i="86"/>
  <c r="V29" i="86"/>
  <c r="W29" i="86"/>
  <c r="V26" i="86"/>
  <c r="V25" i="86"/>
  <c r="W25" i="86"/>
  <c r="V22" i="86"/>
  <c r="V21" i="86"/>
  <c r="W21" i="86"/>
  <c r="V19" i="86"/>
  <c r="N16" i="86"/>
  <c r="V16" i="86"/>
  <c r="N14" i="86"/>
  <c r="V14" i="86"/>
  <c r="W13" i="86"/>
  <c r="N12" i="86"/>
  <c r="N10" i="86"/>
  <c r="N8" i="86"/>
  <c r="I7" i="86"/>
  <c r="J7" i="86" s="1"/>
  <c r="B7" i="86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4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7" i="86" s="1"/>
  <c r="B48" i="86" s="1"/>
  <c r="B49" i="86" s="1"/>
  <c r="B50" i="86" s="1"/>
  <c r="B51" i="86" s="1"/>
  <c r="N6" i="86"/>
  <c r="I6" i="86"/>
  <c r="J6" i="86" s="1"/>
  <c r="W6" i="86" s="1"/>
  <c r="N4" i="86"/>
  <c r="I42" i="85"/>
  <c r="J42" i="85" s="1"/>
  <c r="I41" i="85"/>
  <c r="J41" i="85" s="1"/>
  <c r="I40" i="85"/>
  <c r="J40" i="85" s="1"/>
  <c r="I39" i="85"/>
  <c r="J39" i="85" s="1"/>
  <c r="I38" i="85"/>
  <c r="J38" i="85" s="1"/>
  <c r="I37" i="85"/>
  <c r="J37" i="85" s="1"/>
  <c r="J36" i="85"/>
  <c r="I36" i="85"/>
  <c r="I35" i="85"/>
  <c r="J35" i="85" s="1"/>
  <c r="I34" i="85"/>
  <c r="J34" i="85" s="1"/>
  <c r="I33" i="85"/>
  <c r="J33" i="85" s="1"/>
  <c r="I32" i="85"/>
  <c r="J32" i="85" s="1"/>
  <c r="V91" i="86" l="1"/>
  <c r="W81" i="86"/>
  <c r="V101" i="86"/>
  <c r="V174" i="86"/>
  <c r="W82" i="86"/>
  <c r="V237" i="86"/>
  <c r="Q8" i="87"/>
  <c r="Q16" i="87"/>
  <c r="P18" i="87"/>
  <c r="R12" i="87"/>
  <c r="Q12" i="87"/>
  <c r="O18" i="87"/>
  <c r="R18" i="87" s="1"/>
  <c r="P20" i="87" s="1"/>
  <c r="R4" i="87"/>
  <c r="Q4" i="87"/>
  <c r="W204" i="86"/>
  <c r="W80" i="86"/>
  <c r="W79" i="86"/>
  <c r="V232" i="86"/>
  <c r="W75" i="86"/>
  <c r="V173" i="86"/>
  <c r="V175" i="86"/>
  <c r="W132" i="86"/>
  <c r="W138" i="86"/>
  <c r="V110" i="86"/>
  <c r="V112" i="86"/>
  <c r="W122" i="86"/>
  <c r="W124" i="86"/>
  <c r="W143" i="86"/>
  <c r="W77" i="86"/>
  <c r="V109" i="86"/>
  <c r="V111" i="86"/>
  <c r="V113" i="86"/>
  <c r="W136" i="86"/>
  <c r="W142" i="86"/>
  <c r="W144" i="86"/>
  <c r="W205" i="86"/>
  <c r="W202" i="86"/>
  <c r="W203" i="86"/>
  <c r="W194" i="86"/>
  <c r="W200" i="86"/>
  <c r="W206" i="86"/>
  <c r="W73" i="86"/>
  <c r="W71" i="86"/>
  <c r="W192" i="86"/>
  <c r="W69" i="86"/>
  <c r="V235" i="86"/>
  <c r="V224" i="86"/>
  <c r="V236" i="86"/>
  <c r="W67" i="86"/>
  <c r="W128" i="86"/>
  <c r="W65" i="86"/>
  <c r="W63" i="86"/>
  <c r="V93" i="86"/>
  <c r="W61" i="86"/>
  <c r="V153" i="86"/>
  <c r="W60" i="86"/>
  <c r="J83" i="86"/>
  <c r="W62" i="86"/>
  <c r="W64" i="86"/>
  <c r="W66" i="86"/>
  <c r="W68" i="86"/>
  <c r="W70" i="86"/>
  <c r="W72" i="86"/>
  <c r="W74" i="86"/>
  <c r="W76" i="86"/>
  <c r="W78" i="86"/>
  <c r="V97" i="86"/>
  <c r="V105" i="86"/>
  <c r="V99" i="86"/>
  <c r="V107" i="86"/>
  <c r="V95" i="86"/>
  <c r="V103" i="86"/>
  <c r="V92" i="86"/>
  <c r="V94" i="86"/>
  <c r="V96" i="86"/>
  <c r="V98" i="86"/>
  <c r="V100" i="86"/>
  <c r="V102" i="86"/>
  <c r="V104" i="86"/>
  <c r="V106" i="86"/>
  <c r="V108" i="86"/>
  <c r="W130" i="86"/>
  <c r="W140" i="86"/>
  <c r="W126" i="86"/>
  <c r="W134" i="86"/>
  <c r="W141" i="86"/>
  <c r="V145" i="86"/>
  <c r="O10" i="86" s="1"/>
  <c r="R10" i="86" s="1"/>
  <c r="W123" i="86"/>
  <c r="W125" i="86"/>
  <c r="W127" i="86"/>
  <c r="W129" i="86"/>
  <c r="W131" i="86"/>
  <c r="W133" i="86"/>
  <c r="W135" i="86"/>
  <c r="W137" i="86"/>
  <c r="W139" i="86"/>
  <c r="J145" i="86"/>
  <c r="V155" i="86"/>
  <c r="V157" i="86"/>
  <c r="V159" i="86"/>
  <c r="V161" i="86"/>
  <c r="V163" i="86"/>
  <c r="V165" i="86"/>
  <c r="V167" i="86"/>
  <c r="V169" i="86"/>
  <c r="V171" i="86"/>
  <c r="W176" i="86"/>
  <c r="P12" i="86" s="1"/>
  <c r="V154" i="86"/>
  <c r="V156" i="86"/>
  <c r="V158" i="86"/>
  <c r="V160" i="86"/>
  <c r="V162" i="86"/>
  <c r="V164" i="86"/>
  <c r="V166" i="86"/>
  <c r="V168" i="86"/>
  <c r="V170" i="86"/>
  <c r="V172" i="86"/>
  <c r="W184" i="86"/>
  <c r="W186" i="86"/>
  <c r="W188" i="86"/>
  <c r="W196" i="86"/>
  <c r="W190" i="86"/>
  <c r="W198" i="86"/>
  <c r="W185" i="86"/>
  <c r="W187" i="86"/>
  <c r="W189" i="86"/>
  <c r="W191" i="86"/>
  <c r="W193" i="86"/>
  <c r="W195" i="86"/>
  <c r="W197" i="86"/>
  <c r="W199" i="86"/>
  <c r="W201" i="86"/>
  <c r="J207" i="86"/>
  <c r="V226" i="86"/>
  <c r="V228" i="86"/>
  <c r="V234" i="86"/>
  <c r="V215" i="86"/>
  <c r="V217" i="86"/>
  <c r="V219" i="86"/>
  <c r="V221" i="86"/>
  <c r="V223" i="86"/>
  <c r="V225" i="86"/>
  <c r="V227" i="86"/>
  <c r="V229" i="86"/>
  <c r="V231" i="86"/>
  <c r="V233" i="86"/>
  <c r="V216" i="86"/>
  <c r="V218" i="86"/>
  <c r="V220" i="86"/>
  <c r="V222" i="86"/>
  <c r="V230" i="86"/>
  <c r="N18" i="86"/>
  <c r="V13" i="86"/>
  <c r="V15" i="86"/>
  <c r="W15" i="86"/>
  <c r="V17" i="86"/>
  <c r="W17" i="86"/>
  <c r="W31" i="86"/>
  <c r="V31" i="86"/>
  <c r="V9" i="86"/>
  <c r="W9" i="86"/>
  <c r="W24" i="86"/>
  <c r="V24" i="86"/>
  <c r="W35" i="86"/>
  <c r="V35" i="86"/>
  <c r="V40" i="86"/>
  <c r="W40" i="86"/>
  <c r="V83" i="86"/>
  <c r="O6" i="86" s="1"/>
  <c r="W114" i="86"/>
  <c r="P8" i="86" s="1"/>
  <c r="V12" i="86"/>
  <c r="W12" i="86"/>
  <c r="W20" i="86"/>
  <c r="V20" i="86"/>
  <c r="W36" i="86"/>
  <c r="V36" i="86"/>
  <c r="W7" i="86"/>
  <c r="V7" i="86"/>
  <c r="V23" i="86"/>
  <c r="W23" i="86"/>
  <c r="V28" i="86"/>
  <c r="W28" i="86"/>
  <c r="V39" i="86"/>
  <c r="W39" i="86"/>
  <c r="W18" i="86"/>
  <c r="V18" i="86"/>
  <c r="V27" i="86"/>
  <c r="W27" i="86"/>
  <c r="V32" i="86"/>
  <c r="W32" i="86"/>
  <c r="V207" i="86"/>
  <c r="O14" i="86" s="1"/>
  <c r="W238" i="86"/>
  <c r="P16" i="86" s="1"/>
  <c r="W10" i="86"/>
  <c r="V10" i="86"/>
  <c r="W14" i="86"/>
  <c r="V6" i="86"/>
  <c r="W8" i="86"/>
  <c r="W11" i="86"/>
  <c r="W16" i="86"/>
  <c r="W19" i="86"/>
  <c r="W22" i="86"/>
  <c r="W26" i="86"/>
  <c r="W30" i="86"/>
  <c r="W34" i="86"/>
  <c r="W38" i="86"/>
  <c r="W42" i="86"/>
  <c r="J52" i="86"/>
  <c r="J114" i="86"/>
  <c r="J176" i="86"/>
  <c r="J238" i="86"/>
  <c r="I31" i="85"/>
  <c r="J31" i="85" s="1"/>
  <c r="J30" i="85"/>
  <c r="I30" i="85"/>
  <c r="I29" i="85"/>
  <c r="J29" i="85" s="1"/>
  <c r="V29" i="85" s="1"/>
  <c r="I28" i="85"/>
  <c r="J28" i="85" s="1"/>
  <c r="W28" i="85" s="1"/>
  <c r="I27" i="85"/>
  <c r="J27" i="85" s="1"/>
  <c r="I26" i="85"/>
  <c r="J26" i="85" s="1"/>
  <c r="I25" i="85"/>
  <c r="J25" i="85" s="1"/>
  <c r="V25" i="85" s="1"/>
  <c r="I24" i="85"/>
  <c r="J24" i="85" s="1"/>
  <c r="V24" i="85" s="1"/>
  <c r="I23" i="85"/>
  <c r="J23" i="85" s="1"/>
  <c r="V23" i="85" s="1"/>
  <c r="J22" i="85"/>
  <c r="I22" i="85"/>
  <c r="I21" i="85"/>
  <c r="J21" i="85" s="1"/>
  <c r="V21" i="85" s="1"/>
  <c r="I20" i="85"/>
  <c r="J20" i="85" s="1"/>
  <c r="V20" i="85" s="1"/>
  <c r="I19" i="85"/>
  <c r="J19" i="85" s="1"/>
  <c r="I18" i="85"/>
  <c r="J18" i="85" s="1"/>
  <c r="V18" i="85" s="1"/>
  <c r="I17" i="85"/>
  <c r="J17" i="85" s="1"/>
  <c r="I16" i="85"/>
  <c r="J16" i="85" s="1"/>
  <c r="V16" i="85" s="1"/>
  <c r="I15" i="85"/>
  <c r="J15" i="85" s="1"/>
  <c r="J14" i="85"/>
  <c r="I14" i="85"/>
  <c r="I13" i="85"/>
  <c r="J13" i="85" s="1"/>
  <c r="V13" i="85" s="1"/>
  <c r="I12" i="85"/>
  <c r="J12" i="85" s="1"/>
  <c r="W12" i="85" s="1"/>
  <c r="I11" i="85"/>
  <c r="J11" i="85" s="1"/>
  <c r="I10" i="85"/>
  <c r="J10" i="85" s="1"/>
  <c r="V10" i="85" s="1"/>
  <c r="J237" i="85"/>
  <c r="W237" i="85" s="1"/>
  <c r="J236" i="85"/>
  <c r="W236" i="85" s="1"/>
  <c r="J235" i="85"/>
  <c r="V235" i="85" s="1"/>
  <c r="J234" i="85"/>
  <c r="W234" i="85" s="1"/>
  <c r="J233" i="85"/>
  <c r="W233" i="85" s="1"/>
  <c r="J232" i="85"/>
  <c r="V232" i="85" s="1"/>
  <c r="J231" i="85"/>
  <c r="V231" i="85" s="1"/>
  <c r="J230" i="85"/>
  <c r="W230" i="85" s="1"/>
  <c r="J229" i="85"/>
  <c r="W229" i="85" s="1"/>
  <c r="J228" i="85"/>
  <c r="V228" i="85" s="1"/>
  <c r="J227" i="85"/>
  <c r="V227" i="85" s="1"/>
  <c r="J226" i="85"/>
  <c r="W226" i="85" s="1"/>
  <c r="J225" i="85"/>
  <c r="W225" i="85" s="1"/>
  <c r="J224" i="85"/>
  <c r="V224" i="85" s="1"/>
  <c r="J223" i="85"/>
  <c r="V223" i="85" s="1"/>
  <c r="J222" i="85"/>
  <c r="W222" i="85" s="1"/>
  <c r="J221" i="85"/>
  <c r="W221" i="85" s="1"/>
  <c r="J220" i="85"/>
  <c r="V220" i="85" s="1"/>
  <c r="J219" i="85"/>
  <c r="V219" i="85" s="1"/>
  <c r="J218" i="85"/>
  <c r="W218" i="85" s="1"/>
  <c r="J217" i="85"/>
  <c r="W217" i="85" s="1"/>
  <c r="J216" i="85"/>
  <c r="V216" i="85" s="1"/>
  <c r="B216" i="85"/>
  <c r="B217" i="85" s="1"/>
  <c r="B218" i="85" s="1"/>
  <c r="B219" i="85" s="1"/>
  <c r="B220" i="85" s="1"/>
  <c r="B221" i="85" s="1"/>
  <c r="B222" i="85" s="1"/>
  <c r="B223" i="85" s="1"/>
  <c r="B224" i="85" s="1"/>
  <c r="B225" i="85" s="1"/>
  <c r="B226" i="85" s="1"/>
  <c r="B227" i="85" s="1"/>
  <c r="B228" i="85" s="1"/>
  <c r="B229" i="85" s="1"/>
  <c r="B230" i="85" s="1"/>
  <c r="B231" i="85" s="1"/>
  <c r="B232" i="85" s="1"/>
  <c r="B233" i="85" s="1"/>
  <c r="B234" i="85" s="1"/>
  <c r="B235" i="85" s="1"/>
  <c r="B236" i="85" s="1"/>
  <c r="B237" i="85" s="1"/>
  <c r="J215" i="85"/>
  <c r="J206" i="85"/>
  <c r="V206" i="85" s="1"/>
  <c r="J205" i="85"/>
  <c r="V205" i="85" s="1"/>
  <c r="J204" i="85"/>
  <c r="V204" i="85" s="1"/>
  <c r="J203" i="85"/>
  <c r="V203" i="85" s="1"/>
  <c r="J202" i="85"/>
  <c r="V202" i="85" s="1"/>
  <c r="J201" i="85"/>
  <c r="V201" i="85" s="1"/>
  <c r="J200" i="85"/>
  <c r="V200" i="85" s="1"/>
  <c r="J199" i="85"/>
  <c r="V199" i="85" s="1"/>
  <c r="J198" i="85"/>
  <c r="V198" i="85" s="1"/>
  <c r="J197" i="85"/>
  <c r="V197" i="85" s="1"/>
  <c r="J196" i="85"/>
  <c r="V196" i="85" s="1"/>
  <c r="J195" i="85"/>
  <c r="V195" i="85" s="1"/>
  <c r="J194" i="85"/>
  <c r="V194" i="85" s="1"/>
  <c r="J193" i="85"/>
  <c r="V193" i="85" s="1"/>
  <c r="J192" i="85"/>
  <c r="V192" i="85" s="1"/>
  <c r="J191" i="85"/>
  <c r="V191" i="85" s="1"/>
  <c r="J190" i="85"/>
  <c r="V190" i="85" s="1"/>
  <c r="J189" i="85"/>
  <c r="V189" i="85" s="1"/>
  <c r="J188" i="85"/>
  <c r="V188" i="85" s="1"/>
  <c r="J187" i="85"/>
  <c r="V187" i="85" s="1"/>
  <c r="J186" i="85"/>
  <c r="V186" i="85" s="1"/>
  <c r="J185" i="85"/>
  <c r="V185" i="85" s="1"/>
  <c r="B185" i="85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J184" i="85"/>
  <c r="V184" i="85" s="1"/>
  <c r="J175" i="85"/>
  <c r="W175" i="85" s="1"/>
  <c r="J174" i="85"/>
  <c r="V174" i="85" s="1"/>
  <c r="J173" i="85"/>
  <c r="W173" i="85" s="1"/>
  <c r="J172" i="85"/>
  <c r="V172" i="85" s="1"/>
  <c r="J171" i="85"/>
  <c r="V171" i="85" s="1"/>
  <c r="J170" i="85"/>
  <c r="V170" i="85" s="1"/>
  <c r="J169" i="85"/>
  <c r="W169" i="85" s="1"/>
  <c r="J168" i="85"/>
  <c r="V168" i="85" s="1"/>
  <c r="J167" i="85"/>
  <c r="V167" i="85" s="1"/>
  <c r="J166" i="85"/>
  <c r="V166" i="85" s="1"/>
  <c r="J165" i="85"/>
  <c r="W165" i="85" s="1"/>
  <c r="J164" i="85"/>
  <c r="V164" i="85" s="1"/>
  <c r="J163" i="85"/>
  <c r="W163" i="85" s="1"/>
  <c r="J162" i="85"/>
  <c r="V162" i="85" s="1"/>
  <c r="J161" i="85"/>
  <c r="W161" i="85" s="1"/>
  <c r="J160" i="85"/>
  <c r="V160" i="85" s="1"/>
  <c r="J159" i="85"/>
  <c r="W159" i="85" s="1"/>
  <c r="J158" i="85"/>
  <c r="W158" i="85" s="1"/>
  <c r="J157" i="85"/>
  <c r="W157" i="85" s="1"/>
  <c r="J156" i="85"/>
  <c r="V156" i="85" s="1"/>
  <c r="J155" i="85"/>
  <c r="V155" i="85" s="1"/>
  <c r="J154" i="85"/>
  <c r="W154" i="85" s="1"/>
  <c r="B154" i="85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J153" i="85"/>
  <c r="W153" i="85" s="1"/>
  <c r="J144" i="85"/>
  <c r="V144" i="85" s="1"/>
  <c r="J143" i="85"/>
  <c r="V143" i="85" s="1"/>
  <c r="J142" i="85"/>
  <c r="V142" i="85" s="1"/>
  <c r="J141" i="85"/>
  <c r="V141" i="85" s="1"/>
  <c r="J140" i="85"/>
  <c r="V140" i="85" s="1"/>
  <c r="J139" i="85"/>
  <c r="V139" i="85" s="1"/>
  <c r="J138" i="85"/>
  <c r="V138" i="85" s="1"/>
  <c r="J137" i="85"/>
  <c r="V137" i="85" s="1"/>
  <c r="J136" i="85"/>
  <c r="V136" i="85" s="1"/>
  <c r="J135" i="85"/>
  <c r="V135" i="85" s="1"/>
  <c r="J134" i="85"/>
  <c r="V134" i="85" s="1"/>
  <c r="J133" i="85"/>
  <c r="V133" i="85" s="1"/>
  <c r="J132" i="85"/>
  <c r="V132" i="85" s="1"/>
  <c r="J131" i="85"/>
  <c r="V131" i="85" s="1"/>
  <c r="J130" i="85"/>
  <c r="V130" i="85" s="1"/>
  <c r="J129" i="85"/>
  <c r="V129" i="85" s="1"/>
  <c r="J128" i="85"/>
  <c r="V128" i="85" s="1"/>
  <c r="J127" i="85"/>
  <c r="V127" i="85" s="1"/>
  <c r="J126" i="85"/>
  <c r="V126" i="85" s="1"/>
  <c r="J125" i="85"/>
  <c r="V125" i="85" s="1"/>
  <c r="J124" i="85"/>
  <c r="V124" i="85" s="1"/>
  <c r="J123" i="85"/>
  <c r="V123" i="85" s="1"/>
  <c r="B123" i="85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0" i="85" s="1"/>
  <c r="B141" i="85" s="1"/>
  <c r="B142" i="85" s="1"/>
  <c r="B143" i="85" s="1"/>
  <c r="B144" i="85" s="1"/>
  <c r="J122" i="85"/>
  <c r="V122" i="85" s="1"/>
  <c r="J113" i="85"/>
  <c r="W113" i="85" s="1"/>
  <c r="J112" i="85"/>
  <c r="V112" i="85" s="1"/>
  <c r="J111" i="85"/>
  <c r="W111" i="85" s="1"/>
  <c r="J110" i="85"/>
  <c r="V110" i="85" s="1"/>
  <c r="J109" i="85"/>
  <c r="W109" i="85" s="1"/>
  <c r="J108" i="85"/>
  <c r="W108" i="85" s="1"/>
  <c r="J107" i="85"/>
  <c r="V107" i="85" s="1"/>
  <c r="J106" i="85"/>
  <c r="W106" i="85" s="1"/>
  <c r="J105" i="85"/>
  <c r="W105" i="85" s="1"/>
  <c r="J104" i="85"/>
  <c r="V104" i="85" s="1"/>
  <c r="J103" i="85"/>
  <c r="V103" i="85" s="1"/>
  <c r="J102" i="85"/>
  <c r="W102" i="85" s="1"/>
  <c r="J101" i="85"/>
  <c r="W101" i="85" s="1"/>
  <c r="J100" i="85"/>
  <c r="V100" i="85" s="1"/>
  <c r="J99" i="85"/>
  <c r="V99" i="85" s="1"/>
  <c r="J98" i="85"/>
  <c r="W98" i="85" s="1"/>
  <c r="J97" i="85"/>
  <c r="W97" i="85" s="1"/>
  <c r="J96" i="85"/>
  <c r="V96" i="85" s="1"/>
  <c r="J95" i="85"/>
  <c r="V95" i="85" s="1"/>
  <c r="V94" i="85"/>
  <c r="J94" i="85"/>
  <c r="W94" i="85" s="1"/>
  <c r="J93" i="85"/>
  <c r="W93" i="85" s="1"/>
  <c r="J92" i="85"/>
  <c r="V92" i="85" s="1"/>
  <c r="B92" i="85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J91" i="85"/>
  <c r="V91" i="85" s="1"/>
  <c r="J82" i="85"/>
  <c r="V82" i="85" s="1"/>
  <c r="J81" i="85"/>
  <c r="V81" i="85" s="1"/>
  <c r="J80" i="85"/>
  <c r="V80" i="85" s="1"/>
  <c r="J79" i="85"/>
  <c r="V79" i="85" s="1"/>
  <c r="J78" i="85"/>
  <c r="V78" i="85" s="1"/>
  <c r="J77" i="85"/>
  <c r="V77" i="85" s="1"/>
  <c r="J76" i="85"/>
  <c r="V76" i="85" s="1"/>
  <c r="J75" i="85"/>
  <c r="V75" i="85" s="1"/>
  <c r="J74" i="85"/>
  <c r="V74" i="85" s="1"/>
  <c r="J73" i="85"/>
  <c r="V73" i="85" s="1"/>
  <c r="J72" i="85"/>
  <c r="V72" i="85" s="1"/>
  <c r="J71" i="85"/>
  <c r="V71" i="85" s="1"/>
  <c r="J70" i="85"/>
  <c r="V70" i="85" s="1"/>
  <c r="J69" i="85"/>
  <c r="V69" i="85" s="1"/>
  <c r="J68" i="85"/>
  <c r="V68" i="85" s="1"/>
  <c r="J67" i="85"/>
  <c r="V67" i="85" s="1"/>
  <c r="J66" i="85"/>
  <c r="V66" i="85" s="1"/>
  <c r="J65" i="85"/>
  <c r="V65" i="85" s="1"/>
  <c r="J64" i="85"/>
  <c r="V64" i="85" s="1"/>
  <c r="J63" i="85"/>
  <c r="V63" i="85" s="1"/>
  <c r="J62" i="85"/>
  <c r="V62" i="85" s="1"/>
  <c r="J61" i="85"/>
  <c r="V61" i="85" s="1"/>
  <c r="B61" i="85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B75" i="85" s="1"/>
  <c r="B76" i="85" s="1"/>
  <c r="B77" i="85" s="1"/>
  <c r="B78" i="85" s="1"/>
  <c r="B79" i="85" s="1"/>
  <c r="B80" i="85" s="1"/>
  <c r="B81" i="85" s="1"/>
  <c r="B82" i="85" s="1"/>
  <c r="J60" i="85"/>
  <c r="V60" i="85" s="1"/>
  <c r="W51" i="85"/>
  <c r="V51" i="85"/>
  <c r="W50" i="85"/>
  <c r="V50" i="85"/>
  <c r="W49" i="85"/>
  <c r="V49" i="85"/>
  <c r="W48" i="85"/>
  <c r="V48" i="85"/>
  <c r="W47" i="85"/>
  <c r="V47" i="85"/>
  <c r="W46" i="85"/>
  <c r="V46" i="85"/>
  <c r="W45" i="85"/>
  <c r="V45" i="85"/>
  <c r="W44" i="85"/>
  <c r="V44" i="85"/>
  <c r="W43" i="85"/>
  <c r="V43" i="85"/>
  <c r="W42" i="85"/>
  <c r="V42" i="85"/>
  <c r="W41" i="85"/>
  <c r="V41" i="85"/>
  <c r="W40" i="85"/>
  <c r="V40" i="85"/>
  <c r="W39" i="85"/>
  <c r="V39" i="85"/>
  <c r="W38" i="85"/>
  <c r="V38" i="85"/>
  <c r="V37" i="85"/>
  <c r="V36" i="85"/>
  <c r="W36" i="85"/>
  <c r="W35" i="85"/>
  <c r="V35" i="85"/>
  <c r="V33" i="85"/>
  <c r="V32" i="85"/>
  <c r="W32" i="85"/>
  <c r="N16" i="85"/>
  <c r="N14" i="85"/>
  <c r="N12" i="85"/>
  <c r="N10" i="85"/>
  <c r="I9" i="85"/>
  <c r="J9" i="85" s="1"/>
  <c r="W9" i="85" s="1"/>
  <c r="B9" i="85"/>
  <c r="B10" i="85" s="1"/>
  <c r="B11" i="85" s="1"/>
  <c r="B12" i="85" s="1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N8" i="85"/>
  <c r="I8" i="85"/>
  <c r="J8" i="85" s="1"/>
  <c r="V8" i="85" s="1"/>
  <c r="B8" i="85"/>
  <c r="I7" i="85"/>
  <c r="J7" i="85" s="1"/>
  <c r="W7" i="85" s="1"/>
  <c r="B7" i="85"/>
  <c r="N6" i="85"/>
  <c r="I6" i="85"/>
  <c r="J6" i="85" s="1"/>
  <c r="N4" i="85"/>
  <c r="I37" i="84"/>
  <c r="J37" i="84" s="1"/>
  <c r="I36" i="84"/>
  <c r="J36" i="84" s="1"/>
  <c r="I35" i="84"/>
  <c r="J35" i="84" s="1"/>
  <c r="I34" i="84"/>
  <c r="J34" i="84" s="1"/>
  <c r="I33" i="84"/>
  <c r="J33" i="84" s="1"/>
  <c r="I32" i="84"/>
  <c r="J32" i="84" s="1"/>
  <c r="I31" i="84"/>
  <c r="J31" i="84" s="1"/>
  <c r="I30" i="84"/>
  <c r="J30" i="84" s="1"/>
  <c r="V111" i="85" l="1"/>
  <c r="V173" i="85"/>
  <c r="V236" i="85"/>
  <c r="W112" i="85"/>
  <c r="V161" i="85"/>
  <c r="W174" i="85"/>
  <c r="V17" i="85"/>
  <c r="W17" i="85"/>
  <c r="W15" i="85"/>
  <c r="V15" i="85"/>
  <c r="W31" i="85"/>
  <c r="V31" i="85"/>
  <c r="W27" i="85"/>
  <c r="V27" i="85"/>
  <c r="W91" i="85"/>
  <c r="W110" i="85"/>
  <c r="V113" i="85"/>
  <c r="W170" i="85"/>
  <c r="W172" i="85"/>
  <c r="V175" i="85"/>
  <c r="W223" i="85"/>
  <c r="V234" i="85"/>
  <c r="W235" i="85"/>
  <c r="W92" i="85"/>
  <c r="V153" i="85"/>
  <c r="W20" i="85"/>
  <c r="V157" i="85"/>
  <c r="V237" i="85"/>
  <c r="Q18" i="87"/>
  <c r="W83" i="86"/>
  <c r="P6" i="86" s="1"/>
  <c r="Q6" i="86" s="1"/>
  <c r="W52" i="86"/>
  <c r="P4" i="86" s="1"/>
  <c r="V176" i="86"/>
  <c r="O12" i="86" s="1"/>
  <c r="Q12" i="86" s="1"/>
  <c r="V114" i="86"/>
  <c r="O8" i="86" s="1"/>
  <c r="Q8" i="86" s="1"/>
  <c r="W145" i="86"/>
  <c r="P10" i="86" s="1"/>
  <c r="Q10" i="86" s="1"/>
  <c r="W207" i="86"/>
  <c r="P14" i="86" s="1"/>
  <c r="Q14" i="86" s="1"/>
  <c r="V238" i="86"/>
  <c r="O16" i="86" s="1"/>
  <c r="R16" i="86" s="1"/>
  <c r="R6" i="86"/>
  <c r="R14" i="86"/>
  <c r="V52" i="86"/>
  <c r="O4" i="86" s="1"/>
  <c r="V233" i="85"/>
  <c r="W171" i="85"/>
  <c r="V109" i="85"/>
  <c r="V108" i="85"/>
  <c r="W166" i="85"/>
  <c r="W104" i="85"/>
  <c r="V165" i="85"/>
  <c r="V226" i="85"/>
  <c r="V28" i="85"/>
  <c r="V163" i="85"/>
  <c r="W100" i="85"/>
  <c r="W24" i="85"/>
  <c r="W99" i="85"/>
  <c r="W23" i="85"/>
  <c r="V159" i="85"/>
  <c r="V158" i="85"/>
  <c r="W96" i="85"/>
  <c r="V218" i="85"/>
  <c r="J238" i="85"/>
  <c r="W155" i="85"/>
  <c r="V207" i="85"/>
  <c r="O14" i="85" s="1"/>
  <c r="R14" i="85" s="1"/>
  <c r="V154" i="85"/>
  <c r="V83" i="85"/>
  <c r="O6" i="85" s="1"/>
  <c r="R6" i="85" s="1"/>
  <c r="W219" i="85"/>
  <c r="V222" i="85"/>
  <c r="W227" i="85"/>
  <c r="V230" i="85"/>
  <c r="W232" i="85"/>
  <c r="V217" i="85"/>
  <c r="V221" i="85"/>
  <c r="V225" i="85"/>
  <c r="V229" i="85"/>
  <c r="W231" i="85"/>
  <c r="W215" i="85"/>
  <c r="W216" i="85"/>
  <c r="W220" i="85"/>
  <c r="W224" i="85"/>
  <c r="W228" i="85"/>
  <c r="V215" i="85"/>
  <c r="W162" i="85"/>
  <c r="W167" i="85"/>
  <c r="V169" i="85"/>
  <c r="W156" i="85"/>
  <c r="W160" i="85"/>
  <c r="W164" i="85"/>
  <c r="W168" i="85"/>
  <c r="J176" i="85"/>
  <c r="W103" i="85"/>
  <c r="V98" i="85"/>
  <c r="V102" i="85"/>
  <c r="V106" i="85"/>
  <c r="J114" i="85"/>
  <c r="V93" i="85"/>
  <c r="V97" i="85"/>
  <c r="V101" i="85"/>
  <c r="V105" i="85"/>
  <c r="W95" i="85"/>
  <c r="W107" i="85"/>
  <c r="V7" i="85"/>
  <c r="V9" i="85"/>
  <c r="V12" i="85"/>
  <c r="V22" i="85"/>
  <c r="W22" i="85"/>
  <c r="V30" i="85"/>
  <c r="W30" i="85"/>
  <c r="W14" i="85"/>
  <c r="V14" i="85"/>
  <c r="J52" i="85"/>
  <c r="V6" i="85"/>
  <c r="W6" i="85"/>
  <c r="V19" i="85"/>
  <c r="W19" i="85"/>
  <c r="V26" i="85"/>
  <c r="W26" i="85"/>
  <c r="V34" i="85"/>
  <c r="W34" i="85"/>
  <c r="V145" i="85"/>
  <c r="O10" i="85" s="1"/>
  <c r="R10" i="85" s="1"/>
  <c r="V11" i="85"/>
  <c r="W11" i="85"/>
  <c r="N18" i="85"/>
  <c r="W16" i="85"/>
  <c r="J83" i="85"/>
  <c r="J145" i="85"/>
  <c r="J207" i="85"/>
  <c r="W18" i="85"/>
  <c r="W25" i="85"/>
  <c r="W60" i="85"/>
  <c r="W62" i="85"/>
  <c r="W63" i="85"/>
  <c r="W65" i="85"/>
  <c r="W66" i="85"/>
  <c r="W68" i="85"/>
  <c r="W69" i="85"/>
  <c r="W70" i="85"/>
  <c r="W72" i="85"/>
  <c r="W73" i="85"/>
  <c r="W74" i="85"/>
  <c r="W75" i="85"/>
  <c r="W77" i="85"/>
  <c r="W78" i="85"/>
  <c r="W79" i="85"/>
  <c r="W80" i="85"/>
  <c r="W81" i="85"/>
  <c r="W122" i="85"/>
  <c r="W123" i="85"/>
  <c r="W124" i="85"/>
  <c r="W126" i="85"/>
  <c r="W127" i="85"/>
  <c r="W128" i="85"/>
  <c r="W129" i="85"/>
  <c r="W130" i="85"/>
  <c r="W131" i="85"/>
  <c r="W132" i="85"/>
  <c r="W133" i="85"/>
  <c r="W134" i="85"/>
  <c r="W135" i="85"/>
  <c r="W136" i="85"/>
  <c r="W137" i="85"/>
  <c r="W138" i="85"/>
  <c r="W139" i="85"/>
  <c r="W140" i="85"/>
  <c r="W141" i="85"/>
  <c r="W142" i="85"/>
  <c r="W143" i="85"/>
  <c r="W144" i="85"/>
  <c r="W184" i="85"/>
  <c r="W185" i="85"/>
  <c r="W186" i="85"/>
  <c r="W187" i="85"/>
  <c r="W188" i="85"/>
  <c r="W189" i="85"/>
  <c r="W190" i="85"/>
  <c r="W191" i="85"/>
  <c r="W192" i="85"/>
  <c r="W193" i="85"/>
  <c r="W194" i="85"/>
  <c r="W195" i="85"/>
  <c r="W196" i="85"/>
  <c r="W197" i="85"/>
  <c r="W198" i="85"/>
  <c r="W199" i="85"/>
  <c r="W200" i="85"/>
  <c r="W201" i="85"/>
  <c r="W202" i="85"/>
  <c r="W203" i="85"/>
  <c r="W204" i="85"/>
  <c r="W205" i="85"/>
  <c r="W206" i="85"/>
  <c r="W8" i="85"/>
  <c r="W10" i="85"/>
  <c r="W13" i="85"/>
  <c r="W21" i="85"/>
  <c r="W29" i="85"/>
  <c r="W33" i="85"/>
  <c r="W37" i="85"/>
  <c r="W61" i="85"/>
  <c r="W64" i="85"/>
  <c r="W67" i="85"/>
  <c r="W71" i="85"/>
  <c r="W76" i="85"/>
  <c r="W82" i="85"/>
  <c r="W125" i="85"/>
  <c r="J29" i="84"/>
  <c r="I29" i="84"/>
  <c r="I28" i="84"/>
  <c r="J28" i="84" s="1"/>
  <c r="I27" i="84"/>
  <c r="J27" i="84" s="1"/>
  <c r="I26" i="84"/>
  <c r="J26" i="84" s="1"/>
  <c r="V26" i="84" s="1"/>
  <c r="I25" i="84"/>
  <c r="J25" i="84" s="1"/>
  <c r="I24" i="84"/>
  <c r="J24" i="84" s="1"/>
  <c r="I23" i="84"/>
  <c r="J23" i="84" s="1"/>
  <c r="I22" i="84"/>
  <c r="J22" i="84" s="1"/>
  <c r="J21" i="84"/>
  <c r="I21" i="84"/>
  <c r="I20" i="84"/>
  <c r="J20" i="84" s="1"/>
  <c r="V20" i="84" s="1"/>
  <c r="I19" i="84"/>
  <c r="J19" i="84" s="1"/>
  <c r="I18" i="84"/>
  <c r="J18" i="84" s="1"/>
  <c r="I17" i="84"/>
  <c r="J17" i="84" s="1"/>
  <c r="W17" i="84" s="1"/>
  <c r="I16" i="84"/>
  <c r="J16" i="84" s="1"/>
  <c r="I15" i="84"/>
  <c r="J15" i="84" s="1"/>
  <c r="I14" i="84"/>
  <c r="J14" i="84" s="1"/>
  <c r="W14" i="84" s="1"/>
  <c r="J13" i="84"/>
  <c r="I13" i="84"/>
  <c r="I12" i="84"/>
  <c r="J12" i="84" s="1"/>
  <c r="V12" i="84" s="1"/>
  <c r="I11" i="84"/>
  <c r="J11" i="84" s="1"/>
  <c r="J10" i="84"/>
  <c r="I10" i="84"/>
  <c r="I8" i="84"/>
  <c r="J8" i="84" s="1"/>
  <c r="I9" i="84"/>
  <c r="J9" i="84" s="1"/>
  <c r="W9" i="84" s="1"/>
  <c r="J237" i="84"/>
  <c r="W237" i="84" s="1"/>
  <c r="J236" i="84"/>
  <c r="W236" i="84" s="1"/>
  <c r="J235" i="84"/>
  <c r="W235" i="84" s="1"/>
  <c r="J234" i="84"/>
  <c r="W234" i="84" s="1"/>
  <c r="J233" i="84"/>
  <c r="W233" i="84" s="1"/>
  <c r="J232" i="84"/>
  <c r="W232" i="84" s="1"/>
  <c r="J231" i="84"/>
  <c r="W231" i="84" s="1"/>
  <c r="J230" i="84"/>
  <c r="W230" i="84" s="1"/>
  <c r="J229" i="84"/>
  <c r="W229" i="84" s="1"/>
  <c r="J228" i="84"/>
  <c r="W228" i="84" s="1"/>
  <c r="J227" i="84"/>
  <c r="W227" i="84" s="1"/>
  <c r="J226" i="84"/>
  <c r="W226" i="84" s="1"/>
  <c r="J225" i="84"/>
  <c r="W225" i="84" s="1"/>
  <c r="J224" i="84"/>
  <c r="W224" i="84" s="1"/>
  <c r="J223" i="84"/>
  <c r="W223" i="84" s="1"/>
  <c r="J222" i="84"/>
  <c r="W222" i="84" s="1"/>
  <c r="J221" i="84"/>
  <c r="W221" i="84" s="1"/>
  <c r="J220" i="84"/>
  <c r="W220" i="84" s="1"/>
  <c r="J219" i="84"/>
  <c r="W219" i="84" s="1"/>
  <c r="J218" i="84"/>
  <c r="W218" i="84" s="1"/>
  <c r="J217" i="84"/>
  <c r="W217" i="84" s="1"/>
  <c r="J216" i="84"/>
  <c r="W216" i="84" s="1"/>
  <c r="B216" i="84"/>
  <c r="B217" i="84" s="1"/>
  <c r="B218" i="84" s="1"/>
  <c r="B219" i="84" s="1"/>
  <c r="B220" i="84" s="1"/>
  <c r="B221" i="84" s="1"/>
  <c r="B222" i="84" s="1"/>
  <c r="B223" i="84" s="1"/>
  <c r="B224" i="84" s="1"/>
  <c r="B225" i="84" s="1"/>
  <c r="B226" i="84" s="1"/>
  <c r="B227" i="84" s="1"/>
  <c r="B228" i="84" s="1"/>
  <c r="B229" i="84" s="1"/>
  <c r="B230" i="84" s="1"/>
  <c r="B231" i="84" s="1"/>
  <c r="B232" i="84" s="1"/>
  <c r="B233" i="84" s="1"/>
  <c r="B234" i="84" s="1"/>
  <c r="B235" i="84" s="1"/>
  <c r="B236" i="84" s="1"/>
  <c r="B237" i="84" s="1"/>
  <c r="J215" i="84"/>
  <c r="W215" i="84" s="1"/>
  <c r="J206" i="84"/>
  <c r="W206" i="84" s="1"/>
  <c r="V205" i="84"/>
  <c r="J205" i="84"/>
  <c r="W205" i="84" s="1"/>
  <c r="J204" i="84"/>
  <c r="W204" i="84" s="1"/>
  <c r="J203" i="84"/>
  <c r="V203" i="84" s="1"/>
  <c r="W202" i="84"/>
  <c r="J202" i="84"/>
  <c r="V202" i="84" s="1"/>
  <c r="J201" i="84"/>
  <c r="V201" i="84" s="1"/>
  <c r="J200" i="84"/>
  <c r="W200" i="84" s="1"/>
  <c r="J199" i="84"/>
  <c r="V199" i="84" s="1"/>
  <c r="J198" i="84"/>
  <c r="V198" i="84" s="1"/>
  <c r="J197" i="84"/>
  <c r="V197" i="84" s="1"/>
  <c r="J196" i="84"/>
  <c r="W196" i="84" s="1"/>
  <c r="J195" i="84"/>
  <c r="V195" i="84" s="1"/>
  <c r="J194" i="84"/>
  <c r="V194" i="84" s="1"/>
  <c r="J193" i="84"/>
  <c r="V193" i="84" s="1"/>
  <c r="J192" i="84"/>
  <c r="W192" i="84" s="1"/>
  <c r="J191" i="84"/>
  <c r="V191" i="84" s="1"/>
  <c r="J190" i="84"/>
  <c r="V190" i="84" s="1"/>
  <c r="W189" i="84"/>
  <c r="J189" i="84"/>
  <c r="V189" i="84" s="1"/>
  <c r="J188" i="84"/>
  <c r="W188" i="84" s="1"/>
  <c r="J187" i="84"/>
  <c r="V187" i="84" s="1"/>
  <c r="W186" i="84"/>
  <c r="J186" i="84"/>
  <c r="V186" i="84" s="1"/>
  <c r="J185" i="84"/>
  <c r="V185" i="84" s="1"/>
  <c r="B185" i="84"/>
  <c r="B186" i="84" s="1"/>
  <c r="B187" i="84" s="1"/>
  <c r="B188" i="84" s="1"/>
  <c r="B189" i="84" s="1"/>
  <c r="B190" i="84" s="1"/>
  <c r="B191" i="84" s="1"/>
  <c r="B192" i="84" s="1"/>
  <c r="B193" i="84" s="1"/>
  <c r="B194" i="84" s="1"/>
  <c r="B195" i="84" s="1"/>
  <c r="B196" i="84" s="1"/>
  <c r="B197" i="84" s="1"/>
  <c r="B198" i="84" s="1"/>
  <c r="B199" i="84" s="1"/>
  <c r="B200" i="84" s="1"/>
  <c r="B201" i="84" s="1"/>
  <c r="B202" i="84" s="1"/>
  <c r="B203" i="84" s="1"/>
  <c r="B204" i="84" s="1"/>
  <c r="B205" i="84" s="1"/>
  <c r="B206" i="84" s="1"/>
  <c r="W184" i="84"/>
  <c r="J184" i="84"/>
  <c r="V184" i="84" s="1"/>
  <c r="J175" i="84"/>
  <c r="W175" i="84" s="1"/>
  <c r="J174" i="84"/>
  <c r="W174" i="84" s="1"/>
  <c r="J173" i="84"/>
  <c r="W173" i="84" s="1"/>
  <c r="J172" i="84"/>
  <c r="W172" i="84" s="1"/>
  <c r="J171" i="84"/>
  <c r="W171" i="84" s="1"/>
  <c r="J170" i="84"/>
  <c r="W170" i="84" s="1"/>
  <c r="J169" i="84"/>
  <c r="W169" i="84" s="1"/>
  <c r="J168" i="84"/>
  <c r="W168" i="84" s="1"/>
  <c r="J167" i="84"/>
  <c r="W167" i="84" s="1"/>
  <c r="J166" i="84"/>
  <c r="W166" i="84" s="1"/>
  <c r="J165" i="84"/>
  <c r="W165" i="84" s="1"/>
  <c r="J164" i="84"/>
  <c r="W164" i="84" s="1"/>
  <c r="J163" i="84"/>
  <c r="W163" i="84" s="1"/>
  <c r="J162" i="84"/>
  <c r="W162" i="84" s="1"/>
  <c r="J161" i="84"/>
  <c r="W161" i="84" s="1"/>
  <c r="J160" i="84"/>
  <c r="W160" i="84" s="1"/>
  <c r="J159" i="84"/>
  <c r="W159" i="84" s="1"/>
  <c r="J158" i="84"/>
  <c r="W158" i="84" s="1"/>
  <c r="J157" i="84"/>
  <c r="W157" i="84" s="1"/>
  <c r="J156" i="84"/>
  <c r="W156" i="84" s="1"/>
  <c r="J155" i="84"/>
  <c r="W155" i="84" s="1"/>
  <c r="J154" i="84"/>
  <c r="W154" i="84" s="1"/>
  <c r="B154" i="84"/>
  <c r="B155" i="84" s="1"/>
  <c r="B156" i="84" s="1"/>
  <c r="B157" i="84" s="1"/>
  <c r="B158" i="84" s="1"/>
  <c r="B159" i="84" s="1"/>
  <c r="B160" i="84" s="1"/>
  <c r="B161" i="84" s="1"/>
  <c r="B162" i="84" s="1"/>
  <c r="B163" i="84" s="1"/>
  <c r="B164" i="84" s="1"/>
  <c r="B165" i="84" s="1"/>
  <c r="B166" i="84" s="1"/>
  <c r="B167" i="84" s="1"/>
  <c r="B168" i="84" s="1"/>
  <c r="B169" i="84" s="1"/>
  <c r="B170" i="84" s="1"/>
  <c r="B171" i="84" s="1"/>
  <c r="B172" i="84" s="1"/>
  <c r="B173" i="84" s="1"/>
  <c r="B174" i="84" s="1"/>
  <c r="B175" i="84" s="1"/>
  <c r="J153" i="84"/>
  <c r="W153" i="84" s="1"/>
  <c r="J144" i="84"/>
  <c r="V144" i="84" s="1"/>
  <c r="J143" i="84"/>
  <c r="V143" i="84" s="1"/>
  <c r="J142" i="84"/>
  <c r="V142" i="84" s="1"/>
  <c r="J141" i="84"/>
  <c r="W141" i="84" s="1"/>
  <c r="J140" i="84"/>
  <c r="W140" i="84" s="1"/>
  <c r="J139" i="84"/>
  <c r="V139" i="84" s="1"/>
  <c r="W138" i="84"/>
  <c r="J138" i="84"/>
  <c r="V138" i="84" s="1"/>
  <c r="J137" i="84"/>
  <c r="W137" i="84" s="1"/>
  <c r="J136" i="84"/>
  <c r="W136" i="84" s="1"/>
  <c r="J135" i="84"/>
  <c r="V135" i="84" s="1"/>
  <c r="W134" i="84"/>
  <c r="V134" i="84"/>
  <c r="J134" i="84"/>
  <c r="J133" i="84"/>
  <c r="W133" i="84" s="1"/>
  <c r="J132" i="84"/>
  <c r="W132" i="84" s="1"/>
  <c r="J131" i="84"/>
  <c r="V131" i="84" s="1"/>
  <c r="J130" i="84"/>
  <c r="W130" i="84" s="1"/>
  <c r="J129" i="84"/>
  <c r="V129" i="84" s="1"/>
  <c r="J128" i="84"/>
  <c r="V128" i="84" s="1"/>
  <c r="J127" i="84"/>
  <c r="W127" i="84" s="1"/>
  <c r="J126" i="84"/>
  <c r="W126" i="84" s="1"/>
  <c r="J125" i="84"/>
  <c r="V125" i="84" s="1"/>
  <c r="J124" i="84"/>
  <c r="V124" i="84" s="1"/>
  <c r="J123" i="84"/>
  <c r="W123" i="84" s="1"/>
  <c r="B123" i="84"/>
  <c r="B124" i="84" s="1"/>
  <c r="B125" i="84" s="1"/>
  <c r="B126" i="84" s="1"/>
  <c r="B127" i="84" s="1"/>
  <c r="B128" i="84" s="1"/>
  <c r="B129" i="84" s="1"/>
  <c r="B130" i="84" s="1"/>
  <c r="B131" i="84" s="1"/>
  <c r="B132" i="84" s="1"/>
  <c r="B133" i="84" s="1"/>
  <c r="B134" i="84" s="1"/>
  <c r="B135" i="84" s="1"/>
  <c r="B136" i="84" s="1"/>
  <c r="B137" i="84" s="1"/>
  <c r="B138" i="84" s="1"/>
  <c r="B139" i="84" s="1"/>
  <c r="B140" i="84" s="1"/>
  <c r="B141" i="84" s="1"/>
  <c r="B142" i="84" s="1"/>
  <c r="B143" i="84" s="1"/>
  <c r="B144" i="84" s="1"/>
  <c r="J122" i="84"/>
  <c r="V122" i="84" s="1"/>
  <c r="J113" i="84"/>
  <c r="W113" i="84" s="1"/>
  <c r="J112" i="84"/>
  <c r="W112" i="84" s="1"/>
  <c r="J111" i="84"/>
  <c r="W111" i="84" s="1"/>
  <c r="J110" i="84"/>
  <c r="W110" i="84" s="1"/>
  <c r="J109" i="84"/>
  <c r="W109" i="84" s="1"/>
  <c r="J108" i="84"/>
  <c r="W108" i="84" s="1"/>
  <c r="J107" i="84"/>
  <c r="W107" i="84" s="1"/>
  <c r="J106" i="84"/>
  <c r="W106" i="84" s="1"/>
  <c r="J105" i="84"/>
  <c r="W105" i="84" s="1"/>
  <c r="J104" i="84"/>
  <c r="W104" i="84" s="1"/>
  <c r="J103" i="84"/>
  <c r="W103" i="84" s="1"/>
  <c r="J102" i="84"/>
  <c r="W102" i="84" s="1"/>
  <c r="J101" i="84"/>
  <c r="W101" i="84" s="1"/>
  <c r="J100" i="84"/>
  <c r="W100" i="84" s="1"/>
  <c r="J99" i="84"/>
  <c r="W99" i="84" s="1"/>
  <c r="J98" i="84"/>
  <c r="W98" i="84" s="1"/>
  <c r="J97" i="84"/>
  <c r="W97" i="84" s="1"/>
  <c r="J96" i="84"/>
  <c r="W96" i="84" s="1"/>
  <c r="J95" i="84"/>
  <c r="W95" i="84" s="1"/>
  <c r="J94" i="84"/>
  <c r="W94" i="84" s="1"/>
  <c r="J93" i="84"/>
  <c r="W93" i="84" s="1"/>
  <c r="J92" i="84"/>
  <c r="W92" i="84" s="1"/>
  <c r="B92" i="84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B103" i="84" s="1"/>
  <c r="B104" i="84" s="1"/>
  <c r="B105" i="84" s="1"/>
  <c r="B106" i="84" s="1"/>
  <c r="B107" i="84" s="1"/>
  <c r="B108" i="84" s="1"/>
  <c r="B109" i="84" s="1"/>
  <c r="B110" i="84" s="1"/>
  <c r="B111" i="84" s="1"/>
  <c r="B112" i="84" s="1"/>
  <c r="B113" i="84" s="1"/>
  <c r="J91" i="84"/>
  <c r="W91" i="84" s="1"/>
  <c r="J82" i="84"/>
  <c r="V82" i="84" s="1"/>
  <c r="J81" i="84"/>
  <c r="W81" i="84" s="1"/>
  <c r="J80" i="84"/>
  <c r="V80" i="84" s="1"/>
  <c r="J79" i="84"/>
  <c r="W79" i="84" s="1"/>
  <c r="J78" i="84"/>
  <c r="V78" i="84" s="1"/>
  <c r="V77" i="84"/>
  <c r="J77" i="84"/>
  <c r="W77" i="84" s="1"/>
  <c r="J76" i="84"/>
  <c r="V76" i="84" s="1"/>
  <c r="J75" i="84"/>
  <c r="V75" i="84" s="1"/>
  <c r="J74" i="84"/>
  <c r="W74" i="84" s="1"/>
  <c r="J73" i="84"/>
  <c r="V73" i="84" s="1"/>
  <c r="J72" i="84"/>
  <c r="W72" i="84" s="1"/>
  <c r="J71" i="84"/>
  <c r="V71" i="84" s="1"/>
  <c r="J70" i="84"/>
  <c r="W70" i="84" s="1"/>
  <c r="J69" i="84"/>
  <c r="V69" i="84" s="1"/>
  <c r="J68" i="84"/>
  <c r="V68" i="84" s="1"/>
  <c r="J67" i="84"/>
  <c r="V67" i="84" s="1"/>
  <c r="J66" i="84"/>
  <c r="W66" i="84" s="1"/>
  <c r="J65" i="84"/>
  <c r="V65" i="84" s="1"/>
  <c r="J64" i="84"/>
  <c r="W64" i="84" s="1"/>
  <c r="J63" i="84"/>
  <c r="V63" i="84" s="1"/>
  <c r="J62" i="84"/>
  <c r="W62" i="84" s="1"/>
  <c r="J61" i="84"/>
  <c r="V61" i="84" s="1"/>
  <c r="B61" i="84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J60" i="84"/>
  <c r="W51" i="84"/>
  <c r="V51" i="84"/>
  <c r="W50" i="84"/>
  <c r="V50" i="84"/>
  <c r="W49" i="84"/>
  <c r="V49" i="84"/>
  <c r="W48" i="84"/>
  <c r="V48" i="84"/>
  <c r="V46" i="84"/>
  <c r="V42" i="84"/>
  <c r="V38" i="84"/>
  <c r="V34" i="84"/>
  <c r="V30" i="84"/>
  <c r="N16" i="84"/>
  <c r="N14" i="84"/>
  <c r="N12" i="84"/>
  <c r="N10" i="84"/>
  <c r="N8" i="84"/>
  <c r="I7" i="84"/>
  <c r="J7" i="84" s="1"/>
  <c r="B7" i="84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N6" i="84"/>
  <c r="I6" i="84"/>
  <c r="J6" i="84" s="1"/>
  <c r="W6" i="84" s="1"/>
  <c r="N4" i="84"/>
  <c r="I47" i="83"/>
  <c r="J47" i="83" s="1"/>
  <c r="I46" i="83"/>
  <c r="J46" i="83" s="1"/>
  <c r="W142" i="84" l="1"/>
  <c r="W144" i="84"/>
  <c r="W135" i="84"/>
  <c r="W122" i="84"/>
  <c r="W124" i="84"/>
  <c r="W65" i="84"/>
  <c r="W78" i="84"/>
  <c r="V81" i="84"/>
  <c r="W82" i="84"/>
  <c r="V133" i="84"/>
  <c r="W139" i="84"/>
  <c r="W143" i="84"/>
  <c r="W185" i="84"/>
  <c r="V206" i="84"/>
  <c r="V141" i="84"/>
  <c r="W201" i="84"/>
  <c r="P18" i="86"/>
  <c r="R12" i="86"/>
  <c r="R8" i="86"/>
  <c r="Q16" i="86"/>
  <c r="Q4" i="86"/>
  <c r="O18" i="86"/>
  <c r="R18" i="86" s="1"/>
  <c r="P20" i="86" s="1"/>
  <c r="R4" i="86"/>
  <c r="V114" i="85"/>
  <c r="O8" i="85" s="1"/>
  <c r="R8" i="85" s="1"/>
  <c r="V176" i="85"/>
  <c r="O12" i="85" s="1"/>
  <c r="R12" i="85" s="1"/>
  <c r="W114" i="85"/>
  <c r="P8" i="85" s="1"/>
  <c r="W176" i="85"/>
  <c r="P12" i="85" s="1"/>
  <c r="W238" i="85"/>
  <c r="P16" i="85" s="1"/>
  <c r="V238" i="85"/>
  <c r="O16" i="85" s="1"/>
  <c r="V52" i="85"/>
  <c r="O4" i="85" s="1"/>
  <c r="W207" i="85"/>
  <c r="P14" i="85" s="1"/>
  <c r="Q14" i="85" s="1"/>
  <c r="W52" i="85"/>
  <c r="P4" i="85" s="1"/>
  <c r="W83" i="85"/>
  <c r="P6" i="85" s="1"/>
  <c r="Q6" i="85" s="1"/>
  <c r="W145" i="85"/>
  <c r="P10" i="85" s="1"/>
  <c r="Q10" i="85" s="1"/>
  <c r="V137" i="84"/>
  <c r="W198" i="84"/>
  <c r="W197" i="84"/>
  <c r="W194" i="84"/>
  <c r="W193" i="84"/>
  <c r="W131" i="84"/>
  <c r="W69" i="84"/>
  <c r="W68" i="84"/>
  <c r="W190" i="84"/>
  <c r="V126" i="84"/>
  <c r="V64" i="84"/>
  <c r="V123" i="84"/>
  <c r="W61" i="84"/>
  <c r="J83" i="84"/>
  <c r="W60" i="84"/>
  <c r="V60" i="84"/>
  <c r="J207" i="84"/>
  <c r="V188" i="84"/>
  <c r="V192" i="84"/>
  <c r="V196" i="84"/>
  <c r="V200" i="84"/>
  <c r="V204" i="84"/>
  <c r="W187" i="84"/>
  <c r="W191" i="84"/>
  <c r="W195" i="84"/>
  <c r="W199" i="84"/>
  <c r="W203" i="84"/>
  <c r="V132" i="84"/>
  <c r="V136" i="84"/>
  <c r="V140" i="84"/>
  <c r="V127" i="84"/>
  <c r="W128" i="84"/>
  <c r="V130" i="84"/>
  <c r="J145" i="84"/>
  <c r="W125" i="84"/>
  <c r="W129" i="84"/>
  <c r="W76" i="84"/>
  <c r="V79" i="84"/>
  <c r="W80" i="84"/>
  <c r="V72" i="84"/>
  <c r="W73" i="84"/>
  <c r="V62" i="84"/>
  <c r="W63" i="84"/>
  <c r="V66" i="84"/>
  <c r="W67" i="84"/>
  <c r="V70" i="84"/>
  <c r="W71" i="84"/>
  <c r="V74" i="84"/>
  <c r="W75" i="84"/>
  <c r="N18" i="84"/>
  <c r="W19" i="84"/>
  <c r="V19" i="84"/>
  <c r="W22" i="84"/>
  <c r="V22" i="84"/>
  <c r="W11" i="84"/>
  <c r="V11" i="84"/>
  <c r="V29" i="84"/>
  <c r="W29" i="84"/>
  <c r="V32" i="84"/>
  <c r="W32" i="84"/>
  <c r="W35" i="84"/>
  <c r="V35" i="84"/>
  <c r="V45" i="84"/>
  <c r="W45" i="84"/>
  <c r="V18" i="84"/>
  <c r="W18" i="84"/>
  <c r="W25" i="84"/>
  <c r="V25" i="84"/>
  <c r="V28" i="84"/>
  <c r="W28" i="84"/>
  <c r="V41" i="84"/>
  <c r="W41" i="84"/>
  <c r="V44" i="84"/>
  <c r="W44" i="84"/>
  <c r="W47" i="84"/>
  <c r="V47" i="84"/>
  <c r="W114" i="84"/>
  <c r="P8" i="84" s="1"/>
  <c r="V13" i="84"/>
  <c r="W13" i="84"/>
  <c r="V24" i="84"/>
  <c r="W24" i="84"/>
  <c r="W27" i="84"/>
  <c r="V27" i="84"/>
  <c r="V37" i="84"/>
  <c r="W37" i="84"/>
  <c r="V40" i="84"/>
  <c r="W40" i="84"/>
  <c r="W43" i="84"/>
  <c r="V43" i="84"/>
  <c r="W176" i="84"/>
  <c r="P12" i="84" s="1"/>
  <c r="V7" i="84"/>
  <c r="W7" i="84"/>
  <c r="V16" i="84"/>
  <c r="W16" i="84"/>
  <c r="W31" i="84"/>
  <c r="V31" i="84"/>
  <c r="V8" i="84"/>
  <c r="W8" i="84"/>
  <c r="W10" i="84"/>
  <c r="V10" i="84"/>
  <c r="V15" i="84"/>
  <c r="W15" i="84"/>
  <c r="W21" i="84"/>
  <c r="V21" i="84"/>
  <c r="W23" i="84"/>
  <c r="V23" i="84"/>
  <c r="V33" i="84"/>
  <c r="W33" i="84"/>
  <c r="V36" i="84"/>
  <c r="W36" i="84"/>
  <c r="W39" i="84"/>
  <c r="V39" i="84"/>
  <c r="W238" i="84"/>
  <c r="P16" i="84" s="1"/>
  <c r="W12" i="84"/>
  <c r="W20" i="84"/>
  <c r="V6" i="84"/>
  <c r="V9" i="84"/>
  <c r="V14" i="84"/>
  <c r="V17" i="84"/>
  <c r="W26" i="84"/>
  <c r="W30" i="84"/>
  <c r="W34" i="84"/>
  <c r="W38" i="84"/>
  <c r="W42" i="84"/>
  <c r="W46" i="84"/>
  <c r="V91" i="84"/>
  <c r="V92" i="84"/>
  <c r="V93" i="84"/>
  <c r="V94" i="84"/>
  <c r="V95" i="84"/>
  <c r="V96" i="84"/>
  <c r="V97" i="84"/>
  <c r="V98" i="84"/>
  <c r="V99" i="84"/>
  <c r="V100" i="84"/>
  <c r="V101" i="84"/>
  <c r="V102" i="84"/>
  <c r="V103" i="84"/>
  <c r="V104" i="84"/>
  <c r="V105" i="84"/>
  <c r="V106" i="84"/>
  <c r="V107" i="84"/>
  <c r="V108" i="84"/>
  <c r="V109" i="84"/>
  <c r="V110" i="84"/>
  <c r="V111" i="84"/>
  <c r="V112" i="84"/>
  <c r="V113" i="84"/>
  <c r="V153" i="84"/>
  <c r="V154" i="84"/>
  <c r="V155" i="84"/>
  <c r="V156" i="84"/>
  <c r="V157" i="84"/>
  <c r="V158" i="84"/>
  <c r="V159" i="84"/>
  <c r="V160" i="84"/>
  <c r="V161" i="84"/>
  <c r="V162" i="84"/>
  <c r="V163" i="84"/>
  <c r="V164" i="84"/>
  <c r="V165" i="84"/>
  <c r="V166" i="84"/>
  <c r="V167" i="84"/>
  <c r="V168" i="84"/>
  <c r="V169" i="84"/>
  <c r="V170" i="84"/>
  <c r="V171" i="84"/>
  <c r="V172" i="84"/>
  <c r="V173" i="84"/>
  <c r="V174" i="84"/>
  <c r="V175" i="84"/>
  <c r="V215" i="84"/>
  <c r="V216" i="84"/>
  <c r="V217" i="84"/>
  <c r="V218" i="84"/>
  <c r="V219" i="84"/>
  <c r="V220" i="84"/>
  <c r="V221" i="84"/>
  <c r="V222" i="84"/>
  <c r="V223" i="84"/>
  <c r="V224" i="84"/>
  <c r="V225" i="84"/>
  <c r="V226" i="84"/>
  <c r="V227" i="84"/>
  <c r="V228" i="84"/>
  <c r="V229" i="84"/>
  <c r="V230" i="84"/>
  <c r="V231" i="84"/>
  <c r="V232" i="84"/>
  <c r="V233" i="84"/>
  <c r="V234" i="84"/>
  <c r="V235" i="84"/>
  <c r="V236" i="84"/>
  <c r="V237" i="84"/>
  <c r="J52" i="84"/>
  <c r="J114" i="84"/>
  <c r="J176" i="84"/>
  <c r="J238" i="84"/>
  <c r="I45" i="83"/>
  <c r="J45" i="83" s="1"/>
  <c r="I44" i="83"/>
  <c r="J44" i="83" s="1"/>
  <c r="J43" i="83"/>
  <c r="I43" i="83"/>
  <c r="I42" i="83"/>
  <c r="J42" i="83" s="1"/>
  <c r="I41" i="83"/>
  <c r="J41" i="83" s="1"/>
  <c r="I40" i="83"/>
  <c r="J40" i="83" s="1"/>
  <c r="I39" i="83"/>
  <c r="J39" i="83" s="1"/>
  <c r="I38" i="83"/>
  <c r="J38" i="83" s="1"/>
  <c r="I37" i="83"/>
  <c r="J37" i="83" s="1"/>
  <c r="I36" i="83"/>
  <c r="J36" i="83" s="1"/>
  <c r="J35" i="83"/>
  <c r="I35" i="83"/>
  <c r="I34" i="83"/>
  <c r="J34" i="83" s="1"/>
  <c r="I33" i="83"/>
  <c r="J33" i="83" s="1"/>
  <c r="I32" i="83"/>
  <c r="J32" i="83" s="1"/>
  <c r="I31" i="83"/>
  <c r="J31" i="83" s="1"/>
  <c r="I30" i="83"/>
  <c r="J30" i="83" s="1"/>
  <c r="I29" i="83"/>
  <c r="J29" i="83" s="1"/>
  <c r="I28" i="83"/>
  <c r="J28" i="83" s="1"/>
  <c r="Q18" i="86" l="1"/>
  <c r="Q8" i="85"/>
  <c r="Q12" i="85"/>
  <c r="Q16" i="85"/>
  <c r="R16" i="85"/>
  <c r="O18" i="85"/>
  <c r="R18" i="85" s="1"/>
  <c r="P20" i="85" s="1"/>
  <c r="R4" i="85"/>
  <c r="Q4" i="85"/>
  <c r="P18" i="85"/>
  <c r="W145" i="84"/>
  <c r="P10" i="84" s="1"/>
  <c r="V207" i="84"/>
  <c r="O14" i="84" s="1"/>
  <c r="R14" i="84" s="1"/>
  <c r="V145" i="84"/>
  <c r="O10" i="84" s="1"/>
  <c r="R10" i="84" s="1"/>
  <c r="W52" i="84"/>
  <c r="P4" i="84" s="1"/>
  <c r="W207" i="84"/>
  <c r="P14" i="84" s="1"/>
  <c r="W83" i="84"/>
  <c r="P6" i="84" s="1"/>
  <c r="V83" i="84"/>
  <c r="O6" i="84" s="1"/>
  <c r="V238" i="84"/>
  <c r="O16" i="84" s="1"/>
  <c r="V52" i="84"/>
  <c r="O4" i="84" s="1"/>
  <c r="V176" i="84"/>
  <c r="O12" i="84" s="1"/>
  <c r="V114" i="84"/>
  <c r="O8" i="84" s="1"/>
  <c r="I27" i="83"/>
  <c r="J27" i="83" s="1"/>
  <c r="W27" i="83" s="1"/>
  <c r="I26" i="83"/>
  <c r="J26" i="83" s="1"/>
  <c r="I25" i="83"/>
  <c r="J25" i="83" s="1"/>
  <c r="I24" i="83"/>
  <c r="J24" i="83" s="1"/>
  <c r="I23" i="83"/>
  <c r="J23" i="83" s="1"/>
  <c r="W23" i="83" s="1"/>
  <c r="I22" i="83"/>
  <c r="J22" i="83" s="1"/>
  <c r="I21" i="83"/>
  <c r="J21" i="83" s="1"/>
  <c r="I20" i="83"/>
  <c r="J20" i="83" s="1"/>
  <c r="V20" i="83" s="1"/>
  <c r="I19" i="83"/>
  <c r="J19" i="83" s="1"/>
  <c r="I18" i="83"/>
  <c r="J18" i="83" s="1"/>
  <c r="I17" i="83"/>
  <c r="J17" i="83" s="1"/>
  <c r="W17" i="83" s="1"/>
  <c r="I16" i="83"/>
  <c r="J16" i="83" s="1"/>
  <c r="I15" i="83"/>
  <c r="J15" i="83" s="1"/>
  <c r="I14" i="83"/>
  <c r="J14" i="83" s="1"/>
  <c r="I13" i="83"/>
  <c r="J13" i="83" s="1"/>
  <c r="I12" i="83"/>
  <c r="J12" i="83" s="1"/>
  <c r="V12" i="83" s="1"/>
  <c r="I10" i="83"/>
  <c r="J10" i="83" s="1"/>
  <c r="I11" i="83"/>
  <c r="J11" i="83" s="1"/>
  <c r="I8" i="83"/>
  <c r="J8" i="83" s="1"/>
  <c r="I9" i="83"/>
  <c r="J9" i="83" s="1"/>
  <c r="W9" i="83" s="1"/>
  <c r="J237" i="83"/>
  <c r="W237" i="83" s="1"/>
  <c r="J236" i="83"/>
  <c r="W236" i="83" s="1"/>
  <c r="J235" i="83"/>
  <c r="W235" i="83" s="1"/>
  <c r="J234" i="83"/>
  <c r="W234" i="83" s="1"/>
  <c r="J233" i="83"/>
  <c r="W233" i="83" s="1"/>
  <c r="J232" i="83"/>
  <c r="W232" i="83" s="1"/>
  <c r="J231" i="83"/>
  <c r="W231" i="83" s="1"/>
  <c r="J230" i="83"/>
  <c r="W230" i="83" s="1"/>
  <c r="J229" i="83"/>
  <c r="W229" i="83" s="1"/>
  <c r="J228" i="83"/>
  <c r="W228" i="83" s="1"/>
  <c r="J227" i="83"/>
  <c r="W227" i="83" s="1"/>
  <c r="J226" i="83"/>
  <c r="W226" i="83" s="1"/>
  <c r="J225" i="83"/>
  <c r="W225" i="83" s="1"/>
  <c r="J224" i="83"/>
  <c r="W224" i="83" s="1"/>
  <c r="J223" i="83"/>
  <c r="W223" i="83" s="1"/>
  <c r="J222" i="83"/>
  <c r="W222" i="83" s="1"/>
  <c r="J221" i="83"/>
  <c r="W221" i="83" s="1"/>
  <c r="J220" i="83"/>
  <c r="W220" i="83" s="1"/>
  <c r="J219" i="83"/>
  <c r="W219" i="83" s="1"/>
  <c r="J218" i="83"/>
  <c r="W218" i="83" s="1"/>
  <c r="J217" i="83"/>
  <c r="W217" i="83" s="1"/>
  <c r="J216" i="83"/>
  <c r="W216" i="83" s="1"/>
  <c r="B216" i="83"/>
  <c r="B217" i="83" s="1"/>
  <c r="B218" i="83" s="1"/>
  <c r="B219" i="83" s="1"/>
  <c r="B220" i="83" s="1"/>
  <c r="B221" i="83" s="1"/>
  <c r="B222" i="83" s="1"/>
  <c r="B223" i="83" s="1"/>
  <c r="B224" i="83" s="1"/>
  <c r="B225" i="83" s="1"/>
  <c r="B226" i="83" s="1"/>
  <c r="B227" i="83" s="1"/>
  <c r="B228" i="83" s="1"/>
  <c r="B229" i="83" s="1"/>
  <c r="B230" i="83" s="1"/>
  <c r="B231" i="83" s="1"/>
  <c r="B232" i="83" s="1"/>
  <c r="B233" i="83" s="1"/>
  <c r="B234" i="83" s="1"/>
  <c r="B235" i="83" s="1"/>
  <c r="B236" i="83" s="1"/>
  <c r="B237" i="83" s="1"/>
  <c r="J215" i="83"/>
  <c r="W215" i="83" s="1"/>
  <c r="W206" i="83"/>
  <c r="V206" i="83"/>
  <c r="J206" i="83"/>
  <c r="J205" i="83"/>
  <c r="W205" i="83" s="1"/>
  <c r="J204" i="83"/>
  <c r="V204" i="83" s="1"/>
  <c r="J203" i="83"/>
  <c r="W203" i="83" s="1"/>
  <c r="J202" i="83"/>
  <c r="V202" i="83" s="1"/>
  <c r="J201" i="83"/>
  <c r="W201" i="83" s="1"/>
  <c r="J200" i="83"/>
  <c r="W200" i="83" s="1"/>
  <c r="J199" i="83"/>
  <c r="V199" i="83" s="1"/>
  <c r="J198" i="83"/>
  <c r="V198" i="83" s="1"/>
  <c r="J197" i="83"/>
  <c r="V197" i="83" s="1"/>
  <c r="J196" i="83"/>
  <c r="W196" i="83" s="1"/>
  <c r="J195" i="83"/>
  <c r="V195" i="83" s="1"/>
  <c r="J194" i="83"/>
  <c r="V194" i="83" s="1"/>
  <c r="J193" i="83"/>
  <c r="V193" i="83" s="1"/>
  <c r="J192" i="83"/>
  <c r="W192" i="83" s="1"/>
  <c r="J191" i="83"/>
  <c r="V191" i="83" s="1"/>
  <c r="J190" i="83"/>
  <c r="V190" i="83" s="1"/>
  <c r="J189" i="83"/>
  <c r="V189" i="83" s="1"/>
  <c r="J188" i="83"/>
  <c r="W188" i="83" s="1"/>
  <c r="J187" i="83"/>
  <c r="V187" i="83" s="1"/>
  <c r="J186" i="83"/>
  <c r="V186" i="83" s="1"/>
  <c r="J185" i="83"/>
  <c r="V185" i="83" s="1"/>
  <c r="B185" i="83"/>
  <c r="B186" i="83" s="1"/>
  <c r="B187" i="83" s="1"/>
  <c r="B188" i="83" s="1"/>
  <c r="B189" i="83" s="1"/>
  <c r="B190" i="83" s="1"/>
  <c r="B191" i="83" s="1"/>
  <c r="B192" i="83" s="1"/>
  <c r="B193" i="83" s="1"/>
  <c r="B194" i="83" s="1"/>
  <c r="B195" i="83" s="1"/>
  <c r="B196" i="83" s="1"/>
  <c r="B197" i="83" s="1"/>
  <c r="B198" i="83" s="1"/>
  <c r="B199" i="83" s="1"/>
  <c r="B200" i="83" s="1"/>
  <c r="B201" i="83" s="1"/>
  <c r="B202" i="83" s="1"/>
  <c r="B203" i="83" s="1"/>
  <c r="B204" i="83" s="1"/>
  <c r="B205" i="83" s="1"/>
  <c r="B206" i="83" s="1"/>
  <c r="J184" i="83"/>
  <c r="W184" i="83" s="1"/>
  <c r="J175" i="83"/>
  <c r="W175" i="83" s="1"/>
  <c r="V174" i="83"/>
  <c r="J174" i="83"/>
  <c r="W174" i="83" s="1"/>
  <c r="J173" i="83"/>
  <c r="W173" i="83" s="1"/>
  <c r="J172" i="83"/>
  <c r="W172" i="83" s="1"/>
  <c r="J171" i="83"/>
  <c r="W171" i="83" s="1"/>
  <c r="J170" i="83"/>
  <c r="W170" i="83" s="1"/>
  <c r="J169" i="83"/>
  <c r="W169" i="83" s="1"/>
  <c r="J168" i="83"/>
  <c r="W168" i="83" s="1"/>
  <c r="J167" i="83"/>
  <c r="W167" i="83" s="1"/>
  <c r="J166" i="83"/>
  <c r="W166" i="83" s="1"/>
  <c r="J165" i="83"/>
  <c r="W165" i="83" s="1"/>
  <c r="J164" i="83"/>
  <c r="W164" i="83" s="1"/>
  <c r="V163" i="83"/>
  <c r="J163" i="83"/>
  <c r="W163" i="83" s="1"/>
  <c r="J162" i="83"/>
  <c r="W162" i="83" s="1"/>
  <c r="J161" i="83"/>
  <c r="W161" i="83" s="1"/>
  <c r="J160" i="83"/>
  <c r="W160" i="83" s="1"/>
  <c r="J159" i="83"/>
  <c r="W159" i="83" s="1"/>
  <c r="J158" i="83"/>
  <c r="W158" i="83" s="1"/>
  <c r="J157" i="83"/>
  <c r="W157" i="83" s="1"/>
  <c r="J156" i="83"/>
  <c r="W156" i="83" s="1"/>
  <c r="J155" i="83"/>
  <c r="W155" i="83" s="1"/>
  <c r="J154" i="83"/>
  <c r="W154" i="83" s="1"/>
  <c r="B154" i="83"/>
  <c r="B155" i="83" s="1"/>
  <c r="B156" i="83" s="1"/>
  <c r="B157" i="83" s="1"/>
  <c r="B158" i="83" s="1"/>
  <c r="B159" i="83" s="1"/>
  <c r="B160" i="83" s="1"/>
  <c r="B161" i="83" s="1"/>
  <c r="B162" i="83" s="1"/>
  <c r="B163" i="83" s="1"/>
  <c r="B164" i="83" s="1"/>
  <c r="B165" i="83" s="1"/>
  <c r="B166" i="83" s="1"/>
  <c r="B167" i="83" s="1"/>
  <c r="B168" i="83" s="1"/>
  <c r="B169" i="83" s="1"/>
  <c r="B170" i="83" s="1"/>
  <c r="B171" i="83" s="1"/>
  <c r="B172" i="83" s="1"/>
  <c r="B173" i="83" s="1"/>
  <c r="B174" i="83" s="1"/>
  <c r="B175" i="83" s="1"/>
  <c r="J153" i="83"/>
  <c r="W153" i="83" s="1"/>
  <c r="J144" i="83"/>
  <c r="W144" i="83" s="1"/>
  <c r="J143" i="83"/>
  <c r="V143" i="83" s="1"/>
  <c r="J142" i="83"/>
  <c r="V142" i="83" s="1"/>
  <c r="J141" i="83"/>
  <c r="V141" i="83" s="1"/>
  <c r="J140" i="83"/>
  <c r="V140" i="83" s="1"/>
  <c r="J139" i="83"/>
  <c r="W139" i="83" s="1"/>
  <c r="J138" i="83"/>
  <c r="V138" i="83" s="1"/>
  <c r="J137" i="83"/>
  <c r="W137" i="83" s="1"/>
  <c r="J136" i="83"/>
  <c r="W136" i="83" s="1"/>
  <c r="J135" i="83"/>
  <c r="W135" i="83" s="1"/>
  <c r="J134" i="83"/>
  <c r="V134" i="83" s="1"/>
  <c r="J133" i="83"/>
  <c r="V133" i="83" s="1"/>
  <c r="J132" i="83"/>
  <c r="W132" i="83" s="1"/>
  <c r="J131" i="83"/>
  <c r="W131" i="83" s="1"/>
  <c r="J130" i="83"/>
  <c r="V130" i="83" s="1"/>
  <c r="J129" i="83"/>
  <c r="W129" i="83" s="1"/>
  <c r="J128" i="83"/>
  <c r="W128" i="83" s="1"/>
  <c r="J127" i="83"/>
  <c r="W127" i="83" s="1"/>
  <c r="J126" i="83"/>
  <c r="V126" i="83" s="1"/>
  <c r="J125" i="83"/>
  <c r="W125" i="83" s="1"/>
  <c r="J124" i="83"/>
  <c r="W124" i="83" s="1"/>
  <c r="J123" i="83"/>
  <c r="W123" i="83" s="1"/>
  <c r="B123" i="83"/>
  <c r="B124" i="83" s="1"/>
  <c r="B125" i="83" s="1"/>
  <c r="B126" i="83" s="1"/>
  <c r="B127" i="83" s="1"/>
  <c r="B128" i="83" s="1"/>
  <c r="B129" i="83" s="1"/>
  <c r="B130" i="83" s="1"/>
  <c r="B131" i="83" s="1"/>
  <c r="B132" i="83" s="1"/>
  <c r="B133" i="83" s="1"/>
  <c r="B134" i="83" s="1"/>
  <c r="B135" i="83" s="1"/>
  <c r="B136" i="83" s="1"/>
  <c r="B137" i="83" s="1"/>
  <c r="B138" i="83" s="1"/>
  <c r="B139" i="83" s="1"/>
  <c r="B140" i="83" s="1"/>
  <c r="B141" i="83" s="1"/>
  <c r="B142" i="83" s="1"/>
  <c r="B143" i="83" s="1"/>
  <c r="B144" i="83" s="1"/>
  <c r="J122" i="83"/>
  <c r="W122" i="83" s="1"/>
  <c r="V113" i="83"/>
  <c r="J113" i="83"/>
  <c r="W113" i="83" s="1"/>
  <c r="J112" i="83"/>
  <c r="W112" i="83" s="1"/>
  <c r="J111" i="83"/>
  <c r="W111" i="83" s="1"/>
  <c r="V110" i="83"/>
  <c r="J110" i="83"/>
  <c r="W110" i="83" s="1"/>
  <c r="J109" i="83"/>
  <c r="W109" i="83" s="1"/>
  <c r="J108" i="83"/>
  <c r="W108" i="83" s="1"/>
  <c r="J107" i="83"/>
  <c r="W107" i="83" s="1"/>
  <c r="J106" i="83"/>
  <c r="W106" i="83" s="1"/>
  <c r="J105" i="83"/>
  <c r="W105" i="83" s="1"/>
  <c r="J104" i="83"/>
  <c r="W104" i="83" s="1"/>
  <c r="J103" i="83"/>
  <c r="W103" i="83" s="1"/>
  <c r="J102" i="83"/>
  <c r="W102" i="83" s="1"/>
  <c r="J101" i="83"/>
  <c r="W101" i="83" s="1"/>
  <c r="J100" i="83"/>
  <c r="W100" i="83" s="1"/>
  <c r="J99" i="83"/>
  <c r="W99" i="83" s="1"/>
  <c r="J98" i="83"/>
  <c r="W98" i="83" s="1"/>
  <c r="J97" i="83"/>
  <c r="W97" i="83" s="1"/>
  <c r="J96" i="83"/>
  <c r="W96" i="83" s="1"/>
  <c r="J95" i="83"/>
  <c r="W95" i="83" s="1"/>
  <c r="J94" i="83"/>
  <c r="W94" i="83" s="1"/>
  <c r="J93" i="83"/>
  <c r="W93" i="83" s="1"/>
  <c r="J92" i="83"/>
  <c r="W92" i="83" s="1"/>
  <c r="B92" i="83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B103" i="83" s="1"/>
  <c r="B104" i="83" s="1"/>
  <c r="B105" i="83" s="1"/>
  <c r="B106" i="83" s="1"/>
  <c r="B107" i="83" s="1"/>
  <c r="B108" i="83" s="1"/>
  <c r="B109" i="83" s="1"/>
  <c r="B110" i="83" s="1"/>
  <c r="B111" i="83" s="1"/>
  <c r="B112" i="83" s="1"/>
  <c r="B113" i="83" s="1"/>
  <c r="J91" i="83"/>
  <c r="W91" i="83" s="1"/>
  <c r="W82" i="83"/>
  <c r="J82" i="83"/>
  <c r="V82" i="83" s="1"/>
  <c r="J81" i="83"/>
  <c r="W81" i="83" s="1"/>
  <c r="J80" i="83"/>
  <c r="V80" i="83" s="1"/>
  <c r="J79" i="83"/>
  <c r="V79" i="83" s="1"/>
  <c r="J78" i="83"/>
  <c r="W78" i="83" s="1"/>
  <c r="J77" i="83"/>
  <c r="W77" i="83" s="1"/>
  <c r="J76" i="83"/>
  <c r="V76" i="83" s="1"/>
  <c r="J75" i="83"/>
  <c r="V75" i="83" s="1"/>
  <c r="W74" i="83"/>
  <c r="J74" i="83"/>
  <c r="V74" i="83" s="1"/>
  <c r="J73" i="83"/>
  <c r="W73" i="83" s="1"/>
  <c r="J72" i="83"/>
  <c r="V72" i="83" s="1"/>
  <c r="J71" i="83"/>
  <c r="V71" i="83" s="1"/>
  <c r="J70" i="83"/>
  <c r="W70" i="83" s="1"/>
  <c r="J69" i="83"/>
  <c r="W69" i="83" s="1"/>
  <c r="J68" i="83"/>
  <c r="V68" i="83" s="1"/>
  <c r="J67" i="83"/>
  <c r="V67" i="83" s="1"/>
  <c r="J66" i="83"/>
  <c r="V66" i="83" s="1"/>
  <c r="J65" i="83"/>
  <c r="W65" i="83" s="1"/>
  <c r="J64" i="83"/>
  <c r="V64" i="83" s="1"/>
  <c r="J63" i="83"/>
  <c r="V63" i="83" s="1"/>
  <c r="J62" i="83"/>
  <c r="V62" i="83" s="1"/>
  <c r="J61" i="83"/>
  <c r="W61" i="83" s="1"/>
  <c r="B61" i="83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J60" i="83"/>
  <c r="W51" i="83"/>
  <c r="V51" i="83"/>
  <c r="W50" i="83"/>
  <c r="V50" i="83"/>
  <c r="W49" i="83"/>
  <c r="V49" i="83"/>
  <c r="W48" i="83"/>
  <c r="V48" i="83"/>
  <c r="W47" i="83"/>
  <c r="V47" i="83"/>
  <c r="W46" i="83"/>
  <c r="V46" i="83"/>
  <c r="W45" i="83"/>
  <c r="V45" i="83"/>
  <c r="W44" i="83"/>
  <c r="V44" i="83"/>
  <c r="W43" i="83"/>
  <c r="V43" i="83"/>
  <c r="W42" i="83"/>
  <c r="V42" i="83"/>
  <c r="W41" i="83"/>
  <c r="V41" i="83"/>
  <c r="W40" i="83"/>
  <c r="V40" i="83"/>
  <c r="W39" i="83"/>
  <c r="W38" i="83"/>
  <c r="V38" i="83"/>
  <c r="W35" i="83"/>
  <c r="W34" i="83"/>
  <c r="V34" i="83"/>
  <c r="W31" i="83"/>
  <c r="N16" i="83"/>
  <c r="N14" i="83"/>
  <c r="N12" i="83"/>
  <c r="N10" i="83"/>
  <c r="N8" i="83"/>
  <c r="I7" i="83"/>
  <c r="J7" i="83" s="1"/>
  <c r="B7" i="83"/>
  <c r="B8" i="83" s="1"/>
  <c r="B9" i="83" s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N6" i="83"/>
  <c r="I6" i="83"/>
  <c r="J6" i="83" s="1"/>
  <c r="W6" i="83" s="1"/>
  <c r="N4" i="83"/>
  <c r="I39" i="82"/>
  <c r="J39" i="82" s="1"/>
  <c r="I38" i="82"/>
  <c r="J38" i="82" s="1"/>
  <c r="I37" i="82"/>
  <c r="J37" i="82" s="1"/>
  <c r="J36" i="82"/>
  <c r="I36" i="82"/>
  <c r="I35" i="82"/>
  <c r="J35" i="82" s="1"/>
  <c r="I34" i="82"/>
  <c r="J34" i="82" s="1"/>
  <c r="I33" i="82"/>
  <c r="J33" i="82" s="1"/>
  <c r="I32" i="82"/>
  <c r="J32" i="82" s="1"/>
  <c r="I31" i="82"/>
  <c r="J31" i="82" s="1"/>
  <c r="I30" i="82"/>
  <c r="J30" i="82" s="1"/>
  <c r="I29" i="82"/>
  <c r="J29" i="82" s="1"/>
  <c r="J28" i="82"/>
  <c r="I28" i="82"/>
  <c r="I27" i="82"/>
  <c r="J27" i="82" s="1"/>
  <c r="I26" i="82"/>
  <c r="J26" i="82" s="1"/>
  <c r="I25" i="82"/>
  <c r="J25" i="82" s="1"/>
  <c r="I24" i="82"/>
  <c r="J24" i="82" s="1"/>
  <c r="I23" i="82"/>
  <c r="J23" i="82" s="1"/>
  <c r="I22" i="82"/>
  <c r="J22" i="82" s="1"/>
  <c r="I21" i="82"/>
  <c r="J21" i="82" s="1"/>
  <c r="J20" i="82"/>
  <c r="I20" i="82"/>
  <c r="I19" i="82"/>
  <c r="J19" i="82" s="1"/>
  <c r="I18" i="82"/>
  <c r="J18" i="82" s="1"/>
  <c r="I17" i="82"/>
  <c r="J17" i="82" s="1"/>
  <c r="I16" i="82"/>
  <c r="J16" i="82" s="1"/>
  <c r="I15" i="82"/>
  <c r="J15" i="82" s="1"/>
  <c r="I14" i="82"/>
  <c r="J14" i="82" s="1"/>
  <c r="I13" i="82"/>
  <c r="J13" i="82" s="1"/>
  <c r="I12" i="82"/>
  <c r="J12" i="82" s="1"/>
  <c r="I11" i="82"/>
  <c r="J11" i="82" s="1"/>
  <c r="I10" i="82"/>
  <c r="J10" i="82" s="1"/>
  <c r="V215" i="83" l="1"/>
  <c r="W62" i="83"/>
  <c r="W143" i="83"/>
  <c r="V137" i="83"/>
  <c r="W189" i="83"/>
  <c r="W204" i="83"/>
  <c r="V78" i="83"/>
  <c r="V81" i="83"/>
  <c r="V155" i="83"/>
  <c r="V19" i="83"/>
  <c r="W19" i="83"/>
  <c r="W63" i="83"/>
  <c r="V144" i="83"/>
  <c r="V205" i="83"/>
  <c r="V234" i="83"/>
  <c r="V236" i="83"/>
  <c r="W71" i="83"/>
  <c r="V91" i="83"/>
  <c r="V112" i="83"/>
  <c r="V129" i="83"/>
  <c r="V175" i="83"/>
  <c r="V233" i="83"/>
  <c r="V235" i="83"/>
  <c r="V237" i="83"/>
  <c r="Q18" i="85"/>
  <c r="P18" i="84"/>
  <c r="Q14" i="84"/>
  <c r="Q10" i="84"/>
  <c r="Q6" i="84"/>
  <c r="R6" i="84"/>
  <c r="R16" i="84"/>
  <c r="Q16" i="84"/>
  <c r="Q4" i="84"/>
  <c r="R4" i="84"/>
  <c r="O18" i="84"/>
  <c r="R18" i="84" s="1"/>
  <c r="P20" i="84" s="1"/>
  <c r="Q12" i="84"/>
  <c r="R12" i="84"/>
  <c r="R8" i="84"/>
  <c r="Q8" i="84"/>
  <c r="V173" i="83"/>
  <c r="W142" i="83"/>
  <c r="V111" i="83"/>
  <c r="W80" i="83"/>
  <c r="V203" i="83"/>
  <c r="W141" i="83"/>
  <c r="W79" i="83"/>
  <c r="W202" i="83"/>
  <c r="V171" i="83"/>
  <c r="V231" i="83"/>
  <c r="W75" i="83"/>
  <c r="V167" i="83"/>
  <c r="W197" i="83"/>
  <c r="W133" i="83"/>
  <c r="V102" i="83"/>
  <c r="V70" i="83"/>
  <c r="W193" i="83"/>
  <c r="W67" i="83"/>
  <c r="V159" i="83"/>
  <c r="W66" i="83"/>
  <c r="V65" i="83"/>
  <c r="V125" i="83"/>
  <c r="V94" i="83"/>
  <c r="W185" i="83"/>
  <c r="J83" i="83"/>
  <c r="V61" i="83"/>
  <c r="V60" i="83"/>
  <c r="V217" i="83"/>
  <c r="V219" i="83"/>
  <c r="V221" i="83"/>
  <c r="V223" i="83"/>
  <c r="V225" i="83"/>
  <c r="V227" i="83"/>
  <c r="V229" i="83"/>
  <c r="V216" i="83"/>
  <c r="V218" i="83"/>
  <c r="V220" i="83"/>
  <c r="V222" i="83"/>
  <c r="V224" i="83"/>
  <c r="V226" i="83"/>
  <c r="V228" i="83"/>
  <c r="V230" i="83"/>
  <c r="V232" i="83"/>
  <c r="J207" i="83"/>
  <c r="W186" i="83"/>
  <c r="W190" i="83"/>
  <c r="W194" i="83"/>
  <c r="W198" i="83"/>
  <c r="V188" i="83"/>
  <c r="V192" i="83"/>
  <c r="V196" i="83"/>
  <c r="V200" i="83"/>
  <c r="N18" i="83"/>
  <c r="V184" i="83"/>
  <c r="V201" i="83"/>
  <c r="W187" i="83"/>
  <c r="W191" i="83"/>
  <c r="W195" i="83"/>
  <c r="W199" i="83"/>
  <c r="V161" i="83"/>
  <c r="V169" i="83"/>
  <c r="V157" i="83"/>
  <c r="V165" i="83"/>
  <c r="W176" i="83"/>
  <c r="P12" i="83" s="1"/>
  <c r="V154" i="83"/>
  <c r="V156" i="83"/>
  <c r="V158" i="83"/>
  <c r="V160" i="83"/>
  <c r="V162" i="83"/>
  <c r="V164" i="83"/>
  <c r="V166" i="83"/>
  <c r="V168" i="83"/>
  <c r="V170" i="83"/>
  <c r="V172" i="83"/>
  <c r="V153" i="83"/>
  <c r="V124" i="83"/>
  <c r="V128" i="83"/>
  <c r="V132" i="83"/>
  <c r="V136" i="83"/>
  <c r="V122" i="83"/>
  <c r="V123" i="83"/>
  <c r="V127" i="83"/>
  <c r="V131" i="83"/>
  <c r="V135" i="83"/>
  <c r="V139" i="83"/>
  <c r="J145" i="83"/>
  <c r="W126" i="83"/>
  <c r="W130" i="83"/>
  <c r="W134" i="83"/>
  <c r="W138" i="83"/>
  <c r="W140" i="83"/>
  <c r="V98" i="83"/>
  <c r="V106" i="83"/>
  <c r="V92" i="83"/>
  <c r="V100" i="83"/>
  <c r="V108" i="83"/>
  <c r="V96" i="83"/>
  <c r="V104" i="83"/>
  <c r="V93" i="83"/>
  <c r="V95" i="83"/>
  <c r="V97" i="83"/>
  <c r="V99" i="83"/>
  <c r="V101" i="83"/>
  <c r="V103" i="83"/>
  <c r="V105" i="83"/>
  <c r="V107" i="83"/>
  <c r="V109" i="83"/>
  <c r="V69" i="83"/>
  <c r="V73" i="83"/>
  <c r="V77" i="83"/>
  <c r="W64" i="83"/>
  <c r="W68" i="83"/>
  <c r="W72" i="83"/>
  <c r="W76" i="83"/>
  <c r="W60" i="83"/>
  <c r="W11" i="83"/>
  <c r="V11" i="83"/>
  <c r="W14" i="83"/>
  <c r="V14" i="83"/>
  <c r="V22" i="83"/>
  <c r="W22" i="83"/>
  <c r="V26" i="83"/>
  <c r="W26" i="83"/>
  <c r="V30" i="83"/>
  <c r="W30" i="83"/>
  <c r="V6" i="83"/>
  <c r="V18" i="83"/>
  <c r="W18" i="83"/>
  <c r="V21" i="83"/>
  <c r="W21" i="83"/>
  <c r="V13" i="83"/>
  <c r="W13" i="83"/>
  <c r="V24" i="83"/>
  <c r="W24" i="83"/>
  <c r="V28" i="83"/>
  <c r="W28" i="83"/>
  <c r="V32" i="83"/>
  <c r="W32" i="83"/>
  <c r="V36" i="83"/>
  <c r="W36" i="83"/>
  <c r="V7" i="83"/>
  <c r="W7" i="83"/>
  <c r="V15" i="83"/>
  <c r="W15" i="83"/>
  <c r="V25" i="83"/>
  <c r="W25" i="83"/>
  <c r="V29" i="83"/>
  <c r="W29" i="83"/>
  <c r="W33" i="83"/>
  <c r="V33" i="83"/>
  <c r="V37" i="83"/>
  <c r="W37" i="83"/>
  <c r="V8" i="83"/>
  <c r="W8" i="83"/>
  <c r="V10" i="83"/>
  <c r="W10" i="83"/>
  <c r="W114" i="83"/>
  <c r="P8" i="83" s="1"/>
  <c r="W238" i="83"/>
  <c r="P16" i="83" s="1"/>
  <c r="V16" i="83"/>
  <c r="W16" i="83"/>
  <c r="V9" i="83"/>
  <c r="V17" i="83"/>
  <c r="V23" i="83"/>
  <c r="V27" i="83"/>
  <c r="V31" i="83"/>
  <c r="V35" i="83"/>
  <c r="V39" i="83"/>
  <c r="J114" i="83"/>
  <c r="J176" i="83"/>
  <c r="J238" i="83"/>
  <c r="W12" i="83"/>
  <c r="W20" i="83"/>
  <c r="J52" i="83"/>
  <c r="J123" i="81"/>
  <c r="J124" i="81"/>
  <c r="J125" i="81"/>
  <c r="J126" i="81"/>
  <c r="J127" i="81"/>
  <c r="J128" i="81"/>
  <c r="J129" i="81"/>
  <c r="J130" i="81"/>
  <c r="J131" i="81"/>
  <c r="J132" i="81"/>
  <c r="J133" i="81"/>
  <c r="J134" i="81"/>
  <c r="J135" i="81"/>
  <c r="J136" i="81"/>
  <c r="J137" i="81"/>
  <c r="J138" i="81"/>
  <c r="J139" i="81"/>
  <c r="J140" i="81"/>
  <c r="J141" i="81"/>
  <c r="I9" i="82"/>
  <c r="J9" i="82" s="1"/>
  <c r="J237" i="82"/>
  <c r="W237" i="82" s="1"/>
  <c r="J236" i="82"/>
  <c r="W236" i="82" s="1"/>
  <c r="J235" i="82"/>
  <c r="W235" i="82" s="1"/>
  <c r="J234" i="82"/>
  <c r="W234" i="82" s="1"/>
  <c r="J233" i="82"/>
  <c r="W233" i="82" s="1"/>
  <c r="J232" i="82"/>
  <c r="W232" i="82" s="1"/>
  <c r="J231" i="82"/>
  <c r="W231" i="82" s="1"/>
  <c r="J230" i="82"/>
  <c r="W230" i="82" s="1"/>
  <c r="J229" i="82"/>
  <c r="W229" i="82" s="1"/>
  <c r="J228" i="82"/>
  <c r="W228" i="82" s="1"/>
  <c r="J227" i="82"/>
  <c r="W227" i="82" s="1"/>
  <c r="J226" i="82"/>
  <c r="W226" i="82" s="1"/>
  <c r="J225" i="82"/>
  <c r="W225" i="82" s="1"/>
  <c r="J224" i="82"/>
  <c r="W224" i="82" s="1"/>
  <c r="J223" i="82"/>
  <c r="W223" i="82" s="1"/>
  <c r="J222" i="82"/>
  <c r="W222" i="82" s="1"/>
  <c r="J221" i="82"/>
  <c r="W221" i="82" s="1"/>
  <c r="J220" i="82"/>
  <c r="W220" i="82" s="1"/>
  <c r="J219" i="82"/>
  <c r="W219" i="82" s="1"/>
  <c r="J218" i="82"/>
  <c r="W218" i="82" s="1"/>
  <c r="J217" i="82"/>
  <c r="W217" i="82" s="1"/>
  <c r="J216" i="82"/>
  <c r="W216" i="82" s="1"/>
  <c r="B216" i="82"/>
  <c r="B217" i="82" s="1"/>
  <c r="B218" i="82" s="1"/>
  <c r="B219" i="82" s="1"/>
  <c r="B220" i="82" s="1"/>
  <c r="B221" i="82" s="1"/>
  <c r="B222" i="82" s="1"/>
  <c r="B223" i="82" s="1"/>
  <c r="B224" i="82" s="1"/>
  <c r="B225" i="82" s="1"/>
  <c r="B226" i="82" s="1"/>
  <c r="B227" i="82" s="1"/>
  <c r="B228" i="82" s="1"/>
  <c r="B229" i="82" s="1"/>
  <c r="B230" i="82" s="1"/>
  <c r="B231" i="82" s="1"/>
  <c r="B232" i="82" s="1"/>
  <c r="B233" i="82" s="1"/>
  <c r="B234" i="82" s="1"/>
  <c r="B235" i="82" s="1"/>
  <c r="B236" i="82" s="1"/>
  <c r="B237" i="82" s="1"/>
  <c r="J215" i="82"/>
  <c r="W215" i="82" s="1"/>
  <c r="J206" i="82"/>
  <c r="V206" i="82" s="1"/>
  <c r="J205" i="82"/>
  <c r="V205" i="82" s="1"/>
  <c r="W204" i="82"/>
  <c r="J204" i="82"/>
  <c r="V204" i="82" s="1"/>
  <c r="J203" i="82"/>
  <c r="V203" i="82" s="1"/>
  <c r="J202" i="82"/>
  <c r="V202" i="82" s="1"/>
  <c r="J201" i="82"/>
  <c r="V201" i="82" s="1"/>
  <c r="J200" i="82"/>
  <c r="V200" i="82" s="1"/>
  <c r="J199" i="82"/>
  <c r="V199" i="82" s="1"/>
  <c r="J198" i="82"/>
  <c r="V198" i="82" s="1"/>
  <c r="J197" i="82"/>
  <c r="V197" i="82" s="1"/>
  <c r="J196" i="82"/>
  <c r="V196" i="82" s="1"/>
  <c r="J195" i="82"/>
  <c r="V195" i="82" s="1"/>
  <c r="J194" i="82"/>
  <c r="V194" i="82" s="1"/>
  <c r="J193" i="82"/>
  <c r="V193" i="82" s="1"/>
  <c r="J192" i="82"/>
  <c r="V192" i="82" s="1"/>
  <c r="J191" i="82"/>
  <c r="V191" i="82" s="1"/>
  <c r="J190" i="82"/>
  <c r="V190" i="82" s="1"/>
  <c r="J189" i="82"/>
  <c r="V189" i="82" s="1"/>
  <c r="J188" i="82"/>
  <c r="V188" i="82" s="1"/>
  <c r="J187" i="82"/>
  <c r="V187" i="82" s="1"/>
  <c r="J186" i="82"/>
  <c r="V186" i="82" s="1"/>
  <c r="J185" i="82"/>
  <c r="V185" i="82" s="1"/>
  <c r="B185" i="82"/>
  <c r="B186" i="82" s="1"/>
  <c r="B187" i="82" s="1"/>
  <c r="B188" i="82" s="1"/>
  <c r="B189" i="82" s="1"/>
  <c r="B190" i="82" s="1"/>
  <c r="B191" i="82" s="1"/>
  <c r="B192" i="82" s="1"/>
  <c r="B193" i="82" s="1"/>
  <c r="B194" i="82" s="1"/>
  <c r="B195" i="82" s="1"/>
  <c r="B196" i="82" s="1"/>
  <c r="B197" i="82" s="1"/>
  <c r="B198" i="82" s="1"/>
  <c r="B199" i="82" s="1"/>
  <c r="B200" i="82" s="1"/>
  <c r="B201" i="82" s="1"/>
  <c r="B202" i="82" s="1"/>
  <c r="B203" i="82" s="1"/>
  <c r="B204" i="82" s="1"/>
  <c r="B205" i="82" s="1"/>
  <c r="B206" i="82" s="1"/>
  <c r="J184" i="82"/>
  <c r="V184" i="82" s="1"/>
  <c r="J175" i="82"/>
  <c r="W175" i="82" s="1"/>
  <c r="J174" i="82"/>
  <c r="W174" i="82" s="1"/>
  <c r="J173" i="82"/>
  <c r="W173" i="82" s="1"/>
  <c r="J172" i="82"/>
  <c r="W172" i="82" s="1"/>
  <c r="J171" i="82"/>
  <c r="W171" i="82" s="1"/>
  <c r="J170" i="82"/>
  <c r="W170" i="82" s="1"/>
  <c r="J169" i="82"/>
  <c r="W169" i="82" s="1"/>
  <c r="J168" i="82"/>
  <c r="W168" i="82" s="1"/>
  <c r="J167" i="82"/>
  <c r="W167" i="82" s="1"/>
  <c r="J166" i="82"/>
  <c r="W166" i="82" s="1"/>
  <c r="J165" i="82"/>
  <c r="W165" i="82" s="1"/>
  <c r="J164" i="82"/>
  <c r="W164" i="82" s="1"/>
  <c r="J163" i="82"/>
  <c r="W163" i="82" s="1"/>
  <c r="J162" i="82"/>
  <c r="W162" i="82" s="1"/>
  <c r="J161" i="82"/>
  <c r="W161" i="82" s="1"/>
  <c r="J160" i="82"/>
  <c r="W160" i="82" s="1"/>
  <c r="J159" i="82"/>
  <c r="W159" i="82" s="1"/>
  <c r="J158" i="82"/>
  <c r="W158" i="82" s="1"/>
  <c r="J157" i="82"/>
  <c r="W157" i="82" s="1"/>
  <c r="J156" i="82"/>
  <c r="W156" i="82" s="1"/>
  <c r="J155" i="82"/>
  <c r="W155" i="82" s="1"/>
  <c r="J154" i="82"/>
  <c r="W154" i="82" s="1"/>
  <c r="B154" i="82"/>
  <c r="B155" i="82" s="1"/>
  <c r="B156" i="82" s="1"/>
  <c r="B157" i="82" s="1"/>
  <c r="B158" i="82" s="1"/>
  <c r="B159" i="82" s="1"/>
  <c r="B160" i="82" s="1"/>
  <c r="B161" i="82" s="1"/>
  <c r="B162" i="82" s="1"/>
  <c r="B163" i="82" s="1"/>
  <c r="B164" i="82" s="1"/>
  <c r="B165" i="82" s="1"/>
  <c r="B166" i="82" s="1"/>
  <c r="B167" i="82" s="1"/>
  <c r="B168" i="82" s="1"/>
  <c r="B169" i="82" s="1"/>
  <c r="B170" i="82" s="1"/>
  <c r="B171" i="82" s="1"/>
  <c r="B172" i="82" s="1"/>
  <c r="B173" i="82" s="1"/>
  <c r="B174" i="82" s="1"/>
  <c r="B175" i="82" s="1"/>
  <c r="J153" i="82"/>
  <c r="W153" i="82" s="1"/>
  <c r="W144" i="82"/>
  <c r="J144" i="82"/>
  <c r="V144" i="82" s="1"/>
  <c r="J143" i="82"/>
  <c r="V143" i="82" s="1"/>
  <c r="J142" i="82"/>
  <c r="V142" i="82" s="1"/>
  <c r="J141" i="82"/>
  <c r="V141" i="82" s="1"/>
  <c r="J140" i="82"/>
  <c r="V140" i="82" s="1"/>
  <c r="J139" i="82"/>
  <c r="V139" i="82" s="1"/>
  <c r="J138" i="82"/>
  <c r="V138" i="82" s="1"/>
  <c r="J137" i="82"/>
  <c r="V137" i="82" s="1"/>
  <c r="J136" i="82"/>
  <c r="V136" i="82" s="1"/>
  <c r="J135" i="82"/>
  <c r="V135" i="82" s="1"/>
  <c r="J134" i="82"/>
  <c r="V134" i="82" s="1"/>
  <c r="J133" i="82"/>
  <c r="V133" i="82" s="1"/>
  <c r="J132" i="82"/>
  <c r="V132" i="82" s="1"/>
  <c r="J131" i="82"/>
  <c r="V131" i="82" s="1"/>
  <c r="J130" i="82"/>
  <c r="V130" i="82" s="1"/>
  <c r="J129" i="82"/>
  <c r="V129" i="82" s="1"/>
  <c r="J128" i="82"/>
  <c r="V128" i="82" s="1"/>
  <c r="J127" i="82"/>
  <c r="V127" i="82" s="1"/>
  <c r="J126" i="82"/>
  <c r="V126" i="82" s="1"/>
  <c r="J125" i="82"/>
  <c r="V125" i="82" s="1"/>
  <c r="J124" i="82"/>
  <c r="V124" i="82" s="1"/>
  <c r="J123" i="82"/>
  <c r="V123" i="82" s="1"/>
  <c r="B123" i="82"/>
  <c r="B124" i="82" s="1"/>
  <c r="B125" i="82" s="1"/>
  <c r="B126" i="82" s="1"/>
  <c r="B127" i="82" s="1"/>
  <c r="B128" i="82" s="1"/>
  <c r="B129" i="82" s="1"/>
  <c r="B130" i="82" s="1"/>
  <c r="B131" i="82" s="1"/>
  <c r="B132" i="82" s="1"/>
  <c r="B133" i="82" s="1"/>
  <c r="B134" i="82" s="1"/>
  <c r="B135" i="82" s="1"/>
  <c r="B136" i="82" s="1"/>
  <c r="B137" i="82" s="1"/>
  <c r="B138" i="82" s="1"/>
  <c r="B139" i="82" s="1"/>
  <c r="B140" i="82" s="1"/>
  <c r="B141" i="82" s="1"/>
  <c r="B142" i="82" s="1"/>
  <c r="B143" i="82" s="1"/>
  <c r="B144" i="82" s="1"/>
  <c r="J122" i="82"/>
  <c r="V122" i="82" s="1"/>
  <c r="J113" i="82"/>
  <c r="W113" i="82" s="1"/>
  <c r="J112" i="82"/>
  <c r="W112" i="82" s="1"/>
  <c r="J111" i="82"/>
  <c r="W111" i="82" s="1"/>
  <c r="J110" i="82"/>
  <c r="W110" i="82" s="1"/>
  <c r="J109" i="82"/>
  <c r="W109" i="82" s="1"/>
  <c r="J108" i="82"/>
  <c r="W108" i="82" s="1"/>
  <c r="J107" i="82"/>
  <c r="W107" i="82" s="1"/>
  <c r="J106" i="82"/>
  <c r="W106" i="82" s="1"/>
  <c r="J105" i="82"/>
  <c r="W105" i="82" s="1"/>
  <c r="J104" i="82"/>
  <c r="W104" i="82" s="1"/>
  <c r="J103" i="82"/>
  <c r="W103" i="82" s="1"/>
  <c r="J102" i="82"/>
  <c r="W102" i="82" s="1"/>
  <c r="J101" i="82"/>
  <c r="W101" i="82" s="1"/>
  <c r="J100" i="82"/>
  <c r="W100" i="82" s="1"/>
  <c r="J99" i="82"/>
  <c r="W99" i="82" s="1"/>
  <c r="J98" i="82"/>
  <c r="W98" i="82" s="1"/>
  <c r="J97" i="82"/>
  <c r="W97" i="82" s="1"/>
  <c r="J96" i="82"/>
  <c r="W96" i="82" s="1"/>
  <c r="J95" i="82"/>
  <c r="W95" i="82" s="1"/>
  <c r="J94" i="82"/>
  <c r="W94" i="82" s="1"/>
  <c r="J93" i="82"/>
  <c r="W93" i="82" s="1"/>
  <c r="J92" i="82"/>
  <c r="W92" i="82" s="1"/>
  <c r="B92" i="82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J91" i="82"/>
  <c r="W91" i="82" s="1"/>
  <c r="J82" i="82"/>
  <c r="V82" i="82" s="1"/>
  <c r="J81" i="82"/>
  <c r="V81" i="82" s="1"/>
  <c r="J80" i="82"/>
  <c r="V80" i="82" s="1"/>
  <c r="J79" i="82"/>
  <c r="V79" i="82" s="1"/>
  <c r="J78" i="82"/>
  <c r="V78" i="82" s="1"/>
  <c r="J77" i="82"/>
  <c r="V77" i="82" s="1"/>
  <c r="J76" i="82"/>
  <c r="V76" i="82" s="1"/>
  <c r="J75" i="82"/>
  <c r="V75" i="82" s="1"/>
  <c r="J74" i="82"/>
  <c r="V74" i="82" s="1"/>
  <c r="J73" i="82"/>
  <c r="V73" i="82" s="1"/>
  <c r="J72" i="82"/>
  <c r="V72" i="82" s="1"/>
  <c r="J71" i="82"/>
  <c r="V71" i="82" s="1"/>
  <c r="W70" i="82"/>
  <c r="J70" i="82"/>
  <c r="V70" i="82" s="1"/>
  <c r="J69" i="82"/>
  <c r="V69" i="82" s="1"/>
  <c r="J68" i="82"/>
  <c r="V68" i="82" s="1"/>
  <c r="J67" i="82"/>
  <c r="V67" i="82" s="1"/>
  <c r="J66" i="82"/>
  <c r="V66" i="82" s="1"/>
  <c r="J65" i="82"/>
  <c r="V65" i="82" s="1"/>
  <c r="J64" i="82"/>
  <c r="V64" i="82" s="1"/>
  <c r="J63" i="82"/>
  <c r="V63" i="82" s="1"/>
  <c r="J62" i="82"/>
  <c r="V62" i="82" s="1"/>
  <c r="J61" i="82"/>
  <c r="V61" i="82" s="1"/>
  <c r="B61" i="82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J60" i="82"/>
  <c r="V60" i="82" s="1"/>
  <c r="W51" i="82"/>
  <c r="V51" i="82"/>
  <c r="W50" i="82"/>
  <c r="V50" i="82"/>
  <c r="W49" i="82"/>
  <c r="V49" i="82"/>
  <c r="W48" i="82"/>
  <c r="V48" i="82"/>
  <c r="W47" i="82"/>
  <c r="V47" i="82"/>
  <c r="V46" i="82"/>
  <c r="V45" i="82"/>
  <c r="W45" i="82"/>
  <c r="W44" i="82"/>
  <c r="V44" i="82"/>
  <c r="V42" i="82"/>
  <c r="V41" i="82"/>
  <c r="W41" i="82"/>
  <c r="W40" i="82"/>
  <c r="V40" i="82"/>
  <c r="V38" i="82"/>
  <c r="V37" i="82"/>
  <c r="W37" i="82"/>
  <c r="W36" i="82"/>
  <c r="V36" i="82"/>
  <c r="V34" i="82"/>
  <c r="V33" i="82"/>
  <c r="W33" i="82"/>
  <c r="W32" i="82"/>
  <c r="V32" i="82"/>
  <c r="V30" i="82"/>
  <c r="V29" i="82"/>
  <c r="W29" i="82"/>
  <c r="W28" i="82"/>
  <c r="V28" i="82"/>
  <c r="V26" i="82"/>
  <c r="V25" i="82"/>
  <c r="W25" i="82"/>
  <c r="W24" i="82"/>
  <c r="V24" i="82"/>
  <c r="V22" i="82"/>
  <c r="V21" i="82"/>
  <c r="W21" i="82"/>
  <c r="V19" i="82"/>
  <c r="V18" i="82"/>
  <c r="W18" i="82"/>
  <c r="N16" i="82"/>
  <c r="V16" i="82"/>
  <c r="N14" i="82"/>
  <c r="W14" i="82"/>
  <c r="N12" i="82"/>
  <c r="V11" i="82"/>
  <c r="N10" i="82"/>
  <c r="N8" i="82"/>
  <c r="I8" i="82"/>
  <c r="J8" i="82" s="1"/>
  <c r="V8" i="82" s="1"/>
  <c r="I7" i="82"/>
  <c r="J7" i="82" s="1"/>
  <c r="B7" i="82"/>
  <c r="B8" i="82" s="1"/>
  <c r="B9" i="82" s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N6" i="82"/>
  <c r="I6" i="82"/>
  <c r="J6" i="82" s="1"/>
  <c r="N4" i="82"/>
  <c r="I46" i="81"/>
  <c r="J46" i="81" s="1"/>
  <c r="I45" i="81"/>
  <c r="J45" i="81" s="1"/>
  <c r="I44" i="81"/>
  <c r="J44" i="81" s="1"/>
  <c r="V44" i="81" s="1"/>
  <c r="J43" i="81"/>
  <c r="W43" i="81" s="1"/>
  <c r="I43" i="81"/>
  <c r="I42" i="81"/>
  <c r="J42" i="81" s="1"/>
  <c r="I41" i="81"/>
  <c r="J41" i="81" s="1"/>
  <c r="I40" i="81"/>
  <c r="J40" i="81" s="1"/>
  <c r="V40" i="81" s="1"/>
  <c r="I39" i="81"/>
  <c r="J39" i="81" s="1"/>
  <c r="W39" i="81" s="1"/>
  <c r="I38" i="81"/>
  <c r="J38" i="81" s="1"/>
  <c r="I37" i="81"/>
  <c r="J37" i="81" s="1"/>
  <c r="I36" i="81"/>
  <c r="J36" i="81" s="1"/>
  <c r="V36" i="81" s="1"/>
  <c r="J35" i="81"/>
  <c r="W35" i="81" s="1"/>
  <c r="I35" i="81"/>
  <c r="I34" i="81"/>
  <c r="J34" i="81" s="1"/>
  <c r="I33" i="81"/>
  <c r="J33" i="81" s="1"/>
  <c r="I32" i="81"/>
  <c r="J32" i="81" s="1"/>
  <c r="V32" i="81" s="1"/>
  <c r="I31" i="81"/>
  <c r="J31" i="81" s="1"/>
  <c r="W31" i="81" s="1"/>
  <c r="I30" i="81"/>
  <c r="J30" i="81" s="1"/>
  <c r="I29" i="81"/>
  <c r="J29" i="81" s="1"/>
  <c r="I28" i="81"/>
  <c r="J28" i="81" s="1"/>
  <c r="V28" i="81" s="1"/>
  <c r="J27" i="81"/>
  <c r="I27" i="81"/>
  <c r="I26" i="81"/>
  <c r="J26" i="81" s="1"/>
  <c r="I25" i="81"/>
  <c r="J25" i="81" s="1"/>
  <c r="I24" i="81"/>
  <c r="J24" i="81" s="1"/>
  <c r="V24" i="81" s="1"/>
  <c r="I23" i="81"/>
  <c r="J23" i="81" s="1"/>
  <c r="V23" i="81" s="1"/>
  <c r="I22" i="81"/>
  <c r="J22" i="81" s="1"/>
  <c r="I21" i="81"/>
  <c r="J21" i="81" s="1"/>
  <c r="I20" i="81"/>
  <c r="J20" i="81" s="1"/>
  <c r="V20" i="81" s="1"/>
  <c r="J19" i="81"/>
  <c r="I19" i="81"/>
  <c r="I18" i="81"/>
  <c r="J18" i="81" s="1"/>
  <c r="V18" i="81" s="1"/>
  <c r="I17" i="81"/>
  <c r="J17" i="81" s="1"/>
  <c r="W17" i="81" s="1"/>
  <c r="I16" i="81"/>
  <c r="J16" i="81" s="1"/>
  <c r="I15" i="81"/>
  <c r="J15" i="81" s="1"/>
  <c r="V15" i="81" s="1"/>
  <c r="I14" i="81"/>
  <c r="J14" i="81" s="1"/>
  <c r="I13" i="81"/>
  <c r="J13" i="81" s="1"/>
  <c r="I12" i="81"/>
  <c r="J12" i="81" s="1"/>
  <c r="V12" i="81" s="1"/>
  <c r="I10" i="81"/>
  <c r="J10" i="81" s="1"/>
  <c r="V10" i="81" s="1"/>
  <c r="I11" i="81"/>
  <c r="J11" i="81" s="1"/>
  <c r="I9" i="81"/>
  <c r="J9" i="81" s="1"/>
  <c r="W9" i="81" s="1"/>
  <c r="I8" i="81"/>
  <c r="J8" i="81" s="1"/>
  <c r="V8" i="81" s="1"/>
  <c r="I6" i="81"/>
  <c r="J6" i="81" s="1"/>
  <c r="I7" i="81"/>
  <c r="J7" i="81" s="1"/>
  <c r="W7" i="81" s="1"/>
  <c r="J237" i="81"/>
  <c r="W237" i="81" s="1"/>
  <c r="J236" i="81"/>
  <c r="W236" i="81" s="1"/>
  <c r="J235" i="81"/>
  <c r="W235" i="81" s="1"/>
  <c r="J234" i="81"/>
  <c r="W234" i="81" s="1"/>
  <c r="J233" i="81"/>
  <c r="W233" i="81" s="1"/>
  <c r="J232" i="81"/>
  <c r="W232" i="81" s="1"/>
  <c r="J231" i="81"/>
  <c r="W231" i="81" s="1"/>
  <c r="J230" i="81"/>
  <c r="W230" i="81" s="1"/>
  <c r="J229" i="81"/>
  <c r="W229" i="81" s="1"/>
  <c r="J228" i="81"/>
  <c r="W228" i="81" s="1"/>
  <c r="J227" i="81"/>
  <c r="W227" i="81" s="1"/>
  <c r="J226" i="81"/>
  <c r="W226" i="81" s="1"/>
  <c r="J225" i="81"/>
  <c r="W225" i="81" s="1"/>
  <c r="J224" i="81"/>
  <c r="W224" i="81" s="1"/>
  <c r="J223" i="81"/>
  <c r="W223" i="81" s="1"/>
  <c r="J222" i="81"/>
  <c r="W222" i="81" s="1"/>
  <c r="J221" i="81"/>
  <c r="W221" i="81" s="1"/>
  <c r="J220" i="81"/>
  <c r="W220" i="81" s="1"/>
  <c r="J219" i="81"/>
  <c r="W219" i="81" s="1"/>
  <c r="J218" i="81"/>
  <c r="W218" i="81" s="1"/>
  <c r="J217" i="81"/>
  <c r="W217" i="81" s="1"/>
  <c r="J216" i="81"/>
  <c r="W216" i="81" s="1"/>
  <c r="B216" i="81"/>
  <c r="B217" i="81" s="1"/>
  <c r="B218" i="81" s="1"/>
  <c r="B219" i="81" s="1"/>
  <c r="B220" i="81" s="1"/>
  <c r="B221" i="81" s="1"/>
  <c r="B222" i="81" s="1"/>
  <c r="B223" i="81" s="1"/>
  <c r="B224" i="81" s="1"/>
  <c r="B225" i="81" s="1"/>
  <c r="B226" i="81" s="1"/>
  <c r="B227" i="81" s="1"/>
  <c r="B228" i="81" s="1"/>
  <c r="B229" i="81" s="1"/>
  <c r="B230" i="81" s="1"/>
  <c r="B231" i="81" s="1"/>
  <c r="B232" i="81" s="1"/>
  <c r="B233" i="81" s="1"/>
  <c r="B234" i="81" s="1"/>
  <c r="B235" i="81" s="1"/>
  <c r="B236" i="81" s="1"/>
  <c r="B237" i="81" s="1"/>
  <c r="J215" i="81"/>
  <c r="W215" i="81" s="1"/>
  <c r="J206" i="81"/>
  <c r="V206" i="81" s="1"/>
  <c r="J205" i="81"/>
  <c r="V205" i="81" s="1"/>
  <c r="J204" i="81"/>
  <c r="V204" i="81" s="1"/>
  <c r="J203" i="81"/>
  <c r="V203" i="81" s="1"/>
  <c r="J202" i="81"/>
  <c r="V202" i="81" s="1"/>
  <c r="J201" i="81"/>
  <c r="V201" i="81" s="1"/>
  <c r="J200" i="81"/>
  <c r="V200" i="81" s="1"/>
  <c r="J199" i="81"/>
  <c r="V199" i="81" s="1"/>
  <c r="J198" i="81"/>
  <c r="V198" i="81" s="1"/>
  <c r="J197" i="81"/>
  <c r="V197" i="81" s="1"/>
  <c r="J196" i="81"/>
  <c r="V196" i="81" s="1"/>
  <c r="J195" i="81"/>
  <c r="V195" i="81" s="1"/>
  <c r="J194" i="81"/>
  <c r="V194" i="81" s="1"/>
  <c r="J193" i="81"/>
  <c r="V193" i="81" s="1"/>
  <c r="W192" i="81"/>
  <c r="J192" i="81"/>
  <c r="V192" i="81" s="1"/>
  <c r="J191" i="81"/>
  <c r="V191" i="81" s="1"/>
  <c r="J190" i="81"/>
  <c r="V190" i="81" s="1"/>
  <c r="J189" i="81"/>
  <c r="V189" i="81" s="1"/>
  <c r="J188" i="81"/>
  <c r="V188" i="81" s="1"/>
  <c r="J187" i="81"/>
  <c r="V187" i="81" s="1"/>
  <c r="J186" i="81"/>
  <c r="V186" i="81" s="1"/>
  <c r="J185" i="81"/>
  <c r="V185" i="81" s="1"/>
  <c r="B185" i="81"/>
  <c r="B186" i="81" s="1"/>
  <c r="B187" i="81" s="1"/>
  <c r="B188" i="81" s="1"/>
  <c r="B189" i="81" s="1"/>
  <c r="B190" i="81" s="1"/>
  <c r="B191" i="81" s="1"/>
  <c r="B192" i="81" s="1"/>
  <c r="B193" i="81" s="1"/>
  <c r="B194" i="81" s="1"/>
  <c r="B195" i="81" s="1"/>
  <c r="B196" i="81" s="1"/>
  <c r="B197" i="81" s="1"/>
  <c r="B198" i="81" s="1"/>
  <c r="B199" i="81" s="1"/>
  <c r="B200" i="81" s="1"/>
  <c r="B201" i="81" s="1"/>
  <c r="B202" i="81" s="1"/>
  <c r="B203" i="81" s="1"/>
  <c r="B204" i="81" s="1"/>
  <c r="B205" i="81" s="1"/>
  <c r="B206" i="81" s="1"/>
  <c r="J184" i="81"/>
  <c r="V184" i="81" s="1"/>
  <c r="J175" i="81"/>
  <c r="W175" i="81" s="1"/>
  <c r="J174" i="81"/>
  <c r="W174" i="81" s="1"/>
  <c r="J173" i="81"/>
  <c r="W173" i="81" s="1"/>
  <c r="J172" i="81"/>
  <c r="W172" i="81" s="1"/>
  <c r="J171" i="81"/>
  <c r="W171" i="81" s="1"/>
  <c r="J170" i="81"/>
  <c r="W170" i="81" s="1"/>
  <c r="J169" i="81"/>
  <c r="W169" i="81" s="1"/>
  <c r="J168" i="81"/>
  <c r="W168" i="81" s="1"/>
  <c r="J167" i="81"/>
  <c r="W167" i="81" s="1"/>
  <c r="J166" i="81"/>
  <c r="W166" i="81" s="1"/>
  <c r="J165" i="81"/>
  <c r="W165" i="81" s="1"/>
  <c r="J164" i="81"/>
  <c r="W164" i="81" s="1"/>
  <c r="J163" i="81"/>
  <c r="W163" i="81" s="1"/>
  <c r="J162" i="81"/>
  <c r="W162" i="81" s="1"/>
  <c r="J161" i="81"/>
  <c r="W161" i="81" s="1"/>
  <c r="J160" i="81"/>
  <c r="W160" i="81" s="1"/>
  <c r="J159" i="81"/>
  <c r="W159" i="81" s="1"/>
  <c r="J158" i="81"/>
  <c r="W158" i="81" s="1"/>
  <c r="J157" i="81"/>
  <c r="W157" i="81" s="1"/>
  <c r="J156" i="81"/>
  <c r="W156" i="81" s="1"/>
  <c r="J155" i="81"/>
  <c r="W155" i="81" s="1"/>
  <c r="J154" i="81"/>
  <c r="W154" i="81" s="1"/>
  <c r="B154" i="81"/>
  <c r="B155" i="81" s="1"/>
  <c r="B156" i="81" s="1"/>
  <c r="B157" i="81" s="1"/>
  <c r="B158" i="81" s="1"/>
  <c r="B159" i="81" s="1"/>
  <c r="B160" i="81" s="1"/>
  <c r="B161" i="81" s="1"/>
  <c r="B162" i="81" s="1"/>
  <c r="B163" i="81" s="1"/>
  <c r="B164" i="81" s="1"/>
  <c r="B165" i="81" s="1"/>
  <c r="B166" i="81" s="1"/>
  <c r="B167" i="81" s="1"/>
  <c r="B168" i="81" s="1"/>
  <c r="B169" i="81" s="1"/>
  <c r="B170" i="81" s="1"/>
  <c r="B171" i="81" s="1"/>
  <c r="B172" i="81" s="1"/>
  <c r="B173" i="81" s="1"/>
  <c r="B174" i="81" s="1"/>
  <c r="B175" i="81" s="1"/>
  <c r="J153" i="81"/>
  <c r="W153" i="81" s="1"/>
  <c r="J144" i="81"/>
  <c r="V144" i="81" s="1"/>
  <c r="J143" i="81"/>
  <c r="V143" i="81" s="1"/>
  <c r="J142" i="81"/>
  <c r="V142" i="81" s="1"/>
  <c r="V141" i="81"/>
  <c r="V140" i="81"/>
  <c r="V139" i="81"/>
  <c r="V138" i="81"/>
  <c r="V137" i="81"/>
  <c r="W136" i="81"/>
  <c r="V136" i="81"/>
  <c r="V135" i="81"/>
  <c r="V134" i="81"/>
  <c r="V133" i="81"/>
  <c r="W132" i="81"/>
  <c r="V132" i="81"/>
  <c r="V131" i="81"/>
  <c r="V130" i="81"/>
  <c r="V129" i="81"/>
  <c r="V128" i="81"/>
  <c r="V127" i="81"/>
  <c r="V126" i="81"/>
  <c r="V125" i="81"/>
  <c r="V124" i="81"/>
  <c r="V123" i="81"/>
  <c r="B123" i="81"/>
  <c r="B124" i="81" s="1"/>
  <c r="B125" i="81" s="1"/>
  <c r="B126" i="81" s="1"/>
  <c r="B127" i="81" s="1"/>
  <c r="B128" i="81" s="1"/>
  <c r="B129" i="81" s="1"/>
  <c r="B130" i="81" s="1"/>
  <c r="B131" i="81" s="1"/>
  <c r="B132" i="81" s="1"/>
  <c r="B133" i="81" s="1"/>
  <c r="B134" i="81" s="1"/>
  <c r="B135" i="81" s="1"/>
  <c r="B136" i="81" s="1"/>
  <c r="B137" i="81" s="1"/>
  <c r="B138" i="81" s="1"/>
  <c r="B139" i="81" s="1"/>
  <c r="B140" i="81" s="1"/>
  <c r="B141" i="81" s="1"/>
  <c r="B142" i="81" s="1"/>
  <c r="B143" i="81" s="1"/>
  <c r="B144" i="81" s="1"/>
  <c r="J122" i="81"/>
  <c r="V122" i="81" s="1"/>
  <c r="J113" i="81"/>
  <c r="W113" i="81" s="1"/>
  <c r="J112" i="81"/>
  <c r="W112" i="81" s="1"/>
  <c r="J111" i="81"/>
  <c r="W111" i="81" s="1"/>
  <c r="J110" i="81"/>
  <c r="W110" i="81" s="1"/>
  <c r="J109" i="81"/>
  <c r="W109" i="81" s="1"/>
  <c r="J108" i="81"/>
  <c r="W108" i="81" s="1"/>
  <c r="J107" i="81"/>
  <c r="W107" i="81" s="1"/>
  <c r="J106" i="81"/>
  <c r="W106" i="81" s="1"/>
  <c r="J105" i="81"/>
  <c r="W105" i="81" s="1"/>
  <c r="J104" i="81"/>
  <c r="W104" i="81" s="1"/>
  <c r="J103" i="81"/>
  <c r="W103" i="81" s="1"/>
  <c r="J102" i="81"/>
  <c r="W102" i="81" s="1"/>
  <c r="J101" i="81"/>
  <c r="W101" i="81" s="1"/>
  <c r="J100" i="81"/>
  <c r="W100" i="81" s="1"/>
  <c r="J99" i="81"/>
  <c r="W99" i="81" s="1"/>
  <c r="J98" i="81"/>
  <c r="W98" i="81" s="1"/>
  <c r="J97" i="81"/>
  <c r="W97" i="81" s="1"/>
  <c r="J96" i="81"/>
  <c r="W96" i="81" s="1"/>
  <c r="J95" i="81"/>
  <c r="W95" i="81" s="1"/>
  <c r="J94" i="81"/>
  <c r="W94" i="81" s="1"/>
  <c r="J93" i="81"/>
  <c r="W93" i="81" s="1"/>
  <c r="J92" i="81"/>
  <c r="W92" i="81" s="1"/>
  <c r="B92" i="8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J91" i="81"/>
  <c r="W91" i="81" s="1"/>
  <c r="J82" i="81"/>
  <c r="V82" i="81" s="1"/>
  <c r="J81" i="81"/>
  <c r="V81" i="81" s="1"/>
  <c r="J80" i="81"/>
  <c r="V80" i="81" s="1"/>
  <c r="J79" i="81"/>
  <c r="V79" i="81" s="1"/>
  <c r="J78" i="81"/>
  <c r="V78" i="81" s="1"/>
  <c r="J77" i="81"/>
  <c r="V77" i="81" s="1"/>
  <c r="J76" i="81"/>
  <c r="V76" i="81" s="1"/>
  <c r="W75" i="81"/>
  <c r="J75" i="81"/>
  <c r="V75" i="81" s="1"/>
  <c r="J74" i="81"/>
  <c r="V74" i="81" s="1"/>
  <c r="J73" i="81"/>
  <c r="V73" i="81" s="1"/>
  <c r="J72" i="81"/>
  <c r="V72" i="81" s="1"/>
  <c r="J71" i="81"/>
  <c r="V71" i="81" s="1"/>
  <c r="J70" i="81"/>
  <c r="V70" i="81" s="1"/>
  <c r="J69" i="81"/>
  <c r="V69" i="81" s="1"/>
  <c r="J68" i="81"/>
  <c r="V68" i="81" s="1"/>
  <c r="J67" i="81"/>
  <c r="V67" i="81" s="1"/>
  <c r="J66" i="81"/>
  <c r="V66" i="81" s="1"/>
  <c r="J65" i="81"/>
  <c r="V65" i="81" s="1"/>
  <c r="J64" i="81"/>
  <c r="V64" i="81" s="1"/>
  <c r="J63" i="81"/>
  <c r="V63" i="81" s="1"/>
  <c r="J62" i="81"/>
  <c r="V62" i="81" s="1"/>
  <c r="J61" i="81"/>
  <c r="V61" i="81" s="1"/>
  <c r="B61" i="8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J60" i="81"/>
  <c r="V60" i="81" s="1"/>
  <c r="W51" i="81"/>
  <c r="V51" i="81"/>
  <c r="W50" i="81"/>
  <c r="V50" i="81"/>
  <c r="V48" i="81"/>
  <c r="W47" i="81"/>
  <c r="W27" i="81"/>
  <c r="N16" i="81"/>
  <c r="N14" i="81"/>
  <c r="N12" i="81"/>
  <c r="N10" i="81"/>
  <c r="N8" i="81"/>
  <c r="B7" i="81"/>
  <c r="B8" i="81" s="1"/>
  <c r="B9" i="81" s="1"/>
  <c r="B10" i="81" s="1"/>
  <c r="B11" i="81" s="1"/>
  <c r="B12" i="81" s="1"/>
  <c r="B13" i="81" s="1"/>
  <c r="B14" i="81" s="1"/>
  <c r="B15" i="81" s="1"/>
  <c r="B16" i="81" s="1"/>
  <c r="B17" i="81" s="1"/>
  <c r="B18" i="81" s="1"/>
  <c r="B19" i="81" s="1"/>
  <c r="B20" i="81" s="1"/>
  <c r="B21" i="81" s="1"/>
  <c r="B22" i="81" s="1"/>
  <c r="B23" i="81" s="1"/>
  <c r="B24" i="81" s="1"/>
  <c r="B25" i="81" s="1"/>
  <c r="B26" i="81" s="1"/>
  <c r="B27" i="81" s="1"/>
  <c r="B28" i="81" s="1"/>
  <c r="B29" i="81" s="1"/>
  <c r="B30" i="81" s="1"/>
  <c r="B31" i="81" s="1"/>
  <c r="B32" i="81" s="1"/>
  <c r="B33" i="81" s="1"/>
  <c r="B34" i="81" s="1"/>
  <c r="B35" i="81" s="1"/>
  <c r="B36" i="81" s="1"/>
  <c r="B37" i="81" s="1"/>
  <c r="B38" i="81" s="1"/>
  <c r="B39" i="81" s="1"/>
  <c r="B40" i="81" s="1"/>
  <c r="B41" i="81" s="1"/>
  <c r="B42" i="81" s="1"/>
  <c r="B43" i="81" s="1"/>
  <c r="B44" i="81" s="1"/>
  <c r="B45" i="81" s="1"/>
  <c r="B46" i="81" s="1"/>
  <c r="B47" i="81" s="1"/>
  <c r="B48" i="81" s="1"/>
  <c r="B49" i="81" s="1"/>
  <c r="B50" i="81" s="1"/>
  <c r="B51" i="81" s="1"/>
  <c r="N6" i="81"/>
  <c r="N4" i="81"/>
  <c r="I49" i="80"/>
  <c r="J49" i="80" s="1"/>
  <c r="I48" i="80"/>
  <c r="J48" i="80" s="1"/>
  <c r="I47" i="80"/>
  <c r="J47" i="80" s="1"/>
  <c r="J46" i="80"/>
  <c r="I46" i="80"/>
  <c r="I45" i="80"/>
  <c r="J45" i="80" s="1"/>
  <c r="I44" i="80"/>
  <c r="J44" i="80" s="1"/>
  <c r="I43" i="80"/>
  <c r="J43" i="80" s="1"/>
  <c r="J42" i="80"/>
  <c r="I42" i="80"/>
  <c r="I41" i="80"/>
  <c r="J41" i="80" s="1"/>
  <c r="I40" i="80"/>
  <c r="J40" i="80" s="1"/>
  <c r="I39" i="80"/>
  <c r="J39" i="80" s="1"/>
  <c r="J38" i="80"/>
  <c r="I38" i="80"/>
  <c r="I37" i="80"/>
  <c r="J37" i="80" s="1"/>
  <c r="I36" i="80"/>
  <c r="J36" i="80" s="1"/>
  <c r="I35" i="80"/>
  <c r="J35" i="80" s="1"/>
  <c r="J34" i="80"/>
  <c r="I34" i="80"/>
  <c r="I33" i="80"/>
  <c r="J33" i="80" s="1"/>
  <c r="I32" i="80"/>
  <c r="J32" i="80" s="1"/>
  <c r="I31" i="80"/>
  <c r="J31" i="80" s="1"/>
  <c r="J30" i="80"/>
  <c r="I30" i="80"/>
  <c r="I29" i="80"/>
  <c r="J29" i="80" s="1"/>
  <c r="I28" i="80"/>
  <c r="J28" i="80" s="1"/>
  <c r="I27" i="80"/>
  <c r="J27" i="80" s="1"/>
  <c r="J26" i="80"/>
  <c r="I26" i="80"/>
  <c r="I25" i="80"/>
  <c r="J25" i="80" s="1"/>
  <c r="I24" i="80"/>
  <c r="J24" i="80" s="1"/>
  <c r="I23" i="80"/>
  <c r="J23" i="80" s="1"/>
  <c r="J22" i="80"/>
  <c r="I22" i="80"/>
  <c r="I21" i="80"/>
  <c r="J21" i="80" s="1"/>
  <c r="I20" i="80"/>
  <c r="J20" i="80" s="1"/>
  <c r="I19" i="80"/>
  <c r="J19" i="80" s="1"/>
  <c r="J18" i="80"/>
  <c r="I18" i="80"/>
  <c r="I17" i="80"/>
  <c r="J17" i="80" s="1"/>
  <c r="I16" i="80"/>
  <c r="J16" i="80" s="1"/>
  <c r="I15" i="80"/>
  <c r="J15" i="80" s="1"/>
  <c r="J14" i="80"/>
  <c r="I14" i="80"/>
  <c r="I13" i="80"/>
  <c r="J13" i="80" s="1"/>
  <c r="I12" i="80"/>
  <c r="J12" i="80" s="1"/>
  <c r="I11" i="80"/>
  <c r="J11" i="80" s="1"/>
  <c r="I10" i="80"/>
  <c r="J10" i="80" s="1"/>
  <c r="I8" i="80"/>
  <c r="J8" i="80" s="1"/>
  <c r="I9" i="80"/>
  <c r="J9" i="80" s="1"/>
  <c r="V234" i="81" l="1"/>
  <c r="W82" i="82"/>
  <c r="W81" i="81"/>
  <c r="V175" i="81"/>
  <c r="V236" i="81"/>
  <c r="W206" i="82"/>
  <c r="W82" i="81"/>
  <c r="V92" i="81"/>
  <c r="V102" i="81"/>
  <c r="W144" i="81"/>
  <c r="W190" i="81"/>
  <c r="V218" i="81"/>
  <c r="V224" i="81"/>
  <c r="V229" i="81"/>
  <c r="W68" i="82"/>
  <c r="W80" i="82"/>
  <c r="V100" i="81"/>
  <c r="V110" i="81"/>
  <c r="V113" i="81"/>
  <c r="V155" i="81"/>
  <c r="V222" i="81"/>
  <c r="V227" i="81"/>
  <c r="V233" i="81"/>
  <c r="V235" i="81"/>
  <c r="V237" i="81"/>
  <c r="W78" i="82"/>
  <c r="W136" i="82"/>
  <c r="W143" i="82"/>
  <c r="W184" i="82"/>
  <c r="W205" i="82"/>
  <c r="V159" i="81"/>
  <c r="W206" i="81"/>
  <c r="V225" i="81"/>
  <c r="W72" i="82"/>
  <c r="W130" i="82"/>
  <c r="Q18" i="84"/>
  <c r="W83" i="83"/>
  <c r="P6" i="83" s="1"/>
  <c r="V114" i="83"/>
  <c r="O8" i="83" s="1"/>
  <c r="R8" i="83" s="1"/>
  <c r="V238" i="83"/>
  <c r="O16" i="83" s="1"/>
  <c r="R16" i="83" s="1"/>
  <c r="V83" i="83"/>
  <c r="O6" i="83" s="1"/>
  <c r="R6" i="83" s="1"/>
  <c r="W52" i="83"/>
  <c r="P4" i="83" s="1"/>
  <c r="V145" i="83"/>
  <c r="O10" i="83" s="1"/>
  <c r="R10" i="83" s="1"/>
  <c r="W207" i="83"/>
  <c r="P14" i="83" s="1"/>
  <c r="V207" i="83"/>
  <c r="O14" i="83" s="1"/>
  <c r="R14" i="83" s="1"/>
  <c r="V176" i="83"/>
  <c r="O12" i="83" s="1"/>
  <c r="W145" i="83"/>
  <c r="P10" i="83" s="1"/>
  <c r="V52" i="83"/>
  <c r="O4" i="83" s="1"/>
  <c r="W200" i="82"/>
  <c r="W138" i="82"/>
  <c r="W76" i="82"/>
  <c r="W74" i="82"/>
  <c r="W192" i="82"/>
  <c r="W66" i="82"/>
  <c r="W64" i="82"/>
  <c r="W62" i="82"/>
  <c r="W122" i="82"/>
  <c r="W60" i="82"/>
  <c r="W188" i="82"/>
  <c r="W196" i="82"/>
  <c r="W190" i="82"/>
  <c r="W198" i="82"/>
  <c r="W186" i="82"/>
  <c r="W194" i="82"/>
  <c r="W202" i="82"/>
  <c r="J207" i="82"/>
  <c r="W185" i="82"/>
  <c r="W187" i="82"/>
  <c r="W189" i="82"/>
  <c r="W191" i="82"/>
  <c r="W193" i="82"/>
  <c r="W195" i="82"/>
  <c r="W197" i="82"/>
  <c r="W199" i="82"/>
  <c r="W201" i="82"/>
  <c r="W203" i="82"/>
  <c r="W126" i="82"/>
  <c r="W134" i="82"/>
  <c r="W142" i="82"/>
  <c r="W128" i="82"/>
  <c r="W124" i="82"/>
  <c r="W132" i="82"/>
  <c r="W140" i="82"/>
  <c r="J145" i="82"/>
  <c r="W123" i="82"/>
  <c r="W125" i="82"/>
  <c r="W127" i="82"/>
  <c r="W129" i="82"/>
  <c r="W131" i="82"/>
  <c r="W133" i="82"/>
  <c r="W135" i="82"/>
  <c r="W137" i="82"/>
  <c r="W139" i="82"/>
  <c r="W141" i="82"/>
  <c r="J83" i="82"/>
  <c r="W61" i="82"/>
  <c r="W63" i="82"/>
  <c r="W65" i="82"/>
  <c r="W67" i="82"/>
  <c r="W69" i="82"/>
  <c r="W71" i="82"/>
  <c r="W73" i="82"/>
  <c r="W75" i="82"/>
  <c r="W77" i="82"/>
  <c r="W79" i="82"/>
  <c r="W81" i="82"/>
  <c r="W13" i="82"/>
  <c r="V13" i="82"/>
  <c r="V7" i="82"/>
  <c r="W7" i="82"/>
  <c r="W10" i="82"/>
  <c r="V10" i="82"/>
  <c r="V15" i="82"/>
  <c r="W15" i="82"/>
  <c r="V12" i="82"/>
  <c r="W12" i="82"/>
  <c r="V17" i="82"/>
  <c r="W17" i="82"/>
  <c r="V23" i="82"/>
  <c r="W23" i="82"/>
  <c r="V31" i="82"/>
  <c r="W31" i="82"/>
  <c r="V39" i="82"/>
  <c r="W39" i="82"/>
  <c r="J52" i="82"/>
  <c r="V9" i="82"/>
  <c r="W9" i="82"/>
  <c r="W20" i="82"/>
  <c r="V20" i="82"/>
  <c r="V27" i="82"/>
  <c r="W27" i="82"/>
  <c r="V35" i="82"/>
  <c r="W35" i="82"/>
  <c r="V43" i="82"/>
  <c r="W43" i="82"/>
  <c r="V83" i="82"/>
  <c r="O6" i="82" s="1"/>
  <c r="W114" i="82"/>
  <c r="P8" i="82" s="1"/>
  <c r="V145" i="82"/>
  <c r="O10" i="82" s="1"/>
  <c r="R10" i="82" s="1"/>
  <c r="W176" i="82"/>
  <c r="P12" i="82" s="1"/>
  <c r="V207" i="82"/>
  <c r="O14" i="82" s="1"/>
  <c r="W238" i="82"/>
  <c r="P16" i="82" s="1"/>
  <c r="V91" i="82"/>
  <c r="V92" i="82"/>
  <c r="V93" i="82"/>
  <c r="V94" i="82"/>
  <c r="V95" i="82"/>
  <c r="V96" i="82"/>
  <c r="V97" i="82"/>
  <c r="V98" i="82"/>
  <c r="V99" i="82"/>
  <c r="V100" i="82"/>
  <c r="V101" i="82"/>
  <c r="V102" i="82"/>
  <c r="V103" i="82"/>
  <c r="V104" i="82"/>
  <c r="V105" i="82"/>
  <c r="V106" i="82"/>
  <c r="V107" i="82"/>
  <c r="V108" i="82"/>
  <c r="V109" i="82"/>
  <c r="V110" i="82"/>
  <c r="V111" i="82"/>
  <c r="V112" i="82"/>
  <c r="V113" i="82"/>
  <c r="V153" i="82"/>
  <c r="V154" i="82"/>
  <c r="V155" i="82"/>
  <c r="V156" i="82"/>
  <c r="V157" i="82"/>
  <c r="V158" i="82"/>
  <c r="V159" i="82"/>
  <c r="V160" i="82"/>
  <c r="V161" i="82"/>
  <c r="V162" i="82"/>
  <c r="V163" i="82"/>
  <c r="V164" i="82"/>
  <c r="V165" i="82"/>
  <c r="V166" i="82"/>
  <c r="V167" i="82"/>
  <c r="V168" i="82"/>
  <c r="V169" i="82"/>
  <c r="V170" i="82"/>
  <c r="V171" i="82"/>
  <c r="V172" i="82"/>
  <c r="V173" i="82"/>
  <c r="V174" i="82"/>
  <c r="V175" i="82"/>
  <c r="V215" i="82"/>
  <c r="V216" i="82"/>
  <c r="V217" i="82"/>
  <c r="V218" i="82"/>
  <c r="V219" i="82"/>
  <c r="V220" i="82"/>
  <c r="V221" i="82"/>
  <c r="V222" i="82"/>
  <c r="V223" i="82"/>
  <c r="V224" i="82"/>
  <c r="V225" i="82"/>
  <c r="V226" i="82"/>
  <c r="V227" i="82"/>
  <c r="V228" i="82"/>
  <c r="V229" i="82"/>
  <c r="V230" i="82"/>
  <c r="V231" i="82"/>
  <c r="V232" i="82"/>
  <c r="V233" i="82"/>
  <c r="V234" i="82"/>
  <c r="V235" i="82"/>
  <c r="V236" i="82"/>
  <c r="V237" i="82"/>
  <c r="N18" i="82"/>
  <c r="W6" i="82"/>
  <c r="V6" i="82"/>
  <c r="W8" i="82"/>
  <c r="W11" i="82"/>
  <c r="V14" i="82"/>
  <c r="W16" i="82"/>
  <c r="W19" i="82"/>
  <c r="W22" i="82"/>
  <c r="W26" i="82"/>
  <c r="W30" i="82"/>
  <c r="W34" i="82"/>
  <c r="W38" i="82"/>
  <c r="W42" i="82"/>
  <c r="W46" i="82"/>
  <c r="J114" i="82"/>
  <c r="J176" i="82"/>
  <c r="J238" i="82"/>
  <c r="W80" i="81"/>
  <c r="W79" i="81"/>
  <c r="V171" i="81"/>
  <c r="W140" i="81"/>
  <c r="W78" i="81"/>
  <c r="V232" i="81"/>
  <c r="V108" i="81"/>
  <c r="W77" i="81"/>
  <c r="W200" i="81"/>
  <c r="W76" i="81"/>
  <c r="V231" i="81"/>
  <c r="V230" i="81"/>
  <c r="V228" i="81"/>
  <c r="V226" i="81"/>
  <c r="W71" i="81"/>
  <c r="V163" i="81"/>
  <c r="W23" i="81"/>
  <c r="W130" i="81"/>
  <c r="V221" i="81"/>
  <c r="W128" i="81"/>
  <c r="V220" i="81"/>
  <c r="V94" i="81"/>
  <c r="W124" i="81"/>
  <c r="V83" i="81"/>
  <c r="O6" i="81" s="1"/>
  <c r="R6" i="81" s="1"/>
  <c r="W238" i="81"/>
  <c r="P16" i="81" s="1"/>
  <c r="V216" i="81"/>
  <c r="V153" i="81"/>
  <c r="W122" i="81"/>
  <c r="W114" i="81"/>
  <c r="P8" i="81" s="1"/>
  <c r="V91" i="81"/>
  <c r="W60" i="81"/>
  <c r="V217" i="81"/>
  <c r="V219" i="81"/>
  <c r="V223" i="81"/>
  <c r="V215" i="81"/>
  <c r="W188" i="81"/>
  <c r="W196" i="81"/>
  <c r="W204" i="81"/>
  <c r="W198" i="81"/>
  <c r="W186" i="81"/>
  <c r="W194" i="81"/>
  <c r="W202" i="81"/>
  <c r="V207" i="81"/>
  <c r="O14" i="81" s="1"/>
  <c r="R14" i="81" s="1"/>
  <c r="W185" i="81"/>
  <c r="W187" i="81"/>
  <c r="W189" i="81"/>
  <c r="W191" i="81"/>
  <c r="W193" i="81"/>
  <c r="W195" i="81"/>
  <c r="W197" i="81"/>
  <c r="W199" i="81"/>
  <c r="W201" i="81"/>
  <c r="W203" i="81"/>
  <c r="W205" i="81"/>
  <c r="J207" i="81"/>
  <c r="N18" i="81"/>
  <c r="W184" i="81"/>
  <c r="V157" i="81"/>
  <c r="V165" i="81"/>
  <c r="V173" i="81"/>
  <c r="V167" i="81"/>
  <c r="V161" i="81"/>
  <c r="V169" i="81"/>
  <c r="V154" i="81"/>
  <c r="V156" i="81"/>
  <c r="V158" i="81"/>
  <c r="V160" i="81"/>
  <c r="V162" i="81"/>
  <c r="V164" i="81"/>
  <c r="V166" i="81"/>
  <c r="V168" i="81"/>
  <c r="V170" i="81"/>
  <c r="V172" i="81"/>
  <c r="V174" i="81"/>
  <c r="W138" i="81"/>
  <c r="W126" i="81"/>
  <c r="W134" i="81"/>
  <c r="W142" i="81"/>
  <c r="J145" i="81"/>
  <c r="W123" i="81"/>
  <c r="W125" i="81"/>
  <c r="W127" i="81"/>
  <c r="W129" i="81"/>
  <c r="W131" i="81"/>
  <c r="W133" i="81"/>
  <c r="W135" i="81"/>
  <c r="W137" i="81"/>
  <c r="W139" i="81"/>
  <c r="W141" i="81"/>
  <c r="W143" i="81"/>
  <c r="V96" i="81"/>
  <c r="V104" i="81"/>
  <c r="V112" i="81"/>
  <c r="V98" i="81"/>
  <c r="V106" i="81"/>
  <c r="V93" i="81"/>
  <c r="V95" i="81"/>
  <c r="V97" i="81"/>
  <c r="V99" i="81"/>
  <c r="V101" i="81"/>
  <c r="V103" i="81"/>
  <c r="V105" i="81"/>
  <c r="V107" i="81"/>
  <c r="V109" i="81"/>
  <c r="V111" i="81"/>
  <c r="W62" i="81"/>
  <c r="W64" i="81"/>
  <c r="W66" i="81"/>
  <c r="W68" i="81"/>
  <c r="W70" i="81"/>
  <c r="W72" i="81"/>
  <c r="W74" i="81"/>
  <c r="W61" i="81"/>
  <c r="W63" i="81"/>
  <c r="W65" i="81"/>
  <c r="W67" i="81"/>
  <c r="W69" i="81"/>
  <c r="W73" i="81"/>
  <c r="J83" i="81"/>
  <c r="V35" i="81"/>
  <c r="V9" i="81"/>
  <c r="V27" i="81"/>
  <c r="V43" i="81"/>
  <c r="V7" i="81"/>
  <c r="V17" i="81"/>
  <c r="V39" i="81"/>
  <c r="V31" i="81"/>
  <c r="V47" i="81"/>
  <c r="V34" i="81"/>
  <c r="W34" i="81"/>
  <c r="V45" i="81"/>
  <c r="W45" i="81"/>
  <c r="V11" i="81"/>
  <c r="W11" i="81"/>
  <c r="V13" i="81"/>
  <c r="W13" i="81"/>
  <c r="V19" i="81"/>
  <c r="W19" i="81"/>
  <c r="V22" i="81"/>
  <c r="W22" i="81"/>
  <c r="V33" i="81"/>
  <c r="W33" i="81"/>
  <c r="V38" i="81"/>
  <c r="W38" i="81"/>
  <c r="V49" i="81"/>
  <c r="W49" i="81"/>
  <c r="V145" i="81"/>
  <c r="O10" i="81" s="1"/>
  <c r="R10" i="81" s="1"/>
  <c r="W176" i="81"/>
  <c r="P12" i="81" s="1"/>
  <c r="V16" i="81"/>
  <c r="W16" i="81"/>
  <c r="W14" i="81"/>
  <c r="V14" i="81"/>
  <c r="V29" i="81"/>
  <c r="W29" i="81"/>
  <c r="V21" i="81"/>
  <c r="W21" i="81"/>
  <c r="V26" i="81"/>
  <c r="W26" i="81"/>
  <c r="V37" i="81"/>
  <c r="W37" i="81"/>
  <c r="V42" i="81"/>
  <c r="W42" i="81"/>
  <c r="J52" i="81"/>
  <c r="V6" i="81"/>
  <c r="W6" i="81"/>
  <c r="V25" i="81"/>
  <c r="W25" i="81"/>
  <c r="V30" i="81"/>
  <c r="W30" i="81"/>
  <c r="V41" i="81"/>
  <c r="W41" i="81"/>
  <c r="V46" i="81"/>
  <c r="W46" i="81"/>
  <c r="W8" i="81"/>
  <c r="W18" i="81"/>
  <c r="W10" i="81"/>
  <c r="W12" i="81"/>
  <c r="W15" i="81"/>
  <c r="W20" i="81"/>
  <c r="W24" i="81"/>
  <c r="W28" i="81"/>
  <c r="W32" i="81"/>
  <c r="W36" i="81"/>
  <c r="W40" i="81"/>
  <c r="W44" i="81"/>
  <c r="W48" i="81"/>
  <c r="J114" i="81"/>
  <c r="J176" i="81"/>
  <c r="J238" i="81"/>
  <c r="J237" i="80"/>
  <c r="W237" i="80" s="1"/>
  <c r="J236" i="80"/>
  <c r="W236" i="80" s="1"/>
  <c r="J235" i="80"/>
  <c r="W235" i="80" s="1"/>
  <c r="J234" i="80"/>
  <c r="W234" i="80" s="1"/>
  <c r="J233" i="80"/>
  <c r="W233" i="80" s="1"/>
  <c r="J232" i="80"/>
  <c r="W232" i="80" s="1"/>
  <c r="J231" i="80"/>
  <c r="W231" i="80" s="1"/>
  <c r="J230" i="80"/>
  <c r="W230" i="80" s="1"/>
  <c r="J229" i="80"/>
  <c r="W229" i="80" s="1"/>
  <c r="J228" i="80"/>
  <c r="W228" i="80" s="1"/>
  <c r="J227" i="80"/>
  <c r="W227" i="80" s="1"/>
  <c r="J226" i="80"/>
  <c r="W226" i="80" s="1"/>
  <c r="J225" i="80"/>
  <c r="W225" i="80" s="1"/>
  <c r="J224" i="80"/>
  <c r="W224" i="80" s="1"/>
  <c r="J223" i="80"/>
  <c r="W223" i="80" s="1"/>
  <c r="J222" i="80"/>
  <c r="W222" i="80" s="1"/>
  <c r="J221" i="80"/>
  <c r="W221" i="80" s="1"/>
  <c r="J220" i="80"/>
  <c r="W220" i="80" s="1"/>
  <c r="J219" i="80"/>
  <c r="W219" i="80" s="1"/>
  <c r="J218" i="80"/>
  <c r="W218" i="80" s="1"/>
  <c r="J217" i="80"/>
  <c r="W217" i="80" s="1"/>
  <c r="J216" i="80"/>
  <c r="W216" i="80" s="1"/>
  <c r="B216" i="80"/>
  <c r="B217" i="80" s="1"/>
  <c r="B218" i="80" s="1"/>
  <c r="B219" i="80" s="1"/>
  <c r="B220" i="80" s="1"/>
  <c r="B221" i="80" s="1"/>
  <c r="B222" i="80" s="1"/>
  <c r="B223" i="80" s="1"/>
  <c r="B224" i="80" s="1"/>
  <c r="B225" i="80" s="1"/>
  <c r="B226" i="80" s="1"/>
  <c r="B227" i="80" s="1"/>
  <c r="B228" i="80" s="1"/>
  <c r="B229" i="80" s="1"/>
  <c r="B230" i="80" s="1"/>
  <c r="B231" i="80" s="1"/>
  <c r="B232" i="80" s="1"/>
  <c r="B233" i="80" s="1"/>
  <c r="B234" i="80" s="1"/>
  <c r="B235" i="80" s="1"/>
  <c r="B236" i="80" s="1"/>
  <c r="B237" i="80" s="1"/>
  <c r="V215" i="80"/>
  <c r="J215" i="80"/>
  <c r="W215" i="80" s="1"/>
  <c r="J206" i="80"/>
  <c r="W206" i="80" s="1"/>
  <c r="J205" i="80"/>
  <c r="W205" i="80" s="1"/>
  <c r="J204" i="80"/>
  <c r="V204" i="80" s="1"/>
  <c r="J203" i="80"/>
  <c r="V203" i="80" s="1"/>
  <c r="J202" i="80"/>
  <c r="V202" i="80" s="1"/>
  <c r="W201" i="80"/>
  <c r="J201" i="80"/>
  <c r="V201" i="80" s="1"/>
  <c r="J200" i="80"/>
  <c r="V200" i="80" s="1"/>
  <c r="J199" i="80"/>
  <c r="V199" i="80" s="1"/>
  <c r="J198" i="80"/>
  <c r="V198" i="80" s="1"/>
  <c r="J197" i="80"/>
  <c r="W197" i="80" s="1"/>
  <c r="J196" i="80"/>
  <c r="V196" i="80" s="1"/>
  <c r="J195" i="80"/>
  <c r="V195" i="80" s="1"/>
  <c r="J194" i="80"/>
  <c r="V194" i="80" s="1"/>
  <c r="J193" i="80"/>
  <c r="W193" i="80" s="1"/>
  <c r="J192" i="80"/>
  <c r="V192" i="80" s="1"/>
  <c r="J191" i="80"/>
  <c r="V191" i="80" s="1"/>
  <c r="J190" i="80"/>
  <c r="V190" i="80" s="1"/>
  <c r="J189" i="80"/>
  <c r="V189" i="80" s="1"/>
  <c r="J188" i="80"/>
  <c r="V188" i="80" s="1"/>
  <c r="J187" i="80"/>
  <c r="V187" i="80" s="1"/>
  <c r="J186" i="80"/>
  <c r="V186" i="80" s="1"/>
  <c r="J185" i="80"/>
  <c r="W185" i="80" s="1"/>
  <c r="B185" i="80"/>
  <c r="B186" i="80" s="1"/>
  <c r="B187" i="80" s="1"/>
  <c r="B188" i="80" s="1"/>
  <c r="B189" i="80" s="1"/>
  <c r="B190" i="80" s="1"/>
  <c r="B191" i="80" s="1"/>
  <c r="B192" i="80" s="1"/>
  <c r="B193" i="80" s="1"/>
  <c r="B194" i="80" s="1"/>
  <c r="B195" i="80" s="1"/>
  <c r="B196" i="80" s="1"/>
  <c r="B197" i="80" s="1"/>
  <c r="B198" i="80" s="1"/>
  <c r="B199" i="80" s="1"/>
  <c r="B200" i="80" s="1"/>
  <c r="B201" i="80" s="1"/>
  <c r="B202" i="80" s="1"/>
  <c r="B203" i="80" s="1"/>
  <c r="B204" i="80" s="1"/>
  <c r="B205" i="80" s="1"/>
  <c r="B206" i="80" s="1"/>
  <c r="J184" i="80"/>
  <c r="W184" i="80" s="1"/>
  <c r="J175" i="80"/>
  <c r="W175" i="80" s="1"/>
  <c r="J174" i="80"/>
  <c r="W174" i="80" s="1"/>
  <c r="J173" i="80"/>
  <c r="W173" i="80" s="1"/>
  <c r="J172" i="80"/>
  <c r="W172" i="80" s="1"/>
  <c r="J171" i="80"/>
  <c r="W171" i="80" s="1"/>
  <c r="J170" i="80"/>
  <c r="W170" i="80" s="1"/>
  <c r="J169" i="80"/>
  <c r="W169" i="80" s="1"/>
  <c r="J168" i="80"/>
  <c r="W168" i="80" s="1"/>
  <c r="J167" i="80"/>
  <c r="W167" i="80" s="1"/>
  <c r="J166" i="80"/>
  <c r="W166" i="80" s="1"/>
  <c r="J165" i="80"/>
  <c r="W165" i="80" s="1"/>
  <c r="J164" i="80"/>
  <c r="W164" i="80" s="1"/>
  <c r="J163" i="80"/>
  <c r="W163" i="80" s="1"/>
  <c r="J162" i="80"/>
  <c r="W162" i="80" s="1"/>
  <c r="J161" i="80"/>
  <c r="W161" i="80" s="1"/>
  <c r="V160" i="80"/>
  <c r="J160" i="80"/>
  <c r="W160" i="80" s="1"/>
  <c r="J159" i="80"/>
  <c r="W159" i="80" s="1"/>
  <c r="J158" i="80"/>
  <c r="W158" i="80" s="1"/>
  <c r="J157" i="80"/>
  <c r="W157" i="80" s="1"/>
  <c r="J156" i="80"/>
  <c r="W156" i="80" s="1"/>
  <c r="J155" i="80"/>
  <c r="W155" i="80" s="1"/>
  <c r="J154" i="80"/>
  <c r="W154" i="80" s="1"/>
  <c r="B154" i="80"/>
  <c r="B155" i="80" s="1"/>
  <c r="B156" i="80" s="1"/>
  <c r="B157" i="80" s="1"/>
  <c r="B158" i="80" s="1"/>
  <c r="B159" i="80" s="1"/>
  <c r="B160" i="80" s="1"/>
  <c r="B161" i="80" s="1"/>
  <c r="B162" i="80" s="1"/>
  <c r="B163" i="80" s="1"/>
  <c r="B164" i="80" s="1"/>
  <c r="B165" i="80" s="1"/>
  <c r="B166" i="80" s="1"/>
  <c r="B167" i="80" s="1"/>
  <c r="B168" i="80" s="1"/>
  <c r="B169" i="80" s="1"/>
  <c r="B170" i="80" s="1"/>
  <c r="B171" i="80" s="1"/>
  <c r="B172" i="80" s="1"/>
  <c r="B173" i="80" s="1"/>
  <c r="B174" i="80" s="1"/>
  <c r="B175" i="80" s="1"/>
  <c r="J153" i="80"/>
  <c r="W153" i="80" s="1"/>
  <c r="J144" i="80"/>
  <c r="W144" i="80" s="1"/>
  <c r="J143" i="80"/>
  <c r="W143" i="80" s="1"/>
  <c r="J142" i="80"/>
  <c r="W142" i="80" s="1"/>
  <c r="J141" i="80"/>
  <c r="W141" i="80" s="1"/>
  <c r="J140" i="80"/>
  <c r="V140" i="80" s="1"/>
  <c r="J139" i="80"/>
  <c r="V139" i="80" s="1"/>
  <c r="J138" i="80"/>
  <c r="W138" i="80" s="1"/>
  <c r="J137" i="80"/>
  <c r="W137" i="80" s="1"/>
  <c r="J136" i="80"/>
  <c r="V136" i="80" s="1"/>
  <c r="V135" i="80"/>
  <c r="J135" i="80"/>
  <c r="W135" i="80" s="1"/>
  <c r="J134" i="80"/>
  <c r="V134" i="80" s="1"/>
  <c r="J133" i="80"/>
  <c r="W133" i="80" s="1"/>
  <c r="J132" i="80"/>
  <c r="V132" i="80" s="1"/>
  <c r="J131" i="80"/>
  <c r="W131" i="80" s="1"/>
  <c r="J130" i="80"/>
  <c r="W130" i="80" s="1"/>
  <c r="J129" i="80"/>
  <c r="W129" i="80" s="1"/>
  <c r="J128" i="80"/>
  <c r="V128" i="80" s="1"/>
  <c r="J127" i="80"/>
  <c r="V127" i="80" s="1"/>
  <c r="J126" i="80"/>
  <c r="W126" i="80" s="1"/>
  <c r="J125" i="80"/>
  <c r="W125" i="80" s="1"/>
  <c r="J124" i="80"/>
  <c r="V124" i="80" s="1"/>
  <c r="J123" i="80"/>
  <c r="V123" i="80" s="1"/>
  <c r="B123" i="80"/>
  <c r="B124" i="80" s="1"/>
  <c r="B125" i="80" s="1"/>
  <c r="B126" i="80" s="1"/>
  <c r="B127" i="80" s="1"/>
  <c r="B128" i="80" s="1"/>
  <c r="B129" i="80" s="1"/>
  <c r="B130" i="80" s="1"/>
  <c r="B131" i="80" s="1"/>
  <c r="B132" i="80" s="1"/>
  <c r="B133" i="80" s="1"/>
  <c r="B134" i="80" s="1"/>
  <c r="B135" i="80" s="1"/>
  <c r="B136" i="80" s="1"/>
  <c r="B137" i="80" s="1"/>
  <c r="B138" i="80" s="1"/>
  <c r="B139" i="80" s="1"/>
  <c r="B140" i="80" s="1"/>
  <c r="B141" i="80" s="1"/>
  <c r="B142" i="80" s="1"/>
  <c r="B143" i="80" s="1"/>
  <c r="B144" i="80" s="1"/>
  <c r="J122" i="80"/>
  <c r="W122" i="80" s="1"/>
  <c r="J113" i="80"/>
  <c r="W113" i="80" s="1"/>
  <c r="J112" i="80"/>
  <c r="W112" i="80" s="1"/>
  <c r="J111" i="80"/>
  <c r="W111" i="80" s="1"/>
  <c r="J110" i="80"/>
  <c r="W110" i="80" s="1"/>
  <c r="J109" i="80"/>
  <c r="W109" i="80" s="1"/>
  <c r="J108" i="80"/>
  <c r="W108" i="80" s="1"/>
  <c r="J107" i="80"/>
  <c r="W107" i="80" s="1"/>
  <c r="J106" i="80"/>
  <c r="W106" i="80" s="1"/>
  <c r="J105" i="80"/>
  <c r="W105" i="80" s="1"/>
  <c r="J104" i="80"/>
  <c r="W104" i="80" s="1"/>
  <c r="J103" i="80"/>
  <c r="W103" i="80" s="1"/>
  <c r="J102" i="80"/>
  <c r="W102" i="80" s="1"/>
  <c r="J101" i="80"/>
  <c r="W101" i="80" s="1"/>
  <c r="J100" i="80"/>
  <c r="W100" i="80" s="1"/>
  <c r="J99" i="80"/>
  <c r="W99" i="80" s="1"/>
  <c r="J98" i="80"/>
  <c r="W98" i="80" s="1"/>
  <c r="J97" i="80"/>
  <c r="W97" i="80" s="1"/>
  <c r="J96" i="80"/>
  <c r="W96" i="80" s="1"/>
  <c r="J95" i="80"/>
  <c r="W95" i="80" s="1"/>
  <c r="J94" i="80"/>
  <c r="W94" i="80" s="1"/>
  <c r="J93" i="80"/>
  <c r="W93" i="80" s="1"/>
  <c r="J92" i="80"/>
  <c r="W92" i="80" s="1"/>
  <c r="B92" i="80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J91" i="80"/>
  <c r="W91" i="80" s="1"/>
  <c r="J82" i="80"/>
  <c r="W82" i="80" s="1"/>
  <c r="J81" i="80"/>
  <c r="W81" i="80" s="1"/>
  <c r="J80" i="80"/>
  <c r="V80" i="80" s="1"/>
  <c r="J79" i="80"/>
  <c r="V79" i="80" s="1"/>
  <c r="J78" i="80"/>
  <c r="W78" i="80" s="1"/>
  <c r="J77" i="80"/>
  <c r="W77" i="80" s="1"/>
  <c r="J76" i="80"/>
  <c r="V76" i="80" s="1"/>
  <c r="J75" i="80"/>
  <c r="V75" i="80" s="1"/>
  <c r="W74" i="80"/>
  <c r="J74" i="80"/>
  <c r="V74" i="80" s="1"/>
  <c r="J73" i="80"/>
  <c r="W73" i="80" s="1"/>
  <c r="J72" i="80"/>
  <c r="V72" i="80" s="1"/>
  <c r="J71" i="80"/>
  <c r="W71" i="80" s="1"/>
  <c r="J70" i="80"/>
  <c r="V70" i="80" s="1"/>
  <c r="J69" i="80"/>
  <c r="W69" i="80" s="1"/>
  <c r="J68" i="80"/>
  <c r="V68" i="80" s="1"/>
  <c r="J67" i="80"/>
  <c r="V67" i="80" s="1"/>
  <c r="J66" i="80"/>
  <c r="W66" i="80" s="1"/>
  <c r="J65" i="80"/>
  <c r="W65" i="80" s="1"/>
  <c r="J64" i="80"/>
  <c r="V64" i="80" s="1"/>
  <c r="J63" i="80"/>
  <c r="W63" i="80" s="1"/>
  <c r="J62" i="80"/>
  <c r="W62" i="80" s="1"/>
  <c r="J61" i="80"/>
  <c r="W61" i="80" s="1"/>
  <c r="B61" i="80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J60" i="80"/>
  <c r="W51" i="80"/>
  <c r="V51" i="80"/>
  <c r="W50" i="80"/>
  <c r="V50" i="80"/>
  <c r="W49" i="80"/>
  <c r="V49" i="80"/>
  <c r="W48" i="80"/>
  <c r="V48" i="80"/>
  <c r="V45" i="80"/>
  <c r="V44" i="80"/>
  <c r="V41" i="80"/>
  <c r="W41" i="80"/>
  <c r="W40" i="80"/>
  <c r="V40" i="80"/>
  <c r="V38" i="80"/>
  <c r="V34" i="80"/>
  <c r="V33" i="80"/>
  <c r="W33" i="80"/>
  <c r="W32" i="80"/>
  <c r="V32" i="80"/>
  <c r="V30" i="80"/>
  <c r="V26" i="80"/>
  <c r="V25" i="80"/>
  <c r="W25" i="80"/>
  <c r="W24" i="80"/>
  <c r="V24" i="80"/>
  <c r="V22" i="80"/>
  <c r="V19" i="80"/>
  <c r="V18" i="80"/>
  <c r="W18" i="80"/>
  <c r="N16" i="80"/>
  <c r="V16" i="80"/>
  <c r="W15" i="80"/>
  <c r="V15" i="80"/>
  <c r="N14" i="80"/>
  <c r="W14" i="80"/>
  <c r="N12" i="80"/>
  <c r="V11" i="80"/>
  <c r="N10" i="80"/>
  <c r="N8" i="80"/>
  <c r="V8" i="80"/>
  <c r="I7" i="80"/>
  <c r="J7" i="80" s="1"/>
  <c r="B7" i="80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N6" i="80"/>
  <c r="I6" i="80"/>
  <c r="J6" i="80" s="1"/>
  <c r="N4" i="80"/>
  <c r="V73" i="80" l="1"/>
  <c r="W75" i="80"/>
  <c r="V78" i="80"/>
  <c r="V81" i="80"/>
  <c r="V206" i="80"/>
  <c r="V143" i="80"/>
  <c r="V63" i="80"/>
  <c r="V96" i="80"/>
  <c r="V104" i="80"/>
  <c r="W139" i="80"/>
  <c r="V144" i="80"/>
  <c r="V175" i="80"/>
  <c r="V237" i="80"/>
  <c r="V61" i="80"/>
  <c r="V66" i="80"/>
  <c r="V82" i="80"/>
  <c r="V113" i="80"/>
  <c r="V170" i="80"/>
  <c r="W190" i="80"/>
  <c r="V197" i="80"/>
  <c r="V205" i="80"/>
  <c r="V236" i="80"/>
  <c r="Q14" i="83"/>
  <c r="Q8" i="83"/>
  <c r="Q16" i="83"/>
  <c r="Q6" i="83"/>
  <c r="P18" i="83"/>
  <c r="Q10" i="83"/>
  <c r="Q12" i="83"/>
  <c r="R12" i="83"/>
  <c r="O18" i="83"/>
  <c r="R18" i="83" s="1"/>
  <c r="P20" i="83" s="1"/>
  <c r="Q4" i="83"/>
  <c r="R4" i="83"/>
  <c r="W83" i="82"/>
  <c r="P6" i="82" s="1"/>
  <c r="Q6" i="82" s="1"/>
  <c r="W207" i="82"/>
  <c r="P14" i="82" s="1"/>
  <c r="Q14" i="82" s="1"/>
  <c r="W145" i="82"/>
  <c r="P10" i="82" s="1"/>
  <c r="Q10" i="82" s="1"/>
  <c r="V114" i="82"/>
  <c r="O8" i="82" s="1"/>
  <c r="R14" i="82"/>
  <c r="R6" i="82"/>
  <c r="W52" i="82"/>
  <c r="P4" i="82" s="1"/>
  <c r="V238" i="82"/>
  <c r="O16" i="82" s="1"/>
  <c r="V52" i="82"/>
  <c r="O4" i="82" s="1"/>
  <c r="V176" i="82"/>
  <c r="O12" i="82" s="1"/>
  <c r="W83" i="81"/>
  <c r="P6" i="81" s="1"/>
  <c r="Q6" i="81" s="1"/>
  <c r="V238" i="81"/>
  <c r="O16" i="81" s="1"/>
  <c r="W207" i="81"/>
  <c r="P14" i="81" s="1"/>
  <c r="Q14" i="81" s="1"/>
  <c r="V176" i="81"/>
  <c r="O12" i="81" s="1"/>
  <c r="R12" i="81" s="1"/>
  <c r="W145" i="81"/>
  <c r="P10" i="81" s="1"/>
  <c r="Q10" i="81" s="1"/>
  <c r="V114" i="81"/>
  <c r="O8" i="81" s="1"/>
  <c r="R8" i="81" s="1"/>
  <c r="V52" i="81"/>
  <c r="O4" i="81" s="1"/>
  <c r="W52" i="81"/>
  <c r="P4" i="81" s="1"/>
  <c r="V174" i="80"/>
  <c r="V142" i="80"/>
  <c r="V112" i="80"/>
  <c r="W202" i="80"/>
  <c r="V172" i="80"/>
  <c r="V110" i="80"/>
  <c r="V138" i="80"/>
  <c r="V108" i="80"/>
  <c r="V77" i="80"/>
  <c r="W198" i="80"/>
  <c r="V168" i="80"/>
  <c r="W136" i="80"/>
  <c r="V106" i="80"/>
  <c r="V166" i="80"/>
  <c r="W194" i="80"/>
  <c r="V164" i="80"/>
  <c r="W132" i="80"/>
  <c r="V102" i="80"/>
  <c r="V71" i="80"/>
  <c r="V193" i="80"/>
  <c r="V131" i="80"/>
  <c r="W70" i="80"/>
  <c r="V162" i="80"/>
  <c r="V130" i="80"/>
  <c r="V100" i="80"/>
  <c r="V69" i="80"/>
  <c r="W128" i="80"/>
  <c r="V98" i="80"/>
  <c r="W67" i="80"/>
  <c r="W189" i="80"/>
  <c r="W127" i="80"/>
  <c r="V158" i="80"/>
  <c r="V126" i="80"/>
  <c r="V65" i="80"/>
  <c r="W186" i="80"/>
  <c r="V156" i="80"/>
  <c r="W124" i="80"/>
  <c r="V94" i="80"/>
  <c r="J83" i="80"/>
  <c r="V62" i="80"/>
  <c r="J207" i="80"/>
  <c r="V185" i="80"/>
  <c r="W176" i="80"/>
  <c r="P12" i="80" s="1"/>
  <c r="V154" i="80"/>
  <c r="W123" i="80"/>
  <c r="J145" i="80"/>
  <c r="V92" i="80"/>
  <c r="V184" i="80"/>
  <c r="V122" i="80"/>
  <c r="V91" i="80"/>
  <c r="V60" i="80"/>
  <c r="V217" i="80"/>
  <c r="V219" i="80"/>
  <c r="V221" i="80"/>
  <c r="V223" i="80"/>
  <c r="V225" i="80"/>
  <c r="V227" i="80"/>
  <c r="V229" i="80"/>
  <c r="V231" i="80"/>
  <c r="V233" i="80"/>
  <c r="V235" i="80"/>
  <c r="V216" i="80"/>
  <c r="V218" i="80"/>
  <c r="V220" i="80"/>
  <c r="V222" i="80"/>
  <c r="V224" i="80"/>
  <c r="V226" i="80"/>
  <c r="V228" i="80"/>
  <c r="V230" i="80"/>
  <c r="V232" i="80"/>
  <c r="V234" i="80"/>
  <c r="W187" i="80"/>
  <c r="W191" i="80"/>
  <c r="W195" i="80"/>
  <c r="W199" i="80"/>
  <c r="W203" i="80"/>
  <c r="W188" i="80"/>
  <c r="W192" i="80"/>
  <c r="W196" i="80"/>
  <c r="W200" i="80"/>
  <c r="W204" i="80"/>
  <c r="V155" i="80"/>
  <c r="V157" i="80"/>
  <c r="V159" i="80"/>
  <c r="V161" i="80"/>
  <c r="V163" i="80"/>
  <c r="V165" i="80"/>
  <c r="V167" i="80"/>
  <c r="V169" i="80"/>
  <c r="V171" i="80"/>
  <c r="V173" i="80"/>
  <c r="V153" i="80"/>
  <c r="V125" i="80"/>
  <c r="V129" i="80"/>
  <c r="V133" i="80"/>
  <c r="W134" i="80"/>
  <c r="V137" i="80"/>
  <c r="V141" i="80"/>
  <c r="W140" i="80"/>
  <c r="V93" i="80"/>
  <c r="V95" i="80"/>
  <c r="V97" i="80"/>
  <c r="V99" i="80"/>
  <c r="V101" i="80"/>
  <c r="V103" i="80"/>
  <c r="V105" i="80"/>
  <c r="V107" i="80"/>
  <c r="V109" i="80"/>
  <c r="V111" i="80"/>
  <c r="W79" i="80"/>
  <c r="W64" i="80"/>
  <c r="W68" i="80"/>
  <c r="W72" i="80"/>
  <c r="W76" i="80"/>
  <c r="W80" i="80"/>
  <c r="N18" i="80"/>
  <c r="W60" i="80"/>
  <c r="W21" i="80"/>
  <c r="V21" i="80"/>
  <c r="W37" i="80"/>
  <c r="V37" i="80"/>
  <c r="V36" i="80"/>
  <c r="W36" i="80"/>
  <c r="W13" i="80"/>
  <c r="V13" i="80"/>
  <c r="W29" i="80"/>
  <c r="V29" i="80"/>
  <c r="V28" i="80"/>
  <c r="W28" i="80"/>
  <c r="W44" i="80"/>
  <c r="V20" i="80"/>
  <c r="W20" i="80"/>
  <c r="W27" i="80"/>
  <c r="V27" i="80"/>
  <c r="W35" i="80"/>
  <c r="V35" i="80"/>
  <c r="V10" i="80"/>
  <c r="W10" i="80"/>
  <c r="V12" i="80"/>
  <c r="W12" i="80"/>
  <c r="W43" i="80"/>
  <c r="V43" i="80"/>
  <c r="W47" i="80"/>
  <c r="V47" i="80"/>
  <c r="J52" i="80"/>
  <c r="W114" i="80"/>
  <c r="P8" i="80" s="1"/>
  <c r="W238" i="80"/>
  <c r="P16" i="80" s="1"/>
  <c r="W7" i="80"/>
  <c r="V7" i="80"/>
  <c r="W9" i="80"/>
  <c r="V9" i="80"/>
  <c r="W17" i="80"/>
  <c r="V17" i="80"/>
  <c r="W23" i="80"/>
  <c r="V23" i="80"/>
  <c r="W31" i="80"/>
  <c r="V31" i="80"/>
  <c r="W39" i="80"/>
  <c r="V39" i="80"/>
  <c r="V42" i="80"/>
  <c r="W42" i="80"/>
  <c r="V46" i="80"/>
  <c r="W46" i="80"/>
  <c r="W6" i="80"/>
  <c r="V6" i="80"/>
  <c r="W8" i="80"/>
  <c r="W11" i="80"/>
  <c r="V14" i="80"/>
  <c r="W16" i="80"/>
  <c r="W19" i="80"/>
  <c r="W22" i="80"/>
  <c r="W26" i="80"/>
  <c r="W30" i="80"/>
  <c r="W34" i="80"/>
  <c r="W38" i="80"/>
  <c r="W45" i="80"/>
  <c r="J114" i="80"/>
  <c r="J176" i="80"/>
  <c r="J238" i="80"/>
  <c r="Q18" i="83" l="1"/>
  <c r="P18" i="82"/>
  <c r="O18" i="82"/>
  <c r="R18" i="82" s="1"/>
  <c r="P20" i="82" s="1"/>
  <c r="R4" i="82"/>
  <c r="Q4" i="82"/>
  <c r="R12" i="82"/>
  <c r="Q12" i="82"/>
  <c r="R8" i="82"/>
  <c r="Q8" i="82"/>
  <c r="R16" i="82"/>
  <c r="Q16" i="82"/>
  <c r="P18" i="81"/>
  <c r="Q16" i="81"/>
  <c r="R16" i="81"/>
  <c r="Q12" i="81"/>
  <c r="Q8" i="81"/>
  <c r="O18" i="81"/>
  <c r="R18" i="81" s="1"/>
  <c r="P20" i="81" s="1"/>
  <c r="R4" i="81"/>
  <c r="Q4" i="81"/>
  <c r="V83" i="80"/>
  <c r="O6" i="80" s="1"/>
  <c r="R6" i="80" s="1"/>
  <c r="W83" i="80"/>
  <c r="P6" i="80" s="1"/>
  <c r="V238" i="80"/>
  <c r="O16" i="80" s="1"/>
  <c r="R16" i="80" s="1"/>
  <c r="W207" i="80"/>
  <c r="P14" i="80" s="1"/>
  <c r="V207" i="80"/>
  <c r="O14" i="80" s="1"/>
  <c r="R14" i="80" s="1"/>
  <c r="W145" i="80"/>
  <c r="P10" i="80" s="1"/>
  <c r="V52" i="80"/>
  <c r="O4" i="80" s="1"/>
  <c r="R4" i="80" s="1"/>
  <c r="V145" i="80"/>
  <c r="O10" i="80" s="1"/>
  <c r="V114" i="80"/>
  <c r="O8" i="80" s="1"/>
  <c r="R8" i="80" s="1"/>
  <c r="V176" i="80"/>
  <c r="O12" i="80" s="1"/>
  <c r="W52" i="80"/>
  <c r="P4" i="80" s="1"/>
  <c r="Q18" i="82" l="1"/>
  <c r="Q18" i="81"/>
  <c r="Q6" i="80"/>
  <c r="Q16" i="80"/>
  <c r="Q14" i="80"/>
  <c r="P18" i="80"/>
  <c r="Q10" i="80"/>
  <c r="R10" i="80"/>
  <c r="O18" i="80"/>
  <c r="R18" i="80" s="1"/>
  <c r="P20" i="80" s="1"/>
  <c r="Q8" i="80"/>
  <c r="R12" i="80"/>
  <c r="Q12" i="80"/>
  <c r="Q4" i="80"/>
  <c r="Q18" i="80" l="1"/>
  <c r="I47" i="79"/>
  <c r="J47" i="79" s="1"/>
  <c r="I46" i="79"/>
  <c r="J46" i="79" s="1"/>
  <c r="I45" i="79"/>
  <c r="J45" i="79" s="1"/>
  <c r="J44" i="79"/>
  <c r="I44" i="79"/>
  <c r="I43" i="79"/>
  <c r="J43" i="79" s="1"/>
  <c r="I42" i="79"/>
  <c r="J42" i="79" s="1"/>
  <c r="I41" i="79"/>
  <c r="J41" i="79" s="1"/>
  <c r="J40" i="79"/>
  <c r="I40" i="79"/>
  <c r="I39" i="79"/>
  <c r="J39" i="79" s="1"/>
  <c r="I38" i="79"/>
  <c r="J38" i="79" s="1"/>
  <c r="I37" i="79"/>
  <c r="J37" i="79" s="1"/>
  <c r="J36" i="79"/>
  <c r="I36" i="79"/>
  <c r="I35" i="79"/>
  <c r="J35" i="79" s="1"/>
  <c r="I34" i="79"/>
  <c r="J34" i="79" s="1"/>
  <c r="I33" i="79"/>
  <c r="J33" i="79" s="1"/>
  <c r="I32" i="79"/>
  <c r="J32" i="79" s="1"/>
  <c r="I31" i="79"/>
  <c r="J31" i="79" s="1"/>
  <c r="I30" i="79"/>
  <c r="J30" i="79" s="1"/>
  <c r="I29" i="79"/>
  <c r="J29" i="79" s="1"/>
  <c r="I28" i="79"/>
  <c r="J28" i="79" s="1"/>
  <c r="I27" i="79"/>
  <c r="J27" i="79" s="1"/>
  <c r="I26" i="79"/>
  <c r="J26" i="79" s="1"/>
  <c r="I25" i="79"/>
  <c r="J25" i="79" s="1"/>
  <c r="I24" i="79"/>
  <c r="J24" i="79" s="1"/>
  <c r="I23" i="79"/>
  <c r="J23" i="79" s="1"/>
  <c r="I22" i="79"/>
  <c r="J22" i="79" s="1"/>
  <c r="I21" i="79"/>
  <c r="J21" i="79" s="1"/>
  <c r="I20" i="79"/>
  <c r="J20" i="79" s="1"/>
  <c r="I19" i="79"/>
  <c r="J19" i="79" s="1"/>
  <c r="I18" i="79"/>
  <c r="J18" i="79" s="1"/>
  <c r="I17" i="79"/>
  <c r="J17" i="79" s="1"/>
  <c r="I16" i="79"/>
  <c r="J16" i="79" s="1"/>
  <c r="I15" i="79"/>
  <c r="J15" i="79" s="1"/>
  <c r="I14" i="79"/>
  <c r="J14" i="79" s="1"/>
  <c r="I13" i="79"/>
  <c r="J13" i="79" s="1"/>
  <c r="I12" i="79"/>
  <c r="J12" i="79" s="1"/>
  <c r="I10" i="79"/>
  <c r="J10" i="79" s="1"/>
  <c r="I11" i="79"/>
  <c r="J11" i="79" s="1"/>
  <c r="I8" i="79"/>
  <c r="J8" i="79" s="1"/>
  <c r="I9" i="79"/>
  <c r="J9" i="79" s="1"/>
  <c r="N16" i="79"/>
  <c r="N14" i="79"/>
  <c r="N12" i="79"/>
  <c r="N10" i="79"/>
  <c r="N8" i="79"/>
  <c r="N6" i="79"/>
  <c r="N4" i="79"/>
  <c r="N18" i="79" l="1"/>
  <c r="J237" i="79"/>
  <c r="W237" i="79" s="1"/>
  <c r="J236" i="79"/>
  <c r="W236" i="79" s="1"/>
  <c r="J235" i="79"/>
  <c r="W235" i="79" s="1"/>
  <c r="J234" i="79"/>
  <c r="W234" i="79" s="1"/>
  <c r="J233" i="79"/>
  <c r="W233" i="79" s="1"/>
  <c r="J232" i="79"/>
  <c r="W232" i="79" s="1"/>
  <c r="J231" i="79"/>
  <c r="W231" i="79" s="1"/>
  <c r="J230" i="79"/>
  <c r="W230" i="79" s="1"/>
  <c r="J229" i="79"/>
  <c r="W229" i="79" s="1"/>
  <c r="J228" i="79"/>
  <c r="W228" i="79" s="1"/>
  <c r="J227" i="79"/>
  <c r="W227" i="79" s="1"/>
  <c r="J226" i="79"/>
  <c r="W226" i="79" s="1"/>
  <c r="J225" i="79"/>
  <c r="W225" i="79" s="1"/>
  <c r="J224" i="79"/>
  <c r="W224" i="79" s="1"/>
  <c r="J223" i="79"/>
  <c r="W223" i="79" s="1"/>
  <c r="J222" i="79"/>
  <c r="W222" i="79" s="1"/>
  <c r="J221" i="79"/>
  <c r="W221" i="79" s="1"/>
  <c r="J220" i="79"/>
  <c r="W220" i="79" s="1"/>
  <c r="J219" i="79"/>
  <c r="W219" i="79" s="1"/>
  <c r="J218" i="79"/>
  <c r="W218" i="79" s="1"/>
  <c r="J217" i="79"/>
  <c r="W217" i="79" s="1"/>
  <c r="J216" i="79"/>
  <c r="W216" i="79" s="1"/>
  <c r="B216" i="79"/>
  <c r="B217" i="79" s="1"/>
  <c r="B218" i="79" s="1"/>
  <c r="B219" i="79" s="1"/>
  <c r="B220" i="79" s="1"/>
  <c r="B221" i="79" s="1"/>
  <c r="B222" i="79" s="1"/>
  <c r="B223" i="79" s="1"/>
  <c r="B224" i="79" s="1"/>
  <c r="B225" i="79" s="1"/>
  <c r="B226" i="79" s="1"/>
  <c r="B227" i="79" s="1"/>
  <c r="B228" i="79" s="1"/>
  <c r="B229" i="79" s="1"/>
  <c r="B230" i="79" s="1"/>
  <c r="B231" i="79" s="1"/>
  <c r="B232" i="79" s="1"/>
  <c r="B233" i="79" s="1"/>
  <c r="B234" i="79" s="1"/>
  <c r="B235" i="79" s="1"/>
  <c r="B236" i="79" s="1"/>
  <c r="B237" i="79" s="1"/>
  <c r="J215" i="79"/>
  <c r="W215" i="79" s="1"/>
  <c r="J206" i="79"/>
  <c r="W206" i="79" s="1"/>
  <c r="J205" i="79"/>
  <c r="W205" i="79" s="1"/>
  <c r="J204" i="79"/>
  <c r="W204" i="79" s="1"/>
  <c r="J203" i="79"/>
  <c r="V203" i="79" s="1"/>
  <c r="J202" i="79"/>
  <c r="V202" i="79" s="1"/>
  <c r="J201" i="79"/>
  <c r="V201" i="79" s="1"/>
  <c r="J200" i="79"/>
  <c r="W200" i="79" s="1"/>
  <c r="J199" i="79"/>
  <c r="V199" i="79" s="1"/>
  <c r="J198" i="79"/>
  <c r="V198" i="79" s="1"/>
  <c r="J197" i="79"/>
  <c r="V197" i="79" s="1"/>
  <c r="J196" i="79"/>
  <c r="W196" i="79" s="1"/>
  <c r="J195" i="79"/>
  <c r="V195" i="79" s="1"/>
  <c r="J194" i="79"/>
  <c r="W194" i="79" s="1"/>
  <c r="J193" i="79"/>
  <c r="V193" i="79" s="1"/>
  <c r="J192" i="79"/>
  <c r="W192" i="79" s="1"/>
  <c r="J191" i="79"/>
  <c r="V191" i="79" s="1"/>
  <c r="W190" i="79"/>
  <c r="J190" i="79"/>
  <c r="V190" i="79" s="1"/>
  <c r="J189" i="79"/>
  <c r="W189" i="79" s="1"/>
  <c r="J188" i="79"/>
  <c r="W188" i="79" s="1"/>
  <c r="J187" i="79"/>
  <c r="V187" i="79" s="1"/>
  <c r="J186" i="79"/>
  <c r="V186" i="79" s="1"/>
  <c r="J185" i="79"/>
  <c r="V185" i="79" s="1"/>
  <c r="B185" i="79"/>
  <c r="B186" i="79" s="1"/>
  <c r="B187" i="79" s="1"/>
  <c r="B188" i="79" s="1"/>
  <c r="B189" i="79" s="1"/>
  <c r="B190" i="79" s="1"/>
  <c r="B191" i="79" s="1"/>
  <c r="B192" i="79" s="1"/>
  <c r="B193" i="79" s="1"/>
  <c r="B194" i="79" s="1"/>
  <c r="B195" i="79" s="1"/>
  <c r="B196" i="79" s="1"/>
  <c r="B197" i="79" s="1"/>
  <c r="B198" i="79" s="1"/>
  <c r="B199" i="79" s="1"/>
  <c r="B200" i="79" s="1"/>
  <c r="B201" i="79" s="1"/>
  <c r="B202" i="79" s="1"/>
  <c r="B203" i="79" s="1"/>
  <c r="B204" i="79" s="1"/>
  <c r="B205" i="79" s="1"/>
  <c r="B206" i="79" s="1"/>
  <c r="J184" i="79"/>
  <c r="W184" i="79" s="1"/>
  <c r="J175" i="79"/>
  <c r="W175" i="79" s="1"/>
  <c r="J174" i="79"/>
  <c r="W174" i="79" s="1"/>
  <c r="J173" i="79"/>
  <c r="W173" i="79" s="1"/>
  <c r="J172" i="79"/>
  <c r="W172" i="79" s="1"/>
  <c r="J171" i="79"/>
  <c r="W171" i="79" s="1"/>
  <c r="J170" i="79"/>
  <c r="W170" i="79" s="1"/>
  <c r="J169" i="79"/>
  <c r="W169" i="79" s="1"/>
  <c r="J168" i="79"/>
  <c r="W168" i="79" s="1"/>
  <c r="J167" i="79"/>
  <c r="W167" i="79" s="1"/>
  <c r="J166" i="79"/>
  <c r="W166" i="79" s="1"/>
  <c r="J165" i="79"/>
  <c r="W165" i="79" s="1"/>
  <c r="J164" i="79"/>
  <c r="W164" i="79" s="1"/>
  <c r="J163" i="79"/>
  <c r="W163" i="79" s="1"/>
  <c r="J162" i="79"/>
  <c r="W162" i="79" s="1"/>
  <c r="J161" i="79"/>
  <c r="W161" i="79" s="1"/>
  <c r="J160" i="79"/>
  <c r="W160" i="79" s="1"/>
  <c r="J159" i="79"/>
  <c r="W159" i="79" s="1"/>
  <c r="J158" i="79"/>
  <c r="W158" i="79" s="1"/>
  <c r="J157" i="79"/>
  <c r="W157" i="79" s="1"/>
  <c r="J156" i="79"/>
  <c r="W156" i="79" s="1"/>
  <c r="J155" i="79"/>
  <c r="W155" i="79" s="1"/>
  <c r="J154" i="79"/>
  <c r="W154" i="79" s="1"/>
  <c r="B154" i="79"/>
  <c r="B155" i="79" s="1"/>
  <c r="B156" i="79" s="1"/>
  <c r="B157" i="79" s="1"/>
  <c r="B158" i="79" s="1"/>
  <c r="B159" i="79" s="1"/>
  <c r="B160" i="79" s="1"/>
  <c r="B161" i="79" s="1"/>
  <c r="B162" i="79" s="1"/>
  <c r="B163" i="79" s="1"/>
  <c r="B164" i="79" s="1"/>
  <c r="B165" i="79" s="1"/>
  <c r="B166" i="79" s="1"/>
  <c r="B167" i="79" s="1"/>
  <c r="B168" i="79" s="1"/>
  <c r="B169" i="79" s="1"/>
  <c r="B170" i="79" s="1"/>
  <c r="B171" i="79" s="1"/>
  <c r="B172" i="79" s="1"/>
  <c r="B173" i="79" s="1"/>
  <c r="B174" i="79" s="1"/>
  <c r="B175" i="79" s="1"/>
  <c r="J153" i="79"/>
  <c r="W153" i="79" s="1"/>
  <c r="J144" i="79"/>
  <c r="W144" i="79" s="1"/>
  <c r="J143" i="79"/>
  <c r="W143" i="79" s="1"/>
  <c r="J142" i="79"/>
  <c r="V142" i="79" s="1"/>
  <c r="J141" i="79"/>
  <c r="V141" i="79" s="1"/>
  <c r="J140" i="79"/>
  <c r="W140" i="79" s="1"/>
  <c r="J139" i="79"/>
  <c r="W139" i="79" s="1"/>
  <c r="J138" i="79"/>
  <c r="V138" i="79" s="1"/>
  <c r="J137" i="79"/>
  <c r="V137" i="79" s="1"/>
  <c r="J136" i="79"/>
  <c r="V136" i="79" s="1"/>
  <c r="V135" i="79"/>
  <c r="J135" i="79"/>
  <c r="W135" i="79" s="1"/>
  <c r="J134" i="79"/>
  <c r="V134" i="79" s="1"/>
  <c r="J133" i="79"/>
  <c r="V133" i="79" s="1"/>
  <c r="J132" i="79"/>
  <c r="V132" i="79" s="1"/>
  <c r="J131" i="79"/>
  <c r="W131" i="79" s="1"/>
  <c r="J130" i="79"/>
  <c r="V130" i="79" s="1"/>
  <c r="J129" i="79"/>
  <c r="V129" i="79" s="1"/>
  <c r="J128" i="79"/>
  <c r="W128" i="79" s="1"/>
  <c r="J127" i="79"/>
  <c r="W127" i="79" s="1"/>
  <c r="J126" i="79"/>
  <c r="V126" i="79" s="1"/>
  <c r="J125" i="79"/>
  <c r="V125" i="79" s="1"/>
  <c r="J124" i="79"/>
  <c r="V124" i="79" s="1"/>
  <c r="J123" i="79"/>
  <c r="W123" i="79" s="1"/>
  <c r="B123" i="79"/>
  <c r="B124" i="79" s="1"/>
  <c r="B125" i="79" s="1"/>
  <c r="B126" i="79" s="1"/>
  <c r="B127" i="79" s="1"/>
  <c r="B128" i="79" s="1"/>
  <c r="B129" i="79" s="1"/>
  <c r="B130" i="79" s="1"/>
  <c r="B131" i="79" s="1"/>
  <c r="B132" i="79" s="1"/>
  <c r="B133" i="79" s="1"/>
  <c r="B134" i="79" s="1"/>
  <c r="B135" i="79" s="1"/>
  <c r="B136" i="79" s="1"/>
  <c r="B137" i="79" s="1"/>
  <c r="B138" i="79" s="1"/>
  <c r="B139" i="79" s="1"/>
  <c r="B140" i="79" s="1"/>
  <c r="B141" i="79" s="1"/>
  <c r="B142" i="79" s="1"/>
  <c r="B143" i="79" s="1"/>
  <c r="B144" i="79" s="1"/>
  <c r="J122" i="79"/>
  <c r="J113" i="79"/>
  <c r="W113" i="79" s="1"/>
  <c r="J112" i="79"/>
  <c r="W112" i="79" s="1"/>
  <c r="J111" i="79"/>
  <c r="W111" i="79" s="1"/>
  <c r="J110" i="79"/>
  <c r="W110" i="79" s="1"/>
  <c r="J109" i="79"/>
  <c r="W109" i="79" s="1"/>
  <c r="J108" i="79"/>
  <c r="W108" i="79" s="1"/>
  <c r="J107" i="79"/>
  <c r="W107" i="79" s="1"/>
  <c r="J106" i="79"/>
  <c r="W106" i="79" s="1"/>
  <c r="J105" i="79"/>
  <c r="W105" i="79" s="1"/>
  <c r="J104" i="79"/>
  <c r="W104" i="79" s="1"/>
  <c r="J103" i="79"/>
  <c r="W103" i="79" s="1"/>
  <c r="J102" i="79"/>
  <c r="W102" i="79" s="1"/>
  <c r="J101" i="79"/>
  <c r="W101" i="79" s="1"/>
  <c r="J100" i="79"/>
  <c r="W100" i="79" s="1"/>
  <c r="J99" i="79"/>
  <c r="W99" i="79" s="1"/>
  <c r="J98" i="79"/>
  <c r="W98" i="79" s="1"/>
  <c r="J97" i="79"/>
  <c r="W97" i="79" s="1"/>
  <c r="J96" i="79"/>
  <c r="W96" i="79" s="1"/>
  <c r="J95" i="79"/>
  <c r="W95" i="79" s="1"/>
  <c r="J94" i="79"/>
  <c r="W94" i="79" s="1"/>
  <c r="J93" i="79"/>
  <c r="W93" i="79" s="1"/>
  <c r="J92" i="79"/>
  <c r="W92" i="79" s="1"/>
  <c r="B92" i="79"/>
  <c r="B93" i="79" s="1"/>
  <c r="B94" i="79" s="1"/>
  <c r="B95" i="79" s="1"/>
  <c r="B96" i="79" s="1"/>
  <c r="B97" i="79" s="1"/>
  <c r="B98" i="79" s="1"/>
  <c r="B99" i="79" s="1"/>
  <c r="B100" i="79" s="1"/>
  <c r="B101" i="79" s="1"/>
  <c r="B102" i="79" s="1"/>
  <c r="B103" i="79" s="1"/>
  <c r="B104" i="79" s="1"/>
  <c r="B105" i="79" s="1"/>
  <c r="B106" i="79" s="1"/>
  <c r="B107" i="79" s="1"/>
  <c r="B108" i="79" s="1"/>
  <c r="B109" i="79" s="1"/>
  <c r="B110" i="79" s="1"/>
  <c r="B111" i="79" s="1"/>
  <c r="B112" i="79" s="1"/>
  <c r="B113" i="79" s="1"/>
  <c r="J91" i="79"/>
  <c r="W91" i="79" s="1"/>
  <c r="J82" i="79"/>
  <c r="W82" i="79" s="1"/>
  <c r="J81" i="79"/>
  <c r="V81" i="79" s="1"/>
  <c r="J80" i="79"/>
  <c r="V80" i="79" s="1"/>
  <c r="W79" i="79"/>
  <c r="J79" i="79"/>
  <c r="V79" i="79" s="1"/>
  <c r="J78" i="79"/>
  <c r="W78" i="79" s="1"/>
  <c r="J77" i="79"/>
  <c r="V77" i="79" s="1"/>
  <c r="J76" i="79"/>
  <c r="V76" i="79" s="1"/>
  <c r="J75" i="79"/>
  <c r="V75" i="79" s="1"/>
  <c r="J74" i="79"/>
  <c r="W74" i="79" s="1"/>
  <c r="J73" i="79"/>
  <c r="V73" i="79" s="1"/>
  <c r="J72" i="79"/>
  <c r="W72" i="79" s="1"/>
  <c r="J71" i="79"/>
  <c r="V71" i="79" s="1"/>
  <c r="J70" i="79"/>
  <c r="W70" i="79" s="1"/>
  <c r="J69" i="79"/>
  <c r="V69" i="79" s="1"/>
  <c r="J68" i="79"/>
  <c r="W68" i="79" s="1"/>
  <c r="J67" i="79"/>
  <c r="W67" i="79" s="1"/>
  <c r="J66" i="79"/>
  <c r="W66" i="79" s="1"/>
  <c r="J65" i="79"/>
  <c r="V65" i="79" s="1"/>
  <c r="W64" i="79"/>
  <c r="J64" i="79"/>
  <c r="V64" i="79" s="1"/>
  <c r="J63" i="79"/>
  <c r="V63" i="79" s="1"/>
  <c r="J62" i="79"/>
  <c r="W62" i="79" s="1"/>
  <c r="J61" i="79"/>
  <c r="V61" i="79" s="1"/>
  <c r="B61" i="79"/>
  <c r="B62" i="79" s="1"/>
  <c r="B63" i="79" s="1"/>
  <c r="B64" i="79" s="1"/>
  <c r="B65" i="79" s="1"/>
  <c r="B66" i="79" s="1"/>
  <c r="B67" i="79" s="1"/>
  <c r="B68" i="79" s="1"/>
  <c r="B69" i="79" s="1"/>
  <c r="B70" i="79" s="1"/>
  <c r="B71" i="79" s="1"/>
  <c r="B72" i="79" s="1"/>
  <c r="B73" i="79" s="1"/>
  <c r="B74" i="79" s="1"/>
  <c r="B75" i="79" s="1"/>
  <c r="B76" i="79" s="1"/>
  <c r="B77" i="79" s="1"/>
  <c r="B78" i="79" s="1"/>
  <c r="B79" i="79" s="1"/>
  <c r="B80" i="79" s="1"/>
  <c r="B81" i="79" s="1"/>
  <c r="B82" i="79" s="1"/>
  <c r="J60" i="79"/>
  <c r="V60" i="79" s="1"/>
  <c r="W51" i="79"/>
  <c r="V51" i="79"/>
  <c r="W50" i="79"/>
  <c r="V50" i="79"/>
  <c r="W47" i="79"/>
  <c r="W43" i="79"/>
  <c r="W39" i="79"/>
  <c r="W35" i="79"/>
  <c r="W31" i="79"/>
  <c r="W27" i="79"/>
  <c r="W23" i="79"/>
  <c r="V20" i="79"/>
  <c r="W17" i="79"/>
  <c r="W14" i="79"/>
  <c r="W11" i="79"/>
  <c r="W8" i="79"/>
  <c r="I7" i="79"/>
  <c r="J7" i="79" s="1"/>
  <c r="B7" i="79"/>
  <c r="B8" i="79" s="1"/>
  <c r="B9" i="79" s="1"/>
  <c r="B10" i="79" s="1"/>
  <c r="B11" i="79" s="1"/>
  <c r="B12" i="79" s="1"/>
  <c r="B13" i="79" s="1"/>
  <c r="B14" i="79" s="1"/>
  <c r="B15" i="79" s="1"/>
  <c r="B16" i="79" s="1"/>
  <c r="B17" i="79" s="1"/>
  <c r="B18" i="79" s="1"/>
  <c r="B19" i="79" s="1"/>
  <c r="B20" i="79" s="1"/>
  <c r="B21" i="79" s="1"/>
  <c r="B22" i="79" s="1"/>
  <c r="B23" i="79" s="1"/>
  <c r="B24" i="79" s="1"/>
  <c r="B25" i="79" s="1"/>
  <c r="B26" i="79" s="1"/>
  <c r="B27" i="79" s="1"/>
  <c r="B28" i="79" s="1"/>
  <c r="B29" i="79" s="1"/>
  <c r="B30" i="79" s="1"/>
  <c r="B31" i="79" s="1"/>
  <c r="B32" i="79" s="1"/>
  <c r="B33" i="79" s="1"/>
  <c r="B34" i="79" s="1"/>
  <c r="B35" i="79" s="1"/>
  <c r="B36" i="79" s="1"/>
  <c r="B37" i="79" s="1"/>
  <c r="B38" i="79" s="1"/>
  <c r="B39" i="79" s="1"/>
  <c r="B40" i="79" s="1"/>
  <c r="B41" i="79" s="1"/>
  <c r="B42" i="79" s="1"/>
  <c r="B43" i="79" s="1"/>
  <c r="B44" i="79" s="1"/>
  <c r="B45" i="79" s="1"/>
  <c r="B46" i="79" s="1"/>
  <c r="B47" i="79" s="1"/>
  <c r="B48" i="79" s="1"/>
  <c r="B49" i="79" s="1"/>
  <c r="B50" i="79" s="1"/>
  <c r="B51" i="79" s="1"/>
  <c r="I6" i="79"/>
  <c r="J6" i="79" s="1"/>
  <c r="V6" i="79" s="1"/>
  <c r="I49" i="78"/>
  <c r="J49" i="78" s="1"/>
  <c r="I48" i="78"/>
  <c r="J48" i="78" s="1"/>
  <c r="W141" i="79" l="1"/>
  <c r="V144" i="79"/>
  <c r="W133" i="79"/>
  <c r="V82" i="79"/>
  <c r="W63" i="79"/>
  <c r="W80" i="79"/>
  <c r="V127" i="79"/>
  <c r="V140" i="79"/>
  <c r="V206" i="79"/>
  <c r="V143" i="79"/>
  <c r="V192" i="79"/>
  <c r="V184" i="79"/>
  <c r="W202" i="79"/>
  <c r="V78" i="79"/>
  <c r="W201" i="79"/>
  <c r="V139" i="79"/>
  <c r="W76" i="79"/>
  <c r="W137" i="79"/>
  <c r="W75" i="79"/>
  <c r="W136" i="79"/>
  <c r="V74" i="79"/>
  <c r="W197" i="79"/>
  <c r="V72" i="79"/>
  <c r="W71" i="79"/>
  <c r="W132" i="79"/>
  <c r="V70" i="79"/>
  <c r="V131" i="79"/>
  <c r="V68" i="79"/>
  <c r="W129" i="79"/>
  <c r="V67" i="79"/>
  <c r="V128" i="79"/>
  <c r="V66" i="79"/>
  <c r="W125" i="79"/>
  <c r="W186" i="79"/>
  <c r="W124" i="79"/>
  <c r="W114" i="79"/>
  <c r="P8" i="79" s="1"/>
  <c r="V62" i="79"/>
  <c r="W185" i="79"/>
  <c r="J145" i="79"/>
  <c r="V123" i="79"/>
  <c r="V122" i="79"/>
  <c r="V189" i="79"/>
  <c r="V194" i="79"/>
  <c r="V196" i="79"/>
  <c r="V205" i="79"/>
  <c r="J207" i="79"/>
  <c r="V188" i="79"/>
  <c r="W193" i="79"/>
  <c r="W198" i="79"/>
  <c r="V204" i="79"/>
  <c r="V200" i="79"/>
  <c r="W187" i="79"/>
  <c r="W191" i="79"/>
  <c r="W195" i="79"/>
  <c r="W199" i="79"/>
  <c r="W203" i="79"/>
  <c r="W176" i="79"/>
  <c r="P12" i="79" s="1"/>
  <c r="W126" i="79"/>
  <c r="W130" i="79"/>
  <c r="W134" i="79"/>
  <c r="W138" i="79"/>
  <c r="W142" i="79"/>
  <c r="W122" i="79"/>
  <c r="W60" i="79"/>
  <c r="W61" i="79"/>
  <c r="W65" i="79"/>
  <c r="W69" i="79"/>
  <c r="W73" i="79"/>
  <c r="W77" i="79"/>
  <c r="W81" i="79"/>
  <c r="J83" i="79"/>
  <c r="V42" i="79"/>
  <c r="W42" i="79"/>
  <c r="V26" i="79"/>
  <c r="W26" i="79"/>
  <c r="V38" i="79"/>
  <c r="W38" i="79"/>
  <c r="V46" i="79"/>
  <c r="W46" i="79"/>
  <c r="V30" i="79"/>
  <c r="W30" i="79"/>
  <c r="V22" i="79"/>
  <c r="W22" i="79"/>
  <c r="V34" i="79"/>
  <c r="W34" i="79"/>
  <c r="V19" i="79"/>
  <c r="W19" i="79"/>
  <c r="V8" i="79"/>
  <c r="V14" i="79"/>
  <c r="V28" i="79"/>
  <c r="W28" i="79"/>
  <c r="V36" i="79"/>
  <c r="W36" i="79"/>
  <c r="V40" i="79"/>
  <c r="W40" i="79"/>
  <c r="V44" i="79"/>
  <c r="W44" i="79"/>
  <c r="V48" i="79"/>
  <c r="W48" i="79"/>
  <c r="V9" i="79"/>
  <c r="W9" i="79"/>
  <c r="V16" i="79"/>
  <c r="W16" i="79"/>
  <c r="V18" i="79"/>
  <c r="W18" i="79"/>
  <c r="V15" i="79"/>
  <c r="W15" i="79"/>
  <c r="V7" i="79"/>
  <c r="W7" i="79"/>
  <c r="V21" i="79"/>
  <c r="W21" i="79"/>
  <c r="V25" i="79"/>
  <c r="W25" i="79"/>
  <c r="W29" i="79"/>
  <c r="V29" i="79"/>
  <c r="V33" i="79"/>
  <c r="W33" i="79"/>
  <c r="V37" i="79"/>
  <c r="W37" i="79"/>
  <c r="V41" i="79"/>
  <c r="W41" i="79"/>
  <c r="V45" i="79"/>
  <c r="W45" i="79"/>
  <c r="V49" i="79"/>
  <c r="W49" i="79"/>
  <c r="V13" i="79"/>
  <c r="W13" i="79"/>
  <c r="V24" i="79"/>
  <c r="W24" i="79"/>
  <c r="V32" i="79"/>
  <c r="W32" i="79"/>
  <c r="V10" i="79"/>
  <c r="W10" i="79"/>
  <c r="V12" i="79"/>
  <c r="W12" i="79"/>
  <c r="W238" i="79"/>
  <c r="P16" i="79" s="1"/>
  <c r="V11" i="79"/>
  <c r="V17" i="79"/>
  <c r="V23" i="79"/>
  <c r="V27" i="79"/>
  <c r="V31" i="79"/>
  <c r="V35" i="79"/>
  <c r="V39" i="79"/>
  <c r="V43" i="79"/>
  <c r="V47" i="79"/>
  <c r="V91" i="79"/>
  <c r="V92" i="79"/>
  <c r="V93" i="79"/>
  <c r="V94" i="79"/>
  <c r="V95" i="79"/>
  <c r="V96" i="79"/>
  <c r="V97" i="79"/>
  <c r="V98" i="79"/>
  <c r="V99" i="79"/>
  <c r="V100" i="79"/>
  <c r="V101" i="79"/>
  <c r="V102" i="79"/>
  <c r="V103" i="79"/>
  <c r="V104" i="79"/>
  <c r="V105" i="79"/>
  <c r="V106" i="79"/>
  <c r="V107" i="79"/>
  <c r="V108" i="79"/>
  <c r="V109" i="79"/>
  <c r="V110" i="79"/>
  <c r="V111" i="79"/>
  <c r="V112" i="79"/>
  <c r="V113" i="79"/>
  <c r="V153" i="79"/>
  <c r="V154" i="79"/>
  <c r="V155" i="79"/>
  <c r="V156" i="79"/>
  <c r="V157" i="79"/>
  <c r="V158" i="79"/>
  <c r="V159" i="79"/>
  <c r="V160" i="79"/>
  <c r="V161" i="79"/>
  <c r="V162" i="79"/>
  <c r="V163" i="79"/>
  <c r="V164" i="79"/>
  <c r="V165" i="79"/>
  <c r="V166" i="79"/>
  <c r="V167" i="79"/>
  <c r="V168" i="79"/>
  <c r="V169" i="79"/>
  <c r="V170" i="79"/>
  <c r="V171" i="79"/>
  <c r="V172" i="79"/>
  <c r="V173" i="79"/>
  <c r="V174" i="79"/>
  <c r="V175" i="79"/>
  <c r="V215" i="79"/>
  <c r="V216" i="79"/>
  <c r="V217" i="79"/>
  <c r="V218" i="79"/>
  <c r="V219" i="79"/>
  <c r="V220" i="79"/>
  <c r="V221" i="79"/>
  <c r="V222" i="79"/>
  <c r="V223" i="79"/>
  <c r="V224" i="79"/>
  <c r="V225" i="79"/>
  <c r="V226" i="79"/>
  <c r="V227" i="79"/>
  <c r="V228" i="79"/>
  <c r="V229" i="79"/>
  <c r="V230" i="79"/>
  <c r="V231" i="79"/>
  <c r="V232" i="79"/>
  <c r="V233" i="79"/>
  <c r="V234" i="79"/>
  <c r="V235" i="79"/>
  <c r="V236" i="79"/>
  <c r="V237" i="79"/>
  <c r="J114" i="79"/>
  <c r="J176" i="79"/>
  <c r="J238" i="79"/>
  <c r="W6" i="79"/>
  <c r="W20" i="79"/>
  <c r="J52" i="79"/>
  <c r="I47" i="78"/>
  <c r="J47" i="78" s="1"/>
  <c r="I46" i="78"/>
  <c r="J46" i="78" s="1"/>
  <c r="V46" i="78" s="1"/>
  <c r="J45" i="78"/>
  <c r="I45" i="78"/>
  <c r="I44" i="78"/>
  <c r="J44" i="78" s="1"/>
  <c r="I43" i="78"/>
  <c r="J43" i="78" s="1"/>
  <c r="I42" i="78"/>
  <c r="J42" i="78" s="1"/>
  <c r="V42" i="78" s="1"/>
  <c r="I41" i="78"/>
  <c r="J41" i="78" s="1"/>
  <c r="I40" i="78"/>
  <c r="J40" i="78" s="1"/>
  <c r="J39" i="78"/>
  <c r="I39" i="78"/>
  <c r="I38" i="78"/>
  <c r="J38" i="78" s="1"/>
  <c r="V38" i="78" s="1"/>
  <c r="J37" i="78"/>
  <c r="I37" i="78"/>
  <c r="I36" i="78"/>
  <c r="J36" i="78" s="1"/>
  <c r="I35" i="78"/>
  <c r="J35" i="78" s="1"/>
  <c r="I34" i="78"/>
  <c r="J34" i="78" s="1"/>
  <c r="V34" i="78" s="1"/>
  <c r="I33" i="78"/>
  <c r="J33" i="78" s="1"/>
  <c r="I32" i="78"/>
  <c r="J32" i="78" s="1"/>
  <c r="J31" i="78"/>
  <c r="I31" i="78"/>
  <c r="I30" i="78"/>
  <c r="J30" i="78" s="1"/>
  <c r="V30" i="78" s="1"/>
  <c r="J29" i="78"/>
  <c r="I29" i="78"/>
  <c r="I28" i="78"/>
  <c r="J28" i="78" s="1"/>
  <c r="I27" i="78"/>
  <c r="J27" i="78" s="1"/>
  <c r="I26" i="78"/>
  <c r="J26" i="78" s="1"/>
  <c r="V26" i="78" s="1"/>
  <c r="I25" i="78"/>
  <c r="J25" i="78" s="1"/>
  <c r="I24" i="78"/>
  <c r="J24" i="78" s="1"/>
  <c r="J23" i="78"/>
  <c r="I23" i="78"/>
  <c r="I22" i="78"/>
  <c r="J22" i="78" s="1"/>
  <c r="V22" i="78" s="1"/>
  <c r="J21" i="78"/>
  <c r="I21" i="78"/>
  <c r="I20" i="78"/>
  <c r="J20" i="78" s="1"/>
  <c r="I19" i="78"/>
  <c r="J19" i="78" s="1"/>
  <c r="V19" i="78" s="1"/>
  <c r="I18" i="78"/>
  <c r="J18" i="78" s="1"/>
  <c r="I16" i="78"/>
  <c r="J16" i="78" s="1"/>
  <c r="I17" i="78"/>
  <c r="J17" i="78" s="1"/>
  <c r="I15" i="78"/>
  <c r="J15" i="78" s="1"/>
  <c r="I14" i="78"/>
  <c r="J14" i="78" s="1"/>
  <c r="W14" i="78" s="1"/>
  <c r="I13" i="78"/>
  <c r="J13" i="78" s="1"/>
  <c r="I12" i="78"/>
  <c r="J12" i="78" s="1"/>
  <c r="V12" i="78" s="1"/>
  <c r="I10" i="78"/>
  <c r="J10" i="78" s="1"/>
  <c r="I11" i="78"/>
  <c r="J11" i="78" s="1"/>
  <c r="W11" i="78" s="1"/>
  <c r="I6" i="78"/>
  <c r="J6" i="78" s="1"/>
  <c r="W6" i="78" s="1"/>
  <c r="I7" i="78"/>
  <c r="I8" i="78"/>
  <c r="I9" i="78"/>
  <c r="J237" i="78"/>
  <c r="W237" i="78" s="1"/>
  <c r="J236" i="78"/>
  <c r="W236" i="78" s="1"/>
  <c r="J235" i="78"/>
  <c r="W235" i="78" s="1"/>
  <c r="J234" i="78"/>
  <c r="W234" i="78" s="1"/>
  <c r="J233" i="78"/>
  <c r="W233" i="78" s="1"/>
  <c r="J232" i="78"/>
  <c r="W232" i="78" s="1"/>
  <c r="J231" i="78"/>
  <c r="W231" i="78" s="1"/>
  <c r="J230" i="78"/>
  <c r="W230" i="78" s="1"/>
  <c r="J229" i="78"/>
  <c r="W229" i="78" s="1"/>
  <c r="J228" i="78"/>
  <c r="W228" i="78" s="1"/>
  <c r="J227" i="78"/>
  <c r="W227" i="78" s="1"/>
  <c r="J226" i="78"/>
  <c r="W226" i="78" s="1"/>
  <c r="J225" i="78"/>
  <c r="W225" i="78" s="1"/>
  <c r="J224" i="78"/>
  <c r="W224" i="78" s="1"/>
  <c r="J223" i="78"/>
  <c r="W223" i="78" s="1"/>
  <c r="J222" i="78"/>
  <c r="W222" i="78" s="1"/>
  <c r="J221" i="78"/>
  <c r="W221" i="78" s="1"/>
  <c r="J220" i="78"/>
  <c r="W220" i="78" s="1"/>
  <c r="J219" i="78"/>
  <c r="W219" i="78" s="1"/>
  <c r="J218" i="78"/>
  <c r="W218" i="78" s="1"/>
  <c r="J217" i="78"/>
  <c r="W217" i="78" s="1"/>
  <c r="J216" i="78"/>
  <c r="W216" i="78" s="1"/>
  <c r="B216" i="78"/>
  <c r="B217" i="78" s="1"/>
  <c r="B218" i="78" s="1"/>
  <c r="B219" i="78" s="1"/>
  <c r="B220" i="78" s="1"/>
  <c r="B221" i="78" s="1"/>
  <c r="B222" i="78" s="1"/>
  <c r="B223" i="78" s="1"/>
  <c r="B224" i="78" s="1"/>
  <c r="B225" i="78" s="1"/>
  <c r="B226" i="78" s="1"/>
  <c r="B227" i="78" s="1"/>
  <c r="B228" i="78" s="1"/>
  <c r="B229" i="78" s="1"/>
  <c r="B230" i="78" s="1"/>
  <c r="B231" i="78" s="1"/>
  <c r="B232" i="78" s="1"/>
  <c r="B233" i="78" s="1"/>
  <c r="B234" i="78" s="1"/>
  <c r="B235" i="78" s="1"/>
  <c r="B236" i="78" s="1"/>
  <c r="B237" i="78" s="1"/>
  <c r="J215" i="78"/>
  <c r="W215" i="78" s="1"/>
  <c r="J206" i="78"/>
  <c r="W206" i="78" s="1"/>
  <c r="J205" i="78"/>
  <c r="W205" i="78" s="1"/>
  <c r="J204" i="78"/>
  <c r="V204" i="78" s="1"/>
  <c r="J203" i="78"/>
  <c r="V203" i="78" s="1"/>
  <c r="J202" i="78"/>
  <c r="V202" i="78" s="1"/>
  <c r="J201" i="78"/>
  <c r="W201" i="78" s="1"/>
  <c r="J200" i="78"/>
  <c r="V200" i="78" s="1"/>
  <c r="J199" i="78"/>
  <c r="V199" i="78" s="1"/>
  <c r="J198" i="78"/>
  <c r="W198" i="78" s="1"/>
  <c r="J197" i="78"/>
  <c r="W197" i="78" s="1"/>
  <c r="J196" i="78"/>
  <c r="V196" i="78" s="1"/>
  <c r="J195" i="78"/>
  <c r="V195" i="78" s="1"/>
  <c r="J194" i="78"/>
  <c r="W194" i="78" s="1"/>
  <c r="J193" i="78"/>
  <c r="W193" i="78" s="1"/>
  <c r="J192" i="78"/>
  <c r="V192" i="78" s="1"/>
  <c r="J191" i="78"/>
  <c r="V191" i="78" s="1"/>
  <c r="J190" i="78"/>
  <c r="W190" i="78" s="1"/>
  <c r="J189" i="78"/>
  <c r="W189" i="78" s="1"/>
  <c r="J188" i="78"/>
  <c r="V188" i="78" s="1"/>
  <c r="J187" i="78"/>
  <c r="V187" i="78" s="1"/>
  <c r="J186" i="78"/>
  <c r="V186" i="78" s="1"/>
  <c r="J185" i="78"/>
  <c r="W185" i="78" s="1"/>
  <c r="B185" i="78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196" i="78" s="1"/>
  <c r="B197" i="78" s="1"/>
  <c r="B198" i="78" s="1"/>
  <c r="B199" i="78" s="1"/>
  <c r="B200" i="78" s="1"/>
  <c r="B201" i="78" s="1"/>
  <c r="B202" i="78" s="1"/>
  <c r="B203" i="78" s="1"/>
  <c r="B204" i="78" s="1"/>
  <c r="B205" i="78" s="1"/>
  <c r="B206" i="78" s="1"/>
  <c r="J184" i="78"/>
  <c r="J175" i="78"/>
  <c r="W175" i="78" s="1"/>
  <c r="J174" i="78"/>
  <c r="W174" i="78" s="1"/>
  <c r="J173" i="78"/>
  <c r="W173" i="78" s="1"/>
  <c r="J172" i="78"/>
  <c r="W172" i="78" s="1"/>
  <c r="J171" i="78"/>
  <c r="W171" i="78" s="1"/>
  <c r="J170" i="78"/>
  <c r="W170" i="78" s="1"/>
  <c r="J169" i="78"/>
  <c r="W169" i="78" s="1"/>
  <c r="J168" i="78"/>
  <c r="W168" i="78" s="1"/>
  <c r="J167" i="78"/>
  <c r="W167" i="78" s="1"/>
  <c r="J166" i="78"/>
  <c r="W166" i="78" s="1"/>
  <c r="J165" i="78"/>
  <c r="W165" i="78" s="1"/>
  <c r="J164" i="78"/>
  <c r="W164" i="78" s="1"/>
  <c r="J163" i="78"/>
  <c r="W163" i="78" s="1"/>
  <c r="J162" i="78"/>
  <c r="W162" i="78" s="1"/>
  <c r="J161" i="78"/>
  <c r="W161" i="78" s="1"/>
  <c r="J160" i="78"/>
  <c r="W160" i="78" s="1"/>
  <c r="J159" i="78"/>
  <c r="W159" i="78" s="1"/>
  <c r="J158" i="78"/>
  <c r="W158" i="78" s="1"/>
  <c r="J157" i="78"/>
  <c r="W157" i="78" s="1"/>
  <c r="J156" i="78"/>
  <c r="W156" i="78" s="1"/>
  <c r="J155" i="78"/>
  <c r="W155" i="78" s="1"/>
  <c r="J154" i="78"/>
  <c r="W154" i="78" s="1"/>
  <c r="B154" i="78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J153" i="78"/>
  <c r="W153" i="78" s="1"/>
  <c r="J144" i="78"/>
  <c r="W144" i="78" s="1"/>
  <c r="W143" i="78"/>
  <c r="V143" i="78"/>
  <c r="J143" i="78"/>
  <c r="J142" i="78"/>
  <c r="W142" i="78" s="1"/>
  <c r="J141" i="78"/>
  <c r="V141" i="78" s="1"/>
  <c r="J140" i="78"/>
  <c r="W140" i="78" s="1"/>
  <c r="J139" i="78"/>
  <c r="V139" i="78" s="1"/>
  <c r="J138" i="78"/>
  <c r="W138" i="78" s="1"/>
  <c r="J137" i="78"/>
  <c r="V137" i="78" s="1"/>
  <c r="J136" i="78"/>
  <c r="W136" i="78" s="1"/>
  <c r="J135" i="78"/>
  <c r="V135" i="78" s="1"/>
  <c r="J134" i="78"/>
  <c r="V134" i="78" s="1"/>
  <c r="J133" i="78"/>
  <c r="V133" i="78" s="1"/>
  <c r="J132" i="78"/>
  <c r="W132" i="78" s="1"/>
  <c r="J131" i="78"/>
  <c r="V131" i="78" s="1"/>
  <c r="J130" i="78"/>
  <c r="V130" i="78" s="1"/>
  <c r="J129" i="78"/>
  <c r="V129" i="78" s="1"/>
  <c r="J128" i="78"/>
  <c r="W128" i="78" s="1"/>
  <c r="J127" i="78"/>
  <c r="V127" i="78" s="1"/>
  <c r="J126" i="78"/>
  <c r="V126" i="78" s="1"/>
  <c r="J125" i="78"/>
  <c r="V125" i="78" s="1"/>
  <c r="J124" i="78"/>
  <c r="W124" i="78" s="1"/>
  <c r="J123" i="78"/>
  <c r="V123" i="78" s="1"/>
  <c r="B123" i="78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J122" i="78"/>
  <c r="V122" i="78" s="1"/>
  <c r="J113" i="78"/>
  <c r="W113" i="78" s="1"/>
  <c r="J112" i="78"/>
  <c r="W112" i="78" s="1"/>
  <c r="J111" i="78"/>
  <c r="W111" i="78" s="1"/>
  <c r="J110" i="78"/>
  <c r="W110" i="78" s="1"/>
  <c r="J109" i="78"/>
  <c r="W109" i="78" s="1"/>
  <c r="J108" i="78"/>
  <c r="W108" i="78" s="1"/>
  <c r="J107" i="78"/>
  <c r="W107" i="78" s="1"/>
  <c r="J106" i="78"/>
  <c r="W106" i="78" s="1"/>
  <c r="J105" i="78"/>
  <c r="W105" i="78" s="1"/>
  <c r="J104" i="78"/>
  <c r="W104" i="78" s="1"/>
  <c r="J103" i="78"/>
  <c r="W103" i="78" s="1"/>
  <c r="J102" i="78"/>
  <c r="W102" i="78" s="1"/>
  <c r="J101" i="78"/>
  <c r="W101" i="78" s="1"/>
  <c r="J100" i="78"/>
  <c r="W100" i="78" s="1"/>
  <c r="J99" i="78"/>
  <c r="W99" i="78" s="1"/>
  <c r="J98" i="78"/>
  <c r="W98" i="78" s="1"/>
  <c r="J97" i="78"/>
  <c r="W97" i="78" s="1"/>
  <c r="J96" i="78"/>
  <c r="W96" i="78" s="1"/>
  <c r="J95" i="78"/>
  <c r="W95" i="78" s="1"/>
  <c r="J94" i="78"/>
  <c r="W94" i="78" s="1"/>
  <c r="J93" i="78"/>
  <c r="W93" i="78" s="1"/>
  <c r="J92" i="78"/>
  <c r="W92" i="78" s="1"/>
  <c r="B92" i="78"/>
  <c r="B93" i="78" s="1"/>
  <c r="B94" i="78" s="1"/>
  <c r="B95" i="78" s="1"/>
  <c r="B96" i="78" s="1"/>
  <c r="B97" i="78" s="1"/>
  <c r="B98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08" i="78" s="1"/>
  <c r="B109" i="78" s="1"/>
  <c r="B110" i="78" s="1"/>
  <c r="B111" i="78" s="1"/>
  <c r="B112" i="78" s="1"/>
  <c r="B113" i="78" s="1"/>
  <c r="J91" i="78"/>
  <c r="W91" i="78" s="1"/>
  <c r="J82" i="78"/>
  <c r="W82" i="78" s="1"/>
  <c r="J81" i="78"/>
  <c r="V81" i="78" s="1"/>
  <c r="J80" i="78"/>
  <c r="V80" i="78" s="1"/>
  <c r="J79" i="78"/>
  <c r="W79" i="78" s="1"/>
  <c r="J78" i="78"/>
  <c r="V78" i="78" s="1"/>
  <c r="J77" i="78"/>
  <c r="W77" i="78" s="1"/>
  <c r="J76" i="78"/>
  <c r="W76" i="78" s="1"/>
  <c r="J75" i="78"/>
  <c r="W75" i="78" s="1"/>
  <c r="J74" i="78"/>
  <c r="V74" i="78" s="1"/>
  <c r="J73" i="78"/>
  <c r="W73" i="78" s="1"/>
  <c r="J72" i="78"/>
  <c r="W72" i="78" s="1"/>
  <c r="J71" i="78"/>
  <c r="W71" i="78" s="1"/>
  <c r="J70" i="78"/>
  <c r="V70" i="78" s="1"/>
  <c r="J69" i="78"/>
  <c r="W69" i="78" s="1"/>
  <c r="J68" i="78"/>
  <c r="W68" i="78" s="1"/>
  <c r="J67" i="78"/>
  <c r="W67" i="78" s="1"/>
  <c r="J66" i="78"/>
  <c r="V66" i="78" s="1"/>
  <c r="J65" i="78"/>
  <c r="V65" i="78" s="1"/>
  <c r="J64" i="78"/>
  <c r="W64" i="78" s="1"/>
  <c r="J63" i="78"/>
  <c r="W63" i="78" s="1"/>
  <c r="J62" i="78"/>
  <c r="V62" i="78" s="1"/>
  <c r="J61" i="78"/>
  <c r="W61" i="78" s="1"/>
  <c r="B61" i="78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J60" i="78"/>
  <c r="W60" i="78" s="1"/>
  <c r="W51" i="78"/>
  <c r="V51" i="78"/>
  <c r="W50" i="78"/>
  <c r="V50" i="78"/>
  <c r="N16" i="78"/>
  <c r="N14" i="78"/>
  <c r="N10" i="78"/>
  <c r="J9" i="78"/>
  <c r="W9" i="78" s="1"/>
  <c r="N8" i="78"/>
  <c r="J8" i="78"/>
  <c r="B8" i="78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J7" i="78"/>
  <c r="B7" i="78"/>
  <c r="N6" i="78"/>
  <c r="N4" i="78"/>
  <c r="I47" i="76"/>
  <c r="J47" i="76" s="1"/>
  <c r="I46" i="76"/>
  <c r="J46" i="76" s="1"/>
  <c r="I45" i="76"/>
  <c r="J45" i="76" s="1"/>
  <c r="I44" i="76"/>
  <c r="J44" i="76" s="1"/>
  <c r="I43" i="76"/>
  <c r="J43" i="76" s="1"/>
  <c r="I42" i="76"/>
  <c r="J42" i="76" s="1"/>
  <c r="I41" i="76"/>
  <c r="J41" i="76" s="1"/>
  <c r="I40" i="76"/>
  <c r="J40" i="76" s="1"/>
  <c r="I39" i="76"/>
  <c r="J39" i="76" s="1"/>
  <c r="I38" i="76"/>
  <c r="J38" i="76" s="1"/>
  <c r="I37" i="76"/>
  <c r="J37" i="76" s="1"/>
  <c r="I36" i="76"/>
  <c r="J36" i="76" s="1"/>
  <c r="I35" i="76"/>
  <c r="J35" i="76" s="1"/>
  <c r="I34" i="76"/>
  <c r="J34" i="76" s="1"/>
  <c r="J33" i="76"/>
  <c r="I33" i="76"/>
  <c r="I32" i="76"/>
  <c r="J32" i="76" s="1"/>
  <c r="I31" i="76"/>
  <c r="J31" i="76" s="1"/>
  <c r="I30" i="76"/>
  <c r="J30" i="76" s="1"/>
  <c r="I29" i="76"/>
  <c r="J29" i="76" s="1"/>
  <c r="I28" i="76"/>
  <c r="J28" i="76" s="1"/>
  <c r="I27" i="76"/>
  <c r="J27" i="76" s="1"/>
  <c r="I26" i="76"/>
  <c r="J26" i="76" s="1"/>
  <c r="I25" i="76"/>
  <c r="J25" i="76" s="1"/>
  <c r="I24" i="76"/>
  <c r="J24" i="76" s="1"/>
  <c r="J23" i="76"/>
  <c r="I23" i="76"/>
  <c r="I22" i="76"/>
  <c r="J22" i="76" s="1"/>
  <c r="I21" i="76"/>
  <c r="J21" i="76" s="1"/>
  <c r="I20" i="76"/>
  <c r="J20" i="76" s="1"/>
  <c r="I19" i="76"/>
  <c r="J19" i="76" s="1"/>
  <c r="I18" i="76"/>
  <c r="J18" i="76" s="1"/>
  <c r="I16" i="76"/>
  <c r="J16" i="76" s="1"/>
  <c r="I17" i="76"/>
  <c r="J17" i="76" s="1"/>
  <c r="I15" i="76"/>
  <c r="J15" i="76" s="1"/>
  <c r="I14" i="76"/>
  <c r="J14" i="76" s="1"/>
  <c r="I12" i="76"/>
  <c r="J12" i="76" s="1"/>
  <c r="I13" i="76"/>
  <c r="J13" i="76" s="1"/>
  <c r="I10" i="76"/>
  <c r="J10" i="76" s="1"/>
  <c r="I11" i="76"/>
  <c r="J11" i="76" s="1"/>
  <c r="I43" i="75"/>
  <c r="J43" i="75" s="1"/>
  <c r="I42" i="75"/>
  <c r="J42" i="75" s="1"/>
  <c r="V77" i="78" l="1"/>
  <c r="V73" i="78"/>
  <c r="V82" i="78"/>
  <c r="V144" i="78"/>
  <c r="V206" i="78"/>
  <c r="V83" i="79"/>
  <c r="O6" i="79" s="1"/>
  <c r="R6" i="79" s="1"/>
  <c r="V207" i="79"/>
  <c r="O14" i="79" s="1"/>
  <c r="R14" i="79" s="1"/>
  <c r="W207" i="79"/>
  <c r="P14" i="79" s="1"/>
  <c r="V145" i="79"/>
  <c r="O10" i="79" s="1"/>
  <c r="W52" i="79"/>
  <c r="P4" i="79" s="1"/>
  <c r="V52" i="79"/>
  <c r="O4" i="79" s="1"/>
  <c r="W145" i="79"/>
  <c r="P10" i="79" s="1"/>
  <c r="W83" i="79"/>
  <c r="P6" i="79" s="1"/>
  <c r="V176" i="79"/>
  <c r="O12" i="79" s="1"/>
  <c r="V114" i="79"/>
  <c r="O8" i="79" s="1"/>
  <c r="V238" i="79"/>
  <c r="O16" i="79" s="1"/>
  <c r="V142" i="78"/>
  <c r="V138" i="78"/>
  <c r="V72" i="78"/>
  <c r="W65" i="78"/>
  <c r="W202" i="78"/>
  <c r="W187" i="78"/>
  <c r="V190" i="78"/>
  <c r="V60" i="78"/>
  <c r="V61" i="78"/>
  <c r="V69" i="78"/>
  <c r="V76" i="78"/>
  <c r="W81" i="78"/>
  <c r="J83" i="78"/>
  <c r="W62" i="78"/>
  <c r="W66" i="78"/>
  <c r="W70" i="78"/>
  <c r="W74" i="78"/>
  <c r="W78" i="78"/>
  <c r="V64" i="78"/>
  <c r="V68" i="78"/>
  <c r="W122" i="78"/>
  <c r="W130" i="78"/>
  <c r="W127" i="78"/>
  <c r="W134" i="78"/>
  <c r="W195" i="78"/>
  <c r="V198" i="78"/>
  <c r="J207" i="78"/>
  <c r="W191" i="78"/>
  <c r="V194" i="78"/>
  <c r="V184" i="78"/>
  <c r="W199" i="78"/>
  <c r="V205" i="78"/>
  <c r="W186" i="78"/>
  <c r="V193" i="78"/>
  <c r="W184" i="78"/>
  <c r="W203" i="78"/>
  <c r="V185" i="78"/>
  <c r="V189" i="78"/>
  <c r="V197" i="78"/>
  <c r="V201" i="78"/>
  <c r="W188" i="78"/>
  <c r="W192" i="78"/>
  <c r="W196" i="78"/>
  <c r="W200" i="78"/>
  <c r="W204" i="78"/>
  <c r="W126" i="78"/>
  <c r="W135" i="78"/>
  <c r="W123" i="78"/>
  <c r="W139" i="78"/>
  <c r="W131" i="78"/>
  <c r="V124" i="78"/>
  <c r="W125" i="78"/>
  <c r="V128" i="78"/>
  <c r="W129" i="78"/>
  <c r="V132" i="78"/>
  <c r="W133" i="78"/>
  <c r="V136" i="78"/>
  <c r="W137" i="78"/>
  <c r="V140" i="78"/>
  <c r="W141" i="78"/>
  <c r="J145" i="78"/>
  <c r="W114" i="78"/>
  <c r="P8" i="78" s="1"/>
  <c r="V63" i="78"/>
  <c r="V67" i="78"/>
  <c r="V71" i="78"/>
  <c r="V75" i="78"/>
  <c r="V79" i="78"/>
  <c r="W80" i="78"/>
  <c r="V11" i="78"/>
  <c r="N18" i="78"/>
  <c r="W17" i="78"/>
  <c r="V17" i="78"/>
  <c r="V20" i="78"/>
  <c r="W20" i="78"/>
  <c r="V33" i="78"/>
  <c r="W33" i="78"/>
  <c r="W39" i="78"/>
  <c r="V39" i="78"/>
  <c r="V7" i="78"/>
  <c r="W7" i="78"/>
  <c r="W29" i="78"/>
  <c r="V29" i="78"/>
  <c r="V32" i="78"/>
  <c r="W32" i="78"/>
  <c r="W35" i="78"/>
  <c r="V35" i="78"/>
  <c r="V45" i="78"/>
  <c r="W45" i="78"/>
  <c r="V48" i="78"/>
  <c r="W48" i="78"/>
  <c r="W176" i="78"/>
  <c r="P12" i="78" s="1"/>
  <c r="W23" i="78"/>
  <c r="V23" i="78"/>
  <c r="V36" i="78"/>
  <c r="W36" i="78"/>
  <c r="V49" i="78"/>
  <c r="W49" i="78"/>
  <c r="V16" i="78"/>
  <c r="W16" i="78"/>
  <c r="W25" i="78"/>
  <c r="V25" i="78"/>
  <c r="V28" i="78"/>
  <c r="W28" i="78"/>
  <c r="W31" i="78"/>
  <c r="V31" i="78"/>
  <c r="W41" i="78"/>
  <c r="V41" i="78"/>
  <c r="V44" i="78"/>
  <c r="W44" i="78"/>
  <c r="W47" i="78"/>
  <c r="V47" i="78"/>
  <c r="W8" i="78"/>
  <c r="V8" i="78"/>
  <c r="V10" i="78"/>
  <c r="W10" i="78"/>
  <c r="V13" i="78"/>
  <c r="W13" i="78"/>
  <c r="V15" i="78"/>
  <c r="W15" i="78"/>
  <c r="W18" i="78"/>
  <c r="V18" i="78"/>
  <c r="W21" i="78"/>
  <c r="V21" i="78"/>
  <c r="V24" i="78"/>
  <c r="W24" i="78"/>
  <c r="W27" i="78"/>
  <c r="V27" i="78"/>
  <c r="V37" i="78"/>
  <c r="W37" i="78"/>
  <c r="V40" i="78"/>
  <c r="W40" i="78"/>
  <c r="W43" i="78"/>
  <c r="V43" i="78"/>
  <c r="W238" i="78"/>
  <c r="P16" i="78" s="1"/>
  <c r="W12" i="78"/>
  <c r="V6" i="78"/>
  <c r="V9" i="78"/>
  <c r="V14" i="78"/>
  <c r="W19" i="78"/>
  <c r="W22" i="78"/>
  <c r="W26" i="78"/>
  <c r="W30" i="78"/>
  <c r="W34" i="78"/>
  <c r="W38" i="78"/>
  <c r="W42" i="78"/>
  <c r="W46" i="78"/>
  <c r="V91" i="78"/>
  <c r="V92" i="78"/>
  <c r="V93" i="78"/>
  <c r="V94" i="78"/>
  <c r="V95" i="78"/>
  <c r="V96" i="78"/>
  <c r="V97" i="78"/>
  <c r="V98" i="78"/>
  <c r="V99" i="78"/>
  <c r="V100" i="78"/>
  <c r="V101" i="78"/>
  <c r="V102" i="78"/>
  <c r="V103" i="78"/>
  <c r="V104" i="78"/>
  <c r="V105" i="78"/>
  <c r="V106" i="78"/>
  <c r="V107" i="78"/>
  <c r="V108" i="78"/>
  <c r="V109" i="78"/>
  <c r="V110" i="78"/>
  <c r="V111" i="78"/>
  <c r="V112" i="78"/>
  <c r="V113" i="78"/>
  <c r="V153" i="78"/>
  <c r="V154" i="78"/>
  <c r="V155" i="78"/>
  <c r="V156" i="78"/>
  <c r="V157" i="78"/>
  <c r="V158" i="78"/>
  <c r="V159" i="78"/>
  <c r="V160" i="78"/>
  <c r="V161" i="78"/>
  <c r="V162" i="78"/>
  <c r="V163" i="78"/>
  <c r="V164" i="78"/>
  <c r="V165" i="78"/>
  <c r="V166" i="78"/>
  <c r="V167" i="78"/>
  <c r="V168" i="78"/>
  <c r="V169" i="78"/>
  <c r="V170" i="78"/>
  <c r="V171" i="78"/>
  <c r="V172" i="78"/>
  <c r="V173" i="78"/>
  <c r="V174" i="78"/>
  <c r="V175" i="78"/>
  <c r="V215" i="78"/>
  <c r="V216" i="78"/>
  <c r="V217" i="78"/>
  <c r="V218" i="78"/>
  <c r="V219" i="78"/>
  <c r="V220" i="78"/>
  <c r="V221" i="78"/>
  <c r="V222" i="78"/>
  <c r="V223" i="78"/>
  <c r="V224" i="78"/>
  <c r="V225" i="78"/>
  <c r="V226" i="78"/>
  <c r="V227" i="78"/>
  <c r="V228" i="78"/>
  <c r="V229" i="78"/>
  <c r="V230" i="78"/>
  <c r="V231" i="78"/>
  <c r="V232" i="78"/>
  <c r="V233" i="78"/>
  <c r="V234" i="78"/>
  <c r="V235" i="78"/>
  <c r="V236" i="78"/>
  <c r="V237" i="78"/>
  <c r="J52" i="78"/>
  <c r="J114" i="78"/>
  <c r="J176" i="78"/>
  <c r="J238" i="78"/>
  <c r="I8" i="76"/>
  <c r="J8" i="76" s="1"/>
  <c r="I9" i="76"/>
  <c r="J9" i="76" s="1"/>
  <c r="W9" i="76" s="1"/>
  <c r="J185" i="76"/>
  <c r="V185" i="76" s="1"/>
  <c r="J186" i="76"/>
  <c r="J187" i="76"/>
  <c r="J188" i="76"/>
  <c r="V188" i="76" s="1"/>
  <c r="J189" i="76"/>
  <c r="V189" i="76" s="1"/>
  <c r="J190" i="76"/>
  <c r="J191" i="76"/>
  <c r="V191" i="76" s="1"/>
  <c r="J192" i="76"/>
  <c r="J193" i="76"/>
  <c r="V193" i="76" s="1"/>
  <c r="J194" i="76"/>
  <c r="W194" i="76" s="1"/>
  <c r="J195" i="76"/>
  <c r="V195" i="76" s="1"/>
  <c r="J196" i="76"/>
  <c r="J197" i="76"/>
  <c r="V197" i="76" s="1"/>
  <c r="J198" i="76"/>
  <c r="W198" i="76" s="1"/>
  <c r="J199" i="76"/>
  <c r="V199" i="76" s="1"/>
  <c r="J200" i="76"/>
  <c r="V200" i="76" s="1"/>
  <c r="J201" i="76"/>
  <c r="V201" i="76" s="1"/>
  <c r="J202" i="76"/>
  <c r="W202" i="76" s="1"/>
  <c r="J203" i="76"/>
  <c r="W203" i="76" s="1"/>
  <c r="J237" i="76"/>
  <c r="W237" i="76" s="1"/>
  <c r="J236" i="76"/>
  <c r="W236" i="76" s="1"/>
  <c r="J235" i="76"/>
  <c r="W235" i="76" s="1"/>
  <c r="J234" i="76"/>
  <c r="W234" i="76" s="1"/>
  <c r="J233" i="76"/>
  <c r="W233" i="76" s="1"/>
  <c r="J232" i="76"/>
  <c r="W232" i="76" s="1"/>
  <c r="J231" i="76"/>
  <c r="W231" i="76" s="1"/>
  <c r="J230" i="76"/>
  <c r="W230" i="76" s="1"/>
  <c r="J229" i="76"/>
  <c r="W229" i="76" s="1"/>
  <c r="J228" i="76"/>
  <c r="W228" i="76" s="1"/>
  <c r="J227" i="76"/>
  <c r="W227" i="76" s="1"/>
  <c r="J226" i="76"/>
  <c r="W226" i="76" s="1"/>
  <c r="J225" i="76"/>
  <c r="W225" i="76" s="1"/>
  <c r="J224" i="76"/>
  <c r="W224" i="76" s="1"/>
  <c r="J223" i="76"/>
  <c r="W223" i="76" s="1"/>
  <c r="J222" i="76"/>
  <c r="W222" i="76" s="1"/>
  <c r="J221" i="76"/>
  <c r="W221" i="76" s="1"/>
  <c r="J220" i="76"/>
  <c r="W220" i="76" s="1"/>
  <c r="J219" i="76"/>
  <c r="W219" i="76" s="1"/>
  <c r="J218" i="76"/>
  <c r="W218" i="76" s="1"/>
  <c r="J217" i="76"/>
  <c r="W217" i="76" s="1"/>
  <c r="J216" i="76"/>
  <c r="W216" i="76" s="1"/>
  <c r="B216" i="76"/>
  <c r="B217" i="76" s="1"/>
  <c r="B218" i="76" s="1"/>
  <c r="B219" i="76" s="1"/>
  <c r="B220" i="76" s="1"/>
  <c r="B221" i="76" s="1"/>
  <c r="B222" i="76" s="1"/>
  <c r="B223" i="76" s="1"/>
  <c r="B224" i="76" s="1"/>
  <c r="B225" i="76" s="1"/>
  <c r="B226" i="76" s="1"/>
  <c r="B227" i="76" s="1"/>
  <c r="B228" i="76" s="1"/>
  <c r="B229" i="76" s="1"/>
  <c r="B230" i="76" s="1"/>
  <c r="B231" i="76" s="1"/>
  <c r="B232" i="76" s="1"/>
  <c r="B233" i="76" s="1"/>
  <c r="B234" i="76" s="1"/>
  <c r="B235" i="76" s="1"/>
  <c r="B236" i="76" s="1"/>
  <c r="B237" i="76" s="1"/>
  <c r="J215" i="76"/>
  <c r="W215" i="76" s="1"/>
  <c r="J206" i="76"/>
  <c r="V206" i="76" s="1"/>
  <c r="J205" i="76"/>
  <c r="V205" i="76" s="1"/>
  <c r="J204" i="76"/>
  <c r="V204" i="76" s="1"/>
  <c r="W200" i="76"/>
  <c r="W196" i="76"/>
  <c r="V196" i="76"/>
  <c r="V194" i="76"/>
  <c r="W192" i="76"/>
  <c r="V192" i="76"/>
  <c r="W190" i="76"/>
  <c r="V190" i="76"/>
  <c r="V187" i="76"/>
  <c r="W186" i="76"/>
  <c r="V186" i="76"/>
  <c r="B185" i="76"/>
  <c r="B186" i="76" s="1"/>
  <c r="B187" i="76" s="1"/>
  <c r="B188" i="76" s="1"/>
  <c r="B189" i="76" s="1"/>
  <c r="B190" i="76" s="1"/>
  <c r="B191" i="76" s="1"/>
  <c r="B192" i="76" s="1"/>
  <c r="B193" i="76" s="1"/>
  <c r="B194" i="76" s="1"/>
  <c r="B195" i="76" s="1"/>
  <c r="B196" i="76" s="1"/>
  <c r="B197" i="76" s="1"/>
  <c r="B198" i="76" s="1"/>
  <c r="B199" i="76" s="1"/>
  <c r="B200" i="76" s="1"/>
  <c r="B201" i="76" s="1"/>
  <c r="B202" i="76" s="1"/>
  <c r="B203" i="76" s="1"/>
  <c r="B204" i="76" s="1"/>
  <c r="B205" i="76" s="1"/>
  <c r="B206" i="76" s="1"/>
  <c r="J184" i="76"/>
  <c r="V184" i="76" s="1"/>
  <c r="J175" i="76"/>
  <c r="W175" i="76" s="1"/>
  <c r="J174" i="76"/>
  <c r="W174" i="76" s="1"/>
  <c r="J173" i="76"/>
  <c r="W173" i="76" s="1"/>
  <c r="J172" i="76"/>
  <c r="W172" i="76" s="1"/>
  <c r="J171" i="76"/>
  <c r="W171" i="76" s="1"/>
  <c r="J170" i="76"/>
  <c r="W170" i="76" s="1"/>
  <c r="J169" i="76"/>
  <c r="W169" i="76" s="1"/>
  <c r="J168" i="76"/>
  <c r="W168" i="76" s="1"/>
  <c r="J167" i="76"/>
  <c r="W167" i="76" s="1"/>
  <c r="J166" i="76"/>
  <c r="W166" i="76" s="1"/>
  <c r="J165" i="76"/>
  <c r="W165" i="76" s="1"/>
  <c r="J164" i="76"/>
  <c r="W164" i="76" s="1"/>
  <c r="J163" i="76"/>
  <c r="W163" i="76" s="1"/>
  <c r="J162" i="76"/>
  <c r="W162" i="76" s="1"/>
  <c r="J161" i="76"/>
  <c r="W161" i="76" s="1"/>
  <c r="J160" i="76"/>
  <c r="W160" i="76" s="1"/>
  <c r="J159" i="76"/>
  <c r="W159" i="76" s="1"/>
  <c r="J158" i="76"/>
  <c r="W158" i="76" s="1"/>
  <c r="J157" i="76"/>
  <c r="W157" i="76" s="1"/>
  <c r="J156" i="76"/>
  <c r="W156" i="76" s="1"/>
  <c r="J155" i="76"/>
  <c r="W155" i="76" s="1"/>
  <c r="J154" i="76"/>
  <c r="W154" i="76" s="1"/>
  <c r="B154" i="76"/>
  <c r="B155" i="76" s="1"/>
  <c r="B156" i="76" s="1"/>
  <c r="B157" i="76" s="1"/>
  <c r="B158" i="76" s="1"/>
  <c r="B159" i="76" s="1"/>
  <c r="B160" i="76" s="1"/>
  <c r="B161" i="76" s="1"/>
  <c r="B162" i="76" s="1"/>
  <c r="B163" i="76" s="1"/>
  <c r="B164" i="76" s="1"/>
  <c r="B165" i="76" s="1"/>
  <c r="B166" i="76" s="1"/>
  <c r="B167" i="76" s="1"/>
  <c r="B168" i="76" s="1"/>
  <c r="B169" i="76" s="1"/>
  <c r="B170" i="76" s="1"/>
  <c r="B171" i="76" s="1"/>
  <c r="B172" i="76" s="1"/>
  <c r="B173" i="76" s="1"/>
  <c r="B174" i="76" s="1"/>
  <c r="B175" i="76" s="1"/>
  <c r="J153" i="76"/>
  <c r="W153" i="76" s="1"/>
  <c r="J144" i="76"/>
  <c r="V144" i="76" s="1"/>
  <c r="W143" i="76"/>
  <c r="J143" i="76"/>
  <c r="V143" i="76" s="1"/>
  <c r="J142" i="76"/>
  <c r="V142" i="76" s="1"/>
  <c r="J141" i="76"/>
  <c r="V141" i="76" s="1"/>
  <c r="J140" i="76"/>
  <c r="V140" i="76" s="1"/>
  <c r="J139" i="76"/>
  <c r="V139" i="76" s="1"/>
  <c r="J138" i="76"/>
  <c r="V138" i="76" s="1"/>
  <c r="J137" i="76"/>
  <c r="V137" i="76" s="1"/>
  <c r="J136" i="76"/>
  <c r="V136" i="76" s="1"/>
  <c r="J135" i="76"/>
  <c r="V135" i="76" s="1"/>
  <c r="J134" i="76"/>
  <c r="V134" i="76" s="1"/>
  <c r="J133" i="76"/>
  <c r="V133" i="76" s="1"/>
  <c r="J132" i="76"/>
  <c r="V132" i="76" s="1"/>
  <c r="J131" i="76"/>
  <c r="V131" i="76" s="1"/>
  <c r="J130" i="76"/>
  <c r="V130" i="76" s="1"/>
  <c r="J129" i="76"/>
  <c r="V129" i="76" s="1"/>
  <c r="J128" i="76"/>
  <c r="V128" i="76" s="1"/>
  <c r="J127" i="76"/>
  <c r="V127" i="76" s="1"/>
  <c r="J126" i="76"/>
  <c r="V126" i="76" s="1"/>
  <c r="J125" i="76"/>
  <c r="V125" i="76" s="1"/>
  <c r="J124" i="76"/>
  <c r="V124" i="76" s="1"/>
  <c r="J123" i="76"/>
  <c r="V123" i="76" s="1"/>
  <c r="B123" i="76"/>
  <c r="B124" i="76" s="1"/>
  <c r="B125" i="76" s="1"/>
  <c r="B126" i="76" s="1"/>
  <c r="B127" i="76" s="1"/>
  <c r="B128" i="76" s="1"/>
  <c r="B129" i="76" s="1"/>
  <c r="B130" i="76" s="1"/>
  <c r="B131" i="76" s="1"/>
  <c r="B132" i="76" s="1"/>
  <c r="B133" i="76" s="1"/>
  <c r="B134" i="76" s="1"/>
  <c r="B135" i="76" s="1"/>
  <c r="B136" i="76" s="1"/>
  <c r="B137" i="76" s="1"/>
  <c r="B138" i="76" s="1"/>
  <c r="B139" i="76" s="1"/>
  <c r="B140" i="76" s="1"/>
  <c r="B141" i="76" s="1"/>
  <c r="B142" i="76" s="1"/>
  <c r="B143" i="76" s="1"/>
  <c r="B144" i="76" s="1"/>
  <c r="J122" i="76"/>
  <c r="V122" i="76" s="1"/>
  <c r="J113" i="76"/>
  <c r="W113" i="76" s="1"/>
  <c r="J112" i="76"/>
  <c r="W112" i="76" s="1"/>
  <c r="J111" i="76"/>
  <c r="W111" i="76" s="1"/>
  <c r="J110" i="76"/>
  <c r="W110" i="76" s="1"/>
  <c r="J109" i="76"/>
  <c r="W109" i="76" s="1"/>
  <c r="J108" i="76"/>
  <c r="W108" i="76" s="1"/>
  <c r="J107" i="76"/>
  <c r="W107" i="76" s="1"/>
  <c r="J106" i="76"/>
  <c r="W106" i="76" s="1"/>
  <c r="J105" i="76"/>
  <c r="W105" i="76" s="1"/>
  <c r="J104" i="76"/>
  <c r="W104" i="76" s="1"/>
  <c r="J103" i="76"/>
  <c r="W103" i="76" s="1"/>
  <c r="J102" i="76"/>
  <c r="W102" i="76" s="1"/>
  <c r="J101" i="76"/>
  <c r="W101" i="76" s="1"/>
  <c r="J100" i="76"/>
  <c r="W100" i="76" s="1"/>
  <c r="J99" i="76"/>
  <c r="W99" i="76" s="1"/>
  <c r="J98" i="76"/>
  <c r="W98" i="76" s="1"/>
  <c r="J97" i="76"/>
  <c r="W97" i="76" s="1"/>
  <c r="J96" i="76"/>
  <c r="W96" i="76" s="1"/>
  <c r="J95" i="76"/>
  <c r="W95" i="76" s="1"/>
  <c r="J94" i="76"/>
  <c r="W94" i="76" s="1"/>
  <c r="J93" i="76"/>
  <c r="W93" i="76" s="1"/>
  <c r="J92" i="76"/>
  <c r="W92" i="76" s="1"/>
  <c r="B92" i="76"/>
  <c r="B93" i="76" s="1"/>
  <c r="B94" i="76" s="1"/>
  <c r="B95" i="76" s="1"/>
  <c r="B96" i="76" s="1"/>
  <c r="B97" i="76" s="1"/>
  <c r="B98" i="76" s="1"/>
  <c r="B99" i="76" s="1"/>
  <c r="B100" i="76" s="1"/>
  <c r="B101" i="76" s="1"/>
  <c r="B102" i="76" s="1"/>
  <c r="B103" i="76" s="1"/>
  <c r="B104" i="76" s="1"/>
  <c r="B105" i="76" s="1"/>
  <c r="B106" i="76" s="1"/>
  <c r="B107" i="76" s="1"/>
  <c r="B108" i="76" s="1"/>
  <c r="B109" i="76" s="1"/>
  <c r="B110" i="76" s="1"/>
  <c r="B111" i="76" s="1"/>
  <c r="B112" i="76" s="1"/>
  <c r="B113" i="76" s="1"/>
  <c r="J91" i="76"/>
  <c r="W91" i="76" s="1"/>
  <c r="J82" i="76"/>
  <c r="V82" i="76" s="1"/>
  <c r="J81" i="76"/>
  <c r="V81" i="76" s="1"/>
  <c r="J80" i="76"/>
  <c r="V80" i="76" s="1"/>
  <c r="J79" i="76"/>
  <c r="V79" i="76" s="1"/>
  <c r="J78" i="76"/>
  <c r="V78" i="76" s="1"/>
  <c r="J77" i="76"/>
  <c r="V77" i="76" s="1"/>
  <c r="J76" i="76"/>
  <c r="V76" i="76" s="1"/>
  <c r="J75" i="76"/>
  <c r="V75" i="76" s="1"/>
  <c r="J74" i="76"/>
  <c r="V74" i="76" s="1"/>
  <c r="J73" i="76"/>
  <c r="V73" i="76" s="1"/>
  <c r="J72" i="76"/>
  <c r="V72" i="76" s="1"/>
  <c r="J71" i="76"/>
  <c r="V71" i="76" s="1"/>
  <c r="J70" i="76"/>
  <c r="V70" i="76" s="1"/>
  <c r="J69" i="76"/>
  <c r="V69" i="76" s="1"/>
  <c r="J68" i="76"/>
  <c r="V68" i="76" s="1"/>
  <c r="J67" i="76"/>
  <c r="V67" i="76" s="1"/>
  <c r="J66" i="76"/>
  <c r="V66" i="76" s="1"/>
  <c r="J65" i="76"/>
  <c r="V65" i="76" s="1"/>
  <c r="J64" i="76"/>
  <c r="V64" i="76" s="1"/>
  <c r="J63" i="76"/>
  <c r="V63" i="76" s="1"/>
  <c r="J62" i="76"/>
  <c r="V62" i="76" s="1"/>
  <c r="J61" i="76"/>
  <c r="V61" i="76" s="1"/>
  <c r="B61" i="76"/>
  <c r="B62" i="76" s="1"/>
  <c r="B63" i="76" s="1"/>
  <c r="B64" i="76" s="1"/>
  <c r="B65" i="76" s="1"/>
  <c r="B66" i="76" s="1"/>
  <c r="B67" i="76" s="1"/>
  <c r="B68" i="76" s="1"/>
  <c r="B69" i="76" s="1"/>
  <c r="B70" i="76" s="1"/>
  <c r="B71" i="76" s="1"/>
  <c r="B72" i="76" s="1"/>
  <c r="B73" i="76" s="1"/>
  <c r="B74" i="76" s="1"/>
  <c r="B75" i="76" s="1"/>
  <c r="B76" i="76" s="1"/>
  <c r="B77" i="76" s="1"/>
  <c r="B78" i="76" s="1"/>
  <c r="B79" i="76" s="1"/>
  <c r="B80" i="76" s="1"/>
  <c r="B81" i="76" s="1"/>
  <c r="B82" i="76" s="1"/>
  <c r="J60" i="76"/>
  <c r="V60" i="76" s="1"/>
  <c r="W51" i="76"/>
  <c r="V51" i="76"/>
  <c r="W50" i="76"/>
  <c r="V50" i="76"/>
  <c r="W49" i="76"/>
  <c r="V49" i="76"/>
  <c r="W48" i="76"/>
  <c r="V48" i="76"/>
  <c r="W47" i="76"/>
  <c r="V47" i="76"/>
  <c r="W46" i="76"/>
  <c r="V46" i="76"/>
  <c r="W45" i="76"/>
  <c r="V45" i="76"/>
  <c r="W44" i="76"/>
  <c r="V44" i="76"/>
  <c r="W43" i="76"/>
  <c r="V43" i="76"/>
  <c r="W42" i="76"/>
  <c r="V42" i="76"/>
  <c r="W39" i="76"/>
  <c r="W35" i="76"/>
  <c r="W33" i="76"/>
  <c r="V33" i="76"/>
  <c r="W31" i="76"/>
  <c r="V29" i="76"/>
  <c r="W27" i="76"/>
  <c r="W23" i="76"/>
  <c r="V20" i="76"/>
  <c r="W17" i="76"/>
  <c r="W16" i="76"/>
  <c r="N14" i="76"/>
  <c r="N12" i="76"/>
  <c r="V12" i="76"/>
  <c r="N10" i="76"/>
  <c r="N8" i="76"/>
  <c r="I7" i="76"/>
  <c r="J7" i="76" s="1"/>
  <c r="B7" i="76"/>
  <c r="B8" i="76" s="1"/>
  <c r="B9" i="76" s="1"/>
  <c r="B10" i="76" s="1"/>
  <c r="B11" i="76" s="1"/>
  <c r="B12" i="76" s="1"/>
  <c r="B13" i="76" s="1"/>
  <c r="B14" i="76" s="1"/>
  <c r="B15" i="76" s="1"/>
  <c r="B16" i="76" s="1"/>
  <c r="B17" i="76" s="1"/>
  <c r="B18" i="76" s="1"/>
  <c r="B19" i="76" s="1"/>
  <c r="B20" i="76" s="1"/>
  <c r="B21" i="76" s="1"/>
  <c r="B22" i="76" s="1"/>
  <c r="B23" i="76" s="1"/>
  <c r="B24" i="76" s="1"/>
  <c r="B25" i="76" s="1"/>
  <c r="B26" i="76" s="1"/>
  <c r="B27" i="76" s="1"/>
  <c r="B28" i="76" s="1"/>
  <c r="B29" i="76" s="1"/>
  <c r="B30" i="76" s="1"/>
  <c r="B31" i="76" s="1"/>
  <c r="B32" i="76" s="1"/>
  <c r="B33" i="76" s="1"/>
  <c r="B34" i="76" s="1"/>
  <c r="B35" i="76" s="1"/>
  <c r="B36" i="76" s="1"/>
  <c r="B37" i="76" s="1"/>
  <c r="B38" i="76" s="1"/>
  <c r="B39" i="76" s="1"/>
  <c r="B40" i="76" s="1"/>
  <c r="B41" i="76" s="1"/>
  <c r="B42" i="76" s="1"/>
  <c r="B43" i="76" s="1"/>
  <c r="B44" i="76" s="1"/>
  <c r="B45" i="76" s="1"/>
  <c r="B46" i="76" s="1"/>
  <c r="B47" i="76" s="1"/>
  <c r="B48" i="76" s="1"/>
  <c r="B49" i="76" s="1"/>
  <c r="B50" i="76" s="1"/>
  <c r="B51" i="76" s="1"/>
  <c r="N6" i="76"/>
  <c r="I6" i="76"/>
  <c r="J6" i="76" s="1"/>
  <c r="N4" i="76"/>
  <c r="I41" i="75"/>
  <c r="J41" i="75" s="1"/>
  <c r="I40" i="75"/>
  <c r="J40" i="75" s="1"/>
  <c r="I39" i="75"/>
  <c r="J39" i="75" s="1"/>
  <c r="W39" i="75" s="1"/>
  <c r="I38" i="75"/>
  <c r="J38" i="75" s="1"/>
  <c r="J37" i="75"/>
  <c r="I37" i="75"/>
  <c r="I36" i="75"/>
  <c r="J36" i="75" s="1"/>
  <c r="I35" i="75"/>
  <c r="J35" i="75" s="1"/>
  <c r="W35" i="75" s="1"/>
  <c r="I34" i="75"/>
  <c r="J34" i="75" s="1"/>
  <c r="J33" i="75"/>
  <c r="V33" i="75" s="1"/>
  <c r="I33" i="75"/>
  <c r="I32" i="75"/>
  <c r="J32" i="75" s="1"/>
  <c r="I31" i="75"/>
  <c r="J31" i="75" s="1"/>
  <c r="W31" i="75" s="1"/>
  <c r="I30" i="75"/>
  <c r="J30" i="75" s="1"/>
  <c r="J29" i="75"/>
  <c r="I29" i="75"/>
  <c r="I28" i="75"/>
  <c r="J28" i="75" s="1"/>
  <c r="I27" i="75"/>
  <c r="J27" i="75" s="1"/>
  <c r="W27" i="75" s="1"/>
  <c r="I26" i="75"/>
  <c r="J26" i="75" s="1"/>
  <c r="J25" i="75"/>
  <c r="V25" i="75" s="1"/>
  <c r="I25" i="75"/>
  <c r="I24" i="75"/>
  <c r="J24" i="75" s="1"/>
  <c r="I23" i="75"/>
  <c r="J23" i="75" s="1"/>
  <c r="W23" i="75" s="1"/>
  <c r="I22" i="75"/>
  <c r="J22" i="75" s="1"/>
  <c r="J21" i="75"/>
  <c r="I21" i="75"/>
  <c r="I20" i="75"/>
  <c r="J20" i="75" s="1"/>
  <c r="V20" i="75" s="1"/>
  <c r="I19" i="75"/>
  <c r="J19" i="75" s="1"/>
  <c r="I18" i="75"/>
  <c r="J18" i="75" s="1"/>
  <c r="I16" i="75"/>
  <c r="J16" i="75" s="1"/>
  <c r="I17" i="75"/>
  <c r="J17" i="75" s="1"/>
  <c r="W17" i="75" s="1"/>
  <c r="J138" i="73"/>
  <c r="J139" i="73"/>
  <c r="I15" i="75"/>
  <c r="J15" i="75" s="1"/>
  <c r="I14" i="75"/>
  <c r="J14" i="75" s="1"/>
  <c r="J13" i="75"/>
  <c r="I13" i="75"/>
  <c r="I12" i="75"/>
  <c r="J12" i="75" s="1"/>
  <c r="V12" i="75" s="1"/>
  <c r="I10" i="75"/>
  <c r="J10" i="75" s="1"/>
  <c r="I11" i="75"/>
  <c r="J11" i="75" s="1"/>
  <c r="I8" i="75"/>
  <c r="J8" i="75" s="1"/>
  <c r="I9" i="75"/>
  <c r="J9" i="75" s="1"/>
  <c r="W9" i="75" s="1"/>
  <c r="J237" i="75"/>
  <c r="W237" i="75" s="1"/>
  <c r="J236" i="75"/>
  <c r="W236" i="75" s="1"/>
  <c r="J235" i="75"/>
  <c r="W235" i="75" s="1"/>
  <c r="J234" i="75"/>
  <c r="W234" i="75" s="1"/>
  <c r="J233" i="75"/>
  <c r="W233" i="75" s="1"/>
  <c r="J232" i="75"/>
  <c r="W232" i="75" s="1"/>
  <c r="J231" i="75"/>
  <c r="W231" i="75" s="1"/>
  <c r="J230" i="75"/>
  <c r="W230" i="75" s="1"/>
  <c r="J229" i="75"/>
  <c r="W229" i="75" s="1"/>
  <c r="J228" i="75"/>
  <c r="W228" i="75" s="1"/>
  <c r="J227" i="75"/>
  <c r="W227" i="75" s="1"/>
  <c r="J226" i="75"/>
  <c r="W226" i="75" s="1"/>
  <c r="J225" i="75"/>
  <c r="W225" i="75" s="1"/>
  <c r="J224" i="75"/>
  <c r="W224" i="75" s="1"/>
  <c r="J223" i="75"/>
  <c r="W223" i="75" s="1"/>
  <c r="J222" i="75"/>
  <c r="W222" i="75" s="1"/>
  <c r="J221" i="75"/>
  <c r="W221" i="75" s="1"/>
  <c r="J220" i="75"/>
  <c r="W220" i="75" s="1"/>
  <c r="J219" i="75"/>
  <c r="W219" i="75" s="1"/>
  <c r="J218" i="75"/>
  <c r="W218" i="75" s="1"/>
  <c r="J217" i="75"/>
  <c r="W217" i="75" s="1"/>
  <c r="J216" i="75"/>
  <c r="W216" i="75" s="1"/>
  <c r="B216" i="75"/>
  <c r="B217" i="75" s="1"/>
  <c r="B218" i="75" s="1"/>
  <c r="B219" i="75" s="1"/>
  <c r="B220" i="75" s="1"/>
  <c r="B221" i="75" s="1"/>
  <c r="B222" i="75" s="1"/>
  <c r="B223" i="75" s="1"/>
  <c r="B224" i="75" s="1"/>
  <c r="B225" i="75" s="1"/>
  <c r="B226" i="75" s="1"/>
  <c r="B227" i="75" s="1"/>
  <c r="B228" i="75" s="1"/>
  <c r="B229" i="75" s="1"/>
  <c r="B230" i="75" s="1"/>
  <c r="B231" i="75" s="1"/>
  <c r="B232" i="75" s="1"/>
  <c r="B233" i="75" s="1"/>
  <c r="B234" i="75" s="1"/>
  <c r="B235" i="75" s="1"/>
  <c r="B236" i="75" s="1"/>
  <c r="B237" i="75" s="1"/>
  <c r="J215" i="75"/>
  <c r="W215" i="75" s="1"/>
  <c r="J206" i="75"/>
  <c r="V206" i="75" s="1"/>
  <c r="W205" i="75"/>
  <c r="J205" i="75"/>
  <c r="V205" i="75" s="1"/>
  <c r="J204" i="75"/>
  <c r="V204" i="75" s="1"/>
  <c r="J203" i="75"/>
  <c r="V203" i="75" s="1"/>
  <c r="J202" i="75"/>
  <c r="V202" i="75" s="1"/>
  <c r="J201" i="75"/>
  <c r="V201" i="75" s="1"/>
  <c r="J200" i="75"/>
  <c r="V200" i="75" s="1"/>
  <c r="J199" i="75"/>
  <c r="V199" i="75" s="1"/>
  <c r="J198" i="75"/>
  <c r="V198" i="75" s="1"/>
  <c r="J197" i="75"/>
  <c r="V197" i="75" s="1"/>
  <c r="J196" i="75"/>
  <c r="V196" i="75" s="1"/>
  <c r="J195" i="75"/>
  <c r="V195" i="75" s="1"/>
  <c r="J194" i="75"/>
  <c r="V194" i="75" s="1"/>
  <c r="J193" i="75"/>
  <c r="V193" i="75" s="1"/>
  <c r="J192" i="75"/>
  <c r="V192" i="75" s="1"/>
  <c r="J191" i="75"/>
  <c r="V191" i="75" s="1"/>
  <c r="J190" i="75"/>
  <c r="V190" i="75" s="1"/>
  <c r="J189" i="75"/>
  <c r="V189" i="75" s="1"/>
  <c r="J188" i="75"/>
  <c r="V188" i="75" s="1"/>
  <c r="J187" i="75"/>
  <c r="V187" i="75" s="1"/>
  <c r="J186" i="75"/>
  <c r="V186" i="75" s="1"/>
  <c r="J185" i="75"/>
  <c r="V185" i="75" s="1"/>
  <c r="B185" i="75"/>
  <c r="B186" i="75" s="1"/>
  <c r="B187" i="75" s="1"/>
  <c r="B188" i="75" s="1"/>
  <c r="B189" i="75" s="1"/>
  <c r="B190" i="75" s="1"/>
  <c r="B191" i="75" s="1"/>
  <c r="B192" i="75" s="1"/>
  <c r="B193" i="75" s="1"/>
  <c r="B194" i="75" s="1"/>
  <c r="B195" i="75" s="1"/>
  <c r="B196" i="75" s="1"/>
  <c r="B197" i="75" s="1"/>
  <c r="B198" i="75" s="1"/>
  <c r="B199" i="75" s="1"/>
  <c r="B200" i="75" s="1"/>
  <c r="B201" i="75" s="1"/>
  <c r="B202" i="75" s="1"/>
  <c r="B203" i="75" s="1"/>
  <c r="B204" i="75" s="1"/>
  <c r="B205" i="75" s="1"/>
  <c r="B206" i="75" s="1"/>
  <c r="J184" i="75"/>
  <c r="V184" i="75" s="1"/>
  <c r="J175" i="75"/>
  <c r="W175" i="75" s="1"/>
  <c r="J174" i="75"/>
  <c r="W174" i="75" s="1"/>
  <c r="J173" i="75"/>
  <c r="W173" i="75" s="1"/>
  <c r="J172" i="75"/>
  <c r="W172" i="75" s="1"/>
  <c r="J171" i="75"/>
  <c r="W171" i="75" s="1"/>
  <c r="J170" i="75"/>
  <c r="W170" i="75" s="1"/>
  <c r="J169" i="75"/>
  <c r="W169" i="75" s="1"/>
  <c r="J168" i="75"/>
  <c r="W168" i="75" s="1"/>
  <c r="J167" i="75"/>
  <c r="W167" i="75" s="1"/>
  <c r="J166" i="75"/>
  <c r="W166" i="75" s="1"/>
  <c r="J165" i="75"/>
  <c r="W165" i="75" s="1"/>
  <c r="J164" i="75"/>
  <c r="W164" i="75" s="1"/>
  <c r="J163" i="75"/>
  <c r="W163" i="75" s="1"/>
  <c r="J162" i="75"/>
  <c r="W162" i="75" s="1"/>
  <c r="J161" i="75"/>
  <c r="W161" i="75" s="1"/>
  <c r="J160" i="75"/>
  <c r="W160" i="75" s="1"/>
  <c r="J159" i="75"/>
  <c r="W159" i="75" s="1"/>
  <c r="J158" i="75"/>
  <c r="W158" i="75" s="1"/>
  <c r="J157" i="75"/>
  <c r="W157" i="75" s="1"/>
  <c r="J156" i="75"/>
  <c r="W156" i="75" s="1"/>
  <c r="J155" i="75"/>
  <c r="W155" i="75" s="1"/>
  <c r="J154" i="75"/>
  <c r="W154" i="75" s="1"/>
  <c r="B154" i="75"/>
  <c r="B155" i="75" s="1"/>
  <c r="B156" i="75" s="1"/>
  <c r="B157" i="75" s="1"/>
  <c r="B158" i="75" s="1"/>
  <c r="B159" i="75" s="1"/>
  <c r="B160" i="75" s="1"/>
  <c r="B161" i="75" s="1"/>
  <c r="B162" i="75" s="1"/>
  <c r="B163" i="75" s="1"/>
  <c r="B164" i="75" s="1"/>
  <c r="B165" i="75" s="1"/>
  <c r="B166" i="75" s="1"/>
  <c r="B167" i="75" s="1"/>
  <c r="B168" i="75" s="1"/>
  <c r="B169" i="75" s="1"/>
  <c r="B170" i="75" s="1"/>
  <c r="B171" i="75" s="1"/>
  <c r="B172" i="75" s="1"/>
  <c r="B173" i="75" s="1"/>
  <c r="B174" i="75" s="1"/>
  <c r="B175" i="75" s="1"/>
  <c r="J153" i="75"/>
  <c r="W153" i="75" s="1"/>
  <c r="J144" i="75"/>
  <c r="V144" i="75" s="1"/>
  <c r="W143" i="75"/>
  <c r="J143" i="75"/>
  <c r="V143" i="75" s="1"/>
  <c r="J142" i="75"/>
  <c r="V142" i="75" s="1"/>
  <c r="J141" i="75"/>
  <c r="V141" i="75" s="1"/>
  <c r="J140" i="75"/>
  <c r="V140" i="75" s="1"/>
  <c r="J139" i="75"/>
  <c r="V139" i="75" s="1"/>
  <c r="J138" i="75"/>
  <c r="V138" i="75" s="1"/>
  <c r="J137" i="75"/>
  <c r="V137" i="75" s="1"/>
  <c r="J136" i="75"/>
  <c r="V136" i="75" s="1"/>
  <c r="J135" i="75"/>
  <c r="V135" i="75" s="1"/>
  <c r="J134" i="75"/>
  <c r="V134" i="75" s="1"/>
  <c r="J133" i="75"/>
  <c r="V133" i="75" s="1"/>
  <c r="J132" i="75"/>
  <c r="V132" i="75" s="1"/>
  <c r="J131" i="75"/>
  <c r="V131" i="75" s="1"/>
  <c r="J130" i="75"/>
  <c r="V130" i="75" s="1"/>
  <c r="J129" i="75"/>
  <c r="V129" i="75" s="1"/>
  <c r="J128" i="75"/>
  <c r="V128" i="75" s="1"/>
  <c r="J127" i="75"/>
  <c r="V127" i="75" s="1"/>
  <c r="J126" i="75"/>
  <c r="V126" i="75" s="1"/>
  <c r="J125" i="75"/>
  <c r="V125" i="75" s="1"/>
  <c r="J124" i="75"/>
  <c r="V124" i="75" s="1"/>
  <c r="J123" i="75"/>
  <c r="V123" i="75" s="1"/>
  <c r="B123" i="75"/>
  <c r="B124" i="75" s="1"/>
  <c r="B125" i="75" s="1"/>
  <c r="B126" i="75" s="1"/>
  <c r="B127" i="75" s="1"/>
  <c r="B128" i="75" s="1"/>
  <c r="B129" i="75" s="1"/>
  <c r="B130" i="75" s="1"/>
  <c r="B131" i="75" s="1"/>
  <c r="B132" i="75" s="1"/>
  <c r="B133" i="75" s="1"/>
  <c r="B134" i="75" s="1"/>
  <c r="B135" i="75" s="1"/>
  <c r="B136" i="75" s="1"/>
  <c r="B137" i="75" s="1"/>
  <c r="B138" i="75" s="1"/>
  <c r="B139" i="75" s="1"/>
  <c r="B140" i="75" s="1"/>
  <c r="B141" i="75" s="1"/>
  <c r="B142" i="75" s="1"/>
  <c r="B143" i="75" s="1"/>
  <c r="B144" i="75" s="1"/>
  <c r="W122" i="75"/>
  <c r="J122" i="75"/>
  <c r="V122" i="75" s="1"/>
  <c r="J113" i="75"/>
  <c r="W113" i="75" s="1"/>
  <c r="J112" i="75"/>
  <c r="W112" i="75" s="1"/>
  <c r="J111" i="75"/>
  <c r="W111" i="75" s="1"/>
  <c r="J110" i="75"/>
  <c r="W110" i="75" s="1"/>
  <c r="J109" i="75"/>
  <c r="W109" i="75" s="1"/>
  <c r="J108" i="75"/>
  <c r="W108" i="75" s="1"/>
  <c r="J107" i="75"/>
  <c r="W107" i="75" s="1"/>
  <c r="J106" i="75"/>
  <c r="W106" i="75" s="1"/>
  <c r="J105" i="75"/>
  <c r="W105" i="75" s="1"/>
  <c r="J104" i="75"/>
  <c r="W104" i="75" s="1"/>
  <c r="J103" i="75"/>
  <c r="W103" i="75" s="1"/>
  <c r="J102" i="75"/>
  <c r="W102" i="75" s="1"/>
  <c r="J101" i="75"/>
  <c r="W101" i="75" s="1"/>
  <c r="J100" i="75"/>
  <c r="W100" i="75" s="1"/>
  <c r="J99" i="75"/>
  <c r="W99" i="75" s="1"/>
  <c r="J98" i="75"/>
  <c r="W98" i="75" s="1"/>
  <c r="J97" i="75"/>
  <c r="W97" i="75" s="1"/>
  <c r="J96" i="75"/>
  <c r="W96" i="75" s="1"/>
  <c r="J95" i="75"/>
  <c r="W95" i="75" s="1"/>
  <c r="J94" i="75"/>
  <c r="W94" i="75" s="1"/>
  <c r="J93" i="75"/>
  <c r="W93" i="75" s="1"/>
  <c r="J92" i="75"/>
  <c r="W92" i="75" s="1"/>
  <c r="B92" i="75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B103" i="75" s="1"/>
  <c r="B104" i="75" s="1"/>
  <c r="B105" i="75" s="1"/>
  <c r="B106" i="75" s="1"/>
  <c r="B107" i="75" s="1"/>
  <c r="B108" i="75" s="1"/>
  <c r="B109" i="75" s="1"/>
  <c r="B110" i="75" s="1"/>
  <c r="B111" i="75" s="1"/>
  <c r="B112" i="75" s="1"/>
  <c r="B113" i="75" s="1"/>
  <c r="J91" i="75"/>
  <c r="W91" i="75" s="1"/>
  <c r="J82" i="75"/>
  <c r="V82" i="75" s="1"/>
  <c r="J81" i="75"/>
  <c r="V81" i="75" s="1"/>
  <c r="J80" i="75"/>
  <c r="V80" i="75" s="1"/>
  <c r="W79" i="75"/>
  <c r="J79" i="75"/>
  <c r="V79" i="75" s="1"/>
  <c r="J78" i="75"/>
  <c r="V78" i="75" s="1"/>
  <c r="J77" i="75"/>
  <c r="V77" i="75" s="1"/>
  <c r="J76" i="75"/>
  <c r="V76" i="75" s="1"/>
  <c r="J75" i="75"/>
  <c r="V75" i="75" s="1"/>
  <c r="J74" i="75"/>
  <c r="V74" i="75" s="1"/>
  <c r="J73" i="75"/>
  <c r="V73" i="75" s="1"/>
  <c r="J72" i="75"/>
  <c r="V72" i="75" s="1"/>
  <c r="J71" i="75"/>
  <c r="V71" i="75" s="1"/>
  <c r="J70" i="75"/>
  <c r="V70" i="75" s="1"/>
  <c r="J69" i="75"/>
  <c r="V69" i="75" s="1"/>
  <c r="J68" i="75"/>
  <c r="V68" i="75" s="1"/>
  <c r="J67" i="75"/>
  <c r="V67" i="75" s="1"/>
  <c r="J66" i="75"/>
  <c r="V66" i="75" s="1"/>
  <c r="J65" i="75"/>
  <c r="V65" i="75" s="1"/>
  <c r="J64" i="75"/>
  <c r="V64" i="75" s="1"/>
  <c r="J63" i="75"/>
  <c r="V63" i="75" s="1"/>
  <c r="J62" i="75"/>
  <c r="V62" i="75" s="1"/>
  <c r="J61" i="75"/>
  <c r="V61" i="75" s="1"/>
  <c r="B61" i="75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J60" i="75"/>
  <c r="V60" i="75" s="1"/>
  <c r="W51" i="75"/>
  <c r="V51" i="75"/>
  <c r="W50" i="75"/>
  <c r="V50" i="75"/>
  <c r="W49" i="75"/>
  <c r="V49" i="75"/>
  <c r="W48" i="75"/>
  <c r="V48" i="75"/>
  <c r="W47" i="75"/>
  <c r="V47" i="75"/>
  <c r="W46" i="75"/>
  <c r="V46" i="75"/>
  <c r="W45" i="75"/>
  <c r="V45" i="75"/>
  <c r="W44" i="75"/>
  <c r="V44" i="75"/>
  <c r="W43" i="75"/>
  <c r="V43" i="75"/>
  <c r="W42" i="75"/>
  <c r="V42" i="75"/>
  <c r="N16" i="75"/>
  <c r="N14" i="75"/>
  <c r="N12" i="75"/>
  <c r="N10" i="75"/>
  <c r="N8" i="75"/>
  <c r="I7" i="75"/>
  <c r="J7" i="75" s="1"/>
  <c r="B7" i="75"/>
  <c r="B8" i="75" s="1"/>
  <c r="B9" i="75" s="1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N6" i="75"/>
  <c r="I6" i="75"/>
  <c r="J6" i="75" s="1"/>
  <c r="N4" i="75"/>
  <c r="I41" i="73"/>
  <c r="J41" i="73" s="1"/>
  <c r="J40" i="73"/>
  <c r="I40" i="73"/>
  <c r="I39" i="73"/>
  <c r="J39" i="73" s="1"/>
  <c r="I38" i="73"/>
  <c r="J38" i="73" s="1"/>
  <c r="I37" i="73"/>
  <c r="J37" i="73" s="1"/>
  <c r="J36" i="73"/>
  <c r="I36" i="73"/>
  <c r="I35" i="73"/>
  <c r="J35" i="73" s="1"/>
  <c r="I34" i="73"/>
  <c r="J34" i="73" s="1"/>
  <c r="I33" i="73"/>
  <c r="J33" i="73" s="1"/>
  <c r="J32" i="73"/>
  <c r="I32" i="73"/>
  <c r="I31" i="73"/>
  <c r="J31" i="73" s="1"/>
  <c r="I30" i="73"/>
  <c r="J30" i="73" s="1"/>
  <c r="I29" i="73"/>
  <c r="J29" i="73" s="1"/>
  <c r="J28" i="73"/>
  <c r="I28" i="73"/>
  <c r="I27" i="73"/>
  <c r="J27" i="73" s="1"/>
  <c r="I26" i="73"/>
  <c r="J26" i="73" s="1"/>
  <c r="I25" i="73"/>
  <c r="J25" i="73" s="1"/>
  <c r="J24" i="73"/>
  <c r="I24" i="73"/>
  <c r="I23" i="73"/>
  <c r="J23" i="73" s="1"/>
  <c r="I22" i="73"/>
  <c r="J22" i="73" s="1"/>
  <c r="I21" i="73"/>
  <c r="J21" i="73" s="1"/>
  <c r="J20" i="73"/>
  <c r="I20" i="73"/>
  <c r="I16" i="73"/>
  <c r="J16" i="73" s="1"/>
  <c r="I17" i="73"/>
  <c r="J17" i="73" s="1"/>
  <c r="I18" i="73"/>
  <c r="J18" i="73" s="1"/>
  <c r="I19" i="73"/>
  <c r="J19" i="73" s="1"/>
  <c r="W81" i="75" l="1"/>
  <c r="W141" i="75"/>
  <c r="W205" i="76"/>
  <c r="W203" i="75"/>
  <c r="W60" i="76"/>
  <c r="W78" i="76"/>
  <c r="W81" i="76"/>
  <c r="W184" i="76"/>
  <c r="W78" i="75"/>
  <c r="W80" i="75"/>
  <c r="W82" i="75"/>
  <c r="W142" i="76"/>
  <c r="W144" i="76"/>
  <c r="W204" i="76"/>
  <c r="W206" i="76"/>
  <c r="W142" i="75"/>
  <c r="W144" i="75"/>
  <c r="W80" i="76"/>
  <c r="W82" i="76"/>
  <c r="W184" i="75"/>
  <c r="W202" i="75"/>
  <c r="W204" i="75"/>
  <c r="W206" i="75"/>
  <c r="Q6" i="79"/>
  <c r="Q14" i="79"/>
  <c r="Q12" i="79"/>
  <c r="R12" i="79"/>
  <c r="Q16" i="79"/>
  <c r="R16" i="79"/>
  <c r="R10" i="79"/>
  <c r="Q10" i="79"/>
  <c r="Q8" i="79"/>
  <c r="R8" i="79"/>
  <c r="P18" i="79"/>
  <c r="Q4" i="79"/>
  <c r="R4" i="79"/>
  <c r="O18" i="79"/>
  <c r="R18" i="79" s="1"/>
  <c r="P20" i="79" s="1"/>
  <c r="W83" i="78"/>
  <c r="P6" i="78" s="1"/>
  <c r="V83" i="78"/>
  <c r="O6" i="78" s="1"/>
  <c r="R6" i="78" s="1"/>
  <c r="V145" i="78"/>
  <c r="O10" i="78" s="1"/>
  <c r="R10" i="78" s="1"/>
  <c r="V207" i="78"/>
  <c r="O14" i="78" s="1"/>
  <c r="R14" i="78" s="1"/>
  <c r="W207" i="78"/>
  <c r="P14" i="78" s="1"/>
  <c r="W145" i="78"/>
  <c r="P10" i="78" s="1"/>
  <c r="W52" i="78"/>
  <c r="P4" i="78" s="1"/>
  <c r="V176" i="78"/>
  <c r="O12" i="78" s="1"/>
  <c r="V114" i="78"/>
  <c r="O8" i="78" s="1"/>
  <c r="V52" i="78"/>
  <c r="O4" i="78" s="1"/>
  <c r="V238" i="78"/>
  <c r="O16" i="78" s="1"/>
  <c r="V203" i="76"/>
  <c r="W141" i="76"/>
  <c r="W79" i="76"/>
  <c r="W140" i="76"/>
  <c r="W188" i="76"/>
  <c r="W140" i="75"/>
  <c r="W122" i="76"/>
  <c r="V198" i="76"/>
  <c r="V202" i="76"/>
  <c r="J207" i="76"/>
  <c r="W185" i="76"/>
  <c r="W187" i="76"/>
  <c r="W189" i="76"/>
  <c r="W191" i="76"/>
  <c r="W193" i="76"/>
  <c r="W195" i="76"/>
  <c r="W197" i="76"/>
  <c r="W199" i="76"/>
  <c r="W201" i="76"/>
  <c r="J145" i="76"/>
  <c r="W124" i="76"/>
  <c r="W126" i="76"/>
  <c r="W128" i="76"/>
  <c r="W130" i="76"/>
  <c r="W132" i="76"/>
  <c r="W134" i="76"/>
  <c r="W136" i="76"/>
  <c r="W138" i="76"/>
  <c r="W123" i="76"/>
  <c r="W125" i="76"/>
  <c r="W127" i="76"/>
  <c r="W129" i="76"/>
  <c r="W131" i="76"/>
  <c r="W133" i="76"/>
  <c r="W135" i="76"/>
  <c r="W137" i="76"/>
  <c r="W139" i="76"/>
  <c r="W62" i="76"/>
  <c r="W64" i="76"/>
  <c r="W66" i="76"/>
  <c r="W68" i="76"/>
  <c r="W70" i="76"/>
  <c r="W72" i="76"/>
  <c r="W74" i="76"/>
  <c r="W76" i="76"/>
  <c r="N18" i="76"/>
  <c r="W61" i="76"/>
  <c r="W63" i="76"/>
  <c r="W65" i="76"/>
  <c r="W67" i="76"/>
  <c r="W69" i="76"/>
  <c r="W71" i="76"/>
  <c r="W73" i="76"/>
  <c r="W75" i="76"/>
  <c r="W77" i="76"/>
  <c r="V21" i="76"/>
  <c r="W21" i="76"/>
  <c r="V25" i="76"/>
  <c r="W25" i="76"/>
  <c r="V13" i="76"/>
  <c r="W13" i="76"/>
  <c r="W8" i="76"/>
  <c r="V8" i="76"/>
  <c r="V37" i="76"/>
  <c r="W37" i="76"/>
  <c r="V41" i="76"/>
  <c r="W41" i="76"/>
  <c r="W29" i="76"/>
  <c r="V16" i="76"/>
  <c r="V11" i="76"/>
  <c r="W11" i="76"/>
  <c r="V18" i="76"/>
  <c r="W18" i="76"/>
  <c r="V34" i="76"/>
  <c r="W34" i="76"/>
  <c r="V38" i="76"/>
  <c r="W38" i="76"/>
  <c r="V32" i="76"/>
  <c r="W32" i="76"/>
  <c r="W6" i="76"/>
  <c r="J52" i="76"/>
  <c r="V6" i="76"/>
  <c r="W14" i="76"/>
  <c r="V14" i="76"/>
  <c r="V22" i="76"/>
  <c r="W22" i="76"/>
  <c r="V36" i="76"/>
  <c r="W36" i="76"/>
  <c r="V7" i="76"/>
  <c r="W7" i="76"/>
  <c r="V10" i="76"/>
  <c r="W10" i="76"/>
  <c r="V24" i="76"/>
  <c r="W24" i="76"/>
  <c r="V26" i="76"/>
  <c r="W26" i="76"/>
  <c r="V40" i="76"/>
  <c r="W40" i="76"/>
  <c r="V83" i="76"/>
  <c r="O6" i="76" s="1"/>
  <c r="R6" i="76" s="1"/>
  <c r="V15" i="76"/>
  <c r="W15" i="76"/>
  <c r="V19" i="76"/>
  <c r="W19" i="76"/>
  <c r="V28" i="76"/>
  <c r="W28" i="76"/>
  <c r="V30" i="76"/>
  <c r="W30" i="76"/>
  <c r="W114" i="76"/>
  <c r="P8" i="76" s="1"/>
  <c r="V145" i="76"/>
  <c r="O10" i="76" s="1"/>
  <c r="R10" i="76" s="1"/>
  <c r="W176" i="76"/>
  <c r="P12" i="76" s="1"/>
  <c r="W238" i="76"/>
  <c r="P16" i="76" s="1"/>
  <c r="V9" i="76"/>
  <c r="V17" i="76"/>
  <c r="V23" i="76"/>
  <c r="V27" i="76"/>
  <c r="V31" i="76"/>
  <c r="V35" i="76"/>
  <c r="V39" i="76"/>
  <c r="J83" i="76"/>
  <c r="V91" i="76"/>
  <c r="V92" i="76"/>
  <c r="V93" i="76"/>
  <c r="V94" i="76"/>
  <c r="V95" i="76"/>
  <c r="V96" i="76"/>
  <c r="V97" i="76"/>
  <c r="V98" i="76"/>
  <c r="V99" i="76"/>
  <c r="V100" i="76"/>
  <c r="V101" i="76"/>
  <c r="V102" i="76"/>
  <c r="V103" i="76"/>
  <c r="V104" i="76"/>
  <c r="V105" i="76"/>
  <c r="V106" i="76"/>
  <c r="V107" i="76"/>
  <c r="V108" i="76"/>
  <c r="V109" i="76"/>
  <c r="V110" i="76"/>
  <c r="V111" i="76"/>
  <c r="V112" i="76"/>
  <c r="V113" i="76"/>
  <c r="V153" i="76"/>
  <c r="V154" i="76"/>
  <c r="V155" i="76"/>
  <c r="V156" i="76"/>
  <c r="V157" i="76"/>
  <c r="V158" i="76"/>
  <c r="V159" i="76"/>
  <c r="V160" i="76"/>
  <c r="V161" i="76"/>
  <c r="V162" i="76"/>
  <c r="V163" i="76"/>
  <c r="V164" i="76"/>
  <c r="V165" i="76"/>
  <c r="V166" i="76"/>
  <c r="V167" i="76"/>
  <c r="V168" i="76"/>
  <c r="V169" i="76"/>
  <c r="V170" i="76"/>
  <c r="V171" i="76"/>
  <c r="V172" i="76"/>
  <c r="V173" i="76"/>
  <c r="V174" i="76"/>
  <c r="V175" i="76"/>
  <c r="V215" i="76"/>
  <c r="V216" i="76"/>
  <c r="V217" i="76"/>
  <c r="V218" i="76"/>
  <c r="V219" i="76"/>
  <c r="V220" i="76"/>
  <c r="V221" i="76"/>
  <c r="V222" i="76"/>
  <c r="V223" i="76"/>
  <c r="V224" i="76"/>
  <c r="V225" i="76"/>
  <c r="V226" i="76"/>
  <c r="V227" i="76"/>
  <c r="V228" i="76"/>
  <c r="V229" i="76"/>
  <c r="V230" i="76"/>
  <c r="V231" i="76"/>
  <c r="V232" i="76"/>
  <c r="V233" i="76"/>
  <c r="V234" i="76"/>
  <c r="V235" i="76"/>
  <c r="V236" i="76"/>
  <c r="V237" i="76"/>
  <c r="W12" i="76"/>
  <c r="W20" i="76"/>
  <c r="J114" i="76"/>
  <c r="J176" i="76"/>
  <c r="J238" i="76"/>
  <c r="W133" i="75"/>
  <c r="W125" i="75"/>
  <c r="V145" i="75"/>
  <c r="O10" i="75" s="1"/>
  <c r="R10" i="75" s="1"/>
  <c r="W114" i="75"/>
  <c r="P8" i="75" s="1"/>
  <c r="W186" i="75"/>
  <c r="W188" i="75"/>
  <c r="W190" i="75"/>
  <c r="W192" i="75"/>
  <c r="W194" i="75"/>
  <c r="W196" i="75"/>
  <c r="W198" i="75"/>
  <c r="W200" i="75"/>
  <c r="W185" i="75"/>
  <c r="W187" i="75"/>
  <c r="W189" i="75"/>
  <c r="W191" i="75"/>
  <c r="W193" i="75"/>
  <c r="W195" i="75"/>
  <c r="W197" i="75"/>
  <c r="W199" i="75"/>
  <c r="W201" i="75"/>
  <c r="W129" i="75"/>
  <c r="W137" i="75"/>
  <c r="W123" i="75"/>
  <c r="W131" i="75"/>
  <c r="W139" i="75"/>
  <c r="W127" i="75"/>
  <c r="W135" i="75"/>
  <c r="W124" i="75"/>
  <c r="W126" i="75"/>
  <c r="W128" i="75"/>
  <c r="W130" i="75"/>
  <c r="W132" i="75"/>
  <c r="W134" i="75"/>
  <c r="W136" i="75"/>
  <c r="W138" i="75"/>
  <c r="V83" i="75"/>
  <c r="O6" i="75" s="1"/>
  <c r="R6" i="75" s="1"/>
  <c r="W61" i="75"/>
  <c r="W63" i="75"/>
  <c r="W65" i="75"/>
  <c r="W67" i="75"/>
  <c r="W69" i="75"/>
  <c r="W71" i="75"/>
  <c r="W73" i="75"/>
  <c r="W75" i="75"/>
  <c r="W77" i="75"/>
  <c r="N18" i="75"/>
  <c r="W62" i="75"/>
  <c r="W64" i="75"/>
  <c r="W66" i="75"/>
  <c r="W68" i="75"/>
  <c r="W70" i="75"/>
  <c r="W72" i="75"/>
  <c r="W74" i="75"/>
  <c r="W76" i="75"/>
  <c r="W60" i="75"/>
  <c r="V41" i="75"/>
  <c r="W41" i="75"/>
  <c r="V37" i="75"/>
  <c r="W37" i="75"/>
  <c r="V21" i="75"/>
  <c r="W21" i="75"/>
  <c r="W8" i="75"/>
  <c r="V8" i="75"/>
  <c r="V13" i="75"/>
  <c r="W13" i="75"/>
  <c r="W16" i="75"/>
  <c r="V16" i="75"/>
  <c r="V29" i="75"/>
  <c r="W29" i="75"/>
  <c r="W25" i="75"/>
  <c r="W33" i="75"/>
  <c r="V28" i="75"/>
  <c r="W28" i="75"/>
  <c r="V10" i="75"/>
  <c r="W10" i="75"/>
  <c r="V24" i="75"/>
  <c r="W24" i="75"/>
  <c r="V40" i="75"/>
  <c r="W40" i="75"/>
  <c r="V19" i="75"/>
  <c r="W19" i="75"/>
  <c r="V11" i="75"/>
  <c r="W11" i="75"/>
  <c r="V18" i="75"/>
  <c r="W18" i="75"/>
  <c r="V32" i="75"/>
  <c r="W32" i="75"/>
  <c r="V34" i="75"/>
  <c r="W34" i="75"/>
  <c r="W176" i="75"/>
  <c r="P12" i="75" s="1"/>
  <c r="V207" i="75"/>
  <c r="O14" i="75" s="1"/>
  <c r="R14" i="75" s="1"/>
  <c r="V7" i="75"/>
  <c r="W7" i="75"/>
  <c r="W26" i="75"/>
  <c r="V26" i="75"/>
  <c r="V15" i="75"/>
  <c r="W15" i="75"/>
  <c r="V30" i="75"/>
  <c r="W30" i="75"/>
  <c r="W6" i="75"/>
  <c r="J52" i="75"/>
  <c r="V6" i="75"/>
  <c r="W14" i="75"/>
  <c r="V14" i="75"/>
  <c r="V22" i="75"/>
  <c r="W22" i="75"/>
  <c r="V36" i="75"/>
  <c r="W36" i="75"/>
  <c r="V38" i="75"/>
  <c r="W38" i="75"/>
  <c r="W238" i="75"/>
  <c r="P16" i="75" s="1"/>
  <c r="V9" i="75"/>
  <c r="V17" i="75"/>
  <c r="V23" i="75"/>
  <c r="V27" i="75"/>
  <c r="V31" i="75"/>
  <c r="V35" i="75"/>
  <c r="V39" i="75"/>
  <c r="J83" i="75"/>
  <c r="V91" i="75"/>
  <c r="V92" i="75"/>
  <c r="V93" i="75"/>
  <c r="V94" i="75"/>
  <c r="V95" i="75"/>
  <c r="V96" i="75"/>
  <c r="V97" i="75"/>
  <c r="V98" i="75"/>
  <c r="V99" i="75"/>
  <c r="V100" i="75"/>
  <c r="V101" i="75"/>
  <c r="V102" i="75"/>
  <c r="V103" i="75"/>
  <c r="V104" i="75"/>
  <c r="V105" i="75"/>
  <c r="V106" i="75"/>
  <c r="V107" i="75"/>
  <c r="V108" i="75"/>
  <c r="V109" i="75"/>
  <c r="V110" i="75"/>
  <c r="V111" i="75"/>
  <c r="V112" i="75"/>
  <c r="V113" i="75"/>
  <c r="J145" i="75"/>
  <c r="V153" i="75"/>
  <c r="V154" i="75"/>
  <c r="V155" i="75"/>
  <c r="V156" i="75"/>
  <c r="V157" i="75"/>
  <c r="V158" i="75"/>
  <c r="V159" i="75"/>
  <c r="V160" i="75"/>
  <c r="V161" i="75"/>
  <c r="V162" i="75"/>
  <c r="V163" i="75"/>
  <c r="V164" i="75"/>
  <c r="V165" i="75"/>
  <c r="V166" i="75"/>
  <c r="V167" i="75"/>
  <c r="V168" i="75"/>
  <c r="V169" i="75"/>
  <c r="V170" i="75"/>
  <c r="V171" i="75"/>
  <c r="V172" i="75"/>
  <c r="V173" i="75"/>
  <c r="V174" i="75"/>
  <c r="V175" i="75"/>
  <c r="J207" i="75"/>
  <c r="V215" i="75"/>
  <c r="V216" i="75"/>
  <c r="V217" i="75"/>
  <c r="V218" i="75"/>
  <c r="V219" i="75"/>
  <c r="V220" i="75"/>
  <c r="V221" i="75"/>
  <c r="V222" i="75"/>
  <c r="V223" i="75"/>
  <c r="V224" i="75"/>
  <c r="V225" i="75"/>
  <c r="V226" i="75"/>
  <c r="V227" i="75"/>
  <c r="V228" i="75"/>
  <c r="V229" i="75"/>
  <c r="V230" i="75"/>
  <c r="V231" i="75"/>
  <c r="V232" i="75"/>
  <c r="V233" i="75"/>
  <c r="V234" i="75"/>
  <c r="V235" i="75"/>
  <c r="V236" i="75"/>
  <c r="V237" i="75"/>
  <c r="W12" i="75"/>
  <c r="W20" i="75"/>
  <c r="J114" i="75"/>
  <c r="J176" i="75"/>
  <c r="J238" i="75"/>
  <c r="I15" i="73"/>
  <c r="J15" i="73" s="1"/>
  <c r="I14" i="73"/>
  <c r="J14" i="73" s="1"/>
  <c r="I13" i="73"/>
  <c r="J13" i="73" s="1"/>
  <c r="I12" i="73"/>
  <c r="J12" i="73" s="1"/>
  <c r="I10" i="73"/>
  <c r="J10" i="73" s="1"/>
  <c r="I11" i="73"/>
  <c r="J11" i="73" s="1"/>
  <c r="I8" i="73"/>
  <c r="J8" i="73" s="1"/>
  <c r="I9" i="73"/>
  <c r="J9" i="73" s="1"/>
  <c r="J141" i="73"/>
  <c r="J140" i="73"/>
  <c r="J137" i="73"/>
  <c r="J136" i="73"/>
  <c r="J135" i="73"/>
  <c r="J134" i="73"/>
  <c r="J133" i="73"/>
  <c r="J132" i="73"/>
  <c r="J131" i="73"/>
  <c r="J130" i="73"/>
  <c r="J129" i="73"/>
  <c r="J128" i="73"/>
  <c r="J127" i="73"/>
  <c r="J126" i="73"/>
  <c r="J125" i="73"/>
  <c r="J124" i="73"/>
  <c r="J123" i="73"/>
  <c r="J122" i="73"/>
  <c r="N10" i="73"/>
  <c r="Q18" i="79" l="1"/>
  <c r="Q6" i="78"/>
  <c r="Q10" i="78"/>
  <c r="Q14" i="78"/>
  <c r="P18" i="78"/>
  <c r="Q12" i="78"/>
  <c r="R12" i="78"/>
  <c r="R8" i="78"/>
  <c r="Q8" i="78"/>
  <c r="O18" i="78"/>
  <c r="R18" i="78" s="1"/>
  <c r="P20" i="78" s="1"/>
  <c r="Q4" i="78"/>
  <c r="R4" i="78"/>
  <c r="R16" i="78"/>
  <c r="Q16" i="78"/>
  <c r="V207" i="76"/>
  <c r="O14" i="76" s="1"/>
  <c r="R14" i="76" s="1"/>
  <c r="W83" i="76"/>
  <c r="P6" i="76" s="1"/>
  <c r="Q6" i="76" s="1"/>
  <c r="W207" i="76"/>
  <c r="P14" i="76" s="1"/>
  <c r="W145" i="76"/>
  <c r="P10" i="76" s="1"/>
  <c r="Q10" i="76" s="1"/>
  <c r="V52" i="76"/>
  <c r="O4" i="76" s="1"/>
  <c r="V176" i="76"/>
  <c r="O12" i="76" s="1"/>
  <c r="V238" i="76"/>
  <c r="V114" i="76"/>
  <c r="O8" i="76" s="1"/>
  <c r="W52" i="76"/>
  <c r="P4" i="76" s="1"/>
  <c r="W145" i="75"/>
  <c r="P10" i="75" s="1"/>
  <c r="Q10" i="75" s="1"/>
  <c r="W207" i="75"/>
  <c r="P14" i="75" s="1"/>
  <c r="Q14" i="75" s="1"/>
  <c r="W83" i="75"/>
  <c r="P6" i="75" s="1"/>
  <c r="Q6" i="75" s="1"/>
  <c r="V52" i="75"/>
  <c r="O4" i="75" s="1"/>
  <c r="W52" i="75"/>
  <c r="P4" i="75" s="1"/>
  <c r="V238" i="75"/>
  <c r="O16" i="75" s="1"/>
  <c r="V176" i="75"/>
  <c r="O12" i="75" s="1"/>
  <c r="V114" i="75"/>
  <c r="O8" i="75" s="1"/>
  <c r="J81" i="73"/>
  <c r="V81" i="73" s="1"/>
  <c r="J80" i="73"/>
  <c r="J79" i="73"/>
  <c r="J78" i="73"/>
  <c r="J77" i="73"/>
  <c r="V77" i="73" s="1"/>
  <c r="J76" i="73"/>
  <c r="J75" i="73"/>
  <c r="W75" i="73" s="1"/>
  <c r="J74" i="73"/>
  <c r="J73" i="73"/>
  <c r="V73" i="73" s="1"/>
  <c r="J72" i="73"/>
  <c r="J71" i="73"/>
  <c r="V71" i="73" s="1"/>
  <c r="J70" i="73"/>
  <c r="J69" i="73"/>
  <c r="V69" i="73" s="1"/>
  <c r="J68" i="73"/>
  <c r="J67" i="73"/>
  <c r="V67" i="73" s="1"/>
  <c r="J66" i="73"/>
  <c r="J65" i="73"/>
  <c r="V65" i="73" s="1"/>
  <c r="J64" i="73"/>
  <c r="V64" i="73" s="1"/>
  <c r="J63" i="73"/>
  <c r="J62" i="73"/>
  <c r="J61" i="73"/>
  <c r="V61" i="73" s="1"/>
  <c r="J60" i="73"/>
  <c r="J237" i="73"/>
  <c r="W237" i="73" s="1"/>
  <c r="J236" i="73"/>
  <c r="W236" i="73" s="1"/>
  <c r="J235" i="73"/>
  <c r="W235" i="73" s="1"/>
  <c r="J234" i="73"/>
  <c r="W234" i="73" s="1"/>
  <c r="J233" i="73"/>
  <c r="W233" i="73" s="1"/>
  <c r="J232" i="73"/>
  <c r="W232" i="73" s="1"/>
  <c r="J231" i="73"/>
  <c r="W231" i="73" s="1"/>
  <c r="J230" i="73"/>
  <c r="W230" i="73" s="1"/>
  <c r="J229" i="73"/>
  <c r="W229" i="73" s="1"/>
  <c r="J228" i="73"/>
  <c r="W228" i="73" s="1"/>
  <c r="J227" i="73"/>
  <c r="W227" i="73" s="1"/>
  <c r="J226" i="73"/>
  <c r="W226" i="73" s="1"/>
  <c r="J225" i="73"/>
  <c r="W225" i="73" s="1"/>
  <c r="J224" i="73"/>
  <c r="W224" i="73" s="1"/>
  <c r="J223" i="73"/>
  <c r="W223" i="73" s="1"/>
  <c r="J222" i="73"/>
  <c r="W222" i="73" s="1"/>
  <c r="J221" i="73"/>
  <c r="W221" i="73" s="1"/>
  <c r="J220" i="73"/>
  <c r="W220" i="73" s="1"/>
  <c r="J219" i="73"/>
  <c r="W219" i="73" s="1"/>
  <c r="J218" i="73"/>
  <c r="W218" i="73" s="1"/>
  <c r="J217" i="73"/>
  <c r="W217" i="73" s="1"/>
  <c r="J216" i="73"/>
  <c r="W216" i="73" s="1"/>
  <c r="B216" i="73"/>
  <c r="B217" i="73" s="1"/>
  <c r="B218" i="73" s="1"/>
  <c r="B219" i="73" s="1"/>
  <c r="B220" i="73" s="1"/>
  <c r="B221" i="73" s="1"/>
  <c r="B222" i="73" s="1"/>
  <c r="B223" i="73" s="1"/>
  <c r="B224" i="73" s="1"/>
  <c r="B225" i="73" s="1"/>
  <c r="B226" i="73" s="1"/>
  <c r="B227" i="73" s="1"/>
  <c r="B228" i="73" s="1"/>
  <c r="B229" i="73" s="1"/>
  <c r="B230" i="73" s="1"/>
  <c r="B231" i="73" s="1"/>
  <c r="B232" i="73" s="1"/>
  <c r="B233" i="73" s="1"/>
  <c r="B234" i="73" s="1"/>
  <c r="B235" i="73" s="1"/>
  <c r="B236" i="73" s="1"/>
  <c r="B237" i="73" s="1"/>
  <c r="J215" i="73"/>
  <c r="W215" i="73" s="1"/>
  <c r="J206" i="73"/>
  <c r="W206" i="73" s="1"/>
  <c r="J205" i="73"/>
  <c r="W205" i="73" s="1"/>
  <c r="J204" i="73"/>
  <c r="W204" i="73" s="1"/>
  <c r="J203" i="73"/>
  <c r="V203" i="73" s="1"/>
  <c r="J202" i="73"/>
  <c r="V202" i="73" s="1"/>
  <c r="J201" i="73"/>
  <c r="V201" i="73" s="1"/>
  <c r="J200" i="73"/>
  <c r="W200" i="73" s="1"/>
  <c r="J199" i="73"/>
  <c r="V199" i="73" s="1"/>
  <c r="J198" i="73"/>
  <c r="W198" i="73" s="1"/>
  <c r="J197" i="73"/>
  <c r="V197" i="73" s="1"/>
  <c r="J196" i="73"/>
  <c r="W196" i="73" s="1"/>
  <c r="J195" i="73"/>
  <c r="V195" i="73" s="1"/>
  <c r="J194" i="73"/>
  <c r="V194" i="73" s="1"/>
  <c r="J193" i="73"/>
  <c r="V193" i="73" s="1"/>
  <c r="J192" i="73"/>
  <c r="W192" i="73" s="1"/>
  <c r="J191" i="73"/>
  <c r="V191" i="73" s="1"/>
  <c r="J190" i="73"/>
  <c r="W190" i="73" s="1"/>
  <c r="J189" i="73"/>
  <c r="V189" i="73" s="1"/>
  <c r="J188" i="73"/>
  <c r="W188" i="73" s="1"/>
  <c r="J187" i="73"/>
  <c r="V187" i="73" s="1"/>
  <c r="J186" i="73"/>
  <c r="V186" i="73" s="1"/>
  <c r="J185" i="73"/>
  <c r="V185" i="73" s="1"/>
  <c r="B185" i="73"/>
  <c r="B186" i="73" s="1"/>
  <c r="B187" i="73" s="1"/>
  <c r="B188" i="73" s="1"/>
  <c r="B189" i="73" s="1"/>
  <c r="B190" i="73" s="1"/>
  <c r="B191" i="73" s="1"/>
  <c r="B192" i="73" s="1"/>
  <c r="B193" i="73" s="1"/>
  <c r="B194" i="73" s="1"/>
  <c r="B195" i="73" s="1"/>
  <c r="B196" i="73" s="1"/>
  <c r="B197" i="73" s="1"/>
  <c r="B198" i="73" s="1"/>
  <c r="B199" i="73" s="1"/>
  <c r="B200" i="73" s="1"/>
  <c r="B201" i="73" s="1"/>
  <c r="B202" i="73" s="1"/>
  <c r="B203" i="73" s="1"/>
  <c r="B204" i="73" s="1"/>
  <c r="B205" i="73" s="1"/>
  <c r="B206" i="73" s="1"/>
  <c r="J184" i="73"/>
  <c r="V184" i="73" s="1"/>
  <c r="J175" i="73"/>
  <c r="W175" i="73" s="1"/>
  <c r="J174" i="73"/>
  <c r="W174" i="73" s="1"/>
  <c r="J173" i="73"/>
  <c r="W173" i="73" s="1"/>
  <c r="J172" i="73"/>
  <c r="W172" i="73" s="1"/>
  <c r="J171" i="73"/>
  <c r="W171" i="73" s="1"/>
  <c r="J170" i="73"/>
  <c r="W170" i="73" s="1"/>
  <c r="J169" i="73"/>
  <c r="W169" i="73" s="1"/>
  <c r="J168" i="73"/>
  <c r="W168" i="73" s="1"/>
  <c r="J167" i="73"/>
  <c r="W167" i="73" s="1"/>
  <c r="J166" i="73"/>
  <c r="W166" i="73" s="1"/>
  <c r="J165" i="73"/>
  <c r="W165" i="73" s="1"/>
  <c r="J164" i="73"/>
  <c r="W164" i="73" s="1"/>
  <c r="J163" i="73"/>
  <c r="W163" i="73" s="1"/>
  <c r="J162" i="73"/>
  <c r="W162" i="73" s="1"/>
  <c r="J161" i="73"/>
  <c r="W161" i="73" s="1"/>
  <c r="J160" i="73"/>
  <c r="W160" i="73" s="1"/>
  <c r="J159" i="73"/>
  <c r="W159" i="73" s="1"/>
  <c r="J158" i="73"/>
  <c r="W158" i="73" s="1"/>
  <c r="J157" i="73"/>
  <c r="W157" i="73" s="1"/>
  <c r="J156" i="73"/>
  <c r="W156" i="73" s="1"/>
  <c r="J155" i="73"/>
  <c r="W155" i="73" s="1"/>
  <c r="J154" i="73"/>
  <c r="W154" i="73" s="1"/>
  <c r="B154" i="73"/>
  <c r="B155" i="73" s="1"/>
  <c r="B156" i="73" s="1"/>
  <c r="B157" i="73" s="1"/>
  <c r="B158" i="73" s="1"/>
  <c r="B159" i="73" s="1"/>
  <c r="B160" i="73" s="1"/>
  <c r="B161" i="73" s="1"/>
  <c r="B162" i="73" s="1"/>
  <c r="B163" i="73" s="1"/>
  <c r="B164" i="73" s="1"/>
  <c r="B165" i="73" s="1"/>
  <c r="B166" i="73" s="1"/>
  <c r="B167" i="73" s="1"/>
  <c r="B168" i="73" s="1"/>
  <c r="B169" i="73" s="1"/>
  <c r="B170" i="73" s="1"/>
  <c r="B171" i="73" s="1"/>
  <c r="B172" i="73" s="1"/>
  <c r="B173" i="73" s="1"/>
  <c r="B174" i="73" s="1"/>
  <c r="B175" i="73" s="1"/>
  <c r="J153" i="73"/>
  <c r="W153" i="73" s="1"/>
  <c r="J144" i="73"/>
  <c r="V144" i="73" s="1"/>
  <c r="V143" i="73"/>
  <c r="J143" i="73"/>
  <c r="W143" i="73" s="1"/>
  <c r="J142" i="73"/>
  <c r="V141" i="73"/>
  <c r="V140" i="73"/>
  <c r="W139" i="73"/>
  <c r="V138" i="73"/>
  <c r="V137" i="73"/>
  <c r="W137" i="73"/>
  <c r="V136" i="73"/>
  <c r="W136" i="73"/>
  <c r="W135" i="73"/>
  <c r="V134" i="73"/>
  <c r="V133" i="73"/>
  <c r="W133" i="73"/>
  <c r="V132" i="73"/>
  <c r="W132" i="73"/>
  <c r="W131" i="73"/>
  <c r="V130" i="73"/>
  <c r="V129" i="73"/>
  <c r="W129" i="73"/>
  <c r="V128" i="73"/>
  <c r="W128" i="73"/>
  <c r="W127" i="73"/>
  <c r="V126" i="73"/>
  <c r="V125" i="73"/>
  <c r="W125" i="73"/>
  <c r="V124" i="73"/>
  <c r="W124" i="73"/>
  <c r="W123" i="73"/>
  <c r="B123" i="73"/>
  <c r="B124" i="73" s="1"/>
  <c r="B125" i="73" s="1"/>
  <c r="B126" i="73" s="1"/>
  <c r="B127" i="73" s="1"/>
  <c r="B128" i="73" s="1"/>
  <c r="B129" i="73" s="1"/>
  <c r="B130" i="73" s="1"/>
  <c r="B131" i="73" s="1"/>
  <c r="B132" i="73" s="1"/>
  <c r="B133" i="73" s="1"/>
  <c r="B134" i="73" s="1"/>
  <c r="B135" i="73" s="1"/>
  <c r="B136" i="73" s="1"/>
  <c r="B137" i="73" s="1"/>
  <c r="B138" i="73" s="1"/>
  <c r="B139" i="73" s="1"/>
  <c r="B140" i="73" s="1"/>
  <c r="B141" i="73" s="1"/>
  <c r="B142" i="73" s="1"/>
  <c r="B143" i="73" s="1"/>
  <c r="B144" i="73" s="1"/>
  <c r="J113" i="73"/>
  <c r="W113" i="73" s="1"/>
  <c r="J112" i="73"/>
  <c r="W112" i="73" s="1"/>
  <c r="J111" i="73"/>
  <c r="W111" i="73" s="1"/>
  <c r="J110" i="73"/>
  <c r="W110" i="73" s="1"/>
  <c r="J109" i="73"/>
  <c r="W109" i="73" s="1"/>
  <c r="J108" i="73"/>
  <c r="W108" i="73" s="1"/>
  <c r="J107" i="73"/>
  <c r="W107" i="73" s="1"/>
  <c r="J106" i="73"/>
  <c r="W106" i="73" s="1"/>
  <c r="J105" i="73"/>
  <c r="W105" i="73" s="1"/>
  <c r="J104" i="73"/>
  <c r="W104" i="73" s="1"/>
  <c r="J103" i="73"/>
  <c r="W103" i="73" s="1"/>
  <c r="J102" i="73"/>
  <c r="W102" i="73" s="1"/>
  <c r="J101" i="73"/>
  <c r="W101" i="73" s="1"/>
  <c r="J100" i="73"/>
  <c r="W100" i="73" s="1"/>
  <c r="J99" i="73"/>
  <c r="W99" i="73" s="1"/>
  <c r="J98" i="73"/>
  <c r="W98" i="73" s="1"/>
  <c r="J97" i="73"/>
  <c r="W97" i="73" s="1"/>
  <c r="J96" i="73"/>
  <c r="W96" i="73" s="1"/>
  <c r="J95" i="73"/>
  <c r="W95" i="73" s="1"/>
  <c r="J94" i="73"/>
  <c r="W94" i="73" s="1"/>
  <c r="J93" i="73"/>
  <c r="W93" i="73" s="1"/>
  <c r="J92" i="73"/>
  <c r="W92" i="73" s="1"/>
  <c r="B92" i="73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J91" i="73"/>
  <c r="W91" i="73" s="1"/>
  <c r="J82" i="73"/>
  <c r="W82" i="73" s="1"/>
  <c r="W80" i="73"/>
  <c r="V80" i="73"/>
  <c r="W79" i="73"/>
  <c r="V79" i="73"/>
  <c r="W78" i="73"/>
  <c r="V78" i="73"/>
  <c r="W76" i="73"/>
  <c r="V76" i="73"/>
  <c r="V75" i="73"/>
  <c r="W74" i="73"/>
  <c r="V74" i="73"/>
  <c r="W72" i="73"/>
  <c r="V72" i="73"/>
  <c r="W71" i="73"/>
  <c r="W70" i="73"/>
  <c r="V70" i="73"/>
  <c r="W68" i="73"/>
  <c r="V68" i="73"/>
  <c r="W67" i="73"/>
  <c r="W66" i="73"/>
  <c r="V66" i="73"/>
  <c r="W64" i="73"/>
  <c r="W63" i="73"/>
  <c r="V63" i="73"/>
  <c r="W62" i="73"/>
  <c r="V62" i="73"/>
  <c r="B61" i="73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W60" i="73"/>
  <c r="V60" i="73"/>
  <c r="W51" i="73"/>
  <c r="V51" i="73"/>
  <c r="W50" i="73"/>
  <c r="V50" i="73"/>
  <c r="V49" i="73"/>
  <c r="W48" i="73"/>
  <c r="V48" i="73"/>
  <c r="V45" i="73"/>
  <c r="W45" i="73"/>
  <c r="W44" i="73"/>
  <c r="V44" i="73"/>
  <c r="V42" i="73"/>
  <c r="V41" i="73"/>
  <c r="W40" i="73"/>
  <c r="V40" i="73"/>
  <c r="V38" i="73"/>
  <c r="V37" i="73"/>
  <c r="W37" i="73"/>
  <c r="W36" i="73"/>
  <c r="V36" i="73"/>
  <c r="V34" i="73"/>
  <c r="V33" i="73"/>
  <c r="W33" i="73"/>
  <c r="W32" i="73"/>
  <c r="V32" i="73"/>
  <c r="V30" i="73"/>
  <c r="V29" i="73"/>
  <c r="W29" i="73"/>
  <c r="W28" i="73"/>
  <c r="V28" i="73"/>
  <c r="V26" i="73"/>
  <c r="V25" i="73"/>
  <c r="W25" i="73"/>
  <c r="W24" i="73"/>
  <c r="V24" i="73"/>
  <c r="V22" i="73"/>
  <c r="V21" i="73"/>
  <c r="V19" i="73"/>
  <c r="V18" i="73"/>
  <c r="W18" i="73"/>
  <c r="N16" i="73"/>
  <c r="V16" i="73"/>
  <c r="W15" i="73"/>
  <c r="V15" i="73"/>
  <c r="N14" i="73"/>
  <c r="W14" i="73"/>
  <c r="N12" i="73"/>
  <c r="V11" i="73"/>
  <c r="N8" i="73"/>
  <c r="V8" i="73"/>
  <c r="I7" i="73"/>
  <c r="J7" i="73" s="1"/>
  <c r="B7" i="73"/>
  <c r="B8" i="73" s="1"/>
  <c r="B9" i="73" s="1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N6" i="73"/>
  <c r="I6" i="73"/>
  <c r="J6" i="73" s="1"/>
  <c r="N4" i="73"/>
  <c r="I49" i="72"/>
  <c r="J49" i="72" s="1"/>
  <c r="V49" i="72" s="1"/>
  <c r="I48" i="72"/>
  <c r="J48" i="72" s="1"/>
  <c r="V48" i="72" s="1"/>
  <c r="I47" i="72"/>
  <c r="J47" i="72" s="1"/>
  <c r="V47" i="72" s="1"/>
  <c r="I46" i="72"/>
  <c r="J46" i="72" s="1"/>
  <c r="V46" i="72" s="1"/>
  <c r="I45" i="72"/>
  <c r="J45" i="72" s="1"/>
  <c r="I44" i="72"/>
  <c r="J44" i="72" s="1"/>
  <c r="I43" i="72"/>
  <c r="J43" i="72" s="1"/>
  <c r="W43" i="72" s="1"/>
  <c r="I42" i="72"/>
  <c r="J42" i="72" s="1"/>
  <c r="I41" i="72"/>
  <c r="J41" i="72" s="1"/>
  <c r="I40" i="72"/>
  <c r="J40" i="72" s="1"/>
  <c r="I39" i="72"/>
  <c r="J39" i="72" s="1"/>
  <c r="W39" i="72" s="1"/>
  <c r="I38" i="72"/>
  <c r="J38" i="72" s="1"/>
  <c r="I37" i="72"/>
  <c r="J37" i="72" s="1"/>
  <c r="I36" i="72"/>
  <c r="J36" i="72" s="1"/>
  <c r="J35" i="72"/>
  <c r="I35" i="72"/>
  <c r="I34" i="72"/>
  <c r="J34" i="72" s="1"/>
  <c r="W34" i="72" s="1"/>
  <c r="J33" i="72"/>
  <c r="I33" i="72"/>
  <c r="I32" i="72"/>
  <c r="J32" i="72" s="1"/>
  <c r="I31" i="72"/>
  <c r="J31" i="72" s="1"/>
  <c r="W31" i="72" s="1"/>
  <c r="I30" i="72"/>
  <c r="J30" i="72" s="1"/>
  <c r="W30" i="72" s="1"/>
  <c r="I29" i="72"/>
  <c r="J29" i="72" s="1"/>
  <c r="I28" i="72"/>
  <c r="J28" i="72" s="1"/>
  <c r="J27" i="72"/>
  <c r="I27" i="72"/>
  <c r="I26" i="72"/>
  <c r="J26" i="72" s="1"/>
  <c r="V26" i="72" s="1"/>
  <c r="J25" i="72"/>
  <c r="I25" i="72"/>
  <c r="I24" i="72"/>
  <c r="J24" i="72" s="1"/>
  <c r="I23" i="72"/>
  <c r="J23" i="72" s="1"/>
  <c r="W23" i="72" s="1"/>
  <c r="I22" i="72"/>
  <c r="J22" i="72" s="1"/>
  <c r="V22" i="72" s="1"/>
  <c r="I21" i="72"/>
  <c r="J21" i="72" s="1"/>
  <c r="I20" i="72"/>
  <c r="J20" i="72" s="1"/>
  <c r="V20" i="72" s="1"/>
  <c r="I19" i="72"/>
  <c r="J19" i="72" s="1"/>
  <c r="W19" i="72" s="1"/>
  <c r="I18" i="72"/>
  <c r="J18" i="72" s="1"/>
  <c r="I15" i="72"/>
  <c r="J15" i="72" s="1"/>
  <c r="I16" i="72"/>
  <c r="J16" i="72" s="1"/>
  <c r="I17" i="72"/>
  <c r="J17" i="72" s="1"/>
  <c r="W17" i="72" s="1"/>
  <c r="I14" i="72"/>
  <c r="J14" i="72" s="1"/>
  <c r="W14" i="72" s="1"/>
  <c r="I13" i="72"/>
  <c r="J13" i="72" s="1"/>
  <c r="I12" i="72"/>
  <c r="J12" i="72" s="1"/>
  <c r="V12" i="72" s="1"/>
  <c r="I10" i="72"/>
  <c r="J10" i="72" s="1"/>
  <c r="I11" i="72"/>
  <c r="J11" i="72" s="1"/>
  <c r="I8" i="72"/>
  <c r="J8" i="72" s="1"/>
  <c r="I9" i="72"/>
  <c r="J9" i="72" s="1"/>
  <c r="W9" i="72" s="1"/>
  <c r="J237" i="72"/>
  <c r="W237" i="72" s="1"/>
  <c r="J236" i="72"/>
  <c r="W236" i="72" s="1"/>
  <c r="J235" i="72"/>
  <c r="W235" i="72" s="1"/>
  <c r="J234" i="72"/>
  <c r="W234" i="72" s="1"/>
  <c r="J233" i="72"/>
  <c r="W233" i="72" s="1"/>
  <c r="J232" i="72"/>
  <c r="W232" i="72" s="1"/>
  <c r="J231" i="72"/>
  <c r="W231" i="72" s="1"/>
  <c r="J230" i="72"/>
  <c r="W230" i="72" s="1"/>
  <c r="J229" i="72"/>
  <c r="W229" i="72" s="1"/>
  <c r="J228" i="72"/>
  <c r="W228" i="72" s="1"/>
  <c r="J227" i="72"/>
  <c r="W227" i="72" s="1"/>
  <c r="J226" i="72"/>
  <c r="W226" i="72" s="1"/>
  <c r="J225" i="72"/>
  <c r="W225" i="72" s="1"/>
  <c r="J224" i="72"/>
  <c r="W224" i="72" s="1"/>
  <c r="J223" i="72"/>
  <c r="W223" i="72" s="1"/>
  <c r="J222" i="72"/>
  <c r="W222" i="72" s="1"/>
  <c r="J221" i="72"/>
  <c r="W221" i="72" s="1"/>
  <c r="J220" i="72"/>
  <c r="W220" i="72" s="1"/>
  <c r="J219" i="72"/>
  <c r="W219" i="72" s="1"/>
  <c r="J218" i="72"/>
  <c r="W218" i="72" s="1"/>
  <c r="J217" i="72"/>
  <c r="W217" i="72" s="1"/>
  <c r="J216" i="72"/>
  <c r="W216" i="72" s="1"/>
  <c r="B216" i="72"/>
  <c r="B217" i="72" s="1"/>
  <c r="B218" i="72" s="1"/>
  <c r="B219" i="72" s="1"/>
  <c r="B220" i="72" s="1"/>
  <c r="B221" i="72" s="1"/>
  <c r="B222" i="72" s="1"/>
  <c r="B223" i="72" s="1"/>
  <c r="B224" i="72" s="1"/>
  <c r="B225" i="72" s="1"/>
  <c r="B226" i="72" s="1"/>
  <c r="B227" i="72" s="1"/>
  <c r="B228" i="72" s="1"/>
  <c r="B229" i="72" s="1"/>
  <c r="B230" i="72" s="1"/>
  <c r="B231" i="72" s="1"/>
  <c r="B232" i="72" s="1"/>
  <c r="B233" i="72" s="1"/>
  <c r="B234" i="72" s="1"/>
  <c r="B235" i="72" s="1"/>
  <c r="B236" i="72" s="1"/>
  <c r="B237" i="72" s="1"/>
  <c r="J215" i="72"/>
  <c r="W215" i="72" s="1"/>
  <c r="J206" i="72"/>
  <c r="V206" i="72" s="1"/>
  <c r="J205" i="72"/>
  <c r="W205" i="72" s="1"/>
  <c r="J204" i="72"/>
  <c r="W204" i="72" s="1"/>
  <c r="J203" i="72"/>
  <c r="V203" i="72" s="1"/>
  <c r="J202" i="72"/>
  <c r="V202" i="72" s="1"/>
  <c r="J201" i="72"/>
  <c r="W201" i="72" s="1"/>
  <c r="J200" i="72"/>
  <c r="V200" i="72" s="1"/>
  <c r="J199" i="72"/>
  <c r="V199" i="72" s="1"/>
  <c r="J198" i="72"/>
  <c r="V198" i="72" s="1"/>
  <c r="J197" i="72"/>
  <c r="W197" i="72" s="1"/>
  <c r="J196" i="72"/>
  <c r="V196" i="72" s="1"/>
  <c r="J195" i="72"/>
  <c r="V195" i="72" s="1"/>
  <c r="J194" i="72"/>
  <c r="V194" i="72" s="1"/>
  <c r="J193" i="72"/>
  <c r="W193" i="72" s="1"/>
  <c r="J192" i="72"/>
  <c r="V192" i="72" s="1"/>
  <c r="J191" i="72"/>
  <c r="V191" i="72" s="1"/>
  <c r="J190" i="72"/>
  <c r="W190" i="72" s="1"/>
  <c r="J189" i="72"/>
  <c r="W189" i="72" s="1"/>
  <c r="J188" i="72"/>
  <c r="V188" i="72" s="1"/>
  <c r="J187" i="72"/>
  <c r="V187" i="72" s="1"/>
  <c r="J186" i="72"/>
  <c r="W186" i="72" s="1"/>
  <c r="J185" i="72"/>
  <c r="W185" i="72" s="1"/>
  <c r="B185" i="72"/>
  <c r="B186" i="72" s="1"/>
  <c r="B187" i="72" s="1"/>
  <c r="B188" i="72" s="1"/>
  <c r="B189" i="72" s="1"/>
  <c r="B190" i="72" s="1"/>
  <c r="B191" i="72" s="1"/>
  <c r="B192" i="72" s="1"/>
  <c r="B193" i="72" s="1"/>
  <c r="B194" i="72" s="1"/>
  <c r="B195" i="72" s="1"/>
  <c r="B196" i="72" s="1"/>
  <c r="B197" i="72" s="1"/>
  <c r="B198" i="72" s="1"/>
  <c r="B199" i="72" s="1"/>
  <c r="B200" i="72" s="1"/>
  <c r="B201" i="72" s="1"/>
  <c r="B202" i="72" s="1"/>
  <c r="B203" i="72" s="1"/>
  <c r="B204" i="72" s="1"/>
  <c r="B205" i="72" s="1"/>
  <c r="B206" i="72" s="1"/>
  <c r="J184" i="72"/>
  <c r="J175" i="72"/>
  <c r="W175" i="72" s="1"/>
  <c r="J174" i="72"/>
  <c r="W174" i="72" s="1"/>
  <c r="J173" i="72"/>
  <c r="W173" i="72" s="1"/>
  <c r="J172" i="72"/>
  <c r="W172" i="72" s="1"/>
  <c r="J171" i="72"/>
  <c r="W171" i="72" s="1"/>
  <c r="J170" i="72"/>
  <c r="W170" i="72" s="1"/>
  <c r="J169" i="72"/>
  <c r="W169" i="72" s="1"/>
  <c r="J168" i="72"/>
  <c r="W168" i="72" s="1"/>
  <c r="J167" i="72"/>
  <c r="W167" i="72" s="1"/>
  <c r="J166" i="72"/>
  <c r="W166" i="72" s="1"/>
  <c r="J165" i="72"/>
  <c r="W165" i="72" s="1"/>
  <c r="J164" i="72"/>
  <c r="W164" i="72" s="1"/>
  <c r="J163" i="72"/>
  <c r="W163" i="72" s="1"/>
  <c r="J162" i="72"/>
  <c r="W162" i="72" s="1"/>
  <c r="J161" i="72"/>
  <c r="W161" i="72" s="1"/>
  <c r="J160" i="72"/>
  <c r="W160" i="72" s="1"/>
  <c r="J159" i="72"/>
  <c r="W159" i="72" s="1"/>
  <c r="J158" i="72"/>
  <c r="W158" i="72" s="1"/>
  <c r="J157" i="72"/>
  <c r="W157" i="72" s="1"/>
  <c r="J156" i="72"/>
  <c r="W156" i="72" s="1"/>
  <c r="J155" i="72"/>
  <c r="W155" i="72" s="1"/>
  <c r="J154" i="72"/>
  <c r="W154" i="72" s="1"/>
  <c r="B154" i="72"/>
  <c r="B155" i="72" s="1"/>
  <c r="B156" i="72" s="1"/>
  <c r="B157" i="72" s="1"/>
  <c r="B158" i="72" s="1"/>
  <c r="B159" i="72" s="1"/>
  <c r="B160" i="72" s="1"/>
  <c r="B161" i="72" s="1"/>
  <c r="B162" i="72" s="1"/>
  <c r="B163" i="72" s="1"/>
  <c r="B164" i="72" s="1"/>
  <c r="B165" i="72" s="1"/>
  <c r="B166" i="72" s="1"/>
  <c r="B167" i="72" s="1"/>
  <c r="B168" i="72" s="1"/>
  <c r="B169" i="72" s="1"/>
  <c r="B170" i="72" s="1"/>
  <c r="B171" i="72" s="1"/>
  <c r="B172" i="72" s="1"/>
  <c r="B173" i="72" s="1"/>
  <c r="B174" i="72" s="1"/>
  <c r="B175" i="72" s="1"/>
  <c r="J153" i="72"/>
  <c r="W153" i="72" s="1"/>
  <c r="J144" i="72"/>
  <c r="W144" i="72" s="1"/>
  <c r="J143" i="72"/>
  <c r="W143" i="72" s="1"/>
  <c r="W142" i="72"/>
  <c r="J142" i="72"/>
  <c r="V142" i="72" s="1"/>
  <c r="J141" i="72"/>
  <c r="W141" i="72" s="1"/>
  <c r="J140" i="72"/>
  <c r="V140" i="72" s="1"/>
  <c r="W139" i="72"/>
  <c r="J139" i="72"/>
  <c r="V139" i="72" s="1"/>
  <c r="J138" i="72"/>
  <c r="V138" i="72" s="1"/>
  <c r="V137" i="72"/>
  <c r="J137" i="72"/>
  <c r="W137" i="72" s="1"/>
  <c r="J136" i="72"/>
  <c r="V136" i="72" s="1"/>
  <c r="J135" i="72"/>
  <c r="V135" i="72" s="1"/>
  <c r="J134" i="72"/>
  <c r="V134" i="72" s="1"/>
  <c r="J133" i="72"/>
  <c r="W133" i="72" s="1"/>
  <c r="J132" i="72"/>
  <c r="V132" i="72" s="1"/>
  <c r="J131" i="72"/>
  <c r="W131" i="72" s="1"/>
  <c r="J130" i="72"/>
  <c r="V130" i="72" s="1"/>
  <c r="J129" i="72"/>
  <c r="W129" i="72" s="1"/>
  <c r="J128" i="72"/>
  <c r="V128" i="72" s="1"/>
  <c r="W127" i="72"/>
  <c r="J127" i="72"/>
  <c r="V127" i="72" s="1"/>
  <c r="J126" i="72"/>
  <c r="V126" i="72" s="1"/>
  <c r="J125" i="72"/>
  <c r="W125" i="72" s="1"/>
  <c r="J124" i="72"/>
  <c r="V124" i="72" s="1"/>
  <c r="J123" i="72"/>
  <c r="V123" i="72" s="1"/>
  <c r="B123" i="72"/>
  <c r="B124" i="72" s="1"/>
  <c r="B125" i="72" s="1"/>
  <c r="B126" i="72" s="1"/>
  <c r="B127" i="72" s="1"/>
  <c r="B128" i="72" s="1"/>
  <c r="B129" i="72" s="1"/>
  <c r="B130" i="72" s="1"/>
  <c r="B131" i="72" s="1"/>
  <c r="B132" i="72" s="1"/>
  <c r="B133" i="72" s="1"/>
  <c r="B134" i="72" s="1"/>
  <c r="B135" i="72" s="1"/>
  <c r="B136" i="72" s="1"/>
  <c r="B137" i="72" s="1"/>
  <c r="B138" i="72" s="1"/>
  <c r="B139" i="72" s="1"/>
  <c r="B140" i="72" s="1"/>
  <c r="B141" i="72" s="1"/>
  <c r="B142" i="72" s="1"/>
  <c r="B143" i="72" s="1"/>
  <c r="B144" i="72" s="1"/>
  <c r="J122" i="72"/>
  <c r="V122" i="72" s="1"/>
  <c r="J113" i="72"/>
  <c r="W113" i="72" s="1"/>
  <c r="J112" i="72"/>
  <c r="W112" i="72" s="1"/>
  <c r="J111" i="72"/>
  <c r="W111" i="72" s="1"/>
  <c r="J110" i="72"/>
  <c r="W110" i="72" s="1"/>
  <c r="J109" i="72"/>
  <c r="W109" i="72" s="1"/>
  <c r="J108" i="72"/>
  <c r="W108" i="72" s="1"/>
  <c r="J107" i="72"/>
  <c r="W107" i="72" s="1"/>
  <c r="J106" i="72"/>
  <c r="W106" i="72" s="1"/>
  <c r="J105" i="72"/>
  <c r="W105" i="72" s="1"/>
  <c r="J104" i="72"/>
  <c r="W104" i="72" s="1"/>
  <c r="J103" i="72"/>
  <c r="W103" i="72" s="1"/>
  <c r="J102" i="72"/>
  <c r="W102" i="72" s="1"/>
  <c r="J101" i="72"/>
  <c r="W101" i="72" s="1"/>
  <c r="J100" i="72"/>
  <c r="W100" i="72" s="1"/>
  <c r="J99" i="72"/>
  <c r="W99" i="72" s="1"/>
  <c r="J98" i="72"/>
  <c r="W98" i="72" s="1"/>
  <c r="J97" i="72"/>
  <c r="W97" i="72" s="1"/>
  <c r="J96" i="72"/>
  <c r="W96" i="72" s="1"/>
  <c r="J95" i="72"/>
  <c r="W95" i="72" s="1"/>
  <c r="J94" i="72"/>
  <c r="W94" i="72" s="1"/>
  <c r="J93" i="72"/>
  <c r="W93" i="72" s="1"/>
  <c r="J92" i="72"/>
  <c r="W92" i="72" s="1"/>
  <c r="B92" i="72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B103" i="72" s="1"/>
  <c r="B104" i="72" s="1"/>
  <c r="B105" i="72" s="1"/>
  <c r="B106" i="72" s="1"/>
  <c r="B107" i="72" s="1"/>
  <c r="B108" i="72" s="1"/>
  <c r="B109" i="72" s="1"/>
  <c r="B110" i="72" s="1"/>
  <c r="B111" i="72" s="1"/>
  <c r="B112" i="72" s="1"/>
  <c r="B113" i="72" s="1"/>
  <c r="J91" i="72"/>
  <c r="W91" i="72" s="1"/>
  <c r="J82" i="72"/>
  <c r="W82" i="72" s="1"/>
  <c r="J81" i="72"/>
  <c r="V81" i="72" s="1"/>
  <c r="J80" i="72"/>
  <c r="V80" i="72" s="1"/>
  <c r="J79" i="72"/>
  <c r="V79" i="72" s="1"/>
  <c r="J78" i="72"/>
  <c r="V78" i="72" s="1"/>
  <c r="J77" i="72"/>
  <c r="W77" i="72" s="1"/>
  <c r="J76" i="72"/>
  <c r="V76" i="72" s="1"/>
  <c r="J75" i="72"/>
  <c r="V75" i="72" s="1"/>
  <c r="J74" i="72"/>
  <c r="W74" i="72" s="1"/>
  <c r="J73" i="72"/>
  <c r="W73" i="72" s="1"/>
  <c r="J72" i="72"/>
  <c r="V72" i="72" s="1"/>
  <c r="J71" i="72"/>
  <c r="V71" i="72" s="1"/>
  <c r="J70" i="72"/>
  <c r="W70" i="72" s="1"/>
  <c r="V69" i="72"/>
  <c r="J69" i="72"/>
  <c r="W69" i="72" s="1"/>
  <c r="J68" i="72"/>
  <c r="V68" i="72" s="1"/>
  <c r="J67" i="72"/>
  <c r="V67" i="72" s="1"/>
  <c r="J66" i="72"/>
  <c r="V66" i="72" s="1"/>
  <c r="J65" i="72"/>
  <c r="W65" i="72" s="1"/>
  <c r="J64" i="72"/>
  <c r="V64" i="72" s="1"/>
  <c r="J63" i="72"/>
  <c r="V63" i="72" s="1"/>
  <c r="J62" i="72"/>
  <c r="W62" i="72" s="1"/>
  <c r="J61" i="72"/>
  <c r="W61" i="72" s="1"/>
  <c r="B61" i="72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J60" i="72"/>
  <c r="W51" i="72"/>
  <c r="V51" i="72"/>
  <c r="W50" i="72"/>
  <c r="V50" i="72"/>
  <c r="W35" i="72"/>
  <c r="W27" i="72"/>
  <c r="N16" i="72"/>
  <c r="N14" i="72"/>
  <c r="N12" i="72"/>
  <c r="N10" i="72"/>
  <c r="N8" i="72"/>
  <c r="B8" i="72"/>
  <c r="B9" i="72" s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I7" i="72"/>
  <c r="J7" i="72" s="1"/>
  <c r="B7" i="72"/>
  <c r="N6" i="72"/>
  <c r="I6" i="72"/>
  <c r="J6" i="72" s="1"/>
  <c r="W6" i="72" s="1"/>
  <c r="N4" i="72"/>
  <c r="I45" i="70"/>
  <c r="J45" i="70" s="1"/>
  <c r="V45" i="70" s="1"/>
  <c r="I44" i="70"/>
  <c r="J44" i="70" s="1"/>
  <c r="V44" i="70" s="1"/>
  <c r="I43" i="70"/>
  <c r="J43" i="70" s="1"/>
  <c r="J42" i="70"/>
  <c r="I42" i="70"/>
  <c r="I41" i="70"/>
  <c r="J41" i="70" s="1"/>
  <c r="V41" i="70" s="1"/>
  <c r="J40" i="70"/>
  <c r="V40" i="70" s="1"/>
  <c r="I40" i="70"/>
  <c r="I39" i="70"/>
  <c r="J39" i="70" s="1"/>
  <c r="J38" i="70"/>
  <c r="I38" i="70"/>
  <c r="I37" i="70"/>
  <c r="J37" i="70" s="1"/>
  <c r="V37" i="70" s="1"/>
  <c r="I36" i="70"/>
  <c r="J36" i="70" s="1"/>
  <c r="V36" i="70" s="1"/>
  <c r="I35" i="70"/>
  <c r="J35" i="70" s="1"/>
  <c r="J34" i="70"/>
  <c r="I34" i="70"/>
  <c r="I33" i="70"/>
  <c r="J33" i="70" s="1"/>
  <c r="V33" i="70" s="1"/>
  <c r="J32" i="70"/>
  <c r="V32" i="70" s="1"/>
  <c r="I32" i="70"/>
  <c r="I31" i="70"/>
  <c r="J31" i="70" s="1"/>
  <c r="J30" i="70"/>
  <c r="I30" i="70"/>
  <c r="I29" i="70"/>
  <c r="J29" i="70" s="1"/>
  <c r="V29" i="70" s="1"/>
  <c r="I28" i="70"/>
  <c r="J28" i="70" s="1"/>
  <c r="W28" i="70" s="1"/>
  <c r="I27" i="70"/>
  <c r="J27" i="70" s="1"/>
  <c r="J26" i="70"/>
  <c r="V26" i="70" s="1"/>
  <c r="I26" i="70"/>
  <c r="I25" i="70"/>
  <c r="J25" i="70" s="1"/>
  <c r="J24" i="70"/>
  <c r="W24" i="70" s="1"/>
  <c r="I24" i="70"/>
  <c r="I23" i="70"/>
  <c r="J23" i="70" s="1"/>
  <c r="J22" i="70"/>
  <c r="V22" i="70" s="1"/>
  <c r="I22" i="70"/>
  <c r="I21" i="70"/>
  <c r="J21" i="70" s="1"/>
  <c r="W21" i="70" s="1"/>
  <c r="I20" i="70"/>
  <c r="J20" i="70" s="1"/>
  <c r="I19" i="70"/>
  <c r="J19" i="70" s="1"/>
  <c r="V19" i="70" s="1"/>
  <c r="J18" i="70"/>
  <c r="W18" i="70" s="1"/>
  <c r="I18" i="70"/>
  <c r="I17" i="70"/>
  <c r="J17" i="70" s="1"/>
  <c r="J16" i="70"/>
  <c r="V16" i="70" s="1"/>
  <c r="I16" i="70"/>
  <c r="I15" i="70"/>
  <c r="J15" i="70" s="1"/>
  <c r="J14" i="70"/>
  <c r="W14" i="70" s="1"/>
  <c r="I14" i="70"/>
  <c r="I13" i="70"/>
  <c r="J13" i="70" s="1"/>
  <c r="I12" i="70"/>
  <c r="J12" i="70" s="1"/>
  <c r="I11" i="70"/>
  <c r="J11" i="70" s="1"/>
  <c r="V11" i="70" s="1"/>
  <c r="J10" i="70"/>
  <c r="W10" i="70" s="1"/>
  <c r="I10" i="70"/>
  <c r="I8" i="70"/>
  <c r="J8" i="70" s="1"/>
  <c r="V8" i="70" s="1"/>
  <c r="I9" i="70"/>
  <c r="J9" i="70" s="1"/>
  <c r="J237" i="70"/>
  <c r="W237" i="70" s="1"/>
  <c r="W236" i="70"/>
  <c r="J236" i="70"/>
  <c r="V236" i="70" s="1"/>
  <c r="J235" i="70"/>
  <c r="W235" i="70" s="1"/>
  <c r="J234" i="70"/>
  <c r="W234" i="70" s="1"/>
  <c r="J233" i="70"/>
  <c r="V233" i="70" s="1"/>
  <c r="J232" i="70"/>
  <c r="V232" i="70" s="1"/>
  <c r="J231" i="70"/>
  <c r="V231" i="70" s="1"/>
  <c r="J230" i="70"/>
  <c r="W230" i="70" s="1"/>
  <c r="J229" i="70"/>
  <c r="V229" i="70" s="1"/>
  <c r="J228" i="70"/>
  <c r="V228" i="70" s="1"/>
  <c r="J227" i="70"/>
  <c r="V227" i="70" s="1"/>
  <c r="V226" i="70"/>
  <c r="J226" i="70"/>
  <c r="W226" i="70" s="1"/>
  <c r="J225" i="70"/>
  <c r="V225" i="70" s="1"/>
  <c r="J224" i="70"/>
  <c r="V224" i="70" s="1"/>
  <c r="J223" i="70"/>
  <c r="V223" i="70" s="1"/>
  <c r="J222" i="70"/>
  <c r="W222" i="70" s="1"/>
  <c r="J221" i="70"/>
  <c r="V221" i="70" s="1"/>
  <c r="J220" i="70"/>
  <c r="V220" i="70" s="1"/>
  <c r="V219" i="70"/>
  <c r="J219" i="70"/>
  <c r="W219" i="70" s="1"/>
  <c r="J218" i="70"/>
  <c r="W218" i="70" s="1"/>
  <c r="J217" i="70"/>
  <c r="V217" i="70" s="1"/>
  <c r="J216" i="70"/>
  <c r="V216" i="70" s="1"/>
  <c r="B216" i="70"/>
  <c r="B217" i="70" s="1"/>
  <c r="B218" i="70" s="1"/>
  <c r="B219" i="70" s="1"/>
  <c r="B220" i="70" s="1"/>
  <c r="B221" i="70" s="1"/>
  <c r="B222" i="70" s="1"/>
  <c r="B223" i="70" s="1"/>
  <c r="B224" i="70" s="1"/>
  <c r="B225" i="70" s="1"/>
  <c r="B226" i="70" s="1"/>
  <c r="B227" i="70" s="1"/>
  <c r="B228" i="70" s="1"/>
  <c r="B229" i="70" s="1"/>
  <c r="B230" i="70" s="1"/>
  <c r="B231" i="70" s="1"/>
  <c r="B232" i="70" s="1"/>
  <c r="B233" i="70" s="1"/>
  <c r="B234" i="70" s="1"/>
  <c r="B235" i="70" s="1"/>
  <c r="B236" i="70" s="1"/>
  <c r="B237" i="70" s="1"/>
  <c r="J215" i="70"/>
  <c r="V215" i="70" s="1"/>
  <c r="J206" i="70"/>
  <c r="V206" i="70" s="1"/>
  <c r="J205" i="70"/>
  <c r="V205" i="70" s="1"/>
  <c r="J204" i="70"/>
  <c r="V204" i="70" s="1"/>
  <c r="J203" i="70"/>
  <c r="V203" i="70" s="1"/>
  <c r="J202" i="70"/>
  <c r="V202" i="70" s="1"/>
  <c r="J201" i="70"/>
  <c r="V201" i="70" s="1"/>
  <c r="J200" i="70"/>
  <c r="V200" i="70" s="1"/>
  <c r="J199" i="70"/>
  <c r="V199" i="70" s="1"/>
  <c r="J198" i="70"/>
  <c r="V198" i="70" s="1"/>
  <c r="J197" i="70"/>
  <c r="V197" i="70" s="1"/>
  <c r="J196" i="70"/>
  <c r="V196" i="70" s="1"/>
  <c r="J195" i="70"/>
  <c r="V195" i="70" s="1"/>
  <c r="J194" i="70"/>
  <c r="V194" i="70" s="1"/>
  <c r="J193" i="70"/>
  <c r="V193" i="70" s="1"/>
  <c r="J192" i="70"/>
  <c r="V192" i="70" s="1"/>
  <c r="J191" i="70"/>
  <c r="V191" i="70" s="1"/>
  <c r="J190" i="70"/>
  <c r="V190" i="70" s="1"/>
  <c r="J189" i="70"/>
  <c r="V189" i="70" s="1"/>
  <c r="J188" i="70"/>
  <c r="V188" i="70" s="1"/>
  <c r="J187" i="70"/>
  <c r="V187" i="70" s="1"/>
  <c r="J186" i="70"/>
  <c r="V186" i="70" s="1"/>
  <c r="J185" i="70"/>
  <c r="V185" i="70" s="1"/>
  <c r="B185" i="70"/>
  <c r="B186" i="70" s="1"/>
  <c r="B187" i="70" s="1"/>
  <c r="B188" i="70" s="1"/>
  <c r="B189" i="70" s="1"/>
  <c r="B190" i="70" s="1"/>
  <c r="B191" i="70" s="1"/>
  <c r="B192" i="70" s="1"/>
  <c r="B193" i="70" s="1"/>
  <c r="B194" i="70" s="1"/>
  <c r="B195" i="70" s="1"/>
  <c r="B196" i="70" s="1"/>
  <c r="B197" i="70" s="1"/>
  <c r="B198" i="70" s="1"/>
  <c r="B199" i="70" s="1"/>
  <c r="B200" i="70" s="1"/>
  <c r="B201" i="70" s="1"/>
  <c r="B202" i="70" s="1"/>
  <c r="B203" i="70" s="1"/>
  <c r="B204" i="70" s="1"/>
  <c r="B205" i="70" s="1"/>
  <c r="B206" i="70" s="1"/>
  <c r="J184" i="70"/>
  <c r="V184" i="70" s="1"/>
  <c r="J175" i="70"/>
  <c r="W175" i="70" s="1"/>
  <c r="J174" i="70"/>
  <c r="V174" i="70" s="1"/>
  <c r="J173" i="70"/>
  <c r="V173" i="70" s="1"/>
  <c r="J172" i="70"/>
  <c r="W172" i="70" s="1"/>
  <c r="J171" i="70"/>
  <c r="W171" i="70" s="1"/>
  <c r="J170" i="70"/>
  <c r="V170" i="70" s="1"/>
  <c r="J169" i="70"/>
  <c r="V169" i="70" s="1"/>
  <c r="J168" i="70"/>
  <c r="V168" i="70" s="1"/>
  <c r="J167" i="70"/>
  <c r="W167" i="70" s="1"/>
  <c r="J166" i="70"/>
  <c r="V166" i="70" s="1"/>
  <c r="J165" i="70"/>
  <c r="V165" i="70" s="1"/>
  <c r="J164" i="70"/>
  <c r="W164" i="70" s="1"/>
  <c r="J163" i="70"/>
  <c r="W163" i="70" s="1"/>
  <c r="J162" i="70"/>
  <c r="V162" i="70" s="1"/>
  <c r="J161" i="70"/>
  <c r="V161" i="70" s="1"/>
  <c r="J160" i="70"/>
  <c r="V160" i="70" s="1"/>
  <c r="J159" i="70"/>
  <c r="W159" i="70" s="1"/>
  <c r="J158" i="70"/>
  <c r="V158" i="70" s="1"/>
  <c r="J157" i="70"/>
  <c r="V157" i="70" s="1"/>
  <c r="J156" i="70"/>
  <c r="W156" i="70" s="1"/>
  <c r="J155" i="70"/>
  <c r="W155" i="70" s="1"/>
  <c r="J154" i="70"/>
  <c r="V154" i="70" s="1"/>
  <c r="B154" i="70"/>
  <c r="B155" i="70" s="1"/>
  <c r="B156" i="70" s="1"/>
  <c r="B157" i="70" s="1"/>
  <c r="B158" i="70" s="1"/>
  <c r="B159" i="70" s="1"/>
  <c r="B160" i="70" s="1"/>
  <c r="B161" i="70" s="1"/>
  <c r="B162" i="70" s="1"/>
  <c r="B163" i="70" s="1"/>
  <c r="B164" i="70" s="1"/>
  <c r="B165" i="70" s="1"/>
  <c r="B166" i="70" s="1"/>
  <c r="B167" i="70" s="1"/>
  <c r="B168" i="70" s="1"/>
  <c r="B169" i="70" s="1"/>
  <c r="B170" i="70" s="1"/>
  <c r="B171" i="70" s="1"/>
  <c r="B172" i="70" s="1"/>
  <c r="B173" i="70" s="1"/>
  <c r="B174" i="70" s="1"/>
  <c r="B175" i="70" s="1"/>
  <c r="J153" i="70"/>
  <c r="V153" i="70" s="1"/>
  <c r="J144" i="70"/>
  <c r="V144" i="70" s="1"/>
  <c r="J143" i="70"/>
  <c r="V143" i="70" s="1"/>
  <c r="J142" i="70"/>
  <c r="V142" i="70" s="1"/>
  <c r="J141" i="70"/>
  <c r="V141" i="70" s="1"/>
  <c r="J140" i="70"/>
  <c r="V140" i="70" s="1"/>
  <c r="J139" i="70"/>
  <c r="V139" i="70" s="1"/>
  <c r="J138" i="70"/>
  <c r="V138" i="70" s="1"/>
  <c r="J137" i="70"/>
  <c r="V137" i="70" s="1"/>
  <c r="J136" i="70"/>
  <c r="V136" i="70" s="1"/>
  <c r="J135" i="70"/>
  <c r="V135" i="70" s="1"/>
  <c r="J134" i="70"/>
  <c r="V134" i="70" s="1"/>
  <c r="J133" i="70"/>
  <c r="V133" i="70" s="1"/>
  <c r="J132" i="70"/>
  <c r="V132" i="70" s="1"/>
  <c r="J131" i="70"/>
  <c r="V131" i="70" s="1"/>
  <c r="J130" i="70"/>
  <c r="V130" i="70" s="1"/>
  <c r="J129" i="70"/>
  <c r="V129" i="70" s="1"/>
  <c r="J128" i="70"/>
  <c r="V128" i="70" s="1"/>
  <c r="J127" i="70"/>
  <c r="V127" i="70" s="1"/>
  <c r="J126" i="70"/>
  <c r="V126" i="70" s="1"/>
  <c r="J125" i="70"/>
  <c r="V125" i="70" s="1"/>
  <c r="J124" i="70"/>
  <c r="V124" i="70" s="1"/>
  <c r="J123" i="70"/>
  <c r="V123" i="70" s="1"/>
  <c r="B123" i="70"/>
  <c r="B124" i="70" s="1"/>
  <c r="B125" i="70" s="1"/>
  <c r="B126" i="70" s="1"/>
  <c r="B127" i="70" s="1"/>
  <c r="B128" i="70" s="1"/>
  <c r="B129" i="70" s="1"/>
  <c r="B130" i="70" s="1"/>
  <c r="B131" i="70" s="1"/>
  <c r="B132" i="70" s="1"/>
  <c r="B133" i="70" s="1"/>
  <c r="B134" i="70" s="1"/>
  <c r="B135" i="70" s="1"/>
  <c r="B136" i="70" s="1"/>
  <c r="B137" i="70" s="1"/>
  <c r="B138" i="70" s="1"/>
  <c r="B139" i="70" s="1"/>
  <c r="B140" i="70" s="1"/>
  <c r="B141" i="70" s="1"/>
  <c r="B142" i="70" s="1"/>
  <c r="B143" i="70" s="1"/>
  <c r="B144" i="70" s="1"/>
  <c r="J122" i="70"/>
  <c r="V122" i="70" s="1"/>
  <c r="J113" i="70"/>
  <c r="W113" i="70" s="1"/>
  <c r="J112" i="70"/>
  <c r="W112" i="70" s="1"/>
  <c r="J111" i="70"/>
  <c r="V111" i="70" s="1"/>
  <c r="J110" i="70"/>
  <c r="V110" i="70" s="1"/>
  <c r="J109" i="70"/>
  <c r="W109" i="70" s="1"/>
  <c r="J108" i="70"/>
  <c r="W108" i="70" s="1"/>
  <c r="J107" i="70"/>
  <c r="V107" i="70" s="1"/>
  <c r="J106" i="70"/>
  <c r="V106" i="70" s="1"/>
  <c r="J105" i="70"/>
  <c r="V105" i="70" s="1"/>
  <c r="J104" i="70"/>
  <c r="W104" i="70" s="1"/>
  <c r="J103" i="70"/>
  <c r="V103" i="70" s="1"/>
  <c r="J102" i="70"/>
  <c r="V102" i="70" s="1"/>
  <c r="J101" i="70"/>
  <c r="V101" i="70" s="1"/>
  <c r="J100" i="70"/>
  <c r="W100" i="70" s="1"/>
  <c r="J99" i="70"/>
  <c r="V99" i="70" s="1"/>
  <c r="J98" i="70"/>
  <c r="W98" i="70" s="1"/>
  <c r="J97" i="70"/>
  <c r="V97" i="70" s="1"/>
  <c r="J96" i="70"/>
  <c r="W96" i="70" s="1"/>
  <c r="J95" i="70"/>
  <c r="V95" i="70" s="1"/>
  <c r="W94" i="70"/>
  <c r="V94" i="70"/>
  <c r="J94" i="70"/>
  <c r="J93" i="70"/>
  <c r="V93" i="70" s="1"/>
  <c r="J92" i="70"/>
  <c r="W92" i="70" s="1"/>
  <c r="B92" i="70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B103" i="70" s="1"/>
  <c r="B104" i="70" s="1"/>
  <c r="B105" i="70" s="1"/>
  <c r="B106" i="70" s="1"/>
  <c r="B107" i="70" s="1"/>
  <c r="B108" i="70" s="1"/>
  <c r="B109" i="70" s="1"/>
  <c r="B110" i="70" s="1"/>
  <c r="B111" i="70" s="1"/>
  <c r="B112" i="70" s="1"/>
  <c r="B113" i="70" s="1"/>
  <c r="J91" i="70"/>
  <c r="J82" i="70"/>
  <c r="V82" i="70" s="1"/>
  <c r="J81" i="70"/>
  <c r="V81" i="70" s="1"/>
  <c r="J80" i="70"/>
  <c r="V80" i="70" s="1"/>
  <c r="J79" i="70"/>
  <c r="V79" i="70" s="1"/>
  <c r="J78" i="70"/>
  <c r="V78" i="70" s="1"/>
  <c r="J77" i="70"/>
  <c r="V77" i="70" s="1"/>
  <c r="J76" i="70"/>
  <c r="V76" i="70" s="1"/>
  <c r="J75" i="70"/>
  <c r="V75" i="70" s="1"/>
  <c r="J74" i="70"/>
  <c r="V74" i="70" s="1"/>
  <c r="J73" i="70"/>
  <c r="V73" i="70" s="1"/>
  <c r="J72" i="70"/>
  <c r="V72" i="70" s="1"/>
  <c r="J71" i="70"/>
  <c r="V71" i="70" s="1"/>
  <c r="J70" i="70"/>
  <c r="V70" i="70" s="1"/>
  <c r="J69" i="70"/>
  <c r="V69" i="70" s="1"/>
  <c r="J68" i="70"/>
  <c r="V68" i="70" s="1"/>
  <c r="J67" i="70"/>
  <c r="V67" i="70" s="1"/>
  <c r="J66" i="70"/>
  <c r="V66" i="70" s="1"/>
  <c r="J65" i="70"/>
  <c r="V65" i="70" s="1"/>
  <c r="J64" i="70"/>
  <c r="V64" i="70" s="1"/>
  <c r="J63" i="70"/>
  <c r="V63" i="70" s="1"/>
  <c r="J62" i="70"/>
  <c r="V62" i="70" s="1"/>
  <c r="J61" i="70"/>
  <c r="V61" i="70" s="1"/>
  <c r="B61" i="70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J60" i="70"/>
  <c r="V60" i="70" s="1"/>
  <c r="W51" i="70"/>
  <c r="V51" i="70"/>
  <c r="W50" i="70"/>
  <c r="V50" i="70"/>
  <c r="V49" i="70"/>
  <c r="W48" i="70"/>
  <c r="V48" i="70"/>
  <c r="W40" i="70"/>
  <c r="V24" i="70"/>
  <c r="V18" i="70"/>
  <c r="N16" i="70"/>
  <c r="N14" i="70"/>
  <c r="N12" i="70"/>
  <c r="N10" i="70"/>
  <c r="N8" i="70"/>
  <c r="I7" i="70"/>
  <c r="J7" i="70" s="1"/>
  <c r="B7" i="70"/>
  <c r="B8" i="70" s="1"/>
  <c r="B9" i="70" s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N6" i="70"/>
  <c r="I6" i="70"/>
  <c r="J6" i="70" s="1"/>
  <c r="N4" i="70"/>
  <c r="I49" i="69"/>
  <c r="J49" i="69" s="1"/>
  <c r="J48" i="69"/>
  <c r="V48" i="69" s="1"/>
  <c r="I48" i="69"/>
  <c r="I47" i="69"/>
  <c r="J47" i="69" s="1"/>
  <c r="W47" i="69" s="1"/>
  <c r="J46" i="69"/>
  <c r="I46" i="69"/>
  <c r="I45" i="69"/>
  <c r="J45" i="69" s="1"/>
  <c r="J44" i="69"/>
  <c r="I44" i="69"/>
  <c r="I43" i="69"/>
  <c r="J43" i="69" s="1"/>
  <c r="W43" i="69" s="1"/>
  <c r="J42" i="69"/>
  <c r="I42" i="69"/>
  <c r="I41" i="69"/>
  <c r="J41" i="69" s="1"/>
  <c r="J40" i="69"/>
  <c r="I40" i="69"/>
  <c r="I39" i="69"/>
  <c r="J39" i="69" s="1"/>
  <c r="W39" i="69" s="1"/>
  <c r="J38" i="69"/>
  <c r="I38" i="69"/>
  <c r="I37" i="69"/>
  <c r="J37" i="69" s="1"/>
  <c r="J36" i="69"/>
  <c r="I36" i="69"/>
  <c r="I35" i="69"/>
  <c r="J35" i="69" s="1"/>
  <c r="W35" i="69" s="1"/>
  <c r="J34" i="69"/>
  <c r="I34" i="69"/>
  <c r="I33" i="69"/>
  <c r="J33" i="69" s="1"/>
  <c r="J32" i="69"/>
  <c r="I32" i="69"/>
  <c r="I31" i="69"/>
  <c r="J31" i="69" s="1"/>
  <c r="W31" i="69" s="1"/>
  <c r="J30" i="69"/>
  <c r="I30" i="69"/>
  <c r="I29" i="69"/>
  <c r="J29" i="69" s="1"/>
  <c r="W29" i="69" s="1"/>
  <c r="J28" i="69"/>
  <c r="W28" i="69" s="1"/>
  <c r="I28" i="69"/>
  <c r="I27" i="69"/>
  <c r="J27" i="69" s="1"/>
  <c r="W27" i="69" s="1"/>
  <c r="J26" i="69"/>
  <c r="W26" i="69" s="1"/>
  <c r="I26" i="69"/>
  <c r="I25" i="69"/>
  <c r="J25" i="69" s="1"/>
  <c r="J24" i="69"/>
  <c r="V24" i="69" s="1"/>
  <c r="I24" i="69"/>
  <c r="I23" i="69"/>
  <c r="J23" i="69" s="1"/>
  <c r="W23" i="69" s="1"/>
  <c r="J22" i="69"/>
  <c r="I22" i="69"/>
  <c r="I21" i="69"/>
  <c r="J21" i="69" s="1"/>
  <c r="J20" i="69"/>
  <c r="I20" i="69"/>
  <c r="I19" i="69"/>
  <c r="J19" i="69" s="1"/>
  <c r="J18" i="69"/>
  <c r="I18" i="69"/>
  <c r="I17" i="69"/>
  <c r="J17" i="69" s="1"/>
  <c r="W17" i="69" s="1"/>
  <c r="J16" i="69"/>
  <c r="W16" i="69" s="1"/>
  <c r="I16" i="69"/>
  <c r="I15" i="69"/>
  <c r="J15" i="69" s="1"/>
  <c r="J14" i="69"/>
  <c r="I14" i="69"/>
  <c r="I13" i="69"/>
  <c r="J13" i="69" s="1"/>
  <c r="W13" i="69" s="1"/>
  <c r="J12" i="69"/>
  <c r="I12" i="69"/>
  <c r="I11" i="69"/>
  <c r="J11" i="69" s="1"/>
  <c r="I10" i="69"/>
  <c r="J10" i="69" s="1"/>
  <c r="W10" i="69" s="1"/>
  <c r="I8" i="69"/>
  <c r="J8" i="69" s="1"/>
  <c r="V8" i="69" s="1"/>
  <c r="I9" i="69"/>
  <c r="J9" i="69" s="1"/>
  <c r="J237" i="69"/>
  <c r="W237" i="69" s="1"/>
  <c r="J236" i="69"/>
  <c r="W236" i="69" s="1"/>
  <c r="J235" i="69"/>
  <c r="W235" i="69" s="1"/>
  <c r="J234" i="69"/>
  <c r="V234" i="69" s="1"/>
  <c r="J233" i="69"/>
  <c r="W233" i="69" s="1"/>
  <c r="J232" i="69"/>
  <c r="V232" i="69" s="1"/>
  <c r="J231" i="69"/>
  <c r="W231" i="69" s="1"/>
  <c r="J230" i="69"/>
  <c r="V230" i="69" s="1"/>
  <c r="J229" i="69"/>
  <c r="W229" i="69" s="1"/>
  <c r="J228" i="69"/>
  <c r="V228" i="69" s="1"/>
  <c r="J227" i="69"/>
  <c r="V227" i="69" s="1"/>
  <c r="J226" i="69"/>
  <c r="V226" i="69" s="1"/>
  <c r="J225" i="69"/>
  <c r="W225" i="69" s="1"/>
  <c r="J224" i="69"/>
  <c r="V224" i="69" s="1"/>
  <c r="J223" i="69"/>
  <c r="W223" i="69" s="1"/>
  <c r="J222" i="69"/>
  <c r="V222" i="69" s="1"/>
  <c r="J221" i="69"/>
  <c r="W221" i="69" s="1"/>
  <c r="J220" i="69"/>
  <c r="V220" i="69" s="1"/>
  <c r="J219" i="69"/>
  <c r="W219" i="69" s="1"/>
  <c r="J218" i="69"/>
  <c r="V218" i="69" s="1"/>
  <c r="J217" i="69"/>
  <c r="W217" i="69" s="1"/>
  <c r="B217" i="69"/>
  <c r="B218" i="69" s="1"/>
  <c r="B219" i="69" s="1"/>
  <c r="B220" i="69" s="1"/>
  <c r="B221" i="69" s="1"/>
  <c r="B222" i="69" s="1"/>
  <c r="B223" i="69" s="1"/>
  <c r="B224" i="69" s="1"/>
  <c r="B225" i="69" s="1"/>
  <c r="B226" i="69" s="1"/>
  <c r="B227" i="69" s="1"/>
  <c r="B228" i="69" s="1"/>
  <c r="B229" i="69" s="1"/>
  <c r="B230" i="69" s="1"/>
  <c r="B231" i="69" s="1"/>
  <c r="B232" i="69" s="1"/>
  <c r="B233" i="69" s="1"/>
  <c r="B234" i="69" s="1"/>
  <c r="B235" i="69" s="1"/>
  <c r="B236" i="69" s="1"/>
  <c r="B237" i="69" s="1"/>
  <c r="J216" i="69"/>
  <c r="W216" i="69" s="1"/>
  <c r="B216" i="69"/>
  <c r="J215" i="69"/>
  <c r="W215" i="69" s="1"/>
  <c r="W206" i="69"/>
  <c r="J206" i="69"/>
  <c r="V206" i="69" s="1"/>
  <c r="J205" i="69"/>
  <c r="V205" i="69" s="1"/>
  <c r="J204" i="69"/>
  <c r="V204" i="69" s="1"/>
  <c r="J203" i="69"/>
  <c r="W203" i="69" s="1"/>
  <c r="J202" i="69"/>
  <c r="W202" i="69" s="1"/>
  <c r="J201" i="69"/>
  <c r="V201" i="69" s="1"/>
  <c r="J200" i="69"/>
  <c r="V200" i="69" s="1"/>
  <c r="J199" i="69"/>
  <c r="V199" i="69" s="1"/>
  <c r="J198" i="69"/>
  <c r="W198" i="69" s="1"/>
  <c r="J197" i="69"/>
  <c r="V197" i="69" s="1"/>
  <c r="J196" i="69"/>
  <c r="V196" i="69" s="1"/>
  <c r="J195" i="69"/>
  <c r="W195" i="69" s="1"/>
  <c r="J194" i="69"/>
  <c r="W194" i="69" s="1"/>
  <c r="J193" i="69"/>
  <c r="V193" i="69" s="1"/>
  <c r="J192" i="69"/>
  <c r="V192" i="69" s="1"/>
  <c r="J191" i="69"/>
  <c r="V191" i="69" s="1"/>
  <c r="J190" i="69"/>
  <c r="W190" i="69" s="1"/>
  <c r="J189" i="69"/>
  <c r="V189" i="69" s="1"/>
  <c r="J188" i="69"/>
  <c r="V188" i="69" s="1"/>
  <c r="J187" i="69"/>
  <c r="W187" i="69" s="1"/>
  <c r="J186" i="69"/>
  <c r="W186" i="69" s="1"/>
  <c r="J185" i="69"/>
  <c r="W185" i="69" s="1"/>
  <c r="B185" i="69"/>
  <c r="B186" i="69" s="1"/>
  <c r="B187" i="69" s="1"/>
  <c r="B188" i="69" s="1"/>
  <c r="B189" i="69" s="1"/>
  <c r="B190" i="69" s="1"/>
  <c r="B191" i="69" s="1"/>
  <c r="B192" i="69" s="1"/>
  <c r="B193" i="69" s="1"/>
  <c r="B194" i="69" s="1"/>
  <c r="B195" i="69" s="1"/>
  <c r="B196" i="69" s="1"/>
  <c r="B197" i="69" s="1"/>
  <c r="B198" i="69" s="1"/>
  <c r="B199" i="69" s="1"/>
  <c r="B200" i="69" s="1"/>
  <c r="B201" i="69" s="1"/>
  <c r="B202" i="69" s="1"/>
  <c r="B203" i="69" s="1"/>
  <c r="B204" i="69" s="1"/>
  <c r="B205" i="69" s="1"/>
  <c r="B206" i="69" s="1"/>
  <c r="J184" i="69"/>
  <c r="W184" i="69" s="1"/>
  <c r="W175" i="69"/>
  <c r="V175" i="69"/>
  <c r="J175" i="69"/>
  <c r="J174" i="69"/>
  <c r="W174" i="69" s="1"/>
  <c r="J173" i="69"/>
  <c r="W173" i="69" s="1"/>
  <c r="J172" i="69"/>
  <c r="V172" i="69" s="1"/>
  <c r="J171" i="69"/>
  <c r="V171" i="69" s="1"/>
  <c r="J170" i="69"/>
  <c r="W170" i="69" s="1"/>
  <c r="J169" i="69"/>
  <c r="W169" i="69" s="1"/>
  <c r="J168" i="69"/>
  <c r="V168" i="69" s="1"/>
  <c r="J167" i="69"/>
  <c r="V167" i="69" s="1"/>
  <c r="J166" i="69"/>
  <c r="V166" i="69" s="1"/>
  <c r="J165" i="69"/>
  <c r="W165" i="69" s="1"/>
  <c r="J164" i="69"/>
  <c r="V164" i="69" s="1"/>
  <c r="J163" i="69"/>
  <c r="V163" i="69" s="1"/>
  <c r="J162" i="69"/>
  <c r="V162" i="69" s="1"/>
  <c r="J161" i="69"/>
  <c r="W161" i="69" s="1"/>
  <c r="J160" i="69"/>
  <c r="V160" i="69" s="1"/>
  <c r="J159" i="69"/>
  <c r="V159" i="69" s="1"/>
  <c r="J158" i="69"/>
  <c r="V158" i="69" s="1"/>
  <c r="J157" i="69"/>
  <c r="W157" i="69" s="1"/>
  <c r="J156" i="69"/>
  <c r="V156" i="69" s="1"/>
  <c r="J155" i="69"/>
  <c r="V155" i="69" s="1"/>
  <c r="J154" i="69"/>
  <c r="V154" i="69" s="1"/>
  <c r="B154" i="69"/>
  <c r="B155" i="69" s="1"/>
  <c r="B156" i="69" s="1"/>
  <c r="B157" i="69" s="1"/>
  <c r="B158" i="69" s="1"/>
  <c r="B159" i="69" s="1"/>
  <c r="B160" i="69" s="1"/>
  <c r="B161" i="69" s="1"/>
  <c r="B162" i="69" s="1"/>
  <c r="B163" i="69" s="1"/>
  <c r="B164" i="69" s="1"/>
  <c r="B165" i="69" s="1"/>
  <c r="B166" i="69" s="1"/>
  <c r="B167" i="69" s="1"/>
  <c r="B168" i="69" s="1"/>
  <c r="B169" i="69" s="1"/>
  <c r="B170" i="69" s="1"/>
  <c r="B171" i="69" s="1"/>
  <c r="B172" i="69" s="1"/>
  <c r="B173" i="69" s="1"/>
  <c r="B174" i="69" s="1"/>
  <c r="B175" i="69" s="1"/>
  <c r="J153" i="69"/>
  <c r="V153" i="69" s="1"/>
  <c r="J144" i="69"/>
  <c r="V144" i="69" s="1"/>
  <c r="J143" i="69"/>
  <c r="V143" i="69" s="1"/>
  <c r="J142" i="69"/>
  <c r="V142" i="69" s="1"/>
  <c r="J141" i="69"/>
  <c r="V141" i="69" s="1"/>
  <c r="J140" i="69"/>
  <c r="V140" i="69" s="1"/>
  <c r="J139" i="69"/>
  <c r="V139" i="69" s="1"/>
  <c r="J138" i="69"/>
  <c r="W138" i="69" s="1"/>
  <c r="J137" i="69"/>
  <c r="V137" i="69" s="1"/>
  <c r="J136" i="69"/>
  <c r="V136" i="69" s="1"/>
  <c r="J135" i="69"/>
  <c r="W135" i="69" s="1"/>
  <c r="J134" i="69"/>
  <c r="W134" i="69" s="1"/>
  <c r="J133" i="69"/>
  <c r="V133" i="69" s="1"/>
  <c r="J132" i="69"/>
  <c r="V132" i="69" s="1"/>
  <c r="J131" i="69"/>
  <c r="V131" i="69" s="1"/>
  <c r="J130" i="69"/>
  <c r="W130" i="69" s="1"/>
  <c r="J129" i="69"/>
  <c r="V129" i="69" s="1"/>
  <c r="J128" i="69"/>
  <c r="V128" i="69" s="1"/>
  <c r="J127" i="69"/>
  <c r="W127" i="69" s="1"/>
  <c r="J126" i="69"/>
  <c r="W126" i="69" s="1"/>
  <c r="J125" i="69"/>
  <c r="V125" i="69" s="1"/>
  <c r="J124" i="69"/>
  <c r="V124" i="69" s="1"/>
  <c r="J123" i="69"/>
  <c r="V123" i="69" s="1"/>
  <c r="B123" i="69"/>
  <c r="B124" i="69" s="1"/>
  <c r="B125" i="69" s="1"/>
  <c r="B126" i="69" s="1"/>
  <c r="B127" i="69" s="1"/>
  <c r="B128" i="69" s="1"/>
  <c r="B129" i="69" s="1"/>
  <c r="B130" i="69" s="1"/>
  <c r="B131" i="69" s="1"/>
  <c r="B132" i="69" s="1"/>
  <c r="B133" i="69" s="1"/>
  <c r="B134" i="69" s="1"/>
  <c r="B135" i="69" s="1"/>
  <c r="B136" i="69" s="1"/>
  <c r="B137" i="69" s="1"/>
  <c r="B138" i="69" s="1"/>
  <c r="B139" i="69" s="1"/>
  <c r="B140" i="69" s="1"/>
  <c r="B141" i="69" s="1"/>
  <c r="B142" i="69" s="1"/>
  <c r="B143" i="69" s="1"/>
  <c r="B144" i="69" s="1"/>
  <c r="J122" i="69"/>
  <c r="J113" i="69"/>
  <c r="W113" i="69" s="1"/>
  <c r="J112" i="69"/>
  <c r="W112" i="69" s="1"/>
  <c r="J111" i="69"/>
  <c r="V111" i="69" s="1"/>
  <c r="J110" i="69"/>
  <c r="V110" i="69" s="1"/>
  <c r="J109" i="69"/>
  <c r="W109" i="69" s="1"/>
  <c r="J108" i="69"/>
  <c r="V108" i="69" s="1"/>
  <c r="J107" i="69"/>
  <c r="V107" i="69" s="1"/>
  <c r="J106" i="69"/>
  <c r="W106" i="69" s="1"/>
  <c r="J105" i="69"/>
  <c r="W105" i="69" s="1"/>
  <c r="J104" i="69"/>
  <c r="V104" i="69" s="1"/>
  <c r="J103" i="69"/>
  <c r="V103" i="69" s="1"/>
  <c r="J102" i="69"/>
  <c r="V102" i="69" s="1"/>
  <c r="J101" i="69"/>
  <c r="W101" i="69" s="1"/>
  <c r="J100" i="69"/>
  <c r="V100" i="69" s="1"/>
  <c r="J99" i="69"/>
  <c r="V99" i="69" s="1"/>
  <c r="J98" i="69"/>
  <c r="V98" i="69" s="1"/>
  <c r="J97" i="69"/>
  <c r="W97" i="69" s="1"/>
  <c r="J96" i="69"/>
  <c r="V96" i="69" s="1"/>
  <c r="J95" i="69"/>
  <c r="V95" i="69" s="1"/>
  <c r="J94" i="69"/>
  <c r="W94" i="69" s="1"/>
  <c r="J93" i="69"/>
  <c r="W93" i="69" s="1"/>
  <c r="J92" i="69"/>
  <c r="W92" i="69" s="1"/>
  <c r="B92" i="69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B103" i="69" s="1"/>
  <c r="B104" i="69" s="1"/>
  <c r="B105" i="69" s="1"/>
  <c r="B106" i="69" s="1"/>
  <c r="B107" i="69" s="1"/>
  <c r="B108" i="69" s="1"/>
  <c r="B109" i="69" s="1"/>
  <c r="B110" i="69" s="1"/>
  <c r="B111" i="69" s="1"/>
  <c r="B112" i="69" s="1"/>
  <c r="B113" i="69" s="1"/>
  <c r="J91" i="69"/>
  <c r="W91" i="69" s="1"/>
  <c r="J82" i="69"/>
  <c r="V82" i="69" s="1"/>
  <c r="W81" i="69"/>
  <c r="J81" i="69"/>
  <c r="V81" i="69" s="1"/>
  <c r="J80" i="69"/>
  <c r="W80" i="69" s="1"/>
  <c r="J79" i="69"/>
  <c r="W79" i="69" s="1"/>
  <c r="J78" i="69"/>
  <c r="W78" i="69" s="1"/>
  <c r="J77" i="69"/>
  <c r="V77" i="69" s="1"/>
  <c r="J76" i="69"/>
  <c r="V76" i="69" s="1"/>
  <c r="J75" i="69"/>
  <c r="W75" i="69" s="1"/>
  <c r="J74" i="69"/>
  <c r="W74" i="69" s="1"/>
  <c r="J73" i="69"/>
  <c r="V73" i="69" s="1"/>
  <c r="J72" i="69"/>
  <c r="V72" i="69" s="1"/>
  <c r="J71" i="69"/>
  <c r="V71" i="69" s="1"/>
  <c r="J70" i="69"/>
  <c r="W70" i="69" s="1"/>
  <c r="J69" i="69"/>
  <c r="V69" i="69" s="1"/>
  <c r="J68" i="69"/>
  <c r="W68" i="69" s="1"/>
  <c r="J67" i="69"/>
  <c r="V67" i="69" s="1"/>
  <c r="J66" i="69"/>
  <c r="W66" i="69" s="1"/>
  <c r="J65" i="69"/>
  <c r="V65" i="69" s="1"/>
  <c r="J64" i="69"/>
  <c r="V64" i="69" s="1"/>
  <c r="J63" i="69"/>
  <c r="V63" i="69" s="1"/>
  <c r="J62" i="69"/>
  <c r="W62" i="69" s="1"/>
  <c r="J61" i="69"/>
  <c r="W61" i="69" s="1"/>
  <c r="B61" i="69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J60" i="69"/>
  <c r="W60" i="69" s="1"/>
  <c r="W51" i="69"/>
  <c r="V51" i="69"/>
  <c r="W50" i="69"/>
  <c r="V50" i="69"/>
  <c r="W48" i="69"/>
  <c r="W30" i="69"/>
  <c r="V26" i="69"/>
  <c r="W24" i="69"/>
  <c r="V20" i="69"/>
  <c r="V18" i="69"/>
  <c r="N16" i="69"/>
  <c r="N14" i="69"/>
  <c r="W14" i="69"/>
  <c r="N12" i="69"/>
  <c r="N10" i="69"/>
  <c r="N8" i="69"/>
  <c r="I7" i="69"/>
  <c r="J7" i="69" s="1"/>
  <c r="B7" i="69"/>
  <c r="B8" i="69" s="1"/>
  <c r="B9" i="69" s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N6" i="69"/>
  <c r="I6" i="69"/>
  <c r="J6" i="69" s="1"/>
  <c r="V6" i="69" s="1"/>
  <c r="N4" i="69"/>
  <c r="I27" i="68"/>
  <c r="J27" i="68" s="1"/>
  <c r="I26" i="68"/>
  <c r="J26" i="68" s="1"/>
  <c r="I25" i="68"/>
  <c r="J25" i="68" s="1"/>
  <c r="I24" i="68"/>
  <c r="J24" i="68" s="1"/>
  <c r="I22" i="68"/>
  <c r="J22" i="68" s="1"/>
  <c r="I23" i="68"/>
  <c r="J23" i="68" s="1"/>
  <c r="I20" i="68"/>
  <c r="J20" i="68" s="1"/>
  <c r="I21" i="68"/>
  <c r="J21" i="68" s="1"/>
  <c r="I18" i="68"/>
  <c r="J18" i="68" s="1"/>
  <c r="I19" i="68"/>
  <c r="J19" i="68" s="1"/>
  <c r="V15" i="69" l="1"/>
  <c r="W15" i="69"/>
  <c r="V25" i="69"/>
  <c r="W25" i="69"/>
  <c r="W49" i="69"/>
  <c r="V49" i="69"/>
  <c r="V16" i="69"/>
  <c r="V113" i="69"/>
  <c r="W144" i="69"/>
  <c r="V237" i="69"/>
  <c r="V175" i="70"/>
  <c r="V237" i="70"/>
  <c r="W138" i="72"/>
  <c r="V143" i="72"/>
  <c r="W187" i="72"/>
  <c r="W194" i="72"/>
  <c r="V205" i="72"/>
  <c r="W65" i="73"/>
  <c r="J145" i="73"/>
  <c r="W67" i="69"/>
  <c r="V184" i="69"/>
  <c r="W169" i="70"/>
  <c r="V185" i="72"/>
  <c r="W142" i="73"/>
  <c r="W75" i="72"/>
  <c r="W78" i="72"/>
  <c r="W81" i="72"/>
  <c r="W81" i="73"/>
  <c r="V25" i="70"/>
  <c r="W25" i="70"/>
  <c r="W38" i="72"/>
  <c r="V38" i="72"/>
  <c r="W42" i="72"/>
  <c r="V42" i="72"/>
  <c r="W82" i="69"/>
  <c r="W162" i="69"/>
  <c r="V236" i="69"/>
  <c r="W93" i="70"/>
  <c r="W102" i="70"/>
  <c r="V113" i="70"/>
  <c r="W161" i="70"/>
  <c r="V164" i="70"/>
  <c r="W173" i="70"/>
  <c r="W232" i="70"/>
  <c r="V235" i="70"/>
  <c r="W202" i="72"/>
  <c r="W206" i="72"/>
  <c r="W144" i="73"/>
  <c r="W223" i="70"/>
  <c r="V125" i="72"/>
  <c r="V144" i="72"/>
  <c r="V82" i="73"/>
  <c r="V83" i="73" s="1"/>
  <c r="O6" i="73" s="1"/>
  <c r="R6" i="73" s="1"/>
  <c r="V142" i="73"/>
  <c r="V206" i="73"/>
  <c r="W67" i="72"/>
  <c r="V82" i="72"/>
  <c r="W187" i="73"/>
  <c r="W194" i="73"/>
  <c r="V205" i="73"/>
  <c r="V129" i="72"/>
  <c r="W195" i="72"/>
  <c r="Q18" i="78"/>
  <c r="Q14" i="76"/>
  <c r="P18" i="76"/>
  <c r="Q4" i="76"/>
  <c r="O18" i="76"/>
  <c r="R18" i="76" s="1"/>
  <c r="P20" i="76" s="1"/>
  <c r="R4" i="76"/>
  <c r="R12" i="76"/>
  <c r="Q12" i="76"/>
  <c r="Q8" i="76"/>
  <c r="R8" i="76"/>
  <c r="R16" i="76"/>
  <c r="P18" i="75"/>
  <c r="Q8" i="75"/>
  <c r="R8" i="75"/>
  <c r="Q4" i="75"/>
  <c r="O18" i="75"/>
  <c r="R18" i="75" s="1"/>
  <c r="P20" i="75" s="1"/>
  <c r="R4" i="75"/>
  <c r="Q16" i="75"/>
  <c r="R16" i="75"/>
  <c r="Q12" i="75"/>
  <c r="R12" i="75"/>
  <c r="W77" i="73"/>
  <c r="W73" i="73"/>
  <c r="J83" i="73"/>
  <c r="W69" i="73"/>
  <c r="V190" i="73"/>
  <c r="W61" i="73"/>
  <c r="W186" i="73"/>
  <c r="W195" i="73"/>
  <c r="V198" i="73"/>
  <c r="W202" i="73"/>
  <c r="W199" i="73"/>
  <c r="W191" i="73"/>
  <c r="W184" i="73"/>
  <c r="W185" i="73"/>
  <c r="V188" i="73"/>
  <c r="W189" i="73"/>
  <c r="V192" i="73"/>
  <c r="W193" i="73"/>
  <c r="V196" i="73"/>
  <c r="W197" i="73"/>
  <c r="V200" i="73"/>
  <c r="W201" i="73"/>
  <c r="V204" i="73"/>
  <c r="J207" i="73"/>
  <c r="W203" i="73"/>
  <c r="W141" i="73"/>
  <c r="W126" i="73"/>
  <c r="W130" i="73"/>
  <c r="W134" i="73"/>
  <c r="W138" i="73"/>
  <c r="V122" i="73"/>
  <c r="V123" i="73"/>
  <c r="V127" i="73"/>
  <c r="V131" i="73"/>
  <c r="V135" i="73"/>
  <c r="V139" i="73"/>
  <c r="W140" i="73"/>
  <c r="W122" i="73"/>
  <c r="V7" i="73"/>
  <c r="W7" i="73"/>
  <c r="W10" i="73"/>
  <c r="V10" i="73"/>
  <c r="W13" i="73"/>
  <c r="V13" i="73"/>
  <c r="N18" i="73"/>
  <c r="W17" i="73"/>
  <c r="V17" i="73"/>
  <c r="V43" i="73"/>
  <c r="W43" i="73"/>
  <c r="V46" i="73"/>
  <c r="W46" i="73"/>
  <c r="J52" i="73"/>
  <c r="W12" i="73"/>
  <c r="V12" i="73"/>
  <c r="V27" i="73"/>
  <c r="W27" i="73"/>
  <c r="V23" i="73"/>
  <c r="W23" i="73"/>
  <c r="W31" i="73"/>
  <c r="V31" i="73"/>
  <c r="V39" i="73"/>
  <c r="W39" i="73"/>
  <c r="W114" i="73"/>
  <c r="P8" i="73" s="1"/>
  <c r="W9" i="73"/>
  <c r="V9" i="73"/>
  <c r="V20" i="73"/>
  <c r="W20" i="73"/>
  <c r="W176" i="73"/>
  <c r="P12" i="73" s="1"/>
  <c r="V35" i="73"/>
  <c r="W35" i="73"/>
  <c r="W47" i="73"/>
  <c r="V47" i="73"/>
  <c r="W238" i="73"/>
  <c r="P16" i="73" s="1"/>
  <c r="V91" i="73"/>
  <c r="V92" i="73"/>
  <c r="V93" i="73"/>
  <c r="V94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V171" i="73"/>
  <c r="V172" i="73"/>
  <c r="V173" i="73"/>
  <c r="V174" i="73"/>
  <c r="V175" i="73"/>
  <c r="V215" i="73"/>
  <c r="V216" i="73"/>
  <c r="V217" i="73"/>
  <c r="V218" i="73"/>
  <c r="V219" i="73"/>
  <c r="V220" i="73"/>
  <c r="V221" i="73"/>
  <c r="V222" i="73"/>
  <c r="V223" i="73"/>
  <c r="V224" i="73"/>
  <c r="V225" i="73"/>
  <c r="V226" i="73"/>
  <c r="V227" i="73"/>
  <c r="V228" i="73"/>
  <c r="V229" i="73"/>
  <c r="V230" i="73"/>
  <c r="V231" i="73"/>
  <c r="V232" i="73"/>
  <c r="V233" i="73"/>
  <c r="V234" i="73"/>
  <c r="V235" i="73"/>
  <c r="V236" i="73"/>
  <c r="V237" i="73"/>
  <c r="W6" i="73"/>
  <c r="V6" i="73"/>
  <c r="W8" i="73"/>
  <c r="W11" i="73"/>
  <c r="V14" i="73"/>
  <c r="W16" i="73"/>
  <c r="W19" i="73"/>
  <c r="W22" i="73"/>
  <c r="W26" i="73"/>
  <c r="W30" i="73"/>
  <c r="W34" i="73"/>
  <c r="W38" i="73"/>
  <c r="W42" i="73"/>
  <c r="W21" i="73"/>
  <c r="W41" i="73"/>
  <c r="W49" i="73"/>
  <c r="J114" i="73"/>
  <c r="J176" i="73"/>
  <c r="J238" i="73"/>
  <c r="V204" i="72"/>
  <c r="V141" i="72"/>
  <c r="W49" i="72"/>
  <c r="W48" i="72"/>
  <c r="W203" i="72"/>
  <c r="W47" i="72"/>
  <c r="W46" i="72"/>
  <c r="W79" i="72"/>
  <c r="W199" i="72"/>
  <c r="W198" i="72"/>
  <c r="W135" i="72"/>
  <c r="W134" i="72"/>
  <c r="V34" i="72"/>
  <c r="V74" i="72"/>
  <c r="V133" i="72"/>
  <c r="V30" i="72"/>
  <c r="W71" i="72"/>
  <c r="V131" i="72"/>
  <c r="W130" i="72"/>
  <c r="V70" i="72"/>
  <c r="W26" i="72"/>
  <c r="W191" i="72"/>
  <c r="W22" i="72"/>
  <c r="V190" i="72"/>
  <c r="W66" i="72"/>
  <c r="V19" i="72"/>
  <c r="J207" i="72"/>
  <c r="W126" i="72"/>
  <c r="V65" i="72"/>
  <c r="W63" i="72"/>
  <c r="V186" i="72"/>
  <c r="V62" i="72"/>
  <c r="J83" i="72"/>
  <c r="W123" i="72"/>
  <c r="V184" i="72"/>
  <c r="W122" i="72"/>
  <c r="V60" i="72"/>
  <c r="V189" i="72"/>
  <c r="V193" i="72"/>
  <c r="V197" i="72"/>
  <c r="V201" i="72"/>
  <c r="W188" i="72"/>
  <c r="W192" i="72"/>
  <c r="W196" i="72"/>
  <c r="W200" i="72"/>
  <c r="W184" i="72"/>
  <c r="W124" i="72"/>
  <c r="W128" i="72"/>
  <c r="W132" i="72"/>
  <c r="W136" i="72"/>
  <c r="W140" i="72"/>
  <c r="J145" i="72"/>
  <c r="V61" i="72"/>
  <c r="V73" i="72"/>
  <c r="V77" i="72"/>
  <c r="N18" i="72"/>
  <c r="W64" i="72"/>
  <c r="W68" i="72"/>
  <c r="W72" i="72"/>
  <c r="W76" i="72"/>
  <c r="W80" i="72"/>
  <c r="W60" i="72"/>
  <c r="W11" i="72"/>
  <c r="V11" i="72"/>
  <c r="V6" i="72"/>
  <c r="V21" i="72"/>
  <c r="W21" i="72"/>
  <c r="V32" i="72"/>
  <c r="W32" i="72"/>
  <c r="V37" i="72"/>
  <c r="W37" i="72"/>
  <c r="V7" i="72"/>
  <c r="W7" i="72"/>
  <c r="V25" i="72"/>
  <c r="W25" i="72"/>
  <c r="V36" i="72"/>
  <c r="W36" i="72"/>
  <c r="V41" i="72"/>
  <c r="W41" i="72"/>
  <c r="W176" i="72"/>
  <c r="P12" i="72" s="1"/>
  <c r="V16" i="72"/>
  <c r="W16" i="72"/>
  <c r="V18" i="72"/>
  <c r="W18" i="72"/>
  <c r="V24" i="72"/>
  <c r="W24" i="72"/>
  <c r="V29" i="72"/>
  <c r="W29" i="72"/>
  <c r="V40" i="72"/>
  <c r="W40" i="72"/>
  <c r="V45" i="72"/>
  <c r="W45" i="72"/>
  <c r="V8" i="72"/>
  <c r="W8" i="72"/>
  <c r="V10" i="72"/>
  <c r="W10" i="72"/>
  <c r="V13" i="72"/>
  <c r="W13" i="72"/>
  <c r="V15" i="72"/>
  <c r="W15" i="72"/>
  <c r="V28" i="72"/>
  <c r="W28" i="72"/>
  <c r="V33" i="72"/>
  <c r="W33" i="72"/>
  <c r="V44" i="72"/>
  <c r="W44" i="72"/>
  <c r="W114" i="72"/>
  <c r="P8" i="72" s="1"/>
  <c r="W238" i="72"/>
  <c r="P16" i="72" s="1"/>
  <c r="V9" i="72"/>
  <c r="V14" i="72"/>
  <c r="V17" i="72"/>
  <c r="V23" i="72"/>
  <c r="V27" i="72"/>
  <c r="V31" i="72"/>
  <c r="V35" i="72"/>
  <c r="V39" i="72"/>
  <c r="V43" i="72"/>
  <c r="V91" i="72"/>
  <c r="V92" i="72"/>
  <c r="V93" i="72"/>
  <c r="V94" i="72"/>
  <c r="V95" i="72"/>
  <c r="V96" i="72"/>
  <c r="V97" i="72"/>
  <c r="V98" i="72"/>
  <c r="V99" i="72"/>
  <c r="V100" i="72"/>
  <c r="V101" i="72"/>
  <c r="V102" i="72"/>
  <c r="V103" i="72"/>
  <c r="V104" i="72"/>
  <c r="V105" i="72"/>
  <c r="V106" i="72"/>
  <c r="V107" i="72"/>
  <c r="V108" i="72"/>
  <c r="V109" i="72"/>
  <c r="V110" i="72"/>
  <c r="V111" i="72"/>
  <c r="V112" i="72"/>
  <c r="V113" i="72"/>
  <c r="V153" i="72"/>
  <c r="V154" i="72"/>
  <c r="V155" i="72"/>
  <c r="V156" i="72"/>
  <c r="V157" i="72"/>
  <c r="V158" i="72"/>
  <c r="V159" i="72"/>
  <c r="V160" i="72"/>
  <c r="V161" i="72"/>
  <c r="V162" i="72"/>
  <c r="V163" i="72"/>
  <c r="V164" i="72"/>
  <c r="V165" i="72"/>
  <c r="V166" i="72"/>
  <c r="V167" i="72"/>
  <c r="V168" i="72"/>
  <c r="V169" i="72"/>
  <c r="V170" i="72"/>
  <c r="V171" i="72"/>
  <c r="V172" i="72"/>
  <c r="V173" i="72"/>
  <c r="V174" i="72"/>
  <c r="V175" i="72"/>
  <c r="V215" i="72"/>
  <c r="V216" i="72"/>
  <c r="V217" i="72"/>
  <c r="V218" i="72"/>
  <c r="V219" i="72"/>
  <c r="V220" i="72"/>
  <c r="V221" i="72"/>
  <c r="V222" i="72"/>
  <c r="V223" i="72"/>
  <c r="V224" i="72"/>
  <c r="V225" i="72"/>
  <c r="V226" i="72"/>
  <c r="V227" i="72"/>
  <c r="V228" i="72"/>
  <c r="V229" i="72"/>
  <c r="V230" i="72"/>
  <c r="V231" i="72"/>
  <c r="V232" i="72"/>
  <c r="V233" i="72"/>
  <c r="V234" i="72"/>
  <c r="V235" i="72"/>
  <c r="V236" i="72"/>
  <c r="V237" i="72"/>
  <c r="W12" i="72"/>
  <c r="W20" i="72"/>
  <c r="J52" i="72"/>
  <c r="J114" i="72"/>
  <c r="J176" i="72"/>
  <c r="J238" i="72"/>
  <c r="V172" i="70"/>
  <c r="W110" i="70"/>
  <c r="W44" i="70"/>
  <c r="V109" i="70"/>
  <c r="W231" i="70"/>
  <c r="W106" i="70"/>
  <c r="W36" i="70"/>
  <c r="W228" i="70"/>
  <c r="W105" i="70"/>
  <c r="W32" i="70"/>
  <c r="W227" i="70"/>
  <c r="V28" i="70"/>
  <c r="W101" i="70"/>
  <c r="W224" i="70"/>
  <c r="W160" i="70"/>
  <c r="V98" i="70"/>
  <c r="V21" i="70"/>
  <c r="W97" i="70"/>
  <c r="W157" i="70"/>
  <c r="W220" i="70"/>
  <c r="V218" i="70"/>
  <c r="V156" i="70"/>
  <c r="W216" i="70"/>
  <c r="W215" i="70"/>
  <c r="J114" i="70"/>
  <c r="V92" i="70"/>
  <c r="V91" i="70"/>
  <c r="V222" i="70"/>
  <c r="V230" i="70"/>
  <c r="V234" i="70"/>
  <c r="J238" i="70"/>
  <c r="W217" i="70"/>
  <c r="W221" i="70"/>
  <c r="W225" i="70"/>
  <c r="W229" i="70"/>
  <c r="W233" i="70"/>
  <c r="V207" i="70"/>
  <c r="O14" i="70" s="1"/>
  <c r="R14" i="70" s="1"/>
  <c r="J207" i="70"/>
  <c r="W168" i="70"/>
  <c r="W165" i="70"/>
  <c r="V155" i="70"/>
  <c r="V159" i="70"/>
  <c r="V163" i="70"/>
  <c r="V167" i="70"/>
  <c r="V171" i="70"/>
  <c r="W153" i="70"/>
  <c r="W154" i="70"/>
  <c r="W158" i="70"/>
  <c r="W162" i="70"/>
  <c r="W166" i="70"/>
  <c r="W170" i="70"/>
  <c r="W174" i="70"/>
  <c r="J176" i="70"/>
  <c r="J145" i="70"/>
  <c r="V96" i="70"/>
  <c r="V100" i="70"/>
  <c r="V104" i="70"/>
  <c r="V108" i="70"/>
  <c r="V112" i="70"/>
  <c r="W95" i="70"/>
  <c r="W99" i="70"/>
  <c r="W103" i="70"/>
  <c r="W107" i="70"/>
  <c r="W111" i="70"/>
  <c r="W91" i="70"/>
  <c r="J83" i="70"/>
  <c r="W13" i="70"/>
  <c r="V13" i="70"/>
  <c r="V7" i="70"/>
  <c r="W7" i="70"/>
  <c r="V15" i="70"/>
  <c r="W15" i="70"/>
  <c r="N18" i="70"/>
  <c r="V10" i="70"/>
  <c r="W12" i="70"/>
  <c r="V12" i="70"/>
  <c r="W20" i="70"/>
  <c r="V20" i="70"/>
  <c r="W27" i="70"/>
  <c r="V27" i="70"/>
  <c r="W31" i="70"/>
  <c r="V31" i="70"/>
  <c r="W35" i="70"/>
  <c r="V35" i="70"/>
  <c r="V39" i="70"/>
  <c r="W39" i="70"/>
  <c r="V43" i="70"/>
  <c r="W43" i="70"/>
  <c r="V47" i="70"/>
  <c r="W47" i="70"/>
  <c r="V145" i="70"/>
  <c r="O10" i="70" s="1"/>
  <c r="R10" i="70" s="1"/>
  <c r="V30" i="70"/>
  <c r="W30" i="70"/>
  <c r="V34" i="70"/>
  <c r="W34" i="70"/>
  <c r="V38" i="70"/>
  <c r="W38" i="70"/>
  <c r="V42" i="70"/>
  <c r="W42" i="70"/>
  <c r="V46" i="70"/>
  <c r="W46" i="70"/>
  <c r="J52" i="70"/>
  <c r="V83" i="70"/>
  <c r="O6" i="70" s="1"/>
  <c r="W9" i="70"/>
  <c r="V9" i="70"/>
  <c r="V17" i="70"/>
  <c r="W17" i="70"/>
  <c r="W23" i="70"/>
  <c r="V23" i="70"/>
  <c r="V6" i="70"/>
  <c r="W8" i="70"/>
  <c r="W11" i="70"/>
  <c r="V14" i="70"/>
  <c r="W16" i="70"/>
  <c r="W19" i="70"/>
  <c r="W22" i="70"/>
  <c r="W26" i="70"/>
  <c r="W6" i="70"/>
  <c r="W29" i="70"/>
  <c r="W33" i="70"/>
  <c r="W37" i="70"/>
  <c r="W41" i="70"/>
  <c r="W45" i="70"/>
  <c r="W49" i="70"/>
  <c r="W60" i="70"/>
  <c r="W61" i="70"/>
  <c r="W62" i="70"/>
  <c r="W63" i="70"/>
  <c r="W64" i="70"/>
  <c r="W65" i="70"/>
  <c r="W66" i="70"/>
  <c r="W67" i="70"/>
  <c r="W68" i="70"/>
  <c r="W69" i="70"/>
  <c r="W70" i="70"/>
  <c r="W71" i="70"/>
  <c r="W72" i="70"/>
  <c r="W73" i="70"/>
  <c r="W74" i="70"/>
  <c r="W75" i="70"/>
  <c r="W76" i="70"/>
  <c r="W77" i="70"/>
  <c r="W78" i="70"/>
  <c r="W79" i="70"/>
  <c r="W80" i="70"/>
  <c r="W81" i="70"/>
  <c r="W82" i="70"/>
  <c r="W122" i="70"/>
  <c r="W123" i="70"/>
  <c r="W124" i="70"/>
  <c r="W125" i="70"/>
  <c r="W126" i="70"/>
  <c r="W127" i="70"/>
  <c r="W128" i="70"/>
  <c r="W129" i="70"/>
  <c r="W130" i="70"/>
  <c r="W131" i="70"/>
  <c r="W132" i="70"/>
  <c r="W133" i="70"/>
  <c r="W134" i="70"/>
  <c r="W135" i="70"/>
  <c r="W136" i="70"/>
  <c r="W137" i="70"/>
  <c r="W138" i="70"/>
  <c r="W139" i="70"/>
  <c r="W140" i="70"/>
  <c r="W141" i="70"/>
  <c r="W142" i="70"/>
  <c r="W143" i="70"/>
  <c r="W144" i="70"/>
  <c r="W184" i="70"/>
  <c r="W185" i="70"/>
  <c r="W186" i="70"/>
  <c r="W187" i="70"/>
  <c r="W188" i="70"/>
  <c r="W189" i="70"/>
  <c r="W190" i="70"/>
  <c r="W191" i="70"/>
  <c r="W192" i="70"/>
  <c r="W193" i="70"/>
  <c r="W194" i="70"/>
  <c r="W195" i="70"/>
  <c r="W196" i="70"/>
  <c r="W197" i="70"/>
  <c r="W198" i="70"/>
  <c r="W199" i="70"/>
  <c r="W200" i="70"/>
  <c r="W201" i="70"/>
  <c r="W202" i="70"/>
  <c r="W203" i="70"/>
  <c r="W204" i="70"/>
  <c r="W205" i="70"/>
  <c r="W206" i="70"/>
  <c r="W205" i="69"/>
  <c r="V174" i="69"/>
  <c r="W143" i="69"/>
  <c r="V112" i="69"/>
  <c r="V80" i="69"/>
  <c r="V235" i="69"/>
  <c r="W204" i="69"/>
  <c r="V173" i="69"/>
  <c r="W142" i="69"/>
  <c r="W111" i="69"/>
  <c r="W234" i="69"/>
  <c r="V203" i="69"/>
  <c r="W110" i="69"/>
  <c r="V79" i="69"/>
  <c r="W171" i="69"/>
  <c r="V170" i="69"/>
  <c r="W139" i="69"/>
  <c r="W200" i="69"/>
  <c r="V169" i="69"/>
  <c r="V138" i="69"/>
  <c r="W107" i="69"/>
  <c r="W76" i="69"/>
  <c r="W230" i="69"/>
  <c r="W199" i="69"/>
  <c r="V106" i="69"/>
  <c r="V75" i="69"/>
  <c r="W167" i="69"/>
  <c r="W136" i="69"/>
  <c r="V74" i="69"/>
  <c r="W166" i="69"/>
  <c r="V135" i="69"/>
  <c r="W227" i="69"/>
  <c r="W196" i="69"/>
  <c r="V165" i="69"/>
  <c r="V134" i="69"/>
  <c r="W103" i="69"/>
  <c r="W72" i="69"/>
  <c r="W226" i="69"/>
  <c r="V195" i="69"/>
  <c r="W102" i="69"/>
  <c r="W71" i="69"/>
  <c r="V231" i="69"/>
  <c r="W163" i="69"/>
  <c r="W132" i="69"/>
  <c r="W131" i="69"/>
  <c r="V70" i="69"/>
  <c r="V223" i="69"/>
  <c r="W192" i="69"/>
  <c r="V161" i="69"/>
  <c r="W99" i="69"/>
  <c r="V68" i="69"/>
  <c r="W191" i="69"/>
  <c r="W98" i="69"/>
  <c r="W222" i="69"/>
  <c r="W159" i="69"/>
  <c r="W128" i="69"/>
  <c r="V66" i="69"/>
  <c r="W158" i="69"/>
  <c r="V127" i="69"/>
  <c r="V219" i="69"/>
  <c r="W188" i="69"/>
  <c r="V157" i="69"/>
  <c r="W95" i="69"/>
  <c r="W64" i="69"/>
  <c r="W218" i="69"/>
  <c r="V187" i="69"/>
  <c r="V94" i="69"/>
  <c r="W63" i="69"/>
  <c r="V217" i="69"/>
  <c r="W155" i="69"/>
  <c r="W124" i="69"/>
  <c r="V62" i="69"/>
  <c r="V216" i="69"/>
  <c r="W154" i="69"/>
  <c r="J145" i="69"/>
  <c r="W123" i="69"/>
  <c r="V61" i="69"/>
  <c r="V9" i="69"/>
  <c r="W9" i="69"/>
  <c r="V215" i="69"/>
  <c r="W153" i="69"/>
  <c r="V122" i="69"/>
  <c r="W122" i="69"/>
  <c r="V60" i="69"/>
  <c r="V221" i="69"/>
  <c r="V225" i="69"/>
  <c r="V229" i="69"/>
  <c r="V233" i="69"/>
  <c r="W220" i="69"/>
  <c r="W224" i="69"/>
  <c r="W228" i="69"/>
  <c r="W232" i="69"/>
  <c r="J238" i="69"/>
  <c r="V185" i="69"/>
  <c r="V186" i="69"/>
  <c r="V190" i="69"/>
  <c r="V194" i="69"/>
  <c r="V198" i="69"/>
  <c r="V202" i="69"/>
  <c r="W189" i="69"/>
  <c r="W193" i="69"/>
  <c r="W197" i="69"/>
  <c r="W201" i="69"/>
  <c r="J207" i="69"/>
  <c r="J176" i="69"/>
  <c r="W156" i="69"/>
  <c r="W160" i="69"/>
  <c r="W164" i="69"/>
  <c r="W168" i="69"/>
  <c r="W172" i="69"/>
  <c r="V126" i="69"/>
  <c r="V130" i="69"/>
  <c r="W140" i="69"/>
  <c r="W125" i="69"/>
  <c r="W129" i="69"/>
  <c r="W133" i="69"/>
  <c r="W137" i="69"/>
  <c r="W141" i="69"/>
  <c r="V91" i="69"/>
  <c r="V92" i="69"/>
  <c r="V93" i="69"/>
  <c r="V97" i="69"/>
  <c r="V101" i="69"/>
  <c r="V105" i="69"/>
  <c r="V109" i="69"/>
  <c r="W96" i="69"/>
  <c r="W100" i="69"/>
  <c r="W104" i="69"/>
  <c r="W108" i="69"/>
  <c r="J114" i="69"/>
  <c r="N18" i="69"/>
  <c r="V78" i="69"/>
  <c r="W65" i="69"/>
  <c r="W69" i="69"/>
  <c r="W73" i="69"/>
  <c r="W77" i="69"/>
  <c r="J83" i="69"/>
  <c r="W19" i="69"/>
  <c r="V19" i="69"/>
  <c r="W38" i="69"/>
  <c r="V38" i="69"/>
  <c r="W45" i="69"/>
  <c r="V45" i="69"/>
  <c r="W44" i="69"/>
  <c r="V44" i="69"/>
  <c r="J52" i="69"/>
  <c r="V7" i="69"/>
  <c r="V21" i="69"/>
  <c r="W21" i="69"/>
  <c r="V37" i="69"/>
  <c r="W37" i="69"/>
  <c r="V40" i="69"/>
  <c r="W40" i="69"/>
  <c r="V33" i="69"/>
  <c r="W33" i="69"/>
  <c r="V36" i="69"/>
  <c r="W36" i="69"/>
  <c r="V11" i="69"/>
  <c r="W11" i="69"/>
  <c r="W22" i="69"/>
  <c r="V22" i="69"/>
  <c r="V41" i="69"/>
  <c r="W41" i="69"/>
  <c r="W34" i="69"/>
  <c r="V34" i="69"/>
  <c r="V12" i="69"/>
  <c r="W12" i="69"/>
  <c r="V32" i="69"/>
  <c r="W32" i="69"/>
  <c r="W42" i="69"/>
  <c r="V42" i="69"/>
  <c r="W46" i="69"/>
  <c r="V46" i="69"/>
  <c r="V28" i="69"/>
  <c r="V29" i="69"/>
  <c r="V30" i="69"/>
  <c r="W6" i="69"/>
  <c r="W18" i="69"/>
  <c r="V13" i="69"/>
  <c r="W7" i="69"/>
  <c r="V10" i="69"/>
  <c r="V14" i="69"/>
  <c r="V17" i="69"/>
  <c r="V23" i="69"/>
  <c r="V27" i="69"/>
  <c r="V31" i="69"/>
  <c r="V35" i="69"/>
  <c r="V39" i="69"/>
  <c r="V43" i="69"/>
  <c r="V47" i="69"/>
  <c r="W8" i="69"/>
  <c r="W20" i="69"/>
  <c r="I16" i="68"/>
  <c r="J16" i="68" s="1"/>
  <c r="I17" i="68"/>
  <c r="J17" i="68" s="1"/>
  <c r="I14" i="68"/>
  <c r="J14" i="68" s="1"/>
  <c r="I15" i="68"/>
  <c r="J15" i="68" s="1"/>
  <c r="J109" i="66"/>
  <c r="Q18" i="76" l="1"/>
  <c r="Q18" i="75"/>
  <c r="W83" i="73"/>
  <c r="P6" i="73" s="1"/>
  <c r="Q6" i="73" s="1"/>
  <c r="W145" i="73"/>
  <c r="P10" i="73" s="1"/>
  <c r="V52" i="73"/>
  <c r="O4" i="73" s="1"/>
  <c r="R4" i="73" s="1"/>
  <c r="V207" i="73"/>
  <c r="O14" i="73" s="1"/>
  <c r="W207" i="73"/>
  <c r="P14" i="73" s="1"/>
  <c r="V145" i="73"/>
  <c r="O10" i="73" s="1"/>
  <c r="W52" i="73"/>
  <c r="P4" i="73" s="1"/>
  <c r="V238" i="73"/>
  <c r="O16" i="73" s="1"/>
  <c r="V176" i="73"/>
  <c r="O12" i="73" s="1"/>
  <c r="V114" i="73"/>
  <c r="O8" i="73" s="1"/>
  <c r="V145" i="72"/>
  <c r="O10" i="72" s="1"/>
  <c r="R10" i="72" s="1"/>
  <c r="W52" i="72"/>
  <c r="P4" i="72" s="1"/>
  <c r="V83" i="72"/>
  <c r="O6" i="72" s="1"/>
  <c r="R6" i="72" s="1"/>
  <c r="V207" i="72"/>
  <c r="O14" i="72" s="1"/>
  <c r="R14" i="72" s="1"/>
  <c r="W145" i="72"/>
  <c r="P10" i="72" s="1"/>
  <c r="V52" i="72"/>
  <c r="O4" i="72" s="1"/>
  <c r="R4" i="72" s="1"/>
  <c r="W207" i="72"/>
  <c r="P14" i="72" s="1"/>
  <c r="W83" i="72"/>
  <c r="P6" i="72" s="1"/>
  <c r="V238" i="72"/>
  <c r="O16" i="72" s="1"/>
  <c r="V176" i="72"/>
  <c r="O12" i="72" s="1"/>
  <c r="V114" i="72"/>
  <c r="O8" i="72" s="1"/>
  <c r="V238" i="70"/>
  <c r="O16" i="70" s="1"/>
  <c r="R16" i="70" s="1"/>
  <c r="W238" i="70"/>
  <c r="P16" i="70" s="1"/>
  <c r="V114" i="70"/>
  <c r="O8" i="70" s="1"/>
  <c r="V52" i="70"/>
  <c r="O4" i="70" s="1"/>
  <c r="V176" i="70"/>
  <c r="O12" i="70" s="1"/>
  <c r="Q12" i="70" s="1"/>
  <c r="W176" i="70"/>
  <c r="P12" i="70" s="1"/>
  <c r="W114" i="70"/>
  <c r="P8" i="70" s="1"/>
  <c r="W207" i="70"/>
  <c r="P14" i="70" s="1"/>
  <c r="Q14" i="70" s="1"/>
  <c r="W145" i="70"/>
  <c r="P10" i="70" s="1"/>
  <c r="Q10" i="70" s="1"/>
  <c r="R6" i="70"/>
  <c r="W83" i="70"/>
  <c r="P6" i="70" s="1"/>
  <c r="Q6" i="70" s="1"/>
  <c r="W52" i="70"/>
  <c r="P4" i="70" s="1"/>
  <c r="W114" i="69"/>
  <c r="P8" i="69" s="1"/>
  <c r="V176" i="69"/>
  <c r="O12" i="69" s="1"/>
  <c r="R12" i="69" s="1"/>
  <c r="W238" i="69"/>
  <c r="P16" i="69" s="1"/>
  <c r="W207" i="69"/>
  <c r="P14" i="69" s="1"/>
  <c r="V145" i="69"/>
  <c r="O10" i="69" s="1"/>
  <c r="R10" i="69" s="1"/>
  <c r="W83" i="69"/>
  <c r="P6" i="69" s="1"/>
  <c r="V207" i="69"/>
  <c r="O14" i="69" s="1"/>
  <c r="R14" i="69" s="1"/>
  <c r="V83" i="69"/>
  <c r="O6" i="69" s="1"/>
  <c r="R6" i="69" s="1"/>
  <c r="V238" i="69"/>
  <c r="O16" i="69" s="1"/>
  <c r="R16" i="69" s="1"/>
  <c r="W176" i="69"/>
  <c r="P12" i="69" s="1"/>
  <c r="Q12" i="69" s="1"/>
  <c r="W145" i="69"/>
  <c r="P10" i="69" s="1"/>
  <c r="V52" i="69"/>
  <c r="O4" i="69" s="1"/>
  <c r="W52" i="69"/>
  <c r="P4" i="69" s="1"/>
  <c r="V114" i="69"/>
  <c r="O8" i="69" s="1"/>
  <c r="I13" i="68"/>
  <c r="J13" i="68" s="1"/>
  <c r="I12" i="68"/>
  <c r="J12" i="68" s="1"/>
  <c r="I11" i="68"/>
  <c r="J11" i="68" s="1"/>
  <c r="I10" i="68"/>
  <c r="J10" i="68" s="1"/>
  <c r="V10" i="68" s="1"/>
  <c r="I8" i="68"/>
  <c r="J8" i="68" s="1"/>
  <c r="V8" i="68" s="1"/>
  <c r="I9" i="68"/>
  <c r="J9" i="68" s="1"/>
  <c r="B7" i="68"/>
  <c r="B8" i="68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W14" i="68"/>
  <c r="W17" i="68"/>
  <c r="W19" i="68"/>
  <c r="V20" i="68"/>
  <c r="W23" i="68"/>
  <c r="W27" i="68"/>
  <c r="W31" i="68"/>
  <c r="W35" i="68"/>
  <c r="W39" i="68"/>
  <c r="W43" i="68"/>
  <c r="W47" i="68"/>
  <c r="J237" i="68"/>
  <c r="W237" i="68" s="1"/>
  <c r="J236" i="68"/>
  <c r="W236" i="68" s="1"/>
  <c r="J235" i="68"/>
  <c r="W235" i="68" s="1"/>
  <c r="J234" i="68"/>
  <c r="W234" i="68" s="1"/>
  <c r="J233" i="68"/>
  <c r="W233" i="68" s="1"/>
  <c r="J232" i="68"/>
  <c r="W232" i="68" s="1"/>
  <c r="J231" i="68"/>
  <c r="W231" i="68" s="1"/>
  <c r="J230" i="68"/>
  <c r="W230" i="68" s="1"/>
  <c r="J229" i="68"/>
  <c r="W229" i="68" s="1"/>
  <c r="J228" i="68"/>
  <c r="W228" i="68" s="1"/>
  <c r="J227" i="68"/>
  <c r="W227" i="68" s="1"/>
  <c r="J226" i="68"/>
  <c r="W226" i="68" s="1"/>
  <c r="J225" i="68"/>
  <c r="W225" i="68" s="1"/>
  <c r="J224" i="68"/>
  <c r="W224" i="68" s="1"/>
  <c r="J223" i="68"/>
  <c r="W223" i="68" s="1"/>
  <c r="J222" i="68"/>
  <c r="W222" i="68" s="1"/>
  <c r="J221" i="68"/>
  <c r="W221" i="68" s="1"/>
  <c r="J220" i="68"/>
  <c r="W220" i="68" s="1"/>
  <c r="J219" i="68"/>
  <c r="W219" i="68" s="1"/>
  <c r="J218" i="68"/>
  <c r="W218" i="68" s="1"/>
  <c r="J217" i="68"/>
  <c r="W217" i="68" s="1"/>
  <c r="J216" i="68"/>
  <c r="W216" i="68" s="1"/>
  <c r="B216" i="68"/>
  <c r="B217" i="68" s="1"/>
  <c r="B218" i="68" s="1"/>
  <c r="B219" i="68" s="1"/>
  <c r="B220" i="68" s="1"/>
  <c r="B221" i="68" s="1"/>
  <c r="B222" i="68" s="1"/>
  <c r="B223" i="68" s="1"/>
  <c r="B224" i="68" s="1"/>
  <c r="B225" i="68" s="1"/>
  <c r="B226" i="68" s="1"/>
  <c r="B227" i="68" s="1"/>
  <c r="B228" i="68" s="1"/>
  <c r="B229" i="68" s="1"/>
  <c r="B230" i="68" s="1"/>
  <c r="B231" i="68" s="1"/>
  <c r="B232" i="68" s="1"/>
  <c r="B233" i="68" s="1"/>
  <c r="B234" i="68" s="1"/>
  <c r="B235" i="68" s="1"/>
  <c r="B236" i="68" s="1"/>
  <c r="B237" i="68" s="1"/>
  <c r="J215" i="68"/>
  <c r="W215" i="68" s="1"/>
  <c r="W206" i="68"/>
  <c r="J206" i="68"/>
  <c r="V206" i="68" s="1"/>
  <c r="J205" i="68"/>
  <c r="W205" i="68" s="1"/>
  <c r="J204" i="68"/>
  <c r="W204" i="68" s="1"/>
  <c r="J203" i="68"/>
  <c r="V203" i="68" s="1"/>
  <c r="J202" i="68"/>
  <c r="W202" i="68" s="1"/>
  <c r="W201" i="68"/>
  <c r="J201" i="68"/>
  <c r="V201" i="68" s="1"/>
  <c r="J200" i="68"/>
  <c r="V200" i="68" s="1"/>
  <c r="J199" i="68"/>
  <c r="V199" i="68" s="1"/>
  <c r="J198" i="68"/>
  <c r="W198" i="68" s="1"/>
  <c r="J197" i="68"/>
  <c r="V197" i="68" s="1"/>
  <c r="J196" i="68"/>
  <c r="W196" i="68" s="1"/>
  <c r="J195" i="68"/>
  <c r="W195" i="68" s="1"/>
  <c r="J194" i="68"/>
  <c r="W194" i="68" s="1"/>
  <c r="J193" i="68"/>
  <c r="V193" i="68" s="1"/>
  <c r="J192" i="68"/>
  <c r="W192" i="68" s="1"/>
  <c r="J191" i="68"/>
  <c r="W191" i="68" s="1"/>
  <c r="J190" i="68"/>
  <c r="W190" i="68" s="1"/>
  <c r="J189" i="68"/>
  <c r="V189" i="68" s="1"/>
  <c r="J188" i="68"/>
  <c r="W188" i="68" s="1"/>
  <c r="J187" i="68"/>
  <c r="W187" i="68" s="1"/>
  <c r="J186" i="68"/>
  <c r="W186" i="68" s="1"/>
  <c r="J185" i="68"/>
  <c r="V185" i="68" s="1"/>
  <c r="B185" i="68"/>
  <c r="B186" i="68" s="1"/>
  <c r="B187" i="68" s="1"/>
  <c r="B188" i="68" s="1"/>
  <c r="B189" i="68" s="1"/>
  <c r="B190" i="68" s="1"/>
  <c r="B191" i="68" s="1"/>
  <c r="B192" i="68" s="1"/>
  <c r="B193" i="68" s="1"/>
  <c r="B194" i="68" s="1"/>
  <c r="B195" i="68" s="1"/>
  <c r="B196" i="68" s="1"/>
  <c r="B197" i="68" s="1"/>
  <c r="B198" i="68" s="1"/>
  <c r="B199" i="68" s="1"/>
  <c r="B200" i="68" s="1"/>
  <c r="B201" i="68" s="1"/>
  <c r="B202" i="68" s="1"/>
  <c r="B203" i="68" s="1"/>
  <c r="B204" i="68" s="1"/>
  <c r="B205" i="68" s="1"/>
  <c r="B206" i="68" s="1"/>
  <c r="J184" i="68"/>
  <c r="W184" i="68" s="1"/>
  <c r="J175" i="68"/>
  <c r="W175" i="68" s="1"/>
  <c r="J174" i="68"/>
  <c r="W174" i="68" s="1"/>
  <c r="J173" i="68"/>
  <c r="W173" i="68" s="1"/>
  <c r="J172" i="68"/>
  <c r="W172" i="68" s="1"/>
  <c r="J171" i="68"/>
  <c r="W171" i="68" s="1"/>
  <c r="J170" i="68"/>
  <c r="W170" i="68" s="1"/>
  <c r="J169" i="68"/>
  <c r="W169" i="68" s="1"/>
  <c r="J168" i="68"/>
  <c r="W168" i="68" s="1"/>
  <c r="J167" i="68"/>
  <c r="W167" i="68" s="1"/>
  <c r="J166" i="68"/>
  <c r="W166" i="68" s="1"/>
  <c r="J165" i="68"/>
  <c r="W165" i="68" s="1"/>
  <c r="J164" i="68"/>
  <c r="W164" i="68" s="1"/>
  <c r="J163" i="68"/>
  <c r="W163" i="68" s="1"/>
  <c r="J162" i="68"/>
  <c r="W162" i="68" s="1"/>
  <c r="J161" i="68"/>
  <c r="W161" i="68" s="1"/>
  <c r="J160" i="68"/>
  <c r="W160" i="68" s="1"/>
  <c r="J159" i="68"/>
  <c r="W159" i="68" s="1"/>
  <c r="J158" i="68"/>
  <c r="W158" i="68" s="1"/>
  <c r="J157" i="68"/>
  <c r="W157" i="68" s="1"/>
  <c r="J156" i="68"/>
  <c r="W156" i="68" s="1"/>
  <c r="J155" i="68"/>
  <c r="W155" i="68" s="1"/>
  <c r="J154" i="68"/>
  <c r="W154" i="68" s="1"/>
  <c r="B154" i="68"/>
  <c r="B155" i="68" s="1"/>
  <c r="B156" i="68" s="1"/>
  <c r="B157" i="68" s="1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J153" i="68"/>
  <c r="W153" i="68" s="1"/>
  <c r="J144" i="68"/>
  <c r="V144" i="68" s="1"/>
  <c r="J143" i="68"/>
  <c r="W143" i="68" s="1"/>
  <c r="J142" i="68"/>
  <c r="W142" i="68" s="1"/>
  <c r="J141" i="68"/>
  <c r="V141" i="68" s="1"/>
  <c r="J140" i="68"/>
  <c r="W140" i="68" s="1"/>
  <c r="J139" i="68"/>
  <c r="V139" i="68" s="1"/>
  <c r="J138" i="68"/>
  <c r="W138" i="68" s="1"/>
  <c r="J137" i="68"/>
  <c r="V137" i="68" s="1"/>
  <c r="J136" i="68"/>
  <c r="V136" i="68" s="1"/>
  <c r="J135" i="68"/>
  <c r="V135" i="68" s="1"/>
  <c r="J134" i="68"/>
  <c r="W134" i="68" s="1"/>
  <c r="J133" i="68"/>
  <c r="V133" i="68" s="1"/>
  <c r="J132" i="68"/>
  <c r="W132" i="68" s="1"/>
  <c r="J131" i="68"/>
  <c r="V131" i="68" s="1"/>
  <c r="J130" i="68"/>
  <c r="W130" i="68" s="1"/>
  <c r="J129" i="68"/>
  <c r="V129" i="68" s="1"/>
  <c r="J128" i="68"/>
  <c r="V128" i="68" s="1"/>
  <c r="J127" i="68"/>
  <c r="W127" i="68" s="1"/>
  <c r="J126" i="68"/>
  <c r="W126" i="68" s="1"/>
  <c r="J125" i="68"/>
  <c r="V125" i="68" s="1"/>
  <c r="J124" i="68"/>
  <c r="W124" i="68" s="1"/>
  <c r="J123" i="68"/>
  <c r="W123" i="68" s="1"/>
  <c r="B123" i="68"/>
  <c r="B124" i="68" s="1"/>
  <c r="B125" i="68" s="1"/>
  <c r="B126" i="68" s="1"/>
  <c r="B127" i="68" s="1"/>
  <c r="B128" i="68" s="1"/>
  <c r="B129" i="68" s="1"/>
  <c r="B130" i="68" s="1"/>
  <c r="B131" i="68" s="1"/>
  <c r="B132" i="68" s="1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J122" i="68"/>
  <c r="J113" i="68"/>
  <c r="W113" i="68" s="1"/>
  <c r="J112" i="68"/>
  <c r="W112" i="68" s="1"/>
  <c r="J111" i="68"/>
  <c r="W111" i="68" s="1"/>
  <c r="J110" i="68"/>
  <c r="W110" i="68" s="1"/>
  <c r="J109" i="68"/>
  <c r="W109" i="68" s="1"/>
  <c r="J108" i="68"/>
  <c r="W108" i="68" s="1"/>
  <c r="J107" i="68"/>
  <c r="W107" i="68" s="1"/>
  <c r="J106" i="68"/>
  <c r="W106" i="68" s="1"/>
  <c r="J105" i="68"/>
  <c r="W105" i="68" s="1"/>
  <c r="J104" i="68"/>
  <c r="W104" i="68" s="1"/>
  <c r="J103" i="68"/>
  <c r="W103" i="68" s="1"/>
  <c r="J102" i="68"/>
  <c r="W102" i="68" s="1"/>
  <c r="J101" i="68"/>
  <c r="W101" i="68" s="1"/>
  <c r="J100" i="68"/>
  <c r="W100" i="68" s="1"/>
  <c r="J99" i="68"/>
  <c r="W99" i="68" s="1"/>
  <c r="J98" i="68"/>
  <c r="W98" i="68" s="1"/>
  <c r="J97" i="68"/>
  <c r="W97" i="68" s="1"/>
  <c r="J96" i="68"/>
  <c r="W96" i="68" s="1"/>
  <c r="J95" i="68"/>
  <c r="W95" i="68" s="1"/>
  <c r="J94" i="68"/>
  <c r="W94" i="68" s="1"/>
  <c r="J93" i="68"/>
  <c r="W93" i="68" s="1"/>
  <c r="J92" i="68"/>
  <c r="W92" i="68" s="1"/>
  <c r="B92" i="68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112" i="68" s="1"/>
  <c r="B113" i="68" s="1"/>
  <c r="J91" i="68"/>
  <c r="W91" i="68" s="1"/>
  <c r="J82" i="68"/>
  <c r="V82" i="68" s="1"/>
  <c r="J81" i="68"/>
  <c r="W81" i="68" s="1"/>
  <c r="J80" i="68"/>
  <c r="V80" i="68" s="1"/>
  <c r="J79" i="68"/>
  <c r="V79" i="68" s="1"/>
  <c r="J78" i="68"/>
  <c r="W78" i="68" s="1"/>
  <c r="J77" i="68"/>
  <c r="V77" i="68" s="1"/>
  <c r="J76" i="68"/>
  <c r="V76" i="68" s="1"/>
  <c r="J75" i="68"/>
  <c r="W75" i="68" s="1"/>
  <c r="J74" i="68"/>
  <c r="W74" i="68" s="1"/>
  <c r="J73" i="68"/>
  <c r="V73" i="68" s="1"/>
  <c r="J72" i="68"/>
  <c r="V72" i="68" s="1"/>
  <c r="J71" i="68"/>
  <c r="V71" i="68" s="1"/>
  <c r="J70" i="68"/>
  <c r="W70" i="68" s="1"/>
  <c r="J69" i="68"/>
  <c r="V69" i="68" s="1"/>
  <c r="J68" i="68"/>
  <c r="V68" i="68" s="1"/>
  <c r="J67" i="68"/>
  <c r="V67" i="68" s="1"/>
  <c r="J66" i="68"/>
  <c r="W66" i="68" s="1"/>
  <c r="J65" i="68"/>
  <c r="V65" i="68" s="1"/>
  <c r="J64" i="68"/>
  <c r="V64" i="68" s="1"/>
  <c r="J63" i="68"/>
  <c r="W63" i="68" s="1"/>
  <c r="J62" i="68"/>
  <c r="W62" i="68" s="1"/>
  <c r="J61" i="68"/>
  <c r="V61" i="68" s="1"/>
  <c r="B61" i="68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J60" i="68"/>
  <c r="W51" i="68"/>
  <c r="V51" i="68"/>
  <c r="W50" i="68"/>
  <c r="V50" i="68"/>
  <c r="W49" i="68"/>
  <c r="V49" i="68"/>
  <c r="W48" i="68"/>
  <c r="V48" i="68"/>
  <c r="V41" i="68"/>
  <c r="W41" i="68"/>
  <c r="N16" i="68"/>
  <c r="N14" i="68"/>
  <c r="N12" i="68"/>
  <c r="N10" i="68"/>
  <c r="N8" i="68"/>
  <c r="I7" i="68"/>
  <c r="J7" i="68" s="1"/>
  <c r="N6" i="68"/>
  <c r="I6" i="68"/>
  <c r="J6" i="68" s="1"/>
  <c r="N4" i="68"/>
  <c r="I47" i="66"/>
  <c r="J47" i="66" s="1"/>
  <c r="I46" i="66"/>
  <c r="J46" i="66" s="1"/>
  <c r="I45" i="66"/>
  <c r="J45" i="66" s="1"/>
  <c r="I44" i="66"/>
  <c r="J44" i="66" s="1"/>
  <c r="I43" i="66"/>
  <c r="J43" i="66" s="1"/>
  <c r="I42" i="66"/>
  <c r="J42" i="66" s="1"/>
  <c r="I41" i="66"/>
  <c r="J41" i="66" s="1"/>
  <c r="I40" i="66"/>
  <c r="J40" i="66" s="1"/>
  <c r="I39" i="66"/>
  <c r="J39" i="66" s="1"/>
  <c r="I38" i="66"/>
  <c r="J38" i="66" s="1"/>
  <c r="I37" i="66"/>
  <c r="J37" i="66" s="1"/>
  <c r="I36" i="66"/>
  <c r="J36" i="66" s="1"/>
  <c r="I35" i="66"/>
  <c r="J35" i="66" s="1"/>
  <c r="I34" i="66"/>
  <c r="J34" i="66" s="1"/>
  <c r="I33" i="66"/>
  <c r="J33" i="66" s="1"/>
  <c r="I32" i="66"/>
  <c r="J32" i="66" s="1"/>
  <c r="I31" i="66"/>
  <c r="J31" i="66" s="1"/>
  <c r="I30" i="66"/>
  <c r="J30" i="66" s="1"/>
  <c r="I29" i="66"/>
  <c r="J29" i="66" s="1"/>
  <c r="I28" i="66"/>
  <c r="J28" i="66" s="1"/>
  <c r="I27" i="66"/>
  <c r="J27" i="66" s="1"/>
  <c r="I26" i="66"/>
  <c r="J26" i="66" s="1"/>
  <c r="I25" i="66"/>
  <c r="J25" i="66" s="1"/>
  <c r="I24" i="66"/>
  <c r="J24" i="66" s="1"/>
  <c r="I23" i="66"/>
  <c r="J23" i="66" s="1"/>
  <c r="I22" i="66"/>
  <c r="J22" i="66" s="1"/>
  <c r="I21" i="66"/>
  <c r="J21" i="66" s="1"/>
  <c r="I20" i="66"/>
  <c r="J20" i="66" s="1"/>
  <c r="I19" i="66"/>
  <c r="J19" i="66" s="1"/>
  <c r="I18" i="66"/>
  <c r="J18" i="66" s="1"/>
  <c r="I17" i="66"/>
  <c r="J17" i="66" s="1"/>
  <c r="I16" i="66"/>
  <c r="J16" i="66" s="1"/>
  <c r="I15" i="66"/>
  <c r="J15" i="66" s="1"/>
  <c r="I14" i="66"/>
  <c r="J14" i="66" s="1"/>
  <c r="J166" i="65"/>
  <c r="J167" i="65"/>
  <c r="J168" i="65"/>
  <c r="J169" i="65"/>
  <c r="J170" i="65"/>
  <c r="J171" i="65"/>
  <c r="J172" i="65"/>
  <c r="W80" i="68" l="1"/>
  <c r="V195" i="68"/>
  <c r="W71" i="68"/>
  <c r="W137" i="68"/>
  <c r="V140" i="68"/>
  <c r="W200" i="68"/>
  <c r="W193" i="68"/>
  <c r="W197" i="68"/>
  <c r="V205" i="68"/>
  <c r="P18" i="73"/>
  <c r="Q14" i="73"/>
  <c r="R10" i="73"/>
  <c r="Q10" i="73"/>
  <c r="R14" i="73"/>
  <c r="Q4" i="73"/>
  <c r="R12" i="73"/>
  <c r="Q12" i="73"/>
  <c r="R8" i="73"/>
  <c r="Q8" i="73"/>
  <c r="R16" i="73"/>
  <c r="Q16" i="73"/>
  <c r="O18" i="73"/>
  <c r="R18" i="73" s="1"/>
  <c r="P20" i="73" s="1"/>
  <c r="Q6" i="72"/>
  <c r="Q14" i="72"/>
  <c r="P18" i="72"/>
  <c r="Q10" i="72"/>
  <c r="O18" i="72"/>
  <c r="R18" i="72" s="1"/>
  <c r="P20" i="72" s="1"/>
  <c r="Q4" i="72"/>
  <c r="Q12" i="72"/>
  <c r="R12" i="72"/>
  <c r="R8" i="72"/>
  <c r="Q8" i="72"/>
  <c r="R16" i="72"/>
  <c r="Q16" i="72"/>
  <c r="Q16" i="70"/>
  <c r="Q8" i="70"/>
  <c r="P18" i="70"/>
  <c r="O18" i="70"/>
  <c r="R18" i="70" s="1"/>
  <c r="P20" i="70" s="1"/>
  <c r="R8" i="70"/>
  <c r="R4" i="70"/>
  <c r="R12" i="70"/>
  <c r="Q4" i="70"/>
  <c r="Q10" i="69"/>
  <c r="Q14" i="69"/>
  <c r="Q6" i="69"/>
  <c r="Q16" i="69"/>
  <c r="P18" i="69"/>
  <c r="R4" i="69"/>
  <c r="Q4" i="69"/>
  <c r="O18" i="69"/>
  <c r="R18" i="69" s="1"/>
  <c r="P20" i="69" s="1"/>
  <c r="Q8" i="69"/>
  <c r="R8" i="69"/>
  <c r="V191" i="68"/>
  <c r="W67" i="68"/>
  <c r="W128" i="68"/>
  <c r="V66" i="68"/>
  <c r="W72" i="68"/>
  <c r="V75" i="68"/>
  <c r="W79" i="68"/>
  <c r="V81" i="68"/>
  <c r="W82" i="68"/>
  <c r="W129" i="68"/>
  <c r="V132" i="68"/>
  <c r="W136" i="68"/>
  <c r="V143" i="68"/>
  <c r="W144" i="68"/>
  <c r="V192" i="68"/>
  <c r="V196" i="68"/>
  <c r="V204" i="68"/>
  <c r="W76" i="68"/>
  <c r="W133" i="68"/>
  <c r="W203" i="68"/>
  <c r="W68" i="68"/>
  <c r="W141" i="68"/>
  <c r="W189" i="68"/>
  <c r="V127" i="68"/>
  <c r="V188" i="68"/>
  <c r="W64" i="68"/>
  <c r="V187" i="68"/>
  <c r="W125" i="68"/>
  <c r="V63" i="68"/>
  <c r="V124" i="68"/>
  <c r="V62" i="68"/>
  <c r="W185" i="68"/>
  <c r="J145" i="68"/>
  <c r="V123" i="68"/>
  <c r="J83" i="68"/>
  <c r="V122" i="68"/>
  <c r="J207" i="68"/>
  <c r="V186" i="68"/>
  <c r="V190" i="68"/>
  <c r="V194" i="68"/>
  <c r="V198" i="68"/>
  <c r="W199" i="68"/>
  <c r="V202" i="68"/>
  <c r="V184" i="68"/>
  <c r="W176" i="68"/>
  <c r="P12" i="68" s="1"/>
  <c r="W122" i="68"/>
  <c r="V126" i="68"/>
  <c r="V130" i="68"/>
  <c r="W131" i="68"/>
  <c r="V134" i="68"/>
  <c r="W135" i="68"/>
  <c r="V138" i="68"/>
  <c r="W139" i="68"/>
  <c r="V142" i="68"/>
  <c r="V70" i="68"/>
  <c r="V74" i="68"/>
  <c r="V78" i="68"/>
  <c r="W60" i="68"/>
  <c r="W61" i="68"/>
  <c r="W65" i="68"/>
  <c r="W69" i="68"/>
  <c r="W73" i="68"/>
  <c r="W77" i="68"/>
  <c r="N18" i="68"/>
  <c r="V60" i="68"/>
  <c r="W42" i="68"/>
  <c r="V42" i="68"/>
  <c r="V33" i="68"/>
  <c r="W33" i="68"/>
  <c r="V25" i="68"/>
  <c r="W25" i="68"/>
  <c r="W34" i="68"/>
  <c r="V34" i="68"/>
  <c r="W26" i="68"/>
  <c r="V26" i="68"/>
  <c r="W46" i="68"/>
  <c r="V46" i="68"/>
  <c r="V12" i="68"/>
  <c r="W12" i="68"/>
  <c r="W22" i="68"/>
  <c r="V22" i="68"/>
  <c r="W38" i="68"/>
  <c r="V38" i="68"/>
  <c r="W45" i="68"/>
  <c r="V45" i="68"/>
  <c r="W29" i="68"/>
  <c r="V29" i="68"/>
  <c r="W13" i="68"/>
  <c r="V13" i="68"/>
  <c r="W16" i="68"/>
  <c r="V16" i="68"/>
  <c r="W21" i="68"/>
  <c r="V21" i="68"/>
  <c r="W37" i="68"/>
  <c r="V37" i="68"/>
  <c r="W30" i="68"/>
  <c r="V30" i="68"/>
  <c r="V19" i="68"/>
  <c r="W7" i="68"/>
  <c r="V7" i="68"/>
  <c r="W9" i="68"/>
  <c r="V9" i="68"/>
  <c r="V18" i="68"/>
  <c r="W18" i="68"/>
  <c r="V24" i="68"/>
  <c r="W24" i="68"/>
  <c r="V32" i="68"/>
  <c r="W32" i="68"/>
  <c r="V40" i="68"/>
  <c r="W40" i="68"/>
  <c r="V6" i="68"/>
  <c r="J52" i="68"/>
  <c r="W6" i="68"/>
  <c r="V11" i="68"/>
  <c r="W11" i="68"/>
  <c r="V15" i="68"/>
  <c r="W15" i="68"/>
  <c r="V28" i="68"/>
  <c r="W28" i="68"/>
  <c r="V36" i="68"/>
  <c r="W36" i="68"/>
  <c r="V44" i="68"/>
  <c r="W44" i="68"/>
  <c r="W114" i="68"/>
  <c r="P8" i="68" s="1"/>
  <c r="W238" i="68"/>
  <c r="P16" i="68" s="1"/>
  <c r="W10" i="68"/>
  <c r="V14" i="68"/>
  <c r="V17" i="68"/>
  <c r="V23" i="68"/>
  <c r="V27" i="68"/>
  <c r="V31" i="68"/>
  <c r="V35" i="68"/>
  <c r="V39" i="68"/>
  <c r="V43" i="68"/>
  <c r="V47" i="68"/>
  <c r="V91" i="68"/>
  <c r="V92" i="68"/>
  <c r="V93" i="68"/>
  <c r="V94" i="68"/>
  <c r="V95" i="68"/>
  <c r="V96" i="68"/>
  <c r="V97" i="68"/>
  <c r="V98" i="68"/>
  <c r="V99" i="68"/>
  <c r="V100" i="68"/>
  <c r="V101" i="68"/>
  <c r="V102" i="68"/>
  <c r="V103" i="68"/>
  <c r="V104" i="68"/>
  <c r="V105" i="68"/>
  <c r="V106" i="68"/>
  <c r="V107" i="68"/>
  <c r="V108" i="68"/>
  <c r="V109" i="68"/>
  <c r="V110" i="68"/>
  <c r="V111" i="68"/>
  <c r="V112" i="68"/>
  <c r="V113" i="68"/>
  <c r="V153" i="68"/>
  <c r="V154" i="68"/>
  <c r="V155" i="68"/>
  <c r="V156" i="68"/>
  <c r="V157" i="68"/>
  <c r="V158" i="68"/>
  <c r="V159" i="68"/>
  <c r="V160" i="68"/>
  <c r="V161" i="68"/>
  <c r="V162" i="68"/>
  <c r="V163" i="68"/>
  <c r="V164" i="68"/>
  <c r="V165" i="68"/>
  <c r="V166" i="68"/>
  <c r="V167" i="68"/>
  <c r="V168" i="68"/>
  <c r="V169" i="68"/>
  <c r="V170" i="68"/>
  <c r="V171" i="68"/>
  <c r="V172" i="68"/>
  <c r="V173" i="68"/>
  <c r="V174" i="68"/>
  <c r="V175" i="68"/>
  <c r="V215" i="68"/>
  <c r="V216" i="68"/>
  <c r="V217" i="68"/>
  <c r="V218" i="68"/>
  <c r="V219" i="68"/>
  <c r="V220" i="68"/>
  <c r="V221" i="68"/>
  <c r="V222" i="68"/>
  <c r="V223" i="68"/>
  <c r="V224" i="68"/>
  <c r="V225" i="68"/>
  <c r="V226" i="68"/>
  <c r="V227" i="68"/>
  <c r="V228" i="68"/>
  <c r="V229" i="68"/>
  <c r="V230" i="68"/>
  <c r="V231" i="68"/>
  <c r="V232" i="68"/>
  <c r="V233" i="68"/>
  <c r="V234" i="68"/>
  <c r="V235" i="68"/>
  <c r="V236" i="68"/>
  <c r="V237" i="68"/>
  <c r="W20" i="68"/>
  <c r="J114" i="68"/>
  <c r="J176" i="68"/>
  <c r="J238" i="68"/>
  <c r="W8" i="68"/>
  <c r="I13" i="66"/>
  <c r="J13" i="66" s="1"/>
  <c r="I12" i="66"/>
  <c r="J12" i="66" s="1"/>
  <c r="J11" i="66"/>
  <c r="I11" i="66"/>
  <c r="I10" i="66"/>
  <c r="J10" i="66" s="1"/>
  <c r="W10" i="66" s="1"/>
  <c r="I9" i="66"/>
  <c r="J9" i="66" s="1"/>
  <c r="I8" i="66"/>
  <c r="J8" i="66" s="1"/>
  <c r="V8" i="66" s="1"/>
  <c r="I7" i="66"/>
  <c r="J7" i="66" s="1"/>
  <c r="V7" i="66" s="1"/>
  <c r="J237" i="66"/>
  <c r="W237" i="66" s="1"/>
  <c r="J236" i="66"/>
  <c r="W236" i="66" s="1"/>
  <c r="J235" i="66"/>
  <c r="W235" i="66" s="1"/>
  <c r="J234" i="66"/>
  <c r="W234" i="66" s="1"/>
  <c r="J233" i="66"/>
  <c r="W233" i="66" s="1"/>
  <c r="J232" i="66"/>
  <c r="W232" i="66" s="1"/>
  <c r="J231" i="66"/>
  <c r="W231" i="66" s="1"/>
  <c r="J230" i="66"/>
  <c r="W230" i="66" s="1"/>
  <c r="J229" i="66"/>
  <c r="W229" i="66" s="1"/>
  <c r="J228" i="66"/>
  <c r="W228" i="66" s="1"/>
  <c r="J227" i="66"/>
  <c r="W227" i="66" s="1"/>
  <c r="J226" i="66"/>
  <c r="W226" i="66" s="1"/>
  <c r="J225" i="66"/>
  <c r="W225" i="66" s="1"/>
  <c r="J224" i="66"/>
  <c r="W224" i="66" s="1"/>
  <c r="J223" i="66"/>
  <c r="W223" i="66" s="1"/>
  <c r="J222" i="66"/>
  <c r="W222" i="66" s="1"/>
  <c r="J221" i="66"/>
  <c r="W221" i="66" s="1"/>
  <c r="J220" i="66"/>
  <c r="W220" i="66" s="1"/>
  <c r="J219" i="66"/>
  <c r="W219" i="66" s="1"/>
  <c r="J218" i="66"/>
  <c r="W218" i="66" s="1"/>
  <c r="J217" i="66"/>
  <c r="W217" i="66" s="1"/>
  <c r="J216" i="66"/>
  <c r="W216" i="66" s="1"/>
  <c r="B216" i="66"/>
  <c r="B217" i="66" s="1"/>
  <c r="B218" i="66" s="1"/>
  <c r="B219" i="66" s="1"/>
  <c r="B220" i="66" s="1"/>
  <c r="B221" i="66" s="1"/>
  <c r="B222" i="66" s="1"/>
  <c r="B223" i="66" s="1"/>
  <c r="B224" i="66" s="1"/>
  <c r="B225" i="66" s="1"/>
  <c r="B226" i="66" s="1"/>
  <c r="B227" i="66" s="1"/>
  <c r="B228" i="66" s="1"/>
  <c r="B229" i="66" s="1"/>
  <c r="B230" i="66" s="1"/>
  <c r="B231" i="66" s="1"/>
  <c r="B232" i="66" s="1"/>
  <c r="B233" i="66" s="1"/>
  <c r="B234" i="66" s="1"/>
  <c r="B235" i="66" s="1"/>
  <c r="B236" i="66" s="1"/>
  <c r="B237" i="66" s="1"/>
  <c r="J215" i="66"/>
  <c r="W215" i="66" s="1"/>
  <c r="J206" i="66"/>
  <c r="V206" i="66" s="1"/>
  <c r="J205" i="66"/>
  <c r="V205" i="66" s="1"/>
  <c r="J204" i="66"/>
  <c r="V204" i="66" s="1"/>
  <c r="J203" i="66"/>
  <c r="V203" i="66" s="1"/>
  <c r="J202" i="66"/>
  <c r="V202" i="66" s="1"/>
  <c r="J201" i="66"/>
  <c r="V201" i="66" s="1"/>
  <c r="J200" i="66"/>
  <c r="V200" i="66" s="1"/>
  <c r="J199" i="66"/>
  <c r="V199" i="66" s="1"/>
  <c r="J198" i="66"/>
  <c r="V198" i="66" s="1"/>
  <c r="J197" i="66"/>
  <c r="V197" i="66" s="1"/>
  <c r="J196" i="66"/>
  <c r="V196" i="66" s="1"/>
  <c r="J195" i="66"/>
  <c r="V195" i="66" s="1"/>
  <c r="J194" i="66"/>
  <c r="V194" i="66" s="1"/>
  <c r="J193" i="66"/>
  <c r="V193" i="66" s="1"/>
  <c r="J192" i="66"/>
  <c r="V192" i="66" s="1"/>
  <c r="J191" i="66"/>
  <c r="V191" i="66" s="1"/>
  <c r="J190" i="66"/>
  <c r="V190" i="66" s="1"/>
  <c r="J189" i="66"/>
  <c r="V189" i="66" s="1"/>
  <c r="J188" i="66"/>
  <c r="V188" i="66" s="1"/>
  <c r="J187" i="66"/>
  <c r="V187" i="66" s="1"/>
  <c r="J186" i="66"/>
  <c r="V186" i="66" s="1"/>
  <c r="J185" i="66"/>
  <c r="V185" i="66" s="1"/>
  <c r="B185" i="66"/>
  <c r="B186" i="66" s="1"/>
  <c r="B187" i="66" s="1"/>
  <c r="B188" i="66" s="1"/>
  <c r="B189" i="66" s="1"/>
  <c r="B190" i="66" s="1"/>
  <c r="B191" i="66" s="1"/>
  <c r="B192" i="66" s="1"/>
  <c r="B193" i="66" s="1"/>
  <c r="B194" i="66" s="1"/>
  <c r="B195" i="66" s="1"/>
  <c r="B196" i="66" s="1"/>
  <c r="B197" i="66" s="1"/>
  <c r="B198" i="66" s="1"/>
  <c r="B199" i="66" s="1"/>
  <c r="B200" i="66" s="1"/>
  <c r="B201" i="66" s="1"/>
  <c r="B202" i="66" s="1"/>
  <c r="B203" i="66" s="1"/>
  <c r="B204" i="66" s="1"/>
  <c r="B205" i="66" s="1"/>
  <c r="B206" i="66" s="1"/>
  <c r="J184" i="66"/>
  <c r="V184" i="66" s="1"/>
  <c r="J175" i="66"/>
  <c r="W175" i="66" s="1"/>
  <c r="J174" i="66"/>
  <c r="W174" i="66" s="1"/>
  <c r="J173" i="66"/>
  <c r="W173" i="66" s="1"/>
  <c r="J172" i="66"/>
  <c r="W172" i="66" s="1"/>
  <c r="J171" i="66"/>
  <c r="W171" i="66" s="1"/>
  <c r="J170" i="66"/>
  <c r="W170" i="66" s="1"/>
  <c r="J169" i="66"/>
  <c r="W169" i="66" s="1"/>
  <c r="J168" i="66"/>
  <c r="W168" i="66" s="1"/>
  <c r="J167" i="66"/>
  <c r="W167" i="66" s="1"/>
  <c r="J166" i="66"/>
  <c r="W166" i="66" s="1"/>
  <c r="J165" i="66"/>
  <c r="W165" i="66" s="1"/>
  <c r="J164" i="66"/>
  <c r="W164" i="66" s="1"/>
  <c r="J163" i="66"/>
  <c r="W163" i="66" s="1"/>
  <c r="J162" i="66"/>
  <c r="W162" i="66" s="1"/>
  <c r="J161" i="66"/>
  <c r="W161" i="66" s="1"/>
  <c r="J160" i="66"/>
  <c r="W160" i="66" s="1"/>
  <c r="J159" i="66"/>
  <c r="W159" i="66" s="1"/>
  <c r="J158" i="66"/>
  <c r="W158" i="66" s="1"/>
  <c r="J157" i="66"/>
  <c r="W157" i="66" s="1"/>
  <c r="J156" i="66"/>
  <c r="W156" i="66" s="1"/>
  <c r="J155" i="66"/>
  <c r="W155" i="66" s="1"/>
  <c r="J154" i="66"/>
  <c r="W154" i="66" s="1"/>
  <c r="B154" i="66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J153" i="66"/>
  <c r="W153" i="66" s="1"/>
  <c r="J144" i="66"/>
  <c r="V144" i="66" s="1"/>
  <c r="W143" i="66"/>
  <c r="J143" i="66"/>
  <c r="V143" i="66" s="1"/>
  <c r="J142" i="66"/>
  <c r="V142" i="66" s="1"/>
  <c r="J141" i="66"/>
  <c r="V141" i="66" s="1"/>
  <c r="J140" i="66"/>
  <c r="V140" i="66" s="1"/>
  <c r="J139" i="66"/>
  <c r="V139" i="66" s="1"/>
  <c r="J138" i="66"/>
  <c r="V138" i="66" s="1"/>
  <c r="J137" i="66"/>
  <c r="V137" i="66" s="1"/>
  <c r="J136" i="66"/>
  <c r="V136" i="66" s="1"/>
  <c r="J135" i="66"/>
  <c r="V135" i="66" s="1"/>
  <c r="J134" i="66"/>
  <c r="V134" i="66" s="1"/>
  <c r="J133" i="66"/>
  <c r="V133" i="66" s="1"/>
  <c r="J132" i="66"/>
  <c r="V132" i="66" s="1"/>
  <c r="J131" i="66"/>
  <c r="V131" i="66" s="1"/>
  <c r="J130" i="66"/>
  <c r="V130" i="66" s="1"/>
  <c r="J129" i="66"/>
  <c r="V129" i="66" s="1"/>
  <c r="J128" i="66"/>
  <c r="V128" i="66" s="1"/>
  <c r="J127" i="66"/>
  <c r="V127" i="66" s="1"/>
  <c r="J126" i="66"/>
  <c r="V126" i="66" s="1"/>
  <c r="J125" i="66"/>
  <c r="V125" i="66" s="1"/>
  <c r="J124" i="66"/>
  <c r="V124" i="66" s="1"/>
  <c r="J123" i="66"/>
  <c r="V123" i="66" s="1"/>
  <c r="B123" i="66"/>
  <c r="B124" i="66" s="1"/>
  <c r="B125" i="66" s="1"/>
  <c r="B126" i="66" s="1"/>
  <c r="B127" i="66" s="1"/>
  <c r="B128" i="66" s="1"/>
  <c r="B129" i="66" s="1"/>
  <c r="B130" i="66" s="1"/>
  <c r="B131" i="66" s="1"/>
  <c r="B132" i="66" s="1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J122" i="66"/>
  <c r="V122" i="66" s="1"/>
  <c r="J113" i="66"/>
  <c r="W113" i="66" s="1"/>
  <c r="J112" i="66"/>
  <c r="W112" i="66" s="1"/>
  <c r="J111" i="66"/>
  <c r="W111" i="66" s="1"/>
  <c r="J110" i="66"/>
  <c r="W110" i="66" s="1"/>
  <c r="W109" i="66"/>
  <c r="J108" i="66"/>
  <c r="W108" i="66" s="1"/>
  <c r="J107" i="66"/>
  <c r="W107" i="66" s="1"/>
  <c r="J106" i="66"/>
  <c r="W106" i="66" s="1"/>
  <c r="J105" i="66"/>
  <c r="W105" i="66" s="1"/>
  <c r="J104" i="66"/>
  <c r="W104" i="66" s="1"/>
  <c r="J103" i="66"/>
  <c r="W103" i="66" s="1"/>
  <c r="J102" i="66"/>
  <c r="W102" i="66" s="1"/>
  <c r="J101" i="66"/>
  <c r="W101" i="66" s="1"/>
  <c r="J100" i="66"/>
  <c r="W100" i="66" s="1"/>
  <c r="J99" i="66"/>
  <c r="W99" i="66" s="1"/>
  <c r="J98" i="66"/>
  <c r="W98" i="66" s="1"/>
  <c r="J97" i="66"/>
  <c r="W97" i="66" s="1"/>
  <c r="J96" i="66"/>
  <c r="W96" i="66" s="1"/>
  <c r="J95" i="66"/>
  <c r="W95" i="66" s="1"/>
  <c r="J94" i="66"/>
  <c r="W94" i="66" s="1"/>
  <c r="J93" i="66"/>
  <c r="W93" i="66" s="1"/>
  <c r="J92" i="66"/>
  <c r="W92" i="66" s="1"/>
  <c r="B92" i="66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B103" i="66" s="1"/>
  <c r="B104" i="66" s="1"/>
  <c r="B105" i="66" s="1"/>
  <c r="B106" i="66" s="1"/>
  <c r="B107" i="66" s="1"/>
  <c r="B108" i="66" s="1"/>
  <c r="B109" i="66" s="1"/>
  <c r="B110" i="66" s="1"/>
  <c r="B111" i="66" s="1"/>
  <c r="B112" i="66" s="1"/>
  <c r="B113" i="66" s="1"/>
  <c r="J91" i="66"/>
  <c r="W91" i="66" s="1"/>
  <c r="J82" i="66"/>
  <c r="V82" i="66" s="1"/>
  <c r="J81" i="66"/>
  <c r="V81" i="66" s="1"/>
  <c r="J80" i="66"/>
  <c r="V80" i="66" s="1"/>
  <c r="J79" i="66"/>
  <c r="V79" i="66" s="1"/>
  <c r="J78" i="66"/>
  <c r="V78" i="66" s="1"/>
  <c r="J77" i="66"/>
  <c r="V77" i="66" s="1"/>
  <c r="J76" i="66"/>
  <c r="V76" i="66" s="1"/>
  <c r="J75" i="66"/>
  <c r="V75" i="66" s="1"/>
  <c r="J74" i="66"/>
  <c r="V74" i="66" s="1"/>
  <c r="J73" i="66"/>
  <c r="V73" i="66" s="1"/>
  <c r="J72" i="66"/>
  <c r="V72" i="66" s="1"/>
  <c r="J71" i="66"/>
  <c r="V71" i="66" s="1"/>
  <c r="J70" i="66"/>
  <c r="V70" i="66" s="1"/>
  <c r="J69" i="66"/>
  <c r="V69" i="66" s="1"/>
  <c r="J68" i="66"/>
  <c r="V68" i="66" s="1"/>
  <c r="J67" i="66"/>
  <c r="V67" i="66" s="1"/>
  <c r="J66" i="66"/>
  <c r="V66" i="66" s="1"/>
  <c r="J65" i="66"/>
  <c r="V65" i="66" s="1"/>
  <c r="J64" i="66"/>
  <c r="V64" i="66" s="1"/>
  <c r="J63" i="66"/>
  <c r="V63" i="66" s="1"/>
  <c r="J62" i="66"/>
  <c r="V62" i="66" s="1"/>
  <c r="J61" i="66"/>
  <c r="V61" i="66" s="1"/>
  <c r="B61" i="66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J60" i="66"/>
  <c r="V60" i="66" s="1"/>
  <c r="W51" i="66"/>
  <c r="V51" i="66"/>
  <c r="W50" i="66"/>
  <c r="V50" i="66"/>
  <c r="W49" i="66"/>
  <c r="V49" i="66"/>
  <c r="W48" i="66"/>
  <c r="V48" i="66"/>
  <c r="W47" i="66"/>
  <c r="V47" i="66"/>
  <c r="W46" i="66"/>
  <c r="V46" i="66"/>
  <c r="W43" i="66"/>
  <c r="V41" i="66"/>
  <c r="W39" i="66"/>
  <c r="W35" i="66"/>
  <c r="W31" i="66"/>
  <c r="W27" i="66"/>
  <c r="V25" i="66"/>
  <c r="W23" i="66"/>
  <c r="V20" i="66"/>
  <c r="W17" i="66"/>
  <c r="N16" i="66"/>
  <c r="N14" i="66"/>
  <c r="W14" i="66"/>
  <c r="N12" i="66"/>
  <c r="N10" i="66"/>
  <c r="N8" i="66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N6" i="66"/>
  <c r="I6" i="66"/>
  <c r="J6" i="66" s="1"/>
  <c r="N4" i="66"/>
  <c r="I45" i="65"/>
  <c r="J45" i="65" s="1"/>
  <c r="I44" i="65"/>
  <c r="J44" i="65" s="1"/>
  <c r="J43" i="65"/>
  <c r="I43" i="65"/>
  <c r="I42" i="65"/>
  <c r="J42" i="65" s="1"/>
  <c r="I41" i="65"/>
  <c r="J41" i="65" s="1"/>
  <c r="I40" i="65"/>
  <c r="J40" i="65" s="1"/>
  <c r="I39" i="65"/>
  <c r="J39" i="65" s="1"/>
  <c r="I38" i="65"/>
  <c r="J38" i="65" s="1"/>
  <c r="I37" i="65"/>
  <c r="J37" i="65" s="1"/>
  <c r="I36" i="65"/>
  <c r="J36" i="65" s="1"/>
  <c r="J136" i="65"/>
  <c r="I35" i="65"/>
  <c r="J35" i="65" s="1"/>
  <c r="I34" i="65"/>
  <c r="J34" i="65" s="1"/>
  <c r="J33" i="65"/>
  <c r="I33" i="65"/>
  <c r="I32" i="65"/>
  <c r="J32" i="65" s="1"/>
  <c r="I31" i="65"/>
  <c r="J31" i="65" s="1"/>
  <c r="I30" i="65"/>
  <c r="J30" i="65" s="1"/>
  <c r="I29" i="65"/>
  <c r="J29" i="65" s="1"/>
  <c r="I28" i="65"/>
  <c r="J28" i="65" s="1"/>
  <c r="J27" i="65"/>
  <c r="I27" i="65"/>
  <c r="I26" i="65"/>
  <c r="J26" i="65" s="1"/>
  <c r="I25" i="65"/>
  <c r="J25" i="65" s="1"/>
  <c r="I24" i="65"/>
  <c r="J24" i="65" s="1"/>
  <c r="I23" i="65"/>
  <c r="J23" i="65" s="1"/>
  <c r="I22" i="65"/>
  <c r="J22" i="65" s="1"/>
  <c r="I21" i="65"/>
  <c r="J21" i="65" s="1"/>
  <c r="I20" i="65"/>
  <c r="J20" i="65" s="1"/>
  <c r="I19" i="65"/>
  <c r="J19" i="65" s="1"/>
  <c r="I18" i="65"/>
  <c r="J18" i="65" s="1"/>
  <c r="I17" i="65"/>
  <c r="J17" i="65" s="1"/>
  <c r="I16" i="65"/>
  <c r="J16" i="65" s="1"/>
  <c r="I15" i="65"/>
  <c r="J15" i="65" s="1"/>
  <c r="I14" i="65"/>
  <c r="J14" i="65" s="1"/>
  <c r="J218" i="65"/>
  <c r="J219" i="65"/>
  <c r="I13" i="65"/>
  <c r="J13" i="65" s="1"/>
  <c r="I12" i="65"/>
  <c r="J12" i="65" s="1"/>
  <c r="N14" i="65"/>
  <c r="N12" i="65"/>
  <c r="N16" i="65"/>
  <c r="N10" i="65"/>
  <c r="N8" i="65"/>
  <c r="N6" i="65"/>
  <c r="N4" i="65"/>
  <c r="I11" i="65"/>
  <c r="J11" i="65" s="1"/>
  <c r="J10" i="65"/>
  <c r="I10" i="65"/>
  <c r="I8" i="65"/>
  <c r="J8" i="65" s="1"/>
  <c r="I9" i="65"/>
  <c r="J9" i="65" s="1"/>
  <c r="W205" i="66" l="1"/>
  <c r="W81" i="66"/>
  <c r="W204" i="66"/>
  <c r="W206" i="66"/>
  <c r="W82" i="66"/>
  <c r="W123" i="66"/>
  <c r="W142" i="66"/>
  <c r="W144" i="66"/>
  <c r="Q18" i="73"/>
  <c r="Q18" i="72"/>
  <c r="Q18" i="70"/>
  <c r="Q18" i="69"/>
  <c r="W145" i="68"/>
  <c r="P10" i="68" s="1"/>
  <c r="V207" i="68"/>
  <c r="O14" i="68" s="1"/>
  <c r="R14" i="68" s="1"/>
  <c r="W207" i="68"/>
  <c r="P14" i="68" s="1"/>
  <c r="V145" i="68"/>
  <c r="O10" i="68" s="1"/>
  <c r="W83" i="68"/>
  <c r="P6" i="68" s="1"/>
  <c r="V83" i="68"/>
  <c r="O6" i="68" s="1"/>
  <c r="V238" i="68"/>
  <c r="O16" i="68" s="1"/>
  <c r="Q16" i="68" s="1"/>
  <c r="V52" i="68"/>
  <c r="O4" i="68" s="1"/>
  <c r="V176" i="68"/>
  <c r="O12" i="68" s="1"/>
  <c r="V114" i="68"/>
  <c r="O8" i="68" s="1"/>
  <c r="W52" i="68"/>
  <c r="P4" i="68" s="1"/>
  <c r="W202" i="66"/>
  <c r="W141" i="66"/>
  <c r="W139" i="66"/>
  <c r="W137" i="66"/>
  <c r="W198" i="66"/>
  <c r="W135" i="66"/>
  <c r="W196" i="66"/>
  <c r="W133" i="66"/>
  <c r="W131" i="66"/>
  <c r="W129" i="66"/>
  <c r="W127" i="66"/>
  <c r="W125" i="66"/>
  <c r="W184" i="66"/>
  <c r="W186" i="66"/>
  <c r="W188" i="66"/>
  <c r="W190" i="66"/>
  <c r="W192" i="66"/>
  <c r="W194" i="66"/>
  <c r="W200" i="66"/>
  <c r="W185" i="66"/>
  <c r="W187" i="66"/>
  <c r="W189" i="66"/>
  <c r="W191" i="66"/>
  <c r="W193" i="66"/>
  <c r="W195" i="66"/>
  <c r="W197" i="66"/>
  <c r="W199" i="66"/>
  <c r="W201" i="66"/>
  <c r="W203" i="66"/>
  <c r="W122" i="66"/>
  <c r="W124" i="66"/>
  <c r="W126" i="66"/>
  <c r="W128" i="66"/>
  <c r="W130" i="66"/>
  <c r="W132" i="66"/>
  <c r="W134" i="66"/>
  <c r="W136" i="66"/>
  <c r="W138" i="66"/>
  <c r="W140" i="66"/>
  <c r="V83" i="66"/>
  <c r="O6" i="66" s="1"/>
  <c r="W61" i="66"/>
  <c r="W63" i="66"/>
  <c r="W65" i="66"/>
  <c r="W67" i="66"/>
  <c r="W69" i="66"/>
  <c r="W71" i="66"/>
  <c r="W73" i="66"/>
  <c r="W75" i="66"/>
  <c r="W77" i="66"/>
  <c r="W79" i="66"/>
  <c r="W62" i="66"/>
  <c r="W64" i="66"/>
  <c r="W66" i="66"/>
  <c r="W68" i="66"/>
  <c r="W70" i="66"/>
  <c r="W72" i="66"/>
  <c r="W74" i="66"/>
  <c r="W76" i="66"/>
  <c r="W78" i="66"/>
  <c r="W80" i="66"/>
  <c r="N18" i="66"/>
  <c r="W60" i="66"/>
  <c r="V21" i="66"/>
  <c r="W21" i="66"/>
  <c r="V45" i="66"/>
  <c r="W45" i="66"/>
  <c r="V13" i="66"/>
  <c r="W13" i="66"/>
  <c r="W16" i="66"/>
  <c r="V16" i="66"/>
  <c r="V29" i="66"/>
  <c r="W29" i="66"/>
  <c r="V33" i="66"/>
  <c r="W33" i="66"/>
  <c r="V37" i="66"/>
  <c r="W37" i="66"/>
  <c r="W25" i="66"/>
  <c r="W41" i="66"/>
  <c r="W7" i="66"/>
  <c r="V44" i="66"/>
  <c r="W44" i="66"/>
  <c r="J52" i="66"/>
  <c r="V6" i="66"/>
  <c r="W6" i="66"/>
  <c r="V15" i="66"/>
  <c r="W15" i="66"/>
  <c r="W19" i="66"/>
  <c r="V19" i="66"/>
  <c r="V28" i="66"/>
  <c r="W28" i="66"/>
  <c r="V12" i="66"/>
  <c r="W12" i="66"/>
  <c r="V18" i="66"/>
  <c r="W18" i="66"/>
  <c r="V32" i="66"/>
  <c r="W32" i="66"/>
  <c r="V34" i="66"/>
  <c r="W34" i="66"/>
  <c r="W114" i="66"/>
  <c r="P8" i="66" s="1"/>
  <c r="V145" i="66"/>
  <c r="O10" i="66" s="1"/>
  <c r="R10" i="66" s="1"/>
  <c r="W9" i="66"/>
  <c r="V9" i="66"/>
  <c r="V11" i="66"/>
  <c r="W11" i="66"/>
  <c r="W22" i="66"/>
  <c r="V22" i="66"/>
  <c r="V36" i="66"/>
  <c r="W36" i="66"/>
  <c r="W38" i="66"/>
  <c r="V38" i="66"/>
  <c r="W176" i="66"/>
  <c r="P12" i="66" s="1"/>
  <c r="V207" i="66"/>
  <c r="O14" i="66" s="1"/>
  <c r="R14" i="66" s="1"/>
  <c r="W30" i="66"/>
  <c r="V30" i="66"/>
  <c r="V24" i="66"/>
  <c r="W24" i="66"/>
  <c r="V26" i="66"/>
  <c r="W26" i="66"/>
  <c r="V40" i="66"/>
  <c r="W40" i="66"/>
  <c r="V42" i="66"/>
  <c r="W42" i="66"/>
  <c r="W238" i="66"/>
  <c r="P16" i="66" s="1"/>
  <c r="V10" i="66"/>
  <c r="V14" i="66"/>
  <c r="V17" i="66"/>
  <c r="V23" i="66"/>
  <c r="V27" i="66"/>
  <c r="V31" i="66"/>
  <c r="V35" i="66"/>
  <c r="V39" i="66"/>
  <c r="V43" i="66"/>
  <c r="J83" i="66"/>
  <c r="V91" i="66"/>
  <c r="V92" i="66"/>
  <c r="V93" i="66"/>
  <c r="V94" i="66"/>
  <c r="V95" i="66"/>
  <c r="V96" i="66"/>
  <c r="V97" i="66"/>
  <c r="V98" i="66"/>
  <c r="V99" i="66"/>
  <c r="V100" i="66"/>
  <c r="V101" i="66"/>
  <c r="V102" i="66"/>
  <c r="V103" i="66"/>
  <c r="V104" i="66"/>
  <c r="V105" i="66"/>
  <c r="V106" i="66"/>
  <c r="V107" i="66"/>
  <c r="V108" i="66"/>
  <c r="V109" i="66"/>
  <c r="V110" i="66"/>
  <c r="V111" i="66"/>
  <c r="V112" i="66"/>
  <c r="V113" i="66"/>
  <c r="J145" i="66"/>
  <c r="V153" i="66"/>
  <c r="V154" i="66"/>
  <c r="V155" i="66"/>
  <c r="V156" i="66"/>
  <c r="V157" i="66"/>
  <c r="V158" i="66"/>
  <c r="V159" i="66"/>
  <c r="V160" i="66"/>
  <c r="V161" i="66"/>
  <c r="V162" i="66"/>
  <c r="V163" i="66"/>
  <c r="V164" i="66"/>
  <c r="V165" i="66"/>
  <c r="V166" i="66"/>
  <c r="V167" i="66"/>
  <c r="V168" i="66"/>
  <c r="V169" i="66"/>
  <c r="V170" i="66"/>
  <c r="V171" i="66"/>
  <c r="V172" i="66"/>
  <c r="V173" i="66"/>
  <c r="V174" i="66"/>
  <c r="V175" i="66"/>
  <c r="J207" i="66"/>
  <c r="V215" i="66"/>
  <c r="V216" i="66"/>
  <c r="V217" i="66"/>
  <c r="V218" i="66"/>
  <c r="V219" i="66"/>
  <c r="V220" i="66"/>
  <c r="V221" i="66"/>
  <c r="V222" i="66"/>
  <c r="V223" i="66"/>
  <c r="V224" i="66"/>
  <c r="V225" i="66"/>
  <c r="V226" i="66"/>
  <c r="V227" i="66"/>
  <c r="V228" i="66"/>
  <c r="V229" i="66"/>
  <c r="V230" i="66"/>
  <c r="V231" i="66"/>
  <c r="V232" i="66"/>
  <c r="V233" i="66"/>
  <c r="V234" i="66"/>
  <c r="V235" i="66"/>
  <c r="V236" i="66"/>
  <c r="V237" i="66"/>
  <c r="W8" i="66"/>
  <c r="W20" i="66"/>
  <c r="J114" i="66"/>
  <c r="J176" i="66"/>
  <c r="J238" i="66"/>
  <c r="J237" i="65"/>
  <c r="W237" i="65" s="1"/>
  <c r="J236" i="65"/>
  <c r="W236" i="65" s="1"/>
  <c r="J235" i="65"/>
  <c r="W235" i="65" s="1"/>
  <c r="J234" i="65"/>
  <c r="W234" i="65" s="1"/>
  <c r="J233" i="65"/>
  <c r="W233" i="65" s="1"/>
  <c r="J232" i="65"/>
  <c r="W232" i="65" s="1"/>
  <c r="J231" i="65"/>
  <c r="W231" i="65" s="1"/>
  <c r="J230" i="65"/>
  <c r="W230" i="65" s="1"/>
  <c r="J229" i="65"/>
  <c r="W229" i="65" s="1"/>
  <c r="J228" i="65"/>
  <c r="W228" i="65" s="1"/>
  <c r="J227" i="65"/>
  <c r="W227" i="65" s="1"/>
  <c r="J226" i="65"/>
  <c r="W226" i="65" s="1"/>
  <c r="J225" i="65"/>
  <c r="W225" i="65" s="1"/>
  <c r="J224" i="65"/>
  <c r="W224" i="65" s="1"/>
  <c r="J223" i="65"/>
  <c r="W223" i="65" s="1"/>
  <c r="J222" i="65"/>
  <c r="W222" i="65" s="1"/>
  <c r="J221" i="65"/>
  <c r="W221" i="65" s="1"/>
  <c r="J220" i="65"/>
  <c r="W220" i="65" s="1"/>
  <c r="W219" i="65"/>
  <c r="W218" i="65"/>
  <c r="J217" i="65"/>
  <c r="W217" i="65" s="1"/>
  <c r="J216" i="65"/>
  <c r="W216" i="65" s="1"/>
  <c r="B216" i="65"/>
  <c r="B217" i="65" s="1"/>
  <c r="B218" i="65" s="1"/>
  <c r="B219" i="65" s="1"/>
  <c r="B220" i="65" s="1"/>
  <c r="B221" i="65" s="1"/>
  <c r="B222" i="65" s="1"/>
  <c r="B223" i="65" s="1"/>
  <c r="B224" i="65" s="1"/>
  <c r="B225" i="65" s="1"/>
  <c r="B226" i="65" s="1"/>
  <c r="B227" i="65" s="1"/>
  <c r="B228" i="65" s="1"/>
  <c r="B229" i="65" s="1"/>
  <c r="B230" i="65" s="1"/>
  <c r="B231" i="65" s="1"/>
  <c r="B232" i="65" s="1"/>
  <c r="B233" i="65" s="1"/>
  <c r="B234" i="65" s="1"/>
  <c r="B235" i="65" s="1"/>
  <c r="B236" i="65" s="1"/>
  <c r="B237" i="65" s="1"/>
  <c r="J215" i="65"/>
  <c r="W215" i="65" s="1"/>
  <c r="J206" i="65"/>
  <c r="V206" i="65" s="1"/>
  <c r="J205" i="65"/>
  <c r="V205" i="65" s="1"/>
  <c r="J204" i="65"/>
  <c r="V204" i="65" s="1"/>
  <c r="J203" i="65"/>
  <c r="V203" i="65" s="1"/>
  <c r="J202" i="65"/>
  <c r="V202" i="65" s="1"/>
  <c r="J201" i="65"/>
  <c r="V201" i="65" s="1"/>
  <c r="J200" i="65"/>
  <c r="V200" i="65" s="1"/>
  <c r="J199" i="65"/>
  <c r="V199" i="65" s="1"/>
  <c r="J198" i="65"/>
  <c r="V198" i="65" s="1"/>
  <c r="J197" i="65"/>
  <c r="V197" i="65" s="1"/>
  <c r="J196" i="65"/>
  <c r="V196" i="65" s="1"/>
  <c r="J195" i="65"/>
  <c r="V195" i="65" s="1"/>
  <c r="J194" i="65"/>
  <c r="V194" i="65" s="1"/>
  <c r="J193" i="65"/>
  <c r="V193" i="65" s="1"/>
  <c r="J192" i="65"/>
  <c r="V192" i="65" s="1"/>
  <c r="J191" i="65"/>
  <c r="V191" i="65" s="1"/>
  <c r="J190" i="65"/>
  <c r="V190" i="65" s="1"/>
  <c r="J189" i="65"/>
  <c r="V189" i="65" s="1"/>
  <c r="J188" i="65"/>
  <c r="V188" i="65" s="1"/>
  <c r="J187" i="65"/>
  <c r="V187" i="65" s="1"/>
  <c r="J186" i="65"/>
  <c r="V186" i="65" s="1"/>
  <c r="J185" i="65"/>
  <c r="V185" i="65" s="1"/>
  <c r="B185" i="65"/>
  <c r="B186" i="65" s="1"/>
  <c r="B187" i="65" s="1"/>
  <c r="B188" i="65" s="1"/>
  <c r="B189" i="65" s="1"/>
  <c r="B190" i="65" s="1"/>
  <c r="B191" i="65" s="1"/>
  <c r="B192" i="65" s="1"/>
  <c r="B193" i="65" s="1"/>
  <c r="B194" i="65" s="1"/>
  <c r="B195" i="65" s="1"/>
  <c r="B196" i="65" s="1"/>
  <c r="B197" i="65" s="1"/>
  <c r="B198" i="65" s="1"/>
  <c r="B199" i="65" s="1"/>
  <c r="B200" i="65" s="1"/>
  <c r="B201" i="65" s="1"/>
  <c r="B202" i="65" s="1"/>
  <c r="B203" i="65" s="1"/>
  <c r="B204" i="65" s="1"/>
  <c r="B205" i="65" s="1"/>
  <c r="B206" i="65" s="1"/>
  <c r="J184" i="65"/>
  <c r="V184" i="65" s="1"/>
  <c r="J175" i="65"/>
  <c r="W175" i="65" s="1"/>
  <c r="J174" i="65"/>
  <c r="W174" i="65" s="1"/>
  <c r="J173" i="65"/>
  <c r="W173" i="65" s="1"/>
  <c r="W172" i="65"/>
  <c r="W171" i="65"/>
  <c r="W170" i="65"/>
  <c r="W169" i="65"/>
  <c r="W168" i="65"/>
  <c r="W167" i="65"/>
  <c r="W166" i="65"/>
  <c r="J165" i="65"/>
  <c r="W165" i="65" s="1"/>
  <c r="J164" i="65"/>
  <c r="W164" i="65" s="1"/>
  <c r="J163" i="65"/>
  <c r="W163" i="65" s="1"/>
  <c r="J162" i="65"/>
  <c r="W162" i="65" s="1"/>
  <c r="J161" i="65"/>
  <c r="W161" i="65" s="1"/>
  <c r="J160" i="65"/>
  <c r="W160" i="65" s="1"/>
  <c r="J159" i="65"/>
  <c r="W159" i="65" s="1"/>
  <c r="J158" i="65"/>
  <c r="W158" i="65" s="1"/>
  <c r="J157" i="65"/>
  <c r="W157" i="65" s="1"/>
  <c r="J156" i="65"/>
  <c r="W156" i="65" s="1"/>
  <c r="J155" i="65"/>
  <c r="W155" i="65" s="1"/>
  <c r="J154" i="65"/>
  <c r="W154" i="65" s="1"/>
  <c r="B154" i="65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B168" i="65" s="1"/>
  <c r="B169" i="65" s="1"/>
  <c r="B170" i="65" s="1"/>
  <c r="B171" i="65" s="1"/>
  <c r="B172" i="65" s="1"/>
  <c r="B173" i="65" s="1"/>
  <c r="B174" i="65" s="1"/>
  <c r="B175" i="65" s="1"/>
  <c r="J153" i="65"/>
  <c r="W153" i="65" s="1"/>
  <c r="J144" i="65"/>
  <c r="V144" i="65" s="1"/>
  <c r="J143" i="65"/>
  <c r="V143" i="65" s="1"/>
  <c r="J142" i="65"/>
  <c r="V142" i="65" s="1"/>
  <c r="J141" i="65"/>
  <c r="V141" i="65" s="1"/>
  <c r="J140" i="65"/>
  <c r="V140" i="65" s="1"/>
  <c r="J139" i="65"/>
  <c r="V139" i="65" s="1"/>
  <c r="J138" i="65"/>
  <c r="V138" i="65" s="1"/>
  <c r="J137" i="65"/>
  <c r="V137" i="65" s="1"/>
  <c r="V136" i="65"/>
  <c r="J135" i="65"/>
  <c r="V135" i="65" s="1"/>
  <c r="J134" i="65"/>
  <c r="V134" i="65" s="1"/>
  <c r="J133" i="65"/>
  <c r="V133" i="65" s="1"/>
  <c r="J132" i="65"/>
  <c r="V132" i="65" s="1"/>
  <c r="J131" i="65"/>
  <c r="V131" i="65" s="1"/>
  <c r="J130" i="65"/>
  <c r="V130" i="65" s="1"/>
  <c r="J129" i="65"/>
  <c r="V129" i="65" s="1"/>
  <c r="J128" i="65"/>
  <c r="V128" i="65" s="1"/>
  <c r="J127" i="65"/>
  <c r="V127" i="65" s="1"/>
  <c r="J126" i="65"/>
  <c r="V126" i="65" s="1"/>
  <c r="J125" i="65"/>
  <c r="V125" i="65" s="1"/>
  <c r="J124" i="65"/>
  <c r="V124" i="65" s="1"/>
  <c r="J123" i="65"/>
  <c r="V123" i="65" s="1"/>
  <c r="B123" i="65"/>
  <c r="B124" i="65" s="1"/>
  <c r="B125" i="65" s="1"/>
  <c r="B126" i="65" s="1"/>
  <c r="B127" i="65" s="1"/>
  <c r="B128" i="65" s="1"/>
  <c r="B129" i="65" s="1"/>
  <c r="B130" i="65" s="1"/>
  <c r="B131" i="65" s="1"/>
  <c r="B132" i="65" s="1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J122" i="65"/>
  <c r="V122" i="65" s="1"/>
  <c r="J113" i="65"/>
  <c r="W113" i="65" s="1"/>
  <c r="J112" i="65"/>
  <c r="W112" i="65" s="1"/>
  <c r="J111" i="65"/>
  <c r="W111" i="65" s="1"/>
  <c r="J110" i="65"/>
  <c r="W110" i="65" s="1"/>
  <c r="J109" i="65"/>
  <c r="W109" i="65" s="1"/>
  <c r="J108" i="65"/>
  <c r="W108" i="65" s="1"/>
  <c r="J107" i="65"/>
  <c r="W107" i="65" s="1"/>
  <c r="J106" i="65"/>
  <c r="W106" i="65" s="1"/>
  <c r="J105" i="65"/>
  <c r="W105" i="65" s="1"/>
  <c r="J104" i="65"/>
  <c r="W104" i="65" s="1"/>
  <c r="J103" i="65"/>
  <c r="W103" i="65" s="1"/>
  <c r="J102" i="65"/>
  <c r="W102" i="65" s="1"/>
  <c r="J101" i="65"/>
  <c r="W101" i="65" s="1"/>
  <c r="J100" i="65"/>
  <c r="W100" i="65" s="1"/>
  <c r="J99" i="65"/>
  <c r="W99" i="65" s="1"/>
  <c r="J98" i="65"/>
  <c r="W98" i="65" s="1"/>
  <c r="J97" i="65"/>
  <c r="W97" i="65" s="1"/>
  <c r="J96" i="65"/>
  <c r="W96" i="65" s="1"/>
  <c r="J95" i="65"/>
  <c r="W95" i="65" s="1"/>
  <c r="J94" i="65"/>
  <c r="W94" i="65" s="1"/>
  <c r="J93" i="65"/>
  <c r="W93" i="65" s="1"/>
  <c r="J92" i="65"/>
  <c r="W92" i="65" s="1"/>
  <c r="B92" i="65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B103" i="65" s="1"/>
  <c r="B104" i="65" s="1"/>
  <c r="B105" i="65" s="1"/>
  <c r="B106" i="65" s="1"/>
  <c r="B107" i="65" s="1"/>
  <c r="B108" i="65" s="1"/>
  <c r="B109" i="65" s="1"/>
  <c r="B110" i="65" s="1"/>
  <c r="B111" i="65" s="1"/>
  <c r="B112" i="65" s="1"/>
  <c r="B113" i="65" s="1"/>
  <c r="J91" i="65"/>
  <c r="W91" i="65" s="1"/>
  <c r="J82" i="65"/>
  <c r="V82" i="65" s="1"/>
  <c r="J81" i="65"/>
  <c r="V81" i="65" s="1"/>
  <c r="J80" i="65"/>
  <c r="V80" i="65" s="1"/>
  <c r="J79" i="65"/>
  <c r="V79" i="65" s="1"/>
  <c r="J78" i="65"/>
  <c r="V78" i="65" s="1"/>
  <c r="J77" i="65"/>
  <c r="V77" i="65" s="1"/>
  <c r="J76" i="65"/>
  <c r="V76" i="65" s="1"/>
  <c r="J75" i="65"/>
  <c r="V75" i="65" s="1"/>
  <c r="J74" i="65"/>
  <c r="V74" i="65" s="1"/>
  <c r="J73" i="65"/>
  <c r="V73" i="65" s="1"/>
  <c r="J72" i="65"/>
  <c r="V72" i="65" s="1"/>
  <c r="J71" i="65"/>
  <c r="V71" i="65" s="1"/>
  <c r="J70" i="65"/>
  <c r="V70" i="65" s="1"/>
  <c r="J69" i="65"/>
  <c r="V69" i="65" s="1"/>
  <c r="J68" i="65"/>
  <c r="V68" i="65" s="1"/>
  <c r="J67" i="65"/>
  <c r="V67" i="65" s="1"/>
  <c r="J66" i="65"/>
  <c r="V66" i="65" s="1"/>
  <c r="J65" i="65"/>
  <c r="V65" i="65" s="1"/>
  <c r="J64" i="65"/>
  <c r="V64" i="65" s="1"/>
  <c r="J63" i="65"/>
  <c r="V63" i="65" s="1"/>
  <c r="J62" i="65"/>
  <c r="V62" i="65" s="1"/>
  <c r="J61" i="65"/>
  <c r="V61" i="65" s="1"/>
  <c r="B61" i="65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J60" i="65"/>
  <c r="V60" i="65" s="1"/>
  <c r="W51" i="65"/>
  <c r="V51" i="65"/>
  <c r="W50" i="65"/>
  <c r="V50" i="65"/>
  <c r="W49" i="65"/>
  <c r="V49" i="65"/>
  <c r="W48" i="65"/>
  <c r="V48" i="65"/>
  <c r="W47" i="65"/>
  <c r="V47" i="65"/>
  <c r="W46" i="65"/>
  <c r="V46" i="65"/>
  <c r="W43" i="65"/>
  <c r="V39" i="65"/>
  <c r="V37" i="65"/>
  <c r="V35" i="65"/>
  <c r="V31" i="65"/>
  <c r="V27" i="65"/>
  <c r="V23" i="65"/>
  <c r="V21" i="65"/>
  <c r="V20" i="65"/>
  <c r="V17" i="65"/>
  <c r="V13" i="65"/>
  <c r="W11" i="65"/>
  <c r="W10" i="65"/>
  <c r="I7" i="65"/>
  <c r="J7" i="65" s="1"/>
  <c r="B7" i="65"/>
  <c r="B8" i="65" s="1"/>
  <c r="B9" i="65" s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I6" i="65"/>
  <c r="J6" i="65" s="1"/>
  <c r="W80" i="65" l="1"/>
  <c r="W82" i="65"/>
  <c r="W205" i="65"/>
  <c r="Q10" i="68"/>
  <c r="Q14" i="68"/>
  <c r="R12" i="68"/>
  <c r="Q12" i="68"/>
  <c r="R10" i="68"/>
  <c r="P18" i="68"/>
  <c r="R6" i="68"/>
  <c r="Q6" i="68"/>
  <c r="R16" i="68"/>
  <c r="R4" i="68"/>
  <c r="O18" i="68"/>
  <c r="R18" i="68" s="1"/>
  <c r="P20" i="68" s="1"/>
  <c r="Q4" i="68"/>
  <c r="Q8" i="68"/>
  <c r="R8" i="68"/>
  <c r="W207" i="66"/>
  <c r="P14" i="66" s="1"/>
  <c r="W145" i="66"/>
  <c r="P10" i="66" s="1"/>
  <c r="Q10" i="66" s="1"/>
  <c r="R6" i="66"/>
  <c r="W83" i="66"/>
  <c r="P6" i="66" s="1"/>
  <c r="Q6" i="66" s="1"/>
  <c r="V52" i="66"/>
  <c r="O4" i="66" s="1"/>
  <c r="V238" i="66"/>
  <c r="O16" i="66" s="1"/>
  <c r="V176" i="66"/>
  <c r="O12" i="66" s="1"/>
  <c r="R12" i="66" s="1"/>
  <c r="V114" i="66"/>
  <c r="O8" i="66" s="1"/>
  <c r="W52" i="66"/>
  <c r="P4" i="66" s="1"/>
  <c r="W77" i="65"/>
  <c r="W75" i="65"/>
  <c r="W206" i="65"/>
  <c r="W65" i="65"/>
  <c r="W143" i="65"/>
  <c r="W73" i="65"/>
  <c r="W71" i="65"/>
  <c r="W69" i="65"/>
  <c r="W67" i="65"/>
  <c r="W63" i="65"/>
  <c r="W62" i="65"/>
  <c r="W64" i="65"/>
  <c r="W66" i="65"/>
  <c r="W68" i="65"/>
  <c r="W70" i="65"/>
  <c r="W72" i="65"/>
  <c r="W74" i="65"/>
  <c r="W76" i="65"/>
  <c r="W81" i="65"/>
  <c r="W204" i="65"/>
  <c r="W142" i="65"/>
  <c r="W144" i="65"/>
  <c r="W61" i="65"/>
  <c r="W184" i="65"/>
  <c r="W122" i="65"/>
  <c r="J207" i="65"/>
  <c r="W186" i="65"/>
  <c r="W188" i="65"/>
  <c r="W190" i="65"/>
  <c r="W192" i="65"/>
  <c r="W194" i="65"/>
  <c r="W196" i="65"/>
  <c r="W198" i="65"/>
  <c r="W200" i="65"/>
  <c r="W202" i="65"/>
  <c r="W185" i="65"/>
  <c r="W187" i="65"/>
  <c r="W189" i="65"/>
  <c r="W191" i="65"/>
  <c r="W193" i="65"/>
  <c r="W195" i="65"/>
  <c r="W197" i="65"/>
  <c r="W199" i="65"/>
  <c r="W201" i="65"/>
  <c r="W203" i="65"/>
  <c r="W124" i="65"/>
  <c r="W126" i="65"/>
  <c r="W128" i="65"/>
  <c r="W130" i="65"/>
  <c r="W132" i="65"/>
  <c r="W134" i="65"/>
  <c r="W136" i="65"/>
  <c r="W138" i="65"/>
  <c r="W140" i="65"/>
  <c r="V145" i="65"/>
  <c r="O10" i="65" s="1"/>
  <c r="R10" i="65" s="1"/>
  <c r="W123" i="65"/>
  <c r="W125" i="65"/>
  <c r="W127" i="65"/>
  <c r="W129" i="65"/>
  <c r="W131" i="65"/>
  <c r="W133" i="65"/>
  <c r="W135" i="65"/>
  <c r="W137" i="65"/>
  <c r="W139" i="65"/>
  <c r="W141" i="65"/>
  <c r="W114" i="65"/>
  <c r="P8" i="65" s="1"/>
  <c r="N18" i="65"/>
  <c r="W60" i="65"/>
  <c r="W79" i="65"/>
  <c r="W78" i="65"/>
  <c r="V25" i="65"/>
  <c r="W25" i="65"/>
  <c r="V29" i="65"/>
  <c r="W29" i="65"/>
  <c r="V7" i="65"/>
  <c r="W7" i="65"/>
  <c r="W16" i="65"/>
  <c r="V16" i="65"/>
  <c r="V33" i="65"/>
  <c r="W33" i="65"/>
  <c r="V41" i="65"/>
  <c r="W41" i="65"/>
  <c r="V45" i="65"/>
  <c r="W45" i="65"/>
  <c r="W13" i="65"/>
  <c r="W21" i="65"/>
  <c r="W37" i="65"/>
  <c r="V10" i="65"/>
  <c r="V12" i="65"/>
  <c r="W12" i="65"/>
  <c r="W24" i="65"/>
  <c r="V24" i="65"/>
  <c r="V26" i="65"/>
  <c r="W26" i="65"/>
  <c r="V40" i="65"/>
  <c r="W40" i="65"/>
  <c r="V42" i="65"/>
  <c r="W42" i="65"/>
  <c r="J52" i="65"/>
  <c r="V15" i="65"/>
  <c r="W15" i="65"/>
  <c r="V19" i="65"/>
  <c r="W19" i="65"/>
  <c r="V28" i="65"/>
  <c r="W28" i="65"/>
  <c r="V30" i="65"/>
  <c r="W30" i="65"/>
  <c r="W44" i="65"/>
  <c r="V44" i="65"/>
  <c r="V83" i="65"/>
  <c r="O6" i="65" s="1"/>
  <c r="V8" i="65"/>
  <c r="W8" i="65"/>
  <c r="V18" i="65"/>
  <c r="W18" i="65"/>
  <c r="W32" i="65"/>
  <c r="V32" i="65"/>
  <c r="V34" i="65"/>
  <c r="W34" i="65"/>
  <c r="V9" i="65"/>
  <c r="W9" i="65"/>
  <c r="V14" i="65"/>
  <c r="W14" i="65"/>
  <c r="V22" i="65"/>
  <c r="W22" i="65"/>
  <c r="W36" i="65"/>
  <c r="V36" i="65"/>
  <c r="V38" i="65"/>
  <c r="W38" i="65"/>
  <c r="W176" i="65"/>
  <c r="P12" i="65" s="1"/>
  <c r="V207" i="65"/>
  <c r="O14" i="65" s="1"/>
  <c r="R14" i="65" s="1"/>
  <c r="W238" i="65"/>
  <c r="P16" i="65" s="1"/>
  <c r="V6" i="65"/>
  <c r="W17" i="65"/>
  <c r="W23" i="65"/>
  <c r="W27" i="65"/>
  <c r="W31" i="65"/>
  <c r="W35" i="65"/>
  <c r="W39" i="65"/>
  <c r="V11" i="65"/>
  <c r="V43" i="65"/>
  <c r="J83" i="65"/>
  <c r="V91" i="65"/>
  <c r="V92" i="65"/>
  <c r="V93" i="65"/>
  <c r="V94" i="65"/>
  <c r="V95" i="65"/>
  <c r="V96" i="65"/>
  <c r="V97" i="65"/>
  <c r="V98" i="65"/>
  <c r="V99" i="65"/>
  <c r="V100" i="65"/>
  <c r="V101" i="65"/>
  <c r="V102" i="65"/>
  <c r="V103" i="65"/>
  <c r="V104" i="65"/>
  <c r="V105" i="65"/>
  <c r="V106" i="65"/>
  <c r="V107" i="65"/>
  <c r="V108" i="65"/>
  <c r="V109" i="65"/>
  <c r="V110" i="65"/>
  <c r="V111" i="65"/>
  <c r="V112" i="65"/>
  <c r="V113" i="65"/>
  <c r="J145" i="65"/>
  <c r="V153" i="65"/>
  <c r="V154" i="65"/>
  <c r="V155" i="65"/>
  <c r="V156" i="65"/>
  <c r="V157" i="65"/>
  <c r="V158" i="65"/>
  <c r="V159" i="65"/>
  <c r="V160" i="65"/>
  <c r="V161" i="65"/>
  <c r="V162" i="65"/>
  <c r="V163" i="65"/>
  <c r="V164" i="65"/>
  <c r="V165" i="65"/>
  <c r="V166" i="65"/>
  <c r="V167" i="65"/>
  <c r="V168" i="65"/>
  <c r="V169" i="65"/>
  <c r="V170" i="65"/>
  <c r="V171" i="65"/>
  <c r="V172" i="65"/>
  <c r="V173" i="65"/>
  <c r="V174" i="65"/>
  <c r="V175" i="65"/>
  <c r="V215" i="65"/>
  <c r="V216" i="65"/>
  <c r="V217" i="65"/>
  <c r="V218" i="65"/>
  <c r="V219" i="65"/>
  <c r="V220" i="65"/>
  <c r="V221" i="65"/>
  <c r="V222" i="65"/>
  <c r="V223" i="65"/>
  <c r="V224" i="65"/>
  <c r="V225" i="65"/>
  <c r="V226" i="65"/>
  <c r="V227" i="65"/>
  <c r="V228" i="65"/>
  <c r="V229" i="65"/>
  <c r="V230" i="65"/>
  <c r="V231" i="65"/>
  <c r="V232" i="65"/>
  <c r="V233" i="65"/>
  <c r="V234" i="65"/>
  <c r="V235" i="65"/>
  <c r="V236" i="65"/>
  <c r="V237" i="65"/>
  <c r="W6" i="65"/>
  <c r="W20" i="65"/>
  <c r="J114" i="65"/>
  <c r="J176" i="65"/>
  <c r="J238" i="65"/>
  <c r="Q18" i="68" l="1"/>
  <c r="P18" i="66"/>
  <c r="O18" i="66"/>
  <c r="R18" i="66" s="1"/>
  <c r="P20" i="66" s="1"/>
  <c r="R4" i="66"/>
  <c r="Q4" i="66"/>
  <c r="R16" i="66"/>
  <c r="Q16" i="66"/>
  <c r="Q8" i="66"/>
  <c r="R8" i="66"/>
  <c r="W83" i="65"/>
  <c r="P6" i="65" s="1"/>
  <c r="Q6" i="65" s="1"/>
  <c r="W207" i="65"/>
  <c r="P14" i="65" s="1"/>
  <c r="W145" i="65"/>
  <c r="P10" i="65" s="1"/>
  <c r="Q10" i="65" s="1"/>
  <c r="V52" i="65"/>
  <c r="O4" i="65" s="1"/>
  <c r="W52" i="65"/>
  <c r="P4" i="65" s="1"/>
  <c r="R6" i="65"/>
  <c r="V238" i="65"/>
  <c r="O16" i="65" s="1"/>
  <c r="R16" i="65" s="1"/>
  <c r="V176" i="65"/>
  <c r="O12" i="65" s="1"/>
  <c r="R12" i="65" s="1"/>
  <c r="V114" i="65"/>
  <c r="O8" i="65" s="1"/>
  <c r="Q18" i="66" l="1"/>
  <c r="P18" i="65"/>
  <c r="Q16" i="65"/>
  <c r="O18" i="65"/>
  <c r="R18" i="65" s="1"/>
  <c r="P20" i="65" s="1"/>
  <c r="R4" i="65"/>
  <c r="Q4" i="65"/>
  <c r="R8" i="65"/>
  <c r="Q8" i="65"/>
  <c r="Q18" i="65" l="1"/>
  <c r="J234" i="61"/>
  <c r="J233" i="61"/>
  <c r="J232" i="61"/>
  <c r="J231" i="61"/>
  <c r="J230" i="61"/>
  <c r="J229" i="61"/>
  <c r="J203" i="61"/>
  <c r="J202" i="61"/>
  <c r="J201" i="61"/>
  <c r="J200" i="61"/>
  <c r="J199" i="61"/>
  <c r="J198" i="61"/>
  <c r="J172" i="61"/>
  <c r="J171" i="61"/>
  <c r="J170" i="61"/>
  <c r="J169" i="61"/>
  <c r="J168" i="61"/>
  <c r="J167" i="61"/>
  <c r="J141" i="61"/>
  <c r="J140" i="61"/>
  <c r="J139" i="61"/>
  <c r="J138" i="61"/>
  <c r="J137" i="61"/>
  <c r="J136" i="61"/>
  <c r="J110" i="61"/>
  <c r="J109" i="61"/>
  <c r="J108" i="61"/>
  <c r="J107" i="61"/>
  <c r="J106" i="61"/>
  <c r="J105" i="61"/>
  <c r="J79" i="61"/>
  <c r="J78" i="61"/>
  <c r="J77" i="61"/>
  <c r="J76" i="61"/>
  <c r="J75" i="61"/>
  <c r="J74" i="61"/>
  <c r="I45" i="61" l="1"/>
  <c r="J45" i="61" s="1"/>
  <c r="I44" i="61"/>
  <c r="J44" i="61" s="1"/>
  <c r="I43" i="61"/>
  <c r="J43" i="61" s="1"/>
  <c r="I42" i="61"/>
  <c r="J42" i="61" s="1"/>
  <c r="I41" i="61"/>
  <c r="J41" i="61" s="1"/>
  <c r="I40" i="61"/>
  <c r="J40" i="61" s="1"/>
  <c r="I39" i="61"/>
  <c r="J39" i="61" s="1"/>
  <c r="I38" i="61"/>
  <c r="J38" i="61" s="1"/>
  <c r="I37" i="61"/>
  <c r="J37" i="61" s="1"/>
  <c r="I36" i="61"/>
  <c r="J36" i="61" s="1"/>
  <c r="J35" i="61"/>
  <c r="I35" i="61"/>
  <c r="I34" i="61"/>
  <c r="J34" i="61" s="1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161" i="53"/>
  <c r="I162" i="53"/>
  <c r="I163" i="53"/>
  <c r="I164" i="53"/>
  <c r="I165" i="53"/>
  <c r="I166" i="53"/>
  <c r="I167" i="53"/>
  <c r="I168" i="53"/>
  <c r="I169" i="53"/>
  <c r="I170" i="53"/>
  <c r="I171" i="53"/>
  <c r="I172" i="53"/>
  <c r="I173" i="53"/>
  <c r="I174" i="53"/>
  <c r="I175" i="53"/>
  <c r="I176" i="53"/>
  <c r="I160" i="53"/>
  <c r="I138" i="53"/>
  <c r="I139" i="53"/>
  <c r="I140" i="53"/>
  <c r="I141" i="53"/>
  <c r="I142" i="53"/>
  <c r="I143" i="53"/>
  <c r="I144" i="53"/>
  <c r="I145" i="53"/>
  <c r="I146" i="53"/>
  <c r="I147" i="53"/>
  <c r="I148" i="53"/>
  <c r="I149" i="53"/>
  <c r="I150" i="53"/>
  <c r="I151" i="53"/>
  <c r="I152" i="53"/>
  <c r="I153" i="53"/>
  <c r="I137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114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92" i="53"/>
  <c r="H7" i="53"/>
  <c r="I7" i="53" s="1"/>
  <c r="H8" i="53"/>
  <c r="I8" i="53" s="1"/>
  <c r="H9" i="53"/>
  <c r="I9" i="53" s="1"/>
  <c r="H10" i="53"/>
  <c r="I10" i="53" s="1"/>
  <c r="H11" i="53"/>
  <c r="I11" i="53" s="1"/>
  <c r="H12" i="53"/>
  <c r="I12" i="53" s="1"/>
  <c r="H13" i="53"/>
  <c r="I13" i="53" s="1"/>
  <c r="H14" i="53"/>
  <c r="I14" i="53" s="1"/>
  <c r="H15" i="53"/>
  <c r="I15" i="53" s="1"/>
  <c r="H16" i="53"/>
  <c r="I16" i="53" s="1"/>
  <c r="H17" i="53"/>
  <c r="I17" i="53" s="1"/>
  <c r="H18" i="53"/>
  <c r="I18" i="53" s="1"/>
  <c r="H19" i="53"/>
  <c r="I19" i="53" s="1"/>
  <c r="H20" i="53"/>
  <c r="I20" i="53" s="1"/>
  <c r="H21" i="53"/>
  <c r="I21" i="53" s="1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H32" i="53"/>
  <c r="I32" i="53" s="1"/>
  <c r="H33" i="53"/>
  <c r="I33" i="53" s="1"/>
  <c r="H34" i="53"/>
  <c r="I34" i="53" s="1"/>
  <c r="H35" i="53"/>
  <c r="I35" i="53" s="1"/>
  <c r="H36" i="53"/>
  <c r="I36" i="53" s="1"/>
  <c r="H37" i="53"/>
  <c r="I37" i="53" s="1"/>
  <c r="H38" i="53"/>
  <c r="I38" i="53" s="1"/>
  <c r="H39" i="53"/>
  <c r="I39" i="53" s="1"/>
  <c r="H6" i="53"/>
  <c r="I6" i="53" s="1"/>
  <c r="I178" i="53" l="1"/>
  <c r="I156" i="53"/>
  <c r="I134" i="53"/>
  <c r="I111" i="53"/>
  <c r="M18" i="49"/>
  <c r="N18" i="49"/>
  <c r="O18" i="49"/>
  <c r="L18" i="49"/>
  <c r="H46" i="49"/>
  <c r="I46" i="49" s="1"/>
  <c r="H45" i="49"/>
  <c r="I45" i="49" s="1"/>
  <c r="M21" i="49" l="1"/>
  <c r="M24" i="48"/>
  <c r="M27" i="48" s="1"/>
  <c r="N24" i="48"/>
  <c r="O24" i="48"/>
  <c r="L24" i="48"/>
  <c r="M24" i="47" l="1"/>
  <c r="N24" i="47"/>
  <c r="O24" i="47"/>
  <c r="L24" i="47"/>
  <c r="M27" i="45" l="1"/>
  <c r="N22" i="44" l="1"/>
  <c r="N27" i="39" l="1"/>
  <c r="I135" i="38"/>
  <c r="I134" i="38"/>
  <c r="I107" i="38"/>
  <c r="N25" i="38"/>
  <c r="H22" i="38"/>
  <c r="H20" i="38"/>
  <c r="H19" i="38"/>
  <c r="H17" i="38"/>
  <c r="H16" i="38"/>
  <c r="H15" i="38"/>
  <c r="H14" i="38"/>
  <c r="H13" i="38"/>
  <c r="H12" i="38"/>
  <c r="H11" i="38"/>
  <c r="H10" i="38"/>
  <c r="H9" i="38"/>
  <c r="H8" i="38"/>
  <c r="H7" i="38"/>
  <c r="H6" i="38"/>
  <c r="I117" i="37" l="1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H35" i="37"/>
  <c r="I35" i="37" s="1"/>
  <c r="H34" i="37"/>
  <c r="I34" i="37" s="1"/>
  <c r="H33" i="37"/>
  <c r="I33" i="37" s="1"/>
  <c r="H32" i="37"/>
  <c r="I32" i="37" s="1"/>
  <c r="H31" i="37"/>
  <c r="I31" i="37" s="1"/>
  <c r="H30" i="37"/>
  <c r="I30" i="37" s="1"/>
  <c r="H29" i="37"/>
  <c r="I29" i="37" s="1"/>
  <c r="H28" i="37"/>
  <c r="I28" i="37" s="1"/>
  <c r="H27" i="37"/>
  <c r="I27" i="37" s="1"/>
  <c r="H26" i="37"/>
  <c r="I26" i="37" s="1"/>
  <c r="H25" i="37"/>
  <c r="I25" i="37" s="1"/>
  <c r="H24" i="37"/>
  <c r="I24" i="37" s="1"/>
  <c r="H23" i="37"/>
  <c r="I23" i="37" s="1"/>
  <c r="H22" i="37"/>
  <c r="I22" i="37" s="1"/>
  <c r="N23" i="37"/>
  <c r="H21" i="37"/>
  <c r="I21" i="37" s="1"/>
  <c r="H20" i="37"/>
  <c r="I20" i="37" s="1"/>
  <c r="H19" i="37"/>
  <c r="I19" i="37" s="1"/>
  <c r="H18" i="37"/>
  <c r="I18" i="37" s="1"/>
  <c r="H17" i="37"/>
  <c r="I17" i="37" s="1"/>
  <c r="H16" i="37"/>
  <c r="I16" i="37" s="1"/>
  <c r="H15" i="37"/>
  <c r="I15" i="37" s="1"/>
  <c r="H14" i="37"/>
  <c r="I14" i="37" s="1"/>
  <c r="H13" i="37"/>
  <c r="I13" i="37" s="1"/>
  <c r="H12" i="37"/>
  <c r="I12" i="37" s="1"/>
  <c r="H11" i="37"/>
  <c r="I11" i="37" s="1"/>
  <c r="H10" i="37"/>
  <c r="I10" i="37" s="1"/>
  <c r="H9" i="37"/>
  <c r="I9" i="37" s="1"/>
  <c r="H8" i="37"/>
  <c r="I8" i="37" s="1"/>
  <c r="H7" i="37"/>
  <c r="I7" i="37" s="1"/>
  <c r="H6" i="37"/>
  <c r="I6" i="37" s="1"/>
  <c r="H36" i="35"/>
  <c r="I36" i="35" s="1"/>
  <c r="H35" i="35"/>
  <c r="I35" i="35" s="1"/>
  <c r="H19" i="35"/>
  <c r="I19" i="35" s="1"/>
  <c r="I119" i="35"/>
  <c r="I120" i="35"/>
  <c r="I121" i="35"/>
  <c r="I122" i="35"/>
  <c r="I123" i="35"/>
  <c r="I124" i="35"/>
  <c r="I125" i="35"/>
  <c r="I126" i="35"/>
  <c r="I91" i="35"/>
  <c r="I57" i="35"/>
  <c r="I58" i="35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56" i="35"/>
  <c r="I127" i="35"/>
  <c r="I128" i="35"/>
  <c r="I129" i="35"/>
  <c r="I130" i="35"/>
  <c r="I131" i="35"/>
  <c r="I132" i="35"/>
  <c r="I133" i="35"/>
  <c r="I134" i="35"/>
  <c r="I135" i="35"/>
  <c r="I136" i="35"/>
  <c r="I118" i="35"/>
  <c r="I92" i="35"/>
  <c r="I93" i="35"/>
  <c r="I94" i="35"/>
  <c r="I95" i="35"/>
  <c r="I96" i="35"/>
  <c r="I97" i="35"/>
  <c r="I98" i="35"/>
  <c r="I99" i="35"/>
  <c r="I100" i="35"/>
  <c r="I101" i="35"/>
  <c r="I102" i="35"/>
  <c r="I103" i="35"/>
  <c r="I104" i="35"/>
  <c r="I105" i="35"/>
  <c r="I106" i="35"/>
  <c r="I107" i="35"/>
  <c r="I108" i="35"/>
  <c r="I90" i="35"/>
  <c r="I116" i="35"/>
  <c r="I142" i="35"/>
  <c r="G143" i="35"/>
  <c r="I143" i="35" s="1"/>
  <c r="I144" i="35"/>
  <c r="G145" i="35"/>
  <c r="I145" i="35" s="1"/>
  <c r="G146" i="35"/>
  <c r="I146" i="35" s="1"/>
  <c r="G147" i="35"/>
  <c r="I147" i="35" s="1"/>
  <c r="G148" i="35"/>
  <c r="I148" i="35" s="1"/>
  <c r="I149" i="35"/>
  <c r="I150" i="35"/>
  <c r="I151" i="35"/>
  <c r="G152" i="35"/>
  <c r="I152" i="35" s="1"/>
  <c r="G153" i="35"/>
  <c r="I153" i="35" s="1"/>
  <c r="I154" i="35"/>
  <c r="G155" i="35"/>
  <c r="I155" i="35" s="1"/>
  <c r="G156" i="35"/>
  <c r="I156" i="35" s="1"/>
  <c r="G157" i="35"/>
  <c r="I157" i="35" s="1"/>
  <c r="G158" i="35"/>
  <c r="I158" i="35" s="1"/>
  <c r="G159" i="35"/>
  <c r="I159" i="35" s="1"/>
  <c r="I160" i="35"/>
  <c r="I141" i="35"/>
  <c r="H7" i="35"/>
  <c r="I7" i="35" s="1"/>
  <c r="H8" i="35"/>
  <c r="I8" i="35" s="1"/>
  <c r="H9" i="35"/>
  <c r="I9" i="35" s="1"/>
  <c r="H10" i="35"/>
  <c r="I10" i="35" s="1"/>
  <c r="H11" i="35"/>
  <c r="I11" i="35" s="1"/>
  <c r="H12" i="35"/>
  <c r="I12" i="35" s="1"/>
  <c r="H13" i="35"/>
  <c r="I13" i="35" s="1"/>
  <c r="H14" i="35"/>
  <c r="I14" i="35" s="1"/>
  <c r="H15" i="35"/>
  <c r="I15" i="35" s="1"/>
  <c r="H16" i="35"/>
  <c r="I16" i="35" s="1"/>
  <c r="H17" i="35"/>
  <c r="I17" i="35" s="1"/>
  <c r="H18" i="35"/>
  <c r="I18" i="35" s="1"/>
  <c r="H20" i="35"/>
  <c r="I20" i="35" s="1"/>
  <c r="H21" i="35"/>
  <c r="I21" i="35" s="1"/>
  <c r="H22" i="35"/>
  <c r="I22" i="35" s="1"/>
  <c r="H23" i="35"/>
  <c r="I23" i="35" s="1"/>
  <c r="H24" i="35"/>
  <c r="I24" i="35" s="1"/>
  <c r="H25" i="35"/>
  <c r="I25" i="35" s="1"/>
  <c r="H26" i="35"/>
  <c r="I26" i="35" s="1"/>
  <c r="H27" i="35"/>
  <c r="I27" i="35" s="1"/>
  <c r="H28" i="35"/>
  <c r="I28" i="35" s="1"/>
  <c r="H29" i="35"/>
  <c r="I29" i="35" s="1"/>
  <c r="H30" i="35"/>
  <c r="I30" i="35" s="1"/>
  <c r="H31" i="35"/>
  <c r="I31" i="35" s="1"/>
  <c r="H32" i="35"/>
  <c r="I32" i="35" s="1"/>
  <c r="H33" i="35"/>
  <c r="I33" i="35" s="1"/>
  <c r="H34" i="35"/>
  <c r="I34" i="35" s="1"/>
  <c r="H37" i="35"/>
  <c r="I37" i="35" s="1"/>
  <c r="H38" i="35"/>
  <c r="I38" i="35" s="1"/>
  <c r="H39" i="35"/>
  <c r="I39" i="35" s="1"/>
  <c r="H40" i="35"/>
  <c r="I40" i="35" s="1"/>
  <c r="H41" i="35"/>
  <c r="I41" i="35" s="1"/>
  <c r="H42" i="35"/>
  <c r="I42" i="35" s="1"/>
  <c r="H43" i="35"/>
  <c r="I43" i="35" s="1"/>
  <c r="H44" i="35"/>
  <c r="I44" i="35" s="1"/>
  <c r="H45" i="35"/>
  <c r="I45" i="35" s="1"/>
  <c r="H46" i="35"/>
  <c r="I46" i="35" s="1"/>
  <c r="H6" i="35"/>
  <c r="I6" i="35" s="1"/>
  <c r="O13" i="35"/>
  <c r="N13" i="35"/>
  <c r="M13" i="35"/>
  <c r="L13" i="35"/>
  <c r="H37" i="34"/>
  <c r="H38" i="34"/>
  <c r="I38" i="34" s="1"/>
  <c r="H39" i="34"/>
  <c r="I39" i="34" s="1"/>
  <c r="H40" i="34"/>
  <c r="I40" i="34" s="1"/>
  <c r="H41" i="34"/>
  <c r="I41" i="34" s="1"/>
  <c r="H42" i="34"/>
  <c r="I42" i="34" s="1"/>
  <c r="H43" i="34"/>
  <c r="I43" i="34" s="1"/>
  <c r="H44" i="34"/>
  <c r="I44" i="34" s="1"/>
  <c r="I37" i="34"/>
  <c r="O13" i="34"/>
  <c r="N13" i="34"/>
  <c r="M13" i="34"/>
  <c r="L13" i="34"/>
  <c r="H36" i="34"/>
  <c r="I36" i="34" s="1"/>
  <c r="H35" i="34"/>
  <c r="I35" i="34" s="1"/>
  <c r="I156" i="34"/>
  <c r="I132" i="34"/>
  <c r="I105" i="34"/>
  <c r="H34" i="34"/>
  <c r="I34" i="34" s="1"/>
  <c r="H31" i="34"/>
  <c r="I31" i="34" s="1"/>
  <c r="H32" i="34"/>
  <c r="I32" i="34" s="1"/>
  <c r="H33" i="34"/>
  <c r="I33" i="34" s="1"/>
  <c r="I71" i="34"/>
  <c r="H29" i="34"/>
  <c r="I29" i="34" s="1"/>
  <c r="H30" i="34"/>
  <c r="I30" i="34" s="1"/>
  <c r="H24" i="34"/>
  <c r="I24" i="34" s="1"/>
  <c r="H25" i="34"/>
  <c r="I25" i="34" s="1"/>
  <c r="H26" i="34"/>
  <c r="I26" i="34" s="1"/>
  <c r="H27" i="34"/>
  <c r="I27" i="34" s="1"/>
  <c r="H28" i="34"/>
  <c r="I28" i="34" s="1"/>
  <c r="H22" i="34"/>
  <c r="I22" i="34" s="1"/>
  <c r="H23" i="34"/>
  <c r="I23" i="34" s="1"/>
  <c r="H7" i="34"/>
  <c r="I7" i="34" s="1"/>
  <c r="H8" i="34"/>
  <c r="I8" i="34" s="1"/>
  <c r="H9" i="34"/>
  <c r="I9" i="34" s="1"/>
  <c r="H10" i="34"/>
  <c r="I10" i="34" s="1"/>
  <c r="H11" i="34"/>
  <c r="I11" i="34" s="1"/>
  <c r="H12" i="34"/>
  <c r="I12" i="34" s="1"/>
  <c r="H13" i="34"/>
  <c r="I13" i="34" s="1"/>
  <c r="H14" i="34"/>
  <c r="I14" i="34" s="1"/>
  <c r="H15" i="34"/>
  <c r="I15" i="34" s="1"/>
  <c r="H16" i="34"/>
  <c r="I16" i="34" s="1"/>
  <c r="H17" i="34"/>
  <c r="I17" i="34" s="1"/>
  <c r="H18" i="34"/>
  <c r="I18" i="34" s="1"/>
  <c r="H19" i="34"/>
  <c r="I19" i="34" s="1"/>
  <c r="H20" i="34"/>
  <c r="I20" i="34" s="1"/>
  <c r="H21" i="34"/>
  <c r="I21" i="34" s="1"/>
  <c r="H6" i="34"/>
  <c r="I6" i="34" s="1"/>
  <c r="L12" i="20"/>
  <c r="M12" i="20"/>
  <c r="N12" i="20"/>
  <c r="K12" i="20"/>
  <c r="G20" i="15"/>
  <c r="G22" i="15"/>
  <c r="G19" i="15"/>
  <c r="G7" i="15"/>
  <c r="G8" i="15"/>
  <c r="G9" i="15"/>
  <c r="G10" i="15"/>
  <c r="G11" i="15"/>
  <c r="G6" i="15"/>
  <c r="G11" i="9"/>
  <c r="G12" i="9"/>
  <c r="G14" i="9"/>
  <c r="G10" i="9"/>
  <c r="H87" i="9"/>
  <c r="H61" i="9"/>
  <c r="G9" i="9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I118" i="37" l="1"/>
  <c r="I49" i="35"/>
  <c r="I138" i="35"/>
  <c r="I161" i="35"/>
  <c r="N16" i="35"/>
  <c r="N16" i="34"/>
  <c r="I47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Ravi</author>
  </authors>
  <commentList>
    <comment ref="H232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Ravi: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<sst xmlns="http://schemas.openxmlformats.org/spreadsheetml/2006/main" count="53562" uniqueCount="4549">
  <si>
    <t xml:space="preserve">         </t>
  </si>
  <si>
    <t>DATE</t>
  </si>
  <si>
    <t>ENTRY</t>
  </si>
  <si>
    <t>QTY</t>
  </si>
  <si>
    <t>PROFIT</t>
  </si>
  <si>
    <t>BUY/SELL</t>
  </si>
  <si>
    <t>SCRIPTS</t>
  </si>
  <si>
    <t>EXIT</t>
  </si>
  <si>
    <t>SELL</t>
  </si>
  <si>
    <t>BUY</t>
  </si>
  <si>
    <t>TATA STEEL</t>
  </si>
  <si>
    <t xml:space="preserve">BUY </t>
  </si>
  <si>
    <t>KTK BANK</t>
  </si>
  <si>
    <t>RELINFRA</t>
  </si>
  <si>
    <t>IPCALAB</t>
  </si>
  <si>
    <t>SIEMENS</t>
  </si>
  <si>
    <t>TITAN</t>
  </si>
  <si>
    <t>AMBUJA CEMENT</t>
  </si>
  <si>
    <t>J&amp;K BANK</t>
  </si>
  <si>
    <t>SBIN</t>
  </si>
  <si>
    <t>AXIS BANK</t>
  </si>
  <si>
    <t>L&amp;T</t>
  </si>
  <si>
    <t>IDFC</t>
  </si>
  <si>
    <t>SESAGOA</t>
  </si>
  <si>
    <t>ALBK</t>
  </si>
  <si>
    <t>TATASTEEL</t>
  </si>
  <si>
    <t>DLF</t>
  </si>
  <si>
    <t xml:space="preserve">                                     PERFORMANCE  OF EQUITY COMBO PACKAGE APRIL 2013</t>
  </si>
  <si>
    <t>PNB</t>
  </si>
  <si>
    <t>HCLTECH</t>
  </si>
  <si>
    <t>GAIL</t>
  </si>
  <si>
    <t>RELIANCE</t>
  </si>
  <si>
    <t>QTY PER 3 LACK</t>
  </si>
  <si>
    <t xml:space="preserve">                                                                          CASH INTRADAY</t>
  </si>
  <si>
    <t>CAIRN</t>
  </si>
  <si>
    <t>YES BANK</t>
  </si>
  <si>
    <t>ICICI BANK</t>
  </si>
  <si>
    <t>HINDALCO</t>
  </si>
  <si>
    <t>AMBUJACEMENT</t>
  </si>
  <si>
    <t>NIFTY</t>
  </si>
  <si>
    <t xml:space="preserve">BANK NIFTY </t>
  </si>
  <si>
    <t>BANK NIFTY</t>
  </si>
  <si>
    <t xml:space="preserve">                                     PERFORMANCE  OF EQUITY COMBO PACKAGE MAY 2013</t>
  </si>
  <si>
    <t xml:space="preserve">                                     PERFORMANCE  OF EQUITY COMBO PACKAGE JUNE 2013</t>
  </si>
  <si>
    <t>TATA MOTORS</t>
  </si>
  <si>
    <t>TATAGLOBAL</t>
  </si>
  <si>
    <t>ONGC</t>
  </si>
  <si>
    <t>BANKOFBARODA</t>
  </si>
  <si>
    <t>BANKBARODA</t>
  </si>
  <si>
    <t>JUBLFOOD</t>
  </si>
  <si>
    <t>SUNPHARMA</t>
  </si>
  <si>
    <t>VOLTAS</t>
  </si>
  <si>
    <t>ABB</t>
  </si>
  <si>
    <t xml:space="preserve">HCLTECH </t>
  </si>
  <si>
    <t xml:space="preserve">SESAGOA </t>
  </si>
  <si>
    <t xml:space="preserve">KOTAK BANK </t>
  </si>
  <si>
    <t>RCOM</t>
  </si>
  <si>
    <t>RPOWER</t>
  </si>
  <si>
    <t>AXISBANK</t>
  </si>
  <si>
    <t>SBIN(JUN)</t>
  </si>
  <si>
    <t>HDFC BANK</t>
  </si>
  <si>
    <t xml:space="preserve"> BUY </t>
  </si>
  <si>
    <t xml:space="preserve">                                                                STOCK FUTURE INTRADAY QTY PER 1 LOT</t>
  </si>
  <si>
    <t xml:space="preserve">                                                                NIFTY FUTURE INTRADAY QTY PER 2 LOT</t>
  </si>
  <si>
    <t xml:space="preserve">                                                                NIFTY OPTION INTRADAY QTY PER 4 LOT</t>
  </si>
  <si>
    <t>CALL</t>
  </si>
  <si>
    <t>NIFTY 5900 (MAY)</t>
  </si>
  <si>
    <t>NIFTY 6000 (MAY)</t>
  </si>
  <si>
    <t>NIFTY 6100 (MAY)</t>
  </si>
  <si>
    <t>PUT</t>
  </si>
  <si>
    <t>NIFTY 6200(MAY)</t>
  </si>
  <si>
    <t>NIFTY 6100 (JUNE)</t>
  </si>
  <si>
    <t>NIFTY 6100 (JUN)</t>
  </si>
  <si>
    <t>NIFTY 5700 (APRIL)</t>
  </si>
  <si>
    <t>NIFTY 5600 (APRIL)</t>
  </si>
  <si>
    <t>NIFTY 5500 (APRIL)</t>
  </si>
  <si>
    <t>NIFTY 5400 (APRIL)</t>
  </si>
  <si>
    <t>NIFTY 5800 (MAY)</t>
  </si>
  <si>
    <t>LT</t>
  </si>
  <si>
    <t>BHARTIAIRTEL</t>
  </si>
  <si>
    <t>COAL INDIA</t>
  </si>
  <si>
    <t xml:space="preserve"> ICICI BANK </t>
  </si>
  <si>
    <t>CANBANK</t>
  </si>
  <si>
    <t>KOTAK BANK</t>
  </si>
  <si>
    <t>MARUTI</t>
  </si>
  <si>
    <t>BHARTIARTL</t>
  </si>
  <si>
    <t>NIFTY 6000 (JUN)</t>
  </si>
  <si>
    <t>NIFTY 5900 (JUN)</t>
  </si>
  <si>
    <t>NIFTY 5800 (JUN)</t>
  </si>
  <si>
    <t>NIFTY 5700 (JUN)</t>
  </si>
  <si>
    <t>TECHM</t>
  </si>
  <si>
    <t>JETAIRWAYS</t>
  </si>
  <si>
    <t>FRL</t>
  </si>
  <si>
    <t>RELCAP</t>
  </si>
  <si>
    <t>HDFCBANK</t>
  </si>
  <si>
    <t>ICICIBANK</t>
  </si>
  <si>
    <t>NIFTY 5600 (JUN)</t>
  </si>
  <si>
    <t>HINDULNIVR</t>
  </si>
  <si>
    <t>HEROMOTOCO</t>
  </si>
  <si>
    <t>ITC</t>
  </si>
  <si>
    <t>NIFTY 5700 (JUL)</t>
  </si>
  <si>
    <t xml:space="preserve">                                     PERFORMANCE  OF EQUITY COMBO PACKAGE JULY 2013</t>
  </si>
  <si>
    <t>NIFTY 5900 (JULY)</t>
  </si>
  <si>
    <t>PFC</t>
  </si>
  <si>
    <t>NIFTY 5800 (JULY)</t>
  </si>
  <si>
    <t>RECLTD</t>
  </si>
  <si>
    <t>RELCAPITAL</t>
  </si>
  <si>
    <t>BAJAJAUTO</t>
  </si>
  <si>
    <t>GLENMARK</t>
  </si>
  <si>
    <t>M&amp;M</t>
  </si>
  <si>
    <t>NIFTY 6000 (JULY)</t>
  </si>
  <si>
    <t>BIOCON</t>
  </si>
  <si>
    <t>ZEEL</t>
  </si>
  <si>
    <t>UNIONBANK</t>
  </si>
  <si>
    <t>ABIRLANUVO</t>
  </si>
  <si>
    <t>COALINDIA</t>
  </si>
  <si>
    <t>APOLOTYRE</t>
  </si>
  <si>
    <t>AMBUJACEM</t>
  </si>
  <si>
    <t>NIFTY 6100 (JULY)</t>
  </si>
  <si>
    <t>KOTAKBANK</t>
  </si>
  <si>
    <t>BANKINDIA</t>
  </si>
  <si>
    <t>IDEA</t>
  </si>
  <si>
    <t>BATAINDIA</t>
  </si>
  <si>
    <t>NIFTY 5900 (AUG)</t>
  </si>
  <si>
    <t>TATAMOTORS</t>
  </si>
  <si>
    <t>NIFTY 5800 (AUG)</t>
  </si>
  <si>
    <t>TCS</t>
  </si>
  <si>
    <t>NIFTY 5700(AUG)</t>
  </si>
  <si>
    <t xml:space="preserve">                                     PERFORMANCE  OF EQUITY COMBO PACKAGE AUG 2013</t>
  </si>
  <si>
    <t>HDFC</t>
  </si>
  <si>
    <t>NIFTY 5900(AUG)</t>
  </si>
  <si>
    <t>NIFTY 5600 (AUG)</t>
  </si>
  <si>
    <t>SUNTV</t>
  </si>
  <si>
    <t>LUPIN</t>
  </si>
  <si>
    <t>SBIN 1600</t>
  </si>
  <si>
    <t>HEROMOTOCO 1900</t>
  </si>
  <si>
    <t>SBIN 1650</t>
  </si>
  <si>
    <t>HINDUNILVR</t>
  </si>
  <si>
    <t>YESBANK 310</t>
  </si>
  <si>
    <t>YESBANK</t>
  </si>
  <si>
    <t>IDEA 170</t>
  </si>
  <si>
    <t>NIFTY 5400 (AUG)</t>
  </si>
  <si>
    <t>HCLTECH 920</t>
  </si>
  <si>
    <t>TECHM 1260</t>
  </si>
  <si>
    <t>NIFTY 5500 (AUG)</t>
  </si>
  <si>
    <t xml:space="preserve">SBIN 1600 </t>
  </si>
  <si>
    <t>NTPC</t>
  </si>
  <si>
    <t>MARUTI 1250</t>
  </si>
  <si>
    <t>UNIONBANK 115</t>
  </si>
  <si>
    <t>HCLTECH 940</t>
  </si>
  <si>
    <t>SBIN 1550</t>
  </si>
  <si>
    <t>NIFTY 5200(AUG)</t>
  </si>
  <si>
    <t>NIFTY 5300(AUG)</t>
  </si>
  <si>
    <t xml:space="preserve">LICHFSGN </t>
  </si>
  <si>
    <t>NIFTY 5450(SEP)</t>
  </si>
  <si>
    <t xml:space="preserve">                                     PERFORMANCE  OF EQUITY COMBO PACKAGE SEP 2013</t>
  </si>
  <si>
    <t>NIFTY 5550 SEP</t>
  </si>
  <si>
    <t>BHARATFORG</t>
  </si>
  <si>
    <t>NIFTY 5450 SEP</t>
  </si>
  <si>
    <t>HEXAWARE</t>
  </si>
  <si>
    <t>CIPLA</t>
  </si>
  <si>
    <t>NIFTY 5500 SEP</t>
  </si>
  <si>
    <t>YESBANK 270</t>
  </si>
  <si>
    <t>PETRONET</t>
  </si>
  <si>
    <t>NIFTY 5850 SEP</t>
  </si>
  <si>
    <t>NIFTY 5950 SEP</t>
  </si>
  <si>
    <t>SBIN 1700</t>
  </si>
  <si>
    <t>NIFTY 5900 SEP</t>
  </si>
  <si>
    <t>HAVELLS</t>
  </si>
  <si>
    <t>TECHM 1340</t>
  </si>
  <si>
    <t xml:space="preserve"> BUY</t>
  </si>
  <si>
    <t>NIFTY 6100 SEP</t>
  </si>
  <si>
    <t>NIFTY 6050 SEP</t>
  </si>
  <si>
    <t>ASIANPAINT</t>
  </si>
  <si>
    <t xml:space="preserve">ASIANPAINT 500 </t>
  </si>
  <si>
    <t>AUROPHARMA</t>
  </si>
  <si>
    <t>NIFTY 5900OCT</t>
  </si>
  <si>
    <t>NIFTY 5800 OCT</t>
  </si>
  <si>
    <t>LT 740</t>
  </si>
  <si>
    <t xml:space="preserve">                                     PERFORMANCE  OF EQUITY COMBO PACKAGE OCT 2013</t>
  </si>
  <si>
    <t xml:space="preserve">                                     PERFORMANCE  OF EQUITY COMBO PACKAGE NOV 2013</t>
  </si>
  <si>
    <t xml:space="preserve">                                     PERFORMANCE  OF EQUITY COMBO PACKAGE DEC 2013</t>
  </si>
  <si>
    <t xml:space="preserve">                                     PERFORMANCE  OF EQUITY COMBO PACKAGE JAN 2014</t>
  </si>
  <si>
    <t>HINDUNILVER</t>
  </si>
  <si>
    <t>WIPRO</t>
  </si>
  <si>
    <t xml:space="preserve">CIPLA </t>
  </si>
  <si>
    <t>TATATSTEEL</t>
  </si>
  <si>
    <t>NMDC</t>
  </si>
  <si>
    <t>KTKBANK</t>
  </si>
  <si>
    <t>BHEL</t>
  </si>
  <si>
    <t>RANBAXY</t>
  </si>
  <si>
    <t xml:space="preserve">ITC </t>
  </si>
  <si>
    <t>CANBK</t>
  </si>
  <si>
    <t>BANK OF BARODA</t>
  </si>
  <si>
    <t xml:space="preserve">REC LTD </t>
  </si>
  <si>
    <t xml:space="preserve"> NIFTY 6400 PE (JAN)</t>
  </si>
  <si>
    <t>NIFTY 6400 CE (JAN)</t>
  </si>
  <si>
    <t xml:space="preserve"> NIFTY 6300 PE (JAN)</t>
  </si>
  <si>
    <t>NIFTY 6200 CE (JAN)</t>
  </si>
  <si>
    <t>NIFTY 6300 PE (JAN)</t>
  </si>
  <si>
    <t>NIFTY 6400 PE (JAN)</t>
  </si>
  <si>
    <t xml:space="preserve"> NIFTY 6200 PE (JAN)</t>
  </si>
  <si>
    <t>NIFTY 6200 PE (JAN)</t>
  </si>
  <si>
    <t>NIFTY 6200 CE (FEB)</t>
  </si>
  <si>
    <t>NIFTY 6100 PE (FEB)</t>
  </si>
  <si>
    <t>NIFTY 6300 CE(DEC)</t>
  </si>
  <si>
    <t>NIFTY 6200 PE (DEC)</t>
  </si>
  <si>
    <t>NIFTY 6400 CE(DEC)</t>
  </si>
  <si>
    <t>NIFTY 6350 CE (DEC)</t>
  </si>
  <si>
    <t>NIFTY 6400 PE (DEC)</t>
  </si>
  <si>
    <t>NIFTY 6300 PE (DEC)</t>
  </si>
  <si>
    <t>NIFTY 6200 CE(DEC)</t>
  </si>
  <si>
    <t>NIFTY 6100 CE(DEC)</t>
  </si>
  <si>
    <t>NIFTY 6300 CE (JAN)</t>
  </si>
  <si>
    <t>130</t>
  </si>
  <si>
    <t>90</t>
  </si>
  <si>
    <t>91</t>
  </si>
  <si>
    <t>100</t>
  </si>
  <si>
    <t>NIFTY 6300 CE(NOV)</t>
  </si>
  <si>
    <t>NIFTY 6300 PE(NOV)</t>
  </si>
  <si>
    <t>NIFTY 6200 CE(NOV)</t>
  </si>
  <si>
    <t>NIFTY 6200 PE(NOV)</t>
  </si>
  <si>
    <t>NIFTY 6100 CE(NOV)</t>
  </si>
  <si>
    <t>NIFTY 6100 PE(NOV)</t>
  </si>
  <si>
    <t>NIFTY 6000 CE(NOV)</t>
  </si>
  <si>
    <t>82</t>
  </si>
  <si>
    <t>155</t>
  </si>
  <si>
    <t>95</t>
  </si>
  <si>
    <t>120</t>
  </si>
  <si>
    <t>160</t>
  </si>
  <si>
    <t>94</t>
  </si>
  <si>
    <t>124</t>
  </si>
  <si>
    <t>140</t>
  </si>
  <si>
    <t>NIFTY 5600 PE(OCT)</t>
  </si>
  <si>
    <t>NIFTY 6000 CE(OCT)</t>
  </si>
  <si>
    <t>NIFTY 6100 CE(OCT)</t>
  </si>
  <si>
    <t>NIFTY 5900 PE(OCT)</t>
  </si>
  <si>
    <t>NIFTY 6050 CE(OCT)</t>
  </si>
  <si>
    <t>NIFTY 6200 PE(OCT)</t>
  </si>
  <si>
    <t>NIFTY 6150 CE(OCT)</t>
  </si>
  <si>
    <t>162</t>
  </si>
  <si>
    <t xml:space="preserve">Winners Capital Line </t>
  </si>
  <si>
    <t xml:space="preserve">                                                                NIFTY FUTURE INTRADAY QTY PER 1 LOT</t>
  </si>
  <si>
    <t xml:space="preserve">                                                                STOCK OPTION INTRADAY QTY PER 4 LOT</t>
  </si>
  <si>
    <t>10000</t>
  </si>
  <si>
    <t>3500</t>
  </si>
  <si>
    <t xml:space="preserve">                                     PERFORMANCE  OF EQUITY COMBO PACKAGE FEB 2014</t>
  </si>
  <si>
    <t>379</t>
  </si>
  <si>
    <t>374</t>
  </si>
  <si>
    <t>NIFTY 6100 CE</t>
  </si>
  <si>
    <t>ACC</t>
  </si>
  <si>
    <t>1025</t>
  </si>
  <si>
    <t>1020</t>
  </si>
  <si>
    <t>NIFTY 6000 PE</t>
  </si>
  <si>
    <t>NIFTY 6050 PE</t>
  </si>
  <si>
    <t>LICHFNC</t>
  </si>
  <si>
    <t>199.50</t>
  </si>
  <si>
    <t>198</t>
  </si>
  <si>
    <t>NIFTY 6100 PE</t>
  </si>
  <si>
    <t>1955</t>
  </si>
  <si>
    <t>1935</t>
  </si>
  <si>
    <t>303.50</t>
  </si>
  <si>
    <t>304</t>
  </si>
  <si>
    <t>619</t>
  </si>
  <si>
    <t>626</t>
  </si>
  <si>
    <t>NIFTY 6200 PE</t>
  </si>
  <si>
    <t>1840</t>
  </si>
  <si>
    <t>1835</t>
  </si>
  <si>
    <t>370</t>
  </si>
  <si>
    <t>365</t>
  </si>
  <si>
    <t>NIFTY 6250 CE</t>
  </si>
  <si>
    <t>355</t>
  </si>
  <si>
    <t>351</t>
  </si>
  <si>
    <t>1000</t>
  </si>
  <si>
    <t>2643</t>
  </si>
  <si>
    <t>BPCL</t>
  </si>
  <si>
    <t>520</t>
  </si>
  <si>
    <t>515</t>
  </si>
  <si>
    <t>102</t>
  </si>
  <si>
    <t>103</t>
  </si>
  <si>
    <t>6000</t>
  </si>
  <si>
    <t xml:space="preserve"> NIFTY 6100 PE</t>
  </si>
  <si>
    <t xml:space="preserve">                                     PERFORMANCE  OF EQUITY COMBO PACKAGE MARCH 2014</t>
  </si>
  <si>
    <t>1920</t>
  </si>
  <si>
    <t>361</t>
  </si>
  <si>
    <t>356</t>
  </si>
  <si>
    <t>6285</t>
  </si>
  <si>
    <t>6265</t>
  </si>
  <si>
    <t>105</t>
  </si>
  <si>
    <t>1916</t>
  </si>
  <si>
    <t>ARVIND</t>
  </si>
  <si>
    <t>NIFTY 6350 PE</t>
  </si>
  <si>
    <t>NIFTY 6400 PE</t>
  </si>
  <si>
    <t>NIFTY 6400 CE</t>
  </si>
  <si>
    <t>NIFTY 6600 PE</t>
  </si>
  <si>
    <t>SAIL</t>
  </si>
  <si>
    <t>NIFTY 6500 CE</t>
  </si>
  <si>
    <t>NIFTY 6500 PE</t>
  </si>
  <si>
    <t>LICHSFGN</t>
  </si>
  <si>
    <t>ADANIENT</t>
  </si>
  <si>
    <t>SBIN 1700 PE</t>
  </si>
  <si>
    <t>BANKNIFTY</t>
  </si>
  <si>
    <t>BANKNIFTY 12200 CE</t>
  </si>
  <si>
    <t>MCDOWELL-N 2650 PE</t>
  </si>
  <si>
    <t>HEROMOTOCO 2150 CE</t>
  </si>
  <si>
    <t>NIFTY 6600 PR APRIL</t>
  </si>
  <si>
    <t xml:space="preserve">NIFTY </t>
  </si>
  <si>
    <t>NIFTY 6000 CE APRIL</t>
  </si>
  <si>
    <t>HINDPETRO</t>
  </si>
  <si>
    <t>NIFTY 6700 PE</t>
  </si>
  <si>
    <t>MCDOWELL-N</t>
  </si>
  <si>
    <t>2000</t>
  </si>
  <si>
    <t>NIFTY 5700PE</t>
  </si>
  <si>
    <t>HEROMOTOCO 2250 CE</t>
  </si>
  <si>
    <t xml:space="preserve">                                     PERFORMANCE  OF EQUITY COMBO PACKAGE APRIL 2014</t>
  </si>
  <si>
    <t>APOLLOHOS</t>
  </si>
  <si>
    <t>905</t>
  </si>
  <si>
    <t>902</t>
  </si>
  <si>
    <t>993</t>
  </si>
  <si>
    <t>356.50</t>
  </si>
  <si>
    <t>9000</t>
  </si>
  <si>
    <t>6730</t>
  </si>
  <si>
    <t>6710</t>
  </si>
  <si>
    <t>WIPRO 550 CE</t>
  </si>
  <si>
    <t>24</t>
  </si>
  <si>
    <t>26.5</t>
  </si>
  <si>
    <t>5317</t>
  </si>
  <si>
    <t>BHARTIARTL 320 CE</t>
  </si>
  <si>
    <t>NIFTY 6700 CE</t>
  </si>
  <si>
    <t>NIFTY 6800 PE</t>
  </si>
  <si>
    <t>IDEA 140 CE</t>
  </si>
  <si>
    <t>ABAN</t>
  </si>
  <si>
    <t>SBIN 2000 CE</t>
  </si>
  <si>
    <t xml:space="preserve">                                                                OPTION INTRADAY QTY PER 4 LOT</t>
  </si>
  <si>
    <t>JUSTDIAL</t>
  </si>
  <si>
    <t>NIFTY 6900 PE</t>
  </si>
  <si>
    <t>DRREDY 2600 PE</t>
  </si>
  <si>
    <t>NIFTY 6600 CE</t>
  </si>
  <si>
    <t>LICHSFING</t>
  </si>
  <si>
    <t>BHARTIARL</t>
  </si>
  <si>
    <t>HDFCBANK 720 PE</t>
  </si>
  <si>
    <t>DABUR</t>
  </si>
  <si>
    <t>CENTURYTEC 370 CE</t>
  </si>
  <si>
    <t>RELIANCE 960 CE</t>
  </si>
  <si>
    <t>NIFTY 6850 CE</t>
  </si>
  <si>
    <t>BAJAJ-AUTO</t>
  </si>
  <si>
    <t>SBIN 2100 PE</t>
  </si>
  <si>
    <t>6250</t>
  </si>
  <si>
    <t xml:space="preserve">                                     PERFORMANCE  OF EQUITY COMBO PACKAGE MAY 2014</t>
  </si>
  <si>
    <t>1882</t>
  </si>
  <si>
    <t>TATASTELL</t>
  </si>
  <si>
    <t>397</t>
  </si>
  <si>
    <t>391</t>
  </si>
  <si>
    <t>6745</t>
  </si>
  <si>
    <t>6725</t>
  </si>
  <si>
    <t>1895</t>
  </si>
  <si>
    <t>2054</t>
  </si>
  <si>
    <t>3951</t>
  </si>
  <si>
    <t>190</t>
  </si>
  <si>
    <t>LT 1300 CE</t>
  </si>
  <si>
    <t>NIFTY 6900 CE</t>
  </si>
  <si>
    <t>APOLLOTYRE</t>
  </si>
  <si>
    <t>SBIN 2300 CE</t>
  </si>
  <si>
    <t>NIFTY 7200 CE</t>
  </si>
  <si>
    <t>DRREEDY</t>
  </si>
  <si>
    <t>JSWSTEEL</t>
  </si>
  <si>
    <t>DRREDDY 2600 PE</t>
  </si>
  <si>
    <t>NIFTY 7000 PE</t>
  </si>
  <si>
    <t>NIFTY 7300 PE</t>
  </si>
  <si>
    <t>SBIN 2600 PE</t>
  </si>
  <si>
    <t>DRREDDY 2300 PE</t>
  </si>
  <si>
    <t>M&amp;MFIN</t>
  </si>
  <si>
    <t xml:space="preserve">HDFCBANK 820 PE </t>
  </si>
  <si>
    <t>JPASSOCIAT</t>
  </si>
  <si>
    <t>NIFTY 7400 CE</t>
  </si>
  <si>
    <t>NIFTY 7400 PE</t>
  </si>
  <si>
    <t>NOT EXECUTED</t>
  </si>
  <si>
    <t>SBIN 2700 PE</t>
  </si>
  <si>
    <t xml:space="preserve">HDFC </t>
  </si>
  <si>
    <t>1237</t>
  </si>
  <si>
    <t>-3092</t>
  </si>
  <si>
    <t>342</t>
  </si>
  <si>
    <t>3762</t>
  </si>
  <si>
    <t>NIFTY 7300PE (JUN)</t>
  </si>
  <si>
    <t xml:space="preserve">                                     PERFORMANCE  OF EQUITY COMBO PACKAGE JUNE 2014</t>
  </si>
  <si>
    <t>497</t>
  </si>
  <si>
    <t>493</t>
  </si>
  <si>
    <t>2412</t>
  </si>
  <si>
    <t>574</t>
  </si>
  <si>
    <t>571</t>
  </si>
  <si>
    <t>3000</t>
  </si>
  <si>
    <t>7390</t>
  </si>
  <si>
    <t>7360</t>
  </si>
  <si>
    <t>NIFTY 7500 PE</t>
  </si>
  <si>
    <t>173</t>
  </si>
  <si>
    <t>DRREDDY</t>
  </si>
  <si>
    <t>-516</t>
  </si>
  <si>
    <t>TCS 2100 PE</t>
  </si>
  <si>
    <t>DRREDY</t>
  </si>
  <si>
    <t>INFY 3000 PE</t>
  </si>
  <si>
    <t>NIFTY 7600 CE</t>
  </si>
  <si>
    <t>NIFTY 7700 PE</t>
  </si>
  <si>
    <t>TCS 2200 CE</t>
  </si>
  <si>
    <t>DIVISLAB</t>
  </si>
  <si>
    <t>NIFTY 7600 PE</t>
  </si>
  <si>
    <t>JUSTDIAL (BTST)</t>
  </si>
  <si>
    <t xml:space="preserve">JUSTDIAL </t>
  </si>
  <si>
    <t>SBIN 2600 CE</t>
  </si>
  <si>
    <t>BANKNIFTY 15300 PE</t>
  </si>
  <si>
    <t>HDFC 980 PE</t>
  </si>
  <si>
    <t>INFY 3300 CE</t>
  </si>
  <si>
    <t>NIFTY 7700 CE</t>
  </si>
  <si>
    <t xml:space="preserve">                                     PERFORMANCE  OF EQUITY COMBO PACKAGE JULY 2014</t>
  </si>
  <si>
    <t>1178</t>
  </si>
  <si>
    <t>1168</t>
  </si>
  <si>
    <t>599</t>
  </si>
  <si>
    <t>592</t>
  </si>
  <si>
    <t xml:space="preserve">SELL </t>
  </si>
  <si>
    <t>7652</t>
  </si>
  <si>
    <t>7655</t>
  </si>
  <si>
    <t>110</t>
  </si>
  <si>
    <t>113</t>
  </si>
  <si>
    <t>TATACOMM</t>
  </si>
  <si>
    <t>-150</t>
  </si>
  <si>
    <t>NIFTY 7800 CE</t>
  </si>
  <si>
    <t>NIFTY 770 PE</t>
  </si>
  <si>
    <t>2540</t>
  </si>
  <si>
    <t>804</t>
  </si>
  <si>
    <t>AXISBANK 1950 CE</t>
  </si>
  <si>
    <t>LOTAKBANK</t>
  </si>
  <si>
    <t>BAJAJAUTO 2100 PE</t>
  </si>
  <si>
    <t>TATAMTRDVR</t>
  </si>
  <si>
    <t>NIFTY 7800 PE</t>
  </si>
  <si>
    <t>IGL</t>
  </si>
  <si>
    <t>NIFTY 7900 PE</t>
  </si>
  <si>
    <t>IRB</t>
  </si>
  <si>
    <t>229</t>
  </si>
  <si>
    <t>226</t>
  </si>
  <si>
    <t>1310</t>
  </si>
  <si>
    <t>3930</t>
  </si>
  <si>
    <t>2583</t>
  </si>
  <si>
    <t>2605</t>
  </si>
  <si>
    <t>116</t>
  </si>
  <si>
    <t>-2552</t>
  </si>
  <si>
    <t>NIFTY (AUG)</t>
  </si>
  <si>
    <t>NIFTY 7800 PE (AUG)</t>
  </si>
  <si>
    <t>4500</t>
  </si>
  <si>
    <t>77550</t>
  </si>
  <si>
    <t>TOTAL CALLS</t>
  </si>
  <si>
    <t>CASH</t>
  </si>
  <si>
    <t>STOCK FUTURE</t>
  </si>
  <si>
    <t>NIFTY FUTURE</t>
  </si>
  <si>
    <t>OPTION</t>
  </si>
  <si>
    <t>CALLS DETAILS</t>
  </si>
  <si>
    <t>TGT HIT</t>
  </si>
  <si>
    <t>SL HIT</t>
  </si>
  <si>
    <t>BE EXIT</t>
  </si>
  <si>
    <t>ACCURACY OF THE MONTH 81.11%</t>
  </si>
  <si>
    <t>428</t>
  </si>
  <si>
    <t>422</t>
  </si>
  <si>
    <t>4200</t>
  </si>
  <si>
    <t>412</t>
  </si>
  <si>
    <t>405</t>
  </si>
  <si>
    <t>7000</t>
  </si>
  <si>
    <t>7695</t>
  </si>
  <si>
    <t>7645</t>
  </si>
  <si>
    <t>5000</t>
  </si>
  <si>
    <t>114</t>
  </si>
  <si>
    <t>149</t>
  </si>
  <si>
    <t xml:space="preserve">                                     PERFORMANCE  OF EQUITY COMBO PACKAGE AUG 2014</t>
  </si>
  <si>
    <t>BAJAJELEC</t>
  </si>
  <si>
    <t>5430</t>
  </si>
  <si>
    <t>NIFTY 8000 PE</t>
  </si>
  <si>
    <t>HDFC 1080 PE</t>
  </si>
  <si>
    <t>HDFC 1060 PE</t>
  </si>
  <si>
    <t>NOT EXE.</t>
  </si>
  <si>
    <t>TATACHEM</t>
  </si>
  <si>
    <t>ONGC 420 PE</t>
  </si>
  <si>
    <t>ACCURACY OF THE MONTH 81%</t>
  </si>
  <si>
    <t xml:space="preserve">                                     PERFORMANCE  OF EQUITY COMBO PACKAGE SEP 2014</t>
  </si>
  <si>
    <t>639</t>
  </si>
  <si>
    <t>633</t>
  </si>
  <si>
    <t>LICHSFIN</t>
  </si>
  <si>
    <t>526</t>
  </si>
  <si>
    <t>521</t>
  </si>
  <si>
    <t>8040</t>
  </si>
  <si>
    <t>8065</t>
  </si>
  <si>
    <t>-2500</t>
  </si>
  <si>
    <t>SUNPHARMA 840 PE</t>
  </si>
  <si>
    <t>17</t>
  </si>
  <si>
    <t>23</t>
  </si>
  <si>
    <t>HINDUNILVR 740 PE</t>
  </si>
  <si>
    <t>NIFTY 8100 PE</t>
  </si>
  <si>
    <t>2814</t>
  </si>
  <si>
    <t>-3657</t>
  </si>
  <si>
    <t>NIFTY 8200 PE</t>
  </si>
  <si>
    <t>LICHSGFIN</t>
  </si>
  <si>
    <t>SSLT</t>
  </si>
  <si>
    <t>MCDOWELL-N 2400 CE</t>
  </si>
  <si>
    <t>NIFTY 8100 CE</t>
  </si>
  <si>
    <t>NIFTY 8200 CE</t>
  </si>
  <si>
    <t>NIFTY 8000 CE</t>
  </si>
  <si>
    <t>SRTRANSFIN</t>
  </si>
  <si>
    <t>NIFTY 8000 PE (OCT)</t>
  </si>
  <si>
    <t>385</t>
  </si>
  <si>
    <t>389</t>
  </si>
  <si>
    <t>779</t>
  </si>
  <si>
    <t>-3116</t>
  </si>
  <si>
    <t>NIFTY 7950 PE</t>
  </si>
  <si>
    <t>3240</t>
  </si>
  <si>
    <t>3204</t>
  </si>
  <si>
    <t>92</t>
  </si>
  <si>
    <t>3312</t>
  </si>
  <si>
    <t>165</t>
  </si>
  <si>
    <t>163</t>
  </si>
  <si>
    <t>1818</t>
  </si>
  <si>
    <t>3636</t>
  </si>
  <si>
    <t>-2730</t>
  </si>
  <si>
    <t>4000</t>
  </si>
  <si>
    <t xml:space="preserve">NIFTY 8000 PE </t>
  </si>
  <si>
    <t>ACCURACY OF THE MONTH 75%</t>
  </si>
  <si>
    <t xml:space="preserve">                                     PERFORMANCE  OF EQUITY COMBO PACKAGE OCT 2014</t>
  </si>
  <si>
    <t>5958</t>
  </si>
  <si>
    <t>115</t>
  </si>
  <si>
    <t>125</t>
  </si>
  <si>
    <t>8000</t>
  </si>
  <si>
    <t>7980</t>
  </si>
  <si>
    <t>408</t>
  </si>
  <si>
    <t>170</t>
  </si>
  <si>
    <t>168</t>
  </si>
  <si>
    <t>-3528</t>
  </si>
  <si>
    <t>MINDTREE</t>
  </si>
  <si>
    <t>NIFTY 7900 CE</t>
  </si>
  <si>
    <t>NIFTY 7850 PE</t>
  </si>
  <si>
    <t>ULTRACEMCO</t>
  </si>
  <si>
    <t>EXIDIND</t>
  </si>
  <si>
    <t>NIFTY 8250 CE</t>
  </si>
  <si>
    <t>ACCURACY OF THE MONTH 84.21%</t>
  </si>
  <si>
    <t xml:space="preserve">                                     PERFORMANCE  OF EQUITY COMBO PACKAGE NOV 2014</t>
  </si>
  <si>
    <t>2567</t>
  </si>
  <si>
    <t>2552</t>
  </si>
  <si>
    <t>3005</t>
  </si>
  <si>
    <t>3030</t>
  </si>
  <si>
    <t>8360</t>
  </si>
  <si>
    <t>NIFTY 8400 PE</t>
  </si>
  <si>
    <t>NIFTY 8350 CE</t>
  </si>
  <si>
    <t>-3125</t>
  </si>
  <si>
    <t>1740</t>
  </si>
  <si>
    <t>6360</t>
  </si>
  <si>
    <t>TVSMOTORS</t>
  </si>
  <si>
    <t>JINDALSTEEL</t>
  </si>
  <si>
    <t>NIFTY 8400 CE</t>
  </si>
  <si>
    <t>INDUSINDBK</t>
  </si>
  <si>
    <t>CAOLINDIA</t>
  </si>
  <si>
    <t>NIFTY 8500 PE</t>
  </si>
  <si>
    <t>143</t>
  </si>
  <si>
    <t>141</t>
  </si>
  <si>
    <t>2097</t>
  </si>
  <si>
    <t>4194</t>
  </si>
  <si>
    <t>1136</t>
  </si>
  <si>
    <t>264</t>
  </si>
  <si>
    <t>260</t>
  </si>
  <si>
    <t>4544</t>
  </si>
  <si>
    <t>NIFTY 8600 PE</t>
  </si>
  <si>
    <t>NIFTY 8550 PE (DEC)</t>
  </si>
  <si>
    <t>NIFTY 8600 CE</t>
  </si>
  <si>
    <t>48425</t>
  </si>
  <si>
    <t>29625</t>
  </si>
  <si>
    <t>30000</t>
  </si>
  <si>
    <t>33800</t>
  </si>
  <si>
    <t>8350</t>
  </si>
  <si>
    <t xml:space="preserve">                                                                NIFTY FUTURE INTRADAY QTY PER 4 LOT</t>
  </si>
  <si>
    <t xml:space="preserve">                                                                OPTION INTRADAY QTY PER 8 LOT</t>
  </si>
  <si>
    <t>137</t>
  </si>
  <si>
    <t>134</t>
  </si>
  <si>
    <t>EXIDEIND</t>
  </si>
  <si>
    <t>373</t>
  </si>
  <si>
    <t>366</t>
  </si>
  <si>
    <t>INFY</t>
  </si>
  <si>
    <t>8630</t>
  </si>
  <si>
    <t>8590</t>
  </si>
  <si>
    <t>NIFTY 8650 PE</t>
  </si>
  <si>
    <t>135</t>
  </si>
  <si>
    <t>6567</t>
  </si>
  <si>
    <t>4956</t>
  </si>
  <si>
    <t>CESC</t>
  </si>
  <si>
    <t>GRASIM</t>
  </si>
  <si>
    <t>NIFTY 8300 CE</t>
  </si>
  <si>
    <t>POWERGRID</t>
  </si>
  <si>
    <t>NIFTY 8300 PE</t>
  </si>
  <si>
    <t>1159</t>
  </si>
  <si>
    <t>1165</t>
  </si>
  <si>
    <t>IOC</t>
  </si>
  <si>
    <t>327</t>
  </si>
  <si>
    <t>326</t>
  </si>
  <si>
    <t>3080</t>
  </si>
  <si>
    <t>3088</t>
  </si>
  <si>
    <t>258</t>
  </si>
  <si>
    <t>1548</t>
  </si>
  <si>
    <t>1265</t>
  </si>
  <si>
    <t>97</t>
  </si>
  <si>
    <t>-970</t>
  </si>
  <si>
    <t>JSWSTEE</t>
  </si>
  <si>
    <t>NIFTY 8300 PE (JAN)</t>
  </si>
  <si>
    <t>309</t>
  </si>
  <si>
    <t>307</t>
  </si>
  <si>
    <t>970</t>
  </si>
  <si>
    <t>1940</t>
  </si>
  <si>
    <t>2051</t>
  </si>
  <si>
    <t>465</t>
  </si>
  <si>
    <t>1628</t>
  </si>
  <si>
    <t>-3000</t>
  </si>
  <si>
    <t>145</t>
  </si>
  <si>
    <t>-2000</t>
  </si>
  <si>
    <t>45000</t>
  </si>
  <si>
    <t>58900</t>
  </si>
  <si>
    <t>56800</t>
  </si>
  <si>
    <t>ACCURACY OF THE MONTH 78%</t>
  </si>
  <si>
    <t xml:space="preserve">                                     PERFORMANCE  OF EQUITY COMBO PACKAGE JAN 2015</t>
  </si>
  <si>
    <t>454</t>
  </si>
  <si>
    <t>451</t>
  </si>
  <si>
    <t>COALINIDA</t>
  </si>
  <si>
    <t>376</t>
  </si>
  <si>
    <t>8315</t>
  </si>
  <si>
    <t>8355</t>
  </si>
  <si>
    <t>NIFTY 8500 CE</t>
  </si>
  <si>
    <t>150</t>
  </si>
  <si>
    <t>2640</t>
  </si>
  <si>
    <t>2720</t>
  </si>
  <si>
    <t xml:space="preserve">M&amp;M </t>
  </si>
  <si>
    <t>GODREJIND</t>
  </si>
  <si>
    <t>NIFTY 8800 PE</t>
  </si>
  <si>
    <t>NIFTY 9000 PE</t>
  </si>
  <si>
    <t>1280</t>
  </si>
  <si>
    <t>-6200</t>
  </si>
  <si>
    <t>1875</t>
  </si>
  <si>
    <t>868</t>
  </si>
  <si>
    <t>871</t>
  </si>
  <si>
    <t>481</t>
  </si>
  <si>
    <t>477</t>
  </si>
  <si>
    <t>234</t>
  </si>
  <si>
    <t>624</t>
  </si>
  <si>
    <t>345</t>
  </si>
  <si>
    <t>1729</t>
  </si>
  <si>
    <t>1700</t>
  </si>
  <si>
    <t>5017</t>
  </si>
  <si>
    <t>-1035</t>
  </si>
  <si>
    <t>2496</t>
  </si>
  <si>
    <t>1262</t>
  </si>
  <si>
    <t>4212</t>
  </si>
  <si>
    <t>ACCURACY OF THE MONTH 88%</t>
  </si>
  <si>
    <t>69409</t>
  </si>
  <si>
    <t>79400</t>
  </si>
  <si>
    <t>4152</t>
  </si>
  <si>
    <t>8845</t>
  </si>
  <si>
    <t>8810</t>
  </si>
  <si>
    <t>846</t>
  </si>
  <si>
    <t>828</t>
  </si>
  <si>
    <t>1255</t>
  </si>
  <si>
    <t>1247</t>
  </si>
  <si>
    <t>1912</t>
  </si>
  <si>
    <t>NIFTY 8800 CE</t>
  </si>
  <si>
    <t>NIFTY 8700 PE</t>
  </si>
  <si>
    <t>MCLEODRUSS</t>
  </si>
  <si>
    <t xml:space="preserve">NIFTY 8900 PE </t>
  </si>
  <si>
    <t>2146</t>
  </si>
  <si>
    <t>2130</t>
  </si>
  <si>
    <t>MOTHERSUMI</t>
  </si>
  <si>
    <t>HINDUNIVR</t>
  </si>
  <si>
    <t>884</t>
  </si>
  <si>
    <t>339</t>
  </si>
  <si>
    <t>885</t>
  </si>
  <si>
    <t>-339</t>
  </si>
  <si>
    <t>-4000</t>
  </si>
  <si>
    <t>45600</t>
  </si>
  <si>
    <t>41379</t>
  </si>
  <si>
    <t xml:space="preserve">                                     PERFORMANCE  OF EQUITY COMBO PACKAGE FEB 2015</t>
  </si>
  <si>
    <t xml:space="preserve">                                     PERFORMANCE  OF EQUITY COMBO PACKAGE MARCH 2015</t>
  </si>
  <si>
    <t>ENGINERSIN</t>
  </si>
  <si>
    <t>NIFTY 9100 PE</t>
  </si>
  <si>
    <t>369</t>
  </si>
  <si>
    <t>349</t>
  </si>
  <si>
    <t>343</t>
  </si>
  <si>
    <t>5250</t>
  </si>
  <si>
    <t>9005</t>
  </si>
  <si>
    <t>8960</t>
  </si>
  <si>
    <t>NIFTY 9000 CE</t>
  </si>
  <si>
    <t>NIFTY 8700 CE</t>
  </si>
  <si>
    <t>CENTURYTEX</t>
  </si>
  <si>
    <t>HINDZINC</t>
  </si>
  <si>
    <t>ENGINEERSIN</t>
  </si>
  <si>
    <t>NIFTY 8900 PE</t>
  </si>
  <si>
    <t>1195</t>
  </si>
  <si>
    <t>277</t>
  </si>
  <si>
    <t>274</t>
  </si>
  <si>
    <t>896</t>
  </si>
  <si>
    <t>889</t>
  </si>
  <si>
    <t>385.5</t>
  </si>
  <si>
    <t>390</t>
  </si>
  <si>
    <t>436</t>
  </si>
  <si>
    <t>433</t>
  </si>
  <si>
    <t>357</t>
  </si>
  <si>
    <t>350</t>
  </si>
  <si>
    <t>857</t>
  </si>
  <si>
    <t>850</t>
  </si>
  <si>
    <t>167</t>
  </si>
  <si>
    <t>210</t>
  </si>
  <si>
    <t>8600</t>
  </si>
  <si>
    <t>NIFTY 8550 PE</t>
  </si>
  <si>
    <t>4800</t>
  </si>
  <si>
    <t>1083</t>
  </si>
  <si>
    <t>4332</t>
  </si>
  <si>
    <t>335</t>
  </si>
  <si>
    <t>2345</t>
  </si>
  <si>
    <t>778</t>
  </si>
  <si>
    <t>-3501</t>
  </si>
  <si>
    <t>688</t>
  </si>
  <si>
    <t>-2064</t>
  </si>
  <si>
    <t>840</t>
  </si>
  <si>
    <t>5880</t>
  </si>
  <si>
    <t>2450</t>
  </si>
  <si>
    <t>153.5</t>
  </si>
  <si>
    <t>156.5</t>
  </si>
  <si>
    <t>1954</t>
  </si>
  <si>
    <t>-5862</t>
  </si>
  <si>
    <t>914</t>
  </si>
  <si>
    <t>328</t>
  </si>
  <si>
    <t>1200</t>
  </si>
  <si>
    <t>2500</t>
  </si>
  <si>
    <t>920</t>
  </si>
  <si>
    <t>-1968</t>
  </si>
  <si>
    <t>65600</t>
  </si>
  <si>
    <t>59500</t>
  </si>
  <si>
    <t xml:space="preserve">                                     PERFORMANCE  OF EQUITY COMBO PACKAGE APRIL 2015</t>
  </si>
  <si>
    <t>1022</t>
  </si>
  <si>
    <t>1031</t>
  </si>
  <si>
    <t>3760</t>
  </si>
  <si>
    <t>3780</t>
  </si>
  <si>
    <t>JINDALSTEL</t>
  </si>
  <si>
    <t>8532</t>
  </si>
  <si>
    <t>8562</t>
  </si>
  <si>
    <t>-2637</t>
  </si>
  <si>
    <t>5256</t>
  </si>
  <si>
    <t>311</t>
  </si>
  <si>
    <t>2355</t>
  </si>
  <si>
    <t>2335</t>
  </si>
  <si>
    <t>2325</t>
  </si>
  <si>
    <t>2295</t>
  </si>
  <si>
    <t>1163</t>
  </si>
  <si>
    <t>1180</t>
  </si>
  <si>
    <t>1198</t>
  </si>
  <si>
    <t>1204</t>
  </si>
  <si>
    <t>331</t>
  </si>
  <si>
    <t>364</t>
  </si>
  <si>
    <t>305</t>
  </si>
  <si>
    <t>303.5</t>
  </si>
  <si>
    <t>0</t>
  </si>
  <si>
    <t>964</t>
  </si>
  <si>
    <t>127</t>
  </si>
  <si>
    <t>257</t>
  </si>
  <si>
    <t>129</t>
  </si>
  <si>
    <t>250</t>
  </si>
  <si>
    <t>60</t>
  </si>
  <si>
    <t>85</t>
  </si>
  <si>
    <t>906</t>
  </si>
  <si>
    <t>7600</t>
  </si>
  <si>
    <t>983</t>
  </si>
  <si>
    <t>3856</t>
  </si>
  <si>
    <t>4369</t>
  </si>
  <si>
    <t>3870</t>
  </si>
  <si>
    <t>-1500</t>
  </si>
  <si>
    <t>2718</t>
  </si>
  <si>
    <t>1555</t>
  </si>
  <si>
    <t>1474</t>
  </si>
  <si>
    <t>53233</t>
  </si>
  <si>
    <t>53500</t>
  </si>
  <si>
    <t>61000</t>
  </si>
  <si>
    <t>71000</t>
  </si>
  <si>
    <t>ACCURACY OF THE MONTH 76%</t>
  </si>
  <si>
    <t>NIFTY 8200 CALL</t>
  </si>
  <si>
    <t>362</t>
  </si>
  <si>
    <t>934</t>
  </si>
  <si>
    <t>940</t>
  </si>
  <si>
    <t>164.5</t>
  </si>
  <si>
    <t>161</t>
  </si>
  <si>
    <t>8320</t>
  </si>
  <si>
    <t>8380</t>
  </si>
  <si>
    <t>180</t>
  </si>
  <si>
    <t>1926</t>
  </si>
  <si>
    <t>2463</t>
  </si>
  <si>
    <t>2775</t>
  </si>
  <si>
    <t>ORIENTBANK</t>
  </si>
  <si>
    <t>HINDLCO</t>
  </si>
  <si>
    <t>HDIL</t>
  </si>
  <si>
    <t>ADANIPORT</t>
  </si>
  <si>
    <t>COLPAL</t>
  </si>
  <si>
    <t>APOLLOHOSP</t>
  </si>
  <si>
    <t>3535</t>
  </si>
  <si>
    <t>OIL</t>
  </si>
  <si>
    <t>471</t>
  </si>
  <si>
    <t>UBL</t>
  </si>
  <si>
    <t>58</t>
  </si>
  <si>
    <t>93</t>
  </si>
  <si>
    <t>-2975</t>
  </si>
  <si>
    <t>636</t>
  </si>
  <si>
    <t>75375</t>
  </si>
  <si>
    <t>71500</t>
  </si>
  <si>
    <t>82000</t>
  </si>
  <si>
    <t>ACCURACY OF THE MONTH 90%</t>
  </si>
  <si>
    <t>461</t>
  </si>
  <si>
    <t>104049</t>
  </si>
  <si>
    <t xml:space="preserve">                                     PERFORMANCE  OF EQUITY COMBO PACKAGE MAY 2015</t>
  </si>
  <si>
    <t xml:space="preserve">                                     PERFORMANCE  OF EQUITY COMBO PACKAGE JUNE 2015</t>
  </si>
  <si>
    <t>HINDACLO</t>
  </si>
  <si>
    <t>AMARAJABAT</t>
  </si>
  <si>
    <t>STAR</t>
  </si>
  <si>
    <t>1230</t>
  </si>
  <si>
    <t>1220</t>
  </si>
  <si>
    <t>268.5</t>
  </si>
  <si>
    <t>265.5</t>
  </si>
  <si>
    <t>826</t>
  </si>
  <si>
    <t>821</t>
  </si>
  <si>
    <t>JSWSTEL</t>
  </si>
  <si>
    <t>8440</t>
  </si>
  <si>
    <t>8475</t>
  </si>
  <si>
    <t>118</t>
  </si>
  <si>
    <t>128</t>
  </si>
  <si>
    <t>PREMIUM NIFTY</t>
  </si>
  <si>
    <t>CEATLTD</t>
  </si>
  <si>
    <t>PREMIUM CAIRN</t>
  </si>
  <si>
    <t>2430</t>
  </si>
  <si>
    <t>3354</t>
  </si>
  <si>
    <t>2840</t>
  </si>
  <si>
    <t>POWEGRID</t>
  </si>
  <si>
    <t>VEDL</t>
  </si>
  <si>
    <t xml:space="preserve">NFTY 8000 PE </t>
  </si>
  <si>
    <t>NFTY 810 CE</t>
  </si>
  <si>
    <t>SRTRASFIN</t>
  </si>
  <si>
    <t>NFTY 8300 CE</t>
  </si>
  <si>
    <t>ACCURACY OF THE MONTH 83.17%</t>
  </si>
  <si>
    <t xml:space="preserve">                                     PERFORMANCE  OF EQUITY COMBO PACKAGE JULY 2015</t>
  </si>
  <si>
    <t>149.50</t>
  </si>
  <si>
    <t>154</t>
  </si>
  <si>
    <t>2533</t>
  </si>
  <si>
    <t>2517</t>
  </si>
  <si>
    <t>1435</t>
  </si>
  <si>
    <t>1412</t>
  </si>
  <si>
    <t>267</t>
  </si>
  <si>
    <t>1500</t>
  </si>
  <si>
    <t>2480</t>
  </si>
  <si>
    <t>2475</t>
  </si>
  <si>
    <t>750</t>
  </si>
  <si>
    <t>8400</t>
  </si>
  <si>
    <t>8460</t>
  </si>
  <si>
    <t>175</t>
  </si>
  <si>
    <t>9027</t>
  </si>
  <si>
    <t>1888</t>
  </si>
  <si>
    <t>4807</t>
  </si>
  <si>
    <t>4025</t>
  </si>
  <si>
    <t>2702</t>
  </si>
  <si>
    <t>-1875</t>
  </si>
  <si>
    <t>-4544</t>
  </si>
  <si>
    <t>UPL</t>
  </si>
  <si>
    <t>JUST DIAL</t>
  </si>
  <si>
    <t>SRF</t>
  </si>
  <si>
    <t>NIFY 8300 CE</t>
  </si>
  <si>
    <t>ACCURACY OF THE MONTH 83.63%</t>
  </si>
  <si>
    <t>280</t>
  </si>
  <si>
    <t>283</t>
  </si>
  <si>
    <t>281</t>
  </si>
  <si>
    <t>289</t>
  </si>
  <si>
    <t>429</t>
  </si>
  <si>
    <t>1227</t>
  </si>
  <si>
    <t>1215</t>
  </si>
  <si>
    <t>256</t>
  </si>
  <si>
    <t>254.20</t>
  </si>
  <si>
    <t>1800</t>
  </si>
  <si>
    <t>1066</t>
  </si>
  <si>
    <t>4250</t>
  </si>
  <si>
    <t>8570</t>
  </si>
  <si>
    <t>8588</t>
  </si>
  <si>
    <t>NIFTY 8600  PE</t>
  </si>
  <si>
    <t>3180</t>
  </si>
  <si>
    <t>4970</t>
  </si>
  <si>
    <t>8536</t>
  </si>
  <si>
    <t>2928</t>
  </si>
  <si>
    <t>1313</t>
  </si>
  <si>
    <t>1303</t>
  </si>
  <si>
    <t>288</t>
  </si>
  <si>
    <t>285</t>
  </si>
  <si>
    <t>-2280</t>
  </si>
  <si>
    <t>3123</t>
  </si>
  <si>
    <t>5157</t>
  </si>
  <si>
    <t>672</t>
  </si>
  <si>
    <t>2848</t>
  </si>
  <si>
    <t>BEL</t>
  </si>
  <si>
    <t>7184</t>
  </si>
  <si>
    <t>4455</t>
  </si>
  <si>
    <t>-4180</t>
  </si>
  <si>
    <t>172</t>
  </si>
  <si>
    <t>2400</t>
  </si>
  <si>
    <t>ACCURACY OF THE MONTH 83.49%</t>
  </si>
  <si>
    <t xml:space="preserve">                                     PERFORMANCE  OF EQUITY COMBO PACKAGE AUGUST 2015</t>
  </si>
  <si>
    <t>253</t>
  </si>
  <si>
    <t>255</t>
  </si>
  <si>
    <t>ENTRY LEVEL</t>
  </si>
  <si>
    <t>EXIT LEVEL</t>
  </si>
  <si>
    <t>TOTAL POINTS</t>
  </si>
  <si>
    <t>2</t>
  </si>
  <si>
    <t>836</t>
  </si>
  <si>
    <t>818</t>
  </si>
  <si>
    <t>18</t>
  </si>
  <si>
    <t>859</t>
  </si>
  <si>
    <t>849</t>
  </si>
  <si>
    <t>-10</t>
  </si>
  <si>
    <t>2326</t>
  </si>
  <si>
    <t>2356</t>
  </si>
  <si>
    <t>-20</t>
  </si>
  <si>
    <t>741</t>
  </si>
  <si>
    <t>742</t>
  </si>
  <si>
    <t>1</t>
  </si>
  <si>
    <t>835</t>
  </si>
  <si>
    <t>-1</t>
  </si>
  <si>
    <t>655</t>
  </si>
  <si>
    <t>460</t>
  </si>
  <si>
    <t>5</t>
  </si>
  <si>
    <t xml:space="preserve">                                                                BANKNIFTY FUTURE INTRADAY QTY PER 4 LOT</t>
  </si>
  <si>
    <t>7920</t>
  </si>
  <si>
    <t>7855</t>
  </si>
  <si>
    <t>65</t>
  </si>
  <si>
    <t>6500</t>
  </si>
  <si>
    <t>7900 PE</t>
  </si>
  <si>
    <t xml:space="preserve">                                                      NIFTY OPTION INTRADAY QTY PER 8 LOT</t>
  </si>
  <si>
    <t>200</t>
  </si>
  <si>
    <t>50</t>
  </si>
  <si>
    <t>7800 PE</t>
  </si>
  <si>
    <t>7600 PE</t>
  </si>
  <si>
    <t>7700 PE</t>
  </si>
  <si>
    <t>8500</t>
  </si>
  <si>
    <t>KSCL</t>
  </si>
  <si>
    <t>8000 CE</t>
  </si>
  <si>
    <t>7800 CE</t>
  </si>
  <si>
    <t>WOCKPHARMA</t>
  </si>
  <si>
    <t>8100 PUT</t>
  </si>
  <si>
    <t>7700 CE</t>
  </si>
  <si>
    <t>35</t>
  </si>
  <si>
    <t>TOTAL</t>
  </si>
  <si>
    <t>ACCURACY OF THE MONTH</t>
  </si>
  <si>
    <t xml:space="preserve">                                     PERFORMANCE  OF EQUITY COMBO PACKAGE SEPTEMBER 2015</t>
  </si>
  <si>
    <t>7900 PE ( NOT EXECUTED)</t>
  </si>
  <si>
    <t>7900 CE</t>
  </si>
  <si>
    <t>15</t>
  </si>
  <si>
    <t>20</t>
  </si>
  <si>
    <t>2420</t>
  </si>
  <si>
    <t>2465</t>
  </si>
  <si>
    <t>45</t>
  </si>
  <si>
    <t>719</t>
  </si>
  <si>
    <t>729</t>
  </si>
  <si>
    <t>387</t>
  </si>
  <si>
    <t>3</t>
  </si>
  <si>
    <t>8000 PE</t>
  </si>
  <si>
    <t>25</t>
  </si>
  <si>
    <t>8010</t>
  </si>
  <si>
    <t>7970</t>
  </si>
  <si>
    <t>40</t>
  </si>
  <si>
    <t>2460</t>
  </si>
  <si>
    <t>AJANTPAHARM</t>
  </si>
  <si>
    <t>1512</t>
  </si>
  <si>
    <t>1480</t>
  </si>
  <si>
    <t>32</t>
  </si>
  <si>
    <t>211</t>
  </si>
  <si>
    <t>2520</t>
  </si>
  <si>
    <t>30</t>
  </si>
  <si>
    <t>399</t>
  </si>
  <si>
    <t>398</t>
  </si>
  <si>
    <t>PIDILIGHTIND</t>
  </si>
  <si>
    <t>8100 CE</t>
  </si>
  <si>
    <t>8200 PE</t>
  </si>
  <si>
    <t>8200 PE (BTST)</t>
  </si>
  <si>
    <t xml:space="preserve">8200 PE  </t>
  </si>
  <si>
    <t>8100 PE</t>
  </si>
  <si>
    <t>SKSMICRO</t>
  </si>
  <si>
    <t>ADANIPORTS</t>
  </si>
  <si>
    <t>8300 PE</t>
  </si>
  <si>
    <t>8400 PE</t>
  </si>
  <si>
    <t>8200 CE</t>
  </si>
  <si>
    <t>38</t>
  </si>
  <si>
    <t>69400</t>
  </si>
  <si>
    <t>76950</t>
  </si>
  <si>
    <t xml:space="preserve">                                     PERFORMANCE  OF EQUITY COMBO PACKAGE OCOTBER 2015</t>
  </si>
  <si>
    <t xml:space="preserve">                                     PERFORMANCE  OF EQUITY COMBO PACKAGE NOVEMBER 2015</t>
  </si>
  <si>
    <t xml:space="preserve">                                                      NIFTY OPTION INTRADAY QTY PER 4 LOT</t>
  </si>
  <si>
    <t>762</t>
  </si>
  <si>
    <t>768</t>
  </si>
  <si>
    <t>8</t>
  </si>
  <si>
    <t>796</t>
  </si>
  <si>
    <t>792</t>
  </si>
  <si>
    <t>4</t>
  </si>
  <si>
    <t>281.5</t>
  </si>
  <si>
    <t>-0.50</t>
  </si>
  <si>
    <t>813</t>
  </si>
  <si>
    <t>811</t>
  </si>
  <si>
    <t>816</t>
  </si>
  <si>
    <t>803</t>
  </si>
  <si>
    <t>2462</t>
  </si>
  <si>
    <t>2440</t>
  </si>
  <si>
    <t>-22</t>
  </si>
  <si>
    <t>1048</t>
  </si>
  <si>
    <t>26</t>
  </si>
  <si>
    <t>237</t>
  </si>
  <si>
    <t>244</t>
  </si>
  <si>
    <t>7</t>
  </si>
  <si>
    <t>1072</t>
  </si>
  <si>
    <t>1068</t>
  </si>
  <si>
    <t>1176</t>
  </si>
  <si>
    <t>1192</t>
  </si>
  <si>
    <t>16</t>
  </si>
  <si>
    <t>AJANTPHARM</t>
  </si>
  <si>
    <t>8060</t>
  </si>
  <si>
    <t>8035</t>
  </si>
  <si>
    <t>3750</t>
  </si>
  <si>
    <t>2800</t>
  </si>
  <si>
    <t>9600</t>
  </si>
  <si>
    <t>1005</t>
  </si>
  <si>
    <t>2390</t>
  </si>
  <si>
    <t>10</t>
  </si>
  <si>
    <t>CROMPGREAV</t>
  </si>
  <si>
    <t>169</t>
  </si>
  <si>
    <t>40500</t>
  </si>
  <si>
    <t>31800</t>
  </si>
  <si>
    <t xml:space="preserve">                                     PERFORMANCE  OF EQUITY COMBO PACKAGE DECEMBER 2015</t>
  </si>
  <si>
    <t>1038</t>
  </si>
  <si>
    <t>437</t>
  </si>
  <si>
    <t>434</t>
  </si>
  <si>
    <t>AJANTAPHARM</t>
  </si>
  <si>
    <t>1383</t>
  </si>
  <si>
    <t>1377</t>
  </si>
  <si>
    <t>-6</t>
  </si>
  <si>
    <t>1362</t>
  </si>
  <si>
    <t>1352.50</t>
  </si>
  <si>
    <t>9.5</t>
  </si>
  <si>
    <t>1360</t>
  </si>
  <si>
    <t>1355</t>
  </si>
  <si>
    <t>-5</t>
  </si>
  <si>
    <t>1390</t>
  </si>
  <si>
    <t>1367</t>
  </si>
  <si>
    <t>747</t>
  </si>
  <si>
    <t>1325</t>
  </si>
  <si>
    <t>1315</t>
  </si>
  <si>
    <t>489</t>
  </si>
  <si>
    <t>323</t>
  </si>
  <si>
    <t>930</t>
  </si>
  <si>
    <t>935</t>
  </si>
  <si>
    <t>220</t>
  </si>
  <si>
    <t>215</t>
  </si>
  <si>
    <t>RECTLTD</t>
  </si>
  <si>
    <t>420</t>
  </si>
  <si>
    <t>RELICAPITAL</t>
  </si>
  <si>
    <t>425</t>
  </si>
  <si>
    <t>12000</t>
  </si>
  <si>
    <t>7990</t>
  </si>
  <si>
    <t>7965</t>
  </si>
  <si>
    <t xml:space="preserve">7700 PE </t>
  </si>
  <si>
    <t>185</t>
  </si>
  <si>
    <t>PIDILITIND</t>
  </si>
  <si>
    <t>5400</t>
  </si>
  <si>
    <t>106</t>
  </si>
  <si>
    <t>112200</t>
  </si>
  <si>
    <t>94800</t>
  </si>
  <si>
    <t>79300</t>
  </si>
  <si>
    <t>2857</t>
  </si>
  <si>
    <t>1385</t>
  </si>
  <si>
    <t>2093</t>
  </si>
  <si>
    <t>2890</t>
  </si>
  <si>
    <t>2060</t>
  </si>
  <si>
    <t>81122</t>
  </si>
  <si>
    <t>STOCK OPTION QTY PER 1 LOT</t>
  </si>
  <si>
    <t xml:space="preserve"> ITC 340 PE</t>
  </si>
  <si>
    <t>ABIRLANUVO 2000 PE</t>
  </si>
  <si>
    <t>SBIN 230 PE</t>
  </si>
  <si>
    <t xml:space="preserve">BUY  </t>
  </si>
  <si>
    <t>JSWSTEEL 1000 PE</t>
  </si>
  <si>
    <t>HEROMOTOCO 2600 CE</t>
  </si>
  <si>
    <t>LT 1300 PE</t>
  </si>
  <si>
    <t>HEROMOTOCO 2650 CE</t>
  </si>
  <si>
    <t>JSWSTEEL  1060 PE</t>
  </si>
  <si>
    <t>HEROMOTOCO 2700 CE</t>
  </si>
  <si>
    <t>YESBANK 720 CE</t>
  </si>
  <si>
    <t>MARUTI 4600 PE</t>
  </si>
  <si>
    <t>MARUTI  4600 PE</t>
  </si>
  <si>
    <t>STOCK OPTION</t>
  </si>
  <si>
    <t xml:space="preserve">                                     PERFORMANCE  OF EQUITY COMBO PACKAGE JANUARY-2016</t>
  </si>
  <si>
    <t>1065</t>
  </si>
  <si>
    <t>1080</t>
  </si>
  <si>
    <t>2515</t>
  </si>
  <si>
    <t>-2</t>
  </si>
  <si>
    <t>2660</t>
  </si>
  <si>
    <t>2630</t>
  </si>
  <si>
    <t>-30</t>
  </si>
  <si>
    <t>723</t>
  </si>
  <si>
    <t>704</t>
  </si>
  <si>
    <t>19</t>
  </si>
  <si>
    <t>496</t>
  </si>
  <si>
    <t>504.50</t>
  </si>
  <si>
    <t>8.5</t>
  </si>
  <si>
    <t>851</t>
  </si>
  <si>
    <t>DISHTV</t>
  </si>
  <si>
    <t>101</t>
  </si>
  <si>
    <t>104</t>
  </si>
  <si>
    <t>BEML</t>
  </si>
  <si>
    <t>1266</t>
  </si>
  <si>
    <t>1278</t>
  </si>
  <si>
    <t>-12</t>
  </si>
  <si>
    <t>1760</t>
  </si>
  <si>
    <t>1745</t>
  </si>
  <si>
    <t>-15</t>
  </si>
  <si>
    <t>685</t>
  </si>
  <si>
    <t>678</t>
  </si>
  <si>
    <t>315</t>
  </si>
  <si>
    <t>316.50</t>
  </si>
  <si>
    <t>1.5</t>
  </si>
  <si>
    <t>2488</t>
  </si>
  <si>
    <t>12</t>
  </si>
  <si>
    <t>378</t>
  </si>
  <si>
    <t>380</t>
  </si>
  <si>
    <t>-2400</t>
  </si>
  <si>
    <t>1082</t>
  </si>
  <si>
    <t>1070</t>
  </si>
  <si>
    <t>-8400</t>
  </si>
  <si>
    <t>7957</t>
  </si>
  <si>
    <t>7942</t>
  </si>
  <si>
    <t>2250</t>
  </si>
  <si>
    <t>133</t>
  </si>
  <si>
    <t>HDFCBANK 1080 PE</t>
  </si>
  <si>
    <t>YESBANK 700 PE</t>
  </si>
  <si>
    <t>ASIANPAINT 900 PE</t>
  </si>
  <si>
    <t>HEROMOTOCO 2550 PE</t>
  </si>
  <si>
    <t>HEROMOTOCO 2500 PE</t>
  </si>
  <si>
    <t>13/1/2016</t>
  </si>
  <si>
    <t>14/1/2016</t>
  </si>
  <si>
    <t>15/1/2016</t>
  </si>
  <si>
    <t>18/1/2016</t>
  </si>
  <si>
    <t>INDUSIDBK</t>
  </si>
  <si>
    <t>7500 PE</t>
  </si>
  <si>
    <t>LT 1180 PE</t>
  </si>
  <si>
    <t>LT 1140 PE</t>
  </si>
  <si>
    <t>YESBANK 680 PE</t>
  </si>
  <si>
    <t>YESBANK 660 PE</t>
  </si>
  <si>
    <t>01-14-2016</t>
  </si>
  <si>
    <t>01-13-2016</t>
  </si>
  <si>
    <t>01-15-2016</t>
  </si>
  <si>
    <t>01-18-2016</t>
  </si>
  <si>
    <t>BANKNIFTY OPTION QTY PER 4 LOT</t>
  </si>
  <si>
    <t>15900 PE</t>
  </si>
  <si>
    <t>15600 PE</t>
  </si>
  <si>
    <t>15100 PE</t>
  </si>
  <si>
    <t>19/1/2016</t>
  </si>
  <si>
    <t>20/1/2016</t>
  </si>
  <si>
    <t>21/1/2016</t>
  </si>
  <si>
    <t>22/1/2016</t>
  </si>
  <si>
    <t xml:space="preserve">COALINDIA </t>
  </si>
  <si>
    <t>7400 PE</t>
  </si>
  <si>
    <t>M&amp;M 1160 PE</t>
  </si>
  <si>
    <t>JETAIRWAYS 640 PE</t>
  </si>
  <si>
    <t>JSWSTEEL 1040 CE</t>
  </si>
  <si>
    <t>15200 PE</t>
  </si>
  <si>
    <t>14900 PE</t>
  </si>
  <si>
    <t>25/1/2016</t>
  </si>
  <si>
    <t>27/1/2016</t>
  </si>
  <si>
    <t>28/1/2016</t>
  </si>
  <si>
    <t>29/1/2016</t>
  </si>
  <si>
    <t>-25</t>
  </si>
  <si>
    <t>JSWSTEEL 1120 PE</t>
  </si>
  <si>
    <t>SBIN 180 PE</t>
  </si>
  <si>
    <t>15500 PE</t>
  </si>
  <si>
    <t>B.NIFTY OPTION</t>
  </si>
  <si>
    <t>NF. OPTION</t>
  </si>
  <si>
    <t>16900 PE</t>
  </si>
  <si>
    <t xml:space="preserve">                                     PERFORMANCE  OF EQUITY COMBO PACKAGE FEBRUARY-2016</t>
  </si>
  <si>
    <t>1232</t>
  </si>
  <si>
    <t>1210</t>
  </si>
  <si>
    <t>22</t>
  </si>
  <si>
    <t>1277</t>
  </si>
  <si>
    <t>1281</t>
  </si>
  <si>
    <t>763</t>
  </si>
  <si>
    <t>758</t>
  </si>
  <si>
    <t>775</t>
  </si>
  <si>
    <t>998</t>
  </si>
  <si>
    <t>991</t>
  </si>
  <si>
    <t>1275</t>
  </si>
  <si>
    <t>860</t>
  </si>
  <si>
    <t>847</t>
  </si>
  <si>
    <t>13</t>
  </si>
  <si>
    <t>1270</t>
  </si>
  <si>
    <t>1274</t>
  </si>
  <si>
    <t>BHARATFOGG</t>
  </si>
  <si>
    <t>787</t>
  </si>
  <si>
    <t>770</t>
  </si>
  <si>
    <t>825</t>
  </si>
  <si>
    <t>13200</t>
  </si>
  <si>
    <t>1030</t>
  </si>
  <si>
    <t>15000</t>
  </si>
  <si>
    <t>7595</t>
  </si>
  <si>
    <t>7550</t>
  </si>
  <si>
    <t>-45</t>
  </si>
  <si>
    <t>-6750</t>
  </si>
  <si>
    <t>7500 CE</t>
  </si>
  <si>
    <t>7400 CE</t>
  </si>
  <si>
    <t>JSWSTEEL 1020 PE</t>
  </si>
  <si>
    <t>CANBK180 PE</t>
  </si>
  <si>
    <t>YESBANK 780 PE</t>
  </si>
  <si>
    <t>MARUTI 3750 PE</t>
  </si>
  <si>
    <t>14800 PE</t>
  </si>
  <si>
    <t>15100 CE</t>
  </si>
  <si>
    <t>1305</t>
  </si>
  <si>
    <t>1205</t>
  </si>
  <si>
    <t>INDUSINDBANK</t>
  </si>
  <si>
    <t>7300 PE</t>
  </si>
  <si>
    <t>7200 PE</t>
  </si>
  <si>
    <t>7000 PE</t>
  </si>
  <si>
    <t>15300 PE</t>
  </si>
  <si>
    <t>15000 PE</t>
  </si>
  <si>
    <t>14700 PE</t>
  </si>
  <si>
    <t>14600 PE</t>
  </si>
  <si>
    <t>14000 PE</t>
  </si>
  <si>
    <t>15/2/2016</t>
  </si>
  <si>
    <t>16/2/2016</t>
  </si>
  <si>
    <t>17/2/2016</t>
  </si>
  <si>
    <t>18/2/2016</t>
  </si>
  <si>
    <t>19/2/2016</t>
  </si>
  <si>
    <t>7100 CE</t>
  </si>
  <si>
    <t>7100 PE</t>
  </si>
  <si>
    <t>HDFC 1180 PE</t>
  </si>
  <si>
    <t>YESBANK 760 PE</t>
  </si>
  <si>
    <t>YESBANK 740 PE</t>
  </si>
  <si>
    <t>ACC 1240</t>
  </si>
  <si>
    <t>YESBANK 720 PE</t>
  </si>
  <si>
    <t>HDFC 1100 PE</t>
  </si>
  <si>
    <t>M&amp;M 1200 PE</t>
  </si>
  <si>
    <t>HDFC BANK 1000 PE</t>
  </si>
  <si>
    <t>14300 CE</t>
  </si>
  <si>
    <t>14400 PE</t>
  </si>
  <si>
    <t>14100 PE</t>
  </si>
  <si>
    <t>14200 CE</t>
  </si>
  <si>
    <t>22/2/2016</t>
  </si>
  <si>
    <t>23/2/2016</t>
  </si>
  <si>
    <t>24/2/2016</t>
  </si>
  <si>
    <t>25/2/2016</t>
  </si>
  <si>
    <t>225</t>
  </si>
  <si>
    <t>26/2/2016</t>
  </si>
  <si>
    <t>29/2/2016</t>
  </si>
  <si>
    <t>55</t>
  </si>
  <si>
    <t>BAJAJAUTO 2300 PE</t>
  </si>
  <si>
    <t>13500 PE</t>
  </si>
  <si>
    <t>14000 CE</t>
  </si>
  <si>
    <t>665</t>
  </si>
  <si>
    <t>680</t>
  </si>
  <si>
    <t>1218</t>
  </si>
  <si>
    <t>-14</t>
  </si>
  <si>
    <t>1075</t>
  </si>
  <si>
    <t>752</t>
  </si>
  <si>
    <t>754</t>
  </si>
  <si>
    <t>1155</t>
  </si>
  <si>
    <t>1780</t>
  </si>
  <si>
    <t>1766</t>
  </si>
  <si>
    <t>14</t>
  </si>
  <si>
    <t>181</t>
  </si>
  <si>
    <t>873</t>
  </si>
  <si>
    <t>184</t>
  </si>
  <si>
    <t>-3</t>
  </si>
  <si>
    <t>760</t>
  </si>
  <si>
    <t>203</t>
  </si>
  <si>
    <t>205</t>
  </si>
  <si>
    <t>848</t>
  </si>
  <si>
    <t>303</t>
  </si>
  <si>
    <t>302</t>
  </si>
  <si>
    <t>677</t>
  </si>
  <si>
    <t>687</t>
  </si>
  <si>
    <t>-7000</t>
  </si>
  <si>
    <t>7160</t>
  </si>
  <si>
    <t>7143</t>
  </si>
  <si>
    <t>2550</t>
  </si>
  <si>
    <t>7300 CE</t>
  </si>
  <si>
    <t>M&amp;M 1220 PE</t>
  </si>
  <si>
    <t>MARUTI 3600 PE</t>
  </si>
  <si>
    <t>HEROMOTOCO 2800 PE</t>
  </si>
  <si>
    <t>HDFC 1140 PE</t>
  </si>
  <si>
    <t xml:space="preserve">LT 1220 PE </t>
  </si>
  <si>
    <t>YESBANK 800 CE</t>
  </si>
  <si>
    <t>14200 PE</t>
  </si>
  <si>
    <t>14900 CE</t>
  </si>
  <si>
    <t>15000 CE</t>
  </si>
  <si>
    <t>15300 CE</t>
  </si>
  <si>
    <t xml:space="preserve">                                     PERFORMANCE  OF EQUITY COMBO PACKAGE MARCH-2016</t>
  </si>
  <si>
    <t>14/3/2016</t>
  </si>
  <si>
    <t>15/3/2016</t>
  </si>
  <si>
    <t>16/3/2016</t>
  </si>
  <si>
    <t>17/3/2016</t>
  </si>
  <si>
    <t>18/3/2016</t>
  </si>
  <si>
    <t>Cost to cost exit</t>
  </si>
  <si>
    <t>LT 1200 CE</t>
  </si>
  <si>
    <t>YESBANK 800 PE</t>
  </si>
  <si>
    <t>INDUSINDBK 920 PE</t>
  </si>
  <si>
    <t>LUPIN 1650 PE</t>
  </si>
  <si>
    <t>15500 CE</t>
  </si>
  <si>
    <t>21/3/2016</t>
  </si>
  <si>
    <t>22/3/2016</t>
  </si>
  <si>
    <t>7600 CE</t>
  </si>
  <si>
    <t>LUPIN 1550 PE</t>
  </si>
  <si>
    <t>LT 1220 CE</t>
  </si>
  <si>
    <t>15700 CE</t>
  </si>
  <si>
    <t>23/3/2016</t>
  </si>
  <si>
    <t>28/3/2016</t>
  </si>
  <si>
    <t>29/3/2016</t>
  </si>
  <si>
    <t>30/3/2016</t>
  </si>
  <si>
    <t>31/3/2016</t>
  </si>
  <si>
    <t>AXISBANK 440 PE</t>
  </si>
  <si>
    <t>CANBK 190 PE</t>
  </si>
  <si>
    <t>DRREDDY 2950 PE</t>
  </si>
  <si>
    <t>CANBK 185 CE</t>
  </si>
  <si>
    <t>16000 PE</t>
  </si>
  <si>
    <t>16000 CE</t>
  </si>
  <si>
    <t xml:space="preserve">                                     PERFORMANCE  OF EQUITY COMBO PACKAGE APRIL-2016</t>
  </si>
  <si>
    <t>880</t>
  </si>
  <si>
    <t>870</t>
  </si>
  <si>
    <t>1193</t>
  </si>
  <si>
    <t>1206</t>
  </si>
  <si>
    <t>-13</t>
  </si>
  <si>
    <t>201</t>
  </si>
  <si>
    <t>1112</t>
  </si>
  <si>
    <t>1100</t>
  </si>
  <si>
    <t>197</t>
  </si>
  <si>
    <t>198.50</t>
  </si>
  <si>
    <t>1170.50</t>
  </si>
  <si>
    <t>224</t>
  </si>
  <si>
    <t>221</t>
  </si>
  <si>
    <t>357.50</t>
  </si>
  <si>
    <t>4.5</t>
  </si>
  <si>
    <t>464</t>
  </si>
  <si>
    <t>470</t>
  </si>
  <si>
    <t>844</t>
  </si>
  <si>
    <t>6</t>
  </si>
  <si>
    <t>660</t>
  </si>
  <si>
    <t>290</t>
  </si>
  <si>
    <t>287.50</t>
  </si>
  <si>
    <t>2.5</t>
  </si>
  <si>
    <t>1060</t>
  </si>
  <si>
    <t>1054</t>
  </si>
  <si>
    <t>7745</t>
  </si>
  <si>
    <t>7705</t>
  </si>
  <si>
    <t>166</t>
  </si>
  <si>
    <t>CANBK 195 CE</t>
  </si>
  <si>
    <t>SBIN 195 PE</t>
  </si>
  <si>
    <t>YESBANK 860 PE</t>
  </si>
  <si>
    <t>TATAMOTORS 370 CE</t>
  </si>
  <si>
    <t>CANBK 185 PE</t>
  </si>
  <si>
    <t>YESBANK 840 CE</t>
  </si>
  <si>
    <t>16100 PE</t>
  </si>
  <si>
    <t>16200 PE</t>
  </si>
  <si>
    <t>15700 PE</t>
  </si>
  <si>
    <t>13/4/2016</t>
  </si>
  <si>
    <t>GODREJCP</t>
  </si>
  <si>
    <t>Cost To Cost Exit</t>
  </si>
  <si>
    <t>JUSTDIEL 800 CE</t>
  </si>
  <si>
    <t>SBIN 190 PE</t>
  </si>
  <si>
    <t>YESBANK 860 CE</t>
  </si>
  <si>
    <t>16200 CE</t>
  </si>
  <si>
    <t>18/4/2016</t>
  </si>
  <si>
    <t>20/4/2016</t>
  </si>
  <si>
    <t>21/4/2016</t>
  </si>
  <si>
    <t>ICIL</t>
  </si>
  <si>
    <t>22/4/2016</t>
  </si>
  <si>
    <t>GLENMARK 800 CE</t>
  </si>
  <si>
    <t>RELINFRA 560 PE</t>
  </si>
  <si>
    <t>CIPLA 530 CE</t>
  </si>
  <si>
    <t>16300 CE</t>
  </si>
  <si>
    <t>16600 CE</t>
  </si>
  <si>
    <t>25/4/2016</t>
  </si>
  <si>
    <t>26/4/2016</t>
  </si>
  <si>
    <t>27/4/2016</t>
  </si>
  <si>
    <t>28/4/2016</t>
  </si>
  <si>
    <t>29/4/2016</t>
  </si>
  <si>
    <t>INDUSINDBK 980 CE</t>
  </si>
  <si>
    <t>YESBANK 880 CE</t>
  </si>
  <si>
    <t>BAJAJAUTO 2550 PE</t>
  </si>
  <si>
    <t>LT 1280 PE</t>
  </si>
  <si>
    <t>LUPIN 1650 CE</t>
  </si>
  <si>
    <t>16700 PE</t>
  </si>
  <si>
    <t>16900 CE</t>
  </si>
  <si>
    <t>17000 PE</t>
  </si>
  <si>
    <t>1620</t>
  </si>
  <si>
    <t>1618</t>
  </si>
  <si>
    <t>1425</t>
  </si>
  <si>
    <t>1417</t>
  </si>
  <si>
    <t>1610</t>
  </si>
  <si>
    <t>1575</t>
  </si>
  <si>
    <t>197.50</t>
  </si>
  <si>
    <t>194</t>
  </si>
  <si>
    <t>-3.5</t>
  </si>
  <si>
    <t>918</t>
  </si>
  <si>
    <t>1150</t>
  </si>
  <si>
    <t>1175</t>
  </si>
  <si>
    <t>928</t>
  </si>
  <si>
    <t>14000</t>
  </si>
  <si>
    <t>294</t>
  </si>
  <si>
    <t>-4</t>
  </si>
  <si>
    <t>-8000</t>
  </si>
  <si>
    <t>CUMMINSIND</t>
  </si>
  <si>
    <t>7835</t>
  </si>
  <si>
    <t>7810</t>
  </si>
  <si>
    <t>RELIANCE 1000 CE</t>
  </si>
  <si>
    <t>Not Executed</t>
  </si>
  <si>
    <t>SBIN 185 CE</t>
  </si>
  <si>
    <t>LT 1250 PE</t>
  </si>
  <si>
    <t>YESBANK 920 LT PE</t>
  </si>
  <si>
    <t>16500 PE</t>
  </si>
  <si>
    <t>16400 PE</t>
  </si>
  <si>
    <t xml:space="preserve">                                     PERFORMANCE  OF EQUITY COMBO PACKAGE MAY-2016</t>
  </si>
  <si>
    <t>M&amp;M FIN</t>
  </si>
  <si>
    <t>308</t>
  </si>
  <si>
    <t>1590</t>
  </si>
  <si>
    <t>1582</t>
  </si>
  <si>
    <t>KOTAK BANK 700 PE</t>
  </si>
  <si>
    <t>Cost To Cost exit</t>
  </si>
  <si>
    <t>2570</t>
  </si>
  <si>
    <t>2600</t>
  </si>
  <si>
    <t>1300</t>
  </si>
  <si>
    <t>955</t>
  </si>
  <si>
    <t>960</t>
  </si>
  <si>
    <t>320</t>
  </si>
  <si>
    <t>317</t>
  </si>
  <si>
    <t>505</t>
  </si>
  <si>
    <t>500</t>
  </si>
  <si>
    <t>1330</t>
  </si>
  <si>
    <t>13/5/2016</t>
  </si>
  <si>
    <t>984</t>
  </si>
  <si>
    <t>988</t>
  </si>
  <si>
    <t>1295</t>
  </si>
  <si>
    <t>1282</t>
  </si>
  <si>
    <t xml:space="preserve">RELIANCE </t>
  </si>
  <si>
    <t>9/5/20156</t>
  </si>
  <si>
    <t>HDFC 1200 CE</t>
  </si>
  <si>
    <t>YESBANK 960 CE</t>
  </si>
  <si>
    <t>16600 PE</t>
  </si>
  <si>
    <t>16700 CE</t>
  </si>
  <si>
    <t>319.50</t>
  </si>
  <si>
    <t>326.50</t>
  </si>
  <si>
    <t>1285</t>
  </si>
  <si>
    <t>1269</t>
  </si>
  <si>
    <t>1298</t>
  </si>
  <si>
    <t>1308</t>
  </si>
  <si>
    <t>175.50</t>
  </si>
  <si>
    <t>TCS 2550 CE</t>
  </si>
  <si>
    <t>16/5/2016</t>
  </si>
  <si>
    <t>17/5/2016</t>
  </si>
  <si>
    <t>177</t>
  </si>
  <si>
    <t>-1.5</t>
  </si>
  <si>
    <t>18/5/2016</t>
  </si>
  <si>
    <t>1139</t>
  </si>
  <si>
    <t>19/5/2016</t>
  </si>
  <si>
    <t>1335</t>
  </si>
  <si>
    <t>1341</t>
  </si>
  <si>
    <t>323.50</t>
  </si>
  <si>
    <t>20/5/2016</t>
  </si>
  <si>
    <t>952</t>
  </si>
  <si>
    <t>942</t>
  </si>
  <si>
    <t>1145</t>
  </si>
  <si>
    <t>1140</t>
  </si>
  <si>
    <t>BAJAJ-AUTO 2450 PE</t>
  </si>
  <si>
    <t>AXISBANK 490 PE</t>
  </si>
  <si>
    <t>213</t>
  </si>
  <si>
    <t>1252</t>
  </si>
  <si>
    <t>1239</t>
  </si>
  <si>
    <t>214</t>
  </si>
  <si>
    <t>216</t>
  </si>
  <si>
    <t>CENTUARYTEX</t>
  </si>
  <si>
    <t>585</t>
  </si>
  <si>
    <t>580</t>
  </si>
  <si>
    <t>223</t>
  </si>
  <si>
    <t>820</t>
  </si>
  <si>
    <t>809</t>
  </si>
  <si>
    <t>11</t>
  </si>
  <si>
    <t>1177</t>
  </si>
  <si>
    <t>1182</t>
  </si>
  <si>
    <t>195</t>
  </si>
  <si>
    <t>346</t>
  </si>
  <si>
    <t>358</t>
  </si>
  <si>
    <t>M&amp;M 1300 PE</t>
  </si>
  <si>
    <t>LT 1240 PE</t>
  </si>
  <si>
    <t>TECHM 520 PE</t>
  </si>
  <si>
    <t>YESBANK 1000 CE</t>
  </si>
  <si>
    <t>LT 1450 PE</t>
  </si>
  <si>
    <t>17300 PE</t>
  </si>
  <si>
    <t>139</t>
  </si>
  <si>
    <t>138</t>
  </si>
  <si>
    <t>62600</t>
  </si>
  <si>
    <t>66600</t>
  </si>
  <si>
    <t>86100</t>
  </si>
  <si>
    <t xml:space="preserve">                                     PERFORMANCE  OF EQUITY COMBO PACKAGE JUNE-2016</t>
  </si>
  <si>
    <t>853</t>
  </si>
  <si>
    <t>159.50</t>
  </si>
  <si>
    <t>160.30</t>
  </si>
  <si>
    <t>0.80</t>
  </si>
  <si>
    <t>353.50</t>
  </si>
  <si>
    <t>145.50</t>
  </si>
  <si>
    <t>3.5</t>
  </si>
  <si>
    <t>1477</t>
  </si>
  <si>
    <t>1460</t>
  </si>
  <si>
    <t>745</t>
  </si>
  <si>
    <t>-7</t>
  </si>
  <si>
    <t>-3500</t>
  </si>
  <si>
    <t>838</t>
  </si>
  <si>
    <t>834</t>
  </si>
  <si>
    <t>8220</t>
  </si>
  <si>
    <t>8180</t>
  </si>
  <si>
    <t>ICICIBANK 240 PE</t>
  </si>
  <si>
    <t>17400 PE</t>
  </si>
  <si>
    <t>179</t>
  </si>
  <si>
    <t>363</t>
  </si>
  <si>
    <t>178</t>
  </si>
  <si>
    <t>176</t>
  </si>
  <si>
    <t>309.50</t>
  </si>
  <si>
    <t>306</t>
  </si>
  <si>
    <t>1494</t>
  </si>
  <si>
    <t>1440</t>
  </si>
  <si>
    <t>1158</t>
  </si>
  <si>
    <t>1153</t>
  </si>
  <si>
    <t>483</t>
  </si>
  <si>
    <t>486</t>
  </si>
  <si>
    <t>883</t>
  </si>
  <si>
    <t>5600</t>
  </si>
  <si>
    <t>600</t>
  </si>
  <si>
    <t>7500</t>
  </si>
  <si>
    <t>10500</t>
  </si>
  <si>
    <t>AXISBANK 540 PE</t>
  </si>
  <si>
    <t>YESBANK 1060 PE</t>
  </si>
  <si>
    <t>CANBK 180 PE</t>
  </si>
  <si>
    <t xml:space="preserve">RELIANCE 960 CE </t>
  </si>
  <si>
    <t>LUPIN 1450 CE</t>
  </si>
  <si>
    <t>17500 PE</t>
  </si>
  <si>
    <t>17600 PE</t>
  </si>
  <si>
    <t>17800 CE</t>
  </si>
  <si>
    <t>973</t>
  </si>
  <si>
    <t>1058</t>
  </si>
  <si>
    <t>1465</t>
  </si>
  <si>
    <t>1462</t>
  </si>
  <si>
    <t>458</t>
  </si>
  <si>
    <t>152</t>
  </si>
  <si>
    <t>118.80</t>
  </si>
  <si>
    <t>-0.80</t>
  </si>
  <si>
    <t>547</t>
  </si>
  <si>
    <t>551</t>
  </si>
  <si>
    <t>865</t>
  </si>
  <si>
    <t>540</t>
  </si>
  <si>
    <t>534</t>
  </si>
  <si>
    <t>1485</t>
  </si>
  <si>
    <t>1475</t>
  </si>
  <si>
    <t>-4500</t>
  </si>
  <si>
    <t>-1800</t>
  </si>
  <si>
    <t>-6000</t>
  </si>
  <si>
    <t>RELIANCE 980 PE</t>
  </si>
  <si>
    <t>HDFC 1200 PE</t>
  </si>
  <si>
    <t>LT 1500 PE</t>
  </si>
  <si>
    <t>1510</t>
  </si>
  <si>
    <t>522</t>
  </si>
  <si>
    <t>1366</t>
  </si>
  <si>
    <t>215.50</t>
  </si>
  <si>
    <t>216.50</t>
  </si>
  <si>
    <t>CASTROLIND</t>
  </si>
  <si>
    <t>375</t>
  </si>
  <si>
    <t>473</t>
  </si>
  <si>
    <t>469</t>
  </si>
  <si>
    <t>1190</t>
  </si>
  <si>
    <t>236.50</t>
  </si>
  <si>
    <t>240</t>
  </si>
  <si>
    <t>990</t>
  </si>
  <si>
    <t>938</t>
  </si>
  <si>
    <t>-900</t>
  </si>
  <si>
    <t>14400</t>
  </si>
  <si>
    <t>12000`</t>
  </si>
  <si>
    <t>CANBK 200 CE</t>
  </si>
  <si>
    <t>CANBK 210 CE</t>
  </si>
  <si>
    <t>TATAMOTORS 480 PE</t>
  </si>
  <si>
    <t>HDFCBANK 1160 PE</t>
  </si>
  <si>
    <t>17700 CE</t>
  </si>
  <si>
    <t>17700 PE</t>
  </si>
  <si>
    <t>17600 CE</t>
  </si>
  <si>
    <t>1040</t>
  </si>
  <si>
    <t>1046</t>
  </si>
  <si>
    <t>2665</t>
  </si>
  <si>
    <t>2645</t>
  </si>
  <si>
    <t>1196</t>
  </si>
  <si>
    <t>2635</t>
  </si>
  <si>
    <t>2618</t>
  </si>
  <si>
    <t>1166</t>
  </si>
  <si>
    <t>972</t>
  </si>
  <si>
    <t>976</t>
  </si>
  <si>
    <t>1423</t>
  </si>
  <si>
    <t>-700</t>
  </si>
  <si>
    <t>-5200</t>
  </si>
  <si>
    <t>82500</t>
  </si>
  <si>
    <t>M&amp;M 1380 PE</t>
  </si>
  <si>
    <t>BAJAJAUTO 2650 PE</t>
  </si>
  <si>
    <t>17400 CE</t>
  </si>
  <si>
    <t>17800 PE</t>
  </si>
  <si>
    <t>18000 PE</t>
  </si>
  <si>
    <t>1532</t>
  </si>
  <si>
    <t>1545</t>
  </si>
  <si>
    <t>974</t>
  </si>
  <si>
    <t>244.50</t>
  </si>
  <si>
    <t>248.80</t>
  </si>
  <si>
    <t>4.3</t>
  </si>
  <si>
    <t>246</t>
  </si>
  <si>
    <t>468</t>
  </si>
  <si>
    <t>463</t>
  </si>
  <si>
    <t>233</t>
  </si>
  <si>
    <t>230</t>
  </si>
  <si>
    <t>NIITTECH</t>
  </si>
  <si>
    <t>523</t>
  </si>
  <si>
    <t>512</t>
  </si>
  <si>
    <t>560</t>
  </si>
  <si>
    <t>562</t>
  </si>
  <si>
    <t>1530</t>
  </si>
  <si>
    <t>1522</t>
  </si>
  <si>
    <t>1146</t>
  </si>
  <si>
    <t>720</t>
  </si>
  <si>
    <t>715.50</t>
  </si>
  <si>
    <t>253.50</t>
  </si>
  <si>
    <t>6.5</t>
  </si>
  <si>
    <t>261</t>
  </si>
  <si>
    <t>228</t>
  </si>
  <si>
    <t>781</t>
  </si>
  <si>
    <t>780</t>
  </si>
  <si>
    <t>1161</t>
  </si>
  <si>
    <t>2695</t>
  </si>
  <si>
    <t>2700</t>
  </si>
  <si>
    <t>220.50</t>
  </si>
  <si>
    <t>1183</t>
  </si>
  <si>
    <t>8400 CE</t>
  </si>
  <si>
    <t>8600 PE</t>
  </si>
  <si>
    <t>8500 CE</t>
  </si>
  <si>
    <t>LT 1550 CE</t>
  </si>
  <si>
    <t>INFY 1180 CE</t>
  </si>
  <si>
    <t>ICICIBANK 250 PE</t>
  </si>
  <si>
    <t>LT 1550 PE</t>
  </si>
  <si>
    <t>AXISBANK 550 PE</t>
  </si>
  <si>
    <t>YESBANK 1140 PE</t>
  </si>
  <si>
    <t>KOTAKBANK 780 CE</t>
  </si>
  <si>
    <t>YESBANK 1180 CE</t>
  </si>
  <si>
    <t>18200 CE</t>
  </si>
  <si>
    <t>18300 CE</t>
  </si>
  <si>
    <t>18400 CE</t>
  </si>
  <si>
    <t>18500 PE</t>
  </si>
  <si>
    <t>18600 CE</t>
  </si>
  <si>
    <t>18800 PE</t>
  </si>
  <si>
    <t>735</t>
  </si>
  <si>
    <t>748</t>
  </si>
  <si>
    <t>5304</t>
  </si>
  <si>
    <t>1185</t>
  </si>
  <si>
    <t>1785</t>
  </si>
  <si>
    <t>727</t>
  </si>
  <si>
    <t>730</t>
  </si>
  <si>
    <t>413</t>
  </si>
  <si>
    <t>1456</t>
  </si>
  <si>
    <t>1444</t>
  </si>
  <si>
    <t>206</t>
  </si>
  <si>
    <t>2472</t>
  </si>
  <si>
    <t>711</t>
  </si>
  <si>
    <t>714</t>
  </si>
  <si>
    <t>556</t>
  </si>
  <si>
    <t>536</t>
  </si>
  <si>
    <t>2144</t>
  </si>
  <si>
    <t>498</t>
  </si>
  <si>
    <t>602</t>
  </si>
  <si>
    <t>-3010</t>
  </si>
  <si>
    <t>1224</t>
  </si>
  <si>
    <t>1464</t>
  </si>
  <si>
    <t>1160</t>
  </si>
  <si>
    <t>259</t>
  </si>
  <si>
    <t>900</t>
  </si>
  <si>
    <t>903</t>
  </si>
  <si>
    <t>333</t>
  </si>
  <si>
    <t>-999</t>
  </si>
  <si>
    <t>8700 PE</t>
  </si>
  <si>
    <t>COST TO COST EXIT</t>
  </si>
  <si>
    <t>RELIANCE 1020 PE</t>
  </si>
  <si>
    <t>CANBK 250 PE</t>
  </si>
  <si>
    <t>M&amp;M 1440 PE</t>
  </si>
  <si>
    <t>SBIN230 PE</t>
  </si>
  <si>
    <t>LUPIN 1700 PE</t>
  </si>
  <si>
    <t>RELCAPITAL 410 PE</t>
  </si>
  <si>
    <t>19100 CE</t>
  </si>
  <si>
    <t>19000 PE</t>
  </si>
  <si>
    <t>265</t>
  </si>
  <si>
    <t>270</t>
  </si>
  <si>
    <t>1132</t>
  </si>
  <si>
    <t>5660</t>
  </si>
  <si>
    <t>1681</t>
  </si>
  <si>
    <t>1670</t>
  </si>
  <si>
    <t>1958</t>
  </si>
  <si>
    <t>743</t>
  </si>
  <si>
    <t>745.50</t>
  </si>
  <si>
    <t>404</t>
  </si>
  <si>
    <t>1010</t>
  </si>
  <si>
    <t>1061</t>
  </si>
  <si>
    <t>566</t>
  </si>
  <si>
    <t>273</t>
  </si>
  <si>
    <t>269</t>
  </si>
  <si>
    <t>1098</t>
  </si>
  <si>
    <t>-4392</t>
  </si>
  <si>
    <t>545</t>
  </si>
  <si>
    <t>550</t>
  </si>
  <si>
    <t>-1100</t>
  </si>
  <si>
    <t>1211</t>
  </si>
  <si>
    <t>248</t>
  </si>
  <si>
    <t>3224</t>
  </si>
  <si>
    <t>426</t>
  </si>
  <si>
    <t>431</t>
  </si>
  <si>
    <t>-3520</t>
  </si>
  <si>
    <t>8800 PE</t>
  </si>
  <si>
    <t>BAJAJAUTO 2700 PE</t>
  </si>
  <si>
    <t>YESBANK 1200 CE</t>
  </si>
  <si>
    <t>19000 CE</t>
  </si>
  <si>
    <t>M&amp;M 1500 CE</t>
  </si>
  <si>
    <t>293</t>
  </si>
  <si>
    <t>295</t>
  </si>
  <si>
    <t>191.50</t>
  </si>
  <si>
    <t>189.50</t>
  </si>
  <si>
    <t xml:space="preserve">                                     PERFORMANCE  OF EQUITY COMBO PACKAGE JULY-2016</t>
  </si>
  <si>
    <t xml:space="preserve">                                     PERFORMANCE  OF EQUITY COMBO PACKAGE AUG-2016</t>
  </si>
  <si>
    <t>243</t>
  </si>
  <si>
    <t>1340</t>
  </si>
  <si>
    <t>1348</t>
  </si>
  <si>
    <t>257.50</t>
  </si>
  <si>
    <t>1.50</t>
  </si>
  <si>
    <t>668</t>
  </si>
  <si>
    <t>675</t>
  </si>
  <si>
    <t>254</t>
  </si>
  <si>
    <t>247</t>
  </si>
  <si>
    <t>248.50</t>
  </si>
  <si>
    <t>177.50</t>
  </si>
  <si>
    <t>176.10</t>
  </si>
  <si>
    <t>1.4</t>
  </si>
  <si>
    <t>1710</t>
  </si>
  <si>
    <t>1258</t>
  </si>
  <si>
    <t>755</t>
  </si>
  <si>
    <t>8700</t>
  </si>
  <si>
    <t>8635</t>
  </si>
  <si>
    <t>9750</t>
  </si>
  <si>
    <t>87OO PE</t>
  </si>
  <si>
    <t>TCS 2700 PE</t>
  </si>
  <si>
    <t>YESBANK 1220 PE</t>
  </si>
  <si>
    <t>CANBK 255 PE</t>
  </si>
  <si>
    <t>18600 PE</t>
  </si>
  <si>
    <t>18900 PE</t>
  </si>
  <si>
    <t>INFRATEL</t>
  </si>
  <si>
    <t>AXISBANK 580 PE</t>
  </si>
  <si>
    <t>CANBK 265 CE</t>
  </si>
  <si>
    <t>AXISBANK 590 PE</t>
  </si>
  <si>
    <t>19100 PE</t>
  </si>
  <si>
    <t>19300 PE</t>
  </si>
  <si>
    <t>19400 PE</t>
  </si>
  <si>
    <t>SBIN 255 PE</t>
  </si>
  <si>
    <t>YESBANK 1320 PE</t>
  </si>
  <si>
    <t>19500 PE</t>
  </si>
  <si>
    <t>19600 PE</t>
  </si>
  <si>
    <t>8800 CE</t>
  </si>
  <si>
    <t>YESBANK 1380 CE</t>
  </si>
  <si>
    <t>HDFCBANK 1280 CALL</t>
  </si>
  <si>
    <t>19200 PE</t>
  </si>
  <si>
    <t>19700 CE</t>
  </si>
  <si>
    <t>279</t>
  </si>
  <si>
    <t>282</t>
  </si>
  <si>
    <t>1370</t>
  </si>
  <si>
    <t>284</t>
  </si>
  <si>
    <t>287</t>
  </si>
  <si>
    <t>1410</t>
  </si>
  <si>
    <t>630</t>
  </si>
  <si>
    <t>623</t>
  </si>
  <si>
    <t>314</t>
  </si>
  <si>
    <t>310</t>
  </si>
  <si>
    <t>271</t>
  </si>
  <si>
    <t>275</t>
  </si>
  <si>
    <t>416.80</t>
  </si>
  <si>
    <t>3.2</t>
  </si>
  <si>
    <t>577.50</t>
  </si>
  <si>
    <t>8835</t>
  </si>
  <si>
    <t>8800</t>
  </si>
  <si>
    <t>-35</t>
  </si>
  <si>
    <t>-5250</t>
  </si>
  <si>
    <t>8900 CE</t>
  </si>
  <si>
    <t>9000 PE</t>
  </si>
  <si>
    <t>HCLTECH 780 PE</t>
  </si>
  <si>
    <t>AXISBANK 600 PE</t>
  </si>
  <si>
    <t>AXISBANK 620 CE</t>
  </si>
  <si>
    <t>ICICIBANK 270 CE</t>
  </si>
  <si>
    <t>ICICIBANK 280 CE</t>
  </si>
  <si>
    <t>CANBK 315 CE</t>
  </si>
  <si>
    <t xml:space="preserve">19900 CE </t>
  </si>
  <si>
    <t>19900 PE</t>
  </si>
  <si>
    <t>20200 CE</t>
  </si>
  <si>
    <t>20500 PE</t>
  </si>
  <si>
    <t>20500 CE</t>
  </si>
  <si>
    <t>20300 PE</t>
  </si>
  <si>
    <t>8700 CE</t>
  </si>
  <si>
    <t>8900 PE</t>
  </si>
  <si>
    <t>BAJAJAUTO 2950 PE</t>
  </si>
  <si>
    <t>YESBANK 1220 CE</t>
  </si>
  <si>
    <t>AXISBANK 610 PE</t>
  </si>
  <si>
    <t>20000 CE</t>
  </si>
  <si>
    <t>20200 PE</t>
  </si>
  <si>
    <t xml:space="preserve">                                     PERFORMANCE  OF EQUITY COMBO PACKAGE SEP-2016</t>
  </si>
  <si>
    <t>157</t>
  </si>
  <si>
    <t>ICICIBANK 270 PE</t>
  </si>
  <si>
    <t>LUPIN 1500 CE</t>
  </si>
  <si>
    <t xml:space="preserve">YESBANK 1300 CE </t>
  </si>
  <si>
    <t>19800 PE</t>
  </si>
  <si>
    <t>19700 PE</t>
  </si>
  <si>
    <t xml:space="preserve">                                     PERFORMANCE  OF EQUITY COMBO PACKAGE OCT-2016</t>
  </si>
  <si>
    <t xml:space="preserve">AXISBANK </t>
  </si>
  <si>
    <t>552</t>
  </si>
  <si>
    <t>996</t>
  </si>
  <si>
    <t>183</t>
  </si>
  <si>
    <t>188</t>
  </si>
  <si>
    <t>542</t>
  </si>
  <si>
    <t>189</t>
  </si>
  <si>
    <t>193</t>
  </si>
  <si>
    <t>1286</t>
  </si>
  <si>
    <t>1272</t>
  </si>
  <si>
    <t>1290</t>
  </si>
  <si>
    <t>1053</t>
  </si>
  <si>
    <t>1261</t>
  </si>
  <si>
    <t>1455</t>
  </si>
  <si>
    <t>1451</t>
  </si>
  <si>
    <t>9</t>
  </si>
  <si>
    <t>8735</t>
  </si>
  <si>
    <t>8785</t>
  </si>
  <si>
    <t>LT 1450 CE</t>
  </si>
  <si>
    <t>M&amp;M 1400 PE</t>
  </si>
  <si>
    <t>DRREDDY3050 PE</t>
  </si>
  <si>
    <t>19600 CE</t>
  </si>
  <si>
    <t>201.20</t>
  </si>
  <si>
    <t>1.2</t>
  </si>
  <si>
    <t>324</t>
  </si>
  <si>
    <t>AXISBANK 350 PE</t>
  </si>
  <si>
    <t>AXISBANK 520 PE</t>
  </si>
  <si>
    <t>DHFL</t>
  </si>
  <si>
    <t>MARICO</t>
  </si>
  <si>
    <t>YESBANK 1260 PE</t>
  </si>
  <si>
    <t>UPL 680 CE</t>
  </si>
  <si>
    <t>RELIANCE 1080 PE</t>
  </si>
  <si>
    <t>ICICIBANK 290 PE</t>
  </si>
  <si>
    <t>AXISBANK 490 CE</t>
  </si>
  <si>
    <t xml:space="preserve">                                     PERFORMANCE  OF EQUITY COMBO PACKAGE NOV-2016</t>
  </si>
  <si>
    <t>KPIT</t>
  </si>
  <si>
    <t>298</t>
  </si>
  <si>
    <t>296.50</t>
  </si>
  <si>
    <t>1388</t>
  </si>
  <si>
    <t>1380</t>
  </si>
  <si>
    <t>8545</t>
  </si>
  <si>
    <t>8510</t>
  </si>
  <si>
    <t>TECHM 440 CE</t>
  </si>
  <si>
    <t>2470</t>
  </si>
  <si>
    <t>CANBK 300 PE</t>
  </si>
  <si>
    <t>2860</t>
  </si>
  <si>
    <t>2870</t>
  </si>
  <si>
    <t>297</t>
  </si>
  <si>
    <t>295.30</t>
  </si>
  <si>
    <t>1.7</t>
  </si>
  <si>
    <t>1170</t>
  </si>
  <si>
    <t>AXISBANK 480 CE</t>
  </si>
  <si>
    <t>20000 PE</t>
  </si>
  <si>
    <t>HDFC 1340 PE</t>
  </si>
  <si>
    <t>227</t>
  </si>
  <si>
    <t>232</t>
  </si>
  <si>
    <t>1225</t>
  </si>
  <si>
    <t>8500 PE</t>
  </si>
  <si>
    <t>LT 1400 CE</t>
  </si>
  <si>
    <t>1405</t>
  </si>
  <si>
    <t>YESBANK 1200 PE</t>
  </si>
  <si>
    <t>YESBANK 1160 PE</t>
  </si>
  <si>
    <t>LT 1380 PE</t>
  </si>
  <si>
    <t>SBIN 280 PE</t>
  </si>
  <si>
    <t>YESBANK 1120 PE</t>
  </si>
  <si>
    <t>ICIBANK</t>
  </si>
  <si>
    <t>18400 PE</t>
  </si>
  <si>
    <t>AXISBANK 470 PE</t>
  </si>
  <si>
    <t>73500</t>
  </si>
  <si>
    <t>18300 PE</t>
  </si>
  <si>
    <t>LT 1360 PE</t>
  </si>
  <si>
    <t>ICICIBANK 260 CE</t>
  </si>
  <si>
    <t>RELIANCE 1000 PE</t>
  </si>
  <si>
    <t>78000</t>
  </si>
  <si>
    <t xml:space="preserve">ACCURACY OF </t>
  </si>
  <si>
    <t>THE MONTH</t>
  </si>
  <si>
    <t xml:space="preserve">                                     PERFORMANCE  OF EQUITY COMBO PACKAGE DEC-2016</t>
  </si>
  <si>
    <t>1400</t>
  </si>
  <si>
    <t>147</t>
  </si>
  <si>
    <t>141.8</t>
  </si>
  <si>
    <t>1350</t>
  </si>
  <si>
    <t>1203</t>
  </si>
  <si>
    <t>259.80</t>
  </si>
  <si>
    <t>-0.2</t>
  </si>
  <si>
    <t>162.5</t>
  </si>
  <si>
    <t>161.5</t>
  </si>
  <si>
    <t>353</t>
  </si>
  <si>
    <t>466.5</t>
  </si>
  <si>
    <t>8245</t>
  </si>
  <si>
    <t>8210</t>
  </si>
  <si>
    <t>18200 PE</t>
  </si>
  <si>
    <t>18500 CE</t>
  </si>
  <si>
    <t>UNIONBANK 145 PE</t>
  </si>
  <si>
    <t>LT 1360 CE</t>
  </si>
  <si>
    <t>CANBK 310 PE</t>
  </si>
  <si>
    <t>BPCL 620 PE</t>
  </si>
  <si>
    <t>TORONTPHARM</t>
  </si>
  <si>
    <t>TORNTPHARM</t>
  </si>
  <si>
    <t>8100PE</t>
  </si>
  <si>
    <t>18100 PE</t>
  </si>
  <si>
    <t>RELINFRA 500 CE</t>
  </si>
  <si>
    <t>YESBANK 1140 CE</t>
  </si>
  <si>
    <t>CANBK 290 PE</t>
  </si>
  <si>
    <t>RELINFRA 480 PE</t>
  </si>
  <si>
    <t>YESBANK 1100 PE</t>
  </si>
  <si>
    <t>RELINFRA 440 CE</t>
  </si>
  <si>
    <t>97400</t>
  </si>
  <si>
    <t>58500</t>
  </si>
  <si>
    <t>8200 pe</t>
  </si>
  <si>
    <t>18100 pe</t>
  </si>
  <si>
    <t>HEROMOTOCO 3000 PE</t>
  </si>
  <si>
    <t>AXISBANK 450 CE</t>
  </si>
  <si>
    <t>1353</t>
  </si>
  <si>
    <t>1365</t>
  </si>
  <si>
    <t>446</t>
  </si>
  <si>
    <t>442</t>
  </si>
  <si>
    <t>1372</t>
  </si>
  <si>
    <t>244.80</t>
  </si>
  <si>
    <t>1375</t>
  </si>
  <si>
    <t>344</t>
  </si>
  <si>
    <t>341.2</t>
  </si>
  <si>
    <t>2.8</t>
  </si>
  <si>
    <t>457</t>
  </si>
  <si>
    <t>462</t>
  </si>
  <si>
    <t>1392</t>
  </si>
  <si>
    <t>-8</t>
  </si>
  <si>
    <t>807</t>
  </si>
  <si>
    <t>1135.5</t>
  </si>
  <si>
    <t>6650</t>
  </si>
  <si>
    <t>1222</t>
  </si>
  <si>
    <t>1221</t>
  </si>
  <si>
    <t>8165</t>
  </si>
  <si>
    <t>8200</t>
  </si>
  <si>
    <t>RELINFRA 460 PE</t>
  </si>
  <si>
    <t>YESBANK 1160 CE</t>
  </si>
  <si>
    <t>RELINFRA 1080 PE</t>
  </si>
  <si>
    <t>LT 1380 CE</t>
  </si>
  <si>
    <t>TCS 2300 PE</t>
  </si>
  <si>
    <t>231</t>
  </si>
  <si>
    <t>8300 CE</t>
  </si>
  <si>
    <t>LT 1400 PE</t>
  </si>
  <si>
    <t>18900 CE</t>
  </si>
  <si>
    <t>LT 1440 CE</t>
  </si>
  <si>
    <t>UNIONBANK 140 CE</t>
  </si>
  <si>
    <t>RELIANCE 1040 PE</t>
  </si>
  <si>
    <t>YESBANK 1340 CE</t>
  </si>
  <si>
    <t>SBIN 260 PE</t>
  </si>
  <si>
    <t>18800 CE</t>
  </si>
  <si>
    <t>AXISBANK 440 CE</t>
  </si>
  <si>
    <t>HDFC 1360 CE (FEB)</t>
  </si>
  <si>
    <t>AXISBANK 470 CE</t>
  </si>
  <si>
    <t>55940</t>
  </si>
  <si>
    <t>39750</t>
  </si>
  <si>
    <t>TECHM 460 PE</t>
  </si>
  <si>
    <t>1403</t>
  </si>
  <si>
    <t>266</t>
  </si>
  <si>
    <t>966</t>
  </si>
  <si>
    <t>980</t>
  </si>
  <si>
    <t>977</t>
  </si>
  <si>
    <t>276</t>
  </si>
  <si>
    <t>278</t>
  </si>
  <si>
    <t>1395</t>
  </si>
  <si>
    <t>1391</t>
  </si>
  <si>
    <t>1490</t>
  </si>
  <si>
    <t>1409</t>
  </si>
  <si>
    <t>8575</t>
  </si>
  <si>
    <t>8560</t>
  </si>
  <si>
    <t>20100 PE</t>
  </si>
  <si>
    <t>SBIN 260 CE</t>
  </si>
  <si>
    <t>BHARATFORG 980 CE</t>
  </si>
  <si>
    <t>VEDL 255 PE</t>
  </si>
  <si>
    <t>128.5</t>
  </si>
  <si>
    <t>124.5</t>
  </si>
  <si>
    <t>467</t>
  </si>
  <si>
    <t>461.5</t>
  </si>
  <si>
    <t>5.5</t>
  </si>
  <si>
    <t>1260</t>
  </si>
  <si>
    <t>555</t>
  </si>
  <si>
    <t>20400 CE</t>
  </si>
  <si>
    <t>20400 PE</t>
  </si>
  <si>
    <t>AXISBANK 500 CE</t>
  </si>
  <si>
    <t>YESBANK 1400 PE</t>
  </si>
  <si>
    <t>ICICIBANK 285 PE</t>
  </si>
  <si>
    <t xml:space="preserve">                                     PERFORMANCE  OF EQUITY COMBO PACKAGE JAN-2017</t>
  </si>
  <si>
    <t xml:space="preserve">                                     PERFORMANCE  OF EQUITY COMBO PACKAGE FEB - 2017</t>
  </si>
  <si>
    <t>CONCOR</t>
  </si>
  <si>
    <t>YESBANK 1460 CE</t>
  </si>
  <si>
    <t>SBIN 275 PE</t>
  </si>
  <si>
    <t>SBIN 270 PE</t>
  </si>
  <si>
    <t xml:space="preserve"> </t>
  </si>
  <si>
    <t>71950</t>
  </si>
  <si>
    <t>61050</t>
  </si>
  <si>
    <t>43</t>
  </si>
  <si>
    <t>51</t>
  </si>
  <si>
    <t>20600 PE</t>
  </si>
  <si>
    <t>20700 PE</t>
  </si>
  <si>
    <t>20800 CE</t>
  </si>
  <si>
    <t>20900 PE</t>
  </si>
  <si>
    <t>20800 PE</t>
  </si>
  <si>
    <t>HDFC 1400 PE</t>
  </si>
  <si>
    <t>HINDPETRO 560 CE</t>
  </si>
  <si>
    <t>TATAMOTORS 460 PE</t>
  </si>
  <si>
    <t xml:space="preserve">                                     PERFORMANCE  OF EQUITY COMBO PACKAGE MARCH - 2017</t>
  </si>
  <si>
    <t>300</t>
  </si>
  <si>
    <t>BAJFINANCE</t>
  </si>
  <si>
    <t>COALINDIAN</t>
  </si>
  <si>
    <t>1055</t>
  </si>
  <si>
    <t>432</t>
  </si>
  <si>
    <t>292</t>
  </si>
  <si>
    <t>1045</t>
  </si>
  <si>
    <t>646</t>
  </si>
  <si>
    <t>648</t>
  </si>
  <si>
    <t>1448</t>
  </si>
  <si>
    <t>1442</t>
  </si>
  <si>
    <t>1369</t>
  </si>
  <si>
    <t>517</t>
  </si>
  <si>
    <t>513.80</t>
  </si>
  <si>
    <t>1452</t>
  </si>
  <si>
    <t>1453</t>
  </si>
  <si>
    <t>1430</t>
  </si>
  <si>
    <t>8975</t>
  </si>
  <si>
    <t>148</t>
  </si>
  <si>
    <t>LT 1480 CE</t>
  </si>
  <si>
    <t>INDUSINDBK 1280 PE</t>
  </si>
  <si>
    <t>YESBANK 1450 PE</t>
  </si>
  <si>
    <t>RELIANCE 1300 PE</t>
  </si>
  <si>
    <t>AXISBANK 510 PE</t>
  </si>
  <si>
    <t>1095</t>
  </si>
  <si>
    <t>9200 PE</t>
  </si>
  <si>
    <t>9300 PE</t>
  </si>
  <si>
    <t>21200 PE</t>
  </si>
  <si>
    <t>DRREDDY 2700 PE</t>
  </si>
  <si>
    <t>LT 1560 PE</t>
  </si>
  <si>
    <t>ICICIBANK 280 PE</t>
  </si>
  <si>
    <t>21300 PE</t>
  </si>
  <si>
    <t>21</t>
  </si>
  <si>
    <t>21000 PE</t>
  </si>
  <si>
    <t>VEDL 260 PE</t>
  </si>
  <si>
    <t>AXISBANK 500 PE</t>
  </si>
  <si>
    <t>C</t>
  </si>
  <si>
    <t>73000</t>
  </si>
  <si>
    <t>57900</t>
  </si>
  <si>
    <t>21400 PE</t>
  </si>
  <si>
    <t>21500 PE</t>
  </si>
  <si>
    <t>YESBANK 1530 PE</t>
  </si>
  <si>
    <t>VEDL 270 CE</t>
  </si>
  <si>
    <t xml:space="preserve">                                     PERFORMANCE  OF EQUITY COMBO PACKAGE APRIL - 2017</t>
  </si>
  <si>
    <t>1612</t>
  </si>
  <si>
    <t>1640</t>
  </si>
  <si>
    <t>28</t>
  </si>
  <si>
    <t>273.5</t>
  </si>
  <si>
    <t>272.7</t>
  </si>
  <si>
    <t>-0.8</t>
  </si>
  <si>
    <t>285.5</t>
  </si>
  <si>
    <t>313</t>
  </si>
  <si>
    <t>1118</t>
  </si>
  <si>
    <t>1108</t>
  </si>
  <si>
    <t>1558</t>
  </si>
  <si>
    <t>979</t>
  </si>
  <si>
    <t>495</t>
  </si>
  <si>
    <t>1680</t>
  </si>
  <si>
    <t>1701</t>
  </si>
  <si>
    <t>9220</t>
  </si>
  <si>
    <t>9255</t>
  </si>
  <si>
    <t>75</t>
  </si>
  <si>
    <t>9200 CE</t>
  </si>
  <si>
    <t>21500 CE</t>
  </si>
  <si>
    <t>21600 CE</t>
  </si>
  <si>
    <t>HCLTECH 860 PE</t>
  </si>
  <si>
    <t>LT 1720 CE</t>
  </si>
  <si>
    <t>438</t>
  </si>
  <si>
    <t>1708</t>
  </si>
  <si>
    <t>538</t>
  </si>
  <si>
    <t>260.5</t>
  </si>
  <si>
    <t>MFSL</t>
  </si>
  <si>
    <t>9100 CE</t>
  </si>
  <si>
    <t>21600 PE</t>
  </si>
  <si>
    <t>21700 CE</t>
  </si>
  <si>
    <t>21900 PE</t>
  </si>
  <si>
    <t>KOTAKBANK 870 PE</t>
  </si>
  <si>
    <t>YESBANK 1620 CE</t>
  </si>
  <si>
    <t>RELIANCE 1360 PE</t>
  </si>
  <si>
    <t>YESBANK 1640 CE</t>
  </si>
  <si>
    <t>LT 1680 CE</t>
  </si>
  <si>
    <t>DHFL 410 CE</t>
  </si>
  <si>
    <t>Buy</t>
  </si>
  <si>
    <t>9000 CE</t>
  </si>
  <si>
    <t>CANBK 320 CE</t>
  </si>
  <si>
    <t>PEL</t>
  </si>
  <si>
    <t>22650</t>
  </si>
  <si>
    <t>9500 PE</t>
  </si>
  <si>
    <t>9400 PE</t>
  </si>
  <si>
    <t>22300 PE</t>
  </si>
  <si>
    <t>22200 PE</t>
  </si>
  <si>
    <t>YESBANK 1550 CE</t>
  </si>
  <si>
    <t>HDFC 1540 CE</t>
  </si>
  <si>
    <t>YESBANK 1600 CE</t>
  </si>
  <si>
    <t>YESBANK 1620 PE</t>
  </si>
  <si>
    <t>1562</t>
  </si>
  <si>
    <t>1585</t>
  </si>
  <si>
    <t>1257</t>
  </si>
  <si>
    <t>362.5</t>
  </si>
  <si>
    <t>443</t>
  </si>
  <si>
    <t>1720</t>
  </si>
  <si>
    <t>307.3</t>
  </si>
  <si>
    <t>2.3</t>
  </si>
  <si>
    <t>1535</t>
  </si>
  <si>
    <t>1525</t>
  </si>
  <si>
    <t>1268</t>
  </si>
  <si>
    <t>1345</t>
  </si>
  <si>
    <t>1361</t>
  </si>
  <si>
    <t>1755</t>
  </si>
  <si>
    <t>1734</t>
  </si>
  <si>
    <t>1735</t>
  </si>
  <si>
    <t>9315</t>
  </si>
  <si>
    <t>9290</t>
  </si>
  <si>
    <t>9300 CE</t>
  </si>
  <si>
    <t>22400 CE</t>
  </si>
  <si>
    <t>22600 CE</t>
  </si>
  <si>
    <t>22700 CE</t>
  </si>
  <si>
    <t>22700 PE</t>
  </si>
  <si>
    <t>22800 PE</t>
  </si>
  <si>
    <t>22900 CE</t>
  </si>
  <si>
    <t>CANBK 365 CE</t>
  </si>
  <si>
    <t>HDFC 1580 CE</t>
  </si>
  <si>
    <t>CANBK 405 CE</t>
  </si>
  <si>
    <t>SBIN 300 CE</t>
  </si>
  <si>
    <t>AXISBANK 530 CE</t>
  </si>
  <si>
    <t>LT 1740 PE</t>
  </si>
  <si>
    <t xml:space="preserve">                                     PERFORMANCE  OF EQUITY COMBO PACKAGE MAY - 2017</t>
  </si>
  <si>
    <t>CANK</t>
  </si>
  <si>
    <t>NCC</t>
  </si>
  <si>
    <t>9600 PE</t>
  </si>
  <si>
    <t>9400 CE</t>
  </si>
  <si>
    <t>22800 CE</t>
  </si>
  <si>
    <t>CANBK 370 CE</t>
  </si>
  <si>
    <t>HEROMOTOCO 3700 CE</t>
  </si>
  <si>
    <t>VEDL 235 PE</t>
  </si>
  <si>
    <t>SBIN 310 CE</t>
  </si>
  <si>
    <t>ESCORT</t>
  </si>
  <si>
    <t>VGUARD</t>
  </si>
  <si>
    <t>80</t>
  </si>
  <si>
    <t>9500 CE</t>
  </si>
  <si>
    <t>22900 PE</t>
  </si>
  <si>
    <t>23100 CE</t>
  </si>
  <si>
    <t>VEDL 230 PE</t>
  </si>
  <si>
    <t>SBIN 290 PE</t>
  </si>
  <si>
    <t>108</t>
  </si>
  <si>
    <t>23000 PE</t>
  </si>
  <si>
    <t>23200 PE</t>
  </si>
  <si>
    <t>YESBANK 1600 PE</t>
  </si>
  <si>
    <t>VEDL 240 PE</t>
  </si>
  <si>
    <t>DRREDDY 2450 CE</t>
  </si>
  <si>
    <t>1790</t>
  </si>
  <si>
    <t>285.20</t>
  </si>
  <si>
    <t>2545</t>
  </si>
  <si>
    <t>1782</t>
  </si>
  <si>
    <t>1805</t>
  </si>
  <si>
    <t>2525</t>
  </si>
  <si>
    <t>2565</t>
  </si>
  <si>
    <t>1795</t>
  </si>
  <si>
    <t>1775</t>
  </si>
  <si>
    <t>2555</t>
  </si>
  <si>
    <t>2385</t>
  </si>
  <si>
    <t>2348</t>
  </si>
  <si>
    <t>519</t>
  </si>
  <si>
    <t>531</t>
  </si>
  <si>
    <t>2625</t>
  </si>
  <si>
    <t>2632</t>
  </si>
  <si>
    <t>1450</t>
  </si>
  <si>
    <t>287.90</t>
  </si>
  <si>
    <t>TATAELXSI</t>
  </si>
  <si>
    <t>9625</t>
  </si>
  <si>
    <t>9700 PE</t>
  </si>
  <si>
    <t>9600 CE</t>
  </si>
  <si>
    <t>23300 PE</t>
  </si>
  <si>
    <t>23400 CE</t>
  </si>
  <si>
    <t>23500 PE</t>
  </si>
  <si>
    <t>ICICIBANK 320 CE</t>
  </si>
  <si>
    <t>LT 1800 CE</t>
  </si>
  <si>
    <t>ICICIBANK 320 PE</t>
  </si>
  <si>
    <t>LT 1760 PE</t>
  </si>
  <si>
    <t>UJJIVAN 310 CE</t>
  </si>
  <si>
    <t>SBIN 285 PE</t>
  </si>
  <si>
    <t>MGL</t>
  </si>
  <si>
    <t>MUTHOOTFIN</t>
  </si>
  <si>
    <t>9800 PE</t>
  </si>
  <si>
    <t>23600 PE</t>
  </si>
  <si>
    <t>23600 CE</t>
  </si>
  <si>
    <t>23800 PE</t>
  </si>
  <si>
    <t>23900 PE</t>
  </si>
  <si>
    <t>DRREDDY 2700 CE</t>
  </si>
  <si>
    <t>LT 1760 CE</t>
  </si>
  <si>
    <t>CANBK 355 CE</t>
  </si>
  <si>
    <t>MARUTI 7300 CE</t>
  </si>
  <si>
    <t>DRREDDY 2650 PE</t>
  </si>
  <si>
    <t>EQUITAS</t>
  </si>
  <si>
    <t>23400 PE</t>
  </si>
  <si>
    <t>23100 PE</t>
  </si>
  <si>
    <t>YESBANK 1440 PE</t>
  </si>
  <si>
    <t>CANBK 325 CE</t>
  </si>
  <si>
    <t>2760</t>
  </si>
  <si>
    <t>2791</t>
  </si>
  <si>
    <t>31</t>
  </si>
  <si>
    <t>2675</t>
  </si>
  <si>
    <t>2680</t>
  </si>
  <si>
    <t>1407</t>
  </si>
  <si>
    <t>1422</t>
  </si>
  <si>
    <t>1672</t>
  </si>
  <si>
    <t>2663</t>
  </si>
  <si>
    <t>33</t>
  </si>
  <si>
    <t>1690</t>
  </si>
  <si>
    <t>1694</t>
  </si>
  <si>
    <t>1445</t>
  </si>
  <si>
    <t>1515</t>
  </si>
  <si>
    <t>1717</t>
  </si>
  <si>
    <t>291</t>
  </si>
  <si>
    <t>289.80</t>
  </si>
  <si>
    <t>1705</t>
  </si>
  <si>
    <t>275.50</t>
  </si>
  <si>
    <t>9580</t>
  </si>
  <si>
    <t>9610</t>
  </si>
  <si>
    <t>YESBANK 1460 PE</t>
  </si>
  <si>
    <t>YESBANK 1500 CE</t>
  </si>
  <si>
    <t>LUPIN 1120 CE</t>
  </si>
  <si>
    <t>Winnes Capital Line</t>
  </si>
  <si>
    <t>ACCURACY</t>
  </si>
  <si>
    <t>PERFORMANCE OF EQUITY COMBO PACKAGE JUNE-2017</t>
  </si>
  <si>
    <t>CASH INTRADAY</t>
  </si>
  <si>
    <t>Sr.</t>
  </si>
  <si>
    <t>ENTRYLEVEL</t>
  </si>
  <si>
    <t>EXITLEVEL</t>
  </si>
  <si>
    <t>TOTALPOINTS</t>
  </si>
  <si>
    <t>QTYPER3LACK</t>
  </si>
  <si>
    <t>Accuracy of the Month</t>
  </si>
  <si>
    <t>www.winnerscapitalline.com</t>
  </si>
  <si>
    <t>Total</t>
  </si>
  <si>
    <t>STOCK FUTURE INTRADAY QTY PER 1 LOT</t>
  </si>
  <si>
    <t>LOT SIZE</t>
  </si>
  <si>
    <t>NIFTY FUTURE INTRADAY QTY PER 2 LOT</t>
  </si>
  <si>
    <t>NIFTY OPTION INTRADAY QTY PER 4 LOT</t>
  </si>
  <si>
    <t>BANKNIFTY FUTURE INTRADAY QTY PER 4 LOT</t>
  </si>
  <si>
    <t>Winners Capital Line</t>
  </si>
  <si>
    <t>Year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</si>
  <si>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</si>
  <si>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</si>
  <si>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</si>
  <si>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</si>
  <si>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</si>
  <si>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</si>
  <si>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</si>
  <si>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</si>
  <si>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</si>
  <si>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</si>
  <si>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</si>
  <si>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</si>
  <si>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</si>
  <si>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1737</t>
  </si>
  <si>
    <t>1747</t>
  </si>
  <si>
    <t>RBL</t>
  </si>
  <si>
    <t>9700 CE</t>
  </si>
  <si>
    <t>9900 PE</t>
  </si>
  <si>
    <t>9800 CE</t>
  </si>
  <si>
    <t>23800 CE</t>
  </si>
  <si>
    <t>ICICIBANK 290 CE</t>
  </si>
  <si>
    <t>HDFC 1640 CE</t>
  </si>
  <si>
    <t>ICICIBANK 295 PE</t>
  </si>
  <si>
    <t>Back</t>
  </si>
  <si>
    <t>PERFORMANCE OF EQUITY COMBO PACKAGE JULY-2017</t>
  </si>
  <si>
    <t>↓↓↓↓↓</t>
  </si>
  <si>
    <t>Click any Month</t>
  </si>
  <si>
    <t>10000 PE</t>
  </si>
  <si>
    <t>24000 CE</t>
  </si>
  <si>
    <t>24100 CE</t>
  </si>
  <si>
    <t>24300 PE</t>
  </si>
  <si>
    <t>ICICIBANK 300 CE</t>
  </si>
  <si>
    <t>RELIANCE 1540 PE</t>
  </si>
  <si>
    <t>DRREDDY 2750 PE</t>
  </si>
  <si>
    <t>RELIANCE 1560 PE</t>
  </si>
  <si>
    <t>BALKRISIND</t>
  </si>
  <si>
    <t>10100 PE</t>
  </si>
  <si>
    <t>10000 CE</t>
  </si>
  <si>
    <t>24500 PE</t>
  </si>
  <si>
    <t>24600 PE</t>
  </si>
  <si>
    <t>24700 PE</t>
  </si>
  <si>
    <t>24800 CE</t>
  </si>
  <si>
    <t>25000 CE</t>
  </si>
  <si>
    <t>SBIN 295 PE</t>
  </si>
  <si>
    <t>INDUSINDBK 1560 PE</t>
  </si>
  <si>
    <t>SBIN 300 PE</t>
  </si>
  <si>
    <t>ICICIBANK 310 CE</t>
  </si>
  <si>
    <t>YESBANK 1800 CE</t>
  </si>
  <si>
    <t>YESBANK 1820 PE</t>
  </si>
  <si>
    <t>AUGUST</t>
  </si>
  <si>
    <t>PERFORMANCE OF EQUITY COMBO PACKAGE AUGUST-2017</t>
  </si>
  <si>
    <t>10100 CE</t>
  </si>
  <si>
    <t>25200 CE</t>
  </si>
  <si>
    <t>YESBANK 1820 CE</t>
  </si>
  <si>
    <t>25100 PE</t>
  </si>
  <si>
    <t xml:space="preserve">LT 1160 PUT </t>
  </si>
  <si>
    <t>24900 PE</t>
  </si>
  <si>
    <t>YESBANK 1800 PE</t>
  </si>
  <si>
    <t>24800 PE</t>
  </si>
  <si>
    <t>YESBANK 1780 PE</t>
  </si>
  <si>
    <t>DRREDDY 2050 PE</t>
  </si>
  <si>
    <t>YESBANK 1720 PE</t>
  </si>
  <si>
    <t>24100 PE</t>
  </si>
  <si>
    <t>DRREDDY 1950 PE</t>
  </si>
  <si>
    <t>24200 PE</t>
  </si>
  <si>
    <t>24400 PE</t>
  </si>
  <si>
    <t>CANBK 330 PE</t>
  </si>
  <si>
    <t>YESBANK 1760 PE</t>
  </si>
  <si>
    <t>24000 PE</t>
  </si>
  <si>
    <t>CANBK 325 PE</t>
  </si>
  <si>
    <t>RELIANCE 1580 PE</t>
  </si>
  <si>
    <t>CANBK 335 PE</t>
  </si>
  <si>
    <t>YESBANK 1740 PE</t>
  </si>
  <si>
    <t xml:space="preserve"> AXISBANK 500 CE</t>
  </si>
  <si>
    <t>SEPTEMBER</t>
  </si>
  <si>
    <t>RELIANCE 1640 CE</t>
  </si>
  <si>
    <t>ICICIBANK 300 PE</t>
  </si>
  <si>
    <t>DRREDDY 2200 PE</t>
  </si>
  <si>
    <t>DRREDDY 2150 PE</t>
  </si>
  <si>
    <t>LT 1220 PE</t>
  </si>
  <si>
    <t>DRREDDY 2200 CE</t>
  </si>
  <si>
    <t>24900 CE</t>
  </si>
  <si>
    <t>DRREDDY 2250 CE</t>
  </si>
  <si>
    <t>10200 PE</t>
  </si>
  <si>
    <t>RELIANCE 840 PE</t>
  </si>
  <si>
    <t>10300 PE</t>
  </si>
  <si>
    <t>YESBANK 180 CE</t>
  </si>
  <si>
    <t>TATAMOTORS 410 PE</t>
  </si>
  <si>
    <t>LT 1160 PE</t>
  </si>
  <si>
    <t>DRREDDY 2400 PE</t>
  </si>
  <si>
    <t>AXISBANK 510 CE</t>
  </si>
  <si>
    <t>AXISBANK 520 CE</t>
  </si>
  <si>
    <t>PERFORMANCE OF EQUITY COMBO PACKAGE OCTOBER-2017</t>
  </si>
  <si>
    <t>OCTOBER</t>
  </si>
  <si>
    <t>PCJEWEIIER</t>
  </si>
  <si>
    <t>24300 CE</t>
  </si>
  <si>
    <t>DRREDDY 2400 CE</t>
  </si>
  <si>
    <t>YESBANK 375 CE</t>
  </si>
  <si>
    <t xml:space="preserve">DRREDDY 2400 PE </t>
  </si>
  <si>
    <t>UJJIVAN</t>
  </si>
  <si>
    <t>DRREDDY 2350 PE</t>
  </si>
  <si>
    <t>ICICIBANK 275 PE</t>
  </si>
  <si>
    <t>YESBANK 370 CE</t>
  </si>
  <si>
    <t>PERFORMANCE OF EQUITY COMBO PACKAGE NOVEMBER-2017</t>
  </si>
  <si>
    <t>BANKNIFTY FUTURE INTRADAY QTY PER 2 LOT</t>
  </si>
  <si>
    <t>NOVEMBER</t>
  </si>
  <si>
    <t>10400 CE</t>
  </si>
  <si>
    <t>25500 CE</t>
  </si>
  <si>
    <t>S</t>
  </si>
  <si>
    <t>AXISBANK 540 CE</t>
  </si>
  <si>
    <t>10500 PE</t>
  </si>
  <si>
    <t>25500 PE</t>
  </si>
  <si>
    <t>YESBANK 310 CE</t>
  </si>
  <si>
    <t>10400 PE</t>
  </si>
  <si>
    <t>25300 PE</t>
  </si>
  <si>
    <t>10300 CE</t>
  </si>
  <si>
    <t>25400 PE</t>
  </si>
  <si>
    <t>YESBANK 305 CE</t>
  </si>
  <si>
    <t>25400 CE</t>
  </si>
  <si>
    <t>SBIN 320 CE</t>
  </si>
  <si>
    <t>DRREDDY 2350 CE</t>
  </si>
  <si>
    <t>M&amp;MFIN 430 CE</t>
  </si>
  <si>
    <t>SBIN 330 PE</t>
  </si>
  <si>
    <t>RELIANCE 900 PE</t>
  </si>
  <si>
    <t>25900 CE</t>
  </si>
  <si>
    <t>M&amp;MFIN 450 CE</t>
  </si>
  <si>
    <t>25800 PE</t>
  </si>
  <si>
    <t>SBIN 335 PE</t>
  </si>
  <si>
    <t>RAYMOND</t>
  </si>
  <si>
    <t>25900 PE</t>
  </si>
  <si>
    <t>YESBANK 315 CE</t>
  </si>
  <si>
    <t>TATAMOTORS 430 CE</t>
  </si>
  <si>
    <t>CANBK 400 PE</t>
  </si>
  <si>
    <t>CANBK 390 CE</t>
  </si>
  <si>
    <t>25800 CE</t>
  </si>
  <si>
    <t>VEDL 305 CE</t>
  </si>
  <si>
    <t>26000 PE</t>
  </si>
  <si>
    <t>ICICIBANK 315 CE</t>
  </si>
  <si>
    <t>VEDL 295 CE</t>
  </si>
  <si>
    <t>PERFORMANCE OF EQUITY COMBO PACKAGE DECEMBER-2017</t>
  </si>
  <si>
    <t xml:space="preserve">BANKNIFTY </t>
  </si>
  <si>
    <t>25200 PE</t>
  </si>
  <si>
    <t>25000 PE</t>
  </si>
  <si>
    <t>ICICIBANK 310 PE</t>
  </si>
  <si>
    <t>YESBANK 300 PE</t>
  </si>
  <si>
    <t>ICICIBANK 305 PE</t>
  </si>
  <si>
    <t>VEDL 290 CE</t>
  </si>
  <si>
    <t>25700 PE</t>
  </si>
  <si>
    <t>ICICIBANK 315 PE</t>
  </si>
  <si>
    <t>10600 PE</t>
  </si>
  <si>
    <t>VEDL 320 CE</t>
  </si>
  <si>
    <t>SBIN 320 PE</t>
  </si>
  <si>
    <t>MARUTI 9800 PUT</t>
  </si>
  <si>
    <t>BAJFIANCE</t>
  </si>
  <si>
    <t>10500 CE</t>
  </si>
  <si>
    <t>VEDL 330 CE</t>
  </si>
  <si>
    <t>APOOLOHOSP</t>
  </si>
  <si>
    <t>YESBANK 320 CE</t>
  </si>
  <si>
    <t xml:space="preserve"> 10500 PE</t>
  </si>
  <si>
    <t>KAJARIACER</t>
  </si>
  <si>
    <t>10700 PE</t>
  </si>
  <si>
    <t>25600 PE</t>
  </si>
  <si>
    <t>DRREDDY 2500 PE</t>
  </si>
  <si>
    <t>AXIS</t>
  </si>
  <si>
    <t>VEDL 340 PE</t>
  </si>
  <si>
    <t>ICICBANK 310 PE</t>
  </si>
  <si>
    <t>10800 PE</t>
  </si>
  <si>
    <t>26100 PE</t>
  </si>
  <si>
    <t>ICICIBANK 325 PE</t>
  </si>
  <si>
    <t>CANBK 340 PE</t>
  </si>
  <si>
    <t>26700 PE</t>
  </si>
  <si>
    <t>10800 CE</t>
  </si>
  <si>
    <t>26700 CE</t>
  </si>
  <si>
    <t>VEDL 330 PE</t>
  </si>
  <si>
    <t>11000 PE</t>
  </si>
  <si>
    <t>26900 CE</t>
  </si>
  <si>
    <t>CANBK 360 PE</t>
  </si>
  <si>
    <t>10900 CE</t>
  </si>
  <si>
    <t>27000 CE</t>
  </si>
  <si>
    <t>11000 CE</t>
  </si>
  <si>
    <t>27300 CE</t>
  </si>
  <si>
    <t>DRREDDY 2500 CE</t>
  </si>
  <si>
    <t>11200 CE</t>
  </si>
  <si>
    <t>27600 CE</t>
  </si>
  <si>
    <t>CANBK 370 PE</t>
  </si>
  <si>
    <t>27400 CE</t>
  </si>
  <si>
    <t>BHARATFIN</t>
  </si>
  <si>
    <t>1100 CE</t>
  </si>
  <si>
    <t>11100 CE</t>
  </si>
  <si>
    <t>27500 CE</t>
  </si>
  <si>
    <t>PERFORMANCE OF EQUITY COMBO PACKAGE FEBRUARY-2018</t>
  </si>
  <si>
    <t>PERFORMANCE OF EQUITY COMBO PACKAGE JANUARY-2018</t>
  </si>
  <si>
    <t>11900 PE</t>
  </si>
  <si>
    <t>26800 PE</t>
  </si>
  <si>
    <t>26200 PE</t>
  </si>
  <si>
    <t>DRREDDY 2100 PE</t>
  </si>
  <si>
    <t>DRREDDY 2100 CE</t>
  </si>
  <si>
    <t>DREDDY 2100 CE</t>
  </si>
  <si>
    <t>CANBK 320 PE</t>
  </si>
  <si>
    <t>ICICIBANK 325 CE</t>
  </si>
  <si>
    <t>25100  PE</t>
  </si>
  <si>
    <t>PERFORMANCE OF EQUITY COMBO PACKAGE MARCH-2018</t>
  </si>
  <si>
    <t>YESBANK 320 PE</t>
  </si>
  <si>
    <t>CANBK 260 PE</t>
  </si>
  <si>
    <t>YESBANK 310 PE</t>
  </si>
  <si>
    <t>SBIN 260 PUT</t>
  </si>
  <si>
    <t>SBIN 240 PE</t>
  </si>
  <si>
    <t>CHOLAFIN</t>
  </si>
  <si>
    <t>SBIN 250 PE</t>
  </si>
  <si>
    <t>PERFORMANCE OF EQUITY COMBO PACKAGE APRIL-2018</t>
  </si>
  <si>
    <t xml:space="preserve">DRREDDY </t>
  </si>
  <si>
    <t>03-04--2018</t>
  </si>
  <si>
    <t>VEDL 280 CE</t>
  </si>
  <si>
    <t>CANBK 280 PE</t>
  </si>
  <si>
    <t>ICICIBANK 380 CE</t>
  </si>
  <si>
    <t>CANBK 280 CE</t>
  </si>
  <si>
    <t xml:space="preserve">ADANIENT </t>
  </si>
  <si>
    <t>25300 CE</t>
  </si>
  <si>
    <t>ADANIENT 140 CE</t>
  </si>
  <si>
    <t>L&amp;TFH</t>
  </si>
  <si>
    <t>SBIN 240 CE</t>
  </si>
  <si>
    <t>ICICIBANK290 PE</t>
  </si>
  <si>
    <t>VEDL 290 PE</t>
  </si>
  <si>
    <t>10700 CE</t>
  </si>
  <si>
    <t>26000 CE</t>
  </si>
  <si>
    <t>DRREDDY 2000 PE</t>
  </si>
  <si>
    <t>26500 CE</t>
  </si>
  <si>
    <t>VEDL 280 PE</t>
  </si>
  <si>
    <t>26800 CE</t>
  </si>
  <si>
    <t>TATAMOTORS 320 PE</t>
  </si>
  <si>
    <t>VEDL 270 PE</t>
  </si>
  <si>
    <t>CENTURY TEX</t>
  </si>
  <si>
    <t>BAJAJ AUTO</t>
  </si>
  <si>
    <t>LT 1320 PE</t>
  </si>
  <si>
    <t>JSWSTEEL 320 CE</t>
  </si>
  <si>
    <t>PERFORMANCE OF EQUITY COMBO PACKAGE MAY-2018</t>
  </si>
  <si>
    <t>10600 CE</t>
  </si>
  <si>
    <t>26400 CE</t>
  </si>
  <si>
    <t>TCS 3500 PE</t>
  </si>
  <si>
    <t>26500 PE</t>
  </si>
  <si>
    <t>VEDL 250 PE</t>
  </si>
  <si>
    <t>PERFORMANCE OF EQUITY COMBO PACKAGE JUNE-2018</t>
  </si>
  <si>
    <t>26400 PE</t>
  </si>
  <si>
    <t>YESBANK 340 PE</t>
  </si>
  <si>
    <t>26600 CE</t>
  </si>
  <si>
    <t>10900 PE</t>
  </si>
  <si>
    <t>26600 PE</t>
  </si>
  <si>
    <t>RELIANCE 1020 CE</t>
  </si>
  <si>
    <t>TATAMOTORS 310 PE</t>
  </si>
  <si>
    <t>HDFCBANK 2100 CE</t>
  </si>
  <si>
    <t>SBIN 270 CE</t>
  </si>
  <si>
    <t>SBIN 265 PE</t>
  </si>
  <si>
    <t>26300 PE</t>
  </si>
  <si>
    <t>PERFORMANCE OF EQUITY COMBO PACKAGE JULY-2018</t>
  </si>
  <si>
    <t>LT 1260 PE</t>
  </si>
  <si>
    <t>27100 CE</t>
  </si>
  <si>
    <t>RELIANCE 1060 CE</t>
  </si>
  <si>
    <t>11100 PE</t>
  </si>
  <si>
    <t>27000 PE</t>
  </si>
  <si>
    <t>RELIANCE 1100 CE</t>
  </si>
  <si>
    <t>26900 PE</t>
  </si>
  <si>
    <t>27200 CE</t>
  </si>
  <si>
    <t>YESBANK 390 CE</t>
  </si>
  <si>
    <t>VEDL 210 CE</t>
  </si>
  <si>
    <t>RELIANCE 1120 CE</t>
  </si>
  <si>
    <t>RELIANCE 1120 PE</t>
  </si>
  <si>
    <t>11200 PE</t>
  </si>
  <si>
    <t>HEROMOTOCO 3200 CE</t>
  </si>
  <si>
    <t>11300 PE</t>
  </si>
  <si>
    <t>27700 PE</t>
  </si>
  <si>
    <t>PERFORMANCE OF EQUITY COMBO PACKAGE AUGUST-2018</t>
  </si>
  <si>
    <t>27500 PE</t>
  </si>
  <si>
    <t>CANBK 290 CE</t>
  </si>
  <si>
    <t>11300 CE</t>
  </si>
  <si>
    <t>AXISBANK 550 CE</t>
  </si>
  <si>
    <t>11400 CE</t>
  </si>
  <si>
    <t>28000 CE</t>
  </si>
  <si>
    <t>YESBANK 380 CE</t>
  </si>
  <si>
    <t>11500 CE</t>
  </si>
  <si>
    <t>28200 CE</t>
  </si>
  <si>
    <t>RELIANCE 1220 CE</t>
  </si>
  <si>
    <t>CAPF</t>
  </si>
  <si>
    <t>11500 PE</t>
  </si>
  <si>
    <t>28300 PE</t>
  </si>
  <si>
    <t>MOTHERSUMI 300 PE</t>
  </si>
  <si>
    <t>11400 PE</t>
  </si>
  <si>
    <t>27900 PE</t>
  </si>
  <si>
    <t>28000 PE</t>
  </si>
  <si>
    <t>AXISBANK 630 CE</t>
  </si>
  <si>
    <t>ITC 310 CE</t>
  </si>
  <si>
    <t>28300 CE</t>
  </si>
  <si>
    <t>YESBANK 400 CE</t>
  </si>
  <si>
    <t>11700 PE</t>
  </si>
  <si>
    <t>28200 PE</t>
  </si>
  <si>
    <t>TATAMOTORS 260 PE</t>
  </si>
  <si>
    <t>AXISBANK 640 CE</t>
  </si>
  <si>
    <t>28100 CE</t>
  </si>
  <si>
    <t>AXISBANK 650 CE</t>
  </si>
  <si>
    <t>11600 CE</t>
  </si>
  <si>
    <t>RELIANCE 1300 CE</t>
  </si>
  <si>
    <t>INDIGO</t>
  </si>
  <si>
    <t>RELIANCE 1320 CE</t>
  </si>
  <si>
    <t>YESBANK 360 PE</t>
  </si>
  <si>
    <t>11800 PE</t>
  </si>
  <si>
    <t>28100 PE</t>
  </si>
  <si>
    <t>INDUSINDBK 1900 CE</t>
  </si>
  <si>
    <t>PERFORMANCE OF EQUITY COMBO PACKAGE SEPTEMBER-2018</t>
  </si>
  <si>
    <t>11700 CE</t>
  </si>
  <si>
    <t>11600 PE</t>
  </si>
  <si>
    <t>RELIANCE 1240 CE</t>
  </si>
  <si>
    <t>RELIANCE 1280 CE</t>
  </si>
  <si>
    <t>PEL 3150 CE</t>
  </si>
  <si>
    <t>DRREDDY 2550 PE</t>
  </si>
  <si>
    <t>RELIANCE 1240 PE</t>
  </si>
  <si>
    <t>INDUSINDBK 1700 CE</t>
  </si>
  <si>
    <t>PERFORMANCE OF EQUITY COMBO PACKAGE OCTOBER-2018</t>
  </si>
  <si>
    <t>PERFORMANCE OF EQUITY COMBO PACKAGE OCTOBER -2018</t>
  </si>
  <si>
    <t>ICICIBNK 310 PE</t>
  </si>
  <si>
    <t>RELIANCE 1060 PE</t>
  </si>
  <si>
    <t>RELIANCE 1100 PE</t>
  </si>
  <si>
    <t>IOC 135 CE</t>
  </si>
  <si>
    <t>RELIANCE 1140 PE</t>
  </si>
  <si>
    <t>YESBANK 250 CE</t>
  </si>
  <si>
    <t>RELIANCE 1173 CE</t>
  </si>
  <si>
    <t>VEDL 200 PE</t>
  </si>
  <si>
    <t>YESBANK 210 PE</t>
  </si>
  <si>
    <t>INDUSINBK</t>
  </si>
  <si>
    <t>RELIANCE 1040 CE</t>
  </si>
  <si>
    <t>INDUSINBK 1400 PE</t>
  </si>
  <si>
    <t>PERFORMANCE OF EQUITY COMBO PACKAGE NOVEMBER-2018</t>
  </si>
  <si>
    <t>PERFORMANCE OF EQUITY COMBO PACKAGE NOVEMBER -2018</t>
  </si>
  <si>
    <t>INDUSINDBK 1500 PE</t>
  </si>
  <si>
    <t xml:space="preserve"> 10300 PE</t>
  </si>
  <si>
    <t>TATASTEEL 600 CE</t>
  </si>
  <si>
    <t>NTPC 157.50 PE</t>
  </si>
  <si>
    <t>RELINFRA 350 PE</t>
  </si>
  <si>
    <t>ICICIBANK 360PE</t>
  </si>
  <si>
    <t>RELINFRA 360 CE</t>
  </si>
  <si>
    <t>ADANIPORTS 360 PE</t>
  </si>
  <si>
    <t>ICICIBANK 355 PE</t>
  </si>
  <si>
    <t>RELIANCE 1160 CE</t>
  </si>
  <si>
    <t>RELIANCE 1200 CE</t>
  </si>
  <si>
    <t>PERFORMANCE OF EQUITY COMBO PACKAGE DECEMBER-2018</t>
  </si>
  <si>
    <t>PERFORMANCE OF EQUITY COMBO PACKAGE  DECEMBER -2018</t>
  </si>
  <si>
    <t>PERFORMANCE OF EQUITY COMBO PACKAGE DECEMBER -2018</t>
  </si>
  <si>
    <t>RELIANCE 1160 PE</t>
  </si>
  <si>
    <t>HINDUNILVR 1780 PE</t>
  </si>
  <si>
    <t>INDISINDBK 1560 PE</t>
  </si>
  <si>
    <t>TORNTPHAR</t>
  </si>
  <si>
    <t>26300 CE</t>
  </si>
  <si>
    <t>INDIGO 960 PE</t>
  </si>
  <si>
    <t>SUNPHARMA 430 CE</t>
  </si>
  <si>
    <t>ACC 1520 CE</t>
  </si>
  <si>
    <t>KOTAKBANK 1220 PE</t>
  </si>
  <si>
    <t>27300 PE</t>
  </si>
  <si>
    <t>LICHSGFIN 470 PE</t>
  </si>
  <si>
    <t>MCDOWELL-N 650 CE</t>
  </si>
  <si>
    <t>TCS 1900 PE</t>
  </si>
  <si>
    <t>PERFORMANCE OF EQUITY COMBO PACKAGE JANUARY-2019</t>
  </si>
  <si>
    <t>PERFORMANCE OF EQUITY COMBO PACKAGE  JANUARY -2019</t>
  </si>
  <si>
    <t>PERFORMANCE OF EQUITY COMBO PACKAGE JANUARY -2019</t>
  </si>
  <si>
    <t>27200 PE</t>
  </si>
  <si>
    <t>27400 PE</t>
  </si>
  <si>
    <t>YESBANK 185 CALL</t>
  </si>
  <si>
    <t>27600 PE</t>
  </si>
  <si>
    <t>RELIANCE 1140 CE</t>
  </si>
  <si>
    <t>YESBANK 200 PE</t>
  </si>
  <si>
    <t>RELIANCE 1220 PE</t>
  </si>
  <si>
    <t>INFY 740 CE</t>
  </si>
  <si>
    <t>SBIN 285 CE</t>
  </si>
  <si>
    <t>JUBLFOOD 1300 CE</t>
  </si>
  <si>
    <t>HCLTECH 1050 CE</t>
  </si>
  <si>
    <t>TATAELXSI 900 CE</t>
  </si>
  <si>
    <t>PERFORMANCE OF EQUITY COMBO PACKAGE  FEBRUARY-2019</t>
  </si>
  <si>
    <t>PERFORMANCE OF EQUITY COMBO PACKAGE   FEBRUARY -2019</t>
  </si>
  <si>
    <t>PERFORMANCE OF EQUITY COMBO PACKAGE  FEBRUARY -2019</t>
  </si>
  <si>
    <t>RELIANCE 1280 PE</t>
  </si>
  <si>
    <t>JUBLFOOD 1300 PE</t>
  </si>
  <si>
    <t>27100 PE</t>
  </si>
  <si>
    <t>RELIANCE 1260 PE</t>
  </si>
  <si>
    <t>AXISBANK 700 CE</t>
  </si>
  <si>
    <t>AXISBANK 720 CE</t>
  </si>
  <si>
    <t>AXISBANK 710 PE</t>
  </si>
  <si>
    <t xml:space="preserve"> 10900 PE</t>
  </si>
  <si>
    <t>ICICIBANK 370 CE</t>
  </si>
  <si>
    <t>JUBLFOOD 1350 CE</t>
  </si>
  <si>
    <t>AXISBANK 740 CE</t>
  </si>
  <si>
    <t>28600 CE</t>
  </si>
  <si>
    <t>RELIANCE 1340 CE</t>
  </si>
  <si>
    <t>11300CE</t>
  </si>
  <si>
    <t>29000 CE</t>
  </si>
  <si>
    <t>29400 CE</t>
  </si>
  <si>
    <t>RELIANCE 1360 CE</t>
  </si>
  <si>
    <t>29600 CE</t>
  </si>
  <si>
    <t>RELIANCE 1340 PE</t>
  </si>
  <si>
    <t>29700 CE</t>
  </si>
  <si>
    <t>BUY HDFC 2000 CE</t>
  </si>
  <si>
    <t>30000 CE</t>
  </si>
  <si>
    <t>29300 CE</t>
  </si>
  <si>
    <t>PFC 117.50 CE</t>
  </si>
  <si>
    <t>DLF 200 CE</t>
  </si>
  <si>
    <t>30200 CE</t>
  </si>
  <si>
    <t>SBIN 305 CE</t>
  </si>
  <si>
    <t>30100 CE</t>
  </si>
  <si>
    <t>YESBANK 270 CE</t>
  </si>
  <si>
    <t>30500 CE</t>
  </si>
  <si>
    <t>PERFORMANCE OF EQUITY COMBO PACKAGE  MARCH-2019</t>
  </si>
  <si>
    <t>PERFORMANCE OF EQUITY COMBO PACKAGE   MARCH -2019</t>
  </si>
  <si>
    <t>PERFORMANCE OF EQUITY COMBO PACKAGE  MARCH -2019</t>
  </si>
  <si>
    <t>PERFORMANCE OF EQUITY COMBO PACKAGE  APRIL-2019</t>
  </si>
  <si>
    <t>PERFORMANCE OF EQUITY COMBO PACKAGE   APRIL -2019</t>
  </si>
  <si>
    <t>PERFORMANCE OF EQUITY COMBO PACKAGE  APRIL -2019</t>
  </si>
  <si>
    <t>30700 CE</t>
  </si>
  <si>
    <t>CANBK 300 CE</t>
  </si>
  <si>
    <t>30400 CE</t>
  </si>
  <si>
    <t>SBIN 330 CE</t>
  </si>
  <si>
    <t>30600 CE</t>
  </si>
  <si>
    <t>ICICIBANK 395 PE</t>
  </si>
  <si>
    <t>RELIANCE 1380 PE</t>
  </si>
  <si>
    <t>AXISBANK 760 CE</t>
  </si>
  <si>
    <t>SBIN 315 PE</t>
  </si>
  <si>
    <t>29800 CE</t>
  </si>
  <si>
    <t>29900 PE</t>
  </si>
  <si>
    <t>ICICIBANK 395 CE</t>
  </si>
  <si>
    <t>CENTURTEX</t>
  </si>
  <si>
    <t>30300 CE</t>
  </si>
  <si>
    <t>30500 PE</t>
  </si>
  <si>
    <t>30000 PE</t>
  </si>
  <si>
    <t>29600 PE</t>
  </si>
  <si>
    <t>AXISBANK 760 PE</t>
  </si>
  <si>
    <t>RELIANCE 360 CE</t>
  </si>
  <si>
    <t>AXISBANK 750 PE</t>
  </si>
  <si>
    <t>RELIANCE 1400 CE</t>
  </si>
  <si>
    <t>29800 PE</t>
  </si>
  <si>
    <t>PERFORMANCE OF EQUITY COMBO PACKAGE   MAY-2019</t>
  </si>
  <si>
    <t>PERFORMANCE OF EQUITY COMBO PACKAGE  MAY-2019</t>
  </si>
  <si>
    <t>PERFORMANCE OF EQUITY COMBO PACKAGE  MAY -2019</t>
  </si>
  <si>
    <t>ICICIBANK 400 PE</t>
  </si>
  <si>
    <t>CEAT</t>
  </si>
  <si>
    <t>29900 CE</t>
  </si>
  <si>
    <t>SBIN 310 CALL</t>
  </si>
  <si>
    <t>29300 PE</t>
  </si>
  <si>
    <t>RELIANCE 1320 PE</t>
  </si>
  <si>
    <t>29000 PE</t>
  </si>
  <si>
    <t>IBULHSGFIN</t>
  </si>
  <si>
    <t>RELIANCE  1260 PE</t>
  </si>
  <si>
    <t>28800 PE</t>
  </si>
  <si>
    <t>AXISBANK 730 PE</t>
  </si>
  <si>
    <t>28700 PE</t>
  </si>
  <si>
    <t>29100 CE</t>
  </si>
  <si>
    <t>YESBANK 140 PE</t>
  </si>
  <si>
    <t>11900 CE</t>
  </si>
  <si>
    <t>30800 CE</t>
  </si>
  <si>
    <t>11800 CE</t>
  </si>
  <si>
    <t>30700 PE</t>
  </si>
  <si>
    <t>AXISBANK 800 PE</t>
  </si>
  <si>
    <t>LT 1520 CE</t>
  </si>
  <si>
    <t>31500 CE</t>
  </si>
  <si>
    <t>YESBANK 150 PE</t>
  </si>
  <si>
    <t>YESBANK 150 CE</t>
  </si>
  <si>
    <t>31400 CE</t>
  </si>
  <si>
    <t>MARUTI 6900 CE</t>
  </si>
  <si>
    <t>12100 PE</t>
  </si>
  <si>
    <t>31700 PE</t>
  </si>
  <si>
    <t>CANBK 270 PE</t>
  </si>
  <si>
    <t>PERFORMANCE OF EQUITY COMBO PACKAGE  JUN-2019</t>
  </si>
  <si>
    <t>PERFORMANCE OF EQUITY COMBO PACKAGE  JUN -2019</t>
  </si>
  <si>
    <t>PERFORMANCE OF EQUITY COMBO PACKAGE   JUN-2019</t>
  </si>
  <si>
    <t>TSC 2200 CE</t>
  </si>
  <si>
    <t>12000 CE</t>
  </si>
  <si>
    <t>31700 CE</t>
  </si>
  <si>
    <t>AXISBANK820 CE</t>
  </si>
  <si>
    <t>31500 PE</t>
  </si>
  <si>
    <t>AXISBANK 830 CE</t>
  </si>
  <si>
    <t>30900 PE</t>
  </si>
  <si>
    <t>31200 PE</t>
  </si>
  <si>
    <t>12000 PE</t>
  </si>
  <si>
    <t>31100 PE</t>
  </si>
  <si>
    <t>30800 PE</t>
  </si>
  <si>
    <t>YESBANK 120 PE</t>
  </si>
  <si>
    <t>LT 1500 CE</t>
  </si>
  <si>
    <t>YESBANK 110 PE</t>
  </si>
  <si>
    <t>INDUSINDBK 1400 CE</t>
  </si>
  <si>
    <t>30600 PE</t>
  </si>
  <si>
    <t>UPL 900 CE</t>
  </si>
  <si>
    <t>LT1540PE</t>
  </si>
  <si>
    <t>SBIN 355 PE</t>
  </si>
  <si>
    <t>30900 CE</t>
  </si>
  <si>
    <t>LT 1560 CE</t>
  </si>
  <si>
    <t>31300 CE</t>
  </si>
  <si>
    <t>ICICIBANK 440 CE</t>
  </si>
  <si>
    <t>31300 PE</t>
  </si>
  <si>
    <t>buy</t>
  </si>
  <si>
    <t>GODREJ</t>
  </si>
  <si>
    <t>PERFORMANCE OF EQUITY COMBO PACKAGE  JULY-2019</t>
  </si>
  <si>
    <t>PERFORMANCE OF EQUITY COMBO PACKAGE  JULY -2019</t>
  </si>
  <si>
    <t>PERFORMANCE OF EQUITY COMBO PACKAGE   JULY-2019</t>
  </si>
  <si>
    <t>INDUSINDBK 1420 PE</t>
  </si>
  <si>
    <t>IBDUSINDBK</t>
  </si>
  <si>
    <t>31400 PE</t>
  </si>
  <si>
    <t>TVSMOTORS 440 CE</t>
  </si>
  <si>
    <t>12050 PE</t>
  </si>
  <si>
    <t>31600 PE</t>
  </si>
  <si>
    <t>IBULHSGFIN 740 CE</t>
  </si>
  <si>
    <t>YESBANK 95 PE</t>
  </si>
  <si>
    <t>31000 PE</t>
  </si>
  <si>
    <t>RELIANCE 1260 CE</t>
  </si>
  <si>
    <t>11650 PE</t>
  </si>
  <si>
    <t>LT 1480 PE</t>
  </si>
  <si>
    <t>30400 PE</t>
  </si>
  <si>
    <t>SBIN 360 PE</t>
  </si>
  <si>
    <t>LT 1460 CE</t>
  </si>
  <si>
    <t>30200 PE</t>
  </si>
  <si>
    <t>11450 PE</t>
  </si>
  <si>
    <t>29400 PE</t>
  </si>
  <si>
    <t>YESBANK 85 CE</t>
  </si>
  <si>
    <t>ICICIBANK 415 PE</t>
  </si>
  <si>
    <t>11350 PE</t>
  </si>
  <si>
    <t>29200 PE</t>
  </si>
  <si>
    <t>SBIN 340 PE</t>
  </si>
  <si>
    <t>29500 PE</t>
  </si>
  <si>
    <t>CANBK 235 PE</t>
  </si>
  <si>
    <t>11150 PE</t>
  </si>
  <si>
    <t>CANBK 230 PE</t>
  </si>
  <si>
    <t>PERFORMANCE OF EQUITY COMBO PACKAGE  AUGUST-2019</t>
  </si>
  <si>
    <t>PERFORMANCE OF EQUITY COMBO PACKAGE  AUGUST -2019</t>
  </si>
  <si>
    <t>PERFORMANCE OF EQUITY COMBO PACKAGE   AUGUST-2019</t>
  </si>
  <si>
    <t>10950 PE</t>
  </si>
  <si>
    <t>10850 PE</t>
  </si>
  <si>
    <t>ICICIBANK 410 PE</t>
  </si>
  <si>
    <t>AXISBANK 660 PE</t>
  </si>
  <si>
    <t>28500 CE</t>
  </si>
  <si>
    <t>11050 CE</t>
  </si>
  <si>
    <t>LT 1340 PE</t>
  </si>
  <si>
    <t>ITC 250 CE</t>
  </si>
  <si>
    <t>HDFC 2100  PE</t>
  </si>
  <si>
    <t>28400 CE</t>
  </si>
  <si>
    <t>YESBANK 65 PE</t>
  </si>
  <si>
    <t>YESBANK 60 CE</t>
  </si>
  <si>
    <t>INDUSINDBK 1380 CE</t>
  </si>
  <si>
    <t>CANBK 220 PE</t>
  </si>
  <si>
    <t>YESBANK 55 PE</t>
  </si>
  <si>
    <t>PERFORMANCE OF EQUITY COMBO PACKAGE  SEPTEMBER -2019</t>
  </si>
  <si>
    <t>PERFORMANCE OF EQUITY COMBO PACKAGE  SEPTEMBER  -2019</t>
  </si>
  <si>
    <t>PERFORMANCE OF EQUITY COMBO PACKAGE   SEPTEMBER -2019</t>
  </si>
  <si>
    <t>RELIANCE 1200 PE</t>
  </si>
  <si>
    <t>RBLBANK 360 CE</t>
  </si>
  <si>
    <t>27800 PE</t>
  </si>
  <si>
    <t>11050 PE</t>
  </si>
  <si>
    <t>LICHSGFIN 400 PE</t>
  </si>
  <si>
    <t>HDFC 2020 PE</t>
  </si>
  <si>
    <t>PVR</t>
  </si>
  <si>
    <t>HDFC 2000 PE</t>
  </si>
  <si>
    <t>INDUSINDBK 1300 PE</t>
  </si>
  <si>
    <t>RELIANCE 1180 PE</t>
  </si>
  <si>
    <t>28800 CE</t>
  </si>
  <si>
    <t>HDFC 2160 CE</t>
  </si>
  <si>
    <t>29700 PE</t>
  </si>
  <si>
    <t>11500 P</t>
  </si>
  <si>
    <t>ICICIBANK 440 PE</t>
  </si>
  <si>
    <t>PERFORMANCE OF EQUITY COMBO PACKAGE  OCTOBER-2019</t>
  </si>
  <si>
    <t>PERFORMANCE OF EQUITY COMBO PACKAGE  OCTOBER -2019</t>
  </si>
  <si>
    <t>PERFORMANCE OF EQUITY COMBO PACKAGE   OCTOBER-2019</t>
  </si>
  <si>
    <t>28600 PE</t>
  </si>
  <si>
    <t>HDFC 1980 PE</t>
  </si>
  <si>
    <t>28400 PE</t>
  </si>
  <si>
    <t>LT 1440 PE</t>
  </si>
  <si>
    <t>ULTRACEMCO 4000 CE</t>
  </si>
  <si>
    <t>11250 PE</t>
  </si>
  <si>
    <t>AXISBANK 690 CE</t>
  </si>
  <si>
    <t>11350 CE</t>
  </si>
  <si>
    <t>28700 CE</t>
  </si>
  <si>
    <t>11550 PE</t>
  </si>
  <si>
    <t>RELIANCE 1380 CE</t>
  </si>
  <si>
    <t>SBIN 265 CE</t>
  </si>
  <si>
    <t>CANBK 190 CE</t>
  </si>
  <si>
    <t>11550 CE</t>
  </si>
  <si>
    <t>SBIN 275 CE</t>
  </si>
  <si>
    <t>ICICIBANK 455 CE</t>
  </si>
  <si>
    <t>29200 CE</t>
  </si>
  <si>
    <t>SBIN 270  CE</t>
  </si>
  <si>
    <t>PERFORMANCE OF EQUITY COMBO PACKAGE  NOVEMBER-2019</t>
  </si>
  <si>
    <t>PERFORMANCE OF EQUITY COMBO PACKAGE  NOVEMBER -2019</t>
  </si>
  <si>
    <t>PERFORMANCE OF EQUITY COMBO PACKAGE   NOVEMBER-2019</t>
  </si>
  <si>
    <t>11850 CE</t>
  </si>
  <si>
    <t>RELIANCE 1460 PE</t>
  </si>
  <si>
    <t>30300 PE</t>
  </si>
  <si>
    <t>RELIANCE 1440 PE</t>
  </si>
  <si>
    <t>CANBK 210 PE</t>
  </si>
  <si>
    <t>ICICIBANK 490 CE</t>
  </si>
  <si>
    <t>11950 PE</t>
  </si>
  <si>
    <t>KOTAKBANK 1620 CE</t>
  </si>
  <si>
    <t>31100 CE</t>
  </si>
  <si>
    <t>ICICIBANK 505 CE</t>
  </si>
  <si>
    <t>31000 CE</t>
  </si>
  <si>
    <t>31200 CE</t>
  </si>
  <si>
    <t>AXISBANK 730 CE</t>
  </si>
  <si>
    <t>11950 CE</t>
  </si>
  <si>
    <t>AXISBANK 750 CE</t>
  </si>
  <si>
    <t>ICICIBANK 495 CE</t>
  </si>
  <si>
    <t>ICICIBANK 500 CE</t>
  </si>
  <si>
    <t>BATAINDIAN</t>
  </si>
  <si>
    <t>RRELIANCE 1560 PE</t>
  </si>
  <si>
    <t>12200 PE</t>
  </si>
  <si>
    <t>31800 PE</t>
  </si>
  <si>
    <t>RELIANCE 1560 CE</t>
  </si>
  <si>
    <t>12050 CE</t>
  </si>
  <si>
    <t>32000 CE</t>
  </si>
  <si>
    <t>31900 PE</t>
  </si>
  <si>
    <t>INDUSINDBK 1520 CE</t>
  </si>
  <si>
    <t>ICICIBANK510 CE</t>
  </si>
  <si>
    <t>PERFORMANCE OF EQUITY COMBO PACKAGE  DECEMBER-2019</t>
  </si>
  <si>
    <t>PERFORMANCE OF EQUITY COMBO PACKAGE  DECEMBER -2019</t>
  </si>
  <si>
    <t>PERFORMANCE OF EQUITY COMBO PACKAGE   DECEMBER-2019</t>
  </si>
  <si>
    <t>31800 CE</t>
  </si>
  <si>
    <t>RELIANCE 1600 CE</t>
  </si>
  <si>
    <t>CANBK 225 PE</t>
  </si>
  <si>
    <t>CANBK 220 CE</t>
  </si>
  <si>
    <t>12150 PE</t>
  </si>
  <si>
    <t>CANBK 215 CE</t>
  </si>
  <si>
    <t xml:space="preserve">RELIANCE 1560 PUT </t>
  </si>
  <si>
    <t>13-12--2019</t>
  </si>
  <si>
    <t>32000 PE</t>
  </si>
  <si>
    <t>17-12--2019</t>
  </si>
  <si>
    <t>32200 PE</t>
  </si>
  <si>
    <t>INDUSINDBK 1500 CE</t>
  </si>
  <si>
    <t>ICICIBANK 540 PUT</t>
  </si>
  <si>
    <t>32100 CE</t>
  </si>
  <si>
    <t>12100 CE</t>
  </si>
  <si>
    <t>HDFC 2420 PUT</t>
  </si>
  <si>
    <t>12200 CE</t>
  </si>
  <si>
    <t>32300 CE</t>
  </si>
  <si>
    <t>HDFC 2400 PUT</t>
  </si>
  <si>
    <t>ICICIBANK 545 PUT</t>
  </si>
  <si>
    <t>12350 PE</t>
  </si>
  <si>
    <t>32400 PE</t>
  </si>
  <si>
    <t>12300 PE</t>
  </si>
  <si>
    <t>32300 PE</t>
  </si>
  <si>
    <t>32400 CE</t>
  </si>
  <si>
    <t>ICICIBANK 545 CE</t>
  </si>
  <si>
    <t>32600 CE</t>
  </si>
  <si>
    <t>12150 CE</t>
  </si>
  <si>
    <t>PERFORMANCE OF EQUITY COMBO PACKAGE  JANUARY-2020</t>
  </si>
  <si>
    <t>PERFORMANCE OF EQUITY COMBO PACKAGE   JANUARY-2020</t>
  </si>
  <si>
    <t>32200 CE</t>
  </si>
  <si>
    <t>RELIANCE 1540 CE</t>
  </si>
  <si>
    <t xml:space="preserve"> 12100 CE</t>
  </si>
  <si>
    <t>ICICIBANK 525 CE</t>
  </si>
  <si>
    <t>MANAPPURAM</t>
  </si>
  <si>
    <t>LT 1320 CE</t>
  </si>
  <si>
    <t>12250 CE</t>
  </si>
  <si>
    <t>ASHOKLEY</t>
  </si>
  <si>
    <t>LT 1340 CE</t>
  </si>
  <si>
    <t>HDFC 2480 CE</t>
  </si>
  <si>
    <t>12400 PE</t>
  </si>
  <si>
    <t>12450 PE</t>
  </si>
  <si>
    <t>12300 CE</t>
  </si>
  <si>
    <t>ICICIBANK 535 CE</t>
  </si>
  <si>
    <t>BERGERPAINT</t>
  </si>
  <si>
    <t>HDFC 1240 CE</t>
  </si>
  <si>
    <t>12250 PE</t>
  </si>
  <si>
    <t>MARUTI 7200 CE</t>
  </si>
  <si>
    <t>ICICIPRULI</t>
  </si>
  <si>
    <t>JINDALSTTEL</t>
  </si>
  <si>
    <t>HDFC 2420 PE</t>
  </si>
  <si>
    <t>RELIANCE 1500 PE</t>
  </si>
  <si>
    <t>RELIANCE 1480 PE</t>
  </si>
  <si>
    <t>PERFORMANCE OF EQUITY COMBO PACKAGE  JANUARY -2020</t>
  </si>
  <si>
    <t>PERFORMANCE OF EQUITY COMBO PACKAGE  FEBRUARY-2020</t>
  </si>
  <si>
    <t>PERFORMANCE OF EQUITY COMBO PACKAGE  FEBRUARY -2020</t>
  </si>
  <si>
    <t>PERFORMANCE OF EQUITY COMBO PACKAGE   FEBRUARY-2020</t>
  </si>
  <si>
    <t>RELIANCE 1420 CE</t>
  </si>
  <si>
    <t>AXISBANK 720 PE</t>
  </si>
  <si>
    <t>ICICIBANK 540 PE</t>
  </si>
  <si>
    <t>HDFCBANK 1240 PE</t>
  </si>
  <si>
    <t>RELIANCE 1420 PE</t>
  </si>
  <si>
    <t>SBIN 325 PE</t>
  </si>
  <si>
    <t>HINDUNILVR 2260 CE</t>
  </si>
  <si>
    <t>RELIANCE 1480 PUT</t>
  </si>
  <si>
    <t>HDFC 2360 PE</t>
  </si>
  <si>
    <t>CANBK 170 PUT</t>
  </si>
  <si>
    <t>ESCORTS</t>
  </si>
  <si>
    <t>RELIANCE 1400 PE</t>
  </si>
  <si>
    <t>30100 PE</t>
  </si>
  <si>
    <t>ICICIBANK 520 PE</t>
  </si>
  <si>
    <t>PERFORMANCE OF EQUITY COMBO PACKAGE  MARCH-2020</t>
  </si>
  <si>
    <t>PERFORMANCE OF EQUITY COMBO PACKAGE  MARCH -2020</t>
  </si>
  <si>
    <t>PERFORMANCE OF EQUITY COMBO PACKAGE   MARCH-2020</t>
  </si>
  <si>
    <t>AXISBANK 560 PE</t>
  </si>
  <si>
    <t>INDUSINDBK 550PE</t>
  </si>
  <si>
    <t>AXISBANK 400 PE</t>
  </si>
  <si>
    <t>17500 CE</t>
  </si>
  <si>
    <t>ICICIBANK 330 PE</t>
  </si>
  <si>
    <t>PERFORMANCE OF EQUITY COMBO PACKAGE  APRIL-2020</t>
  </si>
  <si>
    <t>PERFORMANCE OF EQUITY COMBO PACKAGE   APRIL-2020</t>
  </si>
  <si>
    <t>PERFORMANCE OF EQUITY COMBO PACKAGE  APRIL -2020</t>
  </si>
  <si>
    <t>AXISBANK 360 PE</t>
  </si>
  <si>
    <t>8600 CE</t>
  </si>
  <si>
    <t>AXISBANK 420 CE</t>
  </si>
  <si>
    <t>LUPIN 760 CE</t>
  </si>
  <si>
    <t>20100 CE</t>
  </si>
  <si>
    <t>LUPIN 840 CE</t>
  </si>
  <si>
    <t>19200 CE</t>
  </si>
  <si>
    <t>LT  900 CE</t>
  </si>
  <si>
    <t>9100 PE</t>
  </si>
  <si>
    <t>20900 CE</t>
  </si>
  <si>
    <t>INDUSINDBK 380 PE</t>
  </si>
  <si>
    <t>AXISBANK 420 PE</t>
  </si>
  <si>
    <t>RELIANCE 1460 CE</t>
  </si>
  <si>
    <t>ICICIBANK 350 CE</t>
  </si>
  <si>
    <t>TATASTEEL 280 CE</t>
  </si>
  <si>
    <t>20700 CE</t>
  </si>
  <si>
    <t>21900 CE</t>
  </si>
  <si>
    <t>PERFORMANCE OF EQUITY COMBO PACKAGE  MAY-2020</t>
  </si>
  <si>
    <t>PERFORMANCE OF EQUITY COMBO PACKAGE  MAY -2020</t>
  </si>
  <si>
    <t>PERFORMANCE OF EQUITY COMBO PACKAGE   MAY-2020</t>
  </si>
  <si>
    <t>CADILAHC</t>
  </si>
  <si>
    <t>AXISBANK 380 PE</t>
  </si>
  <si>
    <t>HINDUNILVR 2000 CE</t>
  </si>
  <si>
    <t>BAJFINANCE 2000 CE</t>
  </si>
  <si>
    <t>BAJFINANCE 2200 CE</t>
  </si>
  <si>
    <t>INDUSINDBK 420 PE</t>
  </si>
  <si>
    <t>18700 PE</t>
  </si>
  <si>
    <t>BAJFINANCE 1900 PE</t>
  </si>
  <si>
    <t>NAUKRI</t>
  </si>
  <si>
    <t>INDUSINDBK 360 PE</t>
  </si>
  <si>
    <t>17200 PE</t>
  </si>
  <si>
    <t>AXISBANK 340 PE</t>
  </si>
  <si>
    <t>AXISBANK 400 CE</t>
  </si>
  <si>
    <t>PERFORMANCE OF EQUITY COMBO PACKAGE  JUNE-2020</t>
  </si>
  <si>
    <t>PERFORMANCE OF EQUITY COMBO PACKAGE  JUNE -2020</t>
  </si>
  <si>
    <t>PERFORMANCE OF EQUITY COMBO PACKAGE   JUNE-2020</t>
  </si>
  <si>
    <t>TATACONSUM</t>
  </si>
  <si>
    <t>PIDILITIND 1500 CE</t>
  </si>
  <si>
    <t>LT 920 PE</t>
  </si>
  <si>
    <t>9900 CE</t>
  </si>
  <si>
    <t>HDFCLIFE</t>
  </si>
  <si>
    <t>21000 CE</t>
  </si>
  <si>
    <t>SBIN 175 CE</t>
  </si>
  <si>
    <t>BATAINDA</t>
  </si>
  <si>
    <t>LICHSGFIN 260 CE</t>
  </si>
  <si>
    <t>AXISBANK 390 PUT</t>
  </si>
  <si>
    <t>BAJFINANCE 2550 CE</t>
  </si>
  <si>
    <t>SBIN 185 PE</t>
  </si>
  <si>
    <t>PEL 1000 PE</t>
  </si>
  <si>
    <t>BAJFINANCE 2300 CE</t>
  </si>
  <si>
    <t>RELIANCE 1620 CE</t>
  </si>
  <si>
    <t>21300 CE</t>
  </si>
  <si>
    <t>CANBK 105 CE</t>
  </si>
  <si>
    <t>10200 CE</t>
  </si>
  <si>
    <t>AXISBANK 430 CE</t>
  </si>
  <si>
    <t>RELIANCE 1740 PUT</t>
  </si>
  <si>
    <t>M&amp;MFIN 185 CE</t>
  </si>
  <si>
    <t>22100 CE</t>
  </si>
  <si>
    <t>ICICBANK</t>
  </si>
  <si>
    <t>10350 PE</t>
  </si>
  <si>
    <t>ICICBANK 350 CE</t>
  </si>
  <si>
    <t>PERFORMANCE OF EQUITY COMBO PACKAGE  JULY-2020</t>
  </si>
  <si>
    <t>PERFORMANCE OF EQUITY COMBO PACKAGE  JULY -2020</t>
  </si>
  <si>
    <t>PERFORMANCE OF EQUITY COMBO PACKAGE   JULY-2020</t>
  </si>
  <si>
    <t xml:space="preserve">ICICIBANK </t>
  </si>
  <si>
    <t>21400 CE</t>
  </si>
  <si>
    <t>RELIANCE 1700 PE</t>
  </si>
  <si>
    <t>22000 PE</t>
  </si>
  <si>
    <t>ICICIBANK 365 PE</t>
  </si>
  <si>
    <t>INDUSINDBK 500 CE</t>
  </si>
  <si>
    <t>22200 CE</t>
  </si>
  <si>
    <t>RELIANCE 1820 CE</t>
  </si>
  <si>
    <t>BAJFINANCE 3200 CE</t>
  </si>
  <si>
    <t>10750 CE</t>
  </si>
  <si>
    <t>ICICIBANK 375 CE</t>
  </si>
  <si>
    <t>TATASTEEL 350 CE</t>
  </si>
  <si>
    <t>22400 PE</t>
  </si>
  <si>
    <t>RELIANCE 1840 PE</t>
  </si>
  <si>
    <t>RELIANCE 1940 CE</t>
  </si>
  <si>
    <t>21800 CE</t>
  </si>
  <si>
    <t>10750 PE</t>
  </si>
  <si>
    <t>HDFCBANK 1040 PE</t>
  </si>
  <si>
    <t>21200 CE</t>
  </si>
  <si>
    <t>RELIANCE 1860 CE</t>
  </si>
  <si>
    <t>22300 CE</t>
  </si>
  <si>
    <t>BAJFINANCE 3450 PE</t>
  </si>
  <si>
    <t>RELIANCE 1980 CE</t>
  </si>
  <si>
    <t>AXISBANK 430 PE</t>
  </si>
  <si>
    <t>RELIANCE 2180 CE</t>
  </si>
  <si>
    <t>LT 930 CE</t>
  </si>
  <si>
    <t>LT 930 PE</t>
  </si>
  <si>
    <t>PERFORMANCE OF EQUITY COMBO PACKAGE  AUGUST-2020</t>
  </si>
  <si>
    <t>PERFORMANCE OF EQUITY COMBO PACKAGE  AUGUST -2020</t>
  </si>
  <si>
    <t>PERFORMANCE OF EQUITY COMBO PACKAGE   AUGUST-2020</t>
  </si>
  <si>
    <t>10950 CE</t>
  </si>
  <si>
    <t>RELIANCE 2040 PE</t>
  </si>
  <si>
    <t>RELIANCE 2040 CE</t>
  </si>
  <si>
    <t>RELIANCE 2160 PE</t>
  </si>
  <si>
    <t>RELIANCE 2140 CE</t>
  </si>
  <si>
    <t>RELIANCE 2160 CE</t>
  </si>
  <si>
    <t>11250 CE</t>
  </si>
  <si>
    <t>22000 CE</t>
  </si>
  <si>
    <t>MARUTI 6600 PE</t>
  </si>
  <si>
    <t>BAJFINANCE 3500 CE</t>
  </si>
  <si>
    <t>SBILIFE</t>
  </si>
  <si>
    <t>BPCL 410 CE</t>
  </si>
  <si>
    <t>BAJFINANCE 3450 CE</t>
  </si>
  <si>
    <t>RELIANCE 2100 PE</t>
  </si>
  <si>
    <t>HDFCBANK 1100 CE</t>
  </si>
  <si>
    <t>ICICIBANK 385 CE</t>
  </si>
  <si>
    <t>23200 CE</t>
  </si>
  <si>
    <t>LT 970 PE</t>
  </si>
  <si>
    <t>INDUSINDBK 590 CE</t>
  </si>
  <si>
    <t>23900 CE</t>
  </si>
  <si>
    <t>24200 CE</t>
  </si>
  <si>
    <t>CANBK 115 CE</t>
  </si>
  <si>
    <t>BAJFINANCE 3600 PE</t>
  </si>
  <si>
    <t>PERFORMANCE OF EQUITY COMBO PACKAGE  SEPTEMBER-2020</t>
  </si>
  <si>
    <t>PERFORMANCE OF EQUITY COMBO PACKAGE  SEPTEMBER -2020</t>
  </si>
  <si>
    <t>PERFORMANCE OF EQUITY COMBO PACKAGE   SEPTEMBER-2020</t>
  </si>
  <si>
    <t>HDFC 1850 CE</t>
  </si>
  <si>
    <t>AXISBANK 480 PE</t>
  </si>
  <si>
    <t>11450 CE</t>
  </si>
  <si>
    <t>BAJFINANCE 3600 CE</t>
  </si>
  <si>
    <t>AXISBANK 460 CE</t>
  </si>
  <si>
    <t>23000 CE</t>
  </si>
  <si>
    <t>TCS 2360 CE</t>
  </si>
  <si>
    <t>APOLLOTYE</t>
  </si>
  <si>
    <t>22500 CE</t>
  </si>
  <si>
    <t>PEL 1360 CE</t>
  </si>
  <si>
    <t>RELIANCE 2300 PE</t>
  </si>
  <si>
    <t>RELIANCE 2340 CE</t>
  </si>
  <si>
    <t>INDUSINDBK 620 CE</t>
  </si>
  <si>
    <t>MARUTI 6400 PE</t>
  </si>
  <si>
    <t>BAJFINANCE 3300 PE</t>
  </si>
  <si>
    <t>AXISBANK 410 PE</t>
  </si>
  <si>
    <t>BAJFINANCE 3100 CE</t>
  </si>
  <si>
    <t>RELIANCE 2240 CE</t>
  </si>
  <si>
    <t>ICICIBANK 350 PE</t>
  </si>
  <si>
    <t>PERFORMANCE OF EQUITY COMBO PACKAGE  OCTOBER -2020</t>
  </si>
  <si>
    <t>PERFORMANCE OF EQUITY COMBO PACKAGE  OCTOBER  -2020</t>
  </si>
  <si>
    <t>PERFORMANCE OF EQUITY COMBO PACKAGE   OCTOBER -2020</t>
  </si>
  <si>
    <t>22600 PE</t>
  </si>
  <si>
    <t>RELIANCE 2240 PE</t>
  </si>
  <si>
    <t>BAKRISIND</t>
  </si>
  <si>
    <t>11650 CE</t>
  </si>
  <si>
    <t>11750 CE</t>
  </si>
  <si>
    <t>23300 CE</t>
  </si>
  <si>
    <t>RELIANCE 2260 PE</t>
  </si>
  <si>
    <t>BAJFINANCE 3400 CE</t>
  </si>
  <si>
    <t>RELIANCE 2280 CE</t>
  </si>
  <si>
    <t>HDFC 2000 CE</t>
  </si>
  <si>
    <t>RELIANCE 2200 PE</t>
  </si>
  <si>
    <t>BAJFINANCE 3250 PE</t>
  </si>
  <si>
    <t>BHARTIARTL 400 CE</t>
  </si>
  <si>
    <t>24500 CE</t>
  </si>
  <si>
    <t>24600 CE</t>
  </si>
  <si>
    <t>LT 940 PE</t>
  </si>
  <si>
    <t>HEROMOTOCO 3050 PE</t>
  </si>
  <si>
    <t>ACC 1660 CE</t>
  </si>
  <si>
    <t>24400 CE</t>
  </si>
  <si>
    <t>RELIANCE 2000 CE</t>
  </si>
  <si>
    <t>PERFORMANCE OF EQUITY COMBO PACKAGE  NOVEMBER -2020</t>
  </si>
  <si>
    <t>PERFORMANCE OF EQUITY COMBO PACKAGE  NOVEMBER  -2020</t>
  </si>
  <si>
    <t>PERFORMANCE OF EQUITY COMBO PACKAGE   NOVEMBER -2020</t>
  </si>
  <si>
    <t>RELIANCE 1940 PE</t>
  </si>
  <si>
    <t>ICICIBANK 430 CE</t>
  </si>
  <si>
    <t>LT 940 CE</t>
  </si>
  <si>
    <t>26100 CE</t>
  </si>
  <si>
    <t>BAJFINANCE 3650 CE</t>
  </si>
  <si>
    <t>BAJFINANCE 3750 CE</t>
  </si>
  <si>
    <t>MCDOWELLN</t>
  </si>
  <si>
    <t>12550 CE</t>
  </si>
  <si>
    <t>12600 CE</t>
  </si>
  <si>
    <t>12850 CE</t>
  </si>
  <si>
    <t>12800 PE</t>
  </si>
  <si>
    <t>12850 PE</t>
  </si>
  <si>
    <t>13000 CE</t>
  </si>
  <si>
    <t>COFORGE</t>
  </si>
  <si>
    <t>13050 PE</t>
  </si>
  <si>
    <t>12750 CE</t>
  </si>
  <si>
    <t>29500 CE</t>
  </si>
  <si>
    <t>AXISBANK 560 CE</t>
  </si>
  <si>
    <t>AXISBANK 580 CE</t>
  </si>
  <si>
    <t>AXISBANK 600 CE</t>
  </si>
  <si>
    <t>BAJFINANCE 4800 CE</t>
  </si>
  <si>
    <t>AXISBANK 610 CE</t>
  </si>
  <si>
    <t>AXISBANK 620 PE</t>
  </si>
  <si>
    <t>PERFORMANCE OF EQUITY COMBO PACKAGE  DECEMBER -2020</t>
  </si>
  <si>
    <t>PERFORMANCE OF EQUITY COMBO PACKAGE  DECEMBER  -2020</t>
  </si>
  <si>
    <t>PERFORMANCE OF EQUITY COMBO PACKAGE   DECEMBER -2020</t>
  </si>
  <si>
    <t>13050 CE</t>
  </si>
  <si>
    <t>LT 1120 PE</t>
  </si>
  <si>
    <t>INFY 1140 CE</t>
  </si>
  <si>
    <t>13250 PE</t>
  </si>
  <si>
    <t>RELIANCE 1950 PE</t>
  </si>
  <si>
    <t>HDFC 2300 CE</t>
  </si>
  <si>
    <t>13250 CE</t>
  </si>
  <si>
    <t>13350 CE</t>
  </si>
  <si>
    <t>13400 CE</t>
  </si>
  <si>
    <t>RELIANCE 2050 CE</t>
  </si>
  <si>
    <t>ICICIBANK 510 CE</t>
  </si>
  <si>
    <t>13550 CE</t>
  </si>
  <si>
    <t>13500 CE</t>
  </si>
  <si>
    <t>ICICIBANK 520 CE</t>
  </si>
  <si>
    <t>13450 CE</t>
  </si>
  <si>
    <t>BAJFINANCE 5200 CE</t>
  </si>
  <si>
    <t>13600 CE</t>
  </si>
  <si>
    <t>13700 CE</t>
  </si>
  <si>
    <t>BAJFINANCE 4900 PE</t>
  </si>
  <si>
    <t>INDIGO 1650 CE</t>
  </si>
  <si>
    <t>INDIGO 1600 PE</t>
  </si>
  <si>
    <t>13800 CE</t>
  </si>
  <si>
    <t>13900 PE</t>
  </si>
  <si>
    <t>13900 CE</t>
  </si>
  <si>
    <t>RELIANCE 2000 PE</t>
  </si>
  <si>
    <t>LT 1280 CE</t>
  </si>
  <si>
    <t>PERFORMANCE OF EQUITY COMBO PACKAGE  JANUARY - 2021</t>
  </si>
  <si>
    <t>PERFORMANCE OF EQUITY COMBO PACKAGE   JANUARY - 2021</t>
  </si>
  <si>
    <t xml:space="preserve"> SELL</t>
  </si>
  <si>
    <t>14050 CE</t>
  </si>
  <si>
    <t>14050 PE</t>
  </si>
  <si>
    <t>14150 CE</t>
  </si>
  <si>
    <t>31900 CE</t>
  </si>
  <si>
    <t>BAJFINANCE 5200 PE</t>
  </si>
  <si>
    <t>BAJFINANCE 5100 PE</t>
  </si>
  <si>
    <t>BAJFINANCE 5000 PE</t>
  </si>
  <si>
    <t>MCDOWELL-N 630 CE</t>
  </si>
  <si>
    <t>TORNTPOWER</t>
  </si>
  <si>
    <t>ICICIGI</t>
  </si>
  <si>
    <t>14400 CE</t>
  </si>
  <si>
    <t>14500 CE</t>
  </si>
  <si>
    <t>14550 CE</t>
  </si>
  <si>
    <t>32500 CE</t>
  </si>
  <si>
    <t>32100 PE</t>
  </si>
  <si>
    <t>TATASTEEL 690 PE</t>
  </si>
  <si>
    <t>GRASIM 1020 CE</t>
  </si>
  <si>
    <t>VEDL 180 PE</t>
  </si>
  <si>
    <t>HDFCBANK 1460 PE</t>
  </si>
  <si>
    <t>BAJFINANCE 4700 PE</t>
  </si>
  <si>
    <t>AXISBANK 670 CE</t>
  </si>
  <si>
    <t>AXISBANK 680 CE</t>
  </si>
  <si>
    <t>14250 PE</t>
  </si>
  <si>
    <t>14600 CE</t>
  </si>
  <si>
    <t>14500 PE</t>
  </si>
  <si>
    <t>RELIANCE 2080 PE</t>
  </si>
  <si>
    <t>13950 PE</t>
  </si>
  <si>
    <t>31600 CE</t>
  </si>
  <si>
    <t>AXISBANK 660 CE</t>
  </si>
  <si>
    <t>SBIN 280 CE</t>
  </si>
  <si>
    <t>13750 PE</t>
  </si>
  <si>
    <t>PERFORMANCE OF EQUITY COMBO PACKAGE  FEBRUARY - 2021</t>
  </si>
  <si>
    <t>PERFORMANCE OF EQUITY COMBO PACKAGE   FEBRUARY - 2021</t>
  </si>
  <si>
    <t>PERFORMANCE OF EQUITY COMBO PACKAGE FEBRUARY - 2021</t>
  </si>
  <si>
    <t>14100 CE</t>
  </si>
  <si>
    <t>34100 CE</t>
  </si>
  <si>
    <t>ICICIBANK 580 CE</t>
  </si>
  <si>
    <t>RELIANCE 1880 PE</t>
  </si>
  <si>
    <t>14750 CE</t>
  </si>
  <si>
    <t>34700 CE</t>
  </si>
  <si>
    <t>MARUTI 7500 PE</t>
  </si>
  <si>
    <t>14800 CE</t>
  </si>
  <si>
    <t>35000 CE</t>
  </si>
  <si>
    <t>36200 CE</t>
  </si>
  <si>
    <t>BAJFINANCE 5400 CE</t>
  </si>
  <si>
    <t>ASIANPAINT 2380 PE</t>
  </si>
  <si>
    <t>36300 CE</t>
  </si>
  <si>
    <t>ULTRACEMCO 6500 CE</t>
  </si>
  <si>
    <t>15150 CE</t>
  </si>
  <si>
    <t>TITAN 1580 CE</t>
  </si>
  <si>
    <t>BAJFINANCE 5500 CE</t>
  </si>
  <si>
    <t>35900 PE</t>
  </si>
  <si>
    <t>15050 CE</t>
  </si>
  <si>
    <t>AARTIIND</t>
  </si>
  <si>
    <t>35800 PE</t>
  </si>
  <si>
    <t>MANAPURAM 180 CE</t>
  </si>
  <si>
    <t>15200 CE</t>
  </si>
  <si>
    <t>35900 CE</t>
  </si>
  <si>
    <t>BRITANNIA</t>
  </si>
  <si>
    <t>15250 CE</t>
  </si>
  <si>
    <t>15350 CE</t>
  </si>
  <si>
    <t>36800 CE</t>
  </si>
  <si>
    <t>37500 CE</t>
  </si>
  <si>
    <t>37100 CE</t>
  </si>
  <si>
    <t>AXISBANK 770 CE</t>
  </si>
  <si>
    <t>RELIANCE 2060 CE</t>
  </si>
  <si>
    <t>SBIN 410 CE</t>
  </si>
  <si>
    <t>36600 CE</t>
  </si>
  <si>
    <t>HDFCBANK 1450 CE</t>
  </si>
  <si>
    <t>GODREJPROP</t>
  </si>
  <si>
    <t>15250 PE</t>
  </si>
  <si>
    <t>36800 PE</t>
  </si>
  <si>
    <t>HINDALCO 310 CE</t>
  </si>
  <si>
    <t>14850 PE</t>
  </si>
  <si>
    <t>35700 PE</t>
  </si>
  <si>
    <t>35200 CE</t>
  </si>
  <si>
    <t>35500 CE</t>
  </si>
  <si>
    <t>AXISBANK 740 PE</t>
  </si>
  <si>
    <t>SBIN 390 CE</t>
  </si>
  <si>
    <t>TATASTEEL 750 CE</t>
  </si>
  <si>
    <t>37000 CE</t>
  </si>
  <si>
    <t>35000 PE</t>
  </si>
  <si>
    <t>DREEDY 4600 CE</t>
  </si>
  <si>
    <t>ELCHERMOT</t>
  </si>
  <si>
    <t xml:space="preserve">DRREEDY </t>
  </si>
  <si>
    <t>PERFORMANCE OF EQUITY COMBO PACKAGE  MARCH - 2021</t>
  </si>
  <si>
    <t>PERFORMANCE OF EQUITY COMBO PACKAGE   MARCH - 2021</t>
  </si>
  <si>
    <t>PERFORMANCE OF EQUITY COMBO PACKAGE MARCH - 2021</t>
  </si>
  <si>
    <t>14850 CE</t>
  </si>
  <si>
    <t>35600 CE</t>
  </si>
  <si>
    <t>ICICIBANK 610 CE</t>
  </si>
  <si>
    <t>MCDOWELL-N 550 CE</t>
  </si>
  <si>
    <t>36000 CE</t>
  </si>
  <si>
    <t>ACC 1820 CE</t>
  </si>
  <si>
    <t>35400 CE</t>
  </si>
  <si>
    <t>35800 CE</t>
  </si>
  <si>
    <t>ICICIBANK 620 CE</t>
  </si>
  <si>
    <t>TATACONSUM 620 CE</t>
  </si>
  <si>
    <t>RELIANCE 2180 PE</t>
  </si>
  <si>
    <t>36400 CE</t>
  </si>
  <si>
    <t>34800 PE</t>
  </si>
  <si>
    <t>35300 CE</t>
  </si>
  <si>
    <t>BAJFINANCE 5400 PE</t>
  </si>
  <si>
    <t>HDFCLIFE 710 CE</t>
  </si>
  <si>
    <t>14650 CE</t>
  </si>
  <si>
    <t>34800 CE</t>
  </si>
  <si>
    <t>34600 PE</t>
  </si>
  <si>
    <t>33900 CE</t>
  </si>
  <si>
    <t>14650 PE</t>
  </si>
  <si>
    <t>33900 PE</t>
  </si>
  <si>
    <t>34200 CE</t>
  </si>
  <si>
    <t>33700 PE</t>
  </si>
  <si>
    <t>RELIANCE 2060 PE</t>
  </si>
  <si>
    <t>ICICIBANK 570 PE</t>
  </si>
  <si>
    <t>14450 PE</t>
  </si>
  <si>
    <t>33000 PE</t>
  </si>
  <si>
    <t>33400 PE</t>
  </si>
  <si>
    <t>34000 CE</t>
  </si>
  <si>
    <t>33500 PE</t>
  </si>
  <si>
    <t>AXISBANK 690 PE</t>
  </si>
  <si>
    <t>RELIANCE 2020 CE</t>
  </si>
  <si>
    <t>PERFORMANCE OF EQUITY COMBO PACKAGE  APRIL - 2021</t>
  </si>
  <si>
    <t>PERFORMANCE OF EQUITY COMBO PACKAGE   APRIL - 2021</t>
  </si>
  <si>
    <t>PERFORMANCE OF EQUITY COMBO PACKAGE APRIL - 2021</t>
  </si>
  <si>
    <t>TATASTEL</t>
  </si>
  <si>
    <t>14700 CE</t>
  </si>
  <si>
    <t>14950 CE</t>
  </si>
  <si>
    <t>32600 PE</t>
  </si>
  <si>
    <t>32800 CE</t>
  </si>
  <si>
    <t>33000 CE</t>
  </si>
  <si>
    <t>33200 CE</t>
  </si>
  <si>
    <t>33100 CE</t>
  </si>
  <si>
    <t>RELIANCE 1980 PE</t>
  </si>
  <si>
    <t>RELIANCE 2020 PE</t>
  </si>
  <si>
    <t>JSWSTEEL 580 CE</t>
  </si>
  <si>
    <t>TATASTEEL 920 CE</t>
  </si>
  <si>
    <t>14350 CE</t>
  </si>
  <si>
    <t>14550 PE</t>
  </si>
  <si>
    <t>AXISBANK 648</t>
  </si>
  <si>
    <t>14300 PE</t>
  </si>
  <si>
    <t>TATASTEEL 900 CE</t>
  </si>
  <si>
    <t>14350 PE</t>
  </si>
  <si>
    <t>RELIANCE 1920 CE</t>
  </si>
  <si>
    <t>TITAN 1500 PE</t>
  </si>
  <si>
    <t>14450 CE</t>
  </si>
  <si>
    <t>TATACONSUM 670 CE</t>
  </si>
  <si>
    <t>32500  CE</t>
  </si>
  <si>
    <t>SBIN 345 CE</t>
  </si>
  <si>
    <t>AXISBANK 700 PE</t>
  </si>
  <si>
    <t>ICICIBANK 620 PE</t>
  </si>
  <si>
    <t>33500 CE</t>
  </si>
  <si>
    <t>14950 PE</t>
  </si>
  <si>
    <t>PERFORMANCE OF EQUITY COMBO PACKAGE  MAY - 2021</t>
  </si>
  <si>
    <t>PERFORMANCE OF EQUITY COMBO PACKAGE   MAY - 2021</t>
  </si>
  <si>
    <t>PERFORMANCE OF EQUITY COMBO PACKAGE MAY - 2021</t>
  </si>
  <si>
    <t>HDFCAMC</t>
  </si>
  <si>
    <t>14750 PE</t>
  </si>
  <si>
    <t>32700 CE</t>
  </si>
  <si>
    <t>33100 PE</t>
  </si>
  <si>
    <t>TITAN 1440 PE</t>
  </si>
  <si>
    <t>RBLBANK 190 CE</t>
  </si>
  <si>
    <t>AXISBANK 710 CE</t>
  </si>
  <si>
    <t>TATASTEEL 1130  CE</t>
  </si>
  <si>
    <t>ESCORTS 1660 CE</t>
  </si>
  <si>
    <t>AUBANK</t>
  </si>
  <si>
    <t>33400 CE</t>
  </si>
  <si>
    <t>32800 PE</t>
  </si>
  <si>
    <t>SBIN 370 CE</t>
  </si>
  <si>
    <t>ICICIBANK 600 PE</t>
  </si>
  <si>
    <t>ADANIENT 1220 PE</t>
  </si>
  <si>
    <t>TATASTEEL 1110  PE</t>
  </si>
  <si>
    <t>TITAN 1520 CE</t>
  </si>
  <si>
    <t>TITAN 1560 CE</t>
  </si>
  <si>
    <t>MANNAPURAM</t>
  </si>
  <si>
    <t>33800 PE</t>
  </si>
  <si>
    <t>BAJFINANCE 5600 PE</t>
  </si>
  <si>
    <t>ICICIBANK 630 CE</t>
  </si>
  <si>
    <t>15350 PE</t>
  </si>
  <si>
    <t>15450 CE</t>
  </si>
  <si>
    <t>34700 PE</t>
  </si>
  <si>
    <t>35200 PE</t>
  </si>
  <si>
    <t>BAJFINANCE 5600 CE</t>
  </si>
  <si>
    <t>ICICIBANK 650 CE</t>
  </si>
  <si>
    <t>TATASTEEL 1080 PE</t>
  </si>
  <si>
    <t>TCS 3200 CE</t>
  </si>
  <si>
    <t>RELIANCE 2120 CE</t>
  </si>
  <si>
    <t>PERFORMANCE OF EQUITY COMBO PACKAGE  JUNE- 2021</t>
  </si>
  <si>
    <t>PERFORMANCE OF EQUITY COMBO PACKAGE  JUNE - 2021</t>
  </si>
  <si>
    <t>PERFORMANCE OF EQUITY COMBO PACKAGE JUNE - 2021</t>
  </si>
  <si>
    <t>15550 CE</t>
  </si>
  <si>
    <t>15650 CE</t>
  </si>
  <si>
    <t>15750 PE</t>
  </si>
  <si>
    <t>15600 CE</t>
  </si>
  <si>
    <t>15850 PE</t>
  </si>
  <si>
    <t>TATASTEEL 1070 PE</t>
  </si>
  <si>
    <t>35400 PE</t>
  </si>
  <si>
    <t>35300 PE</t>
  </si>
  <si>
    <t>35500 PE</t>
  </si>
  <si>
    <t>35100 PE</t>
  </si>
  <si>
    <t>LT 1540 CE</t>
  </si>
  <si>
    <t>HDFCBANK 1500 CE</t>
  </si>
  <si>
    <t>PEL 2350 CE</t>
  </si>
  <si>
    <t>TECHM 1080 CE</t>
  </si>
  <si>
    <t>BAJFINANCE 6200 CE</t>
  </si>
  <si>
    <t>INFY 1500 CE</t>
  </si>
  <si>
    <t>15800 CE</t>
  </si>
  <si>
    <t>15750 CE</t>
  </si>
  <si>
    <t>35100 CE</t>
  </si>
  <si>
    <t>34300 PE</t>
  </si>
  <si>
    <t>15800 PE</t>
  </si>
  <si>
    <t>34300 CE</t>
  </si>
  <si>
    <t>ICICBANK 640 CE</t>
  </si>
  <si>
    <t>MARUTI 7400 CE</t>
  </si>
  <si>
    <t>PERFORMANCE OF EQUITY COMBO PACKAGE  JULY- 2021</t>
  </si>
  <si>
    <t>PERFORMANCE OF EQUITY COMBO PACKAGE JULY- 2021</t>
  </si>
  <si>
    <t>ICICIBANK 640 CE</t>
  </si>
  <si>
    <t>HDFCLIFE 680 PE</t>
  </si>
  <si>
    <t>RELIANCE 2120 PE</t>
  </si>
  <si>
    <t>BAJFINANCE 6300 CE</t>
  </si>
  <si>
    <t>BUT</t>
  </si>
  <si>
    <t>15950 PE</t>
  </si>
  <si>
    <t>TECH</t>
  </si>
  <si>
    <t>ADANIPORTS 700 PE</t>
  </si>
  <si>
    <t>ICICIBANK 660 CE</t>
  </si>
  <si>
    <t>AXISBANK 770 PE</t>
  </si>
  <si>
    <t>ICICBANK 650 PE</t>
  </si>
  <si>
    <t>ICICIBANK 670 CE</t>
  </si>
  <si>
    <t>26-7-201</t>
  </si>
  <si>
    <t>ICICIBANK 680 CE</t>
  </si>
  <si>
    <t>LT 1600 CE</t>
  </si>
  <si>
    <t>ICICIBANK 680 PE</t>
  </si>
  <si>
    <t>15850 CE</t>
  </si>
  <si>
    <t>15400 PE</t>
  </si>
  <si>
    <t>34600 CE</t>
  </si>
  <si>
    <t>PERFORMANCE OF EQUITY COMBO PACKAGE  AUGUST- 2021</t>
  </si>
  <si>
    <t>PERFORMANCE OF EQUITY COMBO PACKAGE AUGUST- 2021</t>
  </si>
  <si>
    <t>34900 CE</t>
  </si>
  <si>
    <t>VEDL 310 PE</t>
  </si>
  <si>
    <t>15900 CE</t>
  </si>
  <si>
    <t>16300 PE</t>
  </si>
  <si>
    <t>KOTAKBANK 1720 CE</t>
  </si>
  <si>
    <t>TECHM 1260 CE</t>
  </si>
  <si>
    <t>KOTAKBANK 1780 CE</t>
  </si>
  <si>
    <t>16250 CE</t>
  </si>
  <si>
    <t>35600 PE</t>
  </si>
  <si>
    <t>36000 PE</t>
  </si>
  <si>
    <t>KOTAKBANK 1500 CE</t>
  </si>
  <si>
    <t>KOTAKBANK 1820 CE</t>
  </si>
  <si>
    <t>INFY 1680 CE</t>
  </si>
  <si>
    <t>16400 CE</t>
  </si>
  <si>
    <t>AUBANK 1320 CE</t>
  </si>
  <si>
    <t>16450 CE</t>
  </si>
  <si>
    <t>16500 CE</t>
  </si>
  <si>
    <t>KOTAKBANK 1800 CE</t>
  </si>
  <si>
    <t>LT 1640 PE</t>
  </si>
  <si>
    <t>TVS MOTOR</t>
  </si>
  <si>
    <t>TORNTPHARMA</t>
  </si>
  <si>
    <t>IRCTC</t>
  </si>
  <si>
    <t>16450 PE</t>
  </si>
  <si>
    <t>16550 PE</t>
  </si>
  <si>
    <t>16550 CE</t>
  </si>
  <si>
    <t>KOTAKBANK 1720 PE</t>
  </si>
  <si>
    <t>HDFCBANK 1540 CE</t>
  </si>
  <si>
    <t>HDFCLIFE 690 CE</t>
  </si>
  <si>
    <t>DEEPAKNTR</t>
  </si>
  <si>
    <t>INDUSTOWER</t>
  </si>
  <si>
    <t>POLYCAB</t>
  </si>
  <si>
    <t>16800 CE</t>
  </si>
  <si>
    <t>36500 CE</t>
  </si>
  <si>
    <t>ICICIBANK 710 CE</t>
  </si>
  <si>
    <t>SUNPHARMA 800 CE</t>
  </si>
  <si>
    <t>PERFORMANCE OF EQUITY COMBO PACKAGE  SEPTEMBER- 2021</t>
  </si>
  <si>
    <t>PERFORMANCE OF EQUITY COMBO PACKAGE SEPTEMBER- 2021</t>
  </si>
  <si>
    <t>NIFTY OPTION INTRADAY QTY PER 6 LOT</t>
  </si>
  <si>
    <t>METROPOLIS</t>
  </si>
  <si>
    <t>17150 CE</t>
  </si>
  <si>
    <t>METOPOLISH 2900 CE</t>
  </si>
  <si>
    <t>RAMCOCEM</t>
  </si>
  <si>
    <t>SYNGENE</t>
  </si>
  <si>
    <t>17050 CE</t>
  </si>
  <si>
    <t>PFIZER 5900 CE</t>
  </si>
  <si>
    <t>HEROMOTOCO 2800 CE</t>
  </si>
  <si>
    <t>37200 CE</t>
  </si>
  <si>
    <t>17300 CE</t>
  </si>
  <si>
    <t>HINDUNIVER</t>
  </si>
  <si>
    <t>RBLBANK</t>
  </si>
  <si>
    <t>CANFINHOME</t>
  </si>
  <si>
    <t>36700 PE</t>
  </si>
  <si>
    <t>36400 PE</t>
  </si>
  <si>
    <t>17350 PE</t>
  </si>
  <si>
    <t>BAJAJAUTO 3800 CE</t>
  </si>
  <si>
    <t>IRCTC 3200 CE</t>
  </si>
  <si>
    <t>HDFCLIFE 750 CE</t>
  </si>
  <si>
    <t>36700 CE</t>
  </si>
  <si>
    <t>INDHOTEL</t>
  </si>
  <si>
    <t>COROMANDEL</t>
  </si>
  <si>
    <t>NAMINDIA</t>
  </si>
  <si>
    <t>ASTRAL</t>
  </si>
  <si>
    <t>17250 CE</t>
  </si>
  <si>
    <t>IGL 570 CE</t>
  </si>
  <si>
    <t>BANDHANBANK</t>
  </si>
  <si>
    <t>17350 CE</t>
  </si>
  <si>
    <t>36500 PE</t>
  </si>
  <si>
    <t>COFORGE 5200 CE</t>
  </si>
  <si>
    <t>IRCTC 3800 CE</t>
  </si>
  <si>
    <t>INDUSINDBK 1120 CALL</t>
  </si>
  <si>
    <t>SBIN 450 CALL</t>
  </si>
  <si>
    <t>17450 CE</t>
  </si>
  <si>
    <t>17750 CE</t>
  </si>
  <si>
    <t>37900 CE</t>
  </si>
  <si>
    <t>HDFCBANK 1580 CE</t>
  </si>
  <si>
    <t>17550 CE</t>
  </si>
  <si>
    <t>17900 CE</t>
  </si>
  <si>
    <t>37700 CE</t>
  </si>
  <si>
    <t>37000 PE</t>
  </si>
  <si>
    <t>37100 PE</t>
  </si>
  <si>
    <t>37600 CE</t>
  </si>
  <si>
    <t>TECHM 1480 CE</t>
  </si>
  <si>
    <t>ASIANPAINT 3300 CE</t>
  </si>
  <si>
    <t>BALKRISIND 2660 CE</t>
  </si>
  <si>
    <t>AXISBANK 800 CE</t>
  </si>
  <si>
    <t>HDFCBANK 1600 CE</t>
  </si>
  <si>
    <t>17850 CE</t>
  </si>
  <si>
    <t>17850 PE</t>
  </si>
  <si>
    <t>17650 PE</t>
  </si>
  <si>
    <t>17650 CE</t>
  </si>
  <si>
    <t>SBILFE</t>
  </si>
  <si>
    <t>38400 CE</t>
  </si>
  <si>
    <t>38100 PE</t>
  </si>
  <si>
    <t>37600 PE</t>
  </si>
  <si>
    <t>37800 PE</t>
  </si>
  <si>
    <t>AXISBANK 810 CE</t>
  </si>
  <si>
    <t>ICICIBANK 730 PE</t>
  </si>
  <si>
    <t>TORNTPOWER 510 CE</t>
  </si>
  <si>
    <t>PERFORMANCE OF EQUITY COMBO PACKAGE  OCTOBER- 2021</t>
  </si>
  <si>
    <t>PERFORMANCE OF EQUITY COMBO PACKAGE OCTOBER- 2021</t>
  </si>
  <si>
    <t>HAL</t>
  </si>
  <si>
    <t>TRENT</t>
  </si>
  <si>
    <t>17950 CE</t>
  </si>
  <si>
    <t>38000 CE</t>
  </si>
  <si>
    <t>37800 CE</t>
  </si>
  <si>
    <t>38100 CE</t>
  </si>
  <si>
    <t>TECHM 1400 CE</t>
  </si>
  <si>
    <t>DEEPAKNTR 2400 CE</t>
  </si>
  <si>
    <t>MCDOWELL-N 890 CE</t>
  </si>
  <si>
    <t>HDFCBANK 1620 CE</t>
  </si>
  <si>
    <t>ESCORTS 1500 CE</t>
  </si>
  <si>
    <t>TECHM 1440 CE</t>
  </si>
  <si>
    <t>PIIND</t>
  </si>
  <si>
    <t>TATAPOWER</t>
  </si>
  <si>
    <t>18000 CE</t>
  </si>
  <si>
    <t>18450 CE</t>
  </si>
  <si>
    <t>38200 CE</t>
  </si>
  <si>
    <t>38300 CE</t>
  </si>
  <si>
    <t>38700 CE</t>
  </si>
  <si>
    <t>39700 CE</t>
  </si>
  <si>
    <t>39600 CE</t>
  </si>
  <si>
    <t>40400 CE</t>
  </si>
  <si>
    <t>ELCHERMOT 2900 CE</t>
  </si>
  <si>
    <t>PEL 2800 CE</t>
  </si>
  <si>
    <t>HAVELLS 1420 CE</t>
  </si>
  <si>
    <t>AUBANK 1240 CE</t>
  </si>
  <si>
    <t>UBL 1700 CE</t>
  </si>
  <si>
    <t>BATAINDIA 2160 CE</t>
  </si>
  <si>
    <t>HDFC 2820 CALL</t>
  </si>
  <si>
    <t>RELIANCE 2640 CE</t>
  </si>
  <si>
    <t>GUJGASLTD</t>
  </si>
  <si>
    <t>ABFRL</t>
  </si>
  <si>
    <t>18250 PE</t>
  </si>
  <si>
    <t>PVR 1660 CE</t>
  </si>
  <si>
    <t>40900 CE</t>
  </si>
  <si>
    <t>18100 CE</t>
  </si>
  <si>
    <t>BHARTIARTEL</t>
  </si>
  <si>
    <t>18250 CE</t>
  </si>
  <si>
    <t>18150 PE</t>
  </si>
  <si>
    <t>41000 CE</t>
  </si>
  <si>
    <t>41300 CE</t>
  </si>
  <si>
    <t>40500 PE</t>
  </si>
  <si>
    <t>39500 CE</t>
  </si>
  <si>
    <t>LT 1860 CE</t>
  </si>
  <si>
    <t>CUMMINSID 900 CE</t>
  </si>
  <si>
    <t>TITAN 2400 CE</t>
  </si>
  <si>
    <t>CUMMINSID</t>
  </si>
  <si>
    <t>DIXON</t>
  </si>
  <si>
    <t>MCX</t>
  </si>
  <si>
    <t>17750 PE</t>
  </si>
  <si>
    <t>18050 CE</t>
  </si>
  <si>
    <t>17950 PE</t>
  </si>
  <si>
    <t>39300 PE</t>
  </si>
  <si>
    <t>39900 PE</t>
  </si>
  <si>
    <t>39100 CE</t>
  </si>
  <si>
    <t>38800 PE</t>
  </si>
  <si>
    <t>INDUSINDBK 1180 CE</t>
  </si>
  <si>
    <t>DIXON 5400 CE</t>
  </si>
  <si>
    <t>CHOLAFIN 650 CE</t>
  </si>
  <si>
    <t>ELCHERMOT 2760 CE</t>
  </si>
  <si>
    <t>INDIGO 2200 CE</t>
  </si>
  <si>
    <t>BAJAJAUTO 3700 PE</t>
  </si>
  <si>
    <t>IEX</t>
  </si>
  <si>
    <t>18150 CE</t>
  </si>
  <si>
    <t>39000 CE</t>
  </si>
  <si>
    <t>38600 PE</t>
  </si>
  <si>
    <t>MCX 2000 CE</t>
  </si>
  <si>
    <t>IEX 820 CE</t>
  </si>
  <si>
    <t>TATACONSUM 850 CE</t>
  </si>
  <si>
    <t>MCDOWALLS</t>
  </si>
  <si>
    <t>38000 PE</t>
  </si>
  <si>
    <t>DIXON 5500 CE</t>
  </si>
  <si>
    <t>HAL 1400 CE</t>
  </si>
  <si>
    <t>37700 PE</t>
  </si>
  <si>
    <t>CHAMBALFERT</t>
  </si>
  <si>
    <t>37300 CE</t>
  </si>
  <si>
    <t>37400 CE</t>
  </si>
  <si>
    <t>37200 PE</t>
  </si>
  <si>
    <t>IEX 780 CE</t>
  </si>
  <si>
    <t>SBIN 495 CE</t>
  </si>
  <si>
    <t>GODREJPROP 2220 CE</t>
  </si>
  <si>
    <t>CIPLA 930 CE</t>
  </si>
  <si>
    <t>36600 PE</t>
  </si>
  <si>
    <t>HCLTECH 1140 CE</t>
  </si>
  <si>
    <t>TCS 3560 CE</t>
  </si>
  <si>
    <t>PERFORMANCE OF EQUITY COMBO PACKAGE  NOVEMBER- 2021</t>
  </si>
  <si>
    <t>PERFORMANCE OF EQUITY COMBO PACKAGE   NOVEMBER- 2021</t>
  </si>
  <si>
    <t>PERFORMANCE OF EQUITY COMBO PACKAGE NOVEMBER- 2021</t>
  </si>
  <si>
    <t>PERFORMANCE OF EQUITY COMBO PACKAGE  DECEMBER- 2021</t>
  </si>
  <si>
    <t>PERFORMANCE OF EQUITY COMBO PACKAGE   DECEMBER- 2021</t>
  </si>
  <si>
    <t>PERFORMANCE OF EQUITY COMBO PACKAGE DECEMBER- 2021</t>
  </si>
  <si>
    <t>GODREJCP 940 CE</t>
  </si>
  <si>
    <t>PIIND 3000 CE</t>
  </si>
  <si>
    <t>17200 CE</t>
  </si>
  <si>
    <t>17050 PE</t>
  </si>
  <si>
    <t>17100 CE</t>
  </si>
  <si>
    <t>36300 PE</t>
  </si>
  <si>
    <t>RELIANCE 2460 PE</t>
  </si>
  <si>
    <t>INDUSINDBK 940 PE</t>
  </si>
  <si>
    <t>APOLLOHOSP 5200 PE</t>
  </si>
  <si>
    <t>ADANIPORTS 750 CE</t>
  </si>
  <si>
    <t>ELCHERMOT 2500 CE</t>
  </si>
  <si>
    <t>GODREJCP 920 CE</t>
  </si>
  <si>
    <t>ASIANPAINT 3260 CE</t>
  </si>
  <si>
    <t>37300 PE</t>
  </si>
  <si>
    <t>BAJFINANCE 7300 PE</t>
  </si>
  <si>
    <t>MCDOWELLN 940 CE</t>
  </si>
  <si>
    <t>TATACINSUM</t>
  </si>
  <si>
    <t>17250 PE</t>
  </si>
  <si>
    <t>HDFC 2740 PE</t>
  </si>
  <si>
    <t>ELCHERMOT 2500 PE</t>
  </si>
  <si>
    <t>MOTHERSUMI 215 PUT</t>
  </si>
  <si>
    <t>DRREDDY 4550 CE</t>
  </si>
  <si>
    <t>MPHASIS</t>
  </si>
  <si>
    <t>NAVINFLOUR</t>
  </si>
  <si>
    <t>LAURUSLABS</t>
  </si>
  <si>
    <t>DEEPAKNRT</t>
  </si>
  <si>
    <t>16850 CE</t>
  </si>
  <si>
    <t>17000 CE</t>
  </si>
  <si>
    <t>16950 PE</t>
  </si>
  <si>
    <t>16950 CE</t>
  </si>
  <si>
    <t>HDFC 2560 CE</t>
  </si>
  <si>
    <t>MANAPPURAM 165 PE</t>
  </si>
  <si>
    <t>ICICIBANK 740 PE</t>
  </si>
  <si>
    <t>17400  CE</t>
  </si>
  <si>
    <t>35700 CE</t>
  </si>
  <si>
    <t>TCS 3700 CE</t>
  </si>
  <si>
    <t>EICHERMOT 2600 CALL</t>
  </si>
  <si>
    <t>ACC 2200 CE</t>
  </si>
  <si>
    <t>PERFORMANCE OF EQUITY COMBO PACKAGE JANUARY- 2021</t>
  </si>
  <si>
    <t>PERFORMANCE OF EQUITY COMBO PACKAGE  JANUARY- 2022</t>
  </si>
  <si>
    <t>PERFORMANCE OF EQUITY COMBO PACKAGE   JANUARY- 2022</t>
  </si>
  <si>
    <t>PERFORMANCE OF EQUITY COMBO PACKAGE JANUARY- 2022</t>
  </si>
  <si>
    <t>RELIANCE 2400 CE</t>
  </si>
  <si>
    <t>OBEROIRLTY</t>
  </si>
  <si>
    <t>GSPL</t>
  </si>
  <si>
    <t>DALBHARAT</t>
  </si>
  <si>
    <t>KOTAKBANK 1840 CE</t>
  </si>
  <si>
    <t>HINDUNLVR 2400 CE</t>
  </si>
  <si>
    <t>LUPIN 940 CE</t>
  </si>
  <si>
    <t>IRCTC 870 CE</t>
  </si>
  <si>
    <t xml:space="preserve">MANNAPURAM </t>
  </si>
  <si>
    <t>BATATINDIA</t>
  </si>
  <si>
    <t>38800 CE</t>
  </si>
  <si>
    <t>38600 CE</t>
  </si>
  <si>
    <t>38500 CE</t>
  </si>
  <si>
    <t>38200 PE</t>
  </si>
  <si>
    <t>BATAINDIA 1900 CE</t>
  </si>
  <si>
    <t>APOLLOHOSP 5000 PE</t>
  </si>
  <si>
    <t>INFY 1900 CE</t>
  </si>
  <si>
    <t>BAJFINANCE 7900 CE</t>
  </si>
  <si>
    <t>MCX 1660 CE</t>
  </si>
  <si>
    <t>TATASTEEL 1200 PE</t>
  </si>
  <si>
    <t>CHOLAFIN 620 CE</t>
  </si>
  <si>
    <t>SIEMENS 2400 CE</t>
  </si>
  <si>
    <t>MCDOWELL-N 920 CE</t>
  </si>
  <si>
    <t>37500 PE</t>
  </si>
  <si>
    <t>TCS 3800 PE</t>
  </si>
  <si>
    <t>CIPLA 920 CE</t>
  </si>
  <si>
    <t>JUBLFOOD 3500 CE</t>
  </si>
  <si>
    <t>M&amp;M 900 CE</t>
  </si>
  <si>
    <t>PERFORMANCE OF EQUITY COMBO PACKAGE  FEBRUARY- 2022</t>
  </si>
  <si>
    <t>PERFORMANCE OF EQUITY COMBO PACKAGE   FEBRUARY- 2022</t>
  </si>
  <si>
    <t>PERFORMANCE OF EQUITY COMBO PACKAGE FEBRUARY- 2022</t>
  </si>
  <si>
    <t>PERFORMANCE OF EQUITY COMBO PACKAGE FEBRUARY- 2021</t>
  </si>
  <si>
    <t>HDFCBANK 1520 CE</t>
  </si>
  <si>
    <t>39400 PE</t>
  </si>
  <si>
    <t>HINDUNLVR 2320 PE</t>
  </si>
  <si>
    <t>TATASTEEL 1200 CE</t>
  </si>
  <si>
    <t>39200 CE</t>
  </si>
  <si>
    <t>OBEROLRLTY</t>
  </si>
  <si>
    <t>BAJFINANCE 7000 PE</t>
  </si>
  <si>
    <t>BALRAMCHINI 440 PE</t>
  </si>
  <si>
    <t>38700 PE</t>
  </si>
  <si>
    <t>BALRAMCHINI</t>
  </si>
  <si>
    <t>HEROMOTOCO 2660 CE</t>
  </si>
  <si>
    <t>BHARATIARTL</t>
  </si>
  <si>
    <t>17550 PE</t>
  </si>
  <si>
    <t>38900 CE</t>
  </si>
  <si>
    <t>JSWSTEEL 680 CE</t>
  </si>
  <si>
    <t>INDIGO 2280 CE</t>
  </si>
  <si>
    <t>38400 PE</t>
  </si>
  <si>
    <t>KOTAKBANK 1940 CE</t>
  </si>
  <si>
    <t>INDIGO 2160 PE</t>
  </si>
  <si>
    <t>TECHM 1420 CE</t>
  </si>
  <si>
    <t>16850 PE</t>
  </si>
  <si>
    <t>ICICIPRULI 500 PE</t>
  </si>
  <si>
    <t>SBIN 515 PE</t>
  </si>
  <si>
    <t>VOLTAS 1240 CE</t>
  </si>
  <si>
    <t>MANAPPURAM 120 PE</t>
  </si>
  <si>
    <t>NATIONALUM</t>
  </si>
  <si>
    <t>GNFC</t>
  </si>
  <si>
    <t>DIXON 4200 CE</t>
  </si>
  <si>
    <t>OBEROIRLTY 940 CE</t>
  </si>
  <si>
    <t>EICHERMOT 2600 PE</t>
  </si>
  <si>
    <t>MCDOWELL-N 880 CE</t>
  </si>
  <si>
    <t>36100 CE</t>
  </si>
  <si>
    <t>APOLLOHOSP 4800 CE</t>
  </si>
  <si>
    <t>PERFORMANCE OF EQUITY COMBO PACKAGE  MARCH- 2022</t>
  </si>
  <si>
    <t>PERFORMANCE OF EQUITY COMBO PACKAGE  MARCH - 2022</t>
  </si>
  <si>
    <t>PERFORMANCE OF EQUITY COMBO PACKAGE MARCH- 2022</t>
  </si>
  <si>
    <t>PERFORMANCE OF EQUITY COMBO PACKAGE MARCH- 2021</t>
  </si>
  <si>
    <t>LAURASLAB</t>
  </si>
  <si>
    <t>RAIN</t>
  </si>
  <si>
    <t>INTELLECT</t>
  </si>
  <si>
    <t>HINDUNLVR</t>
  </si>
  <si>
    <t>16750 PE</t>
  </si>
  <si>
    <t>16150 PE</t>
  </si>
  <si>
    <t>16650 CE</t>
  </si>
  <si>
    <t>MINDTREE 3900 CE</t>
  </si>
  <si>
    <t>BALRAMCHINI 440 CE</t>
  </si>
  <si>
    <t>GNFC 600 CE</t>
  </si>
  <si>
    <t>34200 PE</t>
  </si>
  <si>
    <t>32900 PE</t>
  </si>
  <si>
    <t>INFY 1740 CE</t>
  </si>
  <si>
    <t>JSWSTEEL 630 PE</t>
  </si>
  <si>
    <t>32900 CE</t>
  </si>
  <si>
    <t>33200 PE</t>
  </si>
  <si>
    <t>INFY 1820 CE</t>
  </si>
  <si>
    <t>ADANIENT 1740 CE</t>
  </si>
  <si>
    <t>34500 PE</t>
  </si>
  <si>
    <t>MCX 1420 CE</t>
  </si>
  <si>
    <t>AXISBANK 790 PUT</t>
  </si>
  <si>
    <t>16800 PE</t>
  </si>
  <si>
    <t>CHOLAFIN 710 CE</t>
  </si>
  <si>
    <t>APOLLOHOSP 4900 PE</t>
  </si>
  <si>
    <t>36200 PE</t>
  </si>
  <si>
    <t>BAJAJAUTO 3700 CE</t>
  </si>
  <si>
    <t>RELIANCE 2500 CE</t>
  </si>
  <si>
    <t>17100 PE</t>
  </si>
  <si>
    <t>TATASTEEL 1360 CE</t>
  </si>
  <si>
    <t>DELTACORP</t>
  </si>
  <si>
    <t>BHARTIARTLE</t>
  </si>
  <si>
    <t>RELIANCE 2600 CE</t>
  </si>
  <si>
    <t>RELIANCE 2620 PE</t>
  </si>
  <si>
    <t>BHARATIARTLE 770 CE</t>
  </si>
  <si>
    <t>RELIANCE 2640 PE</t>
  </si>
  <si>
    <t>PERFORMANCE OF EQUITY COMBO PACKAGE  APRIL- 2022</t>
  </si>
  <si>
    <t>PERFORMANCE OF EQUITY COMBO PACKAGE  APRIL - 2022</t>
  </si>
  <si>
    <t>PERFORMANCE OF EQUITY COMBO PACKAGE APRIL- 2022</t>
  </si>
  <si>
    <t>PERFORMANCE OF EQUITY COMBO PACKAGE APRIL- 2021</t>
  </si>
  <si>
    <t>18050 PE</t>
  </si>
  <si>
    <t>17900 PE</t>
  </si>
  <si>
    <t>38300 PE</t>
  </si>
  <si>
    <t>BAJFINANCE 7600 CE</t>
  </si>
  <si>
    <t>DIXON 4600 CE</t>
  </si>
  <si>
    <t>LT 1840 CE</t>
  </si>
  <si>
    <t>ADANIPORTS 870 CE</t>
  </si>
  <si>
    <t>RELIANCE 2620 CE</t>
  </si>
  <si>
    <t>37900 PE</t>
  </si>
  <si>
    <t>AUBANK 1400 CE</t>
  </si>
  <si>
    <t>BAJFINANCE 7400 CE</t>
  </si>
  <si>
    <t>HINDCOPPER</t>
  </si>
  <si>
    <t>17150 PE</t>
  </si>
  <si>
    <t>ICICIPRULI 560 CE</t>
  </si>
  <si>
    <t>GNFC 900 CE</t>
  </si>
  <si>
    <t>RELIANCE 2760 CE</t>
  </si>
  <si>
    <t>BSOFT 440 CE</t>
  </si>
  <si>
    <t>BSOFT</t>
  </si>
  <si>
    <t>SEQUENT</t>
  </si>
  <si>
    <t>ELHOTEL</t>
  </si>
  <si>
    <t>GSFC</t>
  </si>
  <si>
    <t>RELIANCE 2740 CE</t>
  </si>
  <si>
    <t>SBIN 500 CE</t>
  </si>
  <si>
    <t>RELIANCE 2800 CE</t>
  </si>
  <si>
    <t>DEEPAKNTR 2320 CE</t>
  </si>
  <si>
    <t>36100 PE</t>
  </si>
  <si>
    <t>PERFORMANCE OF EQUITY COMBO PACKAGE  MAY- 2022</t>
  </si>
  <si>
    <t>PERFORMANCE OF EQUITY COMBO PACKAGE  MAY - 2022</t>
  </si>
  <si>
    <t>PERFORMANCE OF EQUITY COMBO PACKAGE MAY- 2022</t>
  </si>
  <si>
    <t>PERFORMANCE OF EQUITY COMBO PACKAGE MAY- 2021</t>
  </si>
  <si>
    <t>HDFC 2240 CE</t>
  </si>
  <si>
    <t>HDFC 2280 CE</t>
  </si>
  <si>
    <t>ADANIENT 2260 PE</t>
  </si>
  <si>
    <t>1609..80</t>
  </si>
  <si>
    <t>34400 CE</t>
  </si>
  <si>
    <t>34400 PE</t>
  </si>
  <si>
    <t>34000 PE</t>
  </si>
  <si>
    <t>33800 CE</t>
  </si>
  <si>
    <t>RELIANCE 2560 PE</t>
  </si>
  <si>
    <t>BHARTIARTL 720 CE</t>
  </si>
  <si>
    <t>SRF 2280 CE</t>
  </si>
  <si>
    <t>SBIN 465 PE</t>
  </si>
  <si>
    <t>ASIANPAINT 3050 PE</t>
  </si>
  <si>
    <t>APOLLOHOSP 3700 CE</t>
  </si>
  <si>
    <t>MINDTREE 3100 CE</t>
  </si>
  <si>
    <t>GUJGAS</t>
  </si>
  <si>
    <t>EICHERMOT</t>
  </si>
  <si>
    <t>16050 CE</t>
  </si>
  <si>
    <t>33700 CE</t>
  </si>
  <si>
    <t>33600 PE</t>
  </si>
  <si>
    <t>hal</t>
  </si>
  <si>
    <t>ADANIENT 2180 CE</t>
  </si>
  <si>
    <t>COALLINDIA</t>
  </si>
  <si>
    <t>BERGEPAINT</t>
  </si>
  <si>
    <t>16350 CE</t>
  </si>
  <si>
    <t>34500 CE</t>
  </si>
  <si>
    <t>LUPIN 640 CE</t>
  </si>
  <si>
    <t>CONCOR 600 CE</t>
  </si>
  <si>
    <t>HDFCLIFE 560 CE</t>
  </si>
  <si>
    <t>SBIN 455 PE</t>
  </si>
  <si>
    <t>DRREDDY 4300 PE</t>
  </si>
  <si>
    <t>MCDOWELL-N 810 CE</t>
  </si>
  <si>
    <t>TATACHEM 960 CE</t>
  </si>
  <si>
    <t>PERFORMANCE OF EQUITY COMBO PACKAGE  JUNE- 2022</t>
  </si>
  <si>
    <t>PERFORMANCE OF EQUITY COMBO PACKAGE  JUNE - 2022</t>
  </si>
  <si>
    <t>PERFORMANCE OF EQUITY COMBO PACKAGE JUNE- 2022</t>
  </si>
  <si>
    <t>PERFORMANCE OF EQUITY COMBO PACKAGE JUNE- 2021</t>
  </si>
  <si>
    <t>SBICARD</t>
  </si>
  <si>
    <t>GNFC 700 CE</t>
  </si>
  <si>
    <t>SBIN 470 CE</t>
  </si>
  <si>
    <t>ICICIBANK 750 PE</t>
  </si>
  <si>
    <t>LALPATHLAB 2050 PE</t>
  </si>
  <si>
    <t>LALPATHLAB</t>
  </si>
  <si>
    <t>16250 PE</t>
  </si>
  <si>
    <t>RELIANCE 2760 PE</t>
  </si>
  <si>
    <t>DRREDDY 4300 CE</t>
  </si>
  <si>
    <t>RELIANCE 2780 CE</t>
  </si>
  <si>
    <t>DEEPAKANTR</t>
  </si>
  <si>
    <t>15650 PE</t>
  </si>
  <si>
    <t>DEEPAKNTR 1850 CE</t>
  </si>
  <si>
    <t>MGL 780 CE</t>
  </si>
  <si>
    <t>BAJFINANCE 5500 PE</t>
  </si>
  <si>
    <t>15400 CE</t>
  </si>
  <si>
    <t>33600 CE</t>
  </si>
  <si>
    <t>RELIANCE 2540 PE</t>
  </si>
  <si>
    <t>MARUTI 7900 CE</t>
  </si>
  <si>
    <t>ICICIBANK 700 CE</t>
  </si>
  <si>
    <t>DIXON 3500 CE</t>
  </si>
  <si>
    <t>TVSMOTOR</t>
  </si>
  <si>
    <t>DRREDDY 4350 CE</t>
  </si>
  <si>
    <t>TITAN 1950 PE</t>
  </si>
  <si>
    <t>33300 CE</t>
  </si>
  <si>
    <t>INFY 1480 CE</t>
  </si>
  <si>
    <t>PERFORMANCE OF EQUITY COMBO PACKAGE  JULY- 2022</t>
  </si>
  <si>
    <t>PERFORMANCE OF EQUITY COMBO PACKAGE  JULY - 2022</t>
  </si>
  <si>
    <t>PERFORMANCE OF EQUITY COMBO PACKAGE JULY- 2022</t>
  </si>
  <si>
    <t>RELIANCE 2580 CE</t>
  </si>
  <si>
    <t>ITC 290 CE</t>
  </si>
  <si>
    <t>RELIANCE 2400 PE</t>
  </si>
  <si>
    <t>ADANIENT 2300 CE</t>
  </si>
  <si>
    <t>16100 CE</t>
  </si>
  <si>
    <t>HCLTECH 950 PE</t>
  </si>
  <si>
    <t>ADANIENT 2380 CE</t>
  </si>
  <si>
    <t>ADANIENT 2360 PE</t>
  </si>
  <si>
    <t>BAJAJFINS 1200 CE</t>
  </si>
  <si>
    <t>SBIN 480 PE</t>
  </si>
  <si>
    <t>JBLFOOD</t>
  </si>
  <si>
    <t>BAJFINANCE 6100 CE</t>
  </si>
  <si>
    <t>HAVELLS 1260 PE</t>
  </si>
  <si>
    <t>ITC 300 CE</t>
  </si>
  <si>
    <t>34900 PE</t>
  </si>
  <si>
    <t>RELIANCE 2420 PE</t>
  </si>
  <si>
    <t>16650 PE</t>
  </si>
  <si>
    <t>BHARTIARTL 680 CE</t>
  </si>
  <si>
    <t>BAJFINANCE 6300 PE</t>
  </si>
  <si>
    <t>DLF 365 CE</t>
  </si>
  <si>
    <t>SBIN 530 PE</t>
  </si>
  <si>
    <t>PERFORMANCE OF EQUITY COMBO PACKAGE  AUGUST- 2022</t>
  </si>
  <si>
    <t>PERFORMANCE OF EQUITY COMBO PACKAGE  AUGUST - 2022</t>
  </si>
  <si>
    <t>PERFORMANCE OF EQUITY COMBO PACKAGE AUGUST- 2022</t>
  </si>
  <si>
    <t>NIFTY FUTURE INTRADAY QTY PER 3 LOT</t>
  </si>
  <si>
    <t>RELIANCE 2560 CE</t>
  </si>
  <si>
    <t>SBI 545 CE</t>
  </si>
  <si>
    <t>JUBLFFOD</t>
  </si>
  <si>
    <t>DIVISLAB 3850 CE</t>
  </si>
  <si>
    <t>DIXON 3850 CE</t>
  </si>
  <si>
    <t>DELTAORP</t>
  </si>
  <si>
    <t>INFY 1620 CE</t>
  </si>
  <si>
    <t>RELIACE 2560 CE</t>
  </si>
  <si>
    <t>HDFCBANK 1460 CE</t>
  </si>
  <si>
    <t>LTTS</t>
  </si>
  <si>
    <t>WHIRLPHOOL</t>
  </si>
  <si>
    <t>SIEMENS 2860 CE</t>
  </si>
  <si>
    <t>39400 CE</t>
  </si>
  <si>
    <t>39500 PE</t>
  </si>
  <si>
    <t>ADANIPORT 820 CE</t>
  </si>
  <si>
    <t>HINDULVER 2700 CE</t>
  </si>
  <si>
    <t>BSOFT 340 CE</t>
  </si>
  <si>
    <t>GSRL</t>
  </si>
  <si>
    <t>38500 PE</t>
  </si>
  <si>
    <t>INDUSINDBK 1050 PE</t>
  </si>
  <si>
    <t>SBIN 515 CE</t>
  </si>
  <si>
    <t>MARUTI 8700 CE</t>
  </si>
  <si>
    <t>SIEMENS 2960 CE</t>
  </si>
  <si>
    <t>ALKEM</t>
  </si>
  <si>
    <t>ZELL</t>
  </si>
  <si>
    <t>ZEEL 250 CE</t>
  </si>
  <si>
    <t>M&amp;M 1300 CE</t>
  </si>
  <si>
    <t>PERFORMANCE OF EQUITY COMBO PACKAGE  SEPTEMBER- 2022</t>
  </si>
  <si>
    <t>PERFORMANCE OF EQUITY COMBO PACKAGE  SEPTEMBER - 2022</t>
  </si>
  <si>
    <t>PERFORMANCE OF EQUITY COMBO PACKAGE SEPTEMBER- 2022</t>
  </si>
  <si>
    <t>17450 PE</t>
  </si>
  <si>
    <t>39900 CE</t>
  </si>
  <si>
    <t>SBIN 540 CE</t>
  </si>
  <si>
    <t>IDUSINDBK 1100 PE</t>
  </si>
  <si>
    <t>40000 PE</t>
  </si>
  <si>
    <t>TRENT 1420 CE</t>
  </si>
  <si>
    <t>BHARTIARTL 760 CE</t>
  </si>
  <si>
    <t>40200 PE</t>
  </si>
  <si>
    <t>40600 CE</t>
  </si>
  <si>
    <t>BHJFINANCE 7300 PE</t>
  </si>
  <si>
    <t>40500 CE</t>
  </si>
  <si>
    <t>INFY 1540 CE</t>
  </si>
  <si>
    <t>DELTCORP</t>
  </si>
  <si>
    <t>40700 CE</t>
  </si>
  <si>
    <t>SBIN 560 PE</t>
  </si>
  <si>
    <t>ADANIPORTS 960 CE</t>
  </si>
  <si>
    <t>INDIACEM</t>
  </si>
  <si>
    <t>41500 PE</t>
  </si>
  <si>
    <t>AXISBANK 780 PE</t>
  </si>
  <si>
    <t>40900 PE</t>
  </si>
  <si>
    <t>ESORTS</t>
  </si>
  <si>
    <t>41100 CE</t>
  </si>
  <si>
    <t>HDFC 2440 CE</t>
  </si>
  <si>
    <t>SBIN 575 PE</t>
  </si>
  <si>
    <t>41500 CE</t>
  </si>
  <si>
    <t>GUGGASLTD</t>
  </si>
  <si>
    <t>APOLLOHOSP 4600 CE</t>
  </si>
  <si>
    <t>ADANIENT 3700 CE</t>
  </si>
  <si>
    <t>40800 PE</t>
  </si>
  <si>
    <t>BHARTFORG</t>
  </si>
  <si>
    <t>HINDUNILR</t>
  </si>
  <si>
    <t>HLTECH</t>
  </si>
  <si>
    <t>HCLTECH 900 CE</t>
  </si>
  <si>
    <t>RELIANCE 2380 PE</t>
  </si>
  <si>
    <t>CUB</t>
  </si>
  <si>
    <t>BAJAJFINSV</t>
  </si>
  <si>
    <t>HINDUNILVER 2700 PE</t>
  </si>
  <si>
    <t>PERFORMANCE OF EQUITY COMBO PACKAGE  OCTOBER- 2022</t>
  </si>
  <si>
    <t>PERFORMANCE OF EQUITY COMBO PACKAGE  OCTOBER - 2022</t>
  </si>
  <si>
    <t>PERFORMANCE OF EQUITY COMBO PACKAGE OCTOBER- 2022</t>
  </si>
  <si>
    <t>39300 CE</t>
  </si>
  <si>
    <t>39000 PE</t>
  </si>
  <si>
    <t>HAL 2360 CE</t>
  </si>
  <si>
    <t>PVR 1740 PE</t>
  </si>
  <si>
    <t>DIXON 4400 CE</t>
  </si>
  <si>
    <t>LT 1920 CE</t>
  </si>
  <si>
    <t>TATACHEM 1200 CE</t>
  </si>
  <si>
    <t>ADANIET 3300 CE</t>
  </si>
  <si>
    <t>ADAIENT 3200 PE</t>
  </si>
  <si>
    <t>SUNPHARMA 970 CE</t>
  </si>
  <si>
    <t>38900 PE</t>
  </si>
  <si>
    <t>SUNPHAMA</t>
  </si>
  <si>
    <t>COALIDIA</t>
  </si>
  <si>
    <t>KOTAKBAK</t>
  </si>
  <si>
    <t>DETACORP</t>
  </si>
  <si>
    <t>ADANIENT 3150 PE</t>
  </si>
  <si>
    <t>GNF</t>
  </si>
  <si>
    <t>40100 CE</t>
  </si>
  <si>
    <t>INDUSINDBK 1220 CE</t>
  </si>
  <si>
    <t>AXISBAK 930 CE</t>
  </si>
  <si>
    <t>SBIN 550 PE</t>
  </si>
  <si>
    <t>ULTRACEMCO 6400 CE</t>
  </si>
  <si>
    <t>BALRAM CHINI</t>
  </si>
  <si>
    <t>DEEPAKNTR 2300 CE</t>
  </si>
  <si>
    <t>PERFORMANCE OF EQUITY COMBO PACKAGE  NOVEMBER- 2022</t>
  </si>
  <si>
    <t>PERFORMANCE OF EQUITY COMBO PACKAGE  NOVEMBER - 2022</t>
  </si>
  <si>
    <t>PERFORMANCE OF EQUITY COMBO PACKAGE NOVEMBER- 2022</t>
  </si>
  <si>
    <t>41700 CE</t>
  </si>
  <si>
    <t>41600 PE</t>
  </si>
  <si>
    <t>41200 CE</t>
  </si>
  <si>
    <t>AMARAJABAT 520 CE</t>
  </si>
  <si>
    <t>VOTAS 900 PE</t>
  </si>
  <si>
    <t>PEL 860 CE</t>
  </si>
  <si>
    <t>JSWSTEEL 700 CE</t>
  </si>
  <si>
    <t>18350 PE</t>
  </si>
  <si>
    <t>42000 PE</t>
  </si>
  <si>
    <t>ADANIENT 4000 CE</t>
  </si>
  <si>
    <t>41800 PE</t>
  </si>
  <si>
    <t>SBIN 615 PE</t>
  </si>
  <si>
    <t>42200 PE</t>
  </si>
  <si>
    <t>BAJFINANCE 7100 PE</t>
  </si>
  <si>
    <t>GNFC 620 PE</t>
  </si>
  <si>
    <t>ICICIBANK 900 PE</t>
  </si>
  <si>
    <t>MGL 900 CE</t>
  </si>
  <si>
    <t>MARUTI 9300 CE</t>
  </si>
  <si>
    <t>GRASIM 1700 PE</t>
  </si>
  <si>
    <t>42300 PE</t>
  </si>
  <si>
    <t>42200 CE</t>
  </si>
  <si>
    <t>42100 CE</t>
  </si>
  <si>
    <t>42600 PE</t>
  </si>
  <si>
    <t>IGL 420 CE</t>
  </si>
  <si>
    <t>42400 PE</t>
  </si>
  <si>
    <t>42300 CE</t>
  </si>
  <si>
    <t>42500 CE</t>
  </si>
  <si>
    <t>42600 CE</t>
  </si>
  <si>
    <t>KOTAKBAK 1940 CE</t>
  </si>
  <si>
    <t>KOTAKBANK 1940 PE</t>
  </si>
  <si>
    <t>APOLLOHOSP 4700 CE</t>
  </si>
  <si>
    <t>IDUSINDBK</t>
  </si>
  <si>
    <t>43100 CE</t>
  </si>
  <si>
    <t>43300 PE</t>
  </si>
  <si>
    <t>BRITANNIA 4200 PE</t>
  </si>
  <si>
    <t>HDFBANK</t>
  </si>
  <si>
    <t>GODREJPCP</t>
  </si>
  <si>
    <t>WHIRLPOOL</t>
  </si>
  <si>
    <t>18750 PE</t>
  </si>
  <si>
    <t>42800 CE</t>
  </si>
  <si>
    <t>43000 CE</t>
  </si>
  <si>
    <t>43400 PE</t>
  </si>
  <si>
    <t>ULTRACEMO 7000 CE</t>
  </si>
  <si>
    <t>GODREJCP 880 CE</t>
  </si>
  <si>
    <t>CUMMINSIND 1380 CE</t>
  </si>
  <si>
    <t>PERFORMANCE OF EQUITY COMBO PACKAGE  DECEMBER- 2022</t>
  </si>
  <si>
    <t>PERFORMANCE OF EQUITY COMBO PACKAGE  DECEMBER - 2022</t>
  </si>
  <si>
    <t>PERFORMANCE OF EQUITY COMBO PACKAGE DECEMBER- 2022</t>
  </si>
  <si>
    <t>18700 CE</t>
  </si>
  <si>
    <t>43700 PE</t>
  </si>
  <si>
    <t>LTTS 4300 CE</t>
  </si>
  <si>
    <t>18850 PE</t>
  </si>
  <si>
    <t>43200 CE</t>
  </si>
  <si>
    <t>UBL 1760 CE</t>
  </si>
  <si>
    <t>HAL 2800 CE</t>
  </si>
  <si>
    <t>18550 CE</t>
  </si>
  <si>
    <t>BAKNBARODA</t>
  </si>
  <si>
    <t>DLF 410 PE</t>
  </si>
  <si>
    <t>IRCTC 710 CE</t>
  </si>
  <si>
    <t>43700 CE</t>
  </si>
  <si>
    <t>ADANIENT 4100 CE</t>
  </si>
  <si>
    <t>HDFCBANK 1660 CE</t>
  </si>
  <si>
    <t>43500 CE</t>
  </si>
  <si>
    <t>CANFINOME</t>
  </si>
  <si>
    <t>POLYCAB 3000 CE</t>
  </si>
  <si>
    <t>DRREDDY 4500 CE</t>
  </si>
  <si>
    <t>43900 CE</t>
  </si>
  <si>
    <t>IDFCFIRSTB</t>
  </si>
  <si>
    <t>44300 PE</t>
  </si>
  <si>
    <t>IDFCFIRSTB 63 CE</t>
  </si>
  <si>
    <t>ELCHERMOT 3300 CE</t>
  </si>
  <si>
    <t>43200 PE</t>
  </si>
  <si>
    <t>18350 CE</t>
  </si>
  <si>
    <t>CHAMBLFERT</t>
  </si>
  <si>
    <t>CHAMBLFERT 310 PE</t>
  </si>
  <si>
    <t>18550 PE</t>
  </si>
  <si>
    <t>43800 PE</t>
  </si>
  <si>
    <t>ADANIPORTS 880 CE</t>
  </si>
  <si>
    <t>HAL 2500 CE</t>
  </si>
  <si>
    <t>42700 PE</t>
  </si>
  <si>
    <t>42100 PE</t>
  </si>
  <si>
    <t>43300 CE</t>
  </si>
  <si>
    <t>42000 CE</t>
  </si>
  <si>
    <t>GODREJCP 900 CE</t>
  </si>
  <si>
    <t>GNFC 540 CE</t>
  </si>
  <si>
    <t>42500 PE</t>
  </si>
  <si>
    <t>TITAN 2600 CE</t>
  </si>
  <si>
    <t>PERFORMANCE OF EQUITY COMBO PACKAGE  JANUARY- 2023</t>
  </si>
  <si>
    <t>PERFORMANCE OF EQUITY COMBO PACKAGE  JANUARY - 2023</t>
  </si>
  <si>
    <t>PERFORMANCE OF EQUITY COMBO PACKAGE JANUARY- 2023</t>
  </si>
  <si>
    <t>FEDRALBANK</t>
  </si>
  <si>
    <t>43400 CE</t>
  </si>
  <si>
    <t>AXISBANK 950 CE</t>
  </si>
  <si>
    <t>MCX 1480 CE</t>
  </si>
  <si>
    <t>HDFCLIFE 610 CE</t>
  </si>
  <si>
    <t>BALKRISIND 2160 CE</t>
  </si>
  <si>
    <t>GNFC 580 CE</t>
  </si>
  <si>
    <t>43000 PE</t>
  </si>
  <si>
    <t xml:space="preserve">MCX </t>
  </si>
  <si>
    <t>LAURAUSLAB</t>
  </si>
  <si>
    <t>LT 2100 CE</t>
  </si>
  <si>
    <t>LAURUSLABS 380 PE</t>
  </si>
  <si>
    <t>INDIGO 2060 CE</t>
  </si>
  <si>
    <t>BAJFIANCE 5900 PE</t>
  </si>
  <si>
    <t>AXISBANK 930 PE</t>
  </si>
  <si>
    <t>JKCEMENT</t>
  </si>
  <si>
    <t>ADAIENT 3700 PE</t>
  </si>
  <si>
    <t>ABFRL 256 PE</t>
  </si>
  <si>
    <t>APOLLOHOSP 4300 PE</t>
  </si>
  <si>
    <t>RELIANCE 2500 PE</t>
  </si>
  <si>
    <t>INDIGO 2140 CE</t>
  </si>
  <si>
    <t>ADAIENT</t>
  </si>
  <si>
    <t>42700 CE</t>
  </si>
  <si>
    <t>TRENT 1200 CE</t>
  </si>
  <si>
    <t>AXISBANK 900 PE</t>
  </si>
  <si>
    <t>40700 PE</t>
  </si>
  <si>
    <t>SBIN 555 PE</t>
  </si>
  <si>
    <t>TECHM 1040 CE</t>
  </si>
  <si>
    <t>ICICIBANK 820 PE</t>
  </si>
  <si>
    <t>PERFORMANCE OF EQUITY COMBO PACKAGE  FEBRUARY- 2023</t>
  </si>
  <si>
    <t>PERFORMANCE OF EQUITY COMBO PACKAGE  FEBRUARY - 2023</t>
  </si>
  <si>
    <t>PERFORMANCE OF EQUITY COMBO PACKAGE FEBRUARY- 2023</t>
  </si>
  <si>
    <t>HAL 2600 CE</t>
  </si>
  <si>
    <t>JINDALSTEEL 580 PE</t>
  </si>
  <si>
    <t>40600 PE</t>
  </si>
  <si>
    <t>41200 PE</t>
  </si>
  <si>
    <t>AUROPHARMA 400 PE</t>
  </si>
  <si>
    <t>TITAN 2460 CE</t>
  </si>
  <si>
    <t>41400 CE</t>
  </si>
  <si>
    <t>TATASTEEL 115 PE</t>
  </si>
  <si>
    <t>AXISBANK 880 PE</t>
  </si>
  <si>
    <t xml:space="preserve">SBILIFE      </t>
  </si>
  <si>
    <t>41700 PE</t>
  </si>
  <si>
    <t>SBILIFE 1180 CE</t>
  </si>
  <si>
    <t>41400 PE</t>
  </si>
  <si>
    <t>GODREJPROP 1220 CE</t>
  </si>
  <si>
    <t>HINDUNILR 2600 PE</t>
  </si>
  <si>
    <t>RELIACE 2400 CE</t>
  </si>
  <si>
    <t>IRTC 650 CE</t>
  </si>
  <si>
    <t>41000 PE</t>
  </si>
  <si>
    <t>HCLTEH 1130 CE</t>
  </si>
  <si>
    <t>HAL 2620 CE</t>
  </si>
  <si>
    <t>APOLLOHOSP 4500 CE</t>
  </si>
  <si>
    <t xml:space="preserve">IGL </t>
  </si>
  <si>
    <t>40100 PE</t>
  </si>
  <si>
    <t>AXISBANK 840 CE</t>
  </si>
  <si>
    <t>ADANIENT 1300 PE</t>
  </si>
  <si>
    <t xml:space="preserve">INDUSINDBK </t>
  </si>
  <si>
    <t>DIXON 2800 CE</t>
  </si>
  <si>
    <t>LUPIN 660 PE</t>
  </si>
  <si>
    <t>PERFORMANCE OF EQUITY COMBO PACKAGE  MARCH- 2023</t>
  </si>
  <si>
    <t>PERFORMANCE OF EQUITY COMBO PACKAGE  MARCH - 2023</t>
  </si>
  <si>
    <t>PERFORMANCE OF EQUITY COMBO PACKAGE MARCH- 2023</t>
  </si>
  <si>
    <t>40300 CE</t>
  </si>
  <si>
    <t>SBIN 535 CE</t>
  </si>
  <si>
    <t>AXISBANK 850 PE</t>
  </si>
  <si>
    <t>M&amp;MFIN 250 PE</t>
  </si>
  <si>
    <t>HDFCBAK</t>
  </si>
  <si>
    <t>TATAPOWER 210 CE</t>
  </si>
  <si>
    <t>AUBANK 620 CE</t>
  </si>
  <si>
    <t>ICICIBAK 870 PE</t>
  </si>
  <si>
    <t>SHRIRAMFIN</t>
  </si>
  <si>
    <t>CROMPTON</t>
  </si>
  <si>
    <t>40400 PE</t>
  </si>
  <si>
    <t>LT 2160 CE</t>
  </si>
  <si>
    <t>PIDILITID</t>
  </si>
  <si>
    <t>39900  PE</t>
  </si>
  <si>
    <t>AXISBANK 840 PE</t>
  </si>
  <si>
    <t>39200 PE</t>
  </si>
  <si>
    <t>ICICIBANK 810 PE</t>
  </si>
  <si>
    <t>DIXON 2900 CE</t>
  </si>
  <si>
    <t>39100 PE</t>
  </si>
  <si>
    <t>AXISBANK 830 PE</t>
  </si>
  <si>
    <t>SBIN 520 PE</t>
  </si>
  <si>
    <t>APOLLOHOSP 4250 PE</t>
  </si>
  <si>
    <t>IGL 440 CE</t>
  </si>
  <si>
    <t>39600 PE</t>
  </si>
  <si>
    <t>39800 CE</t>
  </si>
  <si>
    <t>BANDHANBK 210 PE</t>
  </si>
  <si>
    <t>39700 PE</t>
  </si>
  <si>
    <t>SUNPARMA</t>
  </si>
  <si>
    <t>PERFORMANCE OF EQUITY COMBO PACKAGE  APRIL- 2023</t>
  </si>
  <si>
    <t>PERFORMANCE OF EQUITY COMBO PACKAGE  APRIL - 2023</t>
  </si>
  <si>
    <t>PERFORMANCE OF EQUITY COMBO PACKAGE APRIL- 2023</t>
  </si>
  <si>
    <t>EROMOTOCO</t>
  </si>
  <si>
    <t>TATACONSUM 710 CE</t>
  </si>
  <si>
    <t>ICICIBANK 880 PE</t>
  </si>
  <si>
    <t>41100 PE</t>
  </si>
  <si>
    <t>BALRAMCHIN</t>
  </si>
  <si>
    <t>ICICIBAK</t>
  </si>
  <si>
    <t>COFORGE 4000 PE</t>
  </si>
  <si>
    <t>IRCTC 580 CE</t>
  </si>
  <si>
    <t>INDIGO 1900 PE</t>
  </si>
  <si>
    <t>GODREJPROP 1240 CE</t>
  </si>
  <si>
    <t>DRREDDY  4900 CE</t>
  </si>
  <si>
    <t>ICICIBANK 890 CE</t>
  </si>
  <si>
    <t>ASIANPAINT 2820 PE</t>
  </si>
  <si>
    <t>BALKRISIND 2100 CE</t>
  </si>
  <si>
    <t>AUBANK 690 CE</t>
  </si>
  <si>
    <t>SIEMENS 3300 PE</t>
  </si>
  <si>
    <t>AUBANK 680 PE</t>
  </si>
  <si>
    <t>PETROENT 235 CE</t>
  </si>
  <si>
    <t xml:space="preserve">APOLLOHOSP </t>
  </si>
  <si>
    <t>CUMMISIND</t>
  </si>
  <si>
    <t>BAJFINANCE 6000 CE</t>
  </si>
  <si>
    <t>42800 PE</t>
  </si>
  <si>
    <t>HINDUNILVER 2500 CE</t>
  </si>
  <si>
    <t>APOLLOHOSP 4400 PE</t>
  </si>
  <si>
    <t>AARTIIND 570 CE</t>
  </si>
  <si>
    <t>PERFORMANCE OF EQUITY COMBO PACKAGE  MAY- 2023</t>
  </si>
  <si>
    <t>PERFORMANCE OF EQUITY COMBO PACKAGE  MAY - 2023</t>
  </si>
  <si>
    <t>PERFORMANCE OF EQUITY COMBO PACKAGE MAY- 2023</t>
  </si>
  <si>
    <t>TCS 3240 CE</t>
  </si>
  <si>
    <t>HAL 3000 CE</t>
  </si>
  <si>
    <t>ICICIBANK 920 PE</t>
  </si>
  <si>
    <t>EXIDEIND 190 PE</t>
  </si>
  <si>
    <t>ICICIBANK 940 PE</t>
  </si>
  <si>
    <t>HDFLIFE 550 CE</t>
  </si>
  <si>
    <t>SIEMENS 3750 CE</t>
  </si>
  <si>
    <t>AXISBANK 890 CE</t>
  </si>
  <si>
    <t>AXISBANK 900 CE</t>
  </si>
  <si>
    <t>JK CEMENT</t>
  </si>
  <si>
    <t>43800 CE</t>
  </si>
  <si>
    <t>44100 PE</t>
  </si>
  <si>
    <t>44200 PE</t>
  </si>
  <si>
    <t>43600 PE</t>
  </si>
  <si>
    <t>AXISBANK 910 CE</t>
  </si>
  <si>
    <t>HAL  3140 CE</t>
  </si>
  <si>
    <t>AXISBANK 920 PE</t>
  </si>
  <si>
    <t>IDUSINDBK 1240 PE</t>
  </si>
  <si>
    <t>DIVISLAB 3400 CE</t>
  </si>
  <si>
    <t>DIXON 3350 CE</t>
  </si>
  <si>
    <t>SBIN 580 CE</t>
  </si>
  <si>
    <t>44000 PE</t>
  </si>
  <si>
    <t>43600 CE</t>
  </si>
  <si>
    <t>43900 PE</t>
  </si>
  <si>
    <t>PVRINOX</t>
  </si>
  <si>
    <t>INDHOTEL 380 PE</t>
  </si>
  <si>
    <t>CHOLAFIN 1050 PE</t>
  </si>
  <si>
    <t>44200 CE</t>
  </si>
  <si>
    <t>44500 PE</t>
  </si>
  <si>
    <t>44400 PE</t>
  </si>
  <si>
    <t>GUJGAS 510 CE</t>
  </si>
  <si>
    <t>PERFORMANCE OF EQUITY COMBO PACKAGE  JUNE- 2023</t>
  </si>
  <si>
    <t>PERFORMANCE OF EQUITY COMBO PACKAGE  JUNE - 2023</t>
  </si>
  <si>
    <t>PERFORMANCE OF EQUITY COMBO PACKAGE JUNE- 2023</t>
  </si>
  <si>
    <t>DIXON 4000 CE</t>
  </si>
  <si>
    <t>ESCORTS 2220 CE</t>
  </si>
  <si>
    <t>44100 CE</t>
  </si>
  <si>
    <t>MARUTI 9600 CE</t>
  </si>
  <si>
    <t>SBIN 590 PE</t>
  </si>
  <si>
    <t>ULTRACEMCO 8050 CE</t>
  </si>
  <si>
    <t>44000 CE</t>
  </si>
  <si>
    <t>LT 2300 CE</t>
  </si>
  <si>
    <t>TATAPOWER 225 CE</t>
  </si>
  <si>
    <t>HAL 3500 CE</t>
  </si>
  <si>
    <t>GUGASLTD</t>
  </si>
  <si>
    <t>18650 PE</t>
  </si>
  <si>
    <t>INDUSINDBK 1330 CE</t>
  </si>
  <si>
    <t>HAL 3800 CE</t>
  </si>
  <si>
    <t>TATAMOTORS 570 CE</t>
  </si>
  <si>
    <t>PVRINOX 1500 CE</t>
  </si>
  <si>
    <t>HAL 3850 CE</t>
  </si>
  <si>
    <t>GODREJCP 1050 PE</t>
  </si>
  <si>
    <t>MANNAPPURAM</t>
  </si>
  <si>
    <t>18950 PE</t>
  </si>
  <si>
    <t>18750 CE</t>
  </si>
  <si>
    <t>18650 CE</t>
  </si>
  <si>
    <t>HAL 3950 CE</t>
  </si>
  <si>
    <t>BALKRISIND 2400 CE</t>
  </si>
  <si>
    <t>MFSL 730 CE</t>
  </si>
  <si>
    <t>COROMADEL 960 CE</t>
  </si>
  <si>
    <t>ICICIBANK 930 PE</t>
  </si>
  <si>
    <t>DELTACRORP</t>
  </si>
  <si>
    <t>AXISBANK 960 PE</t>
  </si>
  <si>
    <t>HAL 3750 PUT</t>
  </si>
  <si>
    <t>44400 CE</t>
  </si>
  <si>
    <t>ULTRACEMO</t>
  </si>
  <si>
    <t>PERFORMANCE OF EQUITY COMBO PACKAGE  JULY- 2023</t>
  </si>
  <si>
    <t>PERFORMANCE OF EQUITY COMBO PACKAGE  JULY - 2023</t>
  </si>
  <si>
    <t>PERFORMANCE OF EQUITY COMBO PACKAGE JULY- 2023</t>
  </si>
  <si>
    <t>45200 CE</t>
  </si>
  <si>
    <t>BAJFINANCE 7300 CE</t>
  </si>
  <si>
    <t>45000 CE</t>
  </si>
  <si>
    <t>AXISBANK 980 PE</t>
  </si>
  <si>
    <t>19250 CE</t>
  </si>
  <si>
    <t>45400 PE</t>
  </si>
  <si>
    <t>PIDILITIND 2600 CE</t>
  </si>
  <si>
    <t>UBL 1540 CE</t>
  </si>
  <si>
    <t>44900 CE</t>
  </si>
  <si>
    <t>19300 CE</t>
  </si>
  <si>
    <t>19400 CE</t>
  </si>
  <si>
    <t>45100 PE</t>
  </si>
  <si>
    <t>45000 PE</t>
  </si>
  <si>
    <t>TITAN 3200 CE</t>
  </si>
  <si>
    <t>19450 PE</t>
  </si>
  <si>
    <t>19350 CE</t>
  </si>
  <si>
    <t>19550 PE</t>
  </si>
  <si>
    <t>44800 CE</t>
  </si>
  <si>
    <t>44600 CE</t>
  </si>
  <si>
    <t>BAJFINANCE 7500 PE</t>
  </si>
  <si>
    <t>SIEMENS 3850 CE</t>
  </si>
  <si>
    <t>PEL 980 CE</t>
  </si>
  <si>
    <t>19500 CE</t>
  </si>
  <si>
    <t>44700 CE</t>
  </si>
  <si>
    <t>MPHASIS 2160 CE</t>
  </si>
  <si>
    <t>TVSMOTORS 1360 CE</t>
  </si>
  <si>
    <t>45600 CE</t>
  </si>
  <si>
    <t>45500 PE</t>
  </si>
  <si>
    <t>19650 CE</t>
  </si>
  <si>
    <t>45400 CE</t>
  </si>
  <si>
    <t>LTTS 4050 CE</t>
  </si>
  <si>
    <t>DRREDDY 5300 CE</t>
  </si>
  <si>
    <t>19850 PE</t>
  </si>
  <si>
    <t>46100 PE</t>
  </si>
  <si>
    <t>MCDOWELLN 990 CE</t>
  </si>
  <si>
    <t>19750 PE</t>
  </si>
  <si>
    <t>DIXON 4100 PE</t>
  </si>
  <si>
    <t>ULTRACEMO 8300 CE</t>
  </si>
  <si>
    <t>RELIANCE 2540 CE</t>
  </si>
  <si>
    <t>SBIN 620 CE</t>
  </si>
  <si>
    <t>46400 PE</t>
  </si>
  <si>
    <t>46200 PE</t>
  </si>
  <si>
    <t>LAURASLABS</t>
  </si>
  <si>
    <t>DRREDDY 5600 CE</t>
  </si>
  <si>
    <t>DIXON 4100 CE</t>
  </si>
  <si>
    <t>PERFORMANCE OF EQUITY COMBO PACKAGE  AUGUST- 2023</t>
  </si>
  <si>
    <t>PERFORMANCE OF EQUITY COMBO PACKAGE  AUGUST - 2023</t>
  </si>
  <si>
    <t>PERFORMANCE OF EQUITY COMBO PACKAGE AUGUST- 2023</t>
  </si>
  <si>
    <t>LTIM</t>
  </si>
  <si>
    <t>AUROPHAMA</t>
  </si>
  <si>
    <t>TORTPHARMA</t>
  </si>
  <si>
    <t>ZYDUSLIFE</t>
  </si>
  <si>
    <t>19450 CE</t>
  </si>
  <si>
    <t>19350 PE</t>
  </si>
  <si>
    <t>DRREDDY 5700 CE</t>
  </si>
  <si>
    <t>LTIM 4900 PE</t>
  </si>
  <si>
    <t>DIXON 4700 CE</t>
  </si>
  <si>
    <t>CIPLA 1250 CE</t>
  </si>
  <si>
    <t>DRREDDY 5800 CE</t>
  </si>
  <si>
    <t>DRREDDY 5900 CE</t>
  </si>
  <si>
    <t>AUROPHAMA 880 CE</t>
  </si>
  <si>
    <t>LTIM 5200 CE</t>
  </si>
  <si>
    <t>ESCORTS 2700 CE</t>
  </si>
  <si>
    <t>ESCORTS 2800 CE</t>
  </si>
  <si>
    <t>45900 PE</t>
  </si>
  <si>
    <t>45600 PE</t>
  </si>
  <si>
    <t>44600 PE</t>
  </si>
  <si>
    <t>COFORGE 5000 CE</t>
  </si>
  <si>
    <t>MARUTI 9500 CE</t>
  </si>
  <si>
    <t>HAL 3900 CE</t>
  </si>
  <si>
    <t>DIXON 5000 PE</t>
  </si>
  <si>
    <t>ODREJPROP</t>
  </si>
  <si>
    <t>DIXON 4950 CE</t>
  </si>
  <si>
    <t>44300 CE</t>
  </si>
  <si>
    <t>GNFC 590 CE</t>
  </si>
  <si>
    <t>AXISBANK 990 CE</t>
  </si>
  <si>
    <t>HCLTECH 1180 CE</t>
  </si>
  <si>
    <t>PERFORMANCE OF EQUITY COMBO PACKAGE  SEPTEMBER- 2023</t>
  </si>
  <si>
    <t>PERFORMANCE OF EQUITY COMBO PACKAGE  SEPTEMBER - 2023</t>
  </si>
  <si>
    <t>PERFORMANCE OF EQUITY COMBO PACKAGE SEPTEMBER- 2023</t>
  </si>
  <si>
    <t>HAL 4000 CE</t>
  </si>
  <si>
    <t>ASIAPAINT</t>
  </si>
  <si>
    <t>DIXON 5200 CE</t>
  </si>
  <si>
    <t>PVRIOX 1840 CE</t>
  </si>
  <si>
    <t>44700 PE</t>
  </si>
  <si>
    <t>HAL 4050 CE</t>
  </si>
  <si>
    <t>BEL 145 CE</t>
  </si>
  <si>
    <t>45100 CE</t>
  </si>
  <si>
    <t>APOLLOHOSP 5100 CE</t>
  </si>
  <si>
    <t>COFORGE 5600 CE</t>
  </si>
  <si>
    <t>DIXON 5100 CE</t>
  </si>
  <si>
    <t>INFY 1510 CE</t>
  </si>
  <si>
    <t>45700 PE</t>
  </si>
  <si>
    <t>46000 PE</t>
  </si>
  <si>
    <t>19850 CE</t>
  </si>
  <si>
    <t>20050 PE</t>
  </si>
  <si>
    <t>BARTIARTL</t>
  </si>
  <si>
    <t>46000 CE</t>
  </si>
  <si>
    <t>METROPOLIS 1520 CE</t>
  </si>
  <si>
    <t>DIXON 5100 PE</t>
  </si>
  <si>
    <t>MUTHOOTFI</t>
  </si>
  <si>
    <t>45900 CE</t>
  </si>
  <si>
    <t>45800 PE</t>
  </si>
  <si>
    <t>45200 PE</t>
  </si>
  <si>
    <t>HAL 4000 PE</t>
  </si>
  <si>
    <t>HDFCBANK 1560 CE</t>
  </si>
  <si>
    <t>44800 PE</t>
  </si>
  <si>
    <t>HAL 3900 PE</t>
  </si>
  <si>
    <t>FEBRALBNK</t>
  </si>
  <si>
    <t>19650 PE</t>
  </si>
  <si>
    <t>19550 CE</t>
  </si>
  <si>
    <t>44900 PE</t>
  </si>
  <si>
    <t>44500 CE</t>
  </si>
  <si>
    <t>DRREDDY 5500 CE</t>
  </si>
  <si>
    <t>HDFCBANK 1530 CE</t>
  </si>
  <si>
    <t>PERFORMANCE OF EQUITY COMBO PACKAGE  OCTOBER- 2023</t>
  </si>
  <si>
    <t>PERFORMANCE OF EQUITY COMBO PACKAGE  OCTOBER - 2023</t>
  </si>
  <si>
    <t>PERFORMANCE OF EQUITY COMBO PACKAGE OCTOBER- 2023</t>
  </si>
  <si>
    <t>BANKNIFTY OPTION QTY PER 8 LOT</t>
  </si>
  <si>
    <t>BANKNIFY</t>
  </si>
  <si>
    <t>SBIN 595 PE</t>
  </si>
  <si>
    <t>DIXON 5200 PE</t>
  </si>
  <si>
    <t>ADANIENT 2550 CE</t>
  </si>
  <si>
    <t>TCS 3640 CE</t>
  </si>
  <si>
    <t>INDIGO 2560 CE</t>
  </si>
  <si>
    <t>DIXON 5300 CE</t>
  </si>
  <si>
    <t>19750 CE</t>
  </si>
  <si>
    <t>ASTRAL 1880 CE</t>
  </si>
  <si>
    <t>19050 PE</t>
  </si>
  <si>
    <t>18950 CE</t>
  </si>
  <si>
    <t>MCX 2400 CE</t>
  </si>
  <si>
    <t>DIXON 5450 PE</t>
  </si>
  <si>
    <t>LAUSLABS</t>
  </si>
  <si>
    <t>PERFORMANCE OF EQUITY COMBO PACKAGE  NOVEMBER- 2023</t>
  </si>
  <si>
    <t>PERFORMANCE OF EQUITY COMBO PACKAGE  NOVEMBER - 2023</t>
  </si>
  <si>
    <t>PERFORMANCE OF EQUITY COMBO PACKAGE NOVEMBER- 2023</t>
  </si>
  <si>
    <t xml:space="preserve">DIXON </t>
  </si>
  <si>
    <t>19250 PE</t>
  </si>
  <si>
    <t>LTTS 4200 CE</t>
  </si>
  <si>
    <t>DIXON 5300 PE</t>
  </si>
  <si>
    <t>DIXON 5350 CE</t>
  </si>
  <si>
    <t>BAJFINANCE 7650 CE</t>
  </si>
  <si>
    <t>INDIGO 2580 CE</t>
  </si>
  <si>
    <t>GODREJPROP 1800 CE</t>
  </si>
  <si>
    <t>DIXON 5250 PE</t>
  </si>
  <si>
    <t>19950 PE</t>
  </si>
  <si>
    <t>TATACOMM 1720 CE</t>
  </si>
  <si>
    <t>DIXON 5400 PE</t>
  </si>
  <si>
    <t>UBL 1620 CE</t>
  </si>
  <si>
    <t>19900 CE</t>
  </si>
  <si>
    <t>20250 PE</t>
  </si>
  <si>
    <t>BHARATFORG 1120 CE</t>
  </si>
  <si>
    <t>INDIGO 2680 CE</t>
  </si>
  <si>
    <t>PERFORMANCE OF EQUITY COMBO PACKAGE  DECEMBER- 2023</t>
  </si>
  <si>
    <t>PERFORMANCE OF EQUITY COMBO PACKAGE  DECEMBER - 2023</t>
  </si>
  <si>
    <t>PERFORMANCE OF EQUITY COMBO PACKAGE DECEMBER- 2023</t>
  </si>
  <si>
    <t>20300 CE</t>
  </si>
  <si>
    <t>45500 CE</t>
  </si>
  <si>
    <t>46700 CE</t>
  </si>
  <si>
    <t>DELTACORP 150 CE</t>
  </si>
  <si>
    <t>DIXON 5950 PE</t>
  </si>
  <si>
    <t>DIXON 6000 PE</t>
  </si>
  <si>
    <t>20750 CE</t>
  </si>
  <si>
    <t>47100 PE</t>
  </si>
  <si>
    <t>INDIGO 2900 CE</t>
  </si>
  <si>
    <t>LT 3400 CE</t>
  </si>
  <si>
    <t>47000 CE</t>
  </si>
  <si>
    <t>20950 CE</t>
  </si>
  <si>
    <t>47300 CE</t>
  </si>
  <si>
    <t>47400 PE</t>
  </si>
  <si>
    <t>DIXON 6050 CE</t>
  </si>
  <si>
    <t>DIVISLAB 3700 CE</t>
  </si>
  <si>
    <t>21350 PE</t>
  </si>
  <si>
    <t>47300 PE</t>
  </si>
  <si>
    <t>48100 CE</t>
  </si>
  <si>
    <t>47900 PE</t>
  </si>
  <si>
    <t>AXISBANK 1120 PE</t>
  </si>
  <si>
    <t>BAJAJFINANCE 7500 CE</t>
  </si>
  <si>
    <t>48000 PE</t>
  </si>
  <si>
    <t>ICICIBANK 1020 PE</t>
  </si>
  <si>
    <t>HINDUILVR</t>
  </si>
  <si>
    <t>21450 PE</t>
  </si>
  <si>
    <t>21450 CE</t>
  </si>
  <si>
    <t>21050 CE</t>
  </si>
  <si>
    <t>47700 CE</t>
  </si>
  <si>
    <t>46800 PE</t>
  </si>
  <si>
    <t>47800 CE</t>
  </si>
  <si>
    <t>48200 CE</t>
  </si>
  <si>
    <t>BAJAJFINANCE 7600 CE</t>
  </si>
  <si>
    <t>DIXON 6400 CE</t>
  </si>
  <si>
    <t>DIXON 6300 CE</t>
  </si>
  <si>
    <t>ASIANPAINT 3300 PE</t>
  </si>
  <si>
    <t>47600 PE</t>
  </si>
  <si>
    <t>HAL 2700 CE</t>
  </si>
  <si>
    <t>ICICIBANK 1000 CE</t>
  </si>
  <si>
    <t>HDFCBANK 1700 CE</t>
  </si>
  <si>
    <t>21650 CE</t>
  </si>
  <si>
    <t>21750 PE</t>
  </si>
  <si>
    <t>48300 PE</t>
  </si>
  <si>
    <t>TITAN 3700 PE</t>
  </si>
  <si>
    <t>48200 PE</t>
  </si>
  <si>
    <t>INDIGO 3040 CE</t>
  </si>
  <si>
    <t>DIXON 6400 PE</t>
  </si>
  <si>
    <t>21700 PE</t>
  </si>
  <si>
    <t>INDIGO 2960 CE</t>
  </si>
  <si>
    <t>48000 CE</t>
  </si>
  <si>
    <t>HDFCAMC 3300 CE</t>
  </si>
  <si>
    <t>48300 CE</t>
  </si>
  <si>
    <t>ICICBANK 1000 CE</t>
  </si>
  <si>
    <t>47800 PE</t>
  </si>
  <si>
    <t>47600 CE</t>
  </si>
  <si>
    <t>TCS 3740 CE</t>
  </si>
  <si>
    <t>21800 PE</t>
  </si>
  <si>
    <t>47500 PE</t>
  </si>
  <si>
    <t>DIXON 6500 CE</t>
  </si>
  <si>
    <t>22050 CE</t>
  </si>
  <si>
    <t>22100 PE</t>
  </si>
  <si>
    <t>48400 PE</t>
  </si>
  <si>
    <t>47200 PE</t>
  </si>
  <si>
    <t>HAL 3000 PE</t>
  </si>
  <si>
    <t>DIXON 6350 CE</t>
  </si>
  <si>
    <t>ICICBANK 990 CE</t>
  </si>
  <si>
    <t>46500 CE</t>
  </si>
  <si>
    <t>AXISBANK 1120 CE</t>
  </si>
  <si>
    <t>46200 CE</t>
  </si>
  <si>
    <t>DIXON 6100 PE</t>
  </si>
  <si>
    <t>46300 PE</t>
  </si>
  <si>
    <t>SBIN 610 CE</t>
  </si>
  <si>
    <t>SBIN 610 PE</t>
  </si>
  <si>
    <t>21750 CE</t>
  </si>
  <si>
    <t>45700 CE</t>
  </si>
  <si>
    <t>45300 PE</t>
  </si>
  <si>
    <t>DIXON 6000 CE</t>
  </si>
  <si>
    <t>BAJFINANCE 6900 CE</t>
  </si>
  <si>
    <t>PERFORMANCE OF EQUITY COMBO PACKAGE  JANUARY -2024</t>
  </si>
  <si>
    <t>PERFORMANCE OF EQUITY COMBO PACKAGE JANUARY -2024</t>
  </si>
  <si>
    <t>PERFORMANCE OF EQUITY COMBO PACKAGE  FEBRUARY -2024</t>
  </si>
  <si>
    <t>PERFORMANCE OF EQUITY COMBO PACKAGE FEBRUARY -2024</t>
  </si>
  <si>
    <t>AARIIND</t>
  </si>
  <si>
    <t>21850 CE</t>
  </si>
  <si>
    <t>46800 CE</t>
  </si>
  <si>
    <t>TCS 3900 CE</t>
  </si>
  <si>
    <t>HAL 3040 CE</t>
  </si>
  <si>
    <t>M&amp;M 1740 CE</t>
  </si>
  <si>
    <t>21950 CE</t>
  </si>
  <si>
    <t>46300 CE</t>
  </si>
  <si>
    <t>MFSL 960 CE</t>
  </si>
  <si>
    <t>TRENT 3800 CE</t>
  </si>
  <si>
    <t>21550 CE</t>
  </si>
  <si>
    <t>45300 CE</t>
  </si>
  <si>
    <t>HAL 2900 PE</t>
  </si>
  <si>
    <t>HAL 2850 CE</t>
  </si>
  <si>
    <t>COALINDIA 470 CE</t>
  </si>
  <si>
    <t>21950 PE</t>
  </si>
  <si>
    <t xml:space="preserve">HAL </t>
  </si>
  <si>
    <t>46600 CE</t>
  </si>
  <si>
    <t>HAL 3050 CE</t>
  </si>
  <si>
    <t>22150 CE</t>
  </si>
  <si>
    <t>22050 PE</t>
  </si>
  <si>
    <t>22350 CE</t>
  </si>
  <si>
    <t>46500 PE</t>
  </si>
  <si>
    <t>47100 CE</t>
  </si>
  <si>
    <t>47400 CE</t>
  </si>
  <si>
    <t>MCX 3700 CE</t>
  </si>
  <si>
    <t>DIXON 6800 CE</t>
  </si>
  <si>
    <t>AMBUJACEM 590 CE</t>
  </si>
  <si>
    <t>BHARTIARTLE 1150 CE</t>
  </si>
  <si>
    <t>DIXON 6600 CE</t>
  </si>
  <si>
    <t>PERFORMANCE OF EQUITY COMBO PACKAGE  MARCH -2024</t>
  </si>
  <si>
    <t>PERFORMANCE OF EQUITY COMBO PACKAGE MARCH -2024</t>
  </si>
  <si>
    <t>22250 CE</t>
  </si>
  <si>
    <t>HAL 3200 CE</t>
  </si>
  <si>
    <t>46900 CE</t>
  </si>
  <si>
    <t>47500 CE</t>
  </si>
  <si>
    <t>22450 CE</t>
  </si>
  <si>
    <t>ANBUJACEM</t>
  </si>
  <si>
    <t>TATACHEM 1070 CE</t>
  </si>
  <si>
    <t>22350 PE</t>
  </si>
  <si>
    <t>HAL 3160 PE</t>
  </si>
  <si>
    <t>HAL 3300 CE</t>
  </si>
  <si>
    <t>22450 PE</t>
  </si>
  <si>
    <t>47200 CE</t>
  </si>
  <si>
    <t>HAL 3400 PE</t>
  </si>
  <si>
    <t>HAL 3380 PE</t>
  </si>
  <si>
    <t>HAL 3120 CE</t>
  </si>
  <si>
    <t>LT 3540 CE</t>
  </si>
  <si>
    <t>HAL 3120 PE</t>
  </si>
  <si>
    <t>21850 PE</t>
  </si>
  <si>
    <t>HAL 3100 CE</t>
  </si>
  <si>
    <t>DIXON 7000 PE</t>
  </si>
  <si>
    <t>TCS 3800 CE</t>
  </si>
  <si>
    <t>SRF 2600 CE</t>
  </si>
  <si>
    <t>ABB 6300 CE</t>
  </si>
  <si>
    <t>DIXON 7600 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</si>
</sst>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"/>
    <numFmt numFmtId="166" formatCode="[$-F800]dddd\,\ mmmm\ dd\,\ yyyy"/>
    <numFmt numFmtId="167" formatCode="0_ ;[Red]\-0\ "/>
    <numFmt numFmtId="168" formatCode="0.0_ ;[Red]\-0.0\ "/>
    <numFmt numFmtId="169" formatCode="0.0;[Red]0.0"/>
  </numFmts>
  <fonts count="45" x14ac:knownFonts="1">
    <font>
      <sz val="11"/>
      <color theme="1"/>
      <name val="Calibri"/>
      <family val="2"/>
      <scheme val="minor"/>
    </font>
    <font>
      <b/>
      <sz val="20"/>
      <color indexed="9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8"/>
      <color indexed="9"/>
      <name val="Arial"/>
      <family val="2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0"/>
      <name val="Calibri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rgb="FFFF000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u/>
      <sz val="20"/>
      <color theme="0"/>
      <name val="Calibri"/>
      <family val="2"/>
    </font>
    <font>
      <b/>
      <sz val="28"/>
      <color rgb="FFFFC000"/>
      <name val="Calibri"/>
      <family val="2"/>
    </font>
    <font>
      <b/>
      <sz val="26"/>
      <color rgb="FFFFC000"/>
      <name val="Calibri"/>
      <family val="2"/>
      <scheme val="minor"/>
    </font>
    <font>
      <b/>
      <sz val="28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6" fillId="0" borderId="0"/>
    <xf numFmtId="0" fontId="12" fillId="0" borderId="0"/>
    <xf numFmtId="16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</cellStyleXfs>
  <cellXfs count="430">
    <xf numFmtId="0" fontId="0" fillId="0" borderId="0" xfId="0"/>
    <xf numFmtId="14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left"/>
    </xf>
    <xf numFmtId="0" fontId="0" fillId="4" borderId="1" xfId="0" applyFill="1" applyBorder="1"/>
    <xf numFmtId="49" fontId="3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2" fontId="0" fillId="0" borderId="1" xfId="0" applyNumberFormat="1" applyBorder="1"/>
    <xf numFmtId="0" fontId="0" fillId="5" borderId="1" xfId="0" applyFill="1" applyBorder="1"/>
    <xf numFmtId="0" fontId="0" fillId="4" borderId="3" xfId="0" applyFill="1" applyBorder="1"/>
    <xf numFmtId="1" fontId="5" fillId="5" borderId="2" xfId="0" applyNumberFormat="1" applyFont="1" applyFill="1" applyBorder="1" applyAlignment="1">
      <alignment horizontal="center" vertical="center"/>
    </xf>
    <xf numFmtId="165" fontId="0" fillId="5" borderId="4" xfId="0" applyNumberForma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14" fontId="0" fillId="5" borderId="0" xfId="0" applyNumberFormat="1" applyFill="1"/>
    <xf numFmtId="2" fontId="6" fillId="5" borderId="1" xfId="0" applyNumberFormat="1" applyFont="1" applyFill="1" applyBorder="1" applyAlignment="1">
      <alignment horizontal="center"/>
    </xf>
    <xf numFmtId="0" fontId="0" fillId="5" borderId="0" xfId="0" applyFill="1"/>
    <xf numFmtId="2" fontId="8" fillId="5" borderId="2" xfId="0" applyNumberFormat="1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10" fillId="5" borderId="1" xfId="0" applyNumberFormat="1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" fontId="6" fillId="5" borderId="1" xfId="0" applyNumberFormat="1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/>
    </xf>
    <xf numFmtId="14" fontId="0" fillId="5" borderId="2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/>
    </xf>
    <xf numFmtId="49" fontId="7" fillId="5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14" fontId="0" fillId="0" borderId="1" xfId="0" applyNumberFormat="1" applyBorder="1"/>
    <xf numFmtId="166" fontId="0" fillId="5" borderId="1" xfId="0" applyNumberFormat="1" applyFill="1" applyBorder="1" applyAlignment="1">
      <alignment horizontal="center" vertical="center"/>
    </xf>
    <xf numFmtId="166" fontId="0" fillId="5" borderId="2" xfId="0" applyNumberForma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3" xfId="0" applyFill="1" applyBorder="1" applyAlignment="1">
      <alignment horizontal="left"/>
    </xf>
    <xf numFmtId="0" fontId="2" fillId="8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0" fillId="0" borderId="4" xfId="0" applyBorder="1"/>
    <xf numFmtId="0" fontId="0" fillId="5" borderId="4" xfId="0" applyFill="1" applyBorder="1"/>
    <xf numFmtId="14" fontId="0" fillId="5" borderId="1" xfId="0" applyNumberFormat="1" applyFill="1" applyBorder="1" applyAlignment="1">
      <alignment horizontal="center"/>
    </xf>
    <xf numFmtId="165" fontId="7" fillId="5" borderId="1" xfId="0" applyNumberFormat="1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9" fontId="10" fillId="0" borderId="1" xfId="3" applyNumberFormat="1" applyFont="1" applyBorder="1" applyAlignment="1">
      <alignment horizontal="center"/>
    </xf>
    <xf numFmtId="49" fontId="11" fillId="0" borderId="1" xfId="3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2" fontId="14" fillId="9" borderId="1" xfId="0" applyNumberFormat="1" applyFont="1" applyFill="1" applyBorder="1"/>
    <xf numFmtId="0" fontId="14" fillId="9" borderId="1" xfId="0" applyFont="1" applyFill="1" applyBorder="1"/>
    <xf numFmtId="0" fontId="15" fillId="10" borderId="1" xfId="0" applyFont="1" applyFill="1" applyBorder="1"/>
    <xf numFmtId="2" fontId="15" fillId="10" borderId="1" xfId="0" applyNumberFormat="1" applyFont="1" applyFill="1" applyBorder="1"/>
    <xf numFmtId="0" fontId="14" fillId="10" borderId="1" xfId="0" applyFont="1" applyFill="1" applyBorder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13" fillId="0" borderId="1" xfId="3" applyNumberFormat="1" applyFont="1" applyBorder="1" applyAlignment="1">
      <alignment horizontal="center"/>
    </xf>
    <xf numFmtId="49" fontId="0" fillId="0" borderId="1" xfId="3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2" fontId="0" fillId="0" borderId="1" xfId="0" applyNumberFormat="1" applyBorder="1" applyAlignment="1">
      <alignment horizontal="center"/>
    </xf>
    <xf numFmtId="12" fontId="10" fillId="0" borderId="1" xfId="0" applyNumberFormat="1" applyFont="1" applyBorder="1" applyAlignment="1">
      <alignment horizontal="center"/>
    </xf>
    <xf numFmtId="12" fontId="16" fillId="0" borderId="1" xfId="0" applyNumberFormat="1" applyFont="1" applyBorder="1"/>
    <xf numFmtId="1" fontId="0" fillId="0" borderId="1" xfId="0" applyNumberForma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14" fillId="10" borderId="1" xfId="0" applyFont="1" applyFill="1" applyBorder="1" applyAlignment="1">
      <alignment horizontal="center"/>
    </xf>
    <xf numFmtId="49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18" fillId="5" borderId="1" xfId="0" applyNumberFormat="1" applyFont="1" applyFill="1" applyBorder="1" applyAlignment="1">
      <alignment horizontal="center"/>
    </xf>
    <xf numFmtId="49" fontId="18" fillId="5" borderId="1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49" fontId="5" fillId="0" borderId="1" xfId="0" applyNumberFormat="1" applyFont="1" applyBorder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17" fillId="12" borderId="1" xfId="0" applyFont="1" applyFill="1" applyBorder="1"/>
    <xf numFmtId="0" fontId="17" fillId="5" borderId="1" xfId="0" applyFont="1" applyFill="1" applyBorder="1"/>
    <xf numFmtId="0" fontId="19" fillId="0" borderId="1" xfId="0" applyFont="1" applyBorder="1"/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" fontId="0" fillId="5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21" fillId="8" borderId="1" xfId="0" applyFont="1" applyFill="1" applyBorder="1" applyAlignment="1">
      <alignment horizontal="left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0" fillId="3" borderId="1" xfId="0" applyFont="1" applyFill="1" applyBorder="1" applyAlignment="1">
      <alignment horizontal="left"/>
    </xf>
    <xf numFmtId="0" fontId="21" fillId="8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0" fillId="12" borderId="1" xfId="0" applyFill="1" applyBorder="1"/>
    <xf numFmtId="0" fontId="23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0" xfId="0" applyNumberFormat="1" applyAlignment="1">
      <alignment horizontal="center"/>
    </xf>
    <xf numFmtId="10" fontId="14" fillId="10" borderId="1" xfId="0" applyNumberFormat="1" applyFont="1" applyFill="1" applyBorder="1" applyAlignment="1">
      <alignment horizontal="center"/>
    </xf>
    <xf numFmtId="2" fontId="0" fillId="0" borderId="0" xfId="0" applyNumberFormat="1"/>
    <xf numFmtId="0" fontId="5" fillId="0" borderId="0" xfId="0" applyFont="1" applyAlignment="1">
      <alignment horizontal="center"/>
    </xf>
    <xf numFmtId="49" fontId="0" fillId="5" borderId="3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9" fontId="14" fillId="10" borderId="1" xfId="0" applyNumberFormat="1" applyFont="1" applyFill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" fontId="19" fillId="5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/>
    </xf>
    <xf numFmtId="0" fontId="0" fillId="8" borderId="1" xfId="0" applyFill="1" applyBorder="1"/>
    <xf numFmtId="0" fontId="17" fillId="8" borderId="1" xfId="0" applyFont="1" applyFill="1" applyBorder="1"/>
    <xf numFmtId="0" fontId="19" fillId="0" borderId="1" xfId="0" applyFont="1" applyBorder="1" applyAlignment="1">
      <alignment horizontal="center" vertical="center"/>
    </xf>
    <xf numFmtId="2" fontId="14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0" fontId="15" fillId="10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2" fontId="5" fillId="0" borderId="1" xfId="0" applyNumberFormat="1" applyFont="1" applyBorder="1"/>
    <xf numFmtId="9" fontId="0" fillId="13" borderId="1" xfId="0" applyNumberFormat="1" applyFill="1" applyBorder="1" applyAlignment="1">
      <alignment horizontal="center"/>
    </xf>
    <xf numFmtId="0" fontId="0" fillId="10" borderId="1" xfId="0" applyFill="1" applyBorder="1"/>
    <xf numFmtId="1" fontId="25" fillId="0" borderId="1" xfId="0" applyNumberFormat="1" applyFont="1" applyBorder="1" applyAlignment="1">
      <alignment horizontal="center"/>
    </xf>
    <xf numFmtId="0" fontId="0" fillId="4" borderId="6" xfId="0" applyFill="1" applyBorder="1"/>
    <xf numFmtId="0" fontId="0" fillId="4" borderId="7" xfId="0" applyFill="1" applyBorder="1"/>
    <xf numFmtId="0" fontId="0" fillId="4" borderId="7" xfId="0" applyFill="1" applyBorder="1" applyAlignment="1">
      <alignment shrinkToFit="1"/>
    </xf>
    <xf numFmtId="0" fontId="0" fillId="4" borderId="8" xfId="0" applyFill="1" applyBorder="1"/>
    <xf numFmtId="0" fontId="0" fillId="4" borderId="9" xfId="0" applyFill="1" applyBorder="1"/>
    <xf numFmtId="0" fontId="0" fillId="4" borderId="13" xfId="0" applyFill="1" applyBorder="1"/>
    <xf numFmtId="0" fontId="0" fillId="4" borderId="9" xfId="0" applyFill="1" applyBorder="1" applyAlignment="1">
      <alignment shrinkToFit="1"/>
    </xf>
    <xf numFmtId="0" fontId="3" fillId="3" borderId="14" xfId="0" applyFont="1" applyFill="1" applyBorder="1" applyAlignment="1">
      <alignment horizontal="center" shrinkToFit="1"/>
    </xf>
    <xf numFmtId="49" fontId="3" fillId="3" borderId="15" xfId="0" applyNumberFormat="1" applyFont="1" applyFill="1" applyBorder="1" applyAlignment="1">
      <alignment horizontal="center" shrinkToFit="1"/>
    </xf>
    <xf numFmtId="0" fontId="4" fillId="3" borderId="15" xfId="0" applyFont="1" applyFill="1" applyBorder="1" applyAlignment="1">
      <alignment horizontal="center" shrinkToFit="1"/>
    </xf>
    <xf numFmtId="0" fontId="3" fillId="3" borderId="15" xfId="0" applyFont="1" applyFill="1" applyBorder="1" applyAlignment="1">
      <alignment horizontal="center" shrinkToFit="1"/>
    </xf>
    <xf numFmtId="0" fontId="3" fillId="3" borderId="15" xfId="0" applyFont="1" applyFill="1" applyBorder="1" applyAlignment="1">
      <alignment horizontal="left" shrinkToFit="1"/>
    </xf>
    <xf numFmtId="0" fontId="0" fillId="4" borderId="13" xfId="0" applyFill="1" applyBorder="1" applyAlignment="1">
      <alignment shrinkToFit="1"/>
    </xf>
    <xf numFmtId="0" fontId="0" fillId="0" borderId="0" xfId="0" applyAlignment="1">
      <alignment shrinkToFit="1"/>
    </xf>
    <xf numFmtId="0" fontId="0" fillId="0" borderId="21" xfId="0" applyBorder="1" applyAlignment="1">
      <alignment horizontal="center"/>
    </xf>
    <xf numFmtId="14" fontId="0" fillId="0" borderId="22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22" xfId="0" applyNumberFormat="1" applyBorder="1" applyAlignment="1">
      <alignment horizontal="center" shrinkToFit="1"/>
    </xf>
    <xf numFmtId="167" fontId="0" fillId="0" borderId="22" xfId="0" applyNumberFormat="1" applyBorder="1" applyAlignment="1">
      <alignment horizontal="center"/>
    </xf>
    <xf numFmtId="0" fontId="0" fillId="0" borderId="26" xfId="0" applyBorder="1" applyAlignment="1">
      <alignment horizontal="center"/>
    </xf>
    <xf numFmtId="1" fontId="0" fillId="0" borderId="1" xfId="0" applyNumberFormat="1" applyBorder="1" applyAlignment="1">
      <alignment horizontal="center" shrinkToFit="1"/>
    </xf>
    <xf numFmtId="167" fontId="0" fillId="0" borderId="1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14" fontId="0" fillId="0" borderId="47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47" xfId="0" applyNumberFormat="1" applyBorder="1" applyAlignment="1">
      <alignment horizontal="center" shrinkToFit="1"/>
    </xf>
    <xf numFmtId="167" fontId="0" fillId="0" borderId="47" xfId="0" applyNumberFormat="1" applyBorder="1" applyAlignment="1">
      <alignment horizontal="center"/>
    </xf>
    <xf numFmtId="0" fontId="34" fillId="9" borderId="49" xfId="0" applyFont="1" applyFill="1" applyBorder="1" applyAlignment="1">
      <alignment horizontal="center"/>
    </xf>
    <xf numFmtId="1" fontId="34" fillId="9" borderId="49" xfId="0" applyNumberFormat="1" applyFont="1" applyFill="1" applyBorder="1" applyAlignment="1">
      <alignment horizontal="center"/>
    </xf>
    <xf numFmtId="0" fontId="0" fillId="4" borderId="42" xfId="0" applyFill="1" applyBorder="1"/>
    <xf numFmtId="0" fontId="0" fillId="4" borderId="43" xfId="0" applyFill="1" applyBorder="1"/>
    <xf numFmtId="0" fontId="0" fillId="4" borderId="43" xfId="0" applyFill="1" applyBorder="1" applyAlignment="1">
      <alignment shrinkToFit="1"/>
    </xf>
    <xf numFmtId="0" fontId="0" fillId="4" borderId="46" xfId="0" applyFill="1" applyBorder="1"/>
    <xf numFmtId="0" fontId="0" fillId="0" borderId="0" xfId="0" applyAlignment="1">
      <alignment horizontal="center" shrinkToFit="1"/>
    </xf>
    <xf numFmtId="0" fontId="0" fillId="4" borderId="9" xfId="0" applyFill="1" applyBorder="1" applyAlignment="1">
      <alignment horizontal="center" shrinkToFit="1"/>
    </xf>
    <xf numFmtId="0" fontId="0" fillId="4" borderId="13" xfId="0" applyFill="1" applyBorder="1" applyAlignment="1">
      <alignment horizontal="center" shrinkToFit="1"/>
    </xf>
    <xf numFmtId="168" fontId="0" fillId="0" borderId="1" xfId="0" applyNumberFormat="1" applyBorder="1" applyAlignment="1">
      <alignment horizontal="center"/>
    </xf>
    <xf numFmtId="0" fontId="3" fillId="3" borderId="51" xfId="0" applyFont="1" applyFill="1" applyBorder="1" applyAlignment="1">
      <alignment horizontal="center" shrinkToFit="1"/>
    </xf>
    <xf numFmtId="49" fontId="3" fillId="3" borderId="52" xfId="0" applyNumberFormat="1" applyFont="1" applyFill="1" applyBorder="1" applyAlignment="1">
      <alignment horizontal="center" shrinkToFit="1"/>
    </xf>
    <xf numFmtId="0" fontId="4" fillId="3" borderId="52" xfId="0" applyFont="1" applyFill="1" applyBorder="1" applyAlignment="1">
      <alignment horizontal="center" shrinkToFit="1"/>
    </xf>
    <xf numFmtId="0" fontId="3" fillId="3" borderId="52" xfId="0" applyFont="1" applyFill="1" applyBorder="1" applyAlignment="1">
      <alignment horizontal="center" shrinkToFit="1"/>
    </xf>
    <xf numFmtId="0" fontId="0" fillId="0" borderId="54" xfId="0" applyBorder="1" applyAlignment="1">
      <alignment horizontal="center"/>
    </xf>
    <xf numFmtId="14" fontId="0" fillId="0" borderId="55" xfId="0" applyNumberFormat="1" applyBorder="1" applyAlignment="1">
      <alignment horizontal="center"/>
    </xf>
    <xf numFmtId="1" fontId="0" fillId="0" borderId="55" xfId="0" applyNumberFormat="1" applyBorder="1" applyAlignment="1">
      <alignment horizontal="center"/>
    </xf>
    <xf numFmtId="1" fontId="0" fillId="0" borderId="55" xfId="0" applyNumberFormat="1" applyBorder="1" applyAlignment="1">
      <alignment horizontal="center" shrinkToFit="1"/>
    </xf>
    <xf numFmtId="167" fontId="0" fillId="0" borderId="55" xfId="0" applyNumberFormat="1" applyBorder="1" applyAlignment="1">
      <alignment horizontal="center"/>
    </xf>
    <xf numFmtId="0" fontId="0" fillId="5" borderId="0" xfId="0" applyFill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6" xfId="0" applyFont="1" applyFill="1" applyBorder="1" applyAlignment="1">
      <alignment horizontal="center"/>
    </xf>
    <xf numFmtId="0" fontId="0" fillId="17" borderId="21" xfId="0" applyFill="1" applyBorder="1" applyAlignment="1">
      <alignment horizontal="center"/>
    </xf>
    <xf numFmtId="0" fontId="0" fillId="17" borderId="28" xfId="0" applyFill="1" applyBorder="1" applyAlignment="1">
      <alignment horizontal="center"/>
    </xf>
    <xf numFmtId="0" fontId="0" fillId="18" borderId="21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0" fillId="17" borderId="30" xfId="0" applyFill="1" applyBorder="1" applyAlignment="1">
      <alignment horizontal="center"/>
    </xf>
    <xf numFmtId="0" fontId="0" fillId="18" borderId="26" xfId="0" applyFill="1" applyBorder="1" applyAlignment="1">
      <alignment horizontal="center"/>
    </xf>
    <xf numFmtId="0" fontId="0" fillId="17" borderId="38" xfId="0" applyFill="1" applyBorder="1" applyAlignment="1">
      <alignment horizontal="center"/>
    </xf>
    <xf numFmtId="0" fontId="0" fillId="18" borderId="38" xfId="0" applyFill="1" applyBorder="1" applyAlignment="1">
      <alignment horizontal="center"/>
    </xf>
    <xf numFmtId="0" fontId="0" fillId="4" borderId="6" xfId="0" applyFill="1" applyBorder="1" applyAlignment="1">
      <alignment shrinkToFit="1"/>
    </xf>
    <xf numFmtId="0" fontId="0" fillId="4" borderId="8" xfId="0" applyFill="1" applyBorder="1" applyAlignment="1">
      <alignment shrinkToFit="1"/>
    </xf>
    <xf numFmtId="0" fontId="38" fillId="10" borderId="50" xfId="5" applyFont="1" applyFill="1" applyBorder="1" applyAlignment="1" applyProtection="1">
      <alignment horizontal="center" vertical="center"/>
    </xf>
    <xf numFmtId="0" fontId="0" fillId="5" borderId="0" xfId="0" applyFill="1" applyAlignment="1">
      <alignment shrinkToFit="1"/>
    </xf>
    <xf numFmtId="0" fontId="0" fillId="0" borderId="21" xfId="0" applyBorder="1" applyAlignment="1">
      <alignment horizontal="center" shrinkToFit="1"/>
    </xf>
    <xf numFmtId="14" fontId="0" fillId="0" borderId="22" xfId="0" applyNumberFormat="1" applyBorder="1" applyAlignment="1">
      <alignment horizontal="center" shrinkToFit="1"/>
    </xf>
    <xf numFmtId="167" fontId="0" fillId="0" borderId="22" xfId="0" applyNumberFormat="1" applyBorder="1" applyAlignment="1">
      <alignment horizontal="center" shrinkToFit="1"/>
    </xf>
    <xf numFmtId="0" fontId="0" fillId="0" borderId="26" xfId="0" applyBorder="1" applyAlignment="1">
      <alignment horizontal="center" shrinkToFit="1"/>
    </xf>
    <xf numFmtId="14" fontId="0" fillId="0" borderId="1" xfId="0" applyNumberFormat="1" applyBorder="1" applyAlignment="1">
      <alignment horizontal="center" shrinkToFit="1"/>
    </xf>
    <xf numFmtId="167" fontId="0" fillId="0" borderId="1" xfId="0" applyNumberFormat="1" applyBorder="1" applyAlignment="1">
      <alignment horizontal="center" shrinkToFit="1"/>
    </xf>
    <xf numFmtId="0" fontId="0" fillId="0" borderId="38" xfId="0" applyBorder="1" applyAlignment="1">
      <alignment horizontal="center" shrinkToFit="1"/>
    </xf>
    <xf numFmtId="14" fontId="0" fillId="0" borderId="47" xfId="0" applyNumberFormat="1" applyBorder="1" applyAlignment="1">
      <alignment horizontal="center" shrinkToFit="1"/>
    </xf>
    <xf numFmtId="167" fontId="0" fillId="0" borderId="47" xfId="0" applyNumberFormat="1" applyBorder="1" applyAlignment="1">
      <alignment horizontal="center" shrinkToFit="1"/>
    </xf>
    <xf numFmtId="0" fontId="37" fillId="9" borderId="49" xfId="0" applyFont="1" applyFill="1" applyBorder="1" applyAlignment="1">
      <alignment horizontal="center" shrinkToFit="1"/>
    </xf>
    <xf numFmtId="1" fontId="37" fillId="9" borderId="49" xfId="0" applyNumberFormat="1" applyFont="1" applyFill="1" applyBorder="1" applyAlignment="1">
      <alignment horizontal="center" shrinkToFit="1"/>
    </xf>
    <xf numFmtId="0" fontId="0" fillId="4" borderId="42" xfId="0" applyFill="1" applyBorder="1" applyAlignment="1">
      <alignment shrinkToFit="1"/>
    </xf>
    <xf numFmtId="0" fontId="0" fillId="4" borderId="46" xfId="0" applyFill="1" applyBorder="1" applyAlignment="1">
      <alignment shrinkToFit="1"/>
    </xf>
    <xf numFmtId="0" fontId="0" fillId="5" borderId="0" xfId="0" applyFill="1" applyAlignment="1">
      <alignment horizontal="center" shrinkToFit="1"/>
    </xf>
    <xf numFmtId="168" fontId="0" fillId="0" borderId="1" xfId="0" applyNumberFormat="1" applyBorder="1" applyAlignment="1">
      <alignment horizontal="center" shrinkToFit="1"/>
    </xf>
    <xf numFmtId="0" fontId="0" fillId="0" borderId="54" xfId="0" applyBorder="1" applyAlignment="1">
      <alignment horizontal="center" shrinkToFit="1"/>
    </xf>
    <xf numFmtId="14" fontId="0" fillId="0" borderId="55" xfId="0" applyNumberFormat="1" applyBorder="1" applyAlignment="1">
      <alignment horizontal="center" shrinkToFit="1"/>
    </xf>
    <xf numFmtId="167" fontId="0" fillId="0" borderId="55" xfId="0" applyNumberFormat="1" applyBorder="1" applyAlignment="1">
      <alignment horizontal="center" shrinkToFit="1"/>
    </xf>
    <xf numFmtId="0" fontId="40" fillId="13" borderId="7" xfId="0" applyFont="1" applyFill="1" applyBorder="1" applyAlignment="1">
      <alignment vertical="center"/>
    </xf>
    <xf numFmtId="0" fontId="40" fillId="13" borderId="43" xfId="0" applyFont="1" applyFill="1" applyBorder="1" applyAlignment="1">
      <alignment vertical="center"/>
    </xf>
    <xf numFmtId="0" fontId="0" fillId="0" borderId="1" xfId="0" applyBorder="1" applyAlignment="1">
      <alignment horizontal="center" shrinkToFit="1"/>
    </xf>
    <xf numFmtId="0" fontId="0" fillId="5" borderId="0" xfId="0" applyFill="1" applyAlignment="1">
      <alignment horizontal="center" vertical="center" shrinkToFit="1"/>
    </xf>
    <xf numFmtId="0" fontId="27" fillId="17" borderId="30" xfId="5" applyFill="1" applyBorder="1" applyAlignment="1" applyProtection="1">
      <alignment horizontal="center"/>
    </xf>
    <xf numFmtId="0" fontId="27" fillId="17" borderId="48" xfId="5" applyFill="1" applyBorder="1" applyAlignment="1" applyProtection="1">
      <alignment horizontal="center"/>
    </xf>
    <xf numFmtId="0" fontId="27" fillId="18" borderId="28" xfId="5" applyFill="1" applyBorder="1" applyAlignment="1" applyProtection="1">
      <alignment horizontal="center"/>
    </xf>
    <xf numFmtId="0" fontId="27" fillId="18" borderId="30" xfId="5" applyFill="1" applyBorder="1" applyAlignment="1" applyProtection="1">
      <alignment horizontal="center"/>
    </xf>
    <xf numFmtId="0" fontId="27" fillId="18" borderId="48" xfId="5" applyFill="1" applyBorder="1" applyAlignment="1" applyProtection="1">
      <alignment horizontal="center"/>
    </xf>
    <xf numFmtId="0" fontId="5" fillId="5" borderId="0" xfId="0" applyFont="1" applyFill="1"/>
    <xf numFmtId="0" fontId="0" fillId="0" borderId="22" xfId="0" applyBorder="1" applyAlignment="1">
      <alignment horizontal="center" shrinkToFit="1"/>
    </xf>
    <xf numFmtId="0" fontId="0" fillId="0" borderId="55" xfId="0" applyBorder="1" applyAlignment="1">
      <alignment horizontal="center" shrinkToFit="1"/>
    </xf>
    <xf numFmtId="1" fontId="0" fillId="4" borderId="7" xfId="0" applyNumberFormat="1" applyFill="1" applyBorder="1" applyAlignment="1">
      <alignment shrinkToFit="1"/>
    </xf>
    <xf numFmtId="1" fontId="3" fillId="3" borderId="15" xfId="0" applyNumberFormat="1" applyFont="1" applyFill="1" applyBorder="1" applyAlignment="1">
      <alignment horizontal="left" shrinkToFit="1"/>
    </xf>
    <xf numFmtId="1" fontId="7" fillId="0" borderId="1" xfId="0" applyNumberFormat="1" applyFont="1" applyBorder="1" applyAlignment="1">
      <alignment horizontal="center" shrinkToFit="1"/>
    </xf>
    <xf numFmtId="1" fontId="0" fillId="4" borderId="43" xfId="0" applyNumberFormat="1" applyFill="1" applyBorder="1" applyAlignment="1">
      <alignment shrinkToFit="1"/>
    </xf>
    <xf numFmtId="1" fontId="0" fillId="5" borderId="0" xfId="0" applyNumberFormat="1" applyFill="1" applyAlignment="1">
      <alignment shrinkToFit="1"/>
    </xf>
    <xf numFmtId="1" fontId="3" fillId="3" borderId="15" xfId="0" applyNumberFormat="1" applyFont="1" applyFill="1" applyBorder="1" applyAlignment="1">
      <alignment horizontal="center" shrinkToFit="1"/>
    </xf>
    <xf numFmtId="1" fontId="42" fillId="0" borderId="1" xfId="0" applyNumberFormat="1" applyFont="1" applyBorder="1" applyAlignment="1">
      <alignment horizontal="center" shrinkToFit="1"/>
    </xf>
    <xf numFmtId="1" fontId="3" fillId="3" borderId="52" xfId="0" applyNumberFormat="1" applyFont="1" applyFill="1" applyBorder="1" applyAlignment="1">
      <alignment horizontal="center" shrinkToFit="1"/>
    </xf>
    <xf numFmtId="1" fontId="3" fillId="3" borderId="16" xfId="0" applyNumberFormat="1" applyFont="1" applyFill="1" applyBorder="1" applyAlignment="1">
      <alignment horizontal="center" shrinkToFit="1"/>
    </xf>
    <xf numFmtId="1" fontId="0" fillId="0" borderId="28" xfId="0" applyNumberFormat="1" applyBorder="1" applyAlignment="1">
      <alignment horizontal="center" shrinkToFit="1"/>
    </xf>
    <xf numFmtId="1" fontId="0" fillId="0" borderId="30" xfId="0" applyNumberFormat="1" applyBorder="1" applyAlignment="1">
      <alignment horizontal="center" shrinkToFit="1"/>
    </xf>
    <xf numFmtId="1" fontId="7" fillId="0" borderId="30" xfId="0" applyNumberFormat="1" applyFont="1" applyBorder="1" applyAlignment="1">
      <alignment horizontal="center" shrinkToFit="1"/>
    </xf>
    <xf numFmtId="1" fontId="0" fillId="0" borderId="48" xfId="0" applyNumberFormat="1" applyBorder="1" applyAlignment="1">
      <alignment horizontal="center" shrinkToFit="1"/>
    </xf>
    <xf numFmtId="1" fontId="3" fillId="3" borderId="53" xfId="0" applyNumberFormat="1" applyFont="1" applyFill="1" applyBorder="1" applyAlignment="1">
      <alignment horizontal="center" shrinkToFit="1"/>
    </xf>
    <xf numFmtId="1" fontId="0" fillId="0" borderId="56" xfId="0" applyNumberFormat="1" applyBorder="1" applyAlignment="1">
      <alignment horizontal="center" shrinkToFit="1"/>
    </xf>
    <xf numFmtId="1" fontId="0" fillId="4" borderId="7" xfId="0" applyNumberFormat="1" applyFill="1" applyBorder="1"/>
    <xf numFmtId="1" fontId="0" fillId="4" borderId="43" xfId="0" applyNumberFormat="1" applyFill="1" applyBorder="1"/>
    <xf numFmtId="1" fontId="0" fillId="0" borderId="0" xfId="0" applyNumberFormat="1"/>
    <xf numFmtId="1" fontId="0" fillId="0" borderId="28" xfId="0" applyNumberFormat="1" applyBorder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48" xfId="0" applyNumberFormat="1" applyBorder="1" applyAlignment="1">
      <alignment horizontal="center"/>
    </xf>
    <xf numFmtId="1" fontId="0" fillId="0" borderId="56" xfId="0" applyNumberFormat="1" applyBorder="1" applyAlignment="1">
      <alignment horizontal="center"/>
    </xf>
    <xf numFmtId="1" fontId="34" fillId="9" borderId="49" xfId="0" applyNumberFormat="1" applyFont="1" applyFill="1" applyBorder="1" applyAlignment="1">
      <alignment horizontal="center" shrinkToFit="1"/>
    </xf>
    <xf numFmtId="0" fontId="7" fillId="0" borderId="1" xfId="0" applyFont="1" applyBorder="1" applyAlignment="1">
      <alignment horizontal="center" shrinkToFit="1"/>
    </xf>
    <xf numFmtId="0" fontId="27" fillId="17" borderId="28" xfId="5" applyFill="1" applyBorder="1" applyAlignment="1" applyProtection="1">
      <alignment horizontal="center"/>
    </xf>
    <xf numFmtId="0" fontId="0" fillId="16" borderId="21" xfId="0" applyFill="1" applyBorder="1" applyAlignment="1">
      <alignment horizontal="center"/>
    </xf>
    <xf numFmtId="0" fontId="0" fillId="16" borderId="26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27" fillId="16" borderId="28" xfId="5" applyFill="1" applyBorder="1" applyAlignment="1" applyProtection="1">
      <alignment horizontal="center"/>
    </xf>
    <xf numFmtId="0" fontId="27" fillId="16" borderId="30" xfId="5" applyFill="1" applyBorder="1" applyAlignment="1" applyProtection="1">
      <alignment horizontal="center"/>
    </xf>
    <xf numFmtId="0" fontId="0" fillId="17" borderId="1" xfId="0" applyFill="1" applyBorder="1" applyAlignment="1">
      <alignment horizontal="center"/>
    </xf>
    <xf numFmtId="2" fontId="0" fillId="0" borderId="1" xfId="0" applyNumberFormat="1" applyBorder="1" applyAlignment="1">
      <alignment horizontal="center" shrinkToFit="1"/>
    </xf>
    <xf numFmtId="14" fontId="0" fillId="0" borderId="34" xfId="0" applyNumberFormat="1" applyBorder="1" applyAlignment="1">
      <alignment horizontal="center" shrinkToFit="1"/>
    </xf>
    <xf numFmtId="1" fontId="0" fillId="0" borderId="34" xfId="0" applyNumberFormat="1" applyBorder="1" applyAlignment="1">
      <alignment horizontal="center" shrinkToFit="1"/>
    </xf>
    <xf numFmtId="167" fontId="0" fillId="0" borderId="34" xfId="0" applyNumberFormat="1" applyBorder="1" applyAlignment="1">
      <alignment horizontal="center" shrinkToFit="1"/>
    </xf>
    <xf numFmtId="0" fontId="0" fillId="0" borderId="34" xfId="0" applyBorder="1" applyAlignment="1">
      <alignment horizontal="center" shrinkToFit="1"/>
    </xf>
    <xf numFmtId="169" fontId="0" fillId="0" borderId="1" xfId="0" applyNumberFormat="1" applyBorder="1" applyAlignment="1">
      <alignment horizontal="center" shrinkToFit="1"/>
    </xf>
    <xf numFmtId="0" fontId="0" fillId="0" borderId="33" xfId="0" applyBorder="1" applyAlignment="1">
      <alignment horizontal="center" shrinkToFit="1"/>
    </xf>
    <xf numFmtId="0" fontId="0" fillId="19" borderId="1" xfId="0" applyFill="1" applyBorder="1" applyAlignment="1">
      <alignment horizontal="center"/>
    </xf>
    <xf numFmtId="0" fontId="27" fillId="19" borderId="30" xfId="5" applyFill="1" applyBorder="1" applyAlignment="1" applyProtection="1">
      <alignment horizontal="center"/>
    </xf>
    <xf numFmtId="0" fontId="27" fillId="17" borderId="1" xfId="5" applyFill="1" applyBorder="1" applyAlignment="1" applyProtection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27" fillId="18" borderId="1" xfId="5" applyFill="1" applyBorder="1" applyAlignment="1" applyProtection="1">
      <alignment horizontal="center" vertical="center"/>
    </xf>
    <xf numFmtId="0" fontId="0" fillId="5" borderId="1" xfId="0" applyFill="1" applyBorder="1" applyAlignment="1">
      <alignment horizontal="center" vertical="center" shrinkToFit="1"/>
    </xf>
    <xf numFmtId="1" fontId="0" fillId="0" borderId="19" xfId="0" applyNumberFormat="1" applyBorder="1" applyAlignment="1">
      <alignment horizontal="center" shrinkToFit="1"/>
    </xf>
    <xf numFmtId="167" fontId="0" fillId="0" borderId="1" xfId="0" quotePrefix="1" applyNumberFormat="1" applyBorder="1" applyAlignment="1">
      <alignment horizontal="center" shrinkToFit="1"/>
    </xf>
    <xf numFmtId="0" fontId="27" fillId="0" borderId="1" xfId="5" applyBorder="1" applyAlignment="1" applyProtection="1">
      <alignment horizontal="center" vertical="center"/>
    </xf>
    <xf numFmtId="0" fontId="0" fillId="4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16" fillId="11" borderId="3" xfId="0" applyFont="1" applyFill="1" applyBorder="1" applyAlignment="1">
      <alignment horizontal="center"/>
    </xf>
    <xf numFmtId="0" fontId="17" fillId="11" borderId="5" xfId="0" applyFont="1" applyFill="1" applyBorder="1" applyAlignment="1">
      <alignment horizontal="center"/>
    </xf>
    <xf numFmtId="0" fontId="17" fillId="11" borderId="4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left"/>
    </xf>
    <xf numFmtId="49" fontId="0" fillId="5" borderId="3" xfId="0" applyNumberForma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4" xfId="0" applyNumberFormat="1" applyFill="1" applyBorder="1" applyAlignment="1">
      <alignment horizontal="center" vertical="center"/>
    </xf>
    <xf numFmtId="0" fontId="16" fillId="8" borderId="3" xfId="0" applyFont="1" applyFill="1" applyBorder="1" applyAlignment="1">
      <alignment horizontal="center"/>
    </xf>
    <xf numFmtId="0" fontId="17" fillId="8" borderId="5" xfId="0" applyFont="1" applyFill="1" applyBorder="1" applyAlignment="1">
      <alignment horizontal="center"/>
    </xf>
    <xf numFmtId="0" fontId="17" fillId="8" borderId="4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33" fillId="0" borderId="42" xfId="5" applyNumberFormat="1" applyFont="1" applyBorder="1" applyAlignment="1" applyProtection="1">
      <alignment horizontal="center"/>
    </xf>
    <xf numFmtId="0" fontId="25" fillId="0" borderId="43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0" fontId="1" fillId="6" borderId="10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10" fontId="5" fillId="2" borderId="24" xfId="4" applyNumberFormat="1" applyFont="1" applyFill="1" applyBorder="1" applyAlignment="1">
      <alignment horizontal="center" vertical="center"/>
    </xf>
    <xf numFmtId="10" fontId="5" fillId="2" borderId="36" xfId="4" applyNumberFormat="1" applyFont="1" applyFill="1" applyBorder="1" applyAlignment="1">
      <alignment horizontal="center" vertical="center"/>
    </xf>
    <xf numFmtId="0" fontId="31" fillId="10" borderId="6" xfId="0" applyFont="1" applyFill="1" applyBorder="1" applyAlignment="1">
      <alignment horizontal="center" vertical="center" wrapText="1"/>
    </xf>
    <xf numFmtId="0" fontId="31" fillId="10" borderId="7" xfId="0" applyFont="1" applyFill="1" applyBorder="1" applyAlignment="1">
      <alignment horizontal="center" vertical="center" wrapText="1"/>
    </xf>
    <xf numFmtId="0" fontId="31" fillId="10" borderId="39" xfId="0" applyFont="1" applyFill="1" applyBorder="1" applyAlignment="1">
      <alignment horizontal="center" vertical="center" wrapText="1"/>
    </xf>
    <xf numFmtId="0" fontId="31" fillId="10" borderId="9" xfId="0" applyFont="1" applyFill="1" applyBorder="1" applyAlignment="1">
      <alignment horizontal="center" vertical="center" wrapText="1"/>
    </xf>
    <xf numFmtId="0" fontId="31" fillId="10" borderId="0" xfId="0" applyFont="1" applyFill="1" applyAlignment="1">
      <alignment horizontal="center" vertical="center" wrapText="1"/>
    </xf>
    <xf numFmtId="0" fontId="31" fillId="10" borderId="41" xfId="0" applyFont="1" applyFill="1" applyBorder="1" applyAlignment="1">
      <alignment horizontal="center" vertical="center" wrapText="1"/>
    </xf>
    <xf numFmtId="0" fontId="31" fillId="10" borderId="42" xfId="0" applyFont="1" applyFill="1" applyBorder="1" applyAlignment="1">
      <alignment horizontal="center" vertical="center" wrapText="1"/>
    </xf>
    <xf numFmtId="0" fontId="31" fillId="10" borderId="43" xfId="0" applyFont="1" applyFill="1" applyBorder="1" applyAlignment="1">
      <alignment horizontal="center" vertical="center" wrapText="1"/>
    </xf>
    <xf numFmtId="0" fontId="31" fillId="10" borderId="44" xfId="0" applyFont="1" applyFill="1" applyBorder="1" applyAlignment="1">
      <alignment horizontal="center" vertical="center" wrapText="1"/>
    </xf>
    <xf numFmtId="10" fontId="32" fillId="6" borderId="40" xfId="0" applyNumberFormat="1" applyFont="1" applyFill="1" applyBorder="1" applyAlignment="1">
      <alignment horizontal="center" vertical="center"/>
    </xf>
    <xf numFmtId="10" fontId="32" fillId="6" borderId="7" xfId="0" applyNumberFormat="1" applyFont="1" applyFill="1" applyBorder="1" applyAlignment="1">
      <alignment horizontal="center" vertical="center"/>
    </xf>
    <xf numFmtId="10" fontId="32" fillId="6" borderId="8" xfId="0" applyNumberFormat="1" applyFont="1" applyFill="1" applyBorder="1" applyAlignment="1">
      <alignment horizontal="center" vertical="center"/>
    </xf>
    <xf numFmtId="10" fontId="32" fillId="6" borderId="35" xfId="0" applyNumberFormat="1" applyFont="1" applyFill="1" applyBorder="1" applyAlignment="1">
      <alignment horizontal="center" vertical="center"/>
    </xf>
    <xf numFmtId="10" fontId="32" fillId="6" borderId="0" xfId="0" applyNumberFormat="1" applyFont="1" applyFill="1" applyAlignment="1">
      <alignment horizontal="center" vertical="center"/>
    </xf>
    <xf numFmtId="10" fontId="32" fillId="6" borderId="13" xfId="0" applyNumberFormat="1" applyFont="1" applyFill="1" applyBorder="1" applyAlignment="1">
      <alignment horizontal="center" vertical="center"/>
    </xf>
    <xf numFmtId="10" fontId="32" fillId="6" borderId="45" xfId="0" applyNumberFormat="1" applyFont="1" applyFill="1" applyBorder="1" applyAlignment="1">
      <alignment horizontal="center" vertical="center"/>
    </xf>
    <xf numFmtId="10" fontId="32" fillId="6" borderId="43" xfId="0" applyNumberFormat="1" applyFont="1" applyFill="1" applyBorder="1" applyAlignment="1">
      <alignment horizontal="center" vertical="center"/>
    </xf>
    <xf numFmtId="10" fontId="32" fillId="6" borderId="46" xfId="0" applyNumberFormat="1" applyFont="1" applyFill="1" applyBorder="1" applyAlignment="1">
      <alignment horizontal="center" vertical="center"/>
    </xf>
    <xf numFmtId="2" fontId="5" fillId="15" borderId="20" xfId="0" applyNumberFormat="1" applyFont="1" applyFill="1" applyBorder="1" applyAlignment="1">
      <alignment horizontal="center" vertical="center"/>
    </xf>
    <xf numFmtId="2" fontId="5" fillId="15" borderId="37" xfId="0" applyNumberFormat="1" applyFont="1" applyFill="1" applyBorder="1" applyAlignment="1">
      <alignment horizontal="center" vertical="center"/>
    </xf>
    <xf numFmtId="0" fontId="5" fillId="15" borderId="21" xfId="0" applyFont="1" applyFill="1" applyBorder="1" applyAlignment="1">
      <alignment horizontal="center" vertical="center"/>
    </xf>
    <xf numFmtId="0" fontId="5" fillId="15" borderId="38" xfId="0" applyFont="1" applyFill="1" applyBorder="1" applyAlignment="1">
      <alignment horizontal="center" vertical="center"/>
    </xf>
    <xf numFmtId="0" fontId="5" fillId="15" borderId="24" xfId="0" applyFont="1" applyFill="1" applyBorder="1" applyAlignment="1">
      <alignment horizontal="center" vertical="center"/>
    </xf>
    <xf numFmtId="0" fontId="5" fillId="15" borderId="36" xfId="0" applyFont="1" applyFill="1" applyBorder="1" applyAlignment="1">
      <alignment horizontal="center" vertical="center"/>
    </xf>
    <xf numFmtId="10" fontId="5" fillId="2" borderId="27" xfId="4" applyNumberFormat="1" applyFont="1" applyFill="1" applyBorder="1" applyAlignment="1">
      <alignment horizontal="center" vertical="center"/>
    </xf>
    <xf numFmtId="2" fontId="30" fillId="14" borderId="25" xfId="5" applyNumberFormat="1" applyFont="1" applyFill="1" applyBorder="1" applyAlignment="1" applyProtection="1">
      <alignment horizontal="center" vertical="center"/>
    </xf>
    <xf numFmtId="2" fontId="30" fillId="14" borderId="32" xfId="5" applyNumberFormat="1" applyFont="1" applyFill="1" applyBorder="1" applyAlignment="1" applyProtection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29" fillId="9" borderId="16" xfId="0" applyFont="1" applyFill="1" applyBorder="1" applyAlignment="1">
      <alignment horizontal="center" vertical="center" wrapText="1"/>
    </xf>
    <xf numFmtId="0" fontId="29" fillId="9" borderId="19" xfId="0" applyFont="1" applyFill="1" applyBorder="1" applyAlignment="1">
      <alignment horizontal="center" vertical="center" wrapText="1"/>
    </xf>
    <xf numFmtId="2" fontId="30" fillId="14" borderId="20" xfId="5" applyNumberFormat="1" applyFont="1" applyFill="1" applyBorder="1" applyAlignment="1" applyProtection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2" fontId="28" fillId="9" borderId="14" xfId="0" applyNumberFormat="1" applyFont="1" applyFill="1" applyBorder="1" applyAlignment="1">
      <alignment horizontal="center" vertical="center" wrapText="1"/>
    </xf>
    <xf numFmtId="2" fontId="28" fillId="9" borderId="17" xfId="0" applyNumberFormat="1" applyFont="1" applyFill="1" applyBorder="1" applyAlignment="1">
      <alignment horizontal="center" vertical="center" wrapText="1"/>
    </xf>
    <xf numFmtId="0" fontId="28" fillId="9" borderId="15" xfId="0" applyFont="1" applyFill="1" applyBorder="1" applyAlignment="1">
      <alignment horizontal="center" vertical="center" wrapText="1"/>
    </xf>
    <xf numFmtId="0" fontId="28" fillId="9" borderId="18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 shrinkToFit="1"/>
    </xf>
    <xf numFmtId="0" fontId="1" fillId="6" borderId="11" xfId="0" applyFont="1" applyFill="1" applyBorder="1" applyAlignment="1">
      <alignment horizontal="center" vertical="center" shrinkToFit="1"/>
    </xf>
    <xf numFmtId="0" fontId="1" fillId="6" borderId="12" xfId="0" applyFont="1" applyFill="1" applyBorder="1" applyAlignment="1">
      <alignment horizontal="center" vertical="center" shrinkToFit="1"/>
    </xf>
    <xf numFmtId="0" fontId="2" fillId="7" borderId="10" xfId="0" applyFont="1" applyFill="1" applyBorder="1" applyAlignment="1">
      <alignment horizontal="center" shrinkToFit="1"/>
    </xf>
    <xf numFmtId="0" fontId="2" fillId="7" borderId="11" xfId="0" applyFont="1" applyFill="1" applyBorder="1" applyAlignment="1">
      <alignment horizontal="center" shrinkToFit="1"/>
    </xf>
    <xf numFmtId="0" fontId="2" fillId="7" borderId="12" xfId="0" applyFont="1" applyFill="1" applyBorder="1" applyAlignment="1">
      <alignment horizontal="center" shrinkToFit="1"/>
    </xf>
    <xf numFmtId="0" fontId="2" fillId="8" borderId="10" xfId="0" applyFont="1" applyFill="1" applyBorder="1" applyAlignment="1">
      <alignment horizontal="center" shrinkToFit="1"/>
    </xf>
    <xf numFmtId="0" fontId="2" fillId="8" borderId="11" xfId="0" applyFont="1" applyFill="1" applyBorder="1" applyAlignment="1">
      <alignment horizontal="center" shrinkToFit="1"/>
    </xf>
    <xf numFmtId="0" fontId="2" fillId="8" borderId="12" xfId="0" applyFont="1" applyFill="1" applyBorder="1" applyAlignment="1">
      <alignment horizontal="center" shrinkToFit="1"/>
    </xf>
    <xf numFmtId="0" fontId="33" fillId="0" borderId="42" xfId="5" applyNumberFormat="1" applyFont="1" applyBorder="1" applyAlignment="1" applyProtection="1">
      <alignment horizontal="center" shrinkToFit="1"/>
    </xf>
    <xf numFmtId="0" fontId="25" fillId="0" borderId="43" xfId="0" applyFont="1" applyBorder="1" applyAlignment="1">
      <alignment horizontal="center" shrinkToFit="1"/>
    </xf>
    <xf numFmtId="0" fontId="25" fillId="0" borderId="46" xfId="0" applyFont="1" applyBorder="1" applyAlignment="1">
      <alignment horizontal="center" shrinkToFit="1"/>
    </xf>
    <xf numFmtId="0" fontId="5" fillId="0" borderId="1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0" fontId="5" fillId="2" borderId="57" xfId="4" applyNumberFormat="1" applyFont="1" applyFill="1" applyBorder="1" applyAlignment="1">
      <alignment horizontal="center" vertical="center"/>
    </xf>
    <xf numFmtId="10" fontId="5" fillId="2" borderId="49" xfId="4" applyNumberFormat="1" applyFont="1" applyFill="1" applyBorder="1" applyAlignment="1">
      <alignment horizontal="center" vertical="center"/>
    </xf>
    <xf numFmtId="0" fontId="5" fillId="15" borderId="60" xfId="0" applyFont="1" applyFill="1" applyBorder="1" applyAlignment="1">
      <alignment horizontal="center" vertical="center"/>
    </xf>
    <xf numFmtId="0" fontId="5" fillId="15" borderId="49" xfId="0" applyFont="1" applyFill="1" applyBorder="1" applyAlignment="1">
      <alignment horizontal="center" vertical="center"/>
    </xf>
    <xf numFmtId="10" fontId="5" fillId="2" borderId="60" xfId="4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10" fontId="5" fillId="2" borderId="58" xfId="4" applyNumberFormat="1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2" fontId="27" fillId="14" borderId="25" xfId="5" applyNumberFormat="1" applyFill="1" applyBorder="1" applyAlignment="1" applyProtection="1">
      <alignment horizontal="center" vertical="center"/>
    </xf>
    <xf numFmtId="2" fontId="27" fillId="14" borderId="32" xfId="5" applyNumberFormat="1" applyFill="1" applyBorder="1" applyAlignment="1" applyProtection="1">
      <alignment horizontal="center" vertical="center"/>
    </xf>
    <xf numFmtId="2" fontId="27" fillId="14" borderId="20" xfId="5" applyNumberFormat="1" applyFill="1" applyBorder="1" applyAlignment="1" applyProtection="1">
      <alignment horizontal="center" vertical="center"/>
    </xf>
    <xf numFmtId="2" fontId="5" fillId="15" borderId="60" xfId="0" applyNumberFormat="1" applyFont="1" applyFill="1" applyBorder="1" applyAlignment="1">
      <alignment horizontal="center" vertical="center"/>
    </xf>
    <xf numFmtId="2" fontId="5" fillId="15" borderId="49" xfId="0" applyNumberFormat="1" applyFont="1" applyFill="1" applyBorder="1" applyAlignment="1">
      <alignment horizontal="center" vertical="center"/>
    </xf>
    <xf numFmtId="2" fontId="27" fillId="14" borderId="57" xfId="5" applyNumberFormat="1" applyFill="1" applyBorder="1" applyAlignment="1" applyProtection="1">
      <alignment horizontal="center" vertical="center"/>
    </xf>
    <xf numFmtId="2" fontId="27" fillId="14" borderId="49" xfId="5" applyNumberFormat="1" applyFill="1" applyBorder="1" applyAlignment="1" applyProtection="1">
      <alignment horizontal="center" vertical="center"/>
    </xf>
    <xf numFmtId="2" fontId="27" fillId="14" borderId="58" xfId="5" applyNumberFormat="1" applyFill="1" applyBorder="1" applyAlignment="1" applyProtection="1">
      <alignment horizontal="center" vertical="center"/>
    </xf>
    <xf numFmtId="2" fontId="27" fillId="14" borderId="60" xfId="5" applyNumberFormat="1" applyFill="1" applyBorder="1" applyAlignment="1" applyProtection="1">
      <alignment horizontal="center" vertical="center"/>
    </xf>
    <xf numFmtId="0" fontId="33" fillId="0" borderId="43" xfId="5" applyNumberFormat="1" applyFont="1" applyBorder="1" applyAlignment="1" applyProtection="1">
      <alignment horizontal="center" shrinkToFit="1"/>
    </xf>
    <xf numFmtId="0" fontId="33" fillId="0" borderId="46" xfId="5" applyNumberFormat="1" applyFont="1" applyBorder="1" applyAlignment="1" applyProtection="1">
      <alignment horizontal="center" shrinkToFit="1"/>
    </xf>
    <xf numFmtId="0" fontId="33" fillId="0" borderId="10" xfId="5" applyNumberFormat="1" applyFont="1" applyBorder="1" applyAlignment="1" applyProtection="1">
      <alignment horizontal="center" shrinkToFit="1"/>
    </xf>
    <xf numFmtId="0" fontId="33" fillId="0" borderId="11" xfId="5" applyNumberFormat="1" applyFont="1" applyBorder="1" applyAlignment="1" applyProtection="1">
      <alignment horizontal="center" shrinkToFit="1"/>
    </xf>
    <xf numFmtId="0" fontId="33" fillId="0" borderId="12" xfId="5" applyNumberFormat="1" applyFont="1" applyBorder="1" applyAlignment="1" applyProtection="1">
      <alignment horizontal="center" shrinkToFit="1"/>
    </xf>
    <xf numFmtId="0" fontId="39" fillId="13" borderId="7" xfId="0" applyFont="1" applyFill="1" applyBorder="1" applyAlignment="1">
      <alignment horizontal="center" vertical="center"/>
    </xf>
    <xf numFmtId="0" fontId="0" fillId="0" borderId="8" xfId="0" applyBorder="1"/>
    <xf numFmtId="0" fontId="0" fillId="0" borderId="43" xfId="0" applyBorder="1"/>
    <xf numFmtId="0" fontId="0" fillId="0" borderId="46" xfId="0" applyBorder="1"/>
    <xf numFmtId="0" fontId="41" fillId="13" borderId="7" xfId="0" applyFont="1" applyFill="1" applyBorder="1" applyAlignment="1">
      <alignment horizontal="center" vertical="center"/>
    </xf>
    <xf numFmtId="0" fontId="41" fillId="13" borderId="43" xfId="0" applyFont="1" applyFill="1" applyBorder="1" applyAlignment="1">
      <alignment horizontal="center" vertical="center"/>
    </xf>
    <xf numFmtId="0" fontId="36" fillId="14" borderId="6" xfId="0" applyFont="1" applyFill="1" applyBorder="1" applyAlignment="1">
      <alignment horizontal="center" vertical="center"/>
    </xf>
    <xf numFmtId="0" fontId="36" fillId="14" borderId="7" xfId="0" applyFont="1" applyFill="1" applyBorder="1" applyAlignment="1">
      <alignment horizontal="center" vertical="center"/>
    </xf>
    <xf numFmtId="0" fontId="36" fillId="14" borderId="8" xfId="0" applyFont="1" applyFill="1" applyBorder="1" applyAlignment="1">
      <alignment horizontal="center" vertical="center"/>
    </xf>
    <xf numFmtId="0" fontId="36" fillId="14" borderId="9" xfId="0" applyFont="1" applyFill="1" applyBorder="1" applyAlignment="1">
      <alignment horizontal="center" vertical="center"/>
    </xf>
    <xf numFmtId="0" fontId="36" fillId="14" borderId="0" xfId="0" applyFont="1" applyFill="1" applyAlignment="1">
      <alignment horizontal="center" vertical="center"/>
    </xf>
    <xf numFmtId="0" fontId="36" fillId="14" borderId="13" xfId="0" applyFont="1" applyFill="1" applyBorder="1" applyAlignment="1">
      <alignment horizontal="center" vertical="center"/>
    </xf>
    <xf numFmtId="0" fontId="36" fillId="14" borderId="42" xfId="0" applyFont="1" applyFill="1" applyBorder="1" applyAlignment="1">
      <alignment horizontal="center" vertical="center"/>
    </xf>
    <xf numFmtId="0" fontId="36" fillId="14" borderId="43" xfId="0" applyFont="1" applyFill="1" applyBorder="1" applyAlignment="1">
      <alignment horizontal="center" vertical="center"/>
    </xf>
    <xf numFmtId="0" fontId="36" fillId="14" borderId="46" xfId="0" applyFont="1" applyFill="1" applyBorder="1" applyAlignment="1">
      <alignment horizontal="center" vertical="center"/>
    </xf>
    <xf numFmtId="0" fontId="35" fillId="16" borderId="6" xfId="0" applyFont="1" applyFill="1" applyBorder="1" applyAlignment="1">
      <alignment horizontal="center" vertical="center"/>
    </xf>
    <xf numFmtId="0" fontId="35" fillId="16" borderId="7" xfId="0" applyFont="1" applyFill="1" applyBorder="1" applyAlignment="1">
      <alignment horizontal="center" vertical="center"/>
    </xf>
    <xf numFmtId="0" fontId="35" fillId="16" borderId="8" xfId="0" applyFont="1" applyFill="1" applyBorder="1" applyAlignment="1">
      <alignment horizontal="center" vertical="center"/>
    </xf>
    <xf numFmtId="0" fontId="35" fillId="16" borderId="9" xfId="0" applyFont="1" applyFill="1" applyBorder="1" applyAlignment="1">
      <alignment horizontal="center" vertical="center"/>
    </xf>
    <xf numFmtId="0" fontId="35" fillId="16" borderId="0" xfId="0" applyFont="1" applyFill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16" borderId="42" xfId="0" applyFont="1" applyFill="1" applyBorder="1" applyAlignment="1">
      <alignment horizontal="center" vertical="center"/>
    </xf>
    <xf numFmtId="0" fontId="35" fillId="16" borderId="43" xfId="0" applyFont="1" applyFill="1" applyBorder="1" applyAlignment="1">
      <alignment horizontal="center" vertical="center"/>
    </xf>
    <xf numFmtId="0" fontId="35" fillId="16" borderId="46" xfId="0" applyFont="1" applyFill="1" applyBorder="1" applyAlignment="1">
      <alignment horizontal="center" vertical="center"/>
    </xf>
    <xf numFmtId="0" fontId="39" fillId="13" borderId="6" xfId="0" applyFont="1" applyFill="1" applyBorder="1" applyAlignment="1">
      <alignment horizontal="center" vertical="center"/>
    </xf>
    <xf numFmtId="0" fontId="39" fillId="13" borderId="42" xfId="0" applyFont="1" applyFill="1" applyBorder="1" applyAlignment="1">
      <alignment horizontal="center" vertical="center"/>
    </xf>
    <xf numFmtId="0" fontId="39" fillId="13" borderId="43" xfId="0" applyFont="1" applyFill="1" applyBorder="1" applyAlignment="1">
      <alignment horizontal="center" vertical="center"/>
    </xf>
  </cellXfs>
  <cellStyles count="6">
    <cellStyle name="Comma" xfId="3" builtinId="3"/>
    <cellStyle name="Excel Built-in Normal" xfId="2" xr:uid="{00000000-0005-0000-0000-000001000000}"/>
    <cellStyle name="Hyperlink" xfId="5" builtinId="8"/>
    <cellStyle name="Normal" xfId="0" builtinId="0"/>
    <cellStyle name="Normal 2" xfId="1" xr:uid="{00000000-0005-0000-0000-000004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JUNE 2017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ARCH-2018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APRIL-2018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AY-2018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JUNE -2018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JULY -2018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AUGUST-2018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SEP-2018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OCT - 2018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NOV-2018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DEC 2018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JULY 2017'!A1"/><Relationship Id="rId1" Type="http://schemas.openxmlformats.org/officeDocument/2006/relationships/hyperlink" Target="#'Jul 2017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JAN-2019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FEB -2019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ARCH-2019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APRIL -2019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AY -2019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JUN-2019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JULY 2019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AUGUST 2019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SEP 2019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OCT 2019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AUG 2017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NOV 2019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DEC 2019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JAN 2020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FEB 2020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ARCH 2020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APRIL 2020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MAY 2020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JUNE 2020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JULY 2020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0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SEP 2017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SEP 2020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OCT 2020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NOV 2020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DEC 2020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JAN 2021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FEB 2021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MARCH 2021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APRIL 2021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MAY 2021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JUNE 2021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OCT 2017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JULY 2021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JULY 2021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SEP 2021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OCTOBER 2021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NOV 2021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DEC 2021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JAN 2022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FEB 2022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MARCH 2022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APRIL 2022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NOV 2017'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'MAY 2022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'JUNE 2022'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'JULY 2022'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'AUGUST 2022'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SEP-2022'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'OCT-2022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'NOV 2022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'DEC 2022'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'JAN 2023'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'FEB 2023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EC-2017'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'MARCH-2023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'APRIL 2023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'JULY 2023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'OCT 2023'!A1"/><Relationship Id="rId1" Type="http://schemas.openxmlformats.org/officeDocument/2006/relationships/hyperlink" Target="#'MASTER '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'NOV 2023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JAN-2018'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'JAN 2024'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'FEB 2024'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'MARCH 2024'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FEB-2018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82772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82772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82772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82772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82772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82772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81724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81724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/>
      </xdr:nvSpPr>
      <xdr:spPr>
        <a:xfrm>
          <a:off x="81724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/>
      </xdr:nvSpPr>
      <xdr:spPr>
        <a:xfrm>
          <a:off x="81724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/>
      </xdr:nvSpPr>
      <xdr:spPr>
        <a:xfrm>
          <a:off x="81724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/>
      </xdr:nvSpPr>
      <xdr:spPr>
        <a:xfrm>
          <a:off x="81724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82867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82867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82867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/>
      </xdr:nvSpPr>
      <xdr:spPr>
        <a:xfrm>
          <a:off x="82867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82867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82867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81915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8" name="Up Arrow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/>
      </xdr:nvSpPr>
      <xdr:spPr>
        <a:xfrm>
          <a:off x="82296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14" name="Up Arrow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SpPr/>
      </xdr:nvSpPr>
      <xdr:spPr>
        <a:xfrm>
          <a:off x="82296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15" name="Up Arrow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SpPr/>
      </xdr:nvSpPr>
      <xdr:spPr>
        <a:xfrm>
          <a:off x="82296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16" name="Up Arrow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SpPr/>
      </xdr:nvSpPr>
      <xdr:spPr>
        <a:xfrm>
          <a:off x="82296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17" name="Up Arrow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SpPr/>
      </xdr:nvSpPr>
      <xdr:spPr>
        <a:xfrm>
          <a:off x="82296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18" name="Up Arrow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SpPr/>
      </xdr:nvSpPr>
      <xdr:spPr>
        <a:xfrm>
          <a:off x="82296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82867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82867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82867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/>
      </xdr:nvSpPr>
      <xdr:spPr>
        <a:xfrm>
          <a:off x="82867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/>
      </xdr:nvSpPr>
      <xdr:spPr>
        <a:xfrm>
          <a:off x="82867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/>
      </xdr:nvSpPr>
      <xdr:spPr>
        <a:xfrm>
          <a:off x="82867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826770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826770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/>
      </xdr:nvSpPr>
      <xdr:spPr>
        <a:xfrm>
          <a:off x="826770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/>
      </xdr:nvSpPr>
      <xdr:spPr>
        <a:xfrm>
          <a:off x="826770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SpPr/>
      </xdr:nvSpPr>
      <xdr:spPr>
        <a:xfrm>
          <a:off x="826770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/>
      </xdr:nvSpPr>
      <xdr:spPr>
        <a:xfrm>
          <a:off x="826770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83153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83153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83153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83153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>
          <a:off x="83153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837247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837247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837247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>
        <a:xfrm>
          <a:off x="837247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>
        <a:xfrm>
          <a:off x="837247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>
        <a:xfrm>
          <a:off x="837247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837247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837247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>
        <a:xfrm>
          <a:off x="837247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837247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837247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837247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147</xdr:row>
      <xdr:rowOff>0</xdr:rowOff>
    </xdr:from>
    <xdr:to>
      <xdr:col>12</xdr:col>
      <xdr:colOff>704850</xdr:colOff>
      <xdr:row>149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177</xdr:row>
      <xdr:rowOff>0</xdr:rowOff>
    </xdr:from>
    <xdr:to>
      <xdr:col>12</xdr:col>
      <xdr:colOff>704850</xdr:colOff>
      <xdr:row>179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207</xdr:row>
      <xdr:rowOff>0</xdr:rowOff>
    </xdr:from>
    <xdr:to>
      <xdr:col>12</xdr:col>
      <xdr:colOff>704850</xdr:colOff>
      <xdr:row>209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12</xdr:col>
      <xdr:colOff>704850</xdr:colOff>
      <xdr:row>151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180</xdr:row>
      <xdr:rowOff>0</xdr:rowOff>
    </xdr:from>
    <xdr:to>
      <xdr:col>12</xdr:col>
      <xdr:colOff>704850</xdr:colOff>
      <xdr:row>182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211</xdr:row>
      <xdr:rowOff>0</xdr:rowOff>
    </xdr:from>
    <xdr:to>
      <xdr:col>12</xdr:col>
      <xdr:colOff>704850</xdr:colOff>
      <xdr:row>213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8353425" y="31461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6000000}"/>
            </a:ext>
          </a:extLst>
        </xdr:cNvPr>
        <xdr:cNvSpPr/>
      </xdr:nvSpPr>
      <xdr:spPr>
        <a:xfrm>
          <a:off x="8353425" y="3808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7000000}"/>
            </a:ext>
          </a:extLst>
        </xdr:cNvPr>
        <xdr:cNvSpPr/>
      </xdr:nvSpPr>
      <xdr:spPr>
        <a:xfrm>
          <a:off x="8353425" y="4470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83153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8315325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/>
      </xdr:nvSpPr>
      <xdr:spPr>
        <a:xfrm>
          <a:off x="8315325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/>
      </xdr:nvSpPr>
      <xdr:spPr>
        <a:xfrm>
          <a:off x="8315325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/>
      </xdr:nvSpPr>
      <xdr:spPr>
        <a:xfrm>
          <a:off x="8315325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/>
      </xdr:nvSpPr>
      <xdr:spPr>
        <a:xfrm>
          <a:off x="8315325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150</xdr:row>
      <xdr:rowOff>0</xdr:rowOff>
    </xdr:from>
    <xdr:to>
      <xdr:col>12</xdr:col>
      <xdr:colOff>704850</xdr:colOff>
      <xdr:row>152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181</xdr:row>
      <xdr:rowOff>0</xdr:rowOff>
    </xdr:from>
    <xdr:to>
      <xdr:col>12</xdr:col>
      <xdr:colOff>704850</xdr:colOff>
      <xdr:row>183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212</xdr:row>
      <xdr:rowOff>0</xdr:rowOff>
    </xdr:from>
    <xdr:to>
      <xdr:col>12</xdr:col>
      <xdr:colOff>704850</xdr:colOff>
      <xdr:row>214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151</xdr:row>
      <xdr:rowOff>0</xdr:rowOff>
    </xdr:from>
    <xdr:to>
      <xdr:col>12</xdr:col>
      <xdr:colOff>704850</xdr:colOff>
      <xdr:row>153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8353425" y="31651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182</xdr:row>
      <xdr:rowOff>0</xdr:rowOff>
    </xdr:from>
    <xdr:to>
      <xdr:col>12</xdr:col>
      <xdr:colOff>704850</xdr:colOff>
      <xdr:row>184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/>
      </xdr:nvSpPr>
      <xdr:spPr>
        <a:xfrm>
          <a:off x="8353425" y="38271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213</xdr:row>
      <xdr:rowOff>0</xdr:rowOff>
    </xdr:from>
    <xdr:to>
      <xdr:col>12</xdr:col>
      <xdr:colOff>704850</xdr:colOff>
      <xdr:row>215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/>
      </xdr:nvSpPr>
      <xdr:spPr>
        <a:xfrm>
          <a:off x="8353425" y="4489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157</xdr:row>
      <xdr:rowOff>0</xdr:rowOff>
    </xdr:from>
    <xdr:to>
      <xdr:col>12</xdr:col>
      <xdr:colOff>704850</xdr:colOff>
      <xdr:row>159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57</xdr:row>
      <xdr:rowOff>0</xdr:rowOff>
    </xdr:from>
    <xdr:to>
      <xdr:col>12</xdr:col>
      <xdr:colOff>704850</xdr:colOff>
      <xdr:row>59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90</xdr:row>
      <xdr:rowOff>0</xdr:rowOff>
    </xdr:from>
    <xdr:to>
      <xdr:col>12</xdr:col>
      <xdr:colOff>704850</xdr:colOff>
      <xdr:row>92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122</xdr:row>
      <xdr:rowOff>0</xdr:rowOff>
    </xdr:from>
    <xdr:to>
      <xdr:col>12</xdr:col>
      <xdr:colOff>704850</xdr:colOff>
      <xdr:row>124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189</xdr:row>
      <xdr:rowOff>0</xdr:rowOff>
    </xdr:from>
    <xdr:to>
      <xdr:col>12</xdr:col>
      <xdr:colOff>704850</xdr:colOff>
      <xdr:row>191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222</xdr:row>
      <xdr:rowOff>0</xdr:rowOff>
    </xdr:from>
    <xdr:to>
      <xdr:col>12</xdr:col>
      <xdr:colOff>704850</xdr:colOff>
      <xdr:row>224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151</xdr:row>
      <xdr:rowOff>0</xdr:rowOff>
    </xdr:from>
    <xdr:to>
      <xdr:col>12</xdr:col>
      <xdr:colOff>704850</xdr:colOff>
      <xdr:row>153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87</xdr:row>
      <xdr:rowOff>0</xdr:rowOff>
    </xdr:from>
    <xdr:to>
      <xdr:col>12</xdr:col>
      <xdr:colOff>704850</xdr:colOff>
      <xdr:row>89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118</xdr:row>
      <xdr:rowOff>0</xdr:rowOff>
    </xdr:from>
    <xdr:to>
      <xdr:col>12</xdr:col>
      <xdr:colOff>704850</xdr:colOff>
      <xdr:row>120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182</xdr:row>
      <xdr:rowOff>0</xdr:rowOff>
    </xdr:from>
    <xdr:to>
      <xdr:col>12</xdr:col>
      <xdr:colOff>704850</xdr:colOff>
      <xdr:row>184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213</xdr:row>
      <xdr:rowOff>0</xdr:rowOff>
    </xdr:from>
    <xdr:to>
      <xdr:col>12</xdr:col>
      <xdr:colOff>704850</xdr:colOff>
      <xdr:row>215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/>
      </xdr:nvSpPr>
      <xdr:spPr>
        <a:xfrm>
          <a:off x="8353425" y="31842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SpPr/>
      </xdr:nvSpPr>
      <xdr:spPr>
        <a:xfrm>
          <a:off x="8353425" y="18221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/>
      </xdr:nvSpPr>
      <xdr:spPr>
        <a:xfrm>
          <a:off x="8353425" y="24841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/>
      </xdr:nvSpPr>
      <xdr:spPr>
        <a:xfrm>
          <a:off x="8353425" y="38461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/>
      </xdr:nvSpPr>
      <xdr:spPr>
        <a:xfrm>
          <a:off x="8353425" y="45081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215</xdr:row>
      <xdr:rowOff>0</xdr:rowOff>
    </xdr:from>
    <xdr:to>
      <xdr:col>12</xdr:col>
      <xdr:colOff>704850</xdr:colOff>
      <xdr:row>217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/>
      </xdr:nvSpPr>
      <xdr:spPr>
        <a:xfrm>
          <a:off x="8353425" y="45462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/>
      </xdr:nvSpPr>
      <xdr:spPr>
        <a:xfrm>
          <a:off x="8353425" y="456914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/>
      </xdr:nvSpPr>
      <xdr:spPr>
        <a:xfrm>
          <a:off x="8353425" y="456914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704850</xdr:colOff>
      <xdr:row>218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153</xdr:row>
      <xdr:rowOff>0</xdr:rowOff>
    </xdr:from>
    <xdr:to>
      <xdr:col>12</xdr:col>
      <xdr:colOff>704850</xdr:colOff>
      <xdr:row>155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120</xdr:row>
      <xdr:rowOff>0</xdr:rowOff>
    </xdr:from>
    <xdr:to>
      <xdr:col>12</xdr:col>
      <xdr:colOff>704850</xdr:colOff>
      <xdr:row>122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184</xdr:row>
      <xdr:rowOff>0</xdr:rowOff>
    </xdr:from>
    <xdr:to>
      <xdr:col>12</xdr:col>
      <xdr:colOff>704850</xdr:colOff>
      <xdr:row>186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218</xdr:row>
      <xdr:rowOff>0</xdr:rowOff>
    </xdr:from>
    <xdr:to>
      <xdr:col>12</xdr:col>
      <xdr:colOff>704850</xdr:colOff>
      <xdr:row>220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7000000}"/>
            </a:ext>
          </a:extLst>
        </xdr:cNvPr>
        <xdr:cNvSpPr/>
      </xdr:nvSpPr>
      <xdr:spPr>
        <a:xfrm>
          <a:off x="8353425" y="45653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/>
      </xdr:nvSpPr>
      <xdr:spPr>
        <a:xfrm>
          <a:off x="8353425" y="322230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/>
      </xdr:nvSpPr>
      <xdr:spPr>
        <a:xfrm>
          <a:off x="8353425" y="252222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/>
      </xdr:nvSpPr>
      <xdr:spPr>
        <a:xfrm>
          <a:off x="8353425" y="38842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/>
      </xdr:nvSpPr>
      <xdr:spPr>
        <a:xfrm>
          <a:off x="8353425" y="46034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E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/>
      </xdr:nvSpPr>
      <xdr:spPr>
        <a:xfrm>
          <a:off x="8353425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SpPr/>
      </xdr:nvSpPr>
      <xdr:spPr>
        <a:xfrm>
          <a:off x="8353425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SpPr/>
      </xdr:nvSpPr>
      <xdr:spPr>
        <a:xfrm>
          <a:off x="8353425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5000000}"/>
            </a:ext>
          </a:extLst>
        </xdr:cNvPr>
        <xdr:cNvSpPr/>
      </xdr:nvSpPr>
      <xdr:spPr>
        <a:xfrm>
          <a:off x="8353425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6000000}"/>
            </a:ext>
          </a:extLst>
        </xdr:cNvPr>
        <xdr:cNvSpPr/>
      </xdr:nvSpPr>
      <xdr:spPr>
        <a:xfrm>
          <a:off x="8353425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7000000}"/>
            </a:ext>
          </a:extLst>
        </xdr:cNvPr>
        <xdr:cNvSpPr/>
      </xdr:nvSpPr>
      <xdr:spPr>
        <a:xfrm>
          <a:off x="8353425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/>
      </xdr:nvSpPr>
      <xdr:spPr>
        <a:xfrm>
          <a:off x="8248650" y="32794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/>
      </xdr:nvSpPr>
      <xdr:spPr>
        <a:xfrm>
          <a:off x="82486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/>
      </xdr:nvSpPr>
      <xdr:spPr>
        <a:xfrm>
          <a:off x="8248650" y="18602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5000000}"/>
            </a:ext>
          </a:extLst>
        </xdr:cNvPr>
        <xdr:cNvSpPr/>
      </xdr:nvSpPr>
      <xdr:spPr>
        <a:xfrm>
          <a:off x="8248650" y="25412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6000000}"/>
            </a:ext>
          </a:extLst>
        </xdr:cNvPr>
        <xdr:cNvSpPr/>
      </xdr:nvSpPr>
      <xdr:spPr>
        <a:xfrm>
          <a:off x="8248650" y="39985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7000000}"/>
            </a:ext>
          </a:extLst>
        </xdr:cNvPr>
        <xdr:cNvSpPr/>
      </xdr:nvSpPr>
      <xdr:spPr>
        <a:xfrm>
          <a:off x="8248650" y="47177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156</xdr:row>
      <xdr:rowOff>0</xdr:rowOff>
    </xdr:from>
    <xdr:to>
      <xdr:col>12</xdr:col>
      <xdr:colOff>704850</xdr:colOff>
      <xdr:row>158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24E817-348D-4A18-9B81-5842D65B8E01}"/>
            </a:ext>
          </a:extLst>
        </xdr:cNvPr>
        <xdr:cNvSpPr/>
      </xdr:nvSpPr>
      <xdr:spPr>
        <a:xfrm>
          <a:off x="8481060" y="317220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47FBB-F3EF-4150-9FC1-3668D06F72BE}"/>
            </a:ext>
          </a:extLst>
        </xdr:cNvPr>
        <xdr:cNvSpPr/>
      </xdr:nvSpPr>
      <xdr:spPr>
        <a:xfrm>
          <a:off x="8481060" y="110794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89</xdr:row>
      <xdr:rowOff>0</xdr:rowOff>
    </xdr:from>
    <xdr:to>
      <xdr:col>12</xdr:col>
      <xdr:colOff>704850</xdr:colOff>
      <xdr:row>91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5D71C-1BAF-4B3D-B73B-4BC55A5A9CF0}"/>
            </a:ext>
          </a:extLst>
        </xdr:cNvPr>
        <xdr:cNvSpPr/>
      </xdr:nvSpPr>
      <xdr:spPr>
        <a:xfrm>
          <a:off x="8481060" y="180213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121</xdr:row>
      <xdr:rowOff>0</xdr:rowOff>
    </xdr:from>
    <xdr:to>
      <xdr:col>12</xdr:col>
      <xdr:colOff>704850</xdr:colOff>
      <xdr:row>123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83AD65-C3AA-4321-A643-320DB72C3460}"/>
            </a:ext>
          </a:extLst>
        </xdr:cNvPr>
        <xdr:cNvSpPr/>
      </xdr:nvSpPr>
      <xdr:spPr>
        <a:xfrm>
          <a:off x="8481060" y="2459736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190</xdr:row>
      <xdr:rowOff>0</xdr:rowOff>
    </xdr:from>
    <xdr:to>
      <xdr:col>12</xdr:col>
      <xdr:colOff>704850</xdr:colOff>
      <xdr:row>192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7A8AB9-A7B3-4E66-B95F-83D113126157}"/>
            </a:ext>
          </a:extLst>
        </xdr:cNvPr>
        <xdr:cNvSpPr/>
      </xdr:nvSpPr>
      <xdr:spPr>
        <a:xfrm>
          <a:off x="8481060" y="3866388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224</xdr:row>
      <xdr:rowOff>0</xdr:rowOff>
    </xdr:from>
    <xdr:to>
      <xdr:col>12</xdr:col>
      <xdr:colOff>704850</xdr:colOff>
      <xdr:row>226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4724DE-A9EA-44C4-B1C3-1961D43D312B}"/>
            </a:ext>
          </a:extLst>
        </xdr:cNvPr>
        <xdr:cNvSpPr/>
      </xdr:nvSpPr>
      <xdr:spPr>
        <a:xfrm>
          <a:off x="8481060" y="45605700"/>
          <a:ext cx="704850" cy="67818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10575</xdr:colOff>
      <xdr:row>1</xdr:row>
      <xdr:rowOff>10585</xdr:rowOff>
    </xdr:from>
    <xdr:to>
      <xdr:col>5</xdr:col>
      <xdr:colOff>931333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42" y="211668"/>
          <a:ext cx="3153841" cy="1778000"/>
        </a:xfrm>
        <a:prstGeom prst="rect">
          <a:avLst/>
        </a:prstGeom>
      </xdr:spPr>
    </xdr:pic>
    <xdr:clientData/>
  </xdr:twoCellAnchor>
  <xdr:oneCellAnchor>
    <xdr:from>
      <xdr:col>6</xdr:col>
      <xdr:colOff>21167</xdr:colOff>
      <xdr:row>1</xdr:row>
      <xdr:rowOff>95247</xdr:rowOff>
    </xdr:from>
    <xdr:ext cx="8128002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/>
      </xdr:nvSpPr>
      <xdr:spPr>
        <a:xfrm>
          <a:off x="4307417" y="296330"/>
          <a:ext cx="812800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31750</xdr:colOff>
      <xdr:row>5</xdr:row>
      <xdr:rowOff>158738</xdr:rowOff>
    </xdr:from>
    <xdr:ext cx="8128000" cy="843757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/>
      </xdr:nvSpPr>
      <xdr:spPr>
        <a:xfrm>
          <a:off x="4318000" y="1079488"/>
          <a:ext cx="8128000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55</xdr:row>
      <xdr:rowOff>0</xdr:rowOff>
    </xdr:from>
    <xdr:to>
      <xdr:col>12</xdr:col>
      <xdr:colOff>704850</xdr:colOff>
      <xdr:row>57</xdr:row>
      <xdr:rowOff>152400</xdr:rowOff>
    </xdr:to>
    <xdr:sp macro="" textlink="">
      <xdr:nvSpPr>
        <xdr:cNvPr id="2" name="Up Arrow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8439150" y="114109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86</xdr:row>
      <xdr:rowOff>0</xdr:rowOff>
    </xdr:from>
    <xdr:to>
      <xdr:col>12</xdr:col>
      <xdr:colOff>704850</xdr:colOff>
      <xdr:row>88</xdr:row>
      <xdr:rowOff>152400</xdr:rowOff>
    </xdr:to>
    <xdr:sp macro="" textlink="">
      <xdr:nvSpPr>
        <xdr:cNvPr id="3" name="Up Arrow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8439150" y="180308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117</xdr:row>
      <xdr:rowOff>0</xdr:rowOff>
    </xdr:from>
    <xdr:to>
      <xdr:col>12</xdr:col>
      <xdr:colOff>704850</xdr:colOff>
      <xdr:row>119</xdr:row>
      <xdr:rowOff>152400</xdr:rowOff>
    </xdr:to>
    <xdr:sp macro="" textlink="">
      <xdr:nvSpPr>
        <xdr:cNvPr id="4" name="Up Arrow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8439150" y="2465070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148</xdr:row>
      <xdr:rowOff>0</xdr:rowOff>
    </xdr:from>
    <xdr:to>
      <xdr:col>12</xdr:col>
      <xdr:colOff>704850</xdr:colOff>
      <xdr:row>150</xdr:row>
      <xdr:rowOff>152400</xdr:rowOff>
    </xdr:to>
    <xdr:sp macro="" textlink="">
      <xdr:nvSpPr>
        <xdr:cNvPr id="5" name="Up Arrow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8439150" y="3127057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179</xdr:row>
      <xdr:rowOff>0</xdr:rowOff>
    </xdr:from>
    <xdr:to>
      <xdr:col>12</xdr:col>
      <xdr:colOff>704850</xdr:colOff>
      <xdr:row>181</xdr:row>
      <xdr:rowOff>152400</xdr:rowOff>
    </xdr:to>
    <xdr:sp macro="" textlink="">
      <xdr:nvSpPr>
        <xdr:cNvPr id="6" name="Up Arrow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/>
      </xdr:nvSpPr>
      <xdr:spPr>
        <a:xfrm>
          <a:off x="8439150" y="37890450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  <xdr:twoCellAnchor>
    <xdr:from>
      <xdr:col>12</xdr:col>
      <xdr:colOff>0</xdr:colOff>
      <xdr:row>210</xdr:row>
      <xdr:rowOff>0</xdr:rowOff>
    </xdr:from>
    <xdr:to>
      <xdr:col>12</xdr:col>
      <xdr:colOff>704850</xdr:colOff>
      <xdr:row>212</xdr:row>
      <xdr:rowOff>152400</xdr:rowOff>
    </xdr:to>
    <xdr:sp macro="" textlink="">
      <xdr:nvSpPr>
        <xdr:cNvPr id="7" name="Up Arrow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/>
      </xdr:nvSpPr>
      <xdr:spPr>
        <a:xfrm>
          <a:off x="8439150" y="44510325"/>
          <a:ext cx="704850" cy="704850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/>
            <a:t>UP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0.xml"/></Relationships>
</file>

<file path=xl/worksheets/_rels/sheet10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1.xml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2.xml"/></Relationships>
</file>

<file path=xl/worksheets/_rels/sheet10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3.xml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4.xml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5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6.xml"/></Relationships>
</file>

<file path=xl/worksheets/_rels/sheet10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7.xml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8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0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1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2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3.xml"/></Relationships>
</file>

<file path=xl/worksheets/_rels/sheet1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4.xml"/></Relationships>
</file>

<file path=xl/worksheets/_rels/sheet1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5.xml"/></Relationships>
</file>

<file path=xl/worksheets/_rels/sheet1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6.xml"/></Relationships>
</file>

<file path=xl/worksheets/_rels/sheet1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7.xml"/></Relationships>
</file>

<file path=xl/worksheets/_rels/sheet1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8.xml"/></Relationships>
</file>

<file path=xl/worksheets/_rels/sheet1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0.xml"/></Relationships>
</file>

<file path=xl/worksheets/_rels/sheet1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1.xml"/></Relationships>
</file>

<file path=xl/worksheets/_rels/sheet1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2.xml"/></Relationships>
</file>

<file path=xl/worksheets/_rels/sheet1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3.xml"/></Relationships>
</file>

<file path=xl/worksheets/_rels/sheet1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4.xml"/></Relationships>
</file>

<file path=xl/worksheets/_rels/sheet1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5.xml"/></Relationships>
</file>

<file path=xl/worksheets/_rels/sheet1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6.xml"/></Relationships>
</file>

<file path=xl/worksheets/_rels/sheet1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7.xml"/></Relationships>
</file>

<file path=xl/worksheets/_rels/sheet1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8.xml"/></Relationships>
</file>

<file path=xl/worksheets/_rels/sheet1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0.xml"/></Relationships>
</file>

<file path=xl/worksheets/_rels/sheet1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1.xml"/></Relationships>
</file>

<file path=xl/worksheets/_rels/sheet1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2.xm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1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winnerscapitalline.com/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.xm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.xm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5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6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7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8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0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1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2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3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4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5.xml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6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7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8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19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0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1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2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3.xml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4.xml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6.xml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7.xml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8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29.xml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0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1.xm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2.xml"/></Relationships>
</file>

<file path=xl/worksheets/_rels/sheet8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3.xml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4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5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6.xml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7.xml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8.xml"/></Relationships>
</file>

<file path=xl/worksheets/_rels/sheet8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3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0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1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2.xml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9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3.xml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4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5.xml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6.xml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7.xml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4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8.xml"/></Relationships>
</file>

<file path=xl/worksheets/_rels/sheet9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3" Type="http://schemas.openxmlformats.org/officeDocument/2006/relationships/hyperlink" Target="http://www.winnerscapitalline.com/" TargetMode="External"/><Relationship Id="rId7" Type="http://schemas.openxmlformats.org/officeDocument/2006/relationships/hyperlink" Target="http://www.winnerscapitalline.com/" TargetMode="External"/><Relationship Id="rId2" Type="http://schemas.openxmlformats.org/officeDocument/2006/relationships/hyperlink" Target="http://www.winnerscapitalline.com/" TargetMode="External"/><Relationship Id="rId1" Type="http://schemas.openxmlformats.org/officeDocument/2006/relationships/hyperlink" Target="http://www.winnerscapitalline.com/" TargetMode="External"/><Relationship Id="rId6" Type="http://schemas.openxmlformats.org/officeDocument/2006/relationships/hyperlink" Target="http://www.winnerscapitalline.com/" TargetMode="External"/><Relationship Id="rId5" Type="http://schemas.openxmlformats.org/officeDocument/2006/relationships/hyperlink" Target="http://www.winnerscapitalline.com/" TargetMode="External"/><Relationship Id="rId4" Type="http://schemas.openxmlformats.org/officeDocument/2006/relationships/hyperlink" Target="http://www.winnerscapitalline.com/" TargetMode="External"/><Relationship Id="rId9" Type="http://schemas.openxmlformats.org/officeDocument/2006/relationships/drawing" Target="../drawings/drawing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30" customWidth="1"/>
    <col min="9" max="9" width="9.109375" style="12"/>
    <col min="10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27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</v>
      </c>
      <c r="H5" s="15" t="s">
        <v>4</v>
      </c>
      <c r="K5" s="16"/>
    </row>
    <row r="6" spans="1:11" x14ac:dyDescent="0.3">
      <c r="B6" s="1">
        <v>41365</v>
      </c>
      <c r="C6" s="3" t="s">
        <v>11</v>
      </c>
      <c r="D6" s="2" t="s">
        <v>10</v>
      </c>
      <c r="E6" s="3">
        <v>311.5</v>
      </c>
      <c r="F6" s="4">
        <v>316.5</v>
      </c>
      <c r="G6" s="5">
        <f>300000/E6</f>
        <v>963.08186195826647</v>
      </c>
      <c r="H6" s="28">
        <v>4478.3306581059442</v>
      </c>
      <c r="K6" s="16"/>
    </row>
    <row r="7" spans="1:11" x14ac:dyDescent="0.3">
      <c r="B7" s="1">
        <v>41366</v>
      </c>
      <c r="C7" s="3" t="s">
        <v>9</v>
      </c>
      <c r="D7" s="2" t="s">
        <v>12</v>
      </c>
      <c r="E7" s="4">
        <v>134.44999999999999</v>
      </c>
      <c r="F7" s="3">
        <v>137</v>
      </c>
      <c r="G7" s="5">
        <f t="shared" ref="G7:G24" si="0">300000/E7</f>
        <v>2231.3127556712534</v>
      </c>
      <c r="H7" s="28">
        <v>4239.4942357753935</v>
      </c>
      <c r="K7" s="16"/>
    </row>
    <row r="8" spans="1:11" x14ac:dyDescent="0.3">
      <c r="B8" s="1">
        <v>41367</v>
      </c>
      <c r="C8" s="3" t="s">
        <v>9</v>
      </c>
      <c r="D8" s="2" t="s">
        <v>13</v>
      </c>
      <c r="E8" s="4">
        <v>360</v>
      </c>
      <c r="F8" s="3">
        <v>363.6</v>
      </c>
      <c r="G8" s="5">
        <f t="shared" si="0"/>
        <v>833.33333333333337</v>
      </c>
      <c r="H8" s="28">
        <v>1500.0000000000095</v>
      </c>
      <c r="K8" s="16"/>
    </row>
    <row r="9" spans="1:11" x14ac:dyDescent="0.3">
      <c r="B9" s="1">
        <v>41368</v>
      </c>
      <c r="C9" s="3" t="s">
        <v>8</v>
      </c>
      <c r="D9" s="5" t="s">
        <v>14</v>
      </c>
      <c r="E9" s="3">
        <v>523</v>
      </c>
      <c r="F9" s="2">
        <v>513.70000000000005</v>
      </c>
      <c r="G9" s="5">
        <f t="shared" si="0"/>
        <v>573.61376673040149</v>
      </c>
      <c r="H9" s="28">
        <v>3972.2753346080044</v>
      </c>
      <c r="K9" s="16"/>
    </row>
    <row r="10" spans="1:11" x14ac:dyDescent="0.3">
      <c r="B10" s="1">
        <v>41369</v>
      </c>
      <c r="C10" s="3" t="s">
        <v>8</v>
      </c>
      <c r="D10" s="5" t="s">
        <v>15</v>
      </c>
      <c r="E10" s="3">
        <v>501</v>
      </c>
      <c r="F10" s="2">
        <v>495.55</v>
      </c>
      <c r="G10" s="5">
        <f t="shared" si="0"/>
        <v>598.80239520958082</v>
      </c>
      <c r="H10" s="28">
        <v>1631.7365269461043</v>
      </c>
      <c r="K10" s="16"/>
    </row>
    <row r="11" spans="1:11" x14ac:dyDescent="0.3">
      <c r="B11" s="1">
        <v>41372</v>
      </c>
      <c r="C11" s="3" t="s">
        <v>9</v>
      </c>
      <c r="D11" s="2" t="s">
        <v>16</v>
      </c>
      <c r="E11" s="3">
        <v>249.1</v>
      </c>
      <c r="F11" s="3">
        <v>252.4</v>
      </c>
      <c r="G11" s="5">
        <f t="shared" si="0"/>
        <v>1204.3356081894822</v>
      </c>
      <c r="H11" s="28">
        <v>3974.3075070253049</v>
      </c>
      <c r="K11" s="16"/>
    </row>
    <row r="12" spans="1:11" x14ac:dyDescent="0.3">
      <c r="B12" s="1">
        <v>41373</v>
      </c>
      <c r="C12" s="3" t="s">
        <v>9</v>
      </c>
      <c r="D12" s="2" t="s">
        <v>17</v>
      </c>
      <c r="E12" s="3">
        <v>172.1</v>
      </c>
      <c r="F12" s="3">
        <v>173.6</v>
      </c>
      <c r="G12" s="5">
        <f t="shared" si="0"/>
        <v>1743.1725740848344</v>
      </c>
      <c r="H12" s="28">
        <v>1307.3794305636259</v>
      </c>
      <c r="K12" s="16"/>
    </row>
    <row r="13" spans="1:11" x14ac:dyDescent="0.3">
      <c r="B13" s="1">
        <v>41374</v>
      </c>
      <c r="C13" s="3" t="s">
        <v>9</v>
      </c>
      <c r="D13" s="2" t="s">
        <v>18</v>
      </c>
      <c r="E13" s="3">
        <v>1107</v>
      </c>
      <c r="F13" s="5">
        <v>1137</v>
      </c>
      <c r="G13" s="5">
        <f t="shared" si="0"/>
        <v>271.00271002710025</v>
      </c>
      <c r="H13" s="28">
        <v>5691.0569105691047</v>
      </c>
      <c r="K13" s="16"/>
    </row>
    <row r="14" spans="1:11" x14ac:dyDescent="0.3">
      <c r="B14" s="1">
        <v>41375</v>
      </c>
      <c r="C14" s="3" t="s">
        <v>9</v>
      </c>
      <c r="D14" s="2" t="s">
        <v>19</v>
      </c>
      <c r="E14" s="4">
        <v>2012</v>
      </c>
      <c r="F14" s="3">
        <v>2047.5</v>
      </c>
      <c r="G14" s="5">
        <f t="shared" si="0"/>
        <v>149.10536779324056</v>
      </c>
      <c r="H14" s="28">
        <v>3988.5685884691848</v>
      </c>
      <c r="K14" s="16"/>
    </row>
    <row r="15" spans="1:11" x14ac:dyDescent="0.3">
      <c r="B15" s="1">
        <v>41376</v>
      </c>
      <c r="C15" s="3" t="s">
        <v>8</v>
      </c>
      <c r="D15" s="2" t="s">
        <v>13</v>
      </c>
      <c r="E15" s="4">
        <v>340</v>
      </c>
      <c r="F15" s="3">
        <v>337.25</v>
      </c>
      <c r="G15" s="5">
        <f t="shared" si="0"/>
        <v>882.35294117647061</v>
      </c>
      <c r="H15" s="28">
        <v>1213.2352941176471</v>
      </c>
      <c r="K15" s="16"/>
    </row>
    <row r="16" spans="1:11" x14ac:dyDescent="0.3">
      <c r="B16" s="1">
        <v>41379</v>
      </c>
      <c r="C16" s="3" t="s">
        <v>9</v>
      </c>
      <c r="D16" s="2" t="s">
        <v>19</v>
      </c>
      <c r="E16" s="3">
        <v>2109</v>
      </c>
      <c r="F16" s="5">
        <v>2152</v>
      </c>
      <c r="G16" s="5">
        <f t="shared" si="0"/>
        <v>142.24751066856331</v>
      </c>
      <c r="H16" s="28">
        <v>4409.6728307254625</v>
      </c>
      <c r="K16" s="16"/>
    </row>
    <row r="17" spans="2:11" x14ac:dyDescent="0.3">
      <c r="B17" s="1">
        <v>41380</v>
      </c>
      <c r="C17" s="3" t="s">
        <v>9</v>
      </c>
      <c r="D17" s="2" t="s">
        <v>20</v>
      </c>
      <c r="E17" s="5">
        <v>1313</v>
      </c>
      <c r="F17" s="7">
        <v>1336.65</v>
      </c>
      <c r="G17" s="5">
        <f t="shared" si="0"/>
        <v>228.48438690022849</v>
      </c>
      <c r="H17" s="28">
        <v>4004.188880426525</v>
      </c>
      <c r="K17" s="16"/>
    </row>
    <row r="18" spans="2:11" x14ac:dyDescent="0.3">
      <c r="B18" s="1">
        <v>41381</v>
      </c>
      <c r="C18" s="3" t="s">
        <v>9</v>
      </c>
      <c r="D18" s="7" t="s">
        <v>21</v>
      </c>
      <c r="E18" s="8">
        <v>1442</v>
      </c>
      <c r="F18" s="7">
        <v>1412</v>
      </c>
      <c r="G18" s="5">
        <f t="shared" si="0"/>
        <v>208.04438280166437</v>
      </c>
      <c r="H18" s="28">
        <v>-6241.3314840499315</v>
      </c>
      <c r="K18" s="16"/>
    </row>
    <row r="19" spans="2:11" x14ac:dyDescent="0.3">
      <c r="B19" s="1">
        <v>41382</v>
      </c>
      <c r="C19" s="3" t="s">
        <v>9</v>
      </c>
      <c r="D19" s="7" t="s">
        <v>22</v>
      </c>
      <c r="E19" s="6">
        <v>154.69999999999999</v>
      </c>
      <c r="F19" s="7">
        <v>158</v>
      </c>
      <c r="G19" s="5">
        <f t="shared" si="0"/>
        <v>1939.2372333548806</v>
      </c>
      <c r="H19" s="28">
        <v>6205.5591467356508</v>
      </c>
      <c r="K19" s="16"/>
    </row>
    <row r="20" spans="2:11" x14ac:dyDescent="0.3">
      <c r="B20" s="1">
        <v>41386</v>
      </c>
      <c r="C20" s="3" t="s">
        <v>9</v>
      </c>
      <c r="D20" s="2" t="s">
        <v>22</v>
      </c>
      <c r="E20" s="3">
        <v>161.5</v>
      </c>
      <c r="F20" s="3">
        <v>158.5</v>
      </c>
      <c r="G20" s="5">
        <f t="shared" si="0"/>
        <v>1857.5851393188855</v>
      </c>
      <c r="H20" s="28">
        <v>-5572.7554179566559</v>
      </c>
      <c r="K20" s="16"/>
    </row>
    <row r="21" spans="2:11" x14ac:dyDescent="0.3">
      <c r="B21" s="1">
        <v>41387</v>
      </c>
      <c r="C21" s="3" t="s">
        <v>9</v>
      </c>
      <c r="D21" s="2" t="s">
        <v>23</v>
      </c>
      <c r="E21" s="3">
        <v>154.35</v>
      </c>
      <c r="F21" s="3">
        <v>155.85</v>
      </c>
      <c r="G21" s="5">
        <f t="shared" si="0"/>
        <v>1943.6345966958213</v>
      </c>
      <c r="H21" s="28">
        <v>1457.7259475218659</v>
      </c>
      <c r="K21" s="16"/>
    </row>
    <row r="22" spans="2:11" x14ac:dyDescent="0.3">
      <c r="B22" s="1">
        <v>41389</v>
      </c>
      <c r="C22" s="3" t="s">
        <v>9</v>
      </c>
      <c r="D22" s="7" t="s">
        <v>24</v>
      </c>
      <c r="E22" s="8">
        <v>138.75</v>
      </c>
      <c r="F22" s="7">
        <v>140</v>
      </c>
      <c r="G22" s="5">
        <f t="shared" si="0"/>
        <v>2162.1621621621621</v>
      </c>
      <c r="H22" s="28">
        <v>1351.3513513513512</v>
      </c>
      <c r="K22" s="16"/>
    </row>
    <row r="23" spans="2:11" x14ac:dyDescent="0.3">
      <c r="B23" s="1">
        <v>41390</v>
      </c>
      <c r="C23" s="3" t="s">
        <v>9</v>
      </c>
      <c r="D23" s="2" t="s">
        <v>25</v>
      </c>
      <c r="E23" s="5">
        <v>313.75</v>
      </c>
      <c r="F23" s="5">
        <v>307.2</v>
      </c>
      <c r="G23" s="5">
        <f t="shared" si="0"/>
        <v>956.17529880478082</v>
      </c>
      <c r="H23" s="28">
        <v>-6262.9482071713255</v>
      </c>
      <c r="K23" s="16"/>
    </row>
    <row r="24" spans="2:11" x14ac:dyDescent="0.3">
      <c r="B24" s="1">
        <v>41394</v>
      </c>
      <c r="C24" s="3" t="s">
        <v>9</v>
      </c>
      <c r="D24" s="2" t="s">
        <v>26</v>
      </c>
      <c r="E24" s="8">
        <v>244.2</v>
      </c>
      <c r="F24" s="7">
        <v>239</v>
      </c>
      <c r="G24" s="5">
        <f t="shared" si="0"/>
        <v>1228.5012285012285</v>
      </c>
      <c r="H24" s="28">
        <v>-6388.206388206374</v>
      </c>
      <c r="K24" s="16"/>
    </row>
    <row r="25" spans="2:11" x14ac:dyDescent="0.3">
      <c r="B25" s="30"/>
      <c r="C25" s="30"/>
      <c r="D25" s="30"/>
      <c r="E25" s="30"/>
      <c r="F25" s="30"/>
      <c r="G25" s="30"/>
      <c r="H25" s="29">
        <v>24960.639999999999</v>
      </c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1">
        <v>41365</v>
      </c>
      <c r="C30" s="3" t="s">
        <v>11</v>
      </c>
      <c r="D30" s="2" t="s">
        <v>12</v>
      </c>
      <c r="E30" s="5">
        <v>133.5</v>
      </c>
      <c r="F30" s="4">
        <v>135</v>
      </c>
      <c r="G30" s="30">
        <v>2000</v>
      </c>
      <c r="H30" s="30">
        <v>2800.0000000000114</v>
      </c>
    </row>
    <row r="31" spans="2:11" x14ac:dyDescent="0.3">
      <c r="B31" s="1">
        <v>41366</v>
      </c>
      <c r="C31" s="3" t="s">
        <v>9</v>
      </c>
      <c r="D31" s="2" t="s">
        <v>34</v>
      </c>
      <c r="E31" s="3">
        <v>291</v>
      </c>
      <c r="F31" s="3">
        <v>296</v>
      </c>
      <c r="G31" s="30">
        <v>1000</v>
      </c>
      <c r="H31" s="30">
        <v>5000</v>
      </c>
    </row>
    <row r="32" spans="2:11" x14ac:dyDescent="0.3">
      <c r="B32" s="1">
        <v>41367</v>
      </c>
      <c r="C32" s="3" t="s">
        <v>9</v>
      </c>
      <c r="D32" s="2" t="s">
        <v>35</v>
      </c>
      <c r="E32" s="3">
        <v>458.5</v>
      </c>
      <c r="F32" s="3">
        <v>449</v>
      </c>
      <c r="G32" s="30">
        <v>500</v>
      </c>
      <c r="H32" s="30">
        <v>-4750</v>
      </c>
    </row>
    <row r="33" spans="2:8" x14ac:dyDescent="0.3">
      <c r="B33" s="1">
        <v>41368</v>
      </c>
      <c r="C33" s="3" t="s">
        <v>8</v>
      </c>
      <c r="D33" s="2" t="s">
        <v>17</v>
      </c>
      <c r="E33" s="4">
        <v>169.2</v>
      </c>
      <c r="F33" s="3">
        <v>167.5</v>
      </c>
      <c r="G33" s="30">
        <v>2000</v>
      </c>
      <c r="H33" s="30">
        <v>3399.9999999999773</v>
      </c>
    </row>
    <row r="34" spans="2:8" x14ac:dyDescent="0.3">
      <c r="B34" s="1">
        <v>41369</v>
      </c>
      <c r="C34" s="3" t="s">
        <v>9</v>
      </c>
      <c r="D34" s="2" t="s">
        <v>34</v>
      </c>
      <c r="E34" s="3">
        <v>286.5</v>
      </c>
      <c r="F34" s="4">
        <v>291.14999999999998</v>
      </c>
      <c r="G34" s="30">
        <v>1000</v>
      </c>
      <c r="H34" s="30">
        <v>4649.9999999999773</v>
      </c>
    </row>
    <row r="35" spans="2:8" x14ac:dyDescent="0.3">
      <c r="B35" s="1">
        <v>41372</v>
      </c>
      <c r="C35" s="3" t="s">
        <v>9</v>
      </c>
      <c r="D35" s="2" t="s">
        <v>12</v>
      </c>
      <c r="E35" s="3">
        <v>131</v>
      </c>
      <c r="F35" s="3">
        <v>132.1</v>
      </c>
      <c r="G35" s="30">
        <v>2000</v>
      </c>
      <c r="H35" s="30">
        <v>2199.9999999999886</v>
      </c>
    </row>
    <row r="36" spans="2:8" x14ac:dyDescent="0.3">
      <c r="B36" s="1">
        <v>41373</v>
      </c>
      <c r="C36" s="3" t="s">
        <v>9</v>
      </c>
      <c r="D36" s="2" t="s">
        <v>12</v>
      </c>
      <c r="E36" s="3">
        <v>132.19999999999999</v>
      </c>
      <c r="F36" s="3">
        <v>133.5</v>
      </c>
      <c r="G36" s="30">
        <v>2000</v>
      </c>
      <c r="H36" s="30">
        <v>2600.0000000000227</v>
      </c>
    </row>
    <row r="37" spans="2:8" x14ac:dyDescent="0.3">
      <c r="B37" s="1">
        <v>41374</v>
      </c>
      <c r="C37" s="3" t="s">
        <v>9</v>
      </c>
      <c r="D37" s="2" t="s">
        <v>12</v>
      </c>
      <c r="E37" s="3">
        <v>126.5</v>
      </c>
      <c r="F37" s="3">
        <v>127.5</v>
      </c>
      <c r="G37" s="30">
        <v>2000</v>
      </c>
      <c r="H37" s="30">
        <v>2000</v>
      </c>
    </row>
    <row r="38" spans="2:8" x14ac:dyDescent="0.3">
      <c r="B38" s="1">
        <v>41375</v>
      </c>
      <c r="C38" s="3" t="s">
        <v>9</v>
      </c>
      <c r="D38" s="2" t="s">
        <v>17</v>
      </c>
      <c r="E38" s="4">
        <v>171.35</v>
      </c>
      <c r="F38" s="3">
        <v>171.8</v>
      </c>
      <c r="G38" s="30">
        <v>2000</v>
      </c>
      <c r="H38" s="30">
        <v>900.00000000003411</v>
      </c>
    </row>
    <row r="39" spans="2:8" x14ac:dyDescent="0.3">
      <c r="B39" s="1">
        <v>41376</v>
      </c>
      <c r="C39" s="3" t="s">
        <v>9</v>
      </c>
      <c r="D39" s="2" t="s">
        <v>12</v>
      </c>
      <c r="E39" s="3">
        <v>133.5</v>
      </c>
      <c r="F39" s="3">
        <v>132.30000000000001</v>
      </c>
      <c r="G39" s="30">
        <v>2000</v>
      </c>
      <c r="H39" s="30">
        <v>-2400</v>
      </c>
    </row>
    <row r="40" spans="2:8" x14ac:dyDescent="0.3">
      <c r="B40" s="1">
        <v>41379</v>
      </c>
      <c r="C40" s="3" t="s">
        <v>9</v>
      </c>
      <c r="D40" s="2" t="s">
        <v>35</v>
      </c>
      <c r="E40" s="3">
        <v>445.5</v>
      </c>
      <c r="F40" s="3">
        <v>451.5</v>
      </c>
      <c r="G40" s="30">
        <v>500</v>
      </c>
      <c r="H40" s="30">
        <v>3000</v>
      </c>
    </row>
    <row r="41" spans="2:8" x14ac:dyDescent="0.3">
      <c r="B41" s="1">
        <v>41380</v>
      </c>
      <c r="C41" s="3" t="s">
        <v>9</v>
      </c>
      <c r="D41" s="2" t="s">
        <v>36</v>
      </c>
      <c r="E41" s="5">
        <v>1055</v>
      </c>
      <c r="F41" s="5">
        <v>1080</v>
      </c>
      <c r="G41" s="30">
        <v>250</v>
      </c>
      <c r="H41" s="30">
        <v>6250</v>
      </c>
    </row>
    <row r="42" spans="2:8" x14ac:dyDescent="0.3">
      <c r="B42" s="1">
        <v>41381</v>
      </c>
      <c r="C42" s="3" t="s">
        <v>9</v>
      </c>
      <c r="D42" s="2" t="s">
        <v>19</v>
      </c>
      <c r="E42" s="3">
        <v>2226</v>
      </c>
      <c r="F42" s="3">
        <v>2262</v>
      </c>
      <c r="G42" s="30">
        <v>125</v>
      </c>
      <c r="H42" s="30">
        <v>4375</v>
      </c>
    </row>
    <row r="43" spans="2:8" x14ac:dyDescent="0.3">
      <c r="B43" s="1">
        <v>41382</v>
      </c>
      <c r="C43" s="3" t="s">
        <v>9</v>
      </c>
      <c r="D43" s="2" t="s">
        <v>26</v>
      </c>
      <c r="E43" s="3">
        <v>248</v>
      </c>
      <c r="F43" s="3">
        <v>249.85</v>
      </c>
      <c r="G43" s="30">
        <v>1000</v>
      </c>
      <c r="H43" s="30">
        <v>1849.9999999999943</v>
      </c>
    </row>
    <row r="44" spans="2:8" x14ac:dyDescent="0.3">
      <c r="B44" s="1">
        <v>41386</v>
      </c>
      <c r="C44" s="3" t="s">
        <v>9</v>
      </c>
      <c r="D44" s="2" t="s">
        <v>21</v>
      </c>
      <c r="E44" s="5">
        <v>1486</v>
      </c>
      <c r="F44" s="5">
        <v>1528</v>
      </c>
      <c r="G44" s="30">
        <v>250</v>
      </c>
      <c r="H44" s="30">
        <v>10500</v>
      </c>
    </row>
    <row r="45" spans="2:8" x14ac:dyDescent="0.3">
      <c r="B45" s="1">
        <v>41387</v>
      </c>
      <c r="C45" s="3" t="s">
        <v>9</v>
      </c>
      <c r="D45" s="7" t="s">
        <v>12</v>
      </c>
      <c r="E45" s="8">
        <v>148</v>
      </c>
      <c r="F45" s="7">
        <v>150.4</v>
      </c>
      <c r="G45" s="30">
        <v>2000</v>
      </c>
      <c r="H45" s="30">
        <v>4800.0000000000109</v>
      </c>
    </row>
    <row r="46" spans="2:8" x14ac:dyDescent="0.3">
      <c r="B46" s="1">
        <v>41389</v>
      </c>
      <c r="C46" s="3" t="s">
        <v>9</v>
      </c>
      <c r="D46" s="7" t="s">
        <v>35</v>
      </c>
      <c r="E46" s="8">
        <v>499</v>
      </c>
      <c r="F46" s="7">
        <v>508.3</v>
      </c>
      <c r="G46" s="30">
        <v>500</v>
      </c>
      <c r="H46" s="30">
        <v>4650.0000000000055</v>
      </c>
    </row>
    <row r="47" spans="2:8" x14ac:dyDescent="0.3">
      <c r="B47" s="1">
        <v>41390</v>
      </c>
      <c r="C47" s="3" t="s">
        <v>9</v>
      </c>
      <c r="D47" s="7" t="s">
        <v>37</v>
      </c>
      <c r="E47" s="4">
        <v>99.65</v>
      </c>
      <c r="F47" s="5">
        <v>100</v>
      </c>
      <c r="G47" s="30">
        <v>2000</v>
      </c>
      <c r="H47" s="30">
        <v>699.99999999998863</v>
      </c>
    </row>
    <row r="48" spans="2:8" x14ac:dyDescent="0.3">
      <c r="B48" s="1">
        <v>41393</v>
      </c>
      <c r="C48" s="3" t="s">
        <v>9</v>
      </c>
      <c r="D48" s="2" t="s">
        <v>38</v>
      </c>
      <c r="E48" s="5">
        <v>186</v>
      </c>
      <c r="F48" s="7">
        <v>187.7</v>
      </c>
      <c r="G48" s="30">
        <v>2000</v>
      </c>
      <c r="H48" s="30">
        <v>3399.9999999999773</v>
      </c>
    </row>
    <row r="49" spans="2:8" x14ac:dyDescent="0.3">
      <c r="B49" s="1">
        <v>41394</v>
      </c>
      <c r="C49" s="3" t="s">
        <v>9</v>
      </c>
      <c r="D49" s="2" t="s">
        <v>25</v>
      </c>
      <c r="E49" s="8">
        <v>306</v>
      </c>
      <c r="F49" s="7">
        <v>309</v>
      </c>
      <c r="G49" s="30">
        <v>1000</v>
      </c>
      <c r="H49" s="30">
        <v>3000</v>
      </c>
    </row>
    <row r="50" spans="2:8" x14ac:dyDescent="0.3">
      <c r="B50" s="31"/>
      <c r="C50" s="31"/>
      <c r="D50" s="31"/>
      <c r="E50" s="31"/>
      <c r="F50" s="31"/>
      <c r="G50" s="30"/>
      <c r="H50" s="21">
        <v>58925</v>
      </c>
    </row>
    <row r="51" spans="2:8" x14ac:dyDescent="0.3">
      <c r="B51" s="17"/>
      <c r="C51" s="17"/>
      <c r="D51" s="17"/>
      <c r="E51" s="17"/>
      <c r="F51" s="17"/>
    </row>
    <row r="53" spans="2:8" ht="15.6" x14ac:dyDescent="0.3">
      <c r="B53" s="48" t="s">
        <v>242</v>
      </c>
      <c r="C53" s="48"/>
      <c r="D53" s="48"/>
      <c r="E53" s="48"/>
      <c r="F53" s="48"/>
      <c r="G53" s="48"/>
      <c r="H53" s="48"/>
    </row>
    <row r="54" spans="2:8" x14ac:dyDescent="0.3">
      <c r="B54" s="1">
        <v>41365</v>
      </c>
      <c r="C54" s="3" t="s">
        <v>11</v>
      </c>
      <c r="D54" s="2" t="s">
        <v>39</v>
      </c>
      <c r="E54" s="5">
        <v>5702</v>
      </c>
      <c r="F54" s="5">
        <v>5730</v>
      </c>
      <c r="G54" s="8">
        <v>50</v>
      </c>
      <c r="H54" s="30">
        <v>1400</v>
      </c>
    </row>
    <row r="55" spans="2:8" x14ac:dyDescent="0.3">
      <c r="B55" s="1">
        <v>41366</v>
      </c>
      <c r="C55" s="3" t="s">
        <v>11</v>
      </c>
      <c r="D55" s="2" t="s">
        <v>39</v>
      </c>
      <c r="E55" s="5">
        <v>5702</v>
      </c>
      <c r="F55" s="5">
        <v>5730</v>
      </c>
      <c r="G55" s="8">
        <v>50</v>
      </c>
      <c r="H55" s="30">
        <v>1400</v>
      </c>
    </row>
    <row r="56" spans="2:8" x14ac:dyDescent="0.3">
      <c r="B56" s="1">
        <v>41367</v>
      </c>
      <c r="C56" s="3" t="s">
        <v>9</v>
      </c>
      <c r="D56" s="2" t="s">
        <v>40</v>
      </c>
      <c r="E56" s="3">
        <v>11600</v>
      </c>
      <c r="F56" s="3">
        <v>11636</v>
      </c>
      <c r="G56" s="6">
        <v>25</v>
      </c>
      <c r="H56" s="30">
        <v>900</v>
      </c>
    </row>
    <row r="57" spans="2:8" x14ac:dyDescent="0.3">
      <c r="B57" s="1">
        <v>41368</v>
      </c>
      <c r="C57" s="3" t="s">
        <v>8</v>
      </c>
      <c r="D57" s="2" t="s">
        <v>39</v>
      </c>
      <c r="E57" s="3">
        <v>5650</v>
      </c>
      <c r="F57" s="3">
        <v>5586</v>
      </c>
      <c r="G57" s="8">
        <v>50</v>
      </c>
      <c r="H57" s="30">
        <v>3200</v>
      </c>
    </row>
    <row r="58" spans="2:8" x14ac:dyDescent="0.3">
      <c r="B58" s="1">
        <v>41369</v>
      </c>
      <c r="C58" s="3" t="s">
        <v>9</v>
      </c>
      <c r="D58" s="2" t="s">
        <v>39</v>
      </c>
      <c r="E58" s="3">
        <v>5585</v>
      </c>
      <c r="F58" s="3">
        <v>5592</v>
      </c>
      <c r="G58" s="8">
        <v>50</v>
      </c>
      <c r="H58" s="30">
        <v>350</v>
      </c>
    </row>
    <row r="59" spans="2:8" x14ac:dyDescent="0.3">
      <c r="B59" s="1">
        <v>41372</v>
      </c>
      <c r="C59" s="3" t="s">
        <v>9</v>
      </c>
      <c r="D59" s="2" t="s">
        <v>39</v>
      </c>
      <c r="E59" s="3">
        <v>5558</v>
      </c>
      <c r="F59" s="3">
        <v>5574.4</v>
      </c>
      <c r="G59" s="8">
        <v>50</v>
      </c>
      <c r="H59" s="30">
        <v>819.99999999998181</v>
      </c>
    </row>
    <row r="60" spans="2:8" x14ac:dyDescent="0.3">
      <c r="B60" s="1">
        <v>41373</v>
      </c>
      <c r="C60" s="3" t="s">
        <v>9</v>
      </c>
      <c r="D60" s="2" t="s">
        <v>39</v>
      </c>
      <c r="E60" s="3">
        <v>5570</v>
      </c>
      <c r="F60" s="5">
        <v>5534</v>
      </c>
      <c r="G60" s="8">
        <v>50</v>
      </c>
      <c r="H60" s="30">
        <v>-1800</v>
      </c>
    </row>
    <row r="61" spans="2:8" x14ac:dyDescent="0.3">
      <c r="B61" s="1">
        <v>41374</v>
      </c>
      <c r="C61" s="3" t="s">
        <v>9</v>
      </c>
      <c r="D61" s="2" t="s">
        <v>41</v>
      </c>
      <c r="E61" s="3">
        <v>10915</v>
      </c>
      <c r="F61" s="5">
        <v>11048</v>
      </c>
      <c r="G61" s="8">
        <v>25</v>
      </c>
      <c r="H61" s="30">
        <v>3325</v>
      </c>
    </row>
    <row r="62" spans="2:8" x14ac:dyDescent="0.3">
      <c r="B62" s="1">
        <v>41375</v>
      </c>
      <c r="C62" s="3" t="s">
        <v>9</v>
      </c>
      <c r="D62" s="2" t="s">
        <v>39</v>
      </c>
      <c r="E62" s="3">
        <v>5580</v>
      </c>
      <c r="F62" s="3">
        <v>5617.5</v>
      </c>
      <c r="G62" s="8">
        <v>50</v>
      </c>
      <c r="H62" s="30">
        <v>1875</v>
      </c>
    </row>
    <row r="63" spans="2:8" x14ac:dyDescent="0.3">
      <c r="B63" s="1">
        <v>41376</v>
      </c>
      <c r="C63" s="3" t="s">
        <v>8</v>
      </c>
      <c r="D63" s="2" t="s">
        <v>41</v>
      </c>
      <c r="E63" s="3">
        <v>11290</v>
      </c>
      <c r="F63" s="5">
        <v>11370</v>
      </c>
      <c r="G63" s="8">
        <v>25</v>
      </c>
      <c r="H63" s="30">
        <v>-2000</v>
      </c>
    </row>
    <row r="64" spans="2:8" x14ac:dyDescent="0.3">
      <c r="B64" s="1">
        <v>41379</v>
      </c>
      <c r="C64" s="3" t="s">
        <v>9</v>
      </c>
      <c r="D64" s="2" t="s">
        <v>39</v>
      </c>
      <c r="E64" s="3">
        <v>5519</v>
      </c>
      <c r="F64" s="5">
        <v>5582</v>
      </c>
      <c r="G64" s="8">
        <v>50</v>
      </c>
      <c r="H64" s="30">
        <v>3150</v>
      </c>
    </row>
    <row r="65" spans="2:8" x14ac:dyDescent="0.3">
      <c r="B65" s="1">
        <v>41380</v>
      </c>
      <c r="C65" s="3" t="s">
        <v>9</v>
      </c>
      <c r="D65" s="2" t="s">
        <v>39</v>
      </c>
      <c r="E65" s="5">
        <v>5623</v>
      </c>
      <c r="F65" s="3">
        <v>5687</v>
      </c>
      <c r="G65" s="5">
        <v>50</v>
      </c>
      <c r="H65" s="30">
        <v>3200</v>
      </c>
    </row>
    <row r="66" spans="2:8" x14ac:dyDescent="0.3">
      <c r="B66" s="1">
        <v>41381</v>
      </c>
      <c r="C66" s="3" t="s">
        <v>9</v>
      </c>
      <c r="D66" s="2" t="s">
        <v>39</v>
      </c>
      <c r="E66" s="5">
        <v>5704</v>
      </c>
      <c r="F66" s="3">
        <v>5724.5</v>
      </c>
      <c r="G66" s="5">
        <v>50</v>
      </c>
      <c r="H66" s="30">
        <v>1025</v>
      </c>
    </row>
    <row r="67" spans="2:8" x14ac:dyDescent="0.3">
      <c r="B67" s="1">
        <v>41382</v>
      </c>
      <c r="C67" s="3" t="s">
        <v>9</v>
      </c>
      <c r="D67" s="2" t="s">
        <v>39</v>
      </c>
      <c r="E67" s="5">
        <v>5718</v>
      </c>
      <c r="F67" s="5">
        <v>5763.5</v>
      </c>
      <c r="G67" s="5">
        <v>50</v>
      </c>
      <c r="H67" s="30">
        <v>2275</v>
      </c>
    </row>
    <row r="68" spans="2:8" x14ac:dyDescent="0.3">
      <c r="B68" s="1">
        <v>41386</v>
      </c>
      <c r="C68" s="3" t="s">
        <v>9</v>
      </c>
      <c r="D68" s="2" t="s">
        <v>41</v>
      </c>
      <c r="E68" s="5">
        <v>12466</v>
      </c>
      <c r="F68" s="5">
        <v>12542</v>
      </c>
      <c r="G68" s="5">
        <v>25</v>
      </c>
      <c r="H68" s="30">
        <v>1900</v>
      </c>
    </row>
    <row r="69" spans="2:8" x14ac:dyDescent="0.3">
      <c r="B69" s="1">
        <v>41387</v>
      </c>
      <c r="C69" s="3" t="s">
        <v>9</v>
      </c>
      <c r="D69" s="2" t="s">
        <v>39</v>
      </c>
      <c r="E69" s="5">
        <v>5798</v>
      </c>
      <c r="F69" s="5">
        <v>5841.5</v>
      </c>
      <c r="G69" s="5">
        <v>50</v>
      </c>
      <c r="H69" s="30">
        <v>2175</v>
      </c>
    </row>
    <row r="70" spans="2:8" x14ac:dyDescent="0.3">
      <c r="B70" s="1">
        <v>41389</v>
      </c>
      <c r="C70" s="3" t="s">
        <v>8</v>
      </c>
      <c r="D70" s="2" t="s">
        <v>41</v>
      </c>
      <c r="E70" s="5">
        <v>12652</v>
      </c>
      <c r="F70" s="7">
        <v>12730</v>
      </c>
      <c r="G70" s="5">
        <v>25</v>
      </c>
      <c r="H70" s="30">
        <v>-1950</v>
      </c>
    </row>
    <row r="71" spans="2:8" x14ac:dyDescent="0.3">
      <c r="B71" s="1">
        <v>41390</v>
      </c>
      <c r="C71" s="3" t="s">
        <v>9</v>
      </c>
      <c r="D71" s="2" t="s">
        <v>41</v>
      </c>
      <c r="E71" s="5">
        <v>12575</v>
      </c>
      <c r="F71" s="5">
        <v>12665</v>
      </c>
      <c r="G71" s="5">
        <v>25</v>
      </c>
      <c r="H71" s="30">
        <v>2250</v>
      </c>
    </row>
    <row r="72" spans="2:8" x14ac:dyDescent="0.3">
      <c r="B72" s="1">
        <v>41393</v>
      </c>
      <c r="C72" s="3" t="s">
        <v>9</v>
      </c>
      <c r="D72" s="2" t="s">
        <v>39</v>
      </c>
      <c r="E72" s="5">
        <v>5896</v>
      </c>
      <c r="F72" s="5">
        <v>5934</v>
      </c>
      <c r="G72" s="5">
        <v>50</v>
      </c>
      <c r="H72" s="30">
        <v>1900</v>
      </c>
    </row>
    <row r="73" spans="2:8" x14ac:dyDescent="0.3">
      <c r="B73" s="1">
        <v>41394</v>
      </c>
      <c r="C73" s="3" t="s">
        <v>9</v>
      </c>
      <c r="D73" s="2" t="s">
        <v>39</v>
      </c>
      <c r="E73" s="5">
        <v>5900</v>
      </c>
      <c r="F73" s="5">
        <v>5910</v>
      </c>
      <c r="G73" s="5">
        <v>50</v>
      </c>
      <c r="H73" s="30">
        <v>500</v>
      </c>
    </row>
    <row r="74" spans="2:8" x14ac:dyDescent="0.3">
      <c r="H74" s="21">
        <v>25895</v>
      </c>
    </row>
    <row r="76" spans="2:8" ht="15.6" x14ac:dyDescent="0.3">
      <c r="B76" s="48" t="s">
        <v>64</v>
      </c>
      <c r="C76" s="48"/>
      <c r="D76" s="48"/>
      <c r="E76" s="48"/>
      <c r="F76" s="48"/>
      <c r="G76" s="48"/>
      <c r="H76" s="48"/>
    </row>
    <row r="77" spans="2:8" x14ac:dyDescent="0.3">
      <c r="B77" s="1">
        <v>41365</v>
      </c>
      <c r="C77" s="3" t="s">
        <v>65</v>
      </c>
      <c r="D77" s="3" t="s">
        <v>73</v>
      </c>
      <c r="E77" s="2">
        <v>98</v>
      </c>
      <c r="F77" s="6">
        <v>116.5</v>
      </c>
      <c r="G77" s="8">
        <v>200</v>
      </c>
      <c r="H77" s="24">
        <v>2850</v>
      </c>
    </row>
    <row r="78" spans="2:8" x14ac:dyDescent="0.3">
      <c r="B78" s="1">
        <v>41366</v>
      </c>
      <c r="C78" s="3" t="s">
        <v>65</v>
      </c>
      <c r="D78" s="3" t="s">
        <v>74</v>
      </c>
      <c r="E78" s="2">
        <v>149</v>
      </c>
      <c r="F78" s="6">
        <v>182</v>
      </c>
      <c r="G78" s="8">
        <v>200</v>
      </c>
      <c r="H78" s="24">
        <v>5300</v>
      </c>
    </row>
    <row r="79" spans="2:8" x14ac:dyDescent="0.3">
      <c r="B79" s="1">
        <v>41367</v>
      </c>
      <c r="C79" s="3" t="s">
        <v>65</v>
      </c>
      <c r="D79" s="3" t="s">
        <v>73</v>
      </c>
      <c r="E79" s="2">
        <v>102</v>
      </c>
      <c r="F79" s="6">
        <v>122</v>
      </c>
      <c r="G79" s="8">
        <v>200</v>
      </c>
      <c r="H79" s="24">
        <v>-3600</v>
      </c>
    </row>
    <row r="80" spans="2:8" x14ac:dyDescent="0.3">
      <c r="B80" s="1">
        <v>41368</v>
      </c>
      <c r="C80" s="3" t="s">
        <v>69</v>
      </c>
      <c r="D80" s="3" t="s">
        <v>73</v>
      </c>
      <c r="E80" s="2">
        <v>104.5</v>
      </c>
      <c r="F80" s="6">
        <v>125</v>
      </c>
      <c r="G80" s="8">
        <v>200</v>
      </c>
      <c r="H80" s="24">
        <v>600</v>
      </c>
    </row>
    <row r="81" spans="2:8" x14ac:dyDescent="0.3">
      <c r="B81" s="1">
        <v>41369</v>
      </c>
      <c r="C81" s="3" t="s">
        <v>65</v>
      </c>
      <c r="D81" s="3" t="s">
        <v>75</v>
      </c>
      <c r="E81" s="2">
        <v>125</v>
      </c>
      <c r="F81" s="6">
        <v>145</v>
      </c>
      <c r="G81" s="8">
        <v>200</v>
      </c>
      <c r="H81" s="24">
        <v>1000</v>
      </c>
    </row>
    <row r="82" spans="2:8" x14ac:dyDescent="0.3">
      <c r="B82" s="1">
        <v>41373</v>
      </c>
      <c r="C82" s="3" t="s">
        <v>65</v>
      </c>
      <c r="D82" s="3" t="s">
        <v>75</v>
      </c>
      <c r="E82" s="2">
        <v>117.5</v>
      </c>
      <c r="F82" s="6">
        <v>138</v>
      </c>
      <c r="G82" s="8">
        <v>200</v>
      </c>
      <c r="H82" s="24">
        <v>-3700</v>
      </c>
    </row>
    <row r="83" spans="2:8" x14ac:dyDescent="0.3">
      <c r="B83" s="1">
        <v>41374</v>
      </c>
      <c r="C83" s="3" t="s">
        <v>65</v>
      </c>
      <c r="D83" s="3" t="s">
        <v>76</v>
      </c>
      <c r="E83" s="2">
        <v>140</v>
      </c>
      <c r="F83" s="6">
        <v>158</v>
      </c>
      <c r="G83" s="8">
        <v>200</v>
      </c>
      <c r="H83" s="24">
        <v>2900</v>
      </c>
    </row>
    <row r="84" spans="2:8" x14ac:dyDescent="0.3">
      <c r="B84" s="1">
        <v>41375</v>
      </c>
      <c r="C84" s="3" t="s">
        <v>65</v>
      </c>
      <c r="D84" s="3" t="s">
        <v>75</v>
      </c>
      <c r="E84" s="2">
        <v>117.5</v>
      </c>
      <c r="F84" s="6">
        <v>138.5</v>
      </c>
      <c r="G84" s="8">
        <v>200</v>
      </c>
      <c r="H84" s="24">
        <v>3450</v>
      </c>
    </row>
    <row r="85" spans="2:8" x14ac:dyDescent="0.3">
      <c r="B85" s="1">
        <v>41376</v>
      </c>
      <c r="C85" s="3" t="s">
        <v>69</v>
      </c>
      <c r="D85" s="3" t="s">
        <v>74</v>
      </c>
      <c r="E85" s="2">
        <v>108</v>
      </c>
      <c r="F85" s="6">
        <v>128</v>
      </c>
      <c r="G85" s="8">
        <v>200</v>
      </c>
      <c r="H85" s="24">
        <v>1000</v>
      </c>
    </row>
    <row r="86" spans="2:8" x14ac:dyDescent="0.3">
      <c r="B86" s="1">
        <v>41379</v>
      </c>
      <c r="C86" s="3" t="s">
        <v>65</v>
      </c>
      <c r="D86" s="3" t="s">
        <v>76</v>
      </c>
      <c r="E86" s="2">
        <v>137</v>
      </c>
      <c r="F86" s="6">
        <v>183.5</v>
      </c>
      <c r="G86" s="8">
        <v>200</v>
      </c>
      <c r="H86" s="24">
        <v>6650</v>
      </c>
    </row>
    <row r="87" spans="2:8" x14ac:dyDescent="0.3">
      <c r="B87" s="1">
        <v>41380</v>
      </c>
      <c r="C87" s="3" t="s">
        <v>65</v>
      </c>
      <c r="D87" s="3" t="s">
        <v>75</v>
      </c>
      <c r="E87" s="2">
        <v>142</v>
      </c>
      <c r="F87" s="6">
        <v>181</v>
      </c>
      <c r="G87" s="8">
        <v>200</v>
      </c>
      <c r="H87" s="24">
        <v>5700</v>
      </c>
    </row>
    <row r="88" spans="2:8" x14ac:dyDescent="0.3">
      <c r="B88" s="1">
        <v>41381</v>
      </c>
      <c r="C88" s="3" t="s">
        <v>65</v>
      </c>
      <c r="D88" s="3" t="s">
        <v>74</v>
      </c>
      <c r="E88" s="2">
        <v>121.5</v>
      </c>
      <c r="F88" s="6">
        <v>141.5</v>
      </c>
      <c r="G88" s="8">
        <v>200</v>
      </c>
      <c r="H88" s="24">
        <v>2800</v>
      </c>
    </row>
    <row r="89" spans="2:8" x14ac:dyDescent="0.3">
      <c r="B89" s="1">
        <v>41382</v>
      </c>
      <c r="C89" s="3" t="s">
        <v>65</v>
      </c>
      <c r="D89" s="3" t="s">
        <v>74</v>
      </c>
      <c r="E89" s="6">
        <v>116</v>
      </c>
      <c r="F89" s="6">
        <v>150</v>
      </c>
      <c r="G89" s="8">
        <v>200</v>
      </c>
      <c r="H89" s="24">
        <v>5550</v>
      </c>
    </row>
    <row r="90" spans="2:8" x14ac:dyDescent="0.3">
      <c r="B90" s="1">
        <v>41386</v>
      </c>
      <c r="C90" s="3" t="s">
        <v>65</v>
      </c>
      <c r="D90" s="3" t="s">
        <v>77</v>
      </c>
      <c r="E90" s="6">
        <v>121</v>
      </c>
      <c r="F90" s="6">
        <v>142</v>
      </c>
      <c r="G90" s="8">
        <v>200</v>
      </c>
      <c r="H90" s="24">
        <v>400</v>
      </c>
    </row>
    <row r="91" spans="2:8" x14ac:dyDescent="0.3">
      <c r="B91" s="1">
        <v>41387</v>
      </c>
      <c r="C91" s="3" t="s">
        <v>65</v>
      </c>
      <c r="D91" s="3" t="s">
        <v>77</v>
      </c>
      <c r="E91" s="2">
        <v>119</v>
      </c>
      <c r="F91" s="6">
        <v>138.5</v>
      </c>
      <c r="G91" s="8">
        <v>200</v>
      </c>
      <c r="H91" s="24">
        <v>3000</v>
      </c>
    </row>
    <row r="92" spans="2:8" x14ac:dyDescent="0.3">
      <c r="B92" s="1">
        <v>41389</v>
      </c>
      <c r="C92" s="3" t="s">
        <v>65</v>
      </c>
      <c r="D92" s="3" t="s">
        <v>66</v>
      </c>
      <c r="E92" s="2">
        <v>106</v>
      </c>
      <c r="F92" s="6">
        <v>126</v>
      </c>
      <c r="G92" s="8">
        <v>200</v>
      </c>
      <c r="H92" s="24">
        <v>-4400</v>
      </c>
    </row>
    <row r="93" spans="2:8" x14ac:dyDescent="0.3">
      <c r="B93" s="1">
        <v>41390</v>
      </c>
      <c r="C93" s="3" t="s">
        <v>65</v>
      </c>
      <c r="D93" s="3" t="s">
        <v>77</v>
      </c>
      <c r="E93" s="8">
        <v>155.75</v>
      </c>
      <c r="F93" s="6">
        <v>176</v>
      </c>
      <c r="G93" s="8">
        <v>200</v>
      </c>
      <c r="H93" s="24">
        <v>769.99999999999886</v>
      </c>
    </row>
    <row r="94" spans="2:8" x14ac:dyDescent="0.3">
      <c r="B94" s="1">
        <v>41393</v>
      </c>
      <c r="C94" s="3" t="s">
        <v>65</v>
      </c>
      <c r="D94" s="3" t="s">
        <v>77</v>
      </c>
      <c r="E94" s="8">
        <v>151.5</v>
      </c>
      <c r="F94" s="6">
        <v>172</v>
      </c>
      <c r="G94" s="8">
        <v>200</v>
      </c>
      <c r="H94" s="24">
        <v>850</v>
      </c>
    </row>
    <row r="95" spans="2:8" x14ac:dyDescent="0.3">
      <c r="B95" s="1">
        <v>41394</v>
      </c>
      <c r="C95" s="3" t="s">
        <v>65</v>
      </c>
      <c r="D95" s="3" t="s">
        <v>66</v>
      </c>
      <c r="E95" s="8">
        <v>111</v>
      </c>
      <c r="F95" s="6">
        <v>132</v>
      </c>
      <c r="G95" s="8">
        <v>200</v>
      </c>
      <c r="H95" s="24">
        <v>-4000</v>
      </c>
    </row>
    <row r="96" spans="2:8" x14ac:dyDescent="0.3">
      <c r="B96" s="23"/>
      <c r="C96" s="3"/>
      <c r="D96" s="3"/>
      <c r="E96" s="2"/>
      <c r="F96" s="2"/>
      <c r="G96" s="8"/>
      <c r="H96" s="27">
        <v>27120</v>
      </c>
    </row>
  </sheetData>
  <mergeCells count="3">
    <mergeCell ref="B1:H1"/>
    <mergeCell ref="B2:H2"/>
    <mergeCell ref="B3:H3"/>
  </mergeCells>
  <hyperlinks>
    <hyperlink ref="J2" location="'MASTER '!A1" display="Back" xr:uid="{00000000-0004-0000-0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2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x14ac:dyDescent="0.3">
      <c r="A1" s="9"/>
      <c r="B1" s="281"/>
      <c r="C1" s="281"/>
      <c r="D1" s="281"/>
      <c r="E1" s="281"/>
      <c r="F1" s="281"/>
      <c r="G1" s="281"/>
      <c r="H1" s="281"/>
      <c r="I1" s="9"/>
    </row>
    <row r="2" spans="1:11" ht="24.6" x14ac:dyDescent="0.3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</row>
    <row r="3" spans="1:11" ht="15.6" x14ac:dyDescent="0.3">
      <c r="A3" s="11"/>
      <c r="B3" s="284" t="s">
        <v>182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41640</v>
      </c>
      <c r="C6" s="2" t="s">
        <v>11</v>
      </c>
      <c r="D6" s="2" t="s">
        <v>28</v>
      </c>
      <c r="E6" s="4">
        <v>638</v>
      </c>
      <c r="F6" s="2">
        <v>645</v>
      </c>
      <c r="G6" s="5">
        <v>1000</v>
      </c>
      <c r="H6" s="4">
        <v>3500</v>
      </c>
      <c r="K6" s="16"/>
    </row>
    <row r="7" spans="1:11" x14ac:dyDescent="0.3">
      <c r="B7" s="1">
        <v>41641</v>
      </c>
      <c r="C7" s="2" t="s">
        <v>11</v>
      </c>
      <c r="D7" s="2" t="s">
        <v>188</v>
      </c>
      <c r="E7" s="5">
        <v>116.5</v>
      </c>
      <c r="F7" s="2">
        <v>114.5</v>
      </c>
      <c r="G7" s="5">
        <v>2575.1072961373388</v>
      </c>
      <c r="H7" s="4">
        <v>-5150.2145922746777</v>
      </c>
      <c r="K7" s="16"/>
    </row>
    <row r="8" spans="1:11" x14ac:dyDescent="0.3">
      <c r="B8" s="1">
        <v>41642</v>
      </c>
      <c r="C8" s="2" t="s">
        <v>8</v>
      </c>
      <c r="D8" s="2" t="s">
        <v>25</v>
      </c>
      <c r="E8" s="5">
        <v>418</v>
      </c>
      <c r="F8" s="7">
        <v>411.1</v>
      </c>
      <c r="G8" s="5">
        <v>717.7033492822967</v>
      </c>
      <c r="H8" s="4">
        <v>3803.8277511961601</v>
      </c>
      <c r="K8" s="16"/>
    </row>
    <row r="9" spans="1:11" x14ac:dyDescent="0.3">
      <c r="B9" s="1">
        <v>41645</v>
      </c>
      <c r="C9" s="2" t="s">
        <v>8</v>
      </c>
      <c r="D9" s="2" t="s">
        <v>120</v>
      </c>
      <c r="E9" s="4">
        <v>236.5</v>
      </c>
      <c r="F9" s="7">
        <v>232.65</v>
      </c>
      <c r="G9" s="5">
        <v>1268.4989429175475</v>
      </c>
      <c r="H9" s="4">
        <v>4154.3340380549571</v>
      </c>
      <c r="K9" s="16"/>
    </row>
    <row r="10" spans="1:11" x14ac:dyDescent="0.3">
      <c r="B10" s="1">
        <v>41646</v>
      </c>
      <c r="C10" s="2" t="s">
        <v>11</v>
      </c>
      <c r="D10" s="2" t="s">
        <v>28</v>
      </c>
      <c r="E10" s="5">
        <v>614</v>
      </c>
      <c r="F10" s="2">
        <v>604</v>
      </c>
      <c r="G10" s="5">
        <v>488.59934853420197</v>
      </c>
      <c r="H10" s="4">
        <v>-4885.99348534202</v>
      </c>
      <c r="K10" s="16"/>
    </row>
    <row r="11" spans="1:11" x14ac:dyDescent="0.3">
      <c r="B11" s="1">
        <v>41648</v>
      </c>
      <c r="C11" s="2" t="s">
        <v>8</v>
      </c>
      <c r="D11" s="2" t="s">
        <v>19</v>
      </c>
      <c r="E11" s="4">
        <v>1660.5</v>
      </c>
      <c r="F11" s="7">
        <v>1633</v>
      </c>
      <c r="G11" s="5">
        <v>180.66847335140019</v>
      </c>
      <c r="H11" s="4">
        <v>4336.0433604336049</v>
      </c>
      <c r="K11" s="16"/>
    </row>
    <row r="12" spans="1:11" x14ac:dyDescent="0.3">
      <c r="B12" s="1">
        <v>41649</v>
      </c>
      <c r="C12" s="2" t="s">
        <v>8</v>
      </c>
      <c r="D12" s="2" t="s">
        <v>78</v>
      </c>
      <c r="E12" s="5">
        <v>968</v>
      </c>
      <c r="F12" s="8">
        <v>958.8</v>
      </c>
      <c r="G12" s="5">
        <v>309.91735537190084</v>
      </c>
      <c r="H12" s="4">
        <v>1425.6198347107509</v>
      </c>
      <c r="K12" s="16"/>
    </row>
    <row r="13" spans="1:11" x14ac:dyDescent="0.3">
      <c r="B13" s="1">
        <v>41652</v>
      </c>
      <c r="C13" s="2" t="s">
        <v>11</v>
      </c>
      <c r="D13" s="2" t="s">
        <v>78</v>
      </c>
      <c r="E13" s="5">
        <v>964</v>
      </c>
      <c r="F13" s="2">
        <v>980</v>
      </c>
      <c r="G13" s="5">
        <v>311.20331950207469</v>
      </c>
      <c r="H13" s="4">
        <v>3960.0622406639077</v>
      </c>
      <c r="K13" s="16"/>
    </row>
    <row r="14" spans="1:11" x14ac:dyDescent="0.3">
      <c r="B14" s="1">
        <v>41653</v>
      </c>
      <c r="C14" s="2" t="s">
        <v>8</v>
      </c>
      <c r="D14" s="2" t="s">
        <v>124</v>
      </c>
      <c r="E14" s="4">
        <v>373.1</v>
      </c>
      <c r="F14" s="8">
        <v>369</v>
      </c>
      <c r="G14" s="5">
        <v>804.07397480568204</v>
      </c>
      <c r="H14" s="4">
        <v>1648.3516483516573</v>
      </c>
      <c r="K14" s="16"/>
    </row>
    <row r="15" spans="1:11" x14ac:dyDescent="0.3">
      <c r="B15" s="1">
        <v>41654</v>
      </c>
      <c r="C15" s="2" t="s">
        <v>9</v>
      </c>
      <c r="D15" s="2" t="s">
        <v>60</v>
      </c>
      <c r="E15" s="4">
        <v>674.5</v>
      </c>
      <c r="F15" s="7">
        <v>681.3</v>
      </c>
      <c r="G15" s="5">
        <v>444.77390659747959</v>
      </c>
      <c r="H15" s="4">
        <v>3024.4625648628412</v>
      </c>
      <c r="K15" s="16"/>
    </row>
    <row r="16" spans="1:11" x14ac:dyDescent="0.3">
      <c r="B16" s="1">
        <v>41655</v>
      </c>
      <c r="C16" s="2" t="s">
        <v>8</v>
      </c>
      <c r="D16" s="2" t="s">
        <v>109</v>
      </c>
      <c r="E16" s="5">
        <v>900</v>
      </c>
      <c r="F16" s="7">
        <v>890</v>
      </c>
      <c r="G16" s="5">
        <v>333.33333333333331</v>
      </c>
      <c r="H16" s="4">
        <v>3333.333333333333</v>
      </c>
      <c r="K16" s="16"/>
    </row>
    <row r="17" spans="2:11" x14ac:dyDescent="0.3">
      <c r="B17" s="1">
        <v>41656</v>
      </c>
      <c r="C17" s="2" t="s">
        <v>9</v>
      </c>
      <c r="D17" s="2" t="s">
        <v>107</v>
      </c>
      <c r="E17" s="4">
        <v>1925</v>
      </c>
      <c r="F17" s="7">
        <v>1933</v>
      </c>
      <c r="G17" s="5">
        <v>155.84415584415584</v>
      </c>
      <c r="H17" s="4">
        <v>1246.7532467532467</v>
      </c>
      <c r="K17" s="16"/>
    </row>
    <row r="18" spans="2:11" x14ac:dyDescent="0.3">
      <c r="B18" s="1">
        <v>41659</v>
      </c>
      <c r="C18" s="2" t="s">
        <v>8</v>
      </c>
      <c r="D18" s="2" t="s">
        <v>78</v>
      </c>
      <c r="E18" s="4">
        <v>1001</v>
      </c>
      <c r="F18" s="2">
        <v>989.25</v>
      </c>
      <c r="G18" s="5">
        <v>299.70029970029969</v>
      </c>
      <c r="H18" s="4">
        <v>3521.4785214785215</v>
      </c>
      <c r="K18" s="16"/>
    </row>
    <row r="19" spans="2:11" x14ac:dyDescent="0.3">
      <c r="B19" s="1">
        <v>41660</v>
      </c>
      <c r="C19" s="2" t="s">
        <v>9</v>
      </c>
      <c r="D19" s="2" t="s">
        <v>16</v>
      </c>
      <c r="E19" s="5">
        <v>218</v>
      </c>
      <c r="F19" s="2">
        <v>220.3</v>
      </c>
      <c r="G19" s="5">
        <v>1376.1467889908256</v>
      </c>
      <c r="H19" s="4">
        <v>1582.5688073394572</v>
      </c>
      <c r="K19" s="16"/>
    </row>
    <row r="20" spans="2:11" x14ac:dyDescent="0.3">
      <c r="B20" s="1">
        <v>41661</v>
      </c>
      <c r="C20" s="2" t="s">
        <v>9</v>
      </c>
      <c r="D20" s="2" t="s">
        <v>146</v>
      </c>
      <c r="E20" s="5">
        <v>131</v>
      </c>
      <c r="F20" s="2">
        <v>133.1</v>
      </c>
      <c r="G20" s="5">
        <v>2290.0763358778627</v>
      </c>
      <c r="H20" s="4">
        <v>3664.1221374045672</v>
      </c>
      <c r="K20" s="16"/>
    </row>
    <row r="21" spans="2:11" x14ac:dyDescent="0.3">
      <c r="B21" s="1">
        <v>41662</v>
      </c>
      <c r="C21" s="2" t="s">
        <v>9</v>
      </c>
      <c r="D21" s="2" t="s">
        <v>107</v>
      </c>
      <c r="E21" s="5">
        <v>1941</v>
      </c>
      <c r="F21" s="2">
        <v>1922</v>
      </c>
      <c r="G21" s="5">
        <v>154.5595054095827</v>
      </c>
      <c r="H21" s="4">
        <v>-1468</v>
      </c>
      <c r="K21" s="16"/>
    </row>
    <row r="22" spans="2:11" x14ac:dyDescent="0.3">
      <c r="B22" s="1">
        <v>41663</v>
      </c>
      <c r="C22" s="2" t="s">
        <v>8</v>
      </c>
      <c r="D22" s="2" t="s">
        <v>16</v>
      </c>
      <c r="E22" s="5">
        <v>223</v>
      </c>
      <c r="F22" s="7">
        <v>218.3</v>
      </c>
      <c r="G22" s="5">
        <v>1345.2914798206277</v>
      </c>
      <c r="H22" s="4">
        <v>5078.4753363228583</v>
      </c>
      <c r="K22" s="16"/>
    </row>
    <row r="23" spans="2:11" x14ac:dyDescent="0.3">
      <c r="B23" s="1">
        <v>41666</v>
      </c>
      <c r="C23" s="2" t="s">
        <v>8</v>
      </c>
      <c r="D23" s="2" t="s">
        <v>36</v>
      </c>
      <c r="E23" s="3">
        <v>1032.5</v>
      </c>
      <c r="F23" s="8">
        <v>1010</v>
      </c>
      <c r="G23" s="5">
        <v>290.55690072639226</v>
      </c>
      <c r="H23" s="4">
        <v>5593.2203389830511</v>
      </c>
      <c r="K23" s="16"/>
    </row>
    <row r="24" spans="2:11" x14ac:dyDescent="0.3">
      <c r="B24" s="1">
        <v>41667</v>
      </c>
      <c r="C24" s="28" t="s">
        <v>8</v>
      </c>
      <c r="D24" s="28" t="s">
        <v>26</v>
      </c>
      <c r="E24" s="28">
        <v>143</v>
      </c>
      <c r="F24" s="28">
        <v>140</v>
      </c>
      <c r="G24" s="49">
        <v>2142</v>
      </c>
      <c r="H24" s="28">
        <v>6426</v>
      </c>
      <c r="K24" s="16"/>
    </row>
    <row r="25" spans="2:11" x14ac:dyDescent="0.3">
      <c r="B25" s="1">
        <v>41668</v>
      </c>
      <c r="C25" s="30" t="s">
        <v>8</v>
      </c>
      <c r="D25" s="30" t="s">
        <v>109</v>
      </c>
      <c r="E25" s="30">
        <v>870</v>
      </c>
      <c r="F25" s="30">
        <v>860</v>
      </c>
      <c r="G25" s="49">
        <v>344</v>
      </c>
      <c r="H25" s="28">
        <v>3440</v>
      </c>
    </row>
    <row r="26" spans="2:11" ht="15.6" x14ac:dyDescent="0.3">
      <c r="B26" s="1">
        <v>41669</v>
      </c>
      <c r="C26" s="28" t="s">
        <v>8</v>
      </c>
      <c r="D26" s="28" t="s">
        <v>107</v>
      </c>
      <c r="E26" s="28">
        <v>1920</v>
      </c>
      <c r="F26" s="28">
        <v>1890</v>
      </c>
      <c r="G26" s="49">
        <v>156</v>
      </c>
      <c r="H26" s="36">
        <v>4680</v>
      </c>
    </row>
    <row r="27" spans="2:11" x14ac:dyDescent="0.3">
      <c r="B27" s="1">
        <v>41670</v>
      </c>
      <c r="C27" s="28" t="s">
        <v>9</v>
      </c>
      <c r="D27" s="28" t="s">
        <v>132</v>
      </c>
      <c r="E27" s="28">
        <v>357</v>
      </c>
      <c r="F27" s="28">
        <v>360</v>
      </c>
      <c r="G27" s="49">
        <v>840</v>
      </c>
      <c r="H27" s="28">
        <v>2520</v>
      </c>
    </row>
    <row r="28" spans="2:11" x14ac:dyDescent="0.3">
      <c r="B28" s="1"/>
      <c r="C28" s="28"/>
      <c r="D28" s="28"/>
      <c r="E28" s="28"/>
      <c r="F28" s="28"/>
      <c r="G28" s="28"/>
      <c r="H28" s="29">
        <v>55434.45</v>
      </c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41640</v>
      </c>
      <c r="C32" s="2" t="s">
        <v>11</v>
      </c>
      <c r="D32" s="2" t="s">
        <v>28</v>
      </c>
      <c r="E32" s="41">
        <v>638</v>
      </c>
      <c r="F32" s="40">
        <v>645</v>
      </c>
      <c r="G32" s="5">
        <v>500</v>
      </c>
      <c r="H32" s="40" t="s">
        <v>245</v>
      </c>
    </row>
    <row r="33" spans="2:8" x14ac:dyDescent="0.3">
      <c r="B33" s="1">
        <v>41641</v>
      </c>
      <c r="C33" s="2" t="s">
        <v>8</v>
      </c>
      <c r="D33" s="2" t="s">
        <v>56</v>
      </c>
      <c r="E33" s="41">
        <v>130.5</v>
      </c>
      <c r="F33" s="40">
        <v>129.5</v>
      </c>
      <c r="G33" s="5">
        <v>2000</v>
      </c>
      <c r="H33" s="28">
        <v>2000</v>
      </c>
    </row>
    <row r="34" spans="2:8" x14ac:dyDescent="0.3">
      <c r="B34" s="1">
        <v>41642</v>
      </c>
      <c r="C34" s="2" t="s">
        <v>9</v>
      </c>
      <c r="D34" s="2" t="s">
        <v>37</v>
      </c>
      <c r="E34" s="41">
        <v>121</v>
      </c>
      <c r="F34" s="40">
        <v>120</v>
      </c>
      <c r="G34" s="5">
        <v>2000</v>
      </c>
      <c r="H34" s="28">
        <v>-2000</v>
      </c>
    </row>
    <row r="35" spans="2:8" x14ac:dyDescent="0.3">
      <c r="B35" s="1">
        <v>41645</v>
      </c>
      <c r="C35" s="2" t="s">
        <v>8</v>
      </c>
      <c r="D35" s="2" t="s">
        <v>36</v>
      </c>
      <c r="E35" s="41">
        <v>1070</v>
      </c>
      <c r="F35" s="40">
        <v>1050</v>
      </c>
      <c r="G35" s="5">
        <v>250</v>
      </c>
      <c r="H35" s="28">
        <v>5000</v>
      </c>
    </row>
    <row r="36" spans="2:8" x14ac:dyDescent="0.3">
      <c r="B36" s="1">
        <v>41646</v>
      </c>
      <c r="C36" s="2" t="s">
        <v>8</v>
      </c>
      <c r="D36" s="2" t="s">
        <v>120</v>
      </c>
      <c r="E36" s="41">
        <v>230</v>
      </c>
      <c r="F36" s="40">
        <v>228</v>
      </c>
      <c r="G36" s="5">
        <v>2000</v>
      </c>
      <c r="H36" s="28">
        <v>4000</v>
      </c>
    </row>
    <row r="37" spans="2:8" x14ac:dyDescent="0.3">
      <c r="B37" s="1">
        <v>41647</v>
      </c>
      <c r="C37" s="2" t="s">
        <v>8</v>
      </c>
      <c r="D37" s="2" t="s">
        <v>37</v>
      </c>
      <c r="E37" s="41">
        <v>118</v>
      </c>
      <c r="F37" s="40">
        <v>116</v>
      </c>
      <c r="G37" s="5">
        <v>2000</v>
      </c>
      <c r="H37" s="28">
        <v>4000</v>
      </c>
    </row>
    <row r="38" spans="2:8" x14ac:dyDescent="0.3">
      <c r="B38" s="1">
        <v>41648</v>
      </c>
      <c r="C38" s="2" t="s">
        <v>8</v>
      </c>
      <c r="D38" s="2" t="s">
        <v>20</v>
      </c>
      <c r="E38" s="41">
        <v>1205</v>
      </c>
      <c r="F38" s="40">
        <v>1190</v>
      </c>
      <c r="G38" s="5">
        <v>250</v>
      </c>
      <c r="H38" s="28">
        <v>3000</v>
      </c>
    </row>
    <row r="39" spans="2:8" x14ac:dyDescent="0.3">
      <c r="B39" s="1">
        <v>41649</v>
      </c>
      <c r="C39" s="2" t="s">
        <v>8</v>
      </c>
      <c r="D39" s="2" t="s">
        <v>37</v>
      </c>
      <c r="E39" s="41">
        <v>113</v>
      </c>
      <c r="F39" s="40">
        <v>111</v>
      </c>
      <c r="G39" s="5">
        <v>2000</v>
      </c>
      <c r="H39" s="28">
        <v>4000</v>
      </c>
    </row>
    <row r="40" spans="2:8" x14ac:dyDescent="0.3">
      <c r="B40" s="1">
        <v>41652</v>
      </c>
      <c r="C40" s="2" t="s">
        <v>11</v>
      </c>
      <c r="D40" s="2" t="s">
        <v>78</v>
      </c>
      <c r="E40" s="41">
        <v>965</v>
      </c>
      <c r="F40" s="40">
        <v>980</v>
      </c>
      <c r="G40" s="5">
        <v>500</v>
      </c>
      <c r="H40" s="28">
        <v>7500</v>
      </c>
    </row>
    <row r="41" spans="2:8" x14ac:dyDescent="0.3">
      <c r="B41" s="1">
        <v>41653</v>
      </c>
      <c r="C41" s="2" t="s">
        <v>9</v>
      </c>
      <c r="D41" s="2" t="s">
        <v>22</v>
      </c>
      <c r="E41" s="41">
        <v>100.5</v>
      </c>
      <c r="F41" s="40">
        <v>101</v>
      </c>
      <c r="G41" s="5">
        <v>4000</v>
      </c>
      <c r="H41" s="28">
        <v>2000</v>
      </c>
    </row>
    <row r="42" spans="2:8" x14ac:dyDescent="0.3">
      <c r="B42" s="1">
        <v>41654</v>
      </c>
      <c r="C42" s="2" t="s">
        <v>9</v>
      </c>
      <c r="D42" s="2" t="s">
        <v>78</v>
      </c>
      <c r="E42" s="41">
        <v>985</v>
      </c>
      <c r="F42" s="40">
        <v>1000</v>
      </c>
      <c r="G42" s="5">
        <v>500</v>
      </c>
      <c r="H42" s="28">
        <v>7500</v>
      </c>
    </row>
    <row r="43" spans="2:8" x14ac:dyDescent="0.3">
      <c r="B43" s="1">
        <v>41656</v>
      </c>
      <c r="C43" s="2" t="s">
        <v>9</v>
      </c>
      <c r="D43" s="2" t="s">
        <v>103</v>
      </c>
      <c r="E43" s="41">
        <v>152.25</v>
      </c>
      <c r="F43" s="40">
        <v>149</v>
      </c>
      <c r="G43" s="5">
        <v>2000</v>
      </c>
      <c r="H43" s="28">
        <v>-4000</v>
      </c>
    </row>
    <row r="44" spans="2:8" x14ac:dyDescent="0.3">
      <c r="B44" s="1">
        <v>41660</v>
      </c>
      <c r="C44" s="2" t="s">
        <v>9</v>
      </c>
      <c r="D44" s="2" t="s">
        <v>25</v>
      </c>
      <c r="E44" s="41">
        <v>381</v>
      </c>
      <c r="F44" s="40">
        <v>386</v>
      </c>
      <c r="G44" s="5">
        <v>1000</v>
      </c>
      <c r="H44" s="28">
        <v>5000</v>
      </c>
    </row>
    <row r="45" spans="2:8" x14ac:dyDescent="0.3">
      <c r="B45" s="1">
        <v>41661</v>
      </c>
      <c r="C45" s="2" t="s">
        <v>9</v>
      </c>
      <c r="D45" s="2" t="s">
        <v>37</v>
      </c>
      <c r="E45" s="41">
        <v>113</v>
      </c>
      <c r="F45" s="40">
        <v>115</v>
      </c>
      <c r="G45" s="5">
        <v>2000</v>
      </c>
      <c r="H45" s="28">
        <v>4000</v>
      </c>
    </row>
    <row r="46" spans="2:8" x14ac:dyDescent="0.3">
      <c r="B46" s="1">
        <v>41662</v>
      </c>
      <c r="C46" s="2" t="s">
        <v>8</v>
      </c>
      <c r="D46" s="2" t="s">
        <v>139</v>
      </c>
      <c r="E46" s="41">
        <v>361</v>
      </c>
      <c r="F46" s="40">
        <v>358</v>
      </c>
      <c r="G46" s="5">
        <v>1000</v>
      </c>
      <c r="H46" s="28">
        <v>3000</v>
      </c>
    </row>
    <row r="47" spans="2:8" x14ac:dyDescent="0.3">
      <c r="B47" s="1">
        <v>41663</v>
      </c>
      <c r="C47" s="2" t="s">
        <v>8</v>
      </c>
      <c r="D47" s="2" t="s">
        <v>25</v>
      </c>
      <c r="E47" s="41">
        <v>381</v>
      </c>
      <c r="F47" s="40">
        <v>377</v>
      </c>
      <c r="G47" s="5">
        <v>1000</v>
      </c>
      <c r="H47" s="28">
        <v>4000</v>
      </c>
    </row>
    <row r="48" spans="2:8" x14ac:dyDescent="0.3">
      <c r="B48" s="1">
        <v>41666</v>
      </c>
      <c r="C48" s="2" t="s">
        <v>8</v>
      </c>
      <c r="D48" s="2" t="s">
        <v>28</v>
      </c>
      <c r="E48" s="41">
        <v>570</v>
      </c>
      <c r="F48" s="40">
        <v>560</v>
      </c>
      <c r="G48" s="5">
        <v>500</v>
      </c>
      <c r="H48" s="28">
        <v>5000</v>
      </c>
    </row>
    <row r="49" spans="2:10" x14ac:dyDescent="0.3">
      <c r="B49" s="1">
        <v>41667</v>
      </c>
      <c r="C49" s="28" t="s">
        <v>8</v>
      </c>
      <c r="D49" s="28" t="s">
        <v>26</v>
      </c>
      <c r="E49" s="49">
        <v>143</v>
      </c>
      <c r="F49" s="49">
        <v>140</v>
      </c>
      <c r="G49" s="30">
        <v>2000</v>
      </c>
      <c r="H49" s="28">
        <v>6000</v>
      </c>
    </row>
    <row r="50" spans="2:10" ht="15.6" x14ac:dyDescent="0.3">
      <c r="B50" s="1">
        <v>41668</v>
      </c>
      <c r="C50" s="4" t="s">
        <v>8</v>
      </c>
      <c r="D50" s="4" t="s">
        <v>16</v>
      </c>
      <c r="E50" s="41">
        <v>217</v>
      </c>
      <c r="F50" s="41">
        <v>214</v>
      </c>
      <c r="G50" s="49">
        <v>1000</v>
      </c>
      <c r="H50" s="36">
        <v>3000</v>
      </c>
    </row>
    <row r="51" spans="2:10" x14ac:dyDescent="0.3">
      <c r="B51" s="1">
        <v>41669</v>
      </c>
      <c r="C51" s="4" t="s">
        <v>9</v>
      </c>
      <c r="D51" s="4" t="s">
        <v>85</v>
      </c>
      <c r="E51" s="41">
        <v>303</v>
      </c>
      <c r="F51" s="41">
        <v>306</v>
      </c>
      <c r="G51" s="49">
        <v>1000</v>
      </c>
      <c r="H51" s="28">
        <v>3000</v>
      </c>
    </row>
    <row r="52" spans="2:10" x14ac:dyDescent="0.3">
      <c r="B52" s="1">
        <v>41670</v>
      </c>
      <c r="C52" s="28" t="s">
        <v>8</v>
      </c>
      <c r="D52" s="28" t="s">
        <v>160</v>
      </c>
      <c r="E52" s="49">
        <v>419</v>
      </c>
      <c r="F52" s="49">
        <v>413</v>
      </c>
      <c r="G52" s="28">
        <v>500</v>
      </c>
      <c r="H52" s="28">
        <v>3000</v>
      </c>
    </row>
    <row r="53" spans="2:10" ht="15.6" x14ac:dyDescent="0.3">
      <c r="B53" s="1"/>
      <c r="C53" s="28"/>
      <c r="D53" s="28"/>
      <c r="E53" s="28"/>
      <c r="F53" s="28"/>
      <c r="G53" s="28"/>
      <c r="H53" s="34">
        <v>69000</v>
      </c>
    </row>
    <row r="54" spans="2:10" x14ac:dyDescent="0.3">
      <c r="B54" s="1"/>
    </row>
    <row r="55" spans="2:10" x14ac:dyDescent="0.3">
      <c r="B55" s="1"/>
    </row>
    <row r="56" spans="2:10" ht="15.6" x14ac:dyDescent="0.3">
      <c r="B56" s="48" t="s">
        <v>63</v>
      </c>
      <c r="C56" s="48"/>
      <c r="D56" s="48"/>
      <c r="E56" s="48"/>
      <c r="F56" s="48"/>
      <c r="G56" s="48"/>
      <c r="H56" s="48"/>
    </row>
    <row r="57" spans="2:10" x14ac:dyDescent="0.3">
      <c r="B57" s="1">
        <v>41640</v>
      </c>
      <c r="C57" s="7" t="s">
        <v>11</v>
      </c>
      <c r="D57" s="7" t="s">
        <v>39</v>
      </c>
      <c r="E57" s="4">
        <v>6380</v>
      </c>
      <c r="F57" s="7">
        <v>6400</v>
      </c>
      <c r="G57" s="4">
        <v>100</v>
      </c>
      <c r="H57" s="4">
        <v>2000</v>
      </c>
    </row>
    <row r="58" spans="2:10" x14ac:dyDescent="0.3">
      <c r="B58" s="1">
        <v>41641</v>
      </c>
      <c r="C58" s="7" t="s">
        <v>8</v>
      </c>
      <c r="D58" s="7" t="s">
        <v>39</v>
      </c>
      <c r="E58" s="4">
        <v>6275</v>
      </c>
      <c r="F58" s="7">
        <v>6290</v>
      </c>
      <c r="G58" s="4">
        <v>100</v>
      </c>
      <c r="H58" s="4">
        <v>3000</v>
      </c>
      <c r="J58" s="1"/>
    </row>
    <row r="59" spans="2:10" x14ac:dyDescent="0.3">
      <c r="B59" s="1">
        <v>41645</v>
      </c>
      <c r="C59" s="4" t="s">
        <v>9</v>
      </c>
      <c r="D59" s="7" t="s">
        <v>39</v>
      </c>
      <c r="E59" s="4">
        <v>6225</v>
      </c>
      <c r="F59" s="4">
        <v>6240</v>
      </c>
      <c r="G59" s="4">
        <v>100</v>
      </c>
      <c r="H59" s="28">
        <v>3000</v>
      </c>
      <c r="J59" s="1"/>
    </row>
    <row r="60" spans="2:10" x14ac:dyDescent="0.3">
      <c r="B60" s="1">
        <v>41646</v>
      </c>
      <c r="C60" s="7" t="s">
        <v>11</v>
      </c>
      <c r="D60" s="7" t="s">
        <v>39</v>
      </c>
      <c r="E60" s="4">
        <v>6245</v>
      </c>
      <c r="F60" s="7">
        <v>6220</v>
      </c>
      <c r="G60" s="4">
        <v>100</v>
      </c>
      <c r="H60" s="4">
        <v>-2500</v>
      </c>
      <c r="J60" s="1"/>
    </row>
    <row r="61" spans="2:10" x14ac:dyDescent="0.3">
      <c r="B61" s="1">
        <v>41647</v>
      </c>
      <c r="C61" s="7" t="s">
        <v>8</v>
      </c>
      <c r="D61" s="7" t="s">
        <v>39</v>
      </c>
      <c r="E61" s="4">
        <v>6210</v>
      </c>
      <c r="F61" s="7">
        <v>6190</v>
      </c>
      <c r="G61" s="4">
        <v>100</v>
      </c>
      <c r="H61" s="4">
        <v>2000</v>
      </c>
      <c r="J61" s="1"/>
    </row>
    <row r="62" spans="2:10" x14ac:dyDescent="0.3">
      <c r="B62" s="1">
        <v>41649</v>
      </c>
      <c r="C62" s="7" t="s">
        <v>8</v>
      </c>
      <c r="D62" s="7" t="s">
        <v>39</v>
      </c>
      <c r="E62" s="4">
        <v>6195</v>
      </c>
      <c r="F62" s="7">
        <v>6175</v>
      </c>
      <c r="G62" s="4">
        <v>100</v>
      </c>
      <c r="H62" s="4">
        <v>2000</v>
      </c>
      <c r="J62" s="1"/>
    </row>
    <row r="63" spans="2:10" x14ac:dyDescent="0.3">
      <c r="B63" s="1">
        <v>41652</v>
      </c>
      <c r="C63" s="7" t="s">
        <v>11</v>
      </c>
      <c r="D63" s="7" t="s">
        <v>39</v>
      </c>
      <c r="E63" s="4">
        <v>6245</v>
      </c>
      <c r="F63" s="7">
        <v>6265</v>
      </c>
      <c r="G63" s="4">
        <v>100</v>
      </c>
      <c r="H63" s="28">
        <v>2000</v>
      </c>
      <c r="J63" s="1"/>
    </row>
    <row r="64" spans="2:10" x14ac:dyDescent="0.3">
      <c r="B64" s="1">
        <v>41654</v>
      </c>
      <c r="C64" s="7" t="s">
        <v>9</v>
      </c>
      <c r="D64" s="7" t="s">
        <v>39</v>
      </c>
      <c r="E64" s="4">
        <v>6270</v>
      </c>
      <c r="F64" s="7">
        <v>6340</v>
      </c>
      <c r="G64" s="4">
        <v>100</v>
      </c>
      <c r="H64" s="4">
        <v>4000</v>
      </c>
      <c r="J64" s="46"/>
    </row>
    <row r="65" spans="2:10" x14ac:dyDescent="0.3">
      <c r="B65" s="1">
        <v>41656</v>
      </c>
      <c r="C65" s="7" t="s">
        <v>9</v>
      </c>
      <c r="D65" s="7" t="s">
        <v>39</v>
      </c>
      <c r="E65" s="4">
        <v>6300</v>
      </c>
      <c r="F65" s="7">
        <v>6270</v>
      </c>
      <c r="G65" s="4">
        <v>100</v>
      </c>
      <c r="H65" s="4">
        <v>-3000</v>
      </c>
      <c r="J65" s="46"/>
    </row>
    <row r="66" spans="2:10" x14ac:dyDescent="0.3">
      <c r="B66" s="1">
        <v>41659</v>
      </c>
      <c r="C66" s="7" t="s">
        <v>8</v>
      </c>
      <c r="D66" s="7" t="s">
        <v>39</v>
      </c>
      <c r="E66" s="4">
        <v>6265</v>
      </c>
      <c r="F66" s="7">
        <v>6295</v>
      </c>
      <c r="G66" s="4">
        <v>100</v>
      </c>
      <c r="H66" s="4">
        <v>-3000</v>
      </c>
      <c r="J66" s="46"/>
    </row>
    <row r="67" spans="2:10" x14ac:dyDescent="0.3">
      <c r="B67" s="1">
        <v>41661</v>
      </c>
      <c r="C67" s="7" t="s">
        <v>9</v>
      </c>
      <c r="D67" s="7" t="s">
        <v>39</v>
      </c>
      <c r="E67" s="4">
        <v>6335</v>
      </c>
      <c r="F67" s="4">
        <v>6350</v>
      </c>
      <c r="G67" s="4">
        <v>100</v>
      </c>
      <c r="H67" s="4">
        <v>3000</v>
      </c>
      <c r="J67" s="46"/>
    </row>
    <row r="68" spans="2:10" x14ac:dyDescent="0.3">
      <c r="B68" s="1">
        <v>41662</v>
      </c>
      <c r="C68" s="7" t="s">
        <v>8</v>
      </c>
      <c r="D68" s="7" t="s">
        <v>39</v>
      </c>
      <c r="E68" s="4">
        <v>6340</v>
      </c>
      <c r="F68" s="7">
        <v>6320</v>
      </c>
      <c r="G68" s="4">
        <v>100</v>
      </c>
      <c r="H68" s="4">
        <v>2000</v>
      </c>
      <c r="J68" s="46"/>
    </row>
    <row r="69" spans="2:10" x14ac:dyDescent="0.3">
      <c r="B69" s="1">
        <v>41666</v>
      </c>
      <c r="C69" s="4" t="s">
        <v>9</v>
      </c>
      <c r="D69" s="4" t="s">
        <v>39</v>
      </c>
      <c r="E69" s="4">
        <v>6145</v>
      </c>
      <c r="F69" s="4">
        <v>6160</v>
      </c>
      <c r="G69" s="4">
        <v>100</v>
      </c>
      <c r="H69" s="4">
        <v>3000</v>
      </c>
      <c r="J69" s="46"/>
    </row>
    <row r="70" spans="2:10" x14ac:dyDescent="0.3">
      <c r="B70" s="1">
        <v>41667</v>
      </c>
      <c r="C70" s="7" t="s">
        <v>8</v>
      </c>
      <c r="D70" s="7" t="s">
        <v>39</v>
      </c>
      <c r="E70" s="4">
        <v>6105</v>
      </c>
      <c r="F70" s="7">
        <v>6120</v>
      </c>
      <c r="G70" s="4">
        <v>100</v>
      </c>
      <c r="H70" s="4">
        <v>-1500</v>
      </c>
      <c r="J70" s="46"/>
    </row>
    <row r="71" spans="2:10" x14ac:dyDescent="0.3">
      <c r="B71" s="1">
        <v>41668</v>
      </c>
      <c r="C71" s="7" t="s">
        <v>9</v>
      </c>
      <c r="D71" s="7" t="s">
        <v>39</v>
      </c>
      <c r="E71" s="4">
        <v>6160</v>
      </c>
      <c r="F71" s="7">
        <v>6140</v>
      </c>
      <c r="G71" s="4">
        <v>100</v>
      </c>
      <c r="H71" s="4">
        <v>2000</v>
      </c>
      <c r="J71" s="47"/>
    </row>
    <row r="72" spans="2:10" x14ac:dyDescent="0.3">
      <c r="B72" s="1">
        <v>41669</v>
      </c>
      <c r="C72" s="7" t="s">
        <v>8</v>
      </c>
      <c r="D72" s="7" t="s">
        <v>39</v>
      </c>
      <c r="E72" s="4">
        <v>6070</v>
      </c>
      <c r="F72" s="7">
        <v>6035</v>
      </c>
      <c r="G72" s="4">
        <v>100</v>
      </c>
      <c r="H72" s="4">
        <v>3500</v>
      </c>
      <c r="J72" s="46"/>
    </row>
    <row r="73" spans="2:10" x14ac:dyDescent="0.3">
      <c r="B73" s="1">
        <v>41670</v>
      </c>
      <c r="C73" s="7" t="s">
        <v>8</v>
      </c>
      <c r="D73" s="7" t="s">
        <v>39</v>
      </c>
      <c r="E73" s="4">
        <v>6110</v>
      </c>
      <c r="F73" s="7">
        <v>6095</v>
      </c>
      <c r="G73" s="4">
        <v>100</v>
      </c>
      <c r="H73" s="4">
        <v>1500</v>
      </c>
      <c r="J73" s="46"/>
    </row>
    <row r="74" spans="2:10" x14ac:dyDescent="0.3">
      <c r="C74" s="28"/>
      <c r="D74" s="7"/>
      <c r="E74" s="28"/>
      <c r="F74" s="28"/>
      <c r="G74" s="4"/>
      <c r="H74" s="29">
        <v>23000</v>
      </c>
      <c r="J74" s="46"/>
    </row>
    <row r="75" spans="2:10" x14ac:dyDescent="0.3">
      <c r="C75" s="3"/>
      <c r="D75" s="2"/>
      <c r="E75" s="4"/>
      <c r="F75" s="4"/>
      <c r="G75" s="4"/>
      <c r="H75" s="38"/>
    </row>
    <row r="76" spans="2:10" x14ac:dyDescent="0.3">
      <c r="C76" s="28"/>
      <c r="D76" s="30"/>
      <c r="E76" s="28"/>
      <c r="F76" s="28"/>
      <c r="G76" s="28"/>
      <c r="H76" s="28"/>
    </row>
    <row r="77" spans="2:10" ht="15.6" x14ac:dyDescent="0.3">
      <c r="B77" s="48" t="s">
        <v>64</v>
      </c>
      <c r="C77" s="48"/>
      <c r="D77" s="48"/>
      <c r="E77" s="48"/>
      <c r="F77" s="48"/>
      <c r="G77" s="48"/>
      <c r="H77" s="48"/>
    </row>
    <row r="78" spans="2:10" x14ac:dyDescent="0.3">
      <c r="B78" s="1">
        <v>41640</v>
      </c>
      <c r="C78" s="3" t="s">
        <v>69</v>
      </c>
      <c r="D78" s="3" t="s">
        <v>195</v>
      </c>
      <c r="E78" s="5">
        <v>125</v>
      </c>
      <c r="F78" s="8">
        <v>130</v>
      </c>
      <c r="G78" s="2">
        <v>200</v>
      </c>
      <c r="H78" s="8">
        <v>1000</v>
      </c>
    </row>
    <row r="79" spans="2:10" x14ac:dyDescent="0.3">
      <c r="B79" s="1">
        <v>41641</v>
      </c>
      <c r="C79" s="5" t="s">
        <v>65</v>
      </c>
      <c r="D79" s="5" t="s">
        <v>196</v>
      </c>
      <c r="E79" s="5">
        <v>100</v>
      </c>
      <c r="F79" s="7">
        <v>109.7</v>
      </c>
      <c r="G79" s="2">
        <v>200</v>
      </c>
      <c r="H79" s="5">
        <v>970.00000000000023</v>
      </c>
    </row>
    <row r="80" spans="2:10" x14ac:dyDescent="0.3">
      <c r="B80" s="1">
        <v>41642</v>
      </c>
      <c r="C80" s="3" t="s">
        <v>69</v>
      </c>
      <c r="D80" s="3" t="s">
        <v>197</v>
      </c>
      <c r="E80" s="5">
        <v>139</v>
      </c>
      <c r="F80" s="7">
        <v>147.5</v>
      </c>
      <c r="G80" s="2">
        <v>200</v>
      </c>
      <c r="H80" s="5">
        <v>850</v>
      </c>
    </row>
    <row r="81" spans="2:8" x14ac:dyDescent="0.3">
      <c r="B81" s="1">
        <v>41645</v>
      </c>
      <c r="C81" s="3" t="s">
        <v>69</v>
      </c>
      <c r="D81" s="3" t="s">
        <v>197</v>
      </c>
      <c r="E81" s="5">
        <v>140</v>
      </c>
      <c r="F81" s="8">
        <v>150</v>
      </c>
      <c r="G81" s="2">
        <v>200</v>
      </c>
      <c r="H81" s="8">
        <v>2000</v>
      </c>
    </row>
    <row r="82" spans="2:8" x14ac:dyDescent="0.3">
      <c r="B82" s="1">
        <v>41646</v>
      </c>
      <c r="C82" s="5" t="s">
        <v>65</v>
      </c>
      <c r="D82" s="5" t="s">
        <v>198</v>
      </c>
      <c r="E82" s="5">
        <v>119</v>
      </c>
      <c r="F82" s="8">
        <v>104</v>
      </c>
      <c r="G82" s="2">
        <v>200</v>
      </c>
      <c r="H82" s="5">
        <v>-3000</v>
      </c>
    </row>
    <row r="83" spans="2:8" x14ac:dyDescent="0.3">
      <c r="B83" s="1">
        <v>41648</v>
      </c>
      <c r="C83" s="3" t="s">
        <v>69</v>
      </c>
      <c r="D83" s="3" t="s">
        <v>199</v>
      </c>
      <c r="E83" s="5">
        <v>147</v>
      </c>
      <c r="F83" s="8">
        <v>168</v>
      </c>
      <c r="G83" s="2">
        <v>200</v>
      </c>
      <c r="H83" s="8">
        <v>3800</v>
      </c>
    </row>
    <row r="84" spans="2:8" x14ac:dyDescent="0.3">
      <c r="B84" s="1">
        <v>41649</v>
      </c>
      <c r="C84" s="3" t="s">
        <v>69</v>
      </c>
      <c r="D84" s="3" t="s">
        <v>199</v>
      </c>
      <c r="E84" s="5">
        <v>162</v>
      </c>
      <c r="F84" s="7">
        <v>172.4</v>
      </c>
      <c r="G84" s="2">
        <v>200</v>
      </c>
      <c r="H84" s="5">
        <v>1040.0000000000005</v>
      </c>
    </row>
    <row r="85" spans="2:8" x14ac:dyDescent="0.3">
      <c r="B85" s="1">
        <v>41652</v>
      </c>
      <c r="C85" s="5" t="s">
        <v>65</v>
      </c>
      <c r="D85" s="5" t="s">
        <v>198</v>
      </c>
      <c r="E85" s="5">
        <v>101</v>
      </c>
      <c r="F85" s="7">
        <v>115.4</v>
      </c>
      <c r="G85" s="2">
        <v>200</v>
      </c>
      <c r="H85" s="5">
        <v>1440.0000000000005</v>
      </c>
    </row>
    <row r="86" spans="2:8" x14ac:dyDescent="0.3">
      <c r="B86" s="1">
        <v>41653</v>
      </c>
      <c r="C86" s="5" t="s">
        <v>65</v>
      </c>
      <c r="D86" s="5" t="s">
        <v>198</v>
      </c>
      <c r="E86" s="5">
        <v>116</v>
      </c>
      <c r="F86" s="7">
        <v>119.15</v>
      </c>
      <c r="G86" s="2">
        <v>200</v>
      </c>
      <c r="H86" s="8">
        <v>630.00000000000114</v>
      </c>
    </row>
    <row r="87" spans="2:8" x14ac:dyDescent="0.3">
      <c r="B87" s="1">
        <v>41654</v>
      </c>
      <c r="C87" s="5" t="s">
        <v>65</v>
      </c>
      <c r="D87" s="5" t="s">
        <v>198</v>
      </c>
      <c r="E87" s="5">
        <v>118</v>
      </c>
      <c r="F87" s="7">
        <v>159.5</v>
      </c>
      <c r="G87" s="2">
        <v>200</v>
      </c>
      <c r="H87" s="8">
        <v>6450</v>
      </c>
    </row>
    <row r="88" spans="2:8" x14ac:dyDescent="0.3">
      <c r="B88" s="1">
        <v>41655</v>
      </c>
      <c r="C88" s="3" t="s">
        <v>69</v>
      </c>
      <c r="D88" s="3" t="s">
        <v>200</v>
      </c>
      <c r="E88" s="3">
        <v>100.5</v>
      </c>
      <c r="F88" s="7">
        <v>118.95</v>
      </c>
      <c r="G88" s="2">
        <v>200</v>
      </c>
      <c r="H88" s="8">
        <v>2690.0000000000005</v>
      </c>
    </row>
    <row r="89" spans="2:8" x14ac:dyDescent="0.3">
      <c r="B89" s="1">
        <v>41656</v>
      </c>
      <c r="C89" s="5" t="s">
        <v>65</v>
      </c>
      <c r="D89" s="3" t="s">
        <v>198</v>
      </c>
      <c r="E89" s="5">
        <v>126</v>
      </c>
      <c r="F89" s="7">
        <v>108</v>
      </c>
      <c r="G89" s="2">
        <v>200</v>
      </c>
      <c r="H89" s="8">
        <v>-3600</v>
      </c>
    </row>
    <row r="90" spans="2:8" x14ac:dyDescent="0.3">
      <c r="B90" s="1">
        <v>41659</v>
      </c>
      <c r="C90" s="3" t="s">
        <v>69</v>
      </c>
      <c r="D90" s="3" t="s">
        <v>201</v>
      </c>
      <c r="E90" s="5">
        <v>84</v>
      </c>
      <c r="F90" s="7">
        <v>67</v>
      </c>
      <c r="G90" s="2">
        <v>200</v>
      </c>
      <c r="H90" s="8">
        <v>-3400</v>
      </c>
    </row>
    <row r="91" spans="2:8" x14ac:dyDescent="0.3">
      <c r="B91" s="1">
        <v>41661</v>
      </c>
      <c r="C91" s="5" t="s">
        <v>65</v>
      </c>
      <c r="D91" s="3" t="s">
        <v>198</v>
      </c>
      <c r="E91" s="2">
        <v>118</v>
      </c>
      <c r="F91" s="6">
        <v>149</v>
      </c>
      <c r="G91" s="2">
        <v>200</v>
      </c>
      <c r="H91" s="8">
        <v>4940</v>
      </c>
    </row>
    <row r="92" spans="2:8" x14ac:dyDescent="0.3">
      <c r="B92" s="1">
        <v>41662</v>
      </c>
      <c r="C92" s="1" t="s">
        <v>69</v>
      </c>
      <c r="D92" s="3" t="s">
        <v>200</v>
      </c>
      <c r="E92" s="3">
        <v>86</v>
      </c>
      <c r="F92" s="2">
        <v>68</v>
      </c>
      <c r="G92" s="40">
        <v>200</v>
      </c>
      <c r="H92" s="8">
        <v>-3600</v>
      </c>
    </row>
    <row r="93" spans="2:8" x14ac:dyDescent="0.3">
      <c r="B93" s="1">
        <v>41663</v>
      </c>
      <c r="C93" s="1" t="s">
        <v>69</v>
      </c>
      <c r="D93" s="3" t="s">
        <v>200</v>
      </c>
      <c r="E93" s="2">
        <v>83</v>
      </c>
      <c r="F93" s="6">
        <v>122</v>
      </c>
      <c r="G93" s="2">
        <v>200</v>
      </c>
      <c r="H93" s="8">
        <v>6160</v>
      </c>
    </row>
    <row r="94" spans="2:8" x14ac:dyDescent="0.3">
      <c r="B94" s="1">
        <v>41666</v>
      </c>
      <c r="C94" s="1" t="s">
        <v>69</v>
      </c>
      <c r="D94" s="3" t="s">
        <v>199</v>
      </c>
      <c r="E94" s="2">
        <v>120</v>
      </c>
      <c r="F94" s="6">
        <v>130.5</v>
      </c>
      <c r="G94" s="2">
        <v>200</v>
      </c>
      <c r="H94" s="5">
        <v>1050</v>
      </c>
    </row>
    <row r="95" spans="2:8" x14ac:dyDescent="0.3">
      <c r="B95" s="1">
        <v>41667</v>
      </c>
      <c r="C95" s="1" t="s">
        <v>69</v>
      </c>
      <c r="D95" s="3" t="s">
        <v>202</v>
      </c>
      <c r="E95" s="2">
        <v>95</v>
      </c>
      <c r="F95" s="6">
        <v>105</v>
      </c>
      <c r="G95" s="2">
        <v>200</v>
      </c>
      <c r="H95" s="5">
        <v>1000</v>
      </c>
    </row>
    <row r="96" spans="2:8" x14ac:dyDescent="0.3">
      <c r="B96" s="1">
        <v>41668</v>
      </c>
      <c r="C96" s="1" t="s">
        <v>65</v>
      </c>
      <c r="D96" s="3" t="s">
        <v>203</v>
      </c>
      <c r="E96" s="2">
        <v>106</v>
      </c>
      <c r="F96" s="6">
        <v>88</v>
      </c>
      <c r="G96" s="2">
        <v>200</v>
      </c>
      <c r="H96" s="8">
        <v>-3600</v>
      </c>
    </row>
    <row r="97" spans="2:8" x14ac:dyDescent="0.3">
      <c r="B97" s="1">
        <v>41669</v>
      </c>
      <c r="C97" s="1" t="s">
        <v>69</v>
      </c>
      <c r="D97" s="3" t="s">
        <v>204</v>
      </c>
      <c r="E97" s="2">
        <v>114</v>
      </c>
      <c r="F97" s="6">
        <v>127</v>
      </c>
      <c r="G97" s="2">
        <v>200</v>
      </c>
      <c r="H97" s="8">
        <v>2600</v>
      </c>
    </row>
    <row r="98" spans="2:8" x14ac:dyDescent="0.3">
      <c r="B98" s="1">
        <v>41670</v>
      </c>
      <c r="C98" s="1" t="s">
        <v>69</v>
      </c>
      <c r="D98" s="3" t="s">
        <v>201</v>
      </c>
      <c r="E98" s="2">
        <v>148</v>
      </c>
      <c r="F98" s="6">
        <v>151</v>
      </c>
      <c r="G98" s="2">
        <v>200</v>
      </c>
      <c r="H98" s="8">
        <v>600</v>
      </c>
    </row>
    <row r="99" spans="2:8" ht="15.6" x14ac:dyDescent="0.3">
      <c r="B99" s="1"/>
      <c r="C99" s="28"/>
      <c r="D99" s="28"/>
      <c r="E99" s="28"/>
      <c r="F99" s="28"/>
      <c r="G99" s="28"/>
      <c r="H99" s="34">
        <v>20020</v>
      </c>
    </row>
    <row r="100" spans="2:8" ht="15.6" x14ac:dyDescent="0.3">
      <c r="B100" s="1"/>
      <c r="C100" s="28"/>
      <c r="D100" s="28"/>
      <c r="E100" s="28"/>
      <c r="F100" s="28"/>
      <c r="G100" s="28"/>
      <c r="H100" s="34"/>
    </row>
    <row r="101" spans="2:8" ht="15.6" x14ac:dyDescent="0.3">
      <c r="B101" s="1"/>
      <c r="C101" s="28"/>
      <c r="D101" s="28"/>
      <c r="E101" s="28"/>
      <c r="F101" s="28"/>
      <c r="G101" s="28"/>
      <c r="H101" s="34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ht="15.6" x14ac:dyDescent="0.3">
      <c r="B103" s="44"/>
      <c r="C103" s="44"/>
      <c r="D103" s="44"/>
      <c r="E103" s="44"/>
      <c r="F103" s="44"/>
      <c r="G103" s="44"/>
      <c r="H103" s="44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9"/>
    </row>
    <row r="115" spans="2:8" x14ac:dyDescent="0.3">
      <c r="B115" s="1"/>
    </row>
    <row r="116" spans="2:8" x14ac:dyDescent="0.3">
      <c r="B116" s="1"/>
    </row>
    <row r="117" spans="2:8" x14ac:dyDescent="0.3">
      <c r="B117" s="1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</sheetData>
  <mergeCells count="3">
    <mergeCell ref="B1:H1"/>
    <mergeCell ref="B2:H2"/>
    <mergeCell ref="B3:H3"/>
  </mergeCells>
  <pageMargins left="0.7" right="0.7" top="0.75" bottom="0.75" header="0.3" footer="0.3"/>
  <pageSetup orientation="portrait" horizontalDpi="300" verticalDpi="300" r:id="rId1"/>
  <ignoredErrors>
    <ignoredError sqref="H32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241"/>
  <sheetViews>
    <sheetView topLeftCell="A173" zoomScaleNormal="100" workbookViewId="0">
      <selection activeCell="N80" sqref="N8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3392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34</v>
      </c>
      <c r="P4" s="386">
        <f>W52</f>
        <v>6</v>
      </c>
      <c r="Q4" s="387">
        <f>N4-O4-P4</f>
        <v>0</v>
      </c>
      <c r="R4" s="380">
        <f>O4/N4</f>
        <v>0.85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44378</v>
      </c>
      <c r="D6" s="158" t="s">
        <v>9</v>
      </c>
      <c r="E6" s="158" t="s">
        <v>800</v>
      </c>
      <c r="F6" s="230">
        <v>1440</v>
      </c>
      <c r="G6" s="222">
        <v>1446</v>
      </c>
      <c r="H6" s="222">
        <v>6</v>
      </c>
      <c r="I6" s="207">
        <f t="shared" ref="I6:I7" si="0">300000/F6</f>
        <v>208.33333333333334</v>
      </c>
      <c r="J6" s="161">
        <f t="shared" ref="J6:J7" si="1">H6*I6</f>
        <v>1250</v>
      </c>
      <c r="K6" s="153"/>
      <c r="M6" s="394" t="s">
        <v>450</v>
      </c>
      <c r="N6" s="344">
        <f>COUNT(C60:C83)</f>
        <v>20</v>
      </c>
      <c r="O6" s="346">
        <f>V84</f>
        <v>18</v>
      </c>
      <c r="P6" s="346">
        <f>W84</f>
        <v>2</v>
      </c>
      <c r="Q6" s="374">
        <f>N6-O6-P6</f>
        <v>0</v>
      </c>
      <c r="R6" s="376">
        <f t="shared" ref="R6" si="2">O6/N6</f>
        <v>0.9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44378</v>
      </c>
      <c r="D7" s="161" t="s">
        <v>8</v>
      </c>
      <c r="E7" s="161" t="s">
        <v>3334</v>
      </c>
      <c r="F7" s="222">
        <v>2900</v>
      </c>
      <c r="G7" s="231">
        <v>2890</v>
      </c>
      <c r="H7" s="255">
        <f>2900-2890</f>
        <v>10</v>
      </c>
      <c r="I7" s="207">
        <f t="shared" si="0"/>
        <v>103.44827586206897</v>
      </c>
      <c r="J7" s="161">
        <f t="shared" si="1"/>
        <v>1034.4827586206898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44382</v>
      </c>
      <c r="D8" s="161" t="s">
        <v>9</v>
      </c>
      <c r="E8" s="161" t="s">
        <v>800</v>
      </c>
      <c r="F8" s="222">
        <v>1455</v>
      </c>
      <c r="G8" s="222">
        <v>1461</v>
      </c>
      <c r="H8" s="222">
        <f>1461-1455</f>
        <v>6</v>
      </c>
      <c r="I8" s="207">
        <f t="shared" ref="I8:I45" si="6">300000/F8</f>
        <v>206.18556701030928</v>
      </c>
      <c r="J8" s="161">
        <f t="shared" ref="J8:J45" si="7">H8*I8</f>
        <v>1237.1134020618556</v>
      </c>
      <c r="K8" s="153"/>
      <c r="M8" s="394" t="s">
        <v>451</v>
      </c>
      <c r="N8" s="344">
        <f>COUNT(C92:C114)</f>
        <v>21</v>
      </c>
      <c r="O8" s="346">
        <f>V115</f>
        <v>16</v>
      </c>
      <c r="P8" s="346">
        <f>W115</f>
        <v>5</v>
      </c>
      <c r="Q8" s="374">
        <f>N8-O8-P8</f>
        <v>0</v>
      </c>
      <c r="R8" s="376">
        <f t="shared" ref="R8" si="8">O8/N8</f>
        <v>0.76190476190476186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44382</v>
      </c>
      <c r="D9" s="161" t="s">
        <v>8</v>
      </c>
      <c r="E9" s="161" t="s">
        <v>3334</v>
      </c>
      <c r="F9" s="222">
        <v>2885</v>
      </c>
      <c r="G9" s="231">
        <v>2877.5</v>
      </c>
      <c r="H9" s="255">
        <f>2885-2877.5</f>
        <v>7.5</v>
      </c>
      <c r="I9" s="207">
        <f t="shared" si="6"/>
        <v>103.98613518197574</v>
      </c>
      <c r="J9" s="161">
        <f t="shared" si="7"/>
        <v>779.89601386481809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44383</v>
      </c>
      <c r="D10" s="161" t="s">
        <v>9</v>
      </c>
      <c r="E10" s="161" t="s">
        <v>667</v>
      </c>
      <c r="F10" s="222">
        <v>246.5</v>
      </c>
      <c r="G10" s="222">
        <v>243.5</v>
      </c>
      <c r="H10" s="222">
        <v>-3</v>
      </c>
      <c r="I10" s="207">
        <f t="shared" si="6"/>
        <v>1217.0385395537526</v>
      </c>
      <c r="J10" s="161">
        <f t="shared" si="7"/>
        <v>-3651.1156186612579</v>
      </c>
      <c r="K10" s="153"/>
      <c r="M10" s="394" t="s">
        <v>1176</v>
      </c>
      <c r="N10" s="344">
        <f>COUNT(C123:C145)</f>
        <v>20</v>
      </c>
      <c r="O10" s="346">
        <f>V146</f>
        <v>16</v>
      </c>
      <c r="P10" s="346">
        <f>W146</f>
        <v>4</v>
      </c>
      <c r="Q10" s="374">
        <f>N10-O10-P10</f>
        <v>0</v>
      </c>
      <c r="R10" s="376">
        <f t="shared" ref="R10:R16" si="9">O10/N10</f>
        <v>0.8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44383</v>
      </c>
      <c r="D11" s="161" t="s">
        <v>8</v>
      </c>
      <c r="E11" s="161" t="s">
        <v>31</v>
      </c>
      <c r="F11" s="222">
        <v>2135</v>
      </c>
      <c r="G11" s="222">
        <v>2125</v>
      </c>
      <c r="H11" s="255">
        <v>10</v>
      </c>
      <c r="I11" s="207">
        <f t="shared" si="6"/>
        <v>140.5152224824356</v>
      </c>
      <c r="J11" s="161">
        <f t="shared" si="7"/>
        <v>1405.1522248243559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44384</v>
      </c>
      <c r="D12" s="161" t="s">
        <v>9</v>
      </c>
      <c r="E12" s="161" t="s">
        <v>3248</v>
      </c>
      <c r="F12" s="222">
        <v>1475</v>
      </c>
      <c r="G12" s="222">
        <v>1496</v>
      </c>
      <c r="H12" s="222">
        <f>1496-1475</f>
        <v>21</v>
      </c>
      <c r="I12" s="207">
        <f t="shared" si="6"/>
        <v>203.38983050847457</v>
      </c>
      <c r="J12" s="161">
        <f t="shared" si="7"/>
        <v>4271.1864406779659</v>
      </c>
      <c r="K12" s="153"/>
      <c r="M12" s="394" t="s">
        <v>41</v>
      </c>
      <c r="N12" s="344">
        <f>COUNT(C154:C176)</f>
        <v>20</v>
      </c>
      <c r="O12" s="346">
        <f>V177</f>
        <v>18</v>
      </c>
      <c r="P12" s="346">
        <f>W177</f>
        <v>2</v>
      </c>
      <c r="Q12" s="374">
        <f t="shared" ref="Q12" si="10">N12-O12-P12</f>
        <v>0</v>
      </c>
      <c r="R12" s="376">
        <f t="shared" si="9"/>
        <v>0.9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44384</v>
      </c>
      <c r="D13" s="161" t="s">
        <v>8</v>
      </c>
      <c r="E13" s="161" t="s">
        <v>31</v>
      </c>
      <c r="F13" s="222">
        <v>2117</v>
      </c>
      <c r="G13" s="222">
        <v>2101</v>
      </c>
      <c r="H13" s="255">
        <v>16</v>
      </c>
      <c r="I13" s="207">
        <f t="shared" si="6"/>
        <v>141.70996693434105</v>
      </c>
      <c r="J13" s="161">
        <f t="shared" si="7"/>
        <v>2267.3594709494569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44385</v>
      </c>
      <c r="D14" s="161" t="s">
        <v>9</v>
      </c>
      <c r="E14" s="161" t="s">
        <v>98</v>
      </c>
      <c r="F14" s="222">
        <v>2930</v>
      </c>
      <c r="G14" s="222">
        <v>2900</v>
      </c>
      <c r="H14" s="222">
        <v>-30</v>
      </c>
      <c r="I14" s="207">
        <f t="shared" si="6"/>
        <v>102.38907849829351</v>
      </c>
      <c r="J14" s="242">
        <f t="shared" si="7"/>
        <v>-3071.6723549488056</v>
      </c>
      <c r="K14" s="153"/>
      <c r="M14" s="394" t="s">
        <v>1175</v>
      </c>
      <c r="N14" s="344">
        <f>COUNT(C185:C207)</f>
        <v>20</v>
      </c>
      <c r="O14" s="346">
        <f>V208</f>
        <v>16</v>
      </c>
      <c r="P14" s="346">
        <f>W208</f>
        <v>4</v>
      </c>
      <c r="Q14" s="374">
        <f t="shared" ref="Q14" si="11">N14-O14-P14</f>
        <v>0</v>
      </c>
      <c r="R14" s="376">
        <f t="shared" si="9"/>
        <v>0.8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44385</v>
      </c>
      <c r="D15" s="161" t="s">
        <v>8</v>
      </c>
      <c r="E15" s="161" t="s">
        <v>31</v>
      </c>
      <c r="F15" s="222">
        <v>2107</v>
      </c>
      <c r="G15" s="222">
        <v>2087</v>
      </c>
      <c r="H15" s="222">
        <f>2107-2087</f>
        <v>20</v>
      </c>
      <c r="I15" s="207">
        <f t="shared" si="6"/>
        <v>142.38253440911248</v>
      </c>
      <c r="J15" s="242">
        <f t="shared" si="7"/>
        <v>2847.6506881822497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44386</v>
      </c>
      <c r="D16" s="161" t="s">
        <v>9</v>
      </c>
      <c r="E16" s="161" t="s">
        <v>834</v>
      </c>
      <c r="F16" s="222">
        <v>266</v>
      </c>
      <c r="G16" s="222">
        <v>272</v>
      </c>
      <c r="H16" s="222">
        <f>272-266</f>
        <v>6</v>
      </c>
      <c r="I16" s="207">
        <f t="shared" si="6"/>
        <v>1127.8195488721803</v>
      </c>
      <c r="J16" s="242">
        <f t="shared" si="7"/>
        <v>6766.9172932330821</v>
      </c>
      <c r="K16" s="153"/>
      <c r="L16" s="25" t="s">
        <v>2008</v>
      </c>
      <c r="M16" s="394" t="s">
        <v>1090</v>
      </c>
      <c r="N16" s="344">
        <v>20</v>
      </c>
      <c r="O16" s="346">
        <f>V240</f>
        <v>19</v>
      </c>
      <c r="P16" s="346">
        <f>W240</f>
        <v>1</v>
      </c>
      <c r="Q16" s="374">
        <f t="shared" ref="Q16" si="12">N16-O16-P16</f>
        <v>0</v>
      </c>
      <c r="R16" s="376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44386</v>
      </c>
      <c r="D17" s="161" t="s">
        <v>8</v>
      </c>
      <c r="E17" s="161" t="s">
        <v>78</v>
      </c>
      <c r="F17" s="222">
        <v>1490</v>
      </c>
      <c r="G17" s="222">
        <v>1499</v>
      </c>
      <c r="H17" s="222">
        <v>-9</v>
      </c>
      <c r="I17" s="207">
        <f t="shared" si="6"/>
        <v>201.34228187919464</v>
      </c>
      <c r="J17" s="242">
        <f t="shared" si="7"/>
        <v>-1812.0805369127518</v>
      </c>
      <c r="K17" s="153"/>
      <c r="M17" s="395"/>
      <c r="N17" s="381"/>
      <c r="O17" s="373"/>
      <c r="P17" s="373"/>
      <c r="Q17" s="375"/>
      <c r="R17" s="377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44389</v>
      </c>
      <c r="D18" s="161" t="s">
        <v>9</v>
      </c>
      <c r="E18" s="161" t="s">
        <v>2023</v>
      </c>
      <c r="F18" s="222">
        <v>6175</v>
      </c>
      <c r="G18" s="222">
        <v>6190</v>
      </c>
      <c r="H18" s="222">
        <v>15</v>
      </c>
      <c r="I18" s="207">
        <f t="shared" si="6"/>
        <v>48.582995951417004</v>
      </c>
      <c r="J18" s="242">
        <f t="shared" si="7"/>
        <v>728.74493927125502</v>
      </c>
      <c r="K18" s="153"/>
      <c r="M18" s="392" t="s">
        <v>946</v>
      </c>
      <c r="N18" s="378">
        <f>SUM(N4:N17)</f>
        <v>161</v>
      </c>
      <c r="O18" s="378">
        <f t="shared" ref="O18:Q18" si="13">SUM(O4:O17)</f>
        <v>137</v>
      </c>
      <c r="P18" s="378">
        <f t="shared" si="13"/>
        <v>24</v>
      </c>
      <c r="Q18" s="378">
        <f t="shared" si="13"/>
        <v>0</v>
      </c>
      <c r="R18" s="380">
        <f t="shared" ref="R18" si="14">O18/N18</f>
        <v>0.85093167701863359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44389</v>
      </c>
      <c r="D19" s="161" t="s">
        <v>8</v>
      </c>
      <c r="E19" s="161" t="s">
        <v>3400</v>
      </c>
      <c r="F19" s="222">
        <v>1050</v>
      </c>
      <c r="G19" s="222">
        <v>1052</v>
      </c>
      <c r="H19" s="222">
        <v>-2</v>
      </c>
      <c r="I19" s="207">
        <f t="shared" si="6"/>
        <v>285.71428571428572</v>
      </c>
      <c r="J19" s="242">
        <f t="shared" si="7"/>
        <v>-571.42857142857144</v>
      </c>
      <c r="K19" s="153"/>
      <c r="M19" s="393"/>
      <c r="N19" s="379"/>
      <c r="O19" s="379"/>
      <c r="P19" s="379"/>
      <c r="Q19" s="379"/>
      <c r="R19" s="377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44390</v>
      </c>
      <c r="D20" s="161" t="s">
        <v>9</v>
      </c>
      <c r="E20" s="161" t="s">
        <v>95</v>
      </c>
      <c r="F20" s="222">
        <v>658</v>
      </c>
      <c r="G20" s="222">
        <v>663</v>
      </c>
      <c r="H20" s="222">
        <v>5</v>
      </c>
      <c r="I20" s="207">
        <f t="shared" si="6"/>
        <v>455.9270516717325</v>
      </c>
      <c r="J20" s="242">
        <f t="shared" si="7"/>
        <v>2279.6352583586627</v>
      </c>
      <c r="K20" s="153"/>
      <c r="M20" s="316" t="s">
        <v>2253</v>
      </c>
      <c r="N20" s="317"/>
      <c r="O20" s="318"/>
      <c r="P20" s="325">
        <f>R18</f>
        <v>0.85093167701863359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44390</v>
      </c>
      <c r="D21" s="161" t="s">
        <v>8</v>
      </c>
      <c r="E21" s="161" t="s">
        <v>982</v>
      </c>
      <c r="F21" s="222">
        <v>710</v>
      </c>
      <c r="G21" s="222">
        <v>702</v>
      </c>
      <c r="H21" s="222">
        <v>8</v>
      </c>
      <c r="I21" s="207">
        <f t="shared" si="6"/>
        <v>422.53521126760563</v>
      </c>
      <c r="J21" s="242">
        <f t="shared" si="7"/>
        <v>3380.2816901408451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44391</v>
      </c>
      <c r="D22" s="161" t="s">
        <v>9</v>
      </c>
      <c r="E22" s="161" t="s">
        <v>3188</v>
      </c>
      <c r="F22" s="222">
        <v>1540</v>
      </c>
      <c r="G22" s="222">
        <v>1545</v>
      </c>
      <c r="H22" s="222">
        <v>5</v>
      </c>
      <c r="I22" s="207">
        <f t="shared" si="6"/>
        <v>194.80519480519482</v>
      </c>
      <c r="J22" s="242">
        <f t="shared" si="7"/>
        <v>974.02597402597405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44391</v>
      </c>
      <c r="D23" s="161" t="s">
        <v>8</v>
      </c>
      <c r="E23" s="161" t="s">
        <v>982</v>
      </c>
      <c r="F23" s="222">
        <v>705</v>
      </c>
      <c r="G23" s="222">
        <v>695.35</v>
      </c>
      <c r="H23" s="222">
        <f>705-695.35</f>
        <v>9.6499999999999773</v>
      </c>
      <c r="I23" s="207">
        <f t="shared" si="6"/>
        <v>425.531914893617</v>
      </c>
      <c r="J23" s="242">
        <f t="shared" si="7"/>
        <v>4106.3829787233944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44392</v>
      </c>
      <c r="D24" s="161" t="s">
        <v>9</v>
      </c>
      <c r="E24" s="161" t="s">
        <v>95</v>
      </c>
      <c r="F24" s="222">
        <v>667</v>
      </c>
      <c r="G24" s="222">
        <v>668.5</v>
      </c>
      <c r="H24" s="222">
        <v>1.5</v>
      </c>
      <c r="I24" s="207">
        <f t="shared" si="6"/>
        <v>449.77511244377808</v>
      </c>
      <c r="J24" s="242">
        <f t="shared" si="7"/>
        <v>674.66266866566707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44392</v>
      </c>
      <c r="D25" s="161" t="s">
        <v>8</v>
      </c>
      <c r="E25" s="161" t="s">
        <v>192</v>
      </c>
      <c r="F25" s="222">
        <v>151</v>
      </c>
      <c r="G25" s="222">
        <v>149.5</v>
      </c>
      <c r="H25" s="222">
        <f>151-149.5</f>
        <v>1.5</v>
      </c>
      <c r="I25" s="207">
        <f t="shared" si="6"/>
        <v>1986.7549668874171</v>
      </c>
      <c r="J25" s="242">
        <f t="shared" si="7"/>
        <v>2980.1324503311257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44393</v>
      </c>
      <c r="D26" s="161" t="s">
        <v>9</v>
      </c>
      <c r="E26" s="161" t="s">
        <v>25</v>
      </c>
      <c r="F26" s="222">
        <v>1270</v>
      </c>
      <c r="G26" s="222">
        <v>1280</v>
      </c>
      <c r="H26" s="222">
        <v>10</v>
      </c>
      <c r="I26" s="207">
        <f t="shared" si="6"/>
        <v>236.22047244094489</v>
      </c>
      <c r="J26" s="242">
        <f t="shared" si="7"/>
        <v>2362.2047244094488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44393</v>
      </c>
      <c r="D27" s="161" t="s">
        <v>8</v>
      </c>
      <c r="E27" s="161" t="s">
        <v>192</v>
      </c>
      <c r="F27" s="222">
        <v>151</v>
      </c>
      <c r="G27" s="222">
        <v>150.15</v>
      </c>
      <c r="H27" s="222">
        <f>151-150.15</f>
        <v>0.84999999999999432</v>
      </c>
      <c r="I27" s="207">
        <f t="shared" si="6"/>
        <v>1986.7549668874171</v>
      </c>
      <c r="J27" s="242">
        <f t="shared" si="7"/>
        <v>1688.7417218542932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44396</v>
      </c>
      <c r="D28" s="161" t="s">
        <v>9</v>
      </c>
      <c r="E28" s="161" t="s">
        <v>95</v>
      </c>
      <c r="F28" s="222">
        <v>655</v>
      </c>
      <c r="G28" s="222">
        <v>656.15</v>
      </c>
      <c r="H28" s="222">
        <f>656.15-655</f>
        <v>1.1499999999999773</v>
      </c>
      <c r="I28" s="207">
        <f t="shared" si="6"/>
        <v>458.01526717557255</v>
      </c>
      <c r="J28" s="242">
        <f t="shared" si="7"/>
        <v>526.71755725189803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44396</v>
      </c>
      <c r="D29" s="161" t="s">
        <v>8</v>
      </c>
      <c r="E29" s="161" t="s">
        <v>2563</v>
      </c>
      <c r="F29" s="222">
        <v>1778</v>
      </c>
      <c r="G29" s="222">
        <v>1768.05</v>
      </c>
      <c r="H29" s="222">
        <f>1778-1768.05</f>
        <v>9.9500000000000455</v>
      </c>
      <c r="I29" s="207">
        <f t="shared" si="6"/>
        <v>168.72890888638921</v>
      </c>
      <c r="J29" s="242">
        <f t="shared" si="7"/>
        <v>1678.8526434195803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44397</v>
      </c>
      <c r="D30" s="161" t="s">
        <v>9</v>
      </c>
      <c r="E30" s="161" t="s">
        <v>94</v>
      </c>
      <c r="F30" s="222">
        <v>1440</v>
      </c>
      <c r="G30" s="222">
        <v>1445</v>
      </c>
      <c r="H30" s="222">
        <v>5</v>
      </c>
      <c r="I30" s="207">
        <f t="shared" si="6"/>
        <v>208.33333333333334</v>
      </c>
      <c r="J30" s="242">
        <f t="shared" si="7"/>
        <v>1041.6666666666667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44397</v>
      </c>
      <c r="D31" s="161" t="s">
        <v>8</v>
      </c>
      <c r="E31" s="161" t="s">
        <v>2563</v>
      </c>
      <c r="F31" s="222">
        <v>1735</v>
      </c>
      <c r="G31" s="222">
        <v>1705</v>
      </c>
      <c r="H31" s="222">
        <f>1735-1705</f>
        <v>30</v>
      </c>
      <c r="I31" s="207">
        <f t="shared" si="6"/>
        <v>172.91066282420749</v>
      </c>
      <c r="J31" s="242">
        <f t="shared" si="7"/>
        <v>5187.3198847262247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44399</v>
      </c>
      <c r="D32" s="161" t="s">
        <v>9</v>
      </c>
      <c r="E32" s="161" t="s">
        <v>95</v>
      </c>
      <c r="F32" s="222">
        <v>654</v>
      </c>
      <c r="G32" s="222">
        <v>660.3</v>
      </c>
      <c r="H32" s="222">
        <f>660.3-654</f>
        <v>6.2999999999999545</v>
      </c>
      <c r="I32" s="207">
        <f t="shared" si="6"/>
        <v>458.71559633027522</v>
      </c>
      <c r="J32" s="242">
        <f t="shared" si="7"/>
        <v>2889.908256880713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44399</v>
      </c>
      <c r="D33" s="161" t="s">
        <v>8</v>
      </c>
      <c r="E33" s="161" t="s">
        <v>2563</v>
      </c>
      <c r="F33" s="222">
        <v>1660</v>
      </c>
      <c r="G33" s="222">
        <v>1675</v>
      </c>
      <c r="H33" s="222">
        <v>-15</v>
      </c>
      <c r="I33" s="207">
        <f t="shared" si="6"/>
        <v>180.72289156626505</v>
      </c>
      <c r="J33" s="242">
        <f t="shared" si="7"/>
        <v>-2710.8433734939758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44400</v>
      </c>
      <c r="D34" s="161" t="s">
        <v>9</v>
      </c>
      <c r="E34" s="161" t="s">
        <v>95</v>
      </c>
      <c r="F34" s="222">
        <v>666</v>
      </c>
      <c r="G34" s="222">
        <v>661</v>
      </c>
      <c r="H34" s="222">
        <v>-6</v>
      </c>
      <c r="I34" s="207">
        <f t="shared" si="6"/>
        <v>450.45045045045043</v>
      </c>
      <c r="J34" s="242">
        <f t="shared" si="7"/>
        <v>-2702.7027027027025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44400</v>
      </c>
      <c r="D35" s="161" t="s">
        <v>8</v>
      </c>
      <c r="E35" s="161" t="s">
        <v>124</v>
      </c>
      <c r="F35" s="222">
        <v>295.5</v>
      </c>
      <c r="G35" s="222">
        <v>295.25</v>
      </c>
      <c r="H35" s="222">
        <v>0.25</v>
      </c>
      <c r="I35" s="207">
        <f t="shared" si="6"/>
        <v>1015.2284263959391</v>
      </c>
      <c r="J35" s="242">
        <f t="shared" si="7"/>
        <v>253.80710659898477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44403</v>
      </c>
      <c r="D36" s="161" t="s">
        <v>9</v>
      </c>
      <c r="E36" s="161" t="s">
        <v>2563</v>
      </c>
      <c r="F36" s="222">
        <v>1755</v>
      </c>
      <c r="G36" s="222">
        <v>1760</v>
      </c>
      <c r="H36" s="222">
        <v>5</v>
      </c>
      <c r="I36" s="207">
        <f t="shared" si="6"/>
        <v>170.94017094017093</v>
      </c>
      <c r="J36" s="242">
        <f t="shared" si="7"/>
        <v>854.70085470085462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44403</v>
      </c>
      <c r="D37" s="161" t="s">
        <v>8</v>
      </c>
      <c r="E37" s="161" t="s">
        <v>78</v>
      </c>
      <c r="F37" s="222">
        <v>1605</v>
      </c>
      <c r="G37" s="222">
        <v>1594</v>
      </c>
      <c r="H37" s="222">
        <f>1605-1594</f>
        <v>11</v>
      </c>
      <c r="I37" s="207">
        <f t="shared" si="6"/>
        <v>186.9158878504673</v>
      </c>
      <c r="J37" s="242">
        <f t="shared" si="7"/>
        <v>2056.0747663551401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44404</v>
      </c>
      <c r="D38" s="161" t="s">
        <v>9</v>
      </c>
      <c r="E38" s="161" t="s">
        <v>19</v>
      </c>
      <c r="F38" s="222">
        <v>430</v>
      </c>
      <c r="G38" s="222">
        <v>433</v>
      </c>
      <c r="H38" s="222">
        <v>3</v>
      </c>
      <c r="I38" s="207">
        <f t="shared" si="6"/>
        <v>697.67441860465112</v>
      </c>
      <c r="J38" s="242">
        <f t="shared" si="7"/>
        <v>2093.0232558139533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44404</v>
      </c>
      <c r="D39" s="161" t="s">
        <v>8</v>
      </c>
      <c r="E39" s="161" t="s">
        <v>119</v>
      </c>
      <c r="F39" s="222">
        <v>1725</v>
      </c>
      <c r="G39" s="222">
        <v>1700</v>
      </c>
      <c r="H39" s="222">
        <v>25</v>
      </c>
      <c r="I39" s="207">
        <f t="shared" si="6"/>
        <v>173.91304347826087</v>
      </c>
      <c r="J39" s="242">
        <f t="shared" si="7"/>
        <v>4347.826086956522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44405</v>
      </c>
      <c r="D40" s="161" t="s">
        <v>9</v>
      </c>
      <c r="E40" s="161" t="s">
        <v>578</v>
      </c>
      <c r="F40" s="222">
        <v>1595</v>
      </c>
      <c r="G40" s="222">
        <v>1605</v>
      </c>
      <c r="H40" s="222">
        <f>1605-1595</f>
        <v>10</v>
      </c>
      <c r="I40" s="207">
        <f t="shared" si="6"/>
        <v>188.08777429467085</v>
      </c>
      <c r="J40" s="242">
        <f t="shared" si="7"/>
        <v>1880.8777429467086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44405</v>
      </c>
      <c r="D41" s="161" t="s">
        <v>8</v>
      </c>
      <c r="E41" s="161" t="s">
        <v>119</v>
      </c>
      <c r="F41" s="222">
        <v>1682</v>
      </c>
      <c r="G41" s="223">
        <v>1662</v>
      </c>
      <c r="H41" s="222">
        <v>20</v>
      </c>
      <c r="I41" s="207">
        <f t="shared" si="6"/>
        <v>178.359096313912</v>
      </c>
      <c r="J41" s="242">
        <f t="shared" si="7"/>
        <v>3567.1819262782401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44406</v>
      </c>
      <c r="D42" s="161" t="s">
        <v>9</v>
      </c>
      <c r="E42" s="161" t="s">
        <v>365</v>
      </c>
      <c r="F42" s="222">
        <v>729</v>
      </c>
      <c r="G42" s="222">
        <v>741</v>
      </c>
      <c r="H42" s="222">
        <f>741-729</f>
        <v>12</v>
      </c>
      <c r="I42" s="207">
        <f t="shared" si="6"/>
        <v>411.52263374485597</v>
      </c>
      <c r="J42" s="242">
        <f t="shared" si="7"/>
        <v>4938.2716049382716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44406</v>
      </c>
      <c r="D43" s="161" t="s">
        <v>8</v>
      </c>
      <c r="E43" s="161" t="s">
        <v>95</v>
      </c>
      <c r="F43" s="222">
        <v>686</v>
      </c>
      <c r="G43" s="222">
        <v>683.8</v>
      </c>
      <c r="H43" s="222">
        <f>686-683.8</f>
        <v>2.2000000000000455</v>
      </c>
      <c r="I43" s="207">
        <f t="shared" si="6"/>
        <v>437.31778425655978</v>
      </c>
      <c r="J43" s="242">
        <f t="shared" si="7"/>
        <v>962.09912536445142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44407</v>
      </c>
      <c r="D44" s="161" t="s">
        <v>9</v>
      </c>
      <c r="E44" s="161" t="s">
        <v>90</v>
      </c>
      <c r="F44" s="222">
        <v>1212</v>
      </c>
      <c r="G44" s="222">
        <v>1236</v>
      </c>
      <c r="H44" s="222">
        <f>1236-1212</f>
        <v>24</v>
      </c>
      <c r="I44" s="207">
        <f t="shared" si="6"/>
        <v>247.52475247524754</v>
      </c>
      <c r="J44" s="242">
        <f t="shared" si="7"/>
        <v>5940.5940594059412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44407</v>
      </c>
      <c r="D45" s="161" t="s">
        <v>8</v>
      </c>
      <c r="E45" s="161" t="s">
        <v>95</v>
      </c>
      <c r="F45" s="222">
        <v>683</v>
      </c>
      <c r="G45" s="222">
        <v>680.3</v>
      </c>
      <c r="H45" s="222">
        <f>683-680.3</f>
        <v>2.7000000000000455</v>
      </c>
      <c r="I45" s="207">
        <f t="shared" si="6"/>
        <v>439.23865300146412</v>
      </c>
      <c r="J45" s="242">
        <f t="shared" si="7"/>
        <v>1185.944363103973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65919.593441455203</v>
      </c>
      <c r="K52" s="153"/>
      <c r="V52" s="25">
        <f>SUM(V6:V51)</f>
        <v>34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3392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44378</v>
      </c>
      <c r="D60" s="161" t="s">
        <v>9</v>
      </c>
      <c r="E60" s="161" t="s">
        <v>800</v>
      </c>
      <c r="F60" s="222">
        <v>1445</v>
      </c>
      <c r="G60" s="222">
        <v>1446</v>
      </c>
      <c r="H60" s="222">
        <v>1</v>
      </c>
      <c r="I60" s="207">
        <v>700</v>
      </c>
      <c r="J60" s="241">
        <f t="shared" ref="J60:J83" si="15">I60*H60</f>
        <v>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44382</v>
      </c>
      <c r="D61" s="161" t="s">
        <v>9</v>
      </c>
      <c r="E61" s="161" t="s">
        <v>800</v>
      </c>
      <c r="F61" s="222">
        <v>1456</v>
      </c>
      <c r="G61" s="222">
        <v>1460.5</v>
      </c>
      <c r="H61" s="222">
        <f>1460.5-1456</f>
        <v>4.5</v>
      </c>
      <c r="I61" s="207">
        <v>700</v>
      </c>
      <c r="J61" s="242">
        <f t="shared" si="15"/>
        <v>3150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44383</v>
      </c>
      <c r="D62" s="161" t="s">
        <v>9</v>
      </c>
      <c r="E62" s="161" t="s">
        <v>94</v>
      </c>
      <c r="F62" s="222">
        <v>1520</v>
      </c>
      <c r="G62" s="222">
        <v>1540.5</v>
      </c>
      <c r="H62" s="222">
        <v>20.5</v>
      </c>
      <c r="I62" s="207">
        <v>550</v>
      </c>
      <c r="J62" s="242">
        <f t="shared" si="15"/>
        <v>11275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44384</v>
      </c>
      <c r="D63" s="161" t="s">
        <v>8</v>
      </c>
      <c r="E63" s="161" t="s">
        <v>31</v>
      </c>
      <c r="F63" s="222">
        <v>2117</v>
      </c>
      <c r="G63" s="222">
        <v>2110</v>
      </c>
      <c r="H63" s="222">
        <v>7</v>
      </c>
      <c r="I63" s="207">
        <v>250</v>
      </c>
      <c r="J63" s="242">
        <f t="shared" si="15"/>
        <v>1750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44385</v>
      </c>
      <c r="D64" s="161" t="s">
        <v>9</v>
      </c>
      <c r="E64" s="161" t="s">
        <v>2563</v>
      </c>
      <c r="F64" s="222">
        <v>1825</v>
      </c>
      <c r="G64" s="222">
        <v>1839.8</v>
      </c>
      <c r="H64" s="222">
        <f>1839.8-1825</f>
        <v>14.799999999999955</v>
      </c>
      <c r="I64" s="207">
        <v>500</v>
      </c>
      <c r="J64" s="242">
        <f t="shared" si="15"/>
        <v>7399.9999999999773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44386</v>
      </c>
      <c r="D65" s="161" t="s">
        <v>9</v>
      </c>
      <c r="E65" s="161" t="s">
        <v>2563</v>
      </c>
      <c r="F65" s="222">
        <v>1820</v>
      </c>
      <c r="G65" s="222">
        <v>1841.5</v>
      </c>
      <c r="H65" s="222">
        <f>1841.5-1820</f>
        <v>21.5</v>
      </c>
      <c r="I65" s="207">
        <v>500</v>
      </c>
      <c r="J65" s="242">
        <f t="shared" si="15"/>
        <v>10750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44389</v>
      </c>
      <c r="D66" s="161" t="s">
        <v>9</v>
      </c>
      <c r="E66" s="161" t="s">
        <v>98</v>
      </c>
      <c r="F66" s="222">
        <v>2885</v>
      </c>
      <c r="G66" s="222">
        <v>2892</v>
      </c>
      <c r="H66" s="222">
        <f>2892-2885</f>
        <v>7</v>
      </c>
      <c r="I66" s="207">
        <v>300</v>
      </c>
      <c r="J66" s="242">
        <f t="shared" si="15"/>
        <v>2100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44390</v>
      </c>
      <c r="D67" s="161" t="s">
        <v>9</v>
      </c>
      <c r="E67" s="161" t="s">
        <v>58</v>
      </c>
      <c r="F67" s="222">
        <v>763</v>
      </c>
      <c r="G67" s="222">
        <v>771</v>
      </c>
      <c r="H67" s="222">
        <f>771-763</f>
        <v>8</v>
      </c>
      <c r="I67" s="207">
        <v>1200</v>
      </c>
      <c r="J67" s="242">
        <f t="shared" si="15"/>
        <v>9600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44391</v>
      </c>
      <c r="D68" s="161" t="s">
        <v>9</v>
      </c>
      <c r="E68" s="161" t="s">
        <v>95</v>
      </c>
      <c r="F68" s="222">
        <v>661</v>
      </c>
      <c r="G68" s="222">
        <v>666</v>
      </c>
      <c r="H68" s="222">
        <v>5</v>
      </c>
      <c r="I68" s="207">
        <v>1375</v>
      </c>
      <c r="J68" s="242">
        <f t="shared" si="15"/>
        <v>6875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44392</v>
      </c>
      <c r="D69" s="161" t="s">
        <v>9</v>
      </c>
      <c r="E69" s="161" t="s">
        <v>58</v>
      </c>
      <c r="F69" s="222">
        <v>773</v>
      </c>
      <c r="G69" s="222">
        <v>779</v>
      </c>
      <c r="H69" s="222">
        <v>6</v>
      </c>
      <c r="I69" s="207">
        <v>1200</v>
      </c>
      <c r="J69" s="242">
        <f t="shared" si="15"/>
        <v>7200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44393</v>
      </c>
      <c r="D70" s="161" t="s">
        <v>9</v>
      </c>
      <c r="E70" s="161" t="s">
        <v>2023</v>
      </c>
      <c r="F70" s="161">
        <v>6155</v>
      </c>
      <c r="G70" s="222">
        <v>6200</v>
      </c>
      <c r="H70" s="222">
        <f>6200-6155</f>
        <v>45</v>
      </c>
      <c r="I70" s="207">
        <v>125</v>
      </c>
      <c r="J70" s="242">
        <f t="shared" si="15"/>
        <v>5625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44396</v>
      </c>
      <c r="D71" s="161" t="s">
        <v>9</v>
      </c>
      <c r="E71" s="161" t="s">
        <v>58</v>
      </c>
      <c r="F71" s="222">
        <v>767</v>
      </c>
      <c r="G71" s="222">
        <v>760</v>
      </c>
      <c r="H71" s="222">
        <v>-7</v>
      </c>
      <c r="I71" s="207">
        <v>1200</v>
      </c>
      <c r="J71" s="242">
        <f t="shared" si="15"/>
        <v>-8400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44397</v>
      </c>
      <c r="D72" s="161" t="s">
        <v>8</v>
      </c>
      <c r="E72" s="161" t="s">
        <v>2563</v>
      </c>
      <c r="F72" s="222">
        <v>1740</v>
      </c>
      <c r="G72" s="222">
        <v>1710</v>
      </c>
      <c r="H72" s="222">
        <v>30</v>
      </c>
      <c r="I72" s="207">
        <v>500</v>
      </c>
      <c r="J72" s="242">
        <f t="shared" si="15"/>
        <v>15000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44399</v>
      </c>
      <c r="D73" s="161" t="s">
        <v>8</v>
      </c>
      <c r="E73" s="161" t="s">
        <v>2563</v>
      </c>
      <c r="F73" s="223">
        <v>1665</v>
      </c>
      <c r="G73" s="222">
        <v>1680</v>
      </c>
      <c r="H73" s="255">
        <v>-15</v>
      </c>
      <c r="I73" s="207">
        <v>500</v>
      </c>
      <c r="J73" s="242">
        <f t="shared" si="15"/>
        <v>-7500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44400</v>
      </c>
      <c r="D74" s="161" t="s">
        <v>9</v>
      </c>
      <c r="E74" s="161" t="s">
        <v>2563</v>
      </c>
      <c r="F74" s="222">
        <v>1715</v>
      </c>
      <c r="G74" s="222">
        <v>1745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44403</v>
      </c>
      <c r="D75" s="161" t="s">
        <v>9</v>
      </c>
      <c r="E75" s="161" t="s">
        <v>2563</v>
      </c>
      <c r="F75" s="222">
        <v>1755</v>
      </c>
      <c r="G75" s="222">
        <v>1759</v>
      </c>
      <c r="H75" s="255">
        <v>4</v>
      </c>
      <c r="I75" s="207">
        <v>500</v>
      </c>
      <c r="J75" s="242">
        <f t="shared" si="15"/>
        <v>2000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44404</v>
      </c>
      <c r="D76" s="161" t="s">
        <v>8</v>
      </c>
      <c r="E76" s="161" t="s">
        <v>58</v>
      </c>
      <c r="F76" s="222">
        <v>746</v>
      </c>
      <c r="G76" s="222">
        <v>733</v>
      </c>
      <c r="H76" s="222">
        <f>746-733</f>
        <v>13</v>
      </c>
      <c r="I76" s="207">
        <v>1200</v>
      </c>
      <c r="J76" s="242">
        <f t="shared" si="15"/>
        <v>15600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44405</v>
      </c>
      <c r="D77" s="161" t="s">
        <v>8</v>
      </c>
      <c r="E77" s="161" t="s">
        <v>58</v>
      </c>
      <c r="F77" s="222">
        <v>723</v>
      </c>
      <c r="G77" s="222">
        <v>713</v>
      </c>
      <c r="H77" s="222">
        <v>10</v>
      </c>
      <c r="I77" s="207">
        <v>1200</v>
      </c>
      <c r="J77" s="242">
        <f t="shared" si="15"/>
        <v>12000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44406</v>
      </c>
      <c r="D78" s="161" t="s">
        <v>9</v>
      </c>
      <c r="E78" s="161" t="s">
        <v>365</v>
      </c>
      <c r="F78" s="222">
        <v>733</v>
      </c>
      <c r="G78" s="222">
        <v>745</v>
      </c>
      <c r="H78" s="222">
        <f>745-733</f>
        <v>12</v>
      </c>
      <c r="I78" s="207">
        <v>1350</v>
      </c>
      <c r="J78" s="242">
        <f t="shared" si="15"/>
        <v>16200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44407</v>
      </c>
      <c r="D79" s="161" t="s">
        <v>9</v>
      </c>
      <c r="E79" s="161" t="s">
        <v>119</v>
      </c>
      <c r="F79" s="222">
        <v>1645</v>
      </c>
      <c r="G79" s="222">
        <v>1665</v>
      </c>
      <c r="H79" s="222">
        <v>20</v>
      </c>
      <c r="I79" s="207">
        <v>400</v>
      </c>
      <c r="J79" s="242">
        <f t="shared" si="15"/>
        <v>8000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134324.99999999997</v>
      </c>
      <c r="K84" s="153"/>
      <c r="V84" s="25">
        <f>SUM(V60:V83)</f>
        <v>18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3392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44378</v>
      </c>
      <c r="D92" s="185" t="s">
        <v>8</v>
      </c>
      <c r="E92" s="185" t="s">
        <v>39</v>
      </c>
      <c r="F92" s="219">
        <v>15710</v>
      </c>
      <c r="G92" s="219">
        <v>15750</v>
      </c>
      <c r="H92" s="185">
        <v>-40</v>
      </c>
      <c r="I92" s="219">
        <v>150</v>
      </c>
      <c r="J92" s="246">
        <f t="shared" ref="J92:J114" si="19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44379</v>
      </c>
      <c r="D93" s="185" t="s">
        <v>9</v>
      </c>
      <c r="E93" s="185" t="s">
        <v>39</v>
      </c>
      <c r="F93" s="219">
        <v>15840</v>
      </c>
      <c r="G93" s="219">
        <v>15855</v>
      </c>
      <c r="H93" s="185">
        <f>15855-15840</f>
        <v>15</v>
      </c>
      <c r="I93" s="219">
        <v>150</v>
      </c>
      <c r="J93" s="242">
        <f t="shared" si="19"/>
        <v>2250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44382</v>
      </c>
      <c r="D94" s="161" t="s">
        <v>9</v>
      </c>
      <c r="E94" s="161" t="s">
        <v>39</v>
      </c>
      <c r="F94" s="207">
        <v>15840</v>
      </c>
      <c r="G94" s="207">
        <v>15855</v>
      </c>
      <c r="H94" s="161">
        <v>15</v>
      </c>
      <c r="I94" s="207">
        <v>150</v>
      </c>
      <c r="J94" s="242">
        <f t="shared" si="19"/>
        <v>2250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44383</v>
      </c>
      <c r="D95" s="161" t="s">
        <v>9</v>
      </c>
      <c r="E95" s="161" t="s">
        <v>39</v>
      </c>
      <c r="F95" s="207">
        <v>15870</v>
      </c>
      <c r="G95" s="207">
        <v>15930</v>
      </c>
      <c r="H95" s="161">
        <f>15930-15870</f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44384</v>
      </c>
      <c r="D96" s="161" t="s">
        <v>9</v>
      </c>
      <c r="E96" s="161" t="s">
        <v>39</v>
      </c>
      <c r="F96" s="207">
        <v>15840</v>
      </c>
      <c r="G96" s="207">
        <v>15900</v>
      </c>
      <c r="H96" s="161">
        <f>15900-15840</f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44385</v>
      </c>
      <c r="D97" s="161" t="s">
        <v>8</v>
      </c>
      <c r="E97" s="161" t="s">
        <v>39</v>
      </c>
      <c r="F97" s="207">
        <v>15840</v>
      </c>
      <c r="G97" s="207">
        <v>15760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44386</v>
      </c>
      <c r="D98" s="161" t="s">
        <v>8</v>
      </c>
      <c r="E98" s="161" t="s">
        <v>39</v>
      </c>
      <c r="F98" s="207">
        <v>15740</v>
      </c>
      <c r="G98" s="207">
        <v>15680</v>
      </c>
      <c r="H98" s="161">
        <f>15740-15680</f>
        <v>60</v>
      </c>
      <c r="I98" s="207">
        <v>150</v>
      </c>
      <c r="J98" s="242">
        <f t="shared" si="19"/>
        <v>9000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44389</v>
      </c>
      <c r="D99" s="161" t="s">
        <v>9</v>
      </c>
      <c r="E99" s="161" t="s">
        <v>39</v>
      </c>
      <c r="F99" s="207">
        <v>15800</v>
      </c>
      <c r="G99" s="207">
        <v>15760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44390</v>
      </c>
      <c r="D100" s="161" t="s">
        <v>9</v>
      </c>
      <c r="E100" s="161" t="s">
        <v>39</v>
      </c>
      <c r="F100" s="207">
        <v>15780</v>
      </c>
      <c r="G100" s="207">
        <v>15835</v>
      </c>
      <c r="H100" s="161">
        <f>15780-15835</f>
        <v>-55</v>
      </c>
      <c r="I100" s="207">
        <v>150</v>
      </c>
      <c r="J100" s="242">
        <f t="shared" si="19"/>
        <v>-8250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44391</v>
      </c>
      <c r="D101" s="161" t="s">
        <v>9</v>
      </c>
      <c r="E101" s="161" t="s">
        <v>39</v>
      </c>
      <c r="F101" s="207">
        <v>15800</v>
      </c>
      <c r="G101" s="207">
        <v>15880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44392</v>
      </c>
      <c r="D102" s="161" t="s">
        <v>9</v>
      </c>
      <c r="E102" s="161" t="s">
        <v>39</v>
      </c>
      <c r="F102" s="207">
        <v>15900</v>
      </c>
      <c r="G102" s="207">
        <v>15960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44393</v>
      </c>
      <c r="D103" s="161" t="s">
        <v>8</v>
      </c>
      <c r="E103" s="161" t="s">
        <v>39</v>
      </c>
      <c r="F103" s="207">
        <v>15940</v>
      </c>
      <c r="G103" s="207">
        <v>15900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44396</v>
      </c>
      <c r="D104" s="161" t="s">
        <v>9</v>
      </c>
      <c r="E104" s="161" t="s">
        <v>39</v>
      </c>
      <c r="F104" s="207">
        <v>15830</v>
      </c>
      <c r="G104" s="207">
        <v>15790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44397</v>
      </c>
      <c r="D105" s="161" t="s">
        <v>8</v>
      </c>
      <c r="E105" s="161" t="s">
        <v>39</v>
      </c>
      <c r="F105" s="207">
        <v>15670</v>
      </c>
      <c r="G105" s="207">
        <v>15590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44399</v>
      </c>
      <c r="D106" s="161" t="s">
        <v>9</v>
      </c>
      <c r="E106" s="161" t="s">
        <v>39</v>
      </c>
      <c r="F106" s="207">
        <v>15790</v>
      </c>
      <c r="G106" s="207">
        <v>15825</v>
      </c>
      <c r="H106" s="161">
        <f>15825-15790</f>
        <v>35</v>
      </c>
      <c r="I106" s="207">
        <v>150</v>
      </c>
      <c r="J106" s="242">
        <f t="shared" si="19"/>
        <v>5250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44400</v>
      </c>
      <c r="D107" s="161" t="s">
        <v>9</v>
      </c>
      <c r="E107" s="161" t="s">
        <v>39</v>
      </c>
      <c r="F107" s="207">
        <v>15830</v>
      </c>
      <c r="G107" s="207">
        <v>15890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44403</v>
      </c>
      <c r="D108" s="161" t="s">
        <v>9</v>
      </c>
      <c r="E108" s="161" t="s">
        <v>39</v>
      </c>
      <c r="F108" s="207">
        <v>15860</v>
      </c>
      <c r="G108" s="207">
        <v>15880</v>
      </c>
      <c r="H108" s="161">
        <v>20</v>
      </c>
      <c r="I108" s="207">
        <v>150</v>
      </c>
      <c r="J108" s="242">
        <f t="shared" si="19"/>
        <v>3000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44404</v>
      </c>
      <c r="D109" s="161" t="s">
        <v>8</v>
      </c>
      <c r="E109" s="161" t="s">
        <v>39</v>
      </c>
      <c r="F109" s="207">
        <v>15810</v>
      </c>
      <c r="G109" s="207">
        <v>15730</v>
      </c>
      <c r="H109" s="161">
        <f>15810-15730</f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44405</v>
      </c>
      <c r="D110" s="161" t="s">
        <v>8</v>
      </c>
      <c r="E110" s="161" t="s">
        <v>39</v>
      </c>
      <c r="F110" s="207">
        <v>15650</v>
      </c>
      <c r="G110" s="207">
        <v>15570</v>
      </c>
      <c r="H110" s="161">
        <f>15650-15570</f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44406</v>
      </c>
      <c r="D111" s="161" t="s">
        <v>9</v>
      </c>
      <c r="E111" s="161" t="s">
        <v>39</v>
      </c>
      <c r="F111" s="207">
        <v>15780</v>
      </c>
      <c r="G111" s="207">
        <v>15795</v>
      </c>
      <c r="H111" s="161">
        <f>15795-15780</f>
        <v>15</v>
      </c>
      <c r="I111" s="207">
        <v>150</v>
      </c>
      <c r="J111" s="242">
        <f t="shared" si="19"/>
        <v>2250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44407</v>
      </c>
      <c r="D112" s="161" t="s">
        <v>8</v>
      </c>
      <c r="E112" s="161" t="s">
        <v>39</v>
      </c>
      <c r="F112" s="207">
        <v>15810</v>
      </c>
      <c r="G112" s="207">
        <v>15850</v>
      </c>
      <c r="H112" s="161">
        <v>-40</v>
      </c>
      <c r="I112" s="207">
        <v>150</v>
      </c>
      <c r="J112" s="242">
        <f t="shared" si="19"/>
        <v>-6000</v>
      </c>
      <c r="K112" s="153"/>
      <c r="V112" s="25">
        <f t="shared" si="20"/>
        <v>0</v>
      </c>
      <c r="W112" s="25">
        <f t="shared" si="21"/>
        <v>1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90750</v>
      </c>
      <c r="K115" s="153"/>
      <c r="V115" s="25">
        <f>SUM(V92:V114)</f>
        <v>16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3393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44378</v>
      </c>
      <c r="D123" s="185" t="s">
        <v>9</v>
      </c>
      <c r="E123" s="185" t="s">
        <v>3388</v>
      </c>
      <c r="F123" s="219">
        <v>115</v>
      </c>
      <c r="G123" s="231">
        <v>90</v>
      </c>
      <c r="H123" s="231">
        <v>-25</v>
      </c>
      <c r="I123" s="219">
        <v>300</v>
      </c>
      <c r="J123" s="246">
        <f t="shared" ref="J123:J145" si="23">I123*H123</f>
        <v>-7500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44382</v>
      </c>
      <c r="D124" s="185" t="s">
        <v>9</v>
      </c>
      <c r="E124" s="185" t="s">
        <v>3385</v>
      </c>
      <c r="F124" s="219">
        <v>110</v>
      </c>
      <c r="G124" s="219">
        <v>107</v>
      </c>
      <c r="H124" s="185">
        <v>-3</v>
      </c>
      <c r="I124" s="219">
        <v>300</v>
      </c>
      <c r="J124" s="242">
        <f t="shared" si="23"/>
        <v>-900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>B124+1</f>
        <v>3</v>
      </c>
      <c r="C125" s="206">
        <v>44383</v>
      </c>
      <c r="D125" s="161" t="s">
        <v>9</v>
      </c>
      <c r="E125" s="161" t="s">
        <v>3385</v>
      </c>
      <c r="F125" s="207">
        <v>125</v>
      </c>
      <c r="G125" s="207">
        <v>160</v>
      </c>
      <c r="H125" s="161">
        <v>35</v>
      </c>
      <c r="I125" s="207">
        <v>300</v>
      </c>
      <c r="J125" s="242">
        <f t="shared" si="23"/>
        <v>10500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ref="B126:B145" si="26">B125+1</f>
        <v>4</v>
      </c>
      <c r="C126" s="206">
        <v>44384</v>
      </c>
      <c r="D126" s="161" t="s">
        <v>9</v>
      </c>
      <c r="E126" s="161" t="s">
        <v>3385</v>
      </c>
      <c r="F126" s="207">
        <v>95</v>
      </c>
      <c r="G126" s="207">
        <v>145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44385</v>
      </c>
      <c r="D127" s="161" t="s">
        <v>9</v>
      </c>
      <c r="E127" s="161" t="s">
        <v>3399</v>
      </c>
      <c r="F127" s="207">
        <v>120</v>
      </c>
      <c r="G127" s="207">
        <v>170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44386</v>
      </c>
      <c r="D128" s="161" t="s">
        <v>9</v>
      </c>
      <c r="E128" s="161" t="s">
        <v>3370</v>
      </c>
      <c r="F128" s="207">
        <v>110</v>
      </c>
      <c r="G128" s="222">
        <v>145</v>
      </c>
      <c r="H128" s="222">
        <v>35</v>
      </c>
      <c r="I128" s="207">
        <v>300</v>
      </c>
      <c r="J128" s="242">
        <f t="shared" si="23"/>
        <v>10500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44389</v>
      </c>
      <c r="D129" s="161" t="s">
        <v>9</v>
      </c>
      <c r="E129" s="161" t="s">
        <v>1359</v>
      </c>
      <c r="F129" s="207">
        <v>75</v>
      </c>
      <c r="G129" s="207">
        <v>95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44390</v>
      </c>
      <c r="D130" s="161" t="s">
        <v>9</v>
      </c>
      <c r="E130" s="161" t="s">
        <v>1310</v>
      </c>
      <c r="F130" s="207">
        <v>100</v>
      </c>
      <c r="G130" s="207">
        <v>135</v>
      </c>
      <c r="H130" s="161">
        <v>35</v>
      </c>
      <c r="I130" s="207">
        <v>300</v>
      </c>
      <c r="J130" s="242">
        <f t="shared" si="23"/>
        <v>10500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44391</v>
      </c>
      <c r="D131" s="161" t="s">
        <v>9</v>
      </c>
      <c r="E131" s="161" t="s">
        <v>1310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44392</v>
      </c>
      <c r="D132" s="161" t="s">
        <v>9</v>
      </c>
      <c r="E132" s="161" t="s">
        <v>3384</v>
      </c>
      <c r="F132" s="207">
        <v>95</v>
      </c>
      <c r="G132" s="222">
        <v>134</v>
      </c>
      <c r="H132" s="222">
        <f>134-95</f>
        <v>39</v>
      </c>
      <c r="I132" s="207">
        <v>300</v>
      </c>
      <c r="J132" s="242">
        <f t="shared" si="23"/>
        <v>11700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44393</v>
      </c>
      <c r="D133" s="161" t="s">
        <v>9</v>
      </c>
      <c r="E133" s="161" t="s">
        <v>1320</v>
      </c>
      <c r="F133" s="207">
        <v>120</v>
      </c>
      <c r="G133" s="222">
        <v>145</v>
      </c>
      <c r="H133" s="222">
        <v>25</v>
      </c>
      <c r="I133" s="207">
        <v>300</v>
      </c>
      <c r="J133" s="242">
        <f t="shared" si="23"/>
        <v>7500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44396</v>
      </c>
      <c r="D134" s="161" t="s">
        <v>9</v>
      </c>
      <c r="E134" s="161" t="s">
        <v>3385</v>
      </c>
      <c r="F134" s="207">
        <v>110</v>
      </c>
      <c r="G134" s="222">
        <v>85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44397</v>
      </c>
      <c r="D135" s="161" t="s">
        <v>9</v>
      </c>
      <c r="E135" s="161" t="s">
        <v>3370</v>
      </c>
      <c r="F135" s="207">
        <v>110</v>
      </c>
      <c r="G135" s="222">
        <v>160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44399</v>
      </c>
      <c r="D136" s="161" t="s">
        <v>9</v>
      </c>
      <c r="E136" s="161" t="s">
        <v>1310</v>
      </c>
      <c r="F136" s="207">
        <v>100</v>
      </c>
      <c r="G136" s="207">
        <v>119</v>
      </c>
      <c r="H136" s="161">
        <v>19</v>
      </c>
      <c r="I136" s="207">
        <v>300</v>
      </c>
      <c r="J136" s="242">
        <f>I136*H136</f>
        <v>5700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44400</v>
      </c>
      <c r="D137" s="161" t="s">
        <v>9</v>
      </c>
      <c r="E137" s="161" t="s">
        <v>3384</v>
      </c>
      <c r="F137" s="207">
        <v>100</v>
      </c>
      <c r="G137" s="207">
        <v>135</v>
      </c>
      <c r="H137" s="161">
        <v>35</v>
      </c>
      <c r="I137" s="207">
        <v>300</v>
      </c>
      <c r="J137" s="242">
        <f t="shared" si="23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44403</v>
      </c>
      <c r="D138" s="161" t="s">
        <v>9</v>
      </c>
      <c r="E138" s="161" t="s">
        <v>3410</v>
      </c>
      <c r="F138" s="207">
        <v>80</v>
      </c>
      <c r="G138" s="207">
        <v>87</v>
      </c>
      <c r="H138" s="161">
        <v>7</v>
      </c>
      <c r="I138" s="207">
        <v>300</v>
      </c>
      <c r="J138" s="242">
        <f t="shared" si="23"/>
        <v>2100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44404</v>
      </c>
      <c r="D139" s="161" t="s">
        <v>9</v>
      </c>
      <c r="E139" s="161" t="s">
        <v>3411</v>
      </c>
      <c r="F139" s="207">
        <v>90</v>
      </c>
      <c r="G139" s="207">
        <v>140</v>
      </c>
      <c r="H139" s="161">
        <f>140-90</f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44405</v>
      </c>
      <c r="D140" s="161" t="s">
        <v>9</v>
      </c>
      <c r="E140" s="161" t="s">
        <v>1359</v>
      </c>
      <c r="F140" s="207">
        <v>100</v>
      </c>
      <c r="G140" s="222">
        <v>150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44406</v>
      </c>
      <c r="D141" s="161" t="s">
        <v>9</v>
      </c>
      <c r="E141" s="161" t="s">
        <v>1310</v>
      </c>
      <c r="F141" s="207">
        <v>90</v>
      </c>
      <c r="G141" s="207">
        <v>108</v>
      </c>
      <c r="H141" s="161">
        <v>18</v>
      </c>
      <c r="I141" s="207">
        <v>300</v>
      </c>
      <c r="J141" s="242">
        <f t="shared" si="23"/>
        <v>5400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44407</v>
      </c>
      <c r="D142" s="161" t="s">
        <v>9</v>
      </c>
      <c r="E142" s="161" t="s">
        <v>3372</v>
      </c>
      <c r="F142" s="207">
        <v>120</v>
      </c>
      <c r="G142" s="207">
        <v>95</v>
      </c>
      <c r="H142" s="161">
        <v>-25</v>
      </c>
      <c r="I142" s="207">
        <v>300</v>
      </c>
      <c r="J142" s="242">
        <f t="shared" si="23"/>
        <v>-7500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147000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3392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44378</v>
      </c>
      <c r="D154" s="185" t="s">
        <v>8</v>
      </c>
      <c r="E154" s="185" t="s">
        <v>301</v>
      </c>
      <c r="F154" s="219">
        <v>34900</v>
      </c>
      <c r="G154" s="231">
        <v>35050</v>
      </c>
      <c r="H154" s="185">
        <v>150</v>
      </c>
      <c r="I154" s="219">
        <v>50</v>
      </c>
      <c r="J154" s="246">
        <f t="shared" ref="J154:J176" si="27">I154*H154</f>
        <v>7500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44382</v>
      </c>
      <c r="D155" s="185" t="s">
        <v>9</v>
      </c>
      <c r="E155" s="185" t="s">
        <v>301</v>
      </c>
      <c r="F155" s="219">
        <v>35250</v>
      </c>
      <c r="G155" s="219">
        <v>35330</v>
      </c>
      <c r="H155" s="185">
        <v>80</v>
      </c>
      <c r="I155" s="219">
        <v>50</v>
      </c>
      <c r="J155" s="242">
        <f t="shared" si="27"/>
        <v>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44383</v>
      </c>
      <c r="D156" s="161" t="s">
        <v>9</v>
      </c>
      <c r="E156" s="161" t="s">
        <v>301</v>
      </c>
      <c r="F156" s="207">
        <v>35550</v>
      </c>
      <c r="G156" s="207">
        <v>35850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44384</v>
      </c>
      <c r="D157" s="161" t="s">
        <v>9</v>
      </c>
      <c r="E157" s="161" t="s">
        <v>301</v>
      </c>
      <c r="F157" s="207">
        <v>35700</v>
      </c>
      <c r="G157" s="207">
        <v>35850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44385</v>
      </c>
      <c r="D158" s="161" t="s">
        <v>8</v>
      </c>
      <c r="E158" s="161" t="s">
        <v>301</v>
      </c>
      <c r="F158" s="207">
        <v>35800</v>
      </c>
      <c r="G158" s="207">
        <v>35500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44386</v>
      </c>
      <c r="D159" s="161" t="s">
        <v>8</v>
      </c>
      <c r="E159" s="161" t="s">
        <v>301</v>
      </c>
      <c r="F159" s="207">
        <v>35300</v>
      </c>
      <c r="G159" s="207">
        <v>35240</v>
      </c>
      <c r="H159" s="161">
        <v>60</v>
      </c>
      <c r="I159" s="207">
        <v>50</v>
      </c>
      <c r="J159" s="242">
        <f t="shared" si="27"/>
        <v>3000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44389</v>
      </c>
      <c r="D160" s="161" t="s">
        <v>9</v>
      </c>
      <c r="E160" s="161" t="s">
        <v>301</v>
      </c>
      <c r="F160" s="207">
        <v>35500</v>
      </c>
      <c r="G160" s="207">
        <v>35350</v>
      </c>
      <c r="H160" s="161">
        <f>35500-35350</f>
        <v>150</v>
      </c>
      <c r="I160" s="207">
        <v>50</v>
      </c>
      <c r="J160" s="242">
        <f t="shared" si="27"/>
        <v>7500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44390</v>
      </c>
      <c r="D161" s="161" t="s">
        <v>9</v>
      </c>
      <c r="E161" s="161" t="s">
        <v>301</v>
      </c>
      <c r="F161" s="207">
        <v>35500</v>
      </c>
      <c r="G161" s="207">
        <v>35700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44391</v>
      </c>
      <c r="D162" s="161" t="s">
        <v>9</v>
      </c>
      <c r="E162" s="161" t="s">
        <v>301</v>
      </c>
      <c r="F162" s="207">
        <v>35600</v>
      </c>
      <c r="G162" s="207">
        <v>35800</v>
      </c>
      <c r="H162" s="161">
        <v>200</v>
      </c>
      <c r="I162" s="207">
        <v>50</v>
      </c>
      <c r="J162" s="242">
        <f t="shared" si="27"/>
        <v>10000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44392</v>
      </c>
      <c r="D163" s="161" t="s">
        <v>9</v>
      </c>
      <c r="E163" s="161" t="s">
        <v>301</v>
      </c>
      <c r="F163" s="207">
        <v>36000</v>
      </c>
      <c r="G163" s="207">
        <v>36060</v>
      </c>
      <c r="H163" s="161">
        <v>60</v>
      </c>
      <c r="I163" s="207">
        <v>50</v>
      </c>
      <c r="J163" s="242">
        <f t="shared" si="27"/>
        <v>3000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44393</v>
      </c>
      <c r="D164" s="161" t="s">
        <v>8</v>
      </c>
      <c r="E164" s="161" t="s">
        <v>301</v>
      </c>
      <c r="F164" s="207">
        <v>35900</v>
      </c>
      <c r="G164" s="207">
        <v>35750</v>
      </c>
      <c r="H164" s="161">
        <v>150</v>
      </c>
      <c r="I164" s="207">
        <v>50</v>
      </c>
      <c r="J164" s="242">
        <f t="shared" si="27"/>
        <v>7500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44396</v>
      </c>
      <c r="D165" s="161" t="s">
        <v>9</v>
      </c>
      <c r="E165" s="161" t="s">
        <v>301</v>
      </c>
      <c r="F165" s="207">
        <v>35400</v>
      </c>
      <c r="G165" s="207">
        <v>35250</v>
      </c>
      <c r="H165" s="161">
        <v>-150</v>
      </c>
      <c r="I165" s="207">
        <v>50</v>
      </c>
      <c r="J165" s="242">
        <f t="shared" si="27"/>
        <v>-7500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44397</v>
      </c>
      <c r="D166" s="161" t="s">
        <v>8</v>
      </c>
      <c r="E166" s="161" t="s">
        <v>301</v>
      </c>
      <c r="F166" s="207">
        <v>34700</v>
      </c>
      <c r="G166" s="207">
        <v>34500</v>
      </c>
      <c r="H166" s="161">
        <v>200</v>
      </c>
      <c r="I166" s="207">
        <v>50</v>
      </c>
      <c r="J166" s="242">
        <f t="shared" si="27"/>
        <v>10000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44399</v>
      </c>
      <c r="D167" s="161" t="s">
        <v>9</v>
      </c>
      <c r="E167" s="161" t="s">
        <v>301</v>
      </c>
      <c r="F167" s="207">
        <v>35000</v>
      </c>
      <c r="G167" s="207">
        <v>35045</v>
      </c>
      <c r="H167" s="161">
        <v>45</v>
      </c>
      <c r="I167" s="207">
        <v>50</v>
      </c>
      <c r="J167" s="242">
        <f t="shared" si="27"/>
        <v>2250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44400</v>
      </c>
      <c r="D168" s="161" t="s">
        <v>9</v>
      </c>
      <c r="E168" s="161" t="s">
        <v>301</v>
      </c>
      <c r="F168" s="207">
        <v>34800</v>
      </c>
      <c r="G168" s="207">
        <v>35100</v>
      </c>
      <c r="H168" s="161">
        <v>300</v>
      </c>
      <c r="I168" s="207">
        <v>50</v>
      </c>
      <c r="J168" s="242">
        <f t="shared" si="27"/>
        <v>15000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44403</v>
      </c>
      <c r="D169" s="161" t="s">
        <v>9</v>
      </c>
      <c r="E169" s="161" t="s">
        <v>301</v>
      </c>
      <c r="F169" s="207">
        <v>34950</v>
      </c>
      <c r="G169" s="207">
        <v>35150</v>
      </c>
      <c r="H169" s="161">
        <f>35150-34950</f>
        <v>200</v>
      </c>
      <c r="I169" s="207">
        <v>50</v>
      </c>
      <c r="J169" s="242">
        <f t="shared" si="27"/>
        <v>10000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44404</v>
      </c>
      <c r="D170" s="161" t="s">
        <v>8</v>
      </c>
      <c r="E170" s="161" t="s">
        <v>301</v>
      </c>
      <c r="F170" s="207">
        <v>35000</v>
      </c>
      <c r="G170" s="207">
        <v>34710</v>
      </c>
      <c r="H170" s="161">
        <f>35000-34710</f>
        <v>290</v>
      </c>
      <c r="I170" s="207">
        <v>50</v>
      </c>
      <c r="J170" s="242">
        <f t="shared" si="27"/>
        <v>14500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44405</v>
      </c>
      <c r="D171" s="161" t="s">
        <v>8</v>
      </c>
      <c r="E171" s="161" t="s">
        <v>301</v>
      </c>
      <c r="F171" s="207">
        <v>34550</v>
      </c>
      <c r="G171" s="207">
        <v>34250</v>
      </c>
      <c r="H171" s="161">
        <v>250</v>
      </c>
      <c r="I171" s="207">
        <v>50</v>
      </c>
      <c r="J171" s="242">
        <f t="shared" si="27"/>
        <v>12500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44406</v>
      </c>
      <c r="D172" s="161" t="s">
        <v>9</v>
      </c>
      <c r="E172" s="161" t="s">
        <v>301</v>
      </c>
      <c r="F172" s="207">
        <v>34650</v>
      </c>
      <c r="G172" s="207">
        <v>34700</v>
      </c>
      <c r="H172" s="161">
        <v>50</v>
      </c>
      <c r="I172" s="207">
        <v>50</v>
      </c>
      <c r="J172" s="242">
        <f t="shared" si="27"/>
        <v>2500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44407</v>
      </c>
      <c r="D173" s="161" t="s">
        <v>8</v>
      </c>
      <c r="E173" s="161" t="s">
        <v>301</v>
      </c>
      <c r="F173" s="207">
        <v>34600</v>
      </c>
      <c r="G173" s="207">
        <v>34750</v>
      </c>
      <c r="H173" s="161">
        <v>-150</v>
      </c>
      <c r="I173" s="207">
        <v>50</v>
      </c>
      <c r="J173" s="242">
        <f t="shared" si="27"/>
        <v>-7500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141750</v>
      </c>
      <c r="K177" s="153"/>
      <c r="V177" s="25">
        <f>SUM(V154:V176)</f>
        <v>18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3393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44378</v>
      </c>
      <c r="D185" s="185" t="s">
        <v>9</v>
      </c>
      <c r="E185" s="185" t="s">
        <v>3279</v>
      </c>
      <c r="F185" s="219">
        <v>150</v>
      </c>
      <c r="G185" s="219">
        <v>50</v>
      </c>
      <c r="H185" s="185">
        <v>-100</v>
      </c>
      <c r="I185" s="219">
        <v>100</v>
      </c>
      <c r="J185" s="246">
        <f t="shared" ref="J185:J207" si="31">I185*H185</f>
        <v>-10000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44382</v>
      </c>
      <c r="D186" s="185" t="s">
        <v>9</v>
      </c>
      <c r="E186" s="185" t="s">
        <v>3254</v>
      </c>
      <c r="F186" s="219">
        <v>180</v>
      </c>
      <c r="G186" s="219">
        <v>215</v>
      </c>
      <c r="H186" s="185">
        <f>215-180</f>
        <v>35</v>
      </c>
      <c r="I186" s="219">
        <v>100</v>
      </c>
      <c r="J186" s="242">
        <f t="shared" si="31"/>
        <v>3500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44383</v>
      </c>
      <c r="D187" s="161" t="s">
        <v>9</v>
      </c>
      <c r="E187" s="161" t="s">
        <v>3273</v>
      </c>
      <c r="F187" s="207">
        <v>210</v>
      </c>
      <c r="G187" s="207">
        <v>410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44384</v>
      </c>
      <c r="D188" s="161" t="s">
        <v>9</v>
      </c>
      <c r="E188" s="161" t="s">
        <v>3268</v>
      </c>
      <c r="F188" s="207">
        <v>160</v>
      </c>
      <c r="G188" s="207">
        <v>257</v>
      </c>
      <c r="H188" s="161">
        <v>99</v>
      </c>
      <c r="I188" s="207">
        <v>100</v>
      </c>
      <c r="J188" s="242">
        <f t="shared" si="31"/>
        <v>9900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44385</v>
      </c>
      <c r="D189" s="161" t="s">
        <v>9</v>
      </c>
      <c r="E189" s="161" t="s">
        <v>3230</v>
      </c>
      <c r="F189" s="207">
        <v>210</v>
      </c>
      <c r="G189" s="207">
        <v>410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44386</v>
      </c>
      <c r="D190" s="161" t="s">
        <v>9</v>
      </c>
      <c r="E190" s="161" t="s">
        <v>3359</v>
      </c>
      <c r="F190" s="207">
        <v>360</v>
      </c>
      <c r="G190" s="207">
        <v>400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44389</v>
      </c>
      <c r="D191" s="161" t="s">
        <v>9</v>
      </c>
      <c r="E191" s="161" t="s">
        <v>3273</v>
      </c>
      <c r="F191" s="207">
        <v>210</v>
      </c>
      <c r="G191" s="207">
        <v>110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44390</v>
      </c>
      <c r="D192" s="161" t="s">
        <v>9</v>
      </c>
      <c r="E192" s="161" t="s">
        <v>3273</v>
      </c>
      <c r="F192" s="207">
        <v>200</v>
      </c>
      <c r="G192" s="207">
        <v>400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44391</v>
      </c>
      <c r="D193" s="161" t="s">
        <v>9</v>
      </c>
      <c r="E193" s="161" t="s">
        <v>3255</v>
      </c>
      <c r="F193" s="207">
        <v>170</v>
      </c>
      <c r="G193" s="207">
        <v>320</v>
      </c>
      <c r="H193" s="161">
        <f>320-170</f>
        <v>150</v>
      </c>
      <c r="I193" s="207">
        <v>100</v>
      </c>
      <c r="J193" s="242">
        <f t="shared" si="31"/>
        <v>15000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44392</v>
      </c>
      <c r="D194" s="161" t="s">
        <v>9</v>
      </c>
      <c r="E194" s="161" t="s">
        <v>3274</v>
      </c>
      <c r="F194" s="207">
        <v>150</v>
      </c>
      <c r="G194" s="207">
        <v>220</v>
      </c>
      <c r="H194" s="161">
        <f>220-150</f>
        <v>70</v>
      </c>
      <c r="I194" s="207">
        <v>100</v>
      </c>
      <c r="J194" s="242">
        <f t="shared" si="31"/>
        <v>7000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44393</v>
      </c>
      <c r="D195" s="161" t="s">
        <v>9</v>
      </c>
      <c r="E195" s="161" t="s">
        <v>3230</v>
      </c>
      <c r="F195" s="207">
        <v>300</v>
      </c>
      <c r="G195" s="207">
        <v>370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44396</v>
      </c>
      <c r="D196" s="161" t="s">
        <v>9</v>
      </c>
      <c r="E196" s="161" t="s">
        <v>3273</v>
      </c>
      <c r="F196" s="207">
        <v>200</v>
      </c>
      <c r="G196" s="207">
        <v>100</v>
      </c>
      <c r="H196" s="161">
        <v>-100</v>
      </c>
      <c r="I196" s="207">
        <v>100</v>
      </c>
      <c r="J196" s="242">
        <f t="shared" si="31"/>
        <v>-10000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44397</v>
      </c>
      <c r="D197" s="161" t="s">
        <v>9</v>
      </c>
      <c r="E197" s="161" t="s">
        <v>3358</v>
      </c>
      <c r="F197" s="207">
        <v>250</v>
      </c>
      <c r="G197" s="207">
        <v>400</v>
      </c>
      <c r="H197" s="161">
        <f>400-250</f>
        <v>150</v>
      </c>
      <c r="I197" s="207">
        <v>100</v>
      </c>
      <c r="J197" s="242">
        <f t="shared" si="31"/>
        <v>15000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44399</v>
      </c>
      <c r="D198" s="161" t="s">
        <v>9</v>
      </c>
      <c r="E198" s="161" t="s">
        <v>3284</v>
      </c>
      <c r="F198" s="207">
        <v>180</v>
      </c>
      <c r="G198" s="207">
        <v>215</v>
      </c>
      <c r="H198" s="161">
        <f>215-180</f>
        <v>35</v>
      </c>
      <c r="I198" s="207">
        <v>100</v>
      </c>
      <c r="J198" s="242">
        <f t="shared" si="31"/>
        <v>3500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44400</v>
      </c>
      <c r="D199" s="161" t="s">
        <v>9</v>
      </c>
      <c r="E199" s="161" t="s">
        <v>3284</v>
      </c>
      <c r="F199" s="207">
        <v>300</v>
      </c>
      <c r="G199" s="207">
        <v>460</v>
      </c>
      <c r="H199" s="161">
        <v>160</v>
      </c>
      <c r="I199" s="207">
        <v>100</v>
      </c>
      <c r="J199" s="242">
        <f t="shared" si="31"/>
        <v>16000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44403</v>
      </c>
      <c r="D200" s="161" t="s">
        <v>9</v>
      </c>
      <c r="E200" s="161" t="s">
        <v>3221</v>
      </c>
      <c r="F200" s="207">
        <v>280</v>
      </c>
      <c r="G200" s="207">
        <v>355</v>
      </c>
      <c r="H200" s="161">
        <f>355-280</f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44404</v>
      </c>
      <c r="D201" s="161" t="s">
        <v>9</v>
      </c>
      <c r="E201" s="161" t="s">
        <v>3386</v>
      </c>
      <c r="F201" s="207">
        <v>220</v>
      </c>
      <c r="G201" s="207">
        <v>420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44405</v>
      </c>
      <c r="D202" s="161" t="s">
        <v>9</v>
      </c>
      <c r="E202" s="161" t="s">
        <v>3285</v>
      </c>
      <c r="F202" s="207">
        <v>220</v>
      </c>
      <c r="G202" s="207">
        <v>420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44406</v>
      </c>
      <c r="D203" s="161" t="s">
        <v>9</v>
      </c>
      <c r="E203" s="161" t="s">
        <v>3412</v>
      </c>
      <c r="F203" s="207">
        <v>140</v>
      </c>
      <c r="G203" s="207">
        <v>190</v>
      </c>
      <c r="H203" s="161">
        <v>50</v>
      </c>
      <c r="I203" s="207">
        <v>100</v>
      </c>
      <c r="J203" s="242">
        <f t="shared" si="31"/>
        <v>5000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44407</v>
      </c>
      <c r="D204" s="161" t="s">
        <v>9</v>
      </c>
      <c r="E204" s="161" t="s">
        <v>3285</v>
      </c>
      <c r="F204" s="207">
        <v>340</v>
      </c>
      <c r="G204" s="207">
        <v>240</v>
      </c>
      <c r="H204" s="161">
        <v>-100</v>
      </c>
      <c r="I204" s="207">
        <v>100</v>
      </c>
      <c r="J204" s="242">
        <f t="shared" si="31"/>
        <v>-10000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153400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3392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44378</v>
      </c>
      <c r="D216" s="185" t="s">
        <v>9</v>
      </c>
      <c r="E216" s="185" t="s">
        <v>3394</v>
      </c>
      <c r="F216" s="231">
        <v>15</v>
      </c>
      <c r="G216" s="231">
        <v>16</v>
      </c>
      <c r="H216" s="231">
        <v>1</v>
      </c>
      <c r="I216" s="219">
        <v>1375</v>
      </c>
      <c r="J216" s="246">
        <f t="shared" ref="J216:J239" si="35">I216*H216</f>
        <v>1375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44382</v>
      </c>
      <c r="D217" s="185" t="s">
        <v>9</v>
      </c>
      <c r="E217" s="185" t="s">
        <v>3395</v>
      </c>
      <c r="F217" s="231">
        <v>10</v>
      </c>
      <c r="G217" s="231">
        <v>12.8</v>
      </c>
      <c r="H217" s="231">
        <v>2.8</v>
      </c>
      <c r="I217" s="219">
        <v>1100</v>
      </c>
      <c r="J217" s="242">
        <f>I217*H217</f>
        <v>3080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44383</v>
      </c>
      <c r="D218" s="161" t="s">
        <v>9</v>
      </c>
      <c r="E218" s="161" t="s">
        <v>3396</v>
      </c>
      <c r="F218" s="222">
        <v>42</v>
      </c>
      <c r="G218" s="222">
        <v>47</v>
      </c>
      <c r="H218" s="222">
        <v>5</v>
      </c>
      <c r="I218" s="207">
        <v>250</v>
      </c>
      <c r="J218" s="242">
        <f t="shared" si="35"/>
        <v>1250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44384</v>
      </c>
      <c r="D219" s="161" t="s">
        <v>9</v>
      </c>
      <c r="E219" s="161" t="s">
        <v>3397</v>
      </c>
      <c r="F219" s="222">
        <v>205</v>
      </c>
      <c r="G219" s="222">
        <v>220</v>
      </c>
      <c r="H219" s="222">
        <v>15</v>
      </c>
      <c r="I219" s="207">
        <v>125</v>
      </c>
      <c r="J219" s="242">
        <f t="shared" si="35"/>
        <v>1875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44385</v>
      </c>
      <c r="D220" s="161" t="s">
        <v>3398</v>
      </c>
      <c r="E220" s="161" t="s">
        <v>3066</v>
      </c>
      <c r="F220" s="222">
        <v>2107</v>
      </c>
      <c r="G220" s="222">
        <v>2087</v>
      </c>
      <c r="H220" s="222">
        <f>2107-2087</f>
        <v>20</v>
      </c>
      <c r="I220" s="207">
        <v>250</v>
      </c>
      <c r="J220" s="242">
        <f t="shared" si="35"/>
        <v>5000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44386</v>
      </c>
      <c r="D221" s="161" t="s">
        <v>9</v>
      </c>
      <c r="E221" s="161" t="s">
        <v>2064</v>
      </c>
      <c r="F221" s="222">
        <v>7.5</v>
      </c>
      <c r="G221" s="222">
        <v>10.5</v>
      </c>
      <c r="H221" s="222">
        <v>3</v>
      </c>
      <c r="I221" s="207">
        <v>3100</v>
      </c>
      <c r="J221" s="242">
        <f t="shared" si="35"/>
        <v>9300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44389</v>
      </c>
      <c r="D222" s="161" t="s">
        <v>9</v>
      </c>
      <c r="E222" s="161" t="s">
        <v>2743</v>
      </c>
      <c r="F222" s="222">
        <v>29</v>
      </c>
      <c r="G222" s="222">
        <v>31.5</v>
      </c>
      <c r="H222" s="222">
        <v>2.5</v>
      </c>
      <c r="I222" s="207">
        <v>550</v>
      </c>
      <c r="J222" s="242">
        <f t="shared" si="35"/>
        <v>1375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44390</v>
      </c>
      <c r="D223" s="161" t="s">
        <v>9</v>
      </c>
      <c r="E223" s="161" t="s">
        <v>3243</v>
      </c>
      <c r="F223" s="222">
        <v>12</v>
      </c>
      <c r="G223" s="222">
        <v>18</v>
      </c>
      <c r="H223" s="222">
        <v>6</v>
      </c>
      <c r="I223" s="207">
        <v>1200</v>
      </c>
      <c r="J223" s="242">
        <f t="shared" si="35"/>
        <v>7200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44391</v>
      </c>
      <c r="D224" s="161" t="s">
        <v>9</v>
      </c>
      <c r="E224" s="161" t="s">
        <v>3401</v>
      </c>
      <c r="F224" s="222">
        <v>27</v>
      </c>
      <c r="G224" s="222">
        <v>30</v>
      </c>
      <c r="H224" s="255">
        <v>3</v>
      </c>
      <c r="I224" s="207">
        <v>1250</v>
      </c>
      <c r="J224" s="242">
        <f t="shared" si="35"/>
        <v>3750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44392</v>
      </c>
      <c r="D225" s="161" t="s">
        <v>9</v>
      </c>
      <c r="E225" s="161" t="s">
        <v>3402</v>
      </c>
      <c r="F225" s="222">
        <v>14</v>
      </c>
      <c r="G225" s="222">
        <v>16</v>
      </c>
      <c r="H225" s="255">
        <v>2</v>
      </c>
      <c r="I225" s="207">
        <v>1375</v>
      </c>
      <c r="J225" s="242">
        <f t="shared" si="35"/>
        <v>2750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44393</v>
      </c>
      <c r="D226" s="161" t="s">
        <v>9</v>
      </c>
      <c r="E226" s="161" t="s">
        <v>3403</v>
      </c>
      <c r="F226" s="222">
        <v>12.5</v>
      </c>
      <c r="G226" s="222">
        <v>14.1</v>
      </c>
      <c r="H226" s="255">
        <f>14.1-12.5</f>
        <v>1.5999999999999996</v>
      </c>
      <c r="I226" s="207">
        <v>1200</v>
      </c>
      <c r="J226" s="242">
        <f t="shared" si="35"/>
        <v>1919.9999999999995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44396</v>
      </c>
      <c r="D227" s="161" t="s">
        <v>9</v>
      </c>
      <c r="E227" s="161" t="s">
        <v>3364</v>
      </c>
      <c r="F227" s="222">
        <v>38</v>
      </c>
      <c r="G227" s="222">
        <v>30</v>
      </c>
      <c r="H227" s="255">
        <v>8</v>
      </c>
      <c r="I227" s="207">
        <v>250</v>
      </c>
      <c r="J227" s="242">
        <f t="shared" si="35"/>
        <v>2000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44397</v>
      </c>
      <c r="D228" s="161" t="s">
        <v>9</v>
      </c>
      <c r="E228" s="161" t="s">
        <v>3404</v>
      </c>
      <c r="F228" s="222">
        <v>12</v>
      </c>
      <c r="G228" s="222">
        <v>16.5</v>
      </c>
      <c r="H228" s="255">
        <v>4.5</v>
      </c>
      <c r="I228" s="207">
        <v>1375</v>
      </c>
      <c r="J228" s="242">
        <f t="shared" si="35"/>
        <v>6187.5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44399</v>
      </c>
      <c r="D229" s="161" t="s">
        <v>9</v>
      </c>
      <c r="E229" s="161" t="s">
        <v>2682</v>
      </c>
      <c r="F229" s="222">
        <v>10</v>
      </c>
      <c r="G229" s="222">
        <v>7</v>
      </c>
      <c r="H229" s="255">
        <v>-3</v>
      </c>
      <c r="I229" s="207">
        <v>1200</v>
      </c>
      <c r="J229" s="242">
        <f>I229*H229</f>
        <v>-3600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44400</v>
      </c>
      <c r="D230" s="161" t="s">
        <v>9</v>
      </c>
      <c r="E230" s="161" t="s">
        <v>3405</v>
      </c>
      <c r="F230" s="222">
        <v>10</v>
      </c>
      <c r="G230" s="222">
        <v>14</v>
      </c>
      <c r="H230" s="255">
        <v>4</v>
      </c>
      <c r="I230" s="207">
        <v>1375</v>
      </c>
      <c r="J230" s="242">
        <f t="shared" si="35"/>
        <v>5500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 t="s">
        <v>3406</v>
      </c>
      <c r="D231" s="161" t="s">
        <v>9</v>
      </c>
      <c r="E231" s="161" t="s">
        <v>3407</v>
      </c>
      <c r="F231" s="222">
        <v>9</v>
      </c>
      <c r="G231" s="222">
        <v>10.9</v>
      </c>
      <c r="H231" s="222">
        <v>1.9</v>
      </c>
      <c r="I231" s="207">
        <v>1375</v>
      </c>
      <c r="J231" s="242">
        <f t="shared" si="35"/>
        <v>2612.5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44404</v>
      </c>
      <c r="D232" s="161" t="s">
        <v>9</v>
      </c>
      <c r="E232" s="161" t="s">
        <v>3408</v>
      </c>
      <c r="F232" s="222">
        <v>10</v>
      </c>
      <c r="G232" s="222">
        <v>12.5</v>
      </c>
      <c r="H232" s="222">
        <v>2.5</v>
      </c>
      <c r="I232" s="207">
        <v>575</v>
      </c>
      <c r="J232" s="242">
        <f t="shared" si="35"/>
        <v>1437.5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44405</v>
      </c>
      <c r="D233" s="161" t="s">
        <v>9</v>
      </c>
      <c r="E233" s="161" t="s">
        <v>2935</v>
      </c>
      <c r="F233" s="222">
        <v>5</v>
      </c>
      <c r="G233" s="222">
        <v>10.5</v>
      </c>
      <c r="H233" s="222">
        <v>5.5</v>
      </c>
      <c r="I233" s="207">
        <v>1200</v>
      </c>
      <c r="J233" s="242">
        <f t="shared" si="35"/>
        <v>6600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44406</v>
      </c>
      <c r="D234" s="161" t="s">
        <v>9</v>
      </c>
      <c r="E234" s="161" t="s">
        <v>3244</v>
      </c>
      <c r="F234" s="222">
        <v>10</v>
      </c>
      <c r="G234" s="222">
        <v>15</v>
      </c>
      <c r="H234" s="222">
        <v>5</v>
      </c>
      <c r="I234" s="207">
        <v>250</v>
      </c>
      <c r="J234" s="242">
        <f t="shared" si="35"/>
        <v>1250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44407</v>
      </c>
      <c r="D235" s="161" t="s">
        <v>9</v>
      </c>
      <c r="E235" s="161" t="s">
        <v>3409</v>
      </c>
      <c r="F235" s="222">
        <v>16</v>
      </c>
      <c r="G235" s="222">
        <v>17.5</v>
      </c>
      <c r="H235" s="222">
        <v>1.5</v>
      </c>
      <c r="I235" s="207">
        <v>1375</v>
      </c>
      <c r="J235" s="242">
        <f t="shared" si="35"/>
        <v>2062.5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62925</v>
      </c>
      <c r="K240" s="153"/>
      <c r="V240" s="25">
        <f>SUM(V216:V239)</f>
        <v>19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300-000000000000}"/>
    <hyperlink ref="B84" r:id="rId2" xr:uid="{00000000-0004-0000-6300-000001000000}"/>
    <hyperlink ref="B115" r:id="rId3" xr:uid="{00000000-0004-0000-6300-000002000000}"/>
    <hyperlink ref="B146" r:id="rId4" xr:uid="{00000000-0004-0000-6300-000003000000}"/>
    <hyperlink ref="B177" r:id="rId5" xr:uid="{00000000-0004-0000-6300-000004000000}"/>
    <hyperlink ref="B208" r:id="rId6" xr:uid="{00000000-0004-0000-6300-000005000000}"/>
    <hyperlink ref="B240" r:id="rId7" xr:uid="{00000000-0004-0000-6300-000006000000}"/>
    <hyperlink ref="M1" location="'MASTER '!A1" display="Back" xr:uid="{00000000-0004-0000-6300-000007000000}"/>
    <hyperlink ref="M6:M7" location="'JULY 2021'!A77" display="STOCK FUTURE" xr:uid="{00000000-0004-0000-6300-000008000000}"/>
    <hyperlink ref="M12:M13" location="'JULY 2021'!A170" display="BANK NIFTY" xr:uid="{00000000-0004-0000-6300-000009000000}"/>
    <hyperlink ref="M10:M11" location="'JULY 2021'!A139" display="NF. OPTION" xr:uid="{00000000-0004-0000-6300-00000A000000}"/>
    <hyperlink ref="M8:M9" location="'JULY 2021'!A108" display="NIFTY FUTURE" xr:uid="{00000000-0004-0000-6300-00000B000000}"/>
    <hyperlink ref="M4:M5" location="'JULY 2021'!A1" display="CASH" xr:uid="{00000000-0004-0000-6300-00000C000000}"/>
    <hyperlink ref="M14:M15" location="'JULY 2021'!A201" display="B.NIFTY OPTION" xr:uid="{00000000-0004-0000-6300-00000D000000}"/>
    <hyperlink ref="M16:M17" location="'JULY 2021'!A216" display="STOCK OPTION" xr:uid="{00000000-0004-0000-6300-00000E000000}"/>
  </hyperlinks>
  <pageMargins left="0" right="0" top="0" bottom="0" header="0" footer="0"/>
  <pageSetup scale="95" orientation="portrait" r:id="rId8"/>
  <drawing r:id="rId9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3413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37</v>
      </c>
      <c r="P4" s="386">
        <f>W52</f>
        <v>5</v>
      </c>
      <c r="Q4" s="387">
        <f>N4-O4-P4</f>
        <v>0</v>
      </c>
      <c r="R4" s="380">
        <f>O4/N4</f>
        <v>0.88095238095238093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44410</v>
      </c>
      <c r="D6" s="158" t="s">
        <v>9</v>
      </c>
      <c r="E6" s="158" t="s">
        <v>834</v>
      </c>
      <c r="F6" s="230">
        <v>310</v>
      </c>
      <c r="G6" s="222">
        <v>318</v>
      </c>
      <c r="H6" s="222">
        <v>8</v>
      </c>
      <c r="I6" s="207">
        <f t="shared" ref="I6:I47" si="0">300000/F6</f>
        <v>967.74193548387098</v>
      </c>
      <c r="J6" s="161">
        <f t="shared" ref="J6:J47" si="1">H6*I6</f>
        <v>7741.9354838709678</v>
      </c>
      <c r="K6" s="153"/>
      <c r="M6" s="394" t="s">
        <v>450</v>
      </c>
      <c r="N6" s="344">
        <f>COUNT(C60:C83)</f>
        <v>21</v>
      </c>
      <c r="O6" s="346">
        <f>V84</f>
        <v>18</v>
      </c>
      <c r="P6" s="346">
        <f>W84</f>
        <v>3</v>
      </c>
      <c r="Q6" s="374">
        <f>N6-O6-P6</f>
        <v>0</v>
      </c>
      <c r="R6" s="376">
        <f t="shared" ref="R6" si="2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44410</v>
      </c>
      <c r="D7" s="161" t="s">
        <v>8</v>
      </c>
      <c r="E7" s="161" t="s">
        <v>94</v>
      </c>
      <c r="F7" s="222">
        <v>1426</v>
      </c>
      <c r="G7" s="231">
        <v>1416</v>
      </c>
      <c r="H7" s="255">
        <v>10</v>
      </c>
      <c r="I7" s="207">
        <f t="shared" si="0"/>
        <v>210.37868162692848</v>
      </c>
      <c r="J7" s="161">
        <f t="shared" si="1"/>
        <v>2103.7868162692848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44411</v>
      </c>
      <c r="D8" s="161" t="s">
        <v>9</v>
      </c>
      <c r="E8" s="161" t="s">
        <v>94</v>
      </c>
      <c r="F8" s="222">
        <v>1424</v>
      </c>
      <c r="G8" s="222">
        <v>1438</v>
      </c>
      <c r="H8" s="222">
        <f>1438-1424</f>
        <v>14</v>
      </c>
      <c r="I8" s="207">
        <f t="shared" si="0"/>
        <v>210.67415730337078</v>
      </c>
      <c r="J8" s="161">
        <f t="shared" si="1"/>
        <v>2949.4382022471909</v>
      </c>
      <c r="K8" s="153"/>
      <c r="M8" s="394" t="s">
        <v>451</v>
      </c>
      <c r="N8" s="344">
        <f>COUNT(C92:C114)</f>
        <v>21</v>
      </c>
      <c r="O8" s="346">
        <f>V115</f>
        <v>18</v>
      </c>
      <c r="P8" s="346">
        <f>W115</f>
        <v>3</v>
      </c>
      <c r="Q8" s="374">
        <f>N8-O8-P8</f>
        <v>0</v>
      </c>
      <c r="R8" s="376">
        <f t="shared" ref="R8" si="6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44411</v>
      </c>
      <c r="D9" s="161" t="s">
        <v>8</v>
      </c>
      <c r="E9" s="161" t="s">
        <v>834</v>
      </c>
      <c r="F9" s="222">
        <v>310.5</v>
      </c>
      <c r="G9" s="231">
        <v>308</v>
      </c>
      <c r="H9" s="255">
        <f>310.5-308</f>
        <v>2.5</v>
      </c>
      <c r="I9" s="207">
        <f t="shared" si="0"/>
        <v>966.18357487922708</v>
      </c>
      <c r="J9" s="161">
        <f t="shared" si="1"/>
        <v>2415.4589371980678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44412</v>
      </c>
      <c r="D10" s="161" t="s">
        <v>9</v>
      </c>
      <c r="E10" s="161" t="s">
        <v>95</v>
      </c>
      <c r="F10" s="222">
        <v>705</v>
      </c>
      <c r="G10" s="222">
        <v>715.5</v>
      </c>
      <c r="H10" s="222">
        <f>715.5-705</f>
        <v>10.5</v>
      </c>
      <c r="I10" s="207">
        <f t="shared" si="0"/>
        <v>425.531914893617</v>
      </c>
      <c r="J10" s="161">
        <f t="shared" si="1"/>
        <v>4468.0851063829787</v>
      </c>
      <c r="K10" s="153"/>
      <c r="M10" s="394" t="s">
        <v>1176</v>
      </c>
      <c r="N10" s="344">
        <f>COUNT(C123:C145)</f>
        <v>21</v>
      </c>
      <c r="O10" s="346">
        <f>V146</f>
        <v>18</v>
      </c>
      <c r="P10" s="346">
        <f>W146</f>
        <v>3</v>
      </c>
      <c r="Q10" s="374">
        <f>N10-O10-P10</f>
        <v>0</v>
      </c>
      <c r="R10" s="376">
        <f t="shared" ref="R10:R16" si="7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44412</v>
      </c>
      <c r="D11" s="161" t="s">
        <v>8</v>
      </c>
      <c r="E11" s="161" t="s">
        <v>78</v>
      </c>
      <c r="F11" s="222">
        <v>1635</v>
      </c>
      <c r="G11" s="222">
        <v>1615</v>
      </c>
      <c r="H11" s="255">
        <f>1635-1615</f>
        <v>20</v>
      </c>
      <c r="I11" s="207">
        <f t="shared" si="0"/>
        <v>183.48623853211009</v>
      </c>
      <c r="J11" s="161">
        <f t="shared" si="1"/>
        <v>3669.7247706422017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44413</v>
      </c>
      <c r="D12" s="161" t="s">
        <v>9</v>
      </c>
      <c r="E12" s="161" t="s">
        <v>90</v>
      </c>
      <c r="F12" s="222">
        <v>1243</v>
      </c>
      <c r="G12" s="222">
        <v>1253</v>
      </c>
      <c r="H12" s="222">
        <v>10</v>
      </c>
      <c r="I12" s="207">
        <f t="shared" si="0"/>
        <v>241.35156878519712</v>
      </c>
      <c r="J12" s="161">
        <f t="shared" si="1"/>
        <v>2413.5156878519711</v>
      </c>
      <c r="K12" s="153"/>
      <c r="M12" s="394" t="s">
        <v>41</v>
      </c>
      <c r="N12" s="344">
        <f>COUNT(C154:C176)</f>
        <v>21</v>
      </c>
      <c r="O12" s="346">
        <f>V177</f>
        <v>19</v>
      </c>
      <c r="P12" s="346">
        <f>W177</f>
        <v>2</v>
      </c>
      <c r="Q12" s="374">
        <f t="shared" ref="Q12" si="8">N12-O12-P12</f>
        <v>0</v>
      </c>
      <c r="R12" s="376">
        <f t="shared" si="7"/>
        <v>0.90476190476190477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44413</v>
      </c>
      <c r="D13" s="161" t="s">
        <v>8</v>
      </c>
      <c r="E13" s="161" t="s">
        <v>78</v>
      </c>
      <c r="F13" s="222">
        <v>1617</v>
      </c>
      <c r="G13" s="222">
        <v>1611.5</v>
      </c>
      <c r="H13" s="255">
        <f>1617-1611.5</f>
        <v>5.5</v>
      </c>
      <c r="I13" s="207">
        <f t="shared" si="0"/>
        <v>185.5287569573284</v>
      </c>
      <c r="J13" s="161">
        <f t="shared" si="1"/>
        <v>1020.4081632653061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44414</v>
      </c>
      <c r="D14" s="161" t="s">
        <v>9</v>
      </c>
      <c r="E14" s="161" t="s">
        <v>19</v>
      </c>
      <c r="F14" s="222">
        <v>445</v>
      </c>
      <c r="G14" s="222">
        <v>440</v>
      </c>
      <c r="H14" s="222">
        <v>-5</v>
      </c>
      <c r="I14" s="207">
        <f t="shared" si="0"/>
        <v>674.15730337078651</v>
      </c>
      <c r="J14" s="242">
        <f t="shared" si="1"/>
        <v>-3370.7865168539324</v>
      </c>
      <c r="K14" s="153"/>
      <c r="M14" s="394" t="s">
        <v>1175</v>
      </c>
      <c r="N14" s="344">
        <f>COUNT(C185:C207)</f>
        <v>21</v>
      </c>
      <c r="O14" s="346">
        <f>V208</f>
        <v>17</v>
      </c>
      <c r="P14" s="346">
        <f>W208</f>
        <v>4</v>
      </c>
      <c r="Q14" s="374">
        <f t="shared" ref="Q14" si="9">N14-O14-P14</f>
        <v>0</v>
      </c>
      <c r="R14" s="376">
        <f t="shared" si="7"/>
        <v>0.80952380952380953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44414</v>
      </c>
      <c r="D15" s="161" t="s">
        <v>8</v>
      </c>
      <c r="E15" s="161" t="s">
        <v>78</v>
      </c>
      <c r="F15" s="222">
        <v>1622</v>
      </c>
      <c r="G15" s="222">
        <v>1610</v>
      </c>
      <c r="H15" s="222">
        <f>1622-1610</f>
        <v>12</v>
      </c>
      <c r="I15" s="207">
        <f t="shared" si="0"/>
        <v>184.95684340320591</v>
      </c>
      <c r="J15" s="242">
        <f t="shared" si="1"/>
        <v>2219.482120838471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44417</v>
      </c>
      <c r="D16" s="161" t="s">
        <v>9</v>
      </c>
      <c r="E16" s="161" t="s">
        <v>78</v>
      </c>
      <c r="F16" s="222">
        <v>1620</v>
      </c>
      <c r="G16" s="222">
        <v>1605</v>
      </c>
      <c r="H16" s="222">
        <v>-15</v>
      </c>
      <c r="I16" s="207">
        <f t="shared" si="0"/>
        <v>185.18518518518519</v>
      </c>
      <c r="J16" s="242">
        <f t="shared" si="1"/>
        <v>-2777.7777777777778</v>
      </c>
      <c r="K16" s="153"/>
      <c r="L16" s="25" t="s">
        <v>2008</v>
      </c>
      <c r="M16" s="394" t="s">
        <v>1090</v>
      </c>
      <c r="N16" s="344">
        <v>20</v>
      </c>
      <c r="O16" s="346">
        <f>V240</f>
        <v>16</v>
      </c>
      <c r="P16" s="346">
        <f>W240</f>
        <v>5</v>
      </c>
      <c r="Q16" s="374">
        <f t="shared" ref="Q16" si="10">N16-O16-P16</f>
        <v>-1</v>
      </c>
      <c r="R16" s="376">
        <f t="shared" si="7"/>
        <v>0.8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44417</v>
      </c>
      <c r="D17" s="161" t="s">
        <v>8</v>
      </c>
      <c r="E17" s="161" t="s">
        <v>133</v>
      </c>
      <c r="F17" s="222">
        <v>1147</v>
      </c>
      <c r="G17" s="222">
        <v>1127</v>
      </c>
      <c r="H17" s="222">
        <v>20</v>
      </c>
      <c r="I17" s="207">
        <f t="shared" si="0"/>
        <v>261.55187445510029</v>
      </c>
      <c r="J17" s="242">
        <f t="shared" si="1"/>
        <v>5231.0374891020056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44418</v>
      </c>
      <c r="D18" s="161" t="s">
        <v>9</v>
      </c>
      <c r="E18" s="161" t="s">
        <v>94</v>
      </c>
      <c r="F18" s="222">
        <v>1510</v>
      </c>
      <c r="G18" s="222">
        <v>1518</v>
      </c>
      <c r="H18" s="222">
        <v>8</v>
      </c>
      <c r="I18" s="207">
        <f t="shared" si="0"/>
        <v>198.67549668874173</v>
      </c>
      <c r="J18" s="242">
        <f t="shared" si="1"/>
        <v>1589.4039735099338</v>
      </c>
      <c r="K18" s="153"/>
      <c r="M18" s="392" t="s">
        <v>946</v>
      </c>
      <c r="N18" s="378">
        <f>SUM(N4:N17)</f>
        <v>167</v>
      </c>
      <c r="O18" s="378">
        <f t="shared" ref="O18:Q18" si="11">SUM(O4:O17)</f>
        <v>143</v>
      </c>
      <c r="P18" s="378">
        <f t="shared" si="11"/>
        <v>25</v>
      </c>
      <c r="Q18" s="378">
        <f t="shared" si="11"/>
        <v>-1</v>
      </c>
      <c r="R18" s="380">
        <f t="shared" ref="R18" si="12">O18/N18</f>
        <v>0.85628742514970058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44418</v>
      </c>
      <c r="D19" s="161" t="s">
        <v>8</v>
      </c>
      <c r="E19" s="161" t="s">
        <v>19</v>
      </c>
      <c r="F19" s="222">
        <v>434</v>
      </c>
      <c r="G19" s="222">
        <v>426</v>
      </c>
      <c r="H19" s="222">
        <f>434-426</f>
        <v>8</v>
      </c>
      <c r="I19" s="207">
        <f t="shared" si="0"/>
        <v>691.24423963133643</v>
      </c>
      <c r="J19" s="242">
        <f t="shared" si="1"/>
        <v>5529.9539170506914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44419</v>
      </c>
      <c r="D20" s="161" t="s">
        <v>9</v>
      </c>
      <c r="E20" s="161" t="s">
        <v>578</v>
      </c>
      <c r="F20" s="222">
        <v>1677</v>
      </c>
      <c r="G20" s="222">
        <v>1682</v>
      </c>
      <c r="H20" s="222">
        <f>1682-1677</f>
        <v>5</v>
      </c>
      <c r="I20" s="207">
        <f t="shared" si="0"/>
        <v>178.89087656529517</v>
      </c>
      <c r="J20" s="242">
        <f t="shared" si="1"/>
        <v>894.45438282647592</v>
      </c>
      <c r="K20" s="153"/>
      <c r="M20" s="316" t="s">
        <v>2253</v>
      </c>
      <c r="N20" s="317"/>
      <c r="O20" s="318"/>
      <c r="P20" s="325">
        <f>R18</f>
        <v>0.85628742514970058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44419</v>
      </c>
      <c r="D21" s="161" t="s">
        <v>8</v>
      </c>
      <c r="E21" s="161" t="s">
        <v>95</v>
      </c>
      <c r="F21" s="222">
        <v>696</v>
      </c>
      <c r="G21" s="222">
        <v>690</v>
      </c>
      <c r="H21" s="222">
        <v>6</v>
      </c>
      <c r="I21" s="207">
        <f t="shared" si="0"/>
        <v>431.0344827586207</v>
      </c>
      <c r="J21" s="242">
        <f t="shared" si="1"/>
        <v>2586.2068965517242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44420</v>
      </c>
      <c r="D22" s="161" t="s">
        <v>9</v>
      </c>
      <c r="E22" s="161" t="s">
        <v>78</v>
      </c>
      <c r="F22" s="222">
        <v>1595</v>
      </c>
      <c r="G22" s="222">
        <v>1607</v>
      </c>
      <c r="H22" s="222">
        <f>1607-1595</f>
        <v>12</v>
      </c>
      <c r="I22" s="207">
        <f t="shared" si="0"/>
        <v>188.08777429467085</v>
      </c>
      <c r="J22" s="242">
        <f t="shared" si="1"/>
        <v>2257.05329153605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44420</v>
      </c>
      <c r="D23" s="161" t="s">
        <v>8</v>
      </c>
      <c r="E23" s="161" t="s">
        <v>3262</v>
      </c>
      <c r="F23" s="222">
        <v>2705</v>
      </c>
      <c r="G23" s="222">
        <v>2655</v>
      </c>
      <c r="H23" s="222">
        <f>2705-2655</f>
        <v>50</v>
      </c>
      <c r="I23" s="207">
        <f t="shared" si="0"/>
        <v>110.90573012939002</v>
      </c>
      <c r="J23" s="242">
        <f t="shared" si="1"/>
        <v>5545.2865064695015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44421</v>
      </c>
      <c r="D24" s="161" t="s">
        <v>9</v>
      </c>
      <c r="E24" s="161" t="s">
        <v>78</v>
      </c>
      <c r="F24" s="222">
        <v>1645</v>
      </c>
      <c r="G24" s="222">
        <v>1675</v>
      </c>
      <c r="H24" s="222">
        <v>30</v>
      </c>
      <c r="I24" s="207">
        <f t="shared" si="0"/>
        <v>182.370820668693</v>
      </c>
      <c r="J24" s="242">
        <f t="shared" si="1"/>
        <v>5471.1246200607902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44421</v>
      </c>
      <c r="D25" s="161" t="s">
        <v>8</v>
      </c>
      <c r="E25" s="161" t="s">
        <v>160</v>
      </c>
      <c r="F25" s="222">
        <v>897</v>
      </c>
      <c r="G25" s="222">
        <v>907</v>
      </c>
      <c r="H25" s="222">
        <f>907-897</f>
        <v>10</v>
      </c>
      <c r="I25" s="207">
        <f t="shared" si="0"/>
        <v>334.44816053511704</v>
      </c>
      <c r="J25" s="242">
        <f t="shared" si="1"/>
        <v>3344.4816053511704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44424</v>
      </c>
      <c r="D26" s="161" t="s">
        <v>9</v>
      </c>
      <c r="E26" s="161" t="s">
        <v>2563</v>
      </c>
      <c r="F26" s="222">
        <v>1675</v>
      </c>
      <c r="G26" s="222">
        <v>1695</v>
      </c>
      <c r="H26" s="222">
        <v>20</v>
      </c>
      <c r="I26" s="207">
        <f t="shared" si="0"/>
        <v>179.1044776119403</v>
      </c>
      <c r="J26" s="242">
        <f t="shared" si="1"/>
        <v>3582.0895522388059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44424</v>
      </c>
      <c r="D27" s="161" t="s">
        <v>8</v>
      </c>
      <c r="E27" s="161" t="s">
        <v>814</v>
      </c>
      <c r="F27" s="222">
        <v>722</v>
      </c>
      <c r="G27" s="222">
        <v>718</v>
      </c>
      <c r="H27" s="222">
        <v>4</v>
      </c>
      <c r="I27" s="207">
        <f t="shared" si="0"/>
        <v>415.51246537396122</v>
      </c>
      <c r="J27" s="242">
        <f t="shared" si="1"/>
        <v>1662.0498614958449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44425</v>
      </c>
      <c r="D28" s="161" t="s">
        <v>9</v>
      </c>
      <c r="E28" s="161" t="s">
        <v>2563</v>
      </c>
      <c r="F28" s="222">
        <v>1700</v>
      </c>
      <c r="G28" s="222">
        <v>1715</v>
      </c>
      <c r="H28" s="222">
        <v>15</v>
      </c>
      <c r="I28" s="207">
        <f t="shared" si="0"/>
        <v>176.47058823529412</v>
      </c>
      <c r="J28" s="242">
        <f t="shared" si="1"/>
        <v>2647.0588235294117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44425</v>
      </c>
      <c r="D29" s="161" t="s">
        <v>8</v>
      </c>
      <c r="E29" s="161" t="s">
        <v>94</v>
      </c>
      <c r="F29" s="222">
        <v>1515</v>
      </c>
      <c r="G29" s="222">
        <v>1505.5</v>
      </c>
      <c r="H29" s="222">
        <f>1515-1505.5</f>
        <v>9.5</v>
      </c>
      <c r="I29" s="207">
        <f t="shared" si="0"/>
        <v>198.01980198019803</v>
      </c>
      <c r="J29" s="242">
        <f t="shared" si="1"/>
        <v>1881.1881188118812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44426</v>
      </c>
      <c r="D30" s="161" t="s">
        <v>9</v>
      </c>
      <c r="E30" s="161" t="s">
        <v>3343</v>
      </c>
      <c r="F30" s="222">
        <v>1365</v>
      </c>
      <c r="G30" s="222">
        <v>1379</v>
      </c>
      <c r="H30" s="222">
        <f>1379-1365</f>
        <v>14</v>
      </c>
      <c r="I30" s="207">
        <f t="shared" si="0"/>
        <v>219.78021978021977</v>
      </c>
      <c r="J30" s="242">
        <f t="shared" si="1"/>
        <v>3076.9230769230767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44426</v>
      </c>
      <c r="D31" s="161" t="s">
        <v>8</v>
      </c>
      <c r="E31" s="161" t="s">
        <v>78</v>
      </c>
      <c r="F31" s="222">
        <v>1650</v>
      </c>
      <c r="G31" s="222">
        <v>1630</v>
      </c>
      <c r="H31" s="222">
        <v>20</v>
      </c>
      <c r="I31" s="207">
        <f t="shared" si="0"/>
        <v>181.81818181818181</v>
      </c>
      <c r="J31" s="242">
        <f t="shared" si="1"/>
        <v>3636.363636363636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44428</v>
      </c>
      <c r="D32" s="161" t="s">
        <v>9</v>
      </c>
      <c r="E32" s="161" t="s">
        <v>94</v>
      </c>
      <c r="F32" s="222">
        <v>1502</v>
      </c>
      <c r="G32" s="222">
        <v>1515</v>
      </c>
      <c r="H32" s="222">
        <v>13</v>
      </c>
      <c r="I32" s="207">
        <f t="shared" si="0"/>
        <v>199.73368841544607</v>
      </c>
      <c r="J32" s="242">
        <f t="shared" si="1"/>
        <v>2596.5379494007989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44428</v>
      </c>
      <c r="D33" s="161" t="s">
        <v>8</v>
      </c>
      <c r="E33" s="161" t="s">
        <v>119</v>
      </c>
      <c r="F33" s="222">
        <v>1718</v>
      </c>
      <c r="G33" s="222">
        <v>1700</v>
      </c>
      <c r="H33" s="222">
        <v>18</v>
      </c>
      <c r="I33" s="207">
        <f t="shared" si="0"/>
        <v>174.62165308498254</v>
      </c>
      <c r="J33" s="242">
        <f t="shared" si="1"/>
        <v>3143.1897555296855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44431</v>
      </c>
      <c r="D34" s="161" t="s">
        <v>9</v>
      </c>
      <c r="E34" s="161" t="s">
        <v>29</v>
      </c>
      <c r="F34" s="222">
        <v>1162</v>
      </c>
      <c r="G34" s="222">
        <v>1168</v>
      </c>
      <c r="H34" s="222">
        <v>6</v>
      </c>
      <c r="I34" s="207">
        <f t="shared" si="0"/>
        <v>258.17555938037867</v>
      </c>
      <c r="J34" s="242">
        <f t="shared" si="1"/>
        <v>1549.053356282272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44431</v>
      </c>
      <c r="D35" s="161" t="s">
        <v>8</v>
      </c>
      <c r="E35" s="161" t="s">
        <v>58</v>
      </c>
      <c r="F35" s="222">
        <v>738</v>
      </c>
      <c r="G35" s="222">
        <v>736.25</v>
      </c>
      <c r="H35" s="222">
        <f>738-736.25</f>
        <v>1.75</v>
      </c>
      <c r="I35" s="207">
        <f t="shared" si="0"/>
        <v>406.5040650406504</v>
      </c>
      <c r="J35" s="242">
        <f t="shared" si="1"/>
        <v>711.3821138211382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44432</v>
      </c>
      <c r="D36" s="161" t="s">
        <v>9</v>
      </c>
      <c r="E36" s="161" t="s">
        <v>94</v>
      </c>
      <c r="F36" s="222">
        <v>1530</v>
      </c>
      <c r="G36" s="222">
        <v>1559.7</v>
      </c>
      <c r="H36" s="222">
        <f>1559.7-1530</f>
        <v>29.700000000000045</v>
      </c>
      <c r="I36" s="207">
        <f t="shared" si="0"/>
        <v>196.07843137254903</v>
      </c>
      <c r="J36" s="242">
        <f t="shared" si="1"/>
        <v>5823.5294117647154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44432</v>
      </c>
      <c r="D37" s="161" t="s">
        <v>8</v>
      </c>
      <c r="E37" s="161" t="s">
        <v>3434</v>
      </c>
      <c r="F37" s="222">
        <v>498</v>
      </c>
      <c r="G37" s="222">
        <v>495</v>
      </c>
      <c r="H37" s="222">
        <v>3</v>
      </c>
      <c r="I37" s="207">
        <f t="shared" si="0"/>
        <v>602.40963855421683</v>
      </c>
      <c r="J37" s="242">
        <f t="shared" si="1"/>
        <v>1807.2289156626505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44433</v>
      </c>
      <c r="D38" s="161" t="s">
        <v>9</v>
      </c>
      <c r="E38" s="161" t="s">
        <v>982</v>
      </c>
      <c r="F38" s="222">
        <v>712</v>
      </c>
      <c r="G38" s="222">
        <v>722</v>
      </c>
      <c r="H38" s="222">
        <f>722-712</f>
        <v>10</v>
      </c>
      <c r="I38" s="207">
        <f t="shared" si="0"/>
        <v>421.34831460674155</v>
      </c>
      <c r="J38" s="242">
        <f t="shared" si="1"/>
        <v>4213.4831460674159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44433</v>
      </c>
      <c r="D39" s="161" t="s">
        <v>9</v>
      </c>
      <c r="E39" s="161" t="s">
        <v>3137</v>
      </c>
      <c r="F39" s="222">
        <v>5150</v>
      </c>
      <c r="G39" s="222">
        <v>5220</v>
      </c>
      <c r="H39" s="222">
        <v>30</v>
      </c>
      <c r="I39" s="207">
        <f t="shared" si="0"/>
        <v>58.252427184466022</v>
      </c>
      <c r="J39" s="242">
        <f t="shared" si="1"/>
        <v>1747.5728155339807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44434</v>
      </c>
      <c r="D40" s="161" t="s">
        <v>9</v>
      </c>
      <c r="E40" s="161" t="s">
        <v>895</v>
      </c>
      <c r="F40" s="222">
        <v>181.5</v>
      </c>
      <c r="G40" s="222">
        <v>179.5</v>
      </c>
      <c r="H40" s="222">
        <v>-1</v>
      </c>
      <c r="I40" s="207">
        <f t="shared" si="0"/>
        <v>1652.8925619834711</v>
      </c>
      <c r="J40" s="242">
        <f t="shared" si="1"/>
        <v>-1652.8925619834711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44434</v>
      </c>
      <c r="D41" s="161" t="s">
        <v>9</v>
      </c>
      <c r="E41" s="161" t="s">
        <v>94</v>
      </c>
      <c r="F41" s="222">
        <v>1555</v>
      </c>
      <c r="G41" s="223">
        <v>1570</v>
      </c>
      <c r="H41" s="222">
        <f>1570-1555</f>
        <v>15</v>
      </c>
      <c r="I41" s="207">
        <f t="shared" si="0"/>
        <v>192.92604501607718</v>
      </c>
      <c r="J41" s="242">
        <f t="shared" si="1"/>
        <v>2893.8906752411576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44435</v>
      </c>
      <c r="D42" s="161" t="s">
        <v>9</v>
      </c>
      <c r="E42" s="161" t="s">
        <v>3188</v>
      </c>
      <c r="F42" s="222">
        <v>1500</v>
      </c>
      <c r="G42" s="222">
        <v>1530</v>
      </c>
      <c r="H42" s="222">
        <v>30</v>
      </c>
      <c r="I42" s="207">
        <f t="shared" si="0"/>
        <v>200</v>
      </c>
      <c r="J42" s="242">
        <f t="shared" si="1"/>
        <v>6000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44435</v>
      </c>
      <c r="D43" s="161" t="s">
        <v>9</v>
      </c>
      <c r="E43" s="161" t="s">
        <v>3435</v>
      </c>
      <c r="F43" s="222">
        <v>3080</v>
      </c>
      <c r="G43" s="222">
        <v>3050</v>
      </c>
      <c r="H43" s="222">
        <v>-30</v>
      </c>
      <c r="I43" s="207">
        <f t="shared" si="0"/>
        <v>97.402597402597408</v>
      </c>
      <c r="J43" s="242">
        <f t="shared" si="1"/>
        <v>-2922.0779220779223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44438</v>
      </c>
      <c r="D44" s="161" t="s">
        <v>9</v>
      </c>
      <c r="E44" s="161" t="s">
        <v>3443</v>
      </c>
      <c r="F44" s="222">
        <v>2210</v>
      </c>
      <c r="G44" s="222">
        <v>2250</v>
      </c>
      <c r="H44" s="222">
        <v>40</v>
      </c>
      <c r="I44" s="207">
        <f t="shared" si="0"/>
        <v>135.74660633484163</v>
      </c>
      <c r="J44" s="242">
        <f t="shared" si="1"/>
        <v>5429.8642533936654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44438</v>
      </c>
      <c r="D45" s="161" t="s">
        <v>9</v>
      </c>
      <c r="E45" s="161" t="s">
        <v>250</v>
      </c>
      <c r="F45" s="222">
        <v>2370</v>
      </c>
      <c r="G45" s="222">
        <v>2387</v>
      </c>
      <c r="H45" s="222">
        <v>17</v>
      </c>
      <c r="I45" s="207">
        <f t="shared" si="0"/>
        <v>126.58227848101266</v>
      </c>
      <c r="J45" s="242">
        <f t="shared" si="1"/>
        <v>2151.8987341772154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44439</v>
      </c>
      <c r="D46" s="161" t="s">
        <v>9</v>
      </c>
      <c r="E46" s="161" t="s">
        <v>50</v>
      </c>
      <c r="F46" s="222">
        <v>787</v>
      </c>
      <c r="G46" s="222">
        <v>800</v>
      </c>
      <c r="H46" s="222">
        <f>800-787</f>
        <v>13</v>
      </c>
      <c r="I46" s="207">
        <f t="shared" si="0"/>
        <v>381.19440914866584</v>
      </c>
      <c r="J46" s="242">
        <f t="shared" si="1"/>
        <v>4955.5273189326563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44439</v>
      </c>
      <c r="D47" s="161" t="s">
        <v>8</v>
      </c>
      <c r="E47" s="161" t="s">
        <v>3444</v>
      </c>
      <c r="F47" s="222">
        <v>215</v>
      </c>
      <c r="G47" s="222">
        <v>218</v>
      </c>
      <c r="H47" s="222">
        <v>-3</v>
      </c>
      <c r="I47" s="207">
        <f t="shared" si="0"/>
        <v>1395.3488372093022</v>
      </c>
      <c r="J47" s="242">
        <f t="shared" si="1"/>
        <v>-4186.0465116279065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106050.08819587376</v>
      </c>
      <c r="K52" s="153"/>
      <c r="V52" s="25">
        <f>SUM(V6:V51)</f>
        <v>37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3413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44410</v>
      </c>
      <c r="D60" s="161" t="s">
        <v>9</v>
      </c>
      <c r="E60" s="161" t="s">
        <v>834</v>
      </c>
      <c r="F60" s="222">
        <v>310</v>
      </c>
      <c r="G60" s="222">
        <v>318</v>
      </c>
      <c r="H60" s="222">
        <v>8</v>
      </c>
      <c r="I60" s="207">
        <v>3100</v>
      </c>
      <c r="J60" s="241">
        <f t="shared" ref="J60:J83" si="13">I60*H60</f>
        <v>24800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44411</v>
      </c>
      <c r="D61" s="161" t="s">
        <v>9</v>
      </c>
      <c r="E61" s="161" t="s">
        <v>16</v>
      </c>
      <c r="F61" s="222">
        <v>1848</v>
      </c>
      <c r="G61" s="222">
        <v>1833</v>
      </c>
      <c r="H61" s="222">
        <f>1848-1833</f>
        <v>15</v>
      </c>
      <c r="I61" s="207">
        <v>375</v>
      </c>
      <c r="J61" s="242">
        <f t="shared" si="13"/>
        <v>5625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44412</v>
      </c>
      <c r="D62" s="161" t="s">
        <v>8</v>
      </c>
      <c r="E62" s="161" t="s">
        <v>16</v>
      </c>
      <c r="F62" s="222">
        <v>1835</v>
      </c>
      <c r="G62" s="222">
        <v>1805.25</v>
      </c>
      <c r="H62" s="222">
        <f>1835-1805.25</f>
        <v>29.75</v>
      </c>
      <c r="I62" s="207">
        <v>375</v>
      </c>
      <c r="J62" s="242">
        <f t="shared" si="13"/>
        <v>11156.25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44413</v>
      </c>
      <c r="D63" s="161" t="s">
        <v>9</v>
      </c>
      <c r="E63" s="161" t="s">
        <v>119</v>
      </c>
      <c r="F63" s="222">
        <v>1773</v>
      </c>
      <c r="G63" s="222">
        <v>1790</v>
      </c>
      <c r="H63" s="222">
        <f>1790-1773</f>
        <v>17</v>
      </c>
      <c r="I63" s="207">
        <v>400</v>
      </c>
      <c r="J63" s="242">
        <f t="shared" si="13"/>
        <v>6800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44414</v>
      </c>
      <c r="D64" s="161" t="s">
        <v>9</v>
      </c>
      <c r="E64" s="161" t="s">
        <v>119</v>
      </c>
      <c r="F64" s="222">
        <v>1775</v>
      </c>
      <c r="G64" s="222">
        <v>1780</v>
      </c>
      <c r="H64" s="222">
        <v>5</v>
      </c>
      <c r="I64" s="207">
        <v>400</v>
      </c>
      <c r="J64" s="242">
        <f t="shared" si="13"/>
        <v>2000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44417</v>
      </c>
      <c r="D65" s="161" t="s">
        <v>9</v>
      </c>
      <c r="E65" s="161" t="s">
        <v>119</v>
      </c>
      <c r="F65" s="222">
        <v>1788</v>
      </c>
      <c r="G65" s="222">
        <v>1778</v>
      </c>
      <c r="H65" s="222">
        <v>-10</v>
      </c>
      <c r="I65" s="207">
        <v>400</v>
      </c>
      <c r="J65" s="242">
        <f t="shared" si="13"/>
        <v>-4000</v>
      </c>
      <c r="K65" s="153"/>
      <c r="V65" s="25">
        <f t="shared" si="14"/>
        <v>0</v>
      </c>
      <c r="W65" s="25">
        <f t="shared" si="15"/>
        <v>1</v>
      </c>
    </row>
    <row r="66" spans="1:23" x14ac:dyDescent="0.3">
      <c r="A66" s="147"/>
      <c r="B66" s="205">
        <f t="shared" si="16"/>
        <v>7</v>
      </c>
      <c r="C66" s="206">
        <v>44418</v>
      </c>
      <c r="D66" s="161" t="s">
        <v>9</v>
      </c>
      <c r="E66" s="161" t="s">
        <v>119</v>
      </c>
      <c r="F66" s="222">
        <v>1810</v>
      </c>
      <c r="G66" s="222">
        <v>1824.15</v>
      </c>
      <c r="H66" s="222">
        <f>1824.15-1810</f>
        <v>14.150000000000091</v>
      </c>
      <c r="I66" s="207">
        <v>400</v>
      </c>
      <c r="J66" s="242">
        <f t="shared" si="13"/>
        <v>5660.0000000000364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44419</v>
      </c>
      <c r="D67" s="161" t="s">
        <v>8</v>
      </c>
      <c r="E67" s="161" t="s">
        <v>58</v>
      </c>
      <c r="F67" s="222">
        <v>760</v>
      </c>
      <c r="G67" s="222">
        <v>754.55</v>
      </c>
      <c r="H67" s="222">
        <f>760-754.55</f>
        <v>5.4500000000000455</v>
      </c>
      <c r="I67" s="207">
        <v>1200</v>
      </c>
      <c r="J67" s="242">
        <f t="shared" si="13"/>
        <v>6540.0000000000546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44420</v>
      </c>
      <c r="D68" s="161" t="s">
        <v>9</v>
      </c>
      <c r="E68" s="161" t="s">
        <v>3343</v>
      </c>
      <c r="F68" s="222">
        <v>1310</v>
      </c>
      <c r="G68" s="222">
        <v>1330</v>
      </c>
      <c r="H68" s="222">
        <v>20</v>
      </c>
      <c r="I68" s="207">
        <v>500</v>
      </c>
      <c r="J68" s="242">
        <f t="shared" si="13"/>
        <v>10000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44421</v>
      </c>
      <c r="D69" s="161" t="s">
        <v>8</v>
      </c>
      <c r="E69" s="161" t="s">
        <v>2563</v>
      </c>
      <c r="F69" s="222">
        <v>1670</v>
      </c>
      <c r="G69" s="222">
        <v>1655</v>
      </c>
      <c r="H69" s="222">
        <f>1670-1655</f>
        <v>15</v>
      </c>
      <c r="I69" s="207">
        <v>500</v>
      </c>
      <c r="J69" s="242">
        <f t="shared" si="13"/>
        <v>7500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44424</v>
      </c>
      <c r="D70" s="161" t="s">
        <v>9</v>
      </c>
      <c r="E70" s="161" t="s">
        <v>119</v>
      </c>
      <c r="F70" s="161">
        <v>1788</v>
      </c>
      <c r="G70" s="222">
        <v>1799.7</v>
      </c>
      <c r="H70" s="222">
        <f>1799.7-1788</f>
        <v>11.700000000000045</v>
      </c>
      <c r="I70" s="207">
        <v>400</v>
      </c>
      <c r="J70" s="242">
        <f t="shared" si="13"/>
        <v>4680.0000000000182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44425</v>
      </c>
      <c r="D71" s="161" t="s">
        <v>9</v>
      </c>
      <c r="E71" s="161" t="s">
        <v>2563</v>
      </c>
      <c r="F71" s="222">
        <v>1700</v>
      </c>
      <c r="G71" s="222">
        <v>1715</v>
      </c>
      <c r="H71" s="222">
        <v>15</v>
      </c>
      <c r="I71" s="207">
        <v>500</v>
      </c>
      <c r="J71" s="242">
        <f t="shared" si="13"/>
        <v>7500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44426</v>
      </c>
      <c r="D72" s="161" t="s">
        <v>8</v>
      </c>
      <c r="E72" s="161" t="s">
        <v>2563</v>
      </c>
      <c r="F72" s="222">
        <v>1698</v>
      </c>
      <c r="G72" s="222">
        <v>1700</v>
      </c>
      <c r="H72" s="222">
        <v>-2</v>
      </c>
      <c r="I72" s="207">
        <v>500</v>
      </c>
      <c r="J72" s="242">
        <f t="shared" si="13"/>
        <v>-1000</v>
      </c>
      <c r="K72" s="153"/>
      <c r="V72" s="25">
        <f t="shared" si="14"/>
        <v>0</v>
      </c>
      <c r="W72" s="25">
        <f t="shared" si="15"/>
        <v>1</v>
      </c>
    </row>
    <row r="73" spans="1:23" x14ac:dyDescent="0.3">
      <c r="A73" s="147"/>
      <c r="B73" s="205">
        <f t="shared" si="16"/>
        <v>14</v>
      </c>
      <c r="C73" s="206">
        <v>44428</v>
      </c>
      <c r="D73" s="161" t="s">
        <v>8</v>
      </c>
      <c r="E73" s="161" t="s">
        <v>119</v>
      </c>
      <c r="F73" s="223">
        <v>1716</v>
      </c>
      <c r="G73" s="222">
        <v>1702</v>
      </c>
      <c r="H73" s="255">
        <v>14</v>
      </c>
      <c r="I73" s="207">
        <v>400</v>
      </c>
      <c r="J73" s="242">
        <f t="shared" si="13"/>
        <v>5600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06">
        <v>44431</v>
      </c>
      <c r="D74" s="161" t="s">
        <v>9</v>
      </c>
      <c r="E74" s="161" t="s">
        <v>3343</v>
      </c>
      <c r="F74" s="222">
        <v>1322</v>
      </c>
      <c r="G74" s="222">
        <v>1310</v>
      </c>
      <c r="H74" s="255">
        <v>12</v>
      </c>
      <c r="I74" s="207">
        <v>500</v>
      </c>
      <c r="J74" s="242">
        <f t="shared" si="13"/>
        <v>6000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44432</v>
      </c>
      <c r="D75" s="161" t="s">
        <v>9</v>
      </c>
      <c r="E75" s="161" t="s">
        <v>2563</v>
      </c>
      <c r="F75" s="222">
        <v>1670</v>
      </c>
      <c r="G75" s="222">
        <v>1690</v>
      </c>
      <c r="H75" s="255">
        <v>20</v>
      </c>
      <c r="I75" s="207">
        <v>500</v>
      </c>
      <c r="J75" s="242">
        <f t="shared" si="13"/>
        <v>10000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44433</v>
      </c>
      <c r="D76" s="161" t="s">
        <v>9</v>
      </c>
      <c r="E76" s="161" t="s">
        <v>3436</v>
      </c>
      <c r="F76" s="222">
        <v>2630</v>
      </c>
      <c r="G76" s="222">
        <v>2640</v>
      </c>
      <c r="H76" s="222">
        <v>10</v>
      </c>
      <c r="I76" s="207">
        <v>325</v>
      </c>
      <c r="J76" s="242">
        <f t="shared" si="13"/>
        <v>3250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44434</v>
      </c>
      <c r="D77" s="161" t="s">
        <v>9</v>
      </c>
      <c r="E77" s="161" t="s">
        <v>2563</v>
      </c>
      <c r="F77" s="222">
        <v>1730</v>
      </c>
      <c r="G77" s="222">
        <v>1760</v>
      </c>
      <c r="H77" s="222">
        <v>30</v>
      </c>
      <c r="I77" s="207">
        <v>500</v>
      </c>
      <c r="J77" s="242">
        <f t="shared" si="13"/>
        <v>15000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44435</v>
      </c>
      <c r="D78" s="161" t="s">
        <v>9</v>
      </c>
      <c r="E78" s="161" t="s">
        <v>3137</v>
      </c>
      <c r="F78" s="222">
        <v>5010</v>
      </c>
      <c r="G78" s="222">
        <v>5090</v>
      </c>
      <c r="H78" s="222">
        <v>30</v>
      </c>
      <c r="I78" s="207">
        <v>200</v>
      </c>
      <c r="J78" s="242">
        <f t="shared" si="13"/>
        <v>6000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44438</v>
      </c>
      <c r="D79" s="161" t="s">
        <v>9</v>
      </c>
      <c r="E79" s="161" t="s">
        <v>58</v>
      </c>
      <c r="F79" s="222">
        <v>762</v>
      </c>
      <c r="G79" s="222">
        <v>774</v>
      </c>
      <c r="H79" s="222">
        <f>774-762</f>
        <v>12</v>
      </c>
      <c r="I79" s="207">
        <v>1200</v>
      </c>
      <c r="J79" s="242">
        <f t="shared" si="13"/>
        <v>14400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44439</v>
      </c>
      <c r="D80" s="161" t="s">
        <v>9</v>
      </c>
      <c r="E80" s="161" t="s">
        <v>3445</v>
      </c>
      <c r="F80" s="222">
        <v>2120</v>
      </c>
      <c r="G80" s="222">
        <v>2100</v>
      </c>
      <c r="H80" s="222">
        <v>-20</v>
      </c>
      <c r="I80" s="207">
        <v>300</v>
      </c>
      <c r="J80" s="242">
        <f t="shared" si="13"/>
        <v>-6000</v>
      </c>
      <c r="K80" s="153"/>
      <c r="V80" s="25">
        <f t="shared" si="14"/>
        <v>0</v>
      </c>
      <c r="W80" s="25">
        <f t="shared" si="15"/>
        <v>1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141511.25000000012</v>
      </c>
      <c r="K84" s="153"/>
      <c r="V84" s="25">
        <f>SUM(V60:V83)</f>
        <v>18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3413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44410</v>
      </c>
      <c r="D92" s="185" t="s">
        <v>9</v>
      </c>
      <c r="E92" s="185" t="s">
        <v>39</v>
      </c>
      <c r="F92" s="219">
        <v>15880</v>
      </c>
      <c r="G92" s="219">
        <v>15918</v>
      </c>
      <c r="H92" s="185">
        <f>15918-15880</f>
        <v>38</v>
      </c>
      <c r="I92" s="219">
        <v>150</v>
      </c>
      <c r="J92" s="246">
        <f t="shared" ref="J92:J114" si="17">I92*H92</f>
        <v>5700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44411</v>
      </c>
      <c r="D93" s="185" t="s">
        <v>9</v>
      </c>
      <c r="E93" s="185" t="s">
        <v>39</v>
      </c>
      <c r="F93" s="219">
        <v>15980</v>
      </c>
      <c r="G93" s="219">
        <v>16060</v>
      </c>
      <c r="H93" s="185">
        <v>80</v>
      </c>
      <c r="I93" s="219">
        <v>150</v>
      </c>
      <c r="J93" s="242">
        <f t="shared" si="17"/>
        <v>12000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44412</v>
      </c>
      <c r="D94" s="161" t="s">
        <v>9</v>
      </c>
      <c r="E94" s="161" t="s">
        <v>39</v>
      </c>
      <c r="F94" s="207">
        <v>16260</v>
      </c>
      <c r="G94" s="207">
        <v>16280</v>
      </c>
      <c r="H94" s="161">
        <v>20</v>
      </c>
      <c r="I94" s="207">
        <v>150</v>
      </c>
      <c r="J94" s="242">
        <f t="shared" si="17"/>
        <v>3000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44413</v>
      </c>
      <c r="D95" s="161" t="s">
        <v>8</v>
      </c>
      <c r="E95" s="161" t="s">
        <v>39</v>
      </c>
      <c r="F95" s="207">
        <v>16240</v>
      </c>
      <c r="G95" s="207">
        <v>16280</v>
      </c>
      <c r="H95" s="161">
        <v>-40</v>
      </c>
      <c r="I95" s="207">
        <v>150</v>
      </c>
      <c r="J95" s="242">
        <f t="shared" si="17"/>
        <v>-6000</v>
      </c>
      <c r="K95" s="153"/>
      <c r="V95" s="25">
        <f t="shared" si="18"/>
        <v>0</v>
      </c>
      <c r="W95" s="25">
        <f t="shared" si="19"/>
        <v>1</v>
      </c>
    </row>
    <row r="96" spans="1:23" x14ac:dyDescent="0.3">
      <c r="A96" s="147"/>
      <c r="B96" s="205">
        <f t="shared" si="20"/>
        <v>5</v>
      </c>
      <c r="C96" s="206">
        <v>44414</v>
      </c>
      <c r="D96" s="161" t="s">
        <v>8</v>
      </c>
      <c r="E96" s="161" t="s">
        <v>39</v>
      </c>
      <c r="F96" s="207">
        <v>16280</v>
      </c>
      <c r="G96" s="207">
        <v>16240</v>
      </c>
      <c r="H96" s="161">
        <v>40</v>
      </c>
      <c r="I96" s="207">
        <v>150</v>
      </c>
      <c r="J96" s="242">
        <f t="shared" si="17"/>
        <v>6000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44417</v>
      </c>
      <c r="D97" s="161" t="s">
        <v>8</v>
      </c>
      <c r="E97" s="161" t="s">
        <v>39</v>
      </c>
      <c r="F97" s="207">
        <v>16200</v>
      </c>
      <c r="G97" s="207">
        <v>16240</v>
      </c>
      <c r="H97" s="161">
        <v>40</v>
      </c>
      <c r="I97" s="207">
        <v>150</v>
      </c>
      <c r="J97" s="242">
        <f t="shared" si="17"/>
        <v>6000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7</v>
      </c>
      <c r="C98" s="206">
        <v>44418</v>
      </c>
      <c r="D98" s="161" t="s">
        <v>9</v>
      </c>
      <c r="E98" s="161" t="s">
        <v>39</v>
      </c>
      <c r="F98" s="207">
        <v>16300</v>
      </c>
      <c r="G98" s="207">
        <v>16358</v>
      </c>
      <c r="H98" s="161">
        <v>58</v>
      </c>
      <c r="I98" s="207">
        <v>150</v>
      </c>
      <c r="J98" s="242">
        <f t="shared" si="17"/>
        <v>8700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44419</v>
      </c>
      <c r="D99" s="161" t="s">
        <v>8</v>
      </c>
      <c r="E99" s="161" t="s">
        <v>39</v>
      </c>
      <c r="F99" s="207">
        <v>16250</v>
      </c>
      <c r="G99" s="207">
        <v>16190</v>
      </c>
      <c r="H99" s="161">
        <f>16250-16190</f>
        <v>60</v>
      </c>
      <c r="I99" s="207">
        <v>150</v>
      </c>
      <c r="J99" s="242">
        <f t="shared" si="17"/>
        <v>9000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44420</v>
      </c>
      <c r="D100" s="161" t="s">
        <v>9</v>
      </c>
      <c r="E100" s="161" t="s">
        <v>39</v>
      </c>
      <c r="F100" s="207">
        <v>16310</v>
      </c>
      <c r="G100" s="207">
        <v>16340</v>
      </c>
      <c r="H100" s="161">
        <v>30</v>
      </c>
      <c r="I100" s="207">
        <v>150</v>
      </c>
      <c r="J100" s="242">
        <f t="shared" si="17"/>
        <v>4500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44421</v>
      </c>
      <c r="D101" s="161" t="s">
        <v>9</v>
      </c>
      <c r="E101" s="161" t="s">
        <v>39</v>
      </c>
      <c r="F101" s="207">
        <v>16430</v>
      </c>
      <c r="G101" s="207">
        <v>16510</v>
      </c>
      <c r="H101" s="161">
        <v>80</v>
      </c>
      <c r="I101" s="207">
        <v>150</v>
      </c>
      <c r="J101" s="242">
        <f t="shared" si="17"/>
        <v>12000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44424</v>
      </c>
      <c r="D102" s="161" t="s">
        <v>9</v>
      </c>
      <c r="E102" s="161" t="s">
        <v>39</v>
      </c>
      <c r="F102" s="207">
        <v>16510</v>
      </c>
      <c r="G102" s="207">
        <v>16550</v>
      </c>
      <c r="H102" s="161">
        <v>40</v>
      </c>
      <c r="I102" s="207">
        <v>150</v>
      </c>
      <c r="J102" s="242">
        <f t="shared" si="17"/>
        <v>6000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12</v>
      </c>
      <c r="C103" s="206">
        <v>44425</v>
      </c>
      <c r="D103" s="161" t="s">
        <v>9</v>
      </c>
      <c r="E103" s="161" t="s">
        <v>39</v>
      </c>
      <c r="F103" s="207">
        <v>16550</v>
      </c>
      <c r="G103" s="207">
        <v>16510</v>
      </c>
      <c r="H103" s="161">
        <v>-40</v>
      </c>
      <c r="I103" s="207">
        <v>150</v>
      </c>
      <c r="J103" s="242">
        <f t="shared" si="17"/>
        <v>-6000</v>
      </c>
      <c r="K103" s="153"/>
      <c r="V103" s="25">
        <f t="shared" si="18"/>
        <v>0</v>
      </c>
      <c r="W103" s="25">
        <f t="shared" si="19"/>
        <v>1</v>
      </c>
    </row>
    <row r="104" spans="1:23" x14ac:dyDescent="0.3">
      <c r="A104" s="147"/>
      <c r="B104" s="205">
        <f t="shared" si="20"/>
        <v>13</v>
      </c>
      <c r="C104" s="206">
        <v>44426</v>
      </c>
      <c r="D104" s="161" t="s">
        <v>9</v>
      </c>
      <c r="E104" s="161" t="s">
        <v>39</v>
      </c>
      <c r="F104" s="207">
        <v>16670</v>
      </c>
      <c r="G104" s="207">
        <v>16630</v>
      </c>
      <c r="H104" s="161">
        <v>-40</v>
      </c>
      <c r="I104" s="207">
        <v>150</v>
      </c>
      <c r="J104" s="242">
        <f t="shared" si="17"/>
        <v>-6000</v>
      </c>
      <c r="K104" s="153"/>
      <c r="V104" s="25">
        <f t="shared" si="18"/>
        <v>0</v>
      </c>
      <c r="W104" s="25">
        <f t="shared" si="19"/>
        <v>1</v>
      </c>
    </row>
    <row r="105" spans="1:23" x14ac:dyDescent="0.3">
      <c r="A105" s="147"/>
      <c r="B105" s="205">
        <f t="shared" si="20"/>
        <v>14</v>
      </c>
      <c r="C105" s="206">
        <v>44428</v>
      </c>
      <c r="D105" s="161" t="s">
        <v>8</v>
      </c>
      <c r="E105" s="161" t="s">
        <v>39</v>
      </c>
      <c r="F105" s="207">
        <v>16430</v>
      </c>
      <c r="G105" s="207">
        <v>16392</v>
      </c>
      <c r="H105" s="161">
        <f>16430-16392</f>
        <v>38</v>
      </c>
      <c r="I105" s="207">
        <v>150</v>
      </c>
      <c r="J105" s="242">
        <f t="shared" si="17"/>
        <v>5700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15</v>
      </c>
      <c r="C106" s="206">
        <v>44431</v>
      </c>
      <c r="D106" s="161" t="s">
        <v>8</v>
      </c>
      <c r="E106" s="161" t="s">
        <v>39</v>
      </c>
      <c r="F106" s="207">
        <v>16510</v>
      </c>
      <c r="G106" s="207">
        <v>16430</v>
      </c>
      <c r="H106" s="161">
        <v>80</v>
      </c>
      <c r="I106" s="207">
        <v>150</v>
      </c>
      <c r="J106" s="242">
        <f t="shared" si="17"/>
        <v>12000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44432</v>
      </c>
      <c r="D107" s="161" t="s">
        <v>9</v>
      </c>
      <c r="E107" s="161" t="s">
        <v>39</v>
      </c>
      <c r="F107" s="207">
        <v>16530</v>
      </c>
      <c r="G107" s="207">
        <v>16580</v>
      </c>
      <c r="H107" s="161">
        <v>50</v>
      </c>
      <c r="I107" s="207">
        <v>150</v>
      </c>
      <c r="J107" s="242">
        <f t="shared" si="17"/>
        <v>7500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44433</v>
      </c>
      <c r="D108" s="161" t="s">
        <v>9</v>
      </c>
      <c r="E108" s="161" t="s">
        <v>39</v>
      </c>
      <c r="F108" s="207">
        <v>16670</v>
      </c>
      <c r="G108" s="207">
        <v>16710</v>
      </c>
      <c r="H108" s="161">
        <v>40</v>
      </c>
      <c r="I108" s="207">
        <v>150</v>
      </c>
      <c r="J108" s="242">
        <f t="shared" si="17"/>
        <v>6000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18</v>
      </c>
      <c r="C109" s="206">
        <v>44434</v>
      </c>
      <c r="D109" s="161" t="s">
        <v>9</v>
      </c>
      <c r="E109" s="161" t="s">
        <v>39</v>
      </c>
      <c r="F109" s="207">
        <v>16660</v>
      </c>
      <c r="G109" s="207">
        <v>16620</v>
      </c>
      <c r="H109" s="161">
        <v>40</v>
      </c>
      <c r="I109" s="207">
        <v>150</v>
      </c>
      <c r="J109" s="242">
        <f t="shared" si="17"/>
        <v>6000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44435</v>
      </c>
      <c r="D110" s="161" t="s">
        <v>9</v>
      </c>
      <c r="E110" s="161" t="s">
        <v>39</v>
      </c>
      <c r="F110" s="207">
        <v>16650</v>
      </c>
      <c r="G110" s="207">
        <v>16730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20</v>
      </c>
      <c r="C111" s="206">
        <v>44438</v>
      </c>
      <c r="D111" s="161" t="s">
        <v>9</v>
      </c>
      <c r="E111" s="161" t="s">
        <v>39</v>
      </c>
      <c r="F111" s="207">
        <v>16850</v>
      </c>
      <c r="G111" s="207">
        <v>16930</v>
      </c>
      <c r="H111" s="161">
        <v>80</v>
      </c>
      <c r="I111" s="207">
        <v>150</v>
      </c>
      <c r="J111" s="242">
        <f t="shared" si="17"/>
        <v>12000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>
        <v>44439</v>
      </c>
      <c r="D112" s="161" t="s">
        <v>9</v>
      </c>
      <c r="E112" s="161" t="s">
        <v>39</v>
      </c>
      <c r="F112" s="207">
        <v>16960</v>
      </c>
      <c r="G112" s="207">
        <v>17040</v>
      </c>
      <c r="H112" s="161">
        <v>80</v>
      </c>
      <c r="I112" s="207">
        <v>150</v>
      </c>
      <c r="J112" s="242">
        <f t="shared" si="17"/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128100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3414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44410</v>
      </c>
      <c r="D123" s="185" t="s">
        <v>9</v>
      </c>
      <c r="E123" s="185" t="s">
        <v>3384</v>
      </c>
      <c r="F123" s="219">
        <v>105</v>
      </c>
      <c r="G123" s="231">
        <v>130</v>
      </c>
      <c r="H123" s="231">
        <f>130-105</f>
        <v>25</v>
      </c>
      <c r="I123" s="219">
        <v>300</v>
      </c>
      <c r="J123" s="246">
        <f t="shared" ref="J123:J145" si="21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44411</v>
      </c>
      <c r="D124" s="185" t="s">
        <v>9</v>
      </c>
      <c r="E124" s="185" t="s">
        <v>3417</v>
      </c>
      <c r="F124" s="219">
        <v>100</v>
      </c>
      <c r="G124" s="219">
        <v>150</v>
      </c>
      <c r="H124" s="185">
        <v>50</v>
      </c>
      <c r="I124" s="219">
        <v>300</v>
      </c>
      <c r="J124" s="242">
        <f t="shared" si="21"/>
        <v>15000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>B124+1</f>
        <v>3</v>
      </c>
      <c r="C125" s="206">
        <v>44412</v>
      </c>
      <c r="D125" s="161" t="s">
        <v>9</v>
      </c>
      <c r="E125" s="161" t="s">
        <v>1366</v>
      </c>
      <c r="F125" s="207">
        <v>100</v>
      </c>
      <c r="G125" s="207">
        <v>110</v>
      </c>
      <c r="H125" s="161">
        <v>10</v>
      </c>
      <c r="I125" s="207">
        <v>300</v>
      </c>
      <c r="J125" s="242">
        <f t="shared" si="21"/>
        <v>3000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ref="B126:B145" si="24">B125+1</f>
        <v>4</v>
      </c>
      <c r="C126" s="206">
        <v>44413</v>
      </c>
      <c r="D126" s="161" t="s">
        <v>9</v>
      </c>
      <c r="E126" s="161" t="s">
        <v>3418</v>
      </c>
      <c r="F126" s="207">
        <v>80</v>
      </c>
      <c r="G126" s="207">
        <v>55</v>
      </c>
      <c r="H126" s="161">
        <v>-25</v>
      </c>
      <c r="I126" s="207">
        <v>300</v>
      </c>
      <c r="J126" s="242">
        <f t="shared" si="21"/>
        <v>-7500</v>
      </c>
      <c r="K126" s="153"/>
      <c r="V126" s="25">
        <f t="shared" si="22"/>
        <v>0</v>
      </c>
      <c r="W126" s="25">
        <f t="shared" si="23"/>
        <v>1</v>
      </c>
    </row>
    <row r="127" spans="1:23" x14ac:dyDescent="0.3">
      <c r="A127" s="147"/>
      <c r="B127" s="205">
        <f t="shared" si="24"/>
        <v>5</v>
      </c>
      <c r="C127" s="206">
        <v>44414</v>
      </c>
      <c r="D127" s="161" t="s">
        <v>9</v>
      </c>
      <c r="E127" s="161" t="s">
        <v>3418</v>
      </c>
      <c r="F127" s="207">
        <v>120</v>
      </c>
      <c r="G127" s="207">
        <v>134</v>
      </c>
      <c r="H127" s="161">
        <v>14</v>
      </c>
      <c r="I127" s="207">
        <v>300</v>
      </c>
      <c r="J127" s="242">
        <f t="shared" si="21"/>
        <v>4200</v>
      </c>
      <c r="K127" s="153"/>
      <c r="M127" s="25" t="s">
        <v>2008</v>
      </c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si="24"/>
        <v>6</v>
      </c>
      <c r="C128" s="206">
        <v>44417</v>
      </c>
      <c r="D128" s="161" t="s">
        <v>9</v>
      </c>
      <c r="E128" s="161" t="s">
        <v>3422</v>
      </c>
      <c r="F128" s="207">
        <v>75</v>
      </c>
      <c r="G128" s="222">
        <v>89.25</v>
      </c>
      <c r="H128" s="222">
        <f>89.25-75</f>
        <v>14.25</v>
      </c>
      <c r="I128" s="207">
        <v>300</v>
      </c>
      <c r="J128" s="242">
        <f t="shared" si="21"/>
        <v>4275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7</v>
      </c>
      <c r="C129" s="206">
        <v>44418</v>
      </c>
      <c r="D129" s="161" t="s">
        <v>9</v>
      </c>
      <c r="E129" s="161" t="s">
        <v>3422</v>
      </c>
      <c r="F129" s="207">
        <v>95</v>
      </c>
      <c r="G129" s="207">
        <v>134</v>
      </c>
      <c r="H129" s="161">
        <f>134-95</f>
        <v>39</v>
      </c>
      <c r="I129" s="207">
        <v>300</v>
      </c>
      <c r="J129" s="242">
        <f t="shared" si="21"/>
        <v>11700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44419</v>
      </c>
      <c r="D130" s="161" t="s">
        <v>9</v>
      </c>
      <c r="E130" s="161" t="s">
        <v>3418</v>
      </c>
      <c r="F130" s="207">
        <v>95</v>
      </c>
      <c r="G130" s="207">
        <v>129</v>
      </c>
      <c r="H130" s="161">
        <f>129-95</f>
        <v>34</v>
      </c>
      <c r="I130" s="207">
        <v>300</v>
      </c>
      <c r="J130" s="242">
        <f t="shared" si="21"/>
        <v>10200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44420</v>
      </c>
      <c r="D131" s="161" t="s">
        <v>9</v>
      </c>
      <c r="E131" s="161" t="s">
        <v>3422</v>
      </c>
      <c r="F131" s="207">
        <v>75</v>
      </c>
      <c r="G131" s="207">
        <v>85</v>
      </c>
      <c r="H131" s="161">
        <v>10</v>
      </c>
      <c r="I131" s="207">
        <v>300</v>
      </c>
      <c r="J131" s="242">
        <f t="shared" si="21"/>
        <v>3000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44421</v>
      </c>
      <c r="D132" s="161" t="s">
        <v>9</v>
      </c>
      <c r="E132" s="161" t="s">
        <v>3428</v>
      </c>
      <c r="F132" s="207">
        <v>100</v>
      </c>
      <c r="G132" s="222">
        <v>150</v>
      </c>
      <c r="H132" s="222">
        <v>50</v>
      </c>
      <c r="I132" s="207">
        <v>300</v>
      </c>
      <c r="J132" s="242">
        <f t="shared" si="21"/>
        <v>15000</v>
      </c>
      <c r="K132" s="153"/>
      <c r="V132" s="25">
        <f t="shared" si="22"/>
        <v>1</v>
      </c>
      <c r="W132" s="25">
        <f t="shared" si="23"/>
        <v>0</v>
      </c>
    </row>
    <row r="133" spans="1:23" x14ac:dyDescent="0.3">
      <c r="A133" s="147"/>
      <c r="B133" s="205">
        <f t="shared" si="24"/>
        <v>11</v>
      </c>
      <c r="C133" s="206">
        <v>44424</v>
      </c>
      <c r="D133" s="161" t="s">
        <v>9</v>
      </c>
      <c r="E133" s="161" t="s">
        <v>3430</v>
      </c>
      <c r="F133" s="207">
        <v>115</v>
      </c>
      <c r="G133" s="222">
        <v>150</v>
      </c>
      <c r="H133" s="222">
        <f>150-115</f>
        <v>35</v>
      </c>
      <c r="I133" s="207">
        <v>300</v>
      </c>
      <c r="J133" s="242">
        <f t="shared" si="21"/>
        <v>10500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44425</v>
      </c>
      <c r="D134" s="161" t="s">
        <v>9</v>
      </c>
      <c r="E134" s="161" t="s">
        <v>3431</v>
      </c>
      <c r="F134" s="207">
        <v>95</v>
      </c>
      <c r="G134" s="222">
        <v>70</v>
      </c>
      <c r="H134" s="222">
        <v>-25</v>
      </c>
      <c r="I134" s="207">
        <v>300</v>
      </c>
      <c r="J134" s="242">
        <f t="shared" si="21"/>
        <v>-7500</v>
      </c>
      <c r="K134" s="153"/>
      <c r="V134" s="25">
        <f t="shared" si="22"/>
        <v>0</v>
      </c>
      <c r="W134" s="25">
        <f t="shared" si="23"/>
        <v>1</v>
      </c>
    </row>
    <row r="135" spans="1:23" x14ac:dyDescent="0.3">
      <c r="A135" s="147"/>
      <c r="B135" s="205">
        <f t="shared" si="24"/>
        <v>13</v>
      </c>
      <c r="C135" s="206">
        <v>44426</v>
      </c>
      <c r="D135" s="161" t="s">
        <v>9</v>
      </c>
      <c r="E135" s="161" t="s">
        <v>1376</v>
      </c>
      <c r="F135" s="207">
        <v>90</v>
      </c>
      <c r="G135" s="222">
        <v>100</v>
      </c>
      <c r="H135" s="222">
        <v>10</v>
      </c>
      <c r="I135" s="207">
        <v>300</v>
      </c>
      <c r="J135" s="242">
        <f t="shared" si="21"/>
        <v>3000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44428</v>
      </c>
      <c r="D136" s="161" t="s">
        <v>9</v>
      </c>
      <c r="E136" s="161" t="s">
        <v>3437</v>
      </c>
      <c r="F136" s="207">
        <v>115</v>
      </c>
      <c r="G136" s="207">
        <v>135</v>
      </c>
      <c r="H136" s="161">
        <v>20</v>
      </c>
      <c r="I136" s="207">
        <v>300</v>
      </c>
      <c r="J136" s="242">
        <f>I136*H136</f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44431</v>
      </c>
      <c r="D137" s="161" t="s">
        <v>9</v>
      </c>
      <c r="E137" s="161" t="s">
        <v>3438</v>
      </c>
      <c r="F137" s="207">
        <v>110</v>
      </c>
      <c r="G137" s="207">
        <v>160</v>
      </c>
      <c r="H137" s="161">
        <v>50</v>
      </c>
      <c r="I137" s="207">
        <v>300</v>
      </c>
      <c r="J137" s="242">
        <f t="shared" si="21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44432</v>
      </c>
      <c r="D138" s="161" t="s">
        <v>9</v>
      </c>
      <c r="E138" s="161" t="s">
        <v>3430</v>
      </c>
      <c r="F138" s="207">
        <v>115</v>
      </c>
      <c r="G138" s="207">
        <v>165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44433</v>
      </c>
      <c r="D139" s="161" t="s">
        <v>9</v>
      </c>
      <c r="E139" s="161" t="s">
        <v>1376</v>
      </c>
      <c r="F139" s="207">
        <v>100</v>
      </c>
      <c r="G139" s="207">
        <v>125</v>
      </c>
      <c r="H139" s="161">
        <v>25</v>
      </c>
      <c r="I139" s="207">
        <v>300</v>
      </c>
      <c r="J139" s="242">
        <f t="shared" si="21"/>
        <v>7500</v>
      </c>
      <c r="K139" s="153"/>
      <c r="V139" s="25">
        <f t="shared" si="22"/>
        <v>1</v>
      </c>
      <c r="W139" s="25">
        <f t="shared" si="23"/>
        <v>0</v>
      </c>
    </row>
    <row r="140" spans="1:23" x14ac:dyDescent="0.3">
      <c r="A140" s="147"/>
      <c r="B140" s="205">
        <f t="shared" si="24"/>
        <v>18</v>
      </c>
      <c r="C140" s="206">
        <v>44434</v>
      </c>
      <c r="D140" s="161" t="s">
        <v>9</v>
      </c>
      <c r="E140" s="161" t="s">
        <v>3439</v>
      </c>
      <c r="F140" s="207">
        <v>120</v>
      </c>
      <c r="G140" s="222">
        <v>95</v>
      </c>
      <c r="H140" s="222">
        <v>-25</v>
      </c>
      <c r="I140" s="207">
        <v>300</v>
      </c>
      <c r="J140" s="242">
        <f t="shared" si="21"/>
        <v>-7500</v>
      </c>
      <c r="K140" s="153"/>
      <c r="V140" s="25">
        <f t="shared" si="22"/>
        <v>0</v>
      </c>
      <c r="W140" s="25">
        <f t="shared" si="23"/>
        <v>1</v>
      </c>
    </row>
    <row r="141" spans="1:23" x14ac:dyDescent="0.3">
      <c r="A141" s="147"/>
      <c r="B141" s="205">
        <f t="shared" si="24"/>
        <v>19</v>
      </c>
      <c r="C141" s="206">
        <v>44435</v>
      </c>
      <c r="D141" s="161" t="s">
        <v>9</v>
      </c>
      <c r="E141" s="161" t="s">
        <v>1376</v>
      </c>
      <c r="F141" s="207">
        <v>120</v>
      </c>
      <c r="G141" s="207">
        <v>158</v>
      </c>
      <c r="H141" s="161">
        <f>158-125</f>
        <v>33</v>
      </c>
      <c r="I141" s="207">
        <v>300</v>
      </c>
      <c r="J141" s="242">
        <f t="shared" si="21"/>
        <v>9900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44438</v>
      </c>
      <c r="D142" s="161" t="s">
        <v>9</v>
      </c>
      <c r="E142" s="161" t="s">
        <v>3446</v>
      </c>
      <c r="F142" s="207">
        <v>100</v>
      </c>
      <c r="G142" s="207">
        <v>150</v>
      </c>
      <c r="H142" s="161">
        <v>50</v>
      </c>
      <c r="I142" s="207">
        <v>300</v>
      </c>
      <c r="J142" s="242">
        <f t="shared" si="21"/>
        <v>15000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>
        <v>44439</v>
      </c>
      <c r="D143" s="161" t="s">
        <v>9</v>
      </c>
      <c r="E143" s="161" t="s">
        <v>1388</v>
      </c>
      <c r="F143" s="207">
        <v>100</v>
      </c>
      <c r="G143" s="207">
        <v>150</v>
      </c>
      <c r="H143" s="161">
        <v>50</v>
      </c>
      <c r="I143" s="207">
        <v>300</v>
      </c>
      <c r="J143" s="242">
        <f t="shared" si="21"/>
        <v>15000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1"/>
        <v>0</v>
      </c>
      <c r="K144" s="153"/>
      <c r="V144" s="25">
        <f t="shared" si="22"/>
        <v>0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148275</v>
      </c>
      <c r="K146" s="153"/>
      <c r="V146" s="25">
        <f>SUM(V123:V145)</f>
        <v>18</v>
      </c>
      <c r="W146" s="25">
        <f>SUM(W123:W145)</f>
        <v>3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3413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44410</v>
      </c>
      <c r="D154" s="185" t="s">
        <v>9</v>
      </c>
      <c r="E154" s="185" t="s">
        <v>301</v>
      </c>
      <c r="F154" s="219">
        <v>34900</v>
      </c>
      <c r="G154" s="231">
        <v>34980</v>
      </c>
      <c r="H154" s="185">
        <v>80</v>
      </c>
      <c r="I154" s="219">
        <v>50</v>
      </c>
      <c r="J154" s="246">
        <f t="shared" ref="J154:J176" si="25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44411</v>
      </c>
      <c r="D155" s="185" t="s">
        <v>9</v>
      </c>
      <c r="E155" s="185" t="s">
        <v>301</v>
      </c>
      <c r="F155" s="219">
        <v>34900</v>
      </c>
      <c r="G155" s="219">
        <v>35200</v>
      </c>
      <c r="H155" s="185">
        <v>300</v>
      </c>
      <c r="I155" s="219">
        <v>50</v>
      </c>
      <c r="J155" s="242">
        <f t="shared" si="25"/>
        <v>15000</v>
      </c>
      <c r="K155" s="153"/>
      <c r="V155" s="25">
        <f t="shared" ref="V155:V176" si="26">IF($J155&gt;0,1,0)</f>
        <v>1</v>
      </c>
      <c r="W155" s="25">
        <f t="shared" ref="W155:W176" si="27">IF($J155&lt;0,1,0)</f>
        <v>0</v>
      </c>
    </row>
    <row r="156" spans="1:23" x14ac:dyDescent="0.3">
      <c r="A156" s="147"/>
      <c r="B156" s="205">
        <f t="shared" ref="B156:B176" si="28">B155+1</f>
        <v>3</v>
      </c>
      <c r="C156" s="206">
        <v>44412</v>
      </c>
      <c r="D156" s="161" t="s">
        <v>9</v>
      </c>
      <c r="E156" s="161" t="s">
        <v>301</v>
      </c>
      <c r="F156" s="207">
        <v>35700</v>
      </c>
      <c r="G156" s="207">
        <v>36000</v>
      </c>
      <c r="H156" s="161">
        <v>300</v>
      </c>
      <c r="I156" s="207">
        <v>50</v>
      </c>
      <c r="J156" s="242">
        <f t="shared" si="25"/>
        <v>15000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44413</v>
      </c>
      <c r="D157" s="161" t="s">
        <v>8</v>
      </c>
      <c r="E157" s="161" t="s">
        <v>301</v>
      </c>
      <c r="F157" s="207">
        <v>35800</v>
      </c>
      <c r="G157" s="207">
        <v>35755</v>
      </c>
      <c r="H157" s="161">
        <f>35800-35755</f>
        <v>45</v>
      </c>
      <c r="I157" s="207">
        <v>50</v>
      </c>
      <c r="J157" s="242">
        <f t="shared" si="25"/>
        <v>2250</v>
      </c>
      <c r="K157" s="153"/>
      <c r="V157" s="25">
        <f t="shared" si="26"/>
        <v>1</v>
      </c>
      <c r="W157" s="25">
        <f t="shared" si="27"/>
        <v>0</v>
      </c>
    </row>
    <row r="158" spans="1:23" x14ac:dyDescent="0.3">
      <c r="A158" s="147"/>
      <c r="B158" s="205">
        <f t="shared" si="28"/>
        <v>5</v>
      </c>
      <c r="C158" s="206">
        <v>44414</v>
      </c>
      <c r="D158" s="161" t="s">
        <v>8</v>
      </c>
      <c r="E158" s="161" t="s">
        <v>301</v>
      </c>
      <c r="F158" s="207">
        <v>35950</v>
      </c>
      <c r="G158" s="207">
        <v>35800</v>
      </c>
      <c r="H158" s="161">
        <v>150</v>
      </c>
      <c r="I158" s="207">
        <v>50</v>
      </c>
      <c r="J158" s="242">
        <f t="shared" si="25"/>
        <v>7500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44417</v>
      </c>
      <c r="D159" s="161" t="s">
        <v>9</v>
      </c>
      <c r="E159" s="161" t="s">
        <v>301</v>
      </c>
      <c r="F159" s="207">
        <v>36200</v>
      </c>
      <c r="G159" s="207">
        <v>36050</v>
      </c>
      <c r="H159" s="161">
        <v>-150</v>
      </c>
      <c r="I159" s="207">
        <v>50</v>
      </c>
      <c r="J159" s="242">
        <f t="shared" si="25"/>
        <v>-7500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44418</v>
      </c>
      <c r="D160" s="161" t="s">
        <v>9</v>
      </c>
      <c r="E160" s="161" t="s">
        <v>301</v>
      </c>
      <c r="F160" s="207">
        <v>36300</v>
      </c>
      <c r="G160" s="207">
        <v>36360</v>
      </c>
      <c r="H160" s="161">
        <v>60</v>
      </c>
      <c r="I160" s="207">
        <v>50</v>
      </c>
      <c r="J160" s="242">
        <f t="shared" si="25"/>
        <v>3000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44419</v>
      </c>
      <c r="D161" s="161" t="s">
        <v>8</v>
      </c>
      <c r="E161" s="161" t="s">
        <v>301</v>
      </c>
      <c r="F161" s="207">
        <v>35950</v>
      </c>
      <c r="G161" s="207">
        <v>35730</v>
      </c>
      <c r="H161" s="161">
        <f>35950-35730</f>
        <v>220</v>
      </c>
      <c r="I161" s="207">
        <v>50</v>
      </c>
      <c r="J161" s="242">
        <f t="shared" si="25"/>
        <v>11000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9</v>
      </c>
      <c r="C162" s="206">
        <v>44420</v>
      </c>
      <c r="D162" s="161" t="s">
        <v>9</v>
      </c>
      <c r="E162" s="161" t="s">
        <v>301</v>
      </c>
      <c r="F162" s="207">
        <v>35900</v>
      </c>
      <c r="G162" s="207">
        <v>36100</v>
      </c>
      <c r="H162" s="161">
        <f>36100-35900</f>
        <v>200</v>
      </c>
      <c r="I162" s="207">
        <v>50</v>
      </c>
      <c r="J162" s="242">
        <f t="shared" si="25"/>
        <v>10000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10</v>
      </c>
      <c r="C163" s="206">
        <v>44421</v>
      </c>
      <c r="D163" s="161" t="s">
        <v>9</v>
      </c>
      <c r="E163" s="161" t="s">
        <v>301</v>
      </c>
      <c r="F163" s="207">
        <v>36150</v>
      </c>
      <c r="G163" s="207">
        <v>36200</v>
      </c>
      <c r="H163" s="161">
        <v>50</v>
      </c>
      <c r="I163" s="207">
        <v>50</v>
      </c>
      <c r="J163" s="242">
        <f t="shared" si="25"/>
        <v>2500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11</v>
      </c>
      <c r="C164" s="206">
        <v>44424</v>
      </c>
      <c r="D164" s="161" t="s">
        <v>9</v>
      </c>
      <c r="E164" s="161" t="s">
        <v>301</v>
      </c>
      <c r="F164" s="207">
        <v>36200</v>
      </c>
      <c r="G164" s="207">
        <v>36250</v>
      </c>
      <c r="H164" s="161">
        <v>50</v>
      </c>
      <c r="I164" s="207">
        <v>50</v>
      </c>
      <c r="J164" s="242">
        <f t="shared" si="25"/>
        <v>2500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44425</v>
      </c>
      <c r="D165" s="161" t="s">
        <v>8</v>
      </c>
      <c r="E165" s="161" t="s">
        <v>301</v>
      </c>
      <c r="F165" s="207">
        <v>35900</v>
      </c>
      <c r="G165" s="207">
        <v>35700</v>
      </c>
      <c r="H165" s="161">
        <v>200</v>
      </c>
      <c r="I165" s="207">
        <v>50</v>
      </c>
      <c r="J165" s="242">
        <f t="shared" si="25"/>
        <v>10000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44426</v>
      </c>
      <c r="D166" s="161" t="s">
        <v>9</v>
      </c>
      <c r="E166" s="161" t="s">
        <v>301</v>
      </c>
      <c r="F166" s="207">
        <v>36060</v>
      </c>
      <c r="G166" s="207">
        <v>35910</v>
      </c>
      <c r="H166" s="161">
        <v>-150</v>
      </c>
      <c r="I166" s="207">
        <v>50</v>
      </c>
      <c r="J166" s="242">
        <f t="shared" si="25"/>
        <v>-7500</v>
      </c>
      <c r="K166" s="153"/>
      <c r="V166" s="25">
        <f t="shared" si="26"/>
        <v>0</v>
      </c>
      <c r="W166" s="25">
        <f t="shared" si="27"/>
        <v>1</v>
      </c>
    </row>
    <row r="167" spans="1:23" x14ac:dyDescent="0.3">
      <c r="A167" s="147"/>
      <c r="B167" s="205">
        <f t="shared" si="28"/>
        <v>14</v>
      </c>
      <c r="C167" s="206">
        <v>44428</v>
      </c>
      <c r="D167" s="161" t="s">
        <v>8</v>
      </c>
      <c r="E167" s="161" t="s">
        <v>301</v>
      </c>
      <c r="F167" s="207">
        <v>35100</v>
      </c>
      <c r="G167" s="207">
        <v>34950</v>
      </c>
      <c r="H167" s="161">
        <v>150</v>
      </c>
      <c r="I167" s="207">
        <v>50</v>
      </c>
      <c r="J167" s="242">
        <f t="shared" si="25"/>
        <v>7500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44431</v>
      </c>
      <c r="D168" s="161" t="s">
        <v>8</v>
      </c>
      <c r="E168" s="161" t="s">
        <v>301</v>
      </c>
      <c r="F168" s="207">
        <v>35150</v>
      </c>
      <c r="G168" s="207">
        <v>34850</v>
      </c>
      <c r="H168" s="161">
        <v>300</v>
      </c>
      <c r="I168" s="207">
        <v>50</v>
      </c>
      <c r="J168" s="242">
        <f t="shared" si="25"/>
        <v>15000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44432</v>
      </c>
      <c r="D169" s="161" t="s">
        <v>9</v>
      </c>
      <c r="E169" s="161" t="s">
        <v>301</v>
      </c>
      <c r="F169" s="207">
        <v>35350</v>
      </c>
      <c r="G169" s="207">
        <v>35650</v>
      </c>
      <c r="H169" s="161">
        <v>300</v>
      </c>
      <c r="I169" s="207">
        <v>50</v>
      </c>
      <c r="J169" s="242">
        <f t="shared" si="25"/>
        <v>15000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44433</v>
      </c>
      <c r="D170" s="161" t="s">
        <v>9</v>
      </c>
      <c r="E170" s="161" t="s">
        <v>301</v>
      </c>
      <c r="F170" s="207">
        <v>35650</v>
      </c>
      <c r="G170" s="207">
        <v>35800</v>
      </c>
      <c r="H170" s="161">
        <v>150</v>
      </c>
      <c r="I170" s="207">
        <v>50</v>
      </c>
      <c r="J170" s="242">
        <f t="shared" si="25"/>
        <v>7500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44434</v>
      </c>
      <c r="D171" s="161" t="s">
        <v>9</v>
      </c>
      <c r="E171" s="161" t="s">
        <v>301</v>
      </c>
      <c r="F171" s="207">
        <v>35600</v>
      </c>
      <c r="G171" s="207">
        <v>35750</v>
      </c>
      <c r="H171" s="161">
        <v>150</v>
      </c>
      <c r="I171" s="207">
        <v>50</v>
      </c>
      <c r="J171" s="242">
        <f t="shared" si="25"/>
        <v>7500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19</v>
      </c>
      <c r="C172" s="206">
        <v>44435</v>
      </c>
      <c r="D172" s="161" t="s">
        <v>9</v>
      </c>
      <c r="E172" s="161" t="s">
        <v>301</v>
      </c>
      <c r="F172" s="207">
        <v>35650</v>
      </c>
      <c r="G172" s="207">
        <v>35725</v>
      </c>
      <c r="H172" s="161">
        <f>35725-35650</f>
        <v>75</v>
      </c>
      <c r="I172" s="207">
        <v>50</v>
      </c>
      <c r="J172" s="242">
        <f t="shared" si="25"/>
        <v>3750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20</v>
      </c>
      <c r="C173" s="206">
        <v>44438</v>
      </c>
      <c r="D173" s="161" t="s">
        <v>9</v>
      </c>
      <c r="E173" s="161" t="s">
        <v>301</v>
      </c>
      <c r="F173" s="207">
        <v>36050</v>
      </c>
      <c r="G173" s="207">
        <v>36245</v>
      </c>
      <c r="H173" s="161">
        <v>195</v>
      </c>
      <c r="I173" s="207">
        <v>50</v>
      </c>
      <c r="J173" s="242">
        <f t="shared" si="25"/>
        <v>9750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21</v>
      </c>
      <c r="C174" s="206">
        <v>44439</v>
      </c>
      <c r="D174" s="161" t="s">
        <v>9</v>
      </c>
      <c r="E174" s="161" t="s">
        <v>301</v>
      </c>
      <c r="F174" s="207">
        <v>36550</v>
      </c>
      <c r="G174" s="207">
        <v>36690</v>
      </c>
      <c r="H174" s="161">
        <f>36690-36550</f>
        <v>140</v>
      </c>
      <c r="I174" s="207">
        <v>50</v>
      </c>
      <c r="J174" s="242">
        <f t="shared" si="25"/>
        <v>7000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5"/>
        <v>0</v>
      </c>
      <c r="K175" s="153"/>
      <c r="V175" s="25">
        <f t="shared" si="26"/>
        <v>0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140750</v>
      </c>
      <c r="K177" s="153"/>
      <c r="V177" s="25">
        <f>SUM(V154:V176)</f>
        <v>19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3414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44410</v>
      </c>
      <c r="D185" s="185" t="s">
        <v>9</v>
      </c>
      <c r="E185" s="185" t="s">
        <v>3415</v>
      </c>
      <c r="F185" s="219">
        <v>210</v>
      </c>
      <c r="G185" s="219">
        <v>170</v>
      </c>
      <c r="H185" s="185">
        <v>-40</v>
      </c>
      <c r="I185" s="219">
        <v>100</v>
      </c>
      <c r="J185" s="246">
        <f t="shared" ref="J185:J207" si="29">I185*H185</f>
        <v>-4000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44411</v>
      </c>
      <c r="D186" s="185" t="s">
        <v>9</v>
      </c>
      <c r="E186" s="185" t="s">
        <v>3415</v>
      </c>
      <c r="F186" s="219">
        <v>170</v>
      </c>
      <c r="G186" s="219">
        <v>370</v>
      </c>
      <c r="H186" s="185">
        <v>200</v>
      </c>
      <c r="I186" s="219">
        <v>100</v>
      </c>
      <c r="J186" s="242">
        <f t="shared" si="29"/>
        <v>20000</v>
      </c>
      <c r="K186" s="153"/>
      <c r="V186" s="25">
        <f t="shared" ref="V186:V207" si="30">IF($J186&gt;0,1,0)</f>
        <v>1</v>
      </c>
      <c r="W186" s="25">
        <f t="shared" ref="W186:W207" si="31">IF($J186&lt;0,1,0)</f>
        <v>0</v>
      </c>
    </row>
    <row r="187" spans="1:23" x14ac:dyDescent="0.3">
      <c r="A187" s="147"/>
      <c r="B187" s="205">
        <f t="shared" ref="B187:B207" si="32">B186+1</f>
        <v>3</v>
      </c>
      <c r="C187" s="206">
        <v>44412</v>
      </c>
      <c r="D187" s="161" t="s">
        <v>9</v>
      </c>
      <c r="E187" s="161" t="s">
        <v>3274</v>
      </c>
      <c r="F187" s="207">
        <v>170</v>
      </c>
      <c r="G187" s="207">
        <v>370</v>
      </c>
      <c r="H187" s="161">
        <v>200</v>
      </c>
      <c r="I187" s="207">
        <v>100</v>
      </c>
      <c r="J187" s="242">
        <f t="shared" si="29"/>
        <v>20000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44413</v>
      </c>
      <c r="D188" s="161" t="s">
        <v>9</v>
      </c>
      <c r="E188" s="161" t="s">
        <v>3233</v>
      </c>
      <c r="F188" s="207">
        <v>150</v>
      </c>
      <c r="G188" s="207">
        <v>190</v>
      </c>
      <c r="H188" s="161">
        <v>40</v>
      </c>
      <c r="I188" s="207">
        <v>100</v>
      </c>
      <c r="J188" s="242">
        <f t="shared" si="29"/>
        <v>4000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44414</v>
      </c>
      <c r="D189" s="161" t="s">
        <v>9</v>
      </c>
      <c r="E189" s="161" t="s">
        <v>3230</v>
      </c>
      <c r="F189" s="207">
        <v>340</v>
      </c>
      <c r="G189" s="207">
        <v>420</v>
      </c>
      <c r="H189" s="161">
        <f>420-340</f>
        <v>80</v>
      </c>
      <c r="I189" s="207">
        <v>100</v>
      </c>
      <c r="J189" s="242">
        <f t="shared" si="29"/>
        <v>8000</v>
      </c>
      <c r="K189" s="153"/>
      <c r="O189" s="25" t="s">
        <v>2008</v>
      </c>
      <c r="V189" s="25">
        <f t="shared" si="30"/>
        <v>1</v>
      </c>
      <c r="W189" s="25">
        <f t="shared" si="31"/>
        <v>0</v>
      </c>
    </row>
    <row r="190" spans="1:23" x14ac:dyDescent="0.3">
      <c r="A190" s="147"/>
      <c r="B190" s="205">
        <f t="shared" si="32"/>
        <v>6</v>
      </c>
      <c r="C190" s="206">
        <v>44417</v>
      </c>
      <c r="D190" s="161" t="s">
        <v>9</v>
      </c>
      <c r="E190" s="161" t="s">
        <v>3423</v>
      </c>
      <c r="F190" s="207">
        <v>140</v>
      </c>
      <c r="G190" s="207">
        <v>183</v>
      </c>
      <c r="H190" s="161">
        <f>183-140</f>
        <v>43</v>
      </c>
      <c r="I190" s="207">
        <v>100</v>
      </c>
      <c r="J190" s="242">
        <f t="shared" si="29"/>
        <v>4300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44418</v>
      </c>
      <c r="D191" s="161" t="s">
        <v>9</v>
      </c>
      <c r="E191" s="161" t="s">
        <v>3225</v>
      </c>
      <c r="F191" s="207">
        <v>190</v>
      </c>
      <c r="G191" s="207">
        <v>230</v>
      </c>
      <c r="H191" s="161">
        <f>230-190</f>
        <v>40</v>
      </c>
      <c r="I191" s="207">
        <v>100</v>
      </c>
      <c r="J191" s="242">
        <f t="shared" si="29"/>
        <v>4000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44419</v>
      </c>
      <c r="D192" s="161" t="s">
        <v>9</v>
      </c>
      <c r="E192" s="161" t="s">
        <v>3424</v>
      </c>
      <c r="F192" s="207">
        <v>300</v>
      </c>
      <c r="G192" s="207">
        <v>440</v>
      </c>
      <c r="H192" s="161">
        <v>140</v>
      </c>
      <c r="I192" s="207">
        <v>100</v>
      </c>
      <c r="J192" s="242">
        <f t="shared" si="29"/>
        <v>14000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44420</v>
      </c>
      <c r="D193" s="161" t="s">
        <v>9</v>
      </c>
      <c r="E193" s="161" t="s">
        <v>3274</v>
      </c>
      <c r="F193" s="207">
        <v>170</v>
      </c>
      <c r="G193" s="207">
        <v>70</v>
      </c>
      <c r="H193" s="161">
        <v>-100</v>
      </c>
      <c r="I193" s="207">
        <v>100</v>
      </c>
      <c r="J193" s="242">
        <f t="shared" si="29"/>
        <v>-10000</v>
      </c>
      <c r="K193" s="153"/>
      <c r="V193" s="25">
        <f t="shared" si="30"/>
        <v>0</v>
      </c>
      <c r="W193" s="25">
        <f t="shared" si="31"/>
        <v>1</v>
      </c>
    </row>
    <row r="194" spans="1:23" x14ac:dyDescent="0.3">
      <c r="A194" s="147"/>
      <c r="B194" s="205">
        <f t="shared" si="32"/>
        <v>10</v>
      </c>
      <c r="C194" s="206">
        <v>44421</v>
      </c>
      <c r="D194" s="161" t="s">
        <v>9</v>
      </c>
      <c r="E194" s="161" t="s">
        <v>3222</v>
      </c>
      <c r="F194" s="207">
        <v>220</v>
      </c>
      <c r="G194" s="207">
        <v>245</v>
      </c>
      <c r="H194" s="161">
        <f>245-220</f>
        <v>25</v>
      </c>
      <c r="I194" s="207">
        <v>100</v>
      </c>
      <c r="J194" s="242">
        <f t="shared" si="29"/>
        <v>2500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11</v>
      </c>
      <c r="C195" s="206">
        <v>44424</v>
      </c>
      <c r="D195" s="161" t="s">
        <v>9</v>
      </c>
      <c r="E195" s="161" t="s">
        <v>3222</v>
      </c>
      <c r="F195" s="207">
        <v>200</v>
      </c>
      <c r="G195" s="207">
        <v>100</v>
      </c>
      <c r="H195" s="161">
        <v>-100</v>
      </c>
      <c r="I195" s="207">
        <v>100</v>
      </c>
      <c r="J195" s="242">
        <f t="shared" si="29"/>
        <v>-10000</v>
      </c>
      <c r="K195" s="153"/>
      <c r="V195" s="25">
        <f t="shared" si="30"/>
        <v>0</v>
      </c>
      <c r="W195" s="25">
        <f t="shared" si="31"/>
        <v>1</v>
      </c>
    </row>
    <row r="196" spans="1:23" x14ac:dyDescent="0.3">
      <c r="A196" s="147"/>
      <c r="B196" s="205">
        <f t="shared" si="32"/>
        <v>12</v>
      </c>
      <c r="C196" s="206">
        <v>44425</v>
      </c>
      <c r="D196" s="161" t="s">
        <v>9</v>
      </c>
      <c r="E196" s="161" t="s">
        <v>3230</v>
      </c>
      <c r="F196" s="207">
        <v>200</v>
      </c>
      <c r="G196" s="207">
        <v>300</v>
      </c>
      <c r="H196" s="161">
        <v>100</v>
      </c>
      <c r="I196" s="207">
        <v>100</v>
      </c>
      <c r="J196" s="242">
        <f t="shared" si="29"/>
        <v>10000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13</v>
      </c>
      <c r="C197" s="206">
        <v>44426</v>
      </c>
      <c r="D197" s="161" t="s">
        <v>9</v>
      </c>
      <c r="E197" s="161" t="s">
        <v>3271</v>
      </c>
      <c r="F197" s="207">
        <v>110</v>
      </c>
      <c r="G197" s="207">
        <v>10</v>
      </c>
      <c r="H197" s="161">
        <v>-100</v>
      </c>
      <c r="I197" s="207">
        <v>100</v>
      </c>
      <c r="J197" s="242">
        <f t="shared" si="29"/>
        <v>-10000</v>
      </c>
      <c r="K197" s="153"/>
      <c r="V197" s="25">
        <f t="shared" si="30"/>
        <v>0</v>
      </c>
      <c r="W197" s="25">
        <f t="shared" si="31"/>
        <v>1</v>
      </c>
    </row>
    <row r="198" spans="1:23" x14ac:dyDescent="0.3">
      <c r="A198" s="147"/>
      <c r="B198" s="205">
        <f t="shared" si="32"/>
        <v>14</v>
      </c>
      <c r="C198" s="206">
        <v>44428</v>
      </c>
      <c r="D198" s="161" t="s">
        <v>9</v>
      </c>
      <c r="E198" s="161" t="s">
        <v>3260</v>
      </c>
      <c r="F198" s="207">
        <v>280</v>
      </c>
      <c r="G198" s="207">
        <v>359</v>
      </c>
      <c r="H198" s="161">
        <f>359-280</f>
        <v>79</v>
      </c>
      <c r="I198" s="207">
        <v>100</v>
      </c>
      <c r="J198" s="242">
        <f t="shared" si="29"/>
        <v>7900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44431</v>
      </c>
      <c r="D199" s="161" t="s">
        <v>9</v>
      </c>
      <c r="E199" s="161" t="s">
        <v>3359</v>
      </c>
      <c r="F199" s="207">
        <v>300</v>
      </c>
      <c r="G199" s="207">
        <v>470</v>
      </c>
      <c r="H199" s="161">
        <v>170</v>
      </c>
      <c r="I199" s="207">
        <v>100</v>
      </c>
      <c r="J199" s="242">
        <f t="shared" si="29"/>
        <v>17000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44432</v>
      </c>
      <c r="D200" s="161" t="s">
        <v>9</v>
      </c>
      <c r="E200" s="161" t="s">
        <v>3280</v>
      </c>
      <c r="F200" s="207">
        <v>250</v>
      </c>
      <c r="G200" s="207">
        <v>450</v>
      </c>
      <c r="H200" s="161">
        <v>200</v>
      </c>
      <c r="I200" s="207">
        <v>100</v>
      </c>
      <c r="J200" s="242">
        <f t="shared" si="29"/>
        <v>20000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44433</v>
      </c>
      <c r="D201" s="161" t="s">
        <v>9</v>
      </c>
      <c r="E201" s="161" t="s">
        <v>3268</v>
      </c>
      <c r="F201" s="207">
        <v>190</v>
      </c>
      <c r="G201" s="207">
        <v>290</v>
      </c>
      <c r="H201" s="161">
        <v>100</v>
      </c>
      <c r="I201" s="207">
        <v>100</v>
      </c>
      <c r="J201" s="242">
        <f t="shared" si="29"/>
        <v>10000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44434</v>
      </c>
      <c r="D202" s="161" t="s">
        <v>9</v>
      </c>
      <c r="E202" s="161" t="s">
        <v>3255</v>
      </c>
      <c r="F202" s="207">
        <v>170</v>
      </c>
      <c r="G202" s="207">
        <v>270</v>
      </c>
      <c r="H202" s="161">
        <v>100</v>
      </c>
      <c r="I202" s="207">
        <v>100</v>
      </c>
      <c r="J202" s="242">
        <f t="shared" si="29"/>
        <v>10000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19</v>
      </c>
      <c r="C203" s="206">
        <v>44435</v>
      </c>
      <c r="D203" s="161" t="s">
        <v>9</v>
      </c>
      <c r="E203" s="161" t="s">
        <v>3268</v>
      </c>
      <c r="F203" s="207">
        <v>260</v>
      </c>
      <c r="G203" s="207">
        <v>320</v>
      </c>
      <c r="H203" s="161">
        <f>320-260</f>
        <v>60</v>
      </c>
      <c r="I203" s="207">
        <v>100</v>
      </c>
      <c r="J203" s="242">
        <f t="shared" si="29"/>
        <v>6000</v>
      </c>
      <c r="K203" s="153"/>
      <c r="V203" s="25">
        <f t="shared" si="30"/>
        <v>1</v>
      </c>
      <c r="W203" s="25">
        <f t="shared" si="31"/>
        <v>0</v>
      </c>
    </row>
    <row r="204" spans="1:23" x14ac:dyDescent="0.3">
      <c r="A204" s="147"/>
      <c r="B204" s="205">
        <f t="shared" si="32"/>
        <v>20</v>
      </c>
      <c r="C204" s="206">
        <v>44438</v>
      </c>
      <c r="D204" s="161" t="s">
        <v>9</v>
      </c>
      <c r="E204" s="161" t="s">
        <v>3271</v>
      </c>
      <c r="F204" s="207">
        <v>230</v>
      </c>
      <c r="G204" s="207">
        <v>330</v>
      </c>
      <c r="H204" s="161">
        <v>100</v>
      </c>
      <c r="I204" s="207">
        <v>100</v>
      </c>
      <c r="J204" s="242">
        <f t="shared" si="29"/>
        <v>10000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21</v>
      </c>
      <c r="C205" s="206">
        <v>44439</v>
      </c>
      <c r="D205" s="161" t="s">
        <v>9</v>
      </c>
      <c r="E205" s="161" t="s">
        <v>3447</v>
      </c>
      <c r="F205" s="207">
        <v>220</v>
      </c>
      <c r="G205" s="207">
        <v>285</v>
      </c>
      <c r="H205" s="161">
        <v>65</v>
      </c>
      <c r="I205" s="207">
        <v>100</v>
      </c>
      <c r="J205" s="242">
        <f t="shared" si="29"/>
        <v>6500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29"/>
        <v>0</v>
      </c>
      <c r="K206" s="153"/>
      <c r="V206" s="25">
        <f t="shared" si="30"/>
        <v>0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140200</v>
      </c>
      <c r="K208" s="153"/>
      <c r="V208" s="25">
        <f>SUM(V185:V207)</f>
        <v>17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3413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44410</v>
      </c>
      <c r="D216" s="185" t="s">
        <v>9</v>
      </c>
      <c r="E216" s="185" t="s">
        <v>2413</v>
      </c>
      <c r="F216" s="231">
        <v>10.5</v>
      </c>
      <c r="G216" s="231">
        <v>13</v>
      </c>
      <c r="H216" s="231">
        <f>13-10.5</f>
        <v>2.5</v>
      </c>
      <c r="I216" s="219">
        <v>3100</v>
      </c>
      <c r="J216" s="246">
        <f t="shared" ref="J216:J239" si="33">I216*H216</f>
        <v>7750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44411</v>
      </c>
      <c r="D217" s="185" t="s">
        <v>9</v>
      </c>
      <c r="E217" s="185" t="s">
        <v>3416</v>
      </c>
      <c r="F217" s="231">
        <v>13</v>
      </c>
      <c r="G217" s="231">
        <v>11</v>
      </c>
      <c r="H217" s="231">
        <v>-2</v>
      </c>
      <c r="I217" s="219">
        <v>3100</v>
      </c>
      <c r="J217" s="242">
        <f>I217*H217</f>
        <v>-6200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4">B217+1</f>
        <v>3</v>
      </c>
      <c r="C218" s="206">
        <v>44412</v>
      </c>
      <c r="D218" s="161" t="s">
        <v>9</v>
      </c>
      <c r="E218" s="161" t="s">
        <v>3419</v>
      </c>
      <c r="F218" s="222">
        <v>34</v>
      </c>
      <c r="G218" s="222">
        <v>50</v>
      </c>
      <c r="H218" s="222">
        <f>50-34</f>
        <v>16</v>
      </c>
      <c r="I218" s="207">
        <v>400</v>
      </c>
      <c r="J218" s="242">
        <f t="shared" si="33"/>
        <v>6400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44413</v>
      </c>
      <c r="D219" s="161" t="s">
        <v>9</v>
      </c>
      <c r="E219" s="161" t="s">
        <v>3420</v>
      </c>
      <c r="F219" s="222">
        <v>26</v>
      </c>
      <c r="G219" s="222">
        <v>20</v>
      </c>
      <c r="H219" s="222">
        <v>-6</v>
      </c>
      <c r="I219" s="207">
        <v>700</v>
      </c>
      <c r="J219" s="242">
        <f t="shared" si="33"/>
        <v>-4200</v>
      </c>
      <c r="K219" s="153"/>
      <c r="V219" s="25">
        <f t="shared" si="35"/>
        <v>0</v>
      </c>
      <c r="W219" s="25">
        <f t="shared" si="36"/>
        <v>1</v>
      </c>
    </row>
    <row r="220" spans="1:23" x14ac:dyDescent="0.3">
      <c r="A220" s="147"/>
      <c r="B220" s="205">
        <f t="shared" si="34"/>
        <v>5</v>
      </c>
      <c r="C220" s="206">
        <v>44414</v>
      </c>
      <c r="D220" s="161" t="s">
        <v>9</v>
      </c>
      <c r="E220" s="161" t="s">
        <v>3421</v>
      </c>
      <c r="F220" s="222">
        <v>34</v>
      </c>
      <c r="G220" s="222">
        <v>37.25</v>
      </c>
      <c r="H220" s="222">
        <v>3.25</v>
      </c>
      <c r="I220" s="207">
        <v>400</v>
      </c>
      <c r="J220" s="242">
        <f t="shared" si="33"/>
        <v>1300</v>
      </c>
      <c r="K220" s="153"/>
      <c r="V220" s="25">
        <f t="shared" si="35"/>
        <v>1</v>
      </c>
      <c r="W220" s="25">
        <f t="shared" si="36"/>
        <v>0</v>
      </c>
    </row>
    <row r="221" spans="1:23" x14ac:dyDescent="0.3">
      <c r="A221" s="147"/>
      <c r="B221" s="205">
        <f t="shared" si="34"/>
        <v>6</v>
      </c>
      <c r="C221" s="206">
        <v>44417</v>
      </c>
      <c r="D221" s="161" t="s">
        <v>9</v>
      </c>
      <c r="E221" s="161" t="s">
        <v>3425</v>
      </c>
      <c r="F221" s="222">
        <v>27</v>
      </c>
      <c r="G221" s="222">
        <v>23</v>
      </c>
      <c r="H221" s="222">
        <v>-4</v>
      </c>
      <c r="I221" s="207">
        <v>400</v>
      </c>
      <c r="J221" s="242">
        <f t="shared" si="33"/>
        <v>-1600</v>
      </c>
      <c r="K221" s="153"/>
      <c r="V221" s="25">
        <f t="shared" si="35"/>
        <v>0</v>
      </c>
      <c r="W221" s="25">
        <f t="shared" si="36"/>
        <v>1</v>
      </c>
    </row>
    <row r="222" spans="1:23" x14ac:dyDescent="0.3">
      <c r="A222" s="147"/>
      <c r="B222" s="205">
        <f t="shared" si="34"/>
        <v>7</v>
      </c>
      <c r="C222" s="206">
        <v>44418</v>
      </c>
      <c r="D222" s="161" t="s">
        <v>9</v>
      </c>
      <c r="E222" s="161" t="s">
        <v>3426</v>
      </c>
      <c r="F222" s="222">
        <v>33</v>
      </c>
      <c r="G222" s="222">
        <v>36.5</v>
      </c>
      <c r="H222" s="222">
        <v>3.5</v>
      </c>
      <c r="I222" s="207">
        <v>400</v>
      </c>
      <c r="J222" s="242">
        <f t="shared" si="33"/>
        <v>1400</v>
      </c>
      <c r="K222" s="153"/>
      <c r="V222" s="25">
        <f t="shared" si="35"/>
        <v>1</v>
      </c>
      <c r="W222" s="25">
        <f t="shared" si="36"/>
        <v>0</v>
      </c>
    </row>
    <row r="223" spans="1:23" x14ac:dyDescent="0.3">
      <c r="A223" s="147"/>
      <c r="B223" s="205">
        <f t="shared" si="34"/>
        <v>8</v>
      </c>
      <c r="C223" s="206">
        <v>44419</v>
      </c>
      <c r="D223" s="161" t="s">
        <v>9</v>
      </c>
      <c r="E223" s="161" t="s">
        <v>3427</v>
      </c>
      <c r="F223" s="222">
        <v>22</v>
      </c>
      <c r="G223" s="222">
        <v>18.3</v>
      </c>
      <c r="H223" s="222">
        <v>-3.7</v>
      </c>
      <c r="I223" s="207">
        <v>600</v>
      </c>
      <c r="J223" s="242">
        <f t="shared" si="33"/>
        <v>-2220</v>
      </c>
      <c r="K223" s="153"/>
      <c r="V223" s="25">
        <f t="shared" si="35"/>
        <v>0</v>
      </c>
      <c r="W223" s="25">
        <f t="shared" si="36"/>
        <v>1</v>
      </c>
    </row>
    <row r="224" spans="1:23" x14ac:dyDescent="0.3">
      <c r="A224" s="147"/>
      <c r="B224" s="205">
        <f t="shared" si="34"/>
        <v>9</v>
      </c>
      <c r="C224" s="206">
        <v>44420</v>
      </c>
      <c r="D224" s="161" t="s">
        <v>9</v>
      </c>
      <c r="E224" s="161" t="s">
        <v>2682</v>
      </c>
      <c r="F224" s="222">
        <v>13</v>
      </c>
      <c r="G224" s="222">
        <v>11.7</v>
      </c>
      <c r="H224" s="255">
        <v>-1.3</v>
      </c>
      <c r="I224" s="207">
        <v>1200</v>
      </c>
      <c r="J224" s="242">
        <f t="shared" si="33"/>
        <v>-1560</v>
      </c>
      <c r="K224" s="153"/>
      <c r="V224" s="25">
        <f t="shared" si="35"/>
        <v>0</v>
      </c>
      <c r="W224" s="25">
        <f t="shared" si="36"/>
        <v>1</v>
      </c>
    </row>
    <row r="225" spans="1:23" x14ac:dyDescent="0.3">
      <c r="A225" s="147"/>
      <c r="B225" s="205">
        <f t="shared" si="34"/>
        <v>10</v>
      </c>
      <c r="C225" s="206">
        <v>44421</v>
      </c>
      <c r="D225" s="161" t="s">
        <v>9</v>
      </c>
      <c r="E225" s="161" t="s">
        <v>3429</v>
      </c>
      <c r="F225" s="222">
        <v>42</v>
      </c>
      <c r="G225" s="222">
        <v>48</v>
      </c>
      <c r="H225" s="255">
        <v>6</v>
      </c>
      <c r="I225" s="207">
        <v>500</v>
      </c>
      <c r="J225" s="242">
        <f t="shared" si="33"/>
        <v>3000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44424</v>
      </c>
      <c r="D226" s="161" t="s">
        <v>9</v>
      </c>
      <c r="E226" s="161" t="s">
        <v>3432</v>
      </c>
      <c r="F226" s="222">
        <v>24</v>
      </c>
      <c r="G226" s="222">
        <v>27.2</v>
      </c>
      <c r="H226" s="255">
        <v>3.2</v>
      </c>
      <c r="I226" s="207">
        <v>400</v>
      </c>
      <c r="J226" s="242">
        <f t="shared" si="33"/>
        <v>1280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44425</v>
      </c>
      <c r="D227" s="161" t="s">
        <v>9</v>
      </c>
      <c r="E227" s="161" t="s">
        <v>3433</v>
      </c>
      <c r="F227" s="222">
        <v>19</v>
      </c>
      <c r="G227" s="222">
        <v>31</v>
      </c>
      <c r="H227" s="255">
        <f>31-19</f>
        <v>12</v>
      </c>
      <c r="I227" s="207">
        <v>550</v>
      </c>
      <c r="J227" s="242">
        <f t="shared" si="33"/>
        <v>6600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44426</v>
      </c>
      <c r="D228" s="161" t="s">
        <v>9</v>
      </c>
      <c r="E228" s="161" t="s">
        <v>3433</v>
      </c>
      <c r="F228" s="222">
        <v>17</v>
      </c>
      <c r="G228" s="222">
        <v>29</v>
      </c>
      <c r="H228" s="255">
        <v>12</v>
      </c>
      <c r="I228" s="207">
        <v>550</v>
      </c>
      <c r="J228" s="242">
        <f t="shared" si="33"/>
        <v>6600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44428</v>
      </c>
      <c r="D229" s="161" t="s">
        <v>9</v>
      </c>
      <c r="E229" s="161" t="s">
        <v>3440</v>
      </c>
      <c r="F229" s="222">
        <v>21</v>
      </c>
      <c r="G229" s="222">
        <v>29.5</v>
      </c>
      <c r="H229" s="255">
        <f>29.5-21</f>
        <v>8.5</v>
      </c>
      <c r="I229" s="207">
        <v>400</v>
      </c>
      <c r="J229" s="242">
        <f>I229*H229</f>
        <v>3400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15</v>
      </c>
      <c r="C230" s="206">
        <v>44431</v>
      </c>
      <c r="D230" s="161" t="s">
        <v>9</v>
      </c>
      <c r="E230" s="161" t="s">
        <v>3256</v>
      </c>
      <c r="F230" s="222">
        <v>6</v>
      </c>
      <c r="G230" s="222">
        <v>9.5</v>
      </c>
      <c r="H230" s="255">
        <v>3.5</v>
      </c>
      <c r="I230" s="207">
        <v>1200</v>
      </c>
      <c r="J230" s="242">
        <f t="shared" si="33"/>
        <v>4200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16</v>
      </c>
      <c r="C231" s="206">
        <v>44432</v>
      </c>
      <c r="D231" s="161" t="s">
        <v>9</v>
      </c>
      <c r="E231" s="161" t="s">
        <v>3441</v>
      </c>
      <c r="F231" s="222">
        <v>9</v>
      </c>
      <c r="G231" s="222">
        <v>17</v>
      </c>
      <c r="H231" s="222">
        <f>17-9</f>
        <v>8</v>
      </c>
      <c r="I231" s="207">
        <v>550</v>
      </c>
      <c r="J231" s="242">
        <f t="shared" si="33"/>
        <v>4400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44433</v>
      </c>
      <c r="D232" s="161" t="s">
        <v>9</v>
      </c>
      <c r="E232" s="161" t="s">
        <v>3442</v>
      </c>
      <c r="F232" s="222">
        <v>5</v>
      </c>
      <c r="G232" s="222">
        <v>6.5</v>
      </c>
      <c r="H232" s="222">
        <v>1.5</v>
      </c>
      <c r="I232" s="207">
        <v>1100</v>
      </c>
      <c r="J232" s="242">
        <f t="shared" si="33"/>
        <v>1650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44434</v>
      </c>
      <c r="D233" s="161" t="s">
        <v>9</v>
      </c>
      <c r="E233" s="161" t="s">
        <v>3096</v>
      </c>
      <c r="F233" s="222">
        <v>8</v>
      </c>
      <c r="G233" s="222">
        <v>11</v>
      </c>
      <c r="H233" s="222">
        <v>3</v>
      </c>
      <c r="I233" s="207">
        <v>250</v>
      </c>
      <c r="J233" s="242">
        <f t="shared" si="33"/>
        <v>750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44435</v>
      </c>
      <c r="D234" s="161" t="s">
        <v>9</v>
      </c>
      <c r="E234" s="161" t="s">
        <v>3433</v>
      </c>
      <c r="F234" s="222">
        <v>42</v>
      </c>
      <c r="G234" s="222">
        <v>58</v>
      </c>
      <c r="H234" s="222">
        <f>58-42</f>
        <v>16</v>
      </c>
      <c r="I234" s="207">
        <v>550</v>
      </c>
      <c r="J234" s="242">
        <f t="shared" si="33"/>
        <v>8800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44438</v>
      </c>
      <c r="D235" s="161" t="s">
        <v>9</v>
      </c>
      <c r="E235" s="161" t="s">
        <v>3448</v>
      </c>
      <c r="F235" s="222">
        <v>16</v>
      </c>
      <c r="G235" s="222">
        <v>20</v>
      </c>
      <c r="H235" s="222">
        <v>4</v>
      </c>
      <c r="I235" s="207">
        <v>1375</v>
      </c>
      <c r="J235" s="242">
        <f t="shared" si="33"/>
        <v>5500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21</v>
      </c>
      <c r="C236" s="206">
        <v>44439</v>
      </c>
      <c r="D236" s="161" t="s">
        <v>9</v>
      </c>
      <c r="E236" s="161" t="s">
        <v>3449</v>
      </c>
      <c r="F236" s="222">
        <v>16</v>
      </c>
      <c r="G236" s="222">
        <v>21</v>
      </c>
      <c r="H236" s="222">
        <v>5</v>
      </c>
      <c r="I236" s="207">
        <v>1400</v>
      </c>
      <c r="J236" s="242">
        <f t="shared" si="33"/>
        <v>7000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3"/>
        <v>0</v>
      </c>
      <c r="K237" s="153"/>
      <c r="V237" s="25">
        <f t="shared" si="35"/>
        <v>0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54250</v>
      </c>
      <c r="K240" s="153"/>
      <c r="V240" s="25">
        <f>SUM(V216:V239)</f>
        <v>16</v>
      </c>
      <c r="W240" s="25">
        <f>SUM(W216:W239)</f>
        <v>5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400-000000000000}"/>
    <hyperlink ref="B84" r:id="rId2" xr:uid="{00000000-0004-0000-6400-000001000000}"/>
    <hyperlink ref="B115" r:id="rId3" xr:uid="{00000000-0004-0000-6400-000002000000}"/>
    <hyperlink ref="B146" r:id="rId4" xr:uid="{00000000-0004-0000-6400-000003000000}"/>
    <hyperlink ref="B177" r:id="rId5" xr:uid="{00000000-0004-0000-6400-000004000000}"/>
    <hyperlink ref="B208" r:id="rId6" xr:uid="{00000000-0004-0000-6400-000005000000}"/>
    <hyperlink ref="B240" r:id="rId7" xr:uid="{00000000-0004-0000-6400-000006000000}"/>
    <hyperlink ref="M1" location="'MASTER '!A1" display="Back" xr:uid="{00000000-0004-0000-6400-000007000000}"/>
    <hyperlink ref="M6:M7" location="'AUGUST 2021'!A77" display="STOCK FUTURE" xr:uid="{00000000-0004-0000-6400-000008000000}"/>
    <hyperlink ref="M12:M13" location="'AUGUST 2021'!A170" display="BANK NIFTY" xr:uid="{00000000-0004-0000-6400-000009000000}"/>
    <hyperlink ref="M10:M11" location="'AUGUST 2021'!A139" display="NF. OPTION" xr:uid="{00000000-0004-0000-6400-00000A000000}"/>
    <hyperlink ref="M8:M9" location="'AUGUST 2021'!A108" display="NIFTY FUTURE" xr:uid="{00000000-0004-0000-6400-00000B000000}"/>
    <hyperlink ref="M4:M5" location="'AUGUST 2021'!A1" display="CASH" xr:uid="{00000000-0004-0000-6400-00000C000000}"/>
    <hyperlink ref="M14:M15" location="'AUGUST 2021'!A201" display="B.NIFTY OPTION" xr:uid="{00000000-0004-0000-6400-00000D000000}"/>
    <hyperlink ref="M16:M17" location="'AUGUST 2021'!A216" display="STOCK OPTION" xr:uid="{00000000-0004-0000-6400-00000E000000}"/>
  </hyperlinks>
  <pageMargins left="0" right="0" top="0" bottom="0" header="0" footer="0"/>
  <pageSetup scale="95" orientation="portrait" r:id="rId8"/>
  <drawing r:id="rId9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3450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34</v>
      </c>
      <c r="P4" s="386">
        <f>W52</f>
        <v>8</v>
      </c>
      <c r="Q4" s="387">
        <f>N4-O4-P4</f>
        <v>0</v>
      </c>
      <c r="R4" s="380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44440</v>
      </c>
      <c r="D6" s="158" t="s">
        <v>9</v>
      </c>
      <c r="E6" s="158" t="s">
        <v>2004</v>
      </c>
      <c r="F6" s="230">
        <v>688</v>
      </c>
      <c r="G6" s="222">
        <v>696</v>
      </c>
      <c r="H6" s="222">
        <f>696-688</f>
        <v>8</v>
      </c>
      <c r="I6" s="207">
        <f t="shared" ref="I6:I7" si="0">300000/F6</f>
        <v>436.04651162790697</v>
      </c>
      <c r="J6" s="161">
        <f t="shared" ref="J6:J7" si="1">H6*I6</f>
        <v>3488.3720930232557</v>
      </c>
      <c r="K6" s="153"/>
      <c r="M6" s="394" t="s">
        <v>450</v>
      </c>
      <c r="N6" s="344">
        <f>COUNT(C60:C83)</f>
        <v>21</v>
      </c>
      <c r="O6" s="346">
        <f>V84</f>
        <v>20</v>
      </c>
      <c r="P6" s="346">
        <f>W84</f>
        <v>1</v>
      </c>
      <c r="Q6" s="374">
        <f>N6-O6-P6</f>
        <v>0</v>
      </c>
      <c r="R6" s="376">
        <f t="shared" ref="R6" si="2">O6/N6</f>
        <v>0.95238095238095233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44440</v>
      </c>
      <c r="D7" s="161" t="s">
        <v>8</v>
      </c>
      <c r="E7" s="161" t="s">
        <v>3453</v>
      </c>
      <c r="F7" s="222">
        <v>2870</v>
      </c>
      <c r="G7" s="231">
        <v>2900</v>
      </c>
      <c r="H7" s="255">
        <f>2900-2870</f>
        <v>30</v>
      </c>
      <c r="I7" s="207">
        <f t="shared" si="0"/>
        <v>104.52961672473867</v>
      </c>
      <c r="J7" s="161">
        <f t="shared" si="1"/>
        <v>3135.8885017421603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44441</v>
      </c>
      <c r="D8" s="161" t="s">
        <v>9</v>
      </c>
      <c r="E8" s="161" t="s">
        <v>3456</v>
      </c>
      <c r="F8" s="222">
        <v>1025</v>
      </c>
      <c r="G8" s="222">
        <v>1045</v>
      </c>
      <c r="H8" s="222">
        <v>20</v>
      </c>
      <c r="I8" s="207">
        <f t="shared" ref="I8:I9" si="6">300000/F8</f>
        <v>292.6829268292683</v>
      </c>
      <c r="J8" s="161">
        <f t="shared" ref="J8" si="7">H8*I8</f>
        <v>5853.6585365853662</v>
      </c>
      <c r="K8" s="153"/>
      <c r="M8" s="394" t="s">
        <v>451</v>
      </c>
      <c r="N8" s="344">
        <f>COUNT(C92:C114)</f>
        <v>21</v>
      </c>
      <c r="O8" s="346">
        <f>V115</f>
        <v>17</v>
      </c>
      <c r="P8" s="346">
        <f>W115</f>
        <v>3</v>
      </c>
      <c r="Q8" s="374">
        <f>N8-O8-P8</f>
        <v>1</v>
      </c>
      <c r="R8" s="376">
        <f t="shared" ref="R8" si="8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44441</v>
      </c>
      <c r="D9" s="161" t="s">
        <v>9</v>
      </c>
      <c r="E9" s="161" t="s">
        <v>3457</v>
      </c>
      <c r="F9" s="222">
        <v>635</v>
      </c>
      <c r="G9" s="231">
        <v>625</v>
      </c>
      <c r="H9" s="255">
        <v>-10</v>
      </c>
      <c r="I9" s="207">
        <f t="shared" si="6"/>
        <v>472.44094488188978</v>
      </c>
      <c r="J9" s="161">
        <f t="shared" ref="J9:J47" si="9">H9*I9</f>
        <v>-4724.4094488188975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44442</v>
      </c>
      <c r="D10" s="161" t="s">
        <v>9</v>
      </c>
      <c r="E10" s="161" t="s">
        <v>586</v>
      </c>
      <c r="F10" s="222">
        <v>1515</v>
      </c>
      <c r="G10" s="222">
        <v>1500</v>
      </c>
      <c r="H10" s="222">
        <v>-15</v>
      </c>
      <c r="I10" s="207">
        <f t="shared" ref="I10:I47" si="10">300000/F10</f>
        <v>198.01980198019803</v>
      </c>
      <c r="J10" s="161">
        <f t="shared" si="9"/>
        <v>-2970.2970297029706</v>
      </c>
      <c r="K10" s="153"/>
      <c r="M10" s="394" t="s">
        <v>1176</v>
      </c>
      <c r="N10" s="344">
        <f>COUNT(C123:C145)</f>
        <v>21</v>
      </c>
      <c r="O10" s="346">
        <f>V146</f>
        <v>16</v>
      </c>
      <c r="P10" s="346">
        <f>W146</f>
        <v>5</v>
      </c>
      <c r="Q10" s="374">
        <f>N10-O10-P10</f>
        <v>0</v>
      </c>
      <c r="R10" s="376">
        <f t="shared" ref="R10:R16" si="11">O10/N10</f>
        <v>0.76190476190476186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44442</v>
      </c>
      <c r="D11" s="161" t="s">
        <v>9</v>
      </c>
      <c r="E11" s="161" t="s">
        <v>94</v>
      </c>
      <c r="F11" s="222">
        <v>1593</v>
      </c>
      <c r="G11" s="222">
        <v>1598</v>
      </c>
      <c r="H11" s="255">
        <v>5</v>
      </c>
      <c r="I11" s="207">
        <f t="shared" si="10"/>
        <v>188.32391713747646</v>
      </c>
      <c r="J11" s="161">
        <f t="shared" si="9"/>
        <v>941.61958568738225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44445</v>
      </c>
      <c r="D12" s="161" t="s">
        <v>9</v>
      </c>
      <c r="E12" s="161" t="s">
        <v>3463</v>
      </c>
      <c r="F12" s="222">
        <v>2795</v>
      </c>
      <c r="G12" s="222">
        <v>2815</v>
      </c>
      <c r="H12" s="222">
        <f>2815-2795</f>
        <v>20</v>
      </c>
      <c r="I12" s="207">
        <f t="shared" si="10"/>
        <v>107.3345259391771</v>
      </c>
      <c r="J12" s="161">
        <f t="shared" si="9"/>
        <v>2146.6905187835418</v>
      </c>
      <c r="K12" s="153"/>
      <c r="M12" s="394" t="s">
        <v>41</v>
      </c>
      <c r="N12" s="344">
        <f>COUNT(C154:C176)</f>
        <v>21</v>
      </c>
      <c r="O12" s="346">
        <f>V177</f>
        <v>18</v>
      </c>
      <c r="P12" s="346">
        <f>W177</f>
        <v>3</v>
      </c>
      <c r="Q12" s="374">
        <f t="shared" ref="Q12" si="12">N12-O12-P12</f>
        <v>0</v>
      </c>
      <c r="R12" s="376">
        <f t="shared" si="11"/>
        <v>0.8571428571428571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44445</v>
      </c>
      <c r="D13" s="161" t="s">
        <v>9</v>
      </c>
      <c r="E13" s="161" t="s">
        <v>3464</v>
      </c>
      <c r="F13" s="222">
        <v>173</v>
      </c>
      <c r="G13" s="222">
        <v>176</v>
      </c>
      <c r="H13" s="255">
        <v>3</v>
      </c>
      <c r="I13" s="207">
        <f t="shared" si="10"/>
        <v>1734.1040462427745</v>
      </c>
      <c r="J13" s="161">
        <f t="shared" si="9"/>
        <v>5202.3121387283236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44446</v>
      </c>
      <c r="D14" s="161" t="s">
        <v>9</v>
      </c>
      <c r="E14" s="161" t="s">
        <v>1361</v>
      </c>
      <c r="F14" s="222">
        <v>1123</v>
      </c>
      <c r="G14" s="222">
        <v>1132</v>
      </c>
      <c r="H14" s="222">
        <f>1132-1123</f>
        <v>9</v>
      </c>
      <c r="I14" s="207">
        <f t="shared" si="10"/>
        <v>267.14158504007122</v>
      </c>
      <c r="J14" s="161">
        <f t="shared" si="9"/>
        <v>2404.274265360641</v>
      </c>
      <c r="K14" s="153"/>
      <c r="M14" s="394" t="s">
        <v>1175</v>
      </c>
      <c r="N14" s="344">
        <f>COUNT(C185:C207)</f>
        <v>21</v>
      </c>
      <c r="O14" s="346">
        <f>V208</f>
        <v>14</v>
      </c>
      <c r="P14" s="346">
        <f>W208</f>
        <v>7</v>
      </c>
      <c r="Q14" s="374">
        <f t="shared" ref="Q14" si="13">N14-O14-P14</f>
        <v>0</v>
      </c>
      <c r="R14" s="376">
        <f t="shared" si="11"/>
        <v>0.66666666666666663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44446</v>
      </c>
      <c r="D15" s="161" t="s">
        <v>9</v>
      </c>
      <c r="E15" s="161" t="s">
        <v>3465</v>
      </c>
      <c r="F15" s="222">
        <v>625</v>
      </c>
      <c r="G15" s="222">
        <v>615</v>
      </c>
      <c r="H15" s="222">
        <v>10</v>
      </c>
      <c r="I15" s="207">
        <f t="shared" si="10"/>
        <v>480</v>
      </c>
      <c r="J15" s="161">
        <f t="shared" si="9"/>
        <v>4800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44447</v>
      </c>
      <c r="D16" s="161" t="s">
        <v>9</v>
      </c>
      <c r="E16" s="161" t="s">
        <v>2999</v>
      </c>
      <c r="F16" s="222">
        <v>739</v>
      </c>
      <c r="G16" s="222">
        <v>745</v>
      </c>
      <c r="H16" s="222">
        <f>745-739</f>
        <v>6</v>
      </c>
      <c r="I16" s="207">
        <f t="shared" si="10"/>
        <v>405.95399188092017</v>
      </c>
      <c r="J16" s="161">
        <f t="shared" si="9"/>
        <v>2435.7239512855213</v>
      </c>
      <c r="K16" s="153"/>
      <c r="L16" s="25" t="s">
        <v>2008</v>
      </c>
      <c r="M16" s="394" t="s">
        <v>1090</v>
      </c>
      <c r="N16" s="344">
        <v>22</v>
      </c>
      <c r="O16" s="346">
        <f>V240</f>
        <v>19</v>
      </c>
      <c r="P16" s="346">
        <f>W240</f>
        <v>3</v>
      </c>
      <c r="Q16" s="374">
        <f t="shared" ref="Q16" si="14">N16-O16-P16</f>
        <v>0</v>
      </c>
      <c r="R16" s="376">
        <f t="shared" si="11"/>
        <v>0.86363636363636365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44447</v>
      </c>
      <c r="D17" s="161" t="s">
        <v>9</v>
      </c>
      <c r="E17" s="161" t="s">
        <v>3473</v>
      </c>
      <c r="F17" s="222">
        <v>144.5</v>
      </c>
      <c r="G17" s="222">
        <v>146.5</v>
      </c>
      <c r="H17" s="222">
        <v>2</v>
      </c>
      <c r="I17" s="207">
        <f t="shared" si="10"/>
        <v>2076.1245674740485</v>
      </c>
      <c r="J17" s="161">
        <f t="shared" si="9"/>
        <v>4152.249134948097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44448</v>
      </c>
      <c r="D18" s="161" t="s">
        <v>9</v>
      </c>
      <c r="E18" s="161" t="s">
        <v>3474</v>
      </c>
      <c r="F18" s="222">
        <v>815</v>
      </c>
      <c r="G18" s="222">
        <v>829</v>
      </c>
      <c r="H18" s="222">
        <f>829-815</f>
        <v>14</v>
      </c>
      <c r="I18" s="207">
        <f t="shared" si="10"/>
        <v>368.09815950920245</v>
      </c>
      <c r="J18" s="161">
        <f t="shared" si="9"/>
        <v>5153.374233128834</v>
      </c>
      <c r="K18" s="153"/>
      <c r="M18" s="392" t="s">
        <v>946</v>
      </c>
      <c r="N18" s="378">
        <f>SUM(N4:N17)</f>
        <v>169</v>
      </c>
      <c r="O18" s="378">
        <f t="shared" ref="O18:Q18" si="15">SUM(O4:O17)</f>
        <v>138</v>
      </c>
      <c r="P18" s="378">
        <f t="shared" si="15"/>
        <v>30</v>
      </c>
      <c r="Q18" s="378">
        <f t="shared" si="15"/>
        <v>1</v>
      </c>
      <c r="R18" s="380">
        <f t="shared" ref="R18" si="16">O18/N18</f>
        <v>0.81656804733727806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44448</v>
      </c>
      <c r="D19" s="161" t="s">
        <v>9</v>
      </c>
      <c r="E19" s="161" t="s">
        <v>3475</v>
      </c>
      <c r="F19" s="222">
        <v>444</v>
      </c>
      <c r="G19" s="222">
        <v>438</v>
      </c>
      <c r="H19" s="222">
        <f>444-438</f>
        <v>6</v>
      </c>
      <c r="I19" s="207">
        <f t="shared" si="10"/>
        <v>675.67567567567562</v>
      </c>
      <c r="J19" s="161">
        <f t="shared" si="9"/>
        <v>4054.0540540540537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44452</v>
      </c>
      <c r="D20" s="161" t="s">
        <v>9</v>
      </c>
      <c r="E20" s="161" t="s">
        <v>3137</v>
      </c>
      <c r="F20" s="222">
        <v>5150</v>
      </c>
      <c r="G20" s="222">
        <v>5225</v>
      </c>
      <c r="H20" s="222">
        <f>5225-5150</f>
        <v>75</v>
      </c>
      <c r="I20" s="207">
        <f t="shared" si="10"/>
        <v>58.252427184466022</v>
      </c>
      <c r="J20" s="161">
        <f t="shared" si="9"/>
        <v>4368.9320388349515</v>
      </c>
      <c r="K20" s="153"/>
      <c r="M20" s="316" t="s">
        <v>2253</v>
      </c>
      <c r="N20" s="317"/>
      <c r="O20" s="318"/>
      <c r="P20" s="325">
        <f>R18</f>
        <v>0.81656804733727806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44452</v>
      </c>
      <c r="D21" s="161" t="s">
        <v>9</v>
      </c>
      <c r="E21" s="161" t="s">
        <v>476</v>
      </c>
      <c r="F21" s="222">
        <v>836</v>
      </c>
      <c r="G21" s="222">
        <v>841</v>
      </c>
      <c r="H21" s="222">
        <v>5</v>
      </c>
      <c r="I21" s="207">
        <f t="shared" si="10"/>
        <v>358.85167464114835</v>
      </c>
      <c r="J21" s="161">
        <f t="shared" si="9"/>
        <v>1794.2583732057417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44453</v>
      </c>
      <c r="D22" s="161" t="s">
        <v>9</v>
      </c>
      <c r="E22" s="161" t="s">
        <v>2107</v>
      </c>
      <c r="F22" s="222">
        <v>2620</v>
      </c>
      <c r="G22" s="222">
        <v>2649</v>
      </c>
      <c r="H22" s="222">
        <f>2649-2620</f>
        <v>29</v>
      </c>
      <c r="I22" s="207">
        <f t="shared" si="10"/>
        <v>114.50381679389314</v>
      </c>
      <c r="J22" s="161">
        <f t="shared" si="9"/>
        <v>3320.6106870229009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44453</v>
      </c>
      <c r="D23" s="161" t="s">
        <v>9</v>
      </c>
      <c r="E23" s="161" t="s">
        <v>3479</v>
      </c>
      <c r="F23" s="222">
        <v>287</v>
      </c>
      <c r="G23" s="222">
        <v>284</v>
      </c>
      <c r="H23" s="222">
        <v>-3</v>
      </c>
      <c r="I23" s="207">
        <f t="shared" si="10"/>
        <v>1045.2961672473868</v>
      </c>
      <c r="J23" s="161">
        <f t="shared" si="9"/>
        <v>-3135.8885017421608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44454</v>
      </c>
      <c r="D24" s="161" t="s">
        <v>9</v>
      </c>
      <c r="E24" s="161" t="s">
        <v>107</v>
      </c>
      <c r="F24" s="222">
        <v>3780</v>
      </c>
      <c r="G24" s="222">
        <v>3800</v>
      </c>
      <c r="H24" s="222">
        <f>3800-3780</f>
        <v>20</v>
      </c>
      <c r="I24" s="207">
        <f t="shared" si="10"/>
        <v>79.365079365079367</v>
      </c>
      <c r="J24" s="161">
        <f t="shared" si="9"/>
        <v>1587.3015873015875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44454</v>
      </c>
      <c r="D25" s="161" t="s">
        <v>9</v>
      </c>
      <c r="E25" s="161" t="s">
        <v>834</v>
      </c>
      <c r="F25" s="222">
        <v>304</v>
      </c>
      <c r="G25" s="222">
        <v>310</v>
      </c>
      <c r="H25" s="222">
        <v>6</v>
      </c>
      <c r="I25" s="207">
        <f t="shared" si="10"/>
        <v>986.84210526315792</v>
      </c>
      <c r="J25" s="161">
        <f t="shared" si="9"/>
        <v>5921.0526315789475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44455</v>
      </c>
      <c r="D26" s="161" t="s">
        <v>9</v>
      </c>
      <c r="E26" s="161" t="s">
        <v>365</v>
      </c>
      <c r="F26" s="222">
        <v>700</v>
      </c>
      <c r="G26" s="222">
        <v>692</v>
      </c>
      <c r="H26" s="222">
        <v>-8</v>
      </c>
      <c r="I26" s="207">
        <f t="shared" si="10"/>
        <v>428.57142857142856</v>
      </c>
      <c r="J26" s="242">
        <f t="shared" si="9"/>
        <v>-3428.5714285714284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44455</v>
      </c>
      <c r="D27" s="161" t="s">
        <v>9</v>
      </c>
      <c r="E27" s="161" t="s">
        <v>2107</v>
      </c>
      <c r="F27" s="222">
        <v>2660</v>
      </c>
      <c r="G27" s="222">
        <v>2672</v>
      </c>
      <c r="H27" s="222">
        <f>2672-2660</f>
        <v>12</v>
      </c>
      <c r="I27" s="207">
        <f t="shared" si="10"/>
        <v>112.78195488721805</v>
      </c>
      <c r="J27" s="242">
        <f t="shared" si="9"/>
        <v>1353.3834586466166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44456</v>
      </c>
      <c r="D28" s="161" t="s">
        <v>9</v>
      </c>
      <c r="E28" s="161" t="s">
        <v>94</v>
      </c>
      <c r="F28" s="222">
        <v>1570</v>
      </c>
      <c r="G28" s="222">
        <v>1585</v>
      </c>
      <c r="H28" s="222">
        <v>15</v>
      </c>
      <c r="I28" s="207">
        <f t="shared" si="10"/>
        <v>191.08280254777071</v>
      </c>
      <c r="J28" s="242">
        <f t="shared" si="9"/>
        <v>2866.2420382165606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44456</v>
      </c>
      <c r="D29" s="161" t="s">
        <v>9</v>
      </c>
      <c r="E29" s="161" t="s">
        <v>14</v>
      </c>
      <c r="F29" s="222">
        <v>2590</v>
      </c>
      <c r="G29" s="222">
        <v>2565</v>
      </c>
      <c r="H29" s="222">
        <f>2565-2590</f>
        <v>-25</v>
      </c>
      <c r="I29" s="207">
        <f t="shared" si="10"/>
        <v>115.83011583011583</v>
      </c>
      <c r="J29" s="242">
        <f t="shared" si="9"/>
        <v>-2895.7528957528957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44459</v>
      </c>
      <c r="D30" s="161" t="s">
        <v>9</v>
      </c>
      <c r="E30" s="161" t="s">
        <v>90</v>
      </c>
      <c r="F30" s="222">
        <v>1485</v>
      </c>
      <c r="G30" s="222">
        <v>1470</v>
      </c>
      <c r="H30" s="222">
        <v>-15</v>
      </c>
      <c r="I30" s="207">
        <f t="shared" si="10"/>
        <v>202.02020202020202</v>
      </c>
      <c r="J30" s="242">
        <f t="shared" si="9"/>
        <v>-3030.3030303030305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44459</v>
      </c>
      <c r="D31" s="161" t="s">
        <v>9</v>
      </c>
      <c r="E31" s="161" t="s">
        <v>132</v>
      </c>
      <c r="F31" s="222">
        <v>495</v>
      </c>
      <c r="G31" s="222">
        <v>497.5</v>
      </c>
      <c r="H31" s="222">
        <v>2.5</v>
      </c>
      <c r="I31" s="207">
        <f t="shared" si="10"/>
        <v>606.06060606060601</v>
      </c>
      <c r="J31" s="242">
        <f t="shared" si="9"/>
        <v>1515.151515151515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44460</v>
      </c>
      <c r="D32" s="161" t="s">
        <v>9</v>
      </c>
      <c r="E32" s="161" t="s">
        <v>586</v>
      </c>
      <c r="F32" s="222">
        <v>1550</v>
      </c>
      <c r="G32" s="222">
        <v>1565</v>
      </c>
      <c r="H32" s="222">
        <v>15</v>
      </c>
      <c r="I32" s="207">
        <f t="shared" si="10"/>
        <v>193.54838709677421</v>
      </c>
      <c r="J32" s="242">
        <f t="shared" si="9"/>
        <v>2903.2258064516132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44460</v>
      </c>
      <c r="D33" s="161" t="s">
        <v>9</v>
      </c>
      <c r="E33" s="161" t="s">
        <v>800</v>
      </c>
      <c r="F33" s="222">
        <v>1570</v>
      </c>
      <c r="G33" s="222">
        <v>1600</v>
      </c>
      <c r="H33" s="222">
        <f>1600-1570</f>
        <v>30</v>
      </c>
      <c r="I33" s="207">
        <f t="shared" si="10"/>
        <v>191.08280254777071</v>
      </c>
      <c r="J33" s="242">
        <f t="shared" si="9"/>
        <v>5732.4840764331211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44461</v>
      </c>
      <c r="D34" s="161" t="s">
        <v>9</v>
      </c>
      <c r="E34" s="161" t="s">
        <v>982</v>
      </c>
      <c r="F34" s="222">
        <v>757</v>
      </c>
      <c r="G34" s="222">
        <v>750</v>
      </c>
      <c r="H34" s="222">
        <v>-7</v>
      </c>
      <c r="I34" s="207">
        <f t="shared" si="10"/>
        <v>396.3011889035667</v>
      </c>
      <c r="J34" s="242">
        <f t="shared" si="9"/>
        <v>-2774.108322324967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44461</v>
      </c>
      <c r="D35" s="161" t="s">
        <v>9</v>
      </c>
      <c r="E35" s="161" t="s">
        <v>3474</v>
      </c>
      <c r="F35" s="222">
        <v>813</v>
      </c>
      <c r="G35" s="222">
        <v>823</v>
      </c>
      <c r="H35" s="222">
        <v>10</v>
      </c>
      <c r="I35" s="207">
        <f t="shared" si="10"/>
        <v>369.00369003690037</v>
      </c>
      <c r="J35" s="242">
        <f t="shared" si="9"/>
        <v>3690.0369003690039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44462</v>
      </c>
      <c r="D36" s="161" t="s">
        <v>9</v>
      </c>
      <c r="E36" s="161" t="s">
        <v>3063</v>
      </c>
      <c r="F36" s="222">
        <v>1202</v>
      </c>
      <c r="G36" s="222">
        <v>1216</v>
      </c>
      <c r="H36" s="222">
        <v>14</v>
      </c>
      <c r="I36" s="207">
        <f t="shared" si="10"/>
        <v>249.58402662229616</v>
      </c>
      <c r="J36" s="242">
        <f t="shared" si="9"/>
        <v>3494.1763727121461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44462</v>
      </c>
      <c r="D37" s="161" t="s">
        <v>9</v>
      </c>
      <c r="E37" s="161" t="s">
        <v>2004</v>
      </c>
      <c r="F37" s="222">
        <v>721</v>
      </c>
      <c r="G37" s="222">
        <v>726</v>
      </c>
      <c r="H37" s="222">
        <v>5</v>
      </c>
      <c r="I37" s="207">
        <f t="shared" si="10"/>
        <v>416.08876560332874</v>
      </c>
      <c r="J37" s="242">
        <f t="shared" si="9"/>
        <v>2080.4438280166437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44463</v>
      </c>
      <c r="D38" s="161" t="s">
        <v>9</v>
      </c>
      <c r="E38" s="161" t="s">
        <v>531</v>
      </c>
      <c r="F38" s="222">
        <v>4690</v>
      </c>
      <c r="G38" s="222">
        <v>4730</v>
      </c>
      <c r="H38" s="222">
        <v>30</v>
      </c>
      <c r="I38" s="207">
        <f t="shared" si="10"/>
        <v>63.965884861407247</v>
      </c>
      <c r="J38" s="242">
        <f t="shared" si="9"/>
        <v>1918.9765458422173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44463</v>
      </c>
      <c r="D39" s="161" t="s">
        <v>9</v>
      </c>
      <c r="E39" s="161" t="s">
        <v>3474</v>
      </c>
      <c r="F39" s="222">
        <v>820</v>
      </c>
      <c r="G39" s="222">
        <v>827.75</v>
      </c>
      <c r="H39" s="222">
        <v>7.75</v>
      </c>
      <c r="I39" s="207">
        <f t="shared" si="10"/>
        <v>365.85365853658539</v>
      </c>
      <c r="J39" s="242">
        <f t="shared" si="9"/>
        <v>2835.3658536585367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44466</v>
      </c>
      <c r="D40" s="161" t="s">
        <v>9</v>
      </c>
      <c r="E40" s="161" t="s">
        <v>982</v>
      </c>
      <c r="F40" s="222">
        <v>4435</v>
      </c>
      <c r="G40" s="222">
        <v>4470</v>
      </c>
      <c r="H40" s="222">
        <f>4470-4435</f>
        <v>35</v>
      </c>
      <c r="I40" s="207">
        <f t="shared" si="10"/>
        <v>67.64374295377678</v>
      </c>
      <c r="J40" s="242">
        <f t="shared" si="9"/>
        <v>2367.5310033821875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44466</v>
      </c>
      <c r="D41" s="161" t="s">
        <v>9</v>
      </c>
      <c r="E41" s="161" t="s">
        <v>94</v>
      </c>
      <c r="F41" s="222">
        <v>1625</v>
      </c>
      <c r="G41" s="223">
        <v>1635</v>
      </c>
      <c r="H41" s="222">
        <v>10</v>
      </c>
      <c r="I41" s="207">
        <f t="shared" si="10"/>
        <v>184.61538461538461</v>
      </c>
      <c r="J41" s="242">
        <f t="shared" si="9"/>
        <v>1846.1538461538462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44467</v>
      </c>
      <c r="D42" s="161" t="s">
        <v>9</v>
      </c>
      <c r="E42" s="161" t="s">
        <v>834</v>
      </c>
      <c r="F42" s="222">
        <v>290</v>
      </c>
      <c r="G42" s="222">
        <v>294</v>
      </c>
      <c r="H42" s="222">
        <v>4</v>
      </c>
      <c r="I42" s="207">
        <f t="shared" si="10"/>
        <v>1034.4827586206898</v>
      </c>
      <c r="J42" s="242">
        <f t="shared" si="9"/>
        <v>4137.9310344827591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44467</v>
      </c>
      <c r="D43" s="161" t="s">
        <v>9</v>
      </c>
      <c r="E43" s="161" t="s">
        <v>2944</v>
      </c>
      <c r="F43" s="222">
        <v>1480</v>
      </c>
      <c r="G43" s="222">
        <v>1500</v>
      </c>
      <c r="H43" s="222">
        <v>20</v>
      </c>
      <c r="I43" s="207">
        <f t="shared" si="10"/>
        <v>202.70270270270271</v>
      </c>
      <c r="J43" s="242">
        <f t="shared" si="9"/>
        <v>4054.0540540540542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44468</v>
      </c>
      <c r="D44" s="161" t="s">
        <v>9</v>
      </c>
      <c r="E44" s="161" t="s">
        <v>1916</v>
      </c>
      <c r="F44" s="222">
        <v>3150</v>
      </c>
      <c r="G44" s="222">
        <v>3120</v>
      </c>
      <c r="H44" s="222">
        <v>-30</v>
      </c>
      <c r="I44" s="207">
        <f t="shared" si="10"/>
        <v>95.238095238095241</v>
      </c>
      <c r="J44" s="242">
        <f t="shared" si="9"/>
        <v>-2857.1428571428573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44468</v>
      </c>
      <c r="D45" s="161" t="s">
        <v>9</v>
      </c>
      <c r="E45" s="161" t="s">
        <v>3476</v>
      </c>
      <c r="F45" s="222">
        <v>2095</v>
      </c>
      <c r="G45" s="222">
        <v>2135</v>
      </c>
      <c r="H45" s="222">
        <f>2135-2095</f>
        <v>40</v>
      </c>
      <c r="I45" s="207">
        <f t="shared" si="10"/>
        <v>143.19809069212411</v>
      </c>
      <c r="J45" s="242">
        <f t="shared" si="9"/>
        <v>5727.9236276849642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44469</v>
      </c>
      <c r="D46" s="161" t="s">
        <v>9</v>
      </c>
      <c r="E46" s="161" t="s">
        <v>796</v>
      </c>
      <c r="F46" s="222">
        <v>4435</v>
      </c>
      <c r="G46" s="222">
        <v>4470</v>
      </c>
      <c r="H46" s="222">
        <v>35</v>
      </c>
      <c r="I46" s="207">
        <f t="shared" si="10"/>
        <v>67.64374295377678</v>
      </c>
      <c r="J46" s="242">
        <f t="shared" si="9"/>
        <v>2367.5310033821875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44469</v>
      </c>
      <c r="D47" s="161" t="s">
        <v>9</v>
      </c>
      <c r="E47" s="161" t="s">
        <v>168</v>
      </c>
      <c r="F47" s="222">
        <v>1375</v>
      </c>
      <c r="G47" s="222">
        <v>1380</v>
      </c>
      <c r="H47" s="222">
        <v>5</v>
      </c>
      <c r="I47" s="207">
        <f t="shared" si="10"/>
        <v>218.18181818181819</v>
      </c>
      <c r="J47" s="242">
        <f t="shared" si="9"/>
        <v>1090.909090909091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>
        <f t="shared" ref="J48:J49" si="17">H48*I48</f>
        <v>0</v>
      </c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>
        <f t="shared" si="17"/>
        <v>0</v>
      </c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84925.418872459151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3450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44440</v>
      </c>
      <c r="D60" s="161" t="s">
        <v>9</v>
      </c>
      <c r="E60" s="161" t="s">
        <v>51</v>
      </c>
      <c r="F60" s="222">
        <v>1035</v>
      </c>
      <c r="G60" s="222">
        <v>1045</v>
      </c>
      <c r="H60" s="222">
        <v>10</v>
      </c>
      <c r="I60" s="207">
        <v>500</v>
      </c>
      <c r="J60" s="241">
        <f t="shared" ref="J60:J83" si="18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44441</v>
      </c>
      <c r="D61" s="161" t="s">
        <v>9</v>
      </c>
      <c r="E61" s="161" t="s">
        <v>3456</v>
      </c>
      <c r="F61" s="222">
        <v>1030</v>
      </c>
      <c r="G61" s="222">
        <v>1050</v>
      </c>
      <c r="H61" s="222">
        <v>20</v>
      </c>
      <c r="I61" s="207">
        <v>850</v>
      </c>
      <c r="J61" s="242">
        <f t="shared" si="18"/>
        <v>17000</v>
      </c>
      <c r="K61" s="153"/>
      <c r="O61" s="25" t="s">
        <v>2008</v>
      </c>
      <c r="V61" s="25">
        <f t="shared" ref="V61:V83" si="19">IF($J61&gt;0,1,0)</f>
        <v>1</v>
      </c>
      <c r="W61" s="25">
        <f t="shared" ref="W61:W83" si="20">IF($J61&lt;0,1,0)</f>
        <v>0</v>
      </c>
    </row>
    <row r="62" spans="1:23" x14ac:dyDescent="0.3">
      <c r="A62" s="147"/>
      <c r="B62" s="205">
        <f t="shared" ref="B62:B83" si="21">B61+1</f>
        <v>3</v>
      </c>
      <c r="C62" s="206">
        <v>44442</v>
      </c>
      <c r="D62" s="161" t="s">
        <v>9</v>
      </c>
      <c r="E62" s="161" t="s">
        <v>157</v>
      </c>
      <c r="F62" s="222">
        <v>795</v>
      </c>
      <c r="G62" s="222">
        <v>810</v>
      </c>
      <c r="H62" s="222">
        <f>810-795</f>
        <v>15</v>
      </c>
      <c r="I62" s="207">
        <v>1500</v>
      </c>
      <c r="J62" s="242">
        <f t="shared" si="18"/>
        <v>22500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44445</v>
      </c>
      <c r="D63" s="161" t="s">
        <v>9</v>
      </c>
      <c r="E63" s="161" t="s">
        <v>2093</v>
      </c>
      <c r="F63" s="222">
        <v>1080</v>
      </c>
      <c r="G63" s="222">
        <v>1094</v>
      </c>
      <c r="H63" s="222">
        <f>1094-1080</f>
        <v>14</v>
      </c>
      <c r="I63" s="207">
        <v>650</v>
      </c>
      <c r="J63" s="242">
        <f t="shared" si="18"/>
        <v>9100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44446</v>
      </c>
      <c r="D64" s="161" t="s">
        <v>9</v>
      </c>
      <c r="E64" s="161" t="s">
        <v>133</v>
      </c>
      <c r="F64" s="222">
        <v>987</v>
      </c>
      <c r="G64" s="222">
        <v>991.4</v>
      </c>
      <c r="H64" s="222">
        <f>991.4-987</f>
        <v>4.3999999999999773</v>
      </c>
      <c r="I64" s="207">
        <v>850</v>
      </c>
      <c r="J64" s="242">
        <f t="shared" si="18"/>
        <v>3739.9999999999809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44447</v>
      </c>
      <c r="D65" s="161" t="s">
        <v>9</v>
      </c>
      <c r="E65" s="161" t="s">
        <v>119</v>
      </c>
      <c r="F65" s="222">
        <v>1770</v>
      </c>
      <c r="G65" s="222">
        <v>1800</v>
      </c>
      <c r="H65" s="222">
        <f>1800-1770</f>
        <v>30</v>
      </c>
      <c r="I65" s="207">
        <v>400</v>
      </c>
      <c r="J65" s="242">
        <f t="shared" si="18"/>
        <v>12000</v>
      </c>
      <c r="K65" s="153"/>
      <c r="V65" s="25">
        <f t="shared" si="19"/>
        <v>1</v>
      </c>
      <c r="W65" s="25">
        <f t="shared" si="20"/>
        <v>0</v>
      </c>
    </row>
    <row r="66" spans="1:23" x14ac:dyDescent="0.3">
      <c r="A66" s="147"/>
      <c r="B66" s="205">
        <f t="shared" si="21"/>
        <v>7</v>
      </c>
      <c r="C66" s="206">
        <v>44448</v>
      </c>
      <c r="D66" s="161" t="s">
        <v>9</v>
      </c>
      <c r="E66" s="161" t="s">
        <v>3476</v>
      </c>
      <c r="F66" s="222">
        <v>2090</v>
      </c>
      <c r="G66" s="222">
        <v>2106.9499999999998</v>
      </c>
      <c r="H66" s="222">
        <f>2106.95-2090</f>
        <v>16.949999999999818</v>
      </c>
      <c r="I66" s="207">
        <v>275</v>
      </c>
      <c r="J66" s="242">
        <f t="shared" si="18"/>
        <v>4661.24999999995</v>
      </c>
      <c r="K66" s="153"/>
      <c r="V66" s="25">
        <f t="shared" si="19"/>
        <v>1</v>
      </c>
      <c r="W66" s="25">
        <f t="shared" si="20"/>
        <v>0</v>
      </c>
    </row>
    <row r="67" spans="1:23" x14ac:dyDescent="0.3">
      <c r="A67" s="147"/>
      <c r="B67" s="205">
        <f t="shared" si="21"/>
        <v>8</v>
      </c>
      <c r="C67" s="206">
        <v>44452</v>
      </c>
      <c r="D67" s="161" t="s">
        <v>9</v>
      </c>
      <c r="E67" s="161" t="s">
        <v>3188</v>
      </c>
      <c r="F67" s="222">
        <v>1633</v>
      </c>
      <c r="G67" s="222">
        <v>1650</v>
      </c>
      <c r="H67" s="222">
        <f>1650-1633</f>
        <v>17</v>
      </c>
      <c r="I67" s="207">
        <v>425</v>
      </c>
      <c r="J67" s="242">
        <f t="shared" si="18"/>
        <v>7225</v>
      </c>
      <c r="K67" s="153"/>
      <c r="V67" s="25">
        <f t="shared" si="19"/>
        <v>1</v>
      </c>
      <c r="W67" s="25">
        <f t="shared" si="20"/>
        <v>0</v>
      </c>
    </row>
    <row r="68" spans="1:23" x14ac:dyDescent="0.3">
      <c r="A68" s="147"/>
      <c r="B68" s="205">
        <f t="shared" si="21"/>
        <v>9</v>
      </c>
      <c r="C68" s="206">
        <v>44453</v>
      </c>
      <c r="D68" s="161" t="s">
        <v>9</v>
      </c>
      <c r="E68" s="161" t="s">
        <v>862</v>
      </c>
      <c r="F68" s="222">
        <v>764</v>
      </c>
      <c r="G68" s="222">
        <v>758</v>
      </c>
      <c r="H68" s="222">
        <v>-6</v>
      </c>
      <c r="I68" s="207">
        <v>1300</v>
      </c>
      <c r="J68" s="242">
        <f t="shared" si="18"/>
        <v>-7800</v>
      </c>
      <c r="K68" s="153"/>
      <c r="V68" s="25">
        <f t="shared" si="19"/>
        <v>0</v>
      </c>
      <c r="W68" s="25">
        <f t="shared" si="20"/>
        <v>1</v>
      </c>
    </row>
    <row r="69" spans="1:23" x14ac:dyDescent="0.3">
      <c r="A69" s="147"/>
      <c r="B69" s="205">
        <f t="shared" si="21"/>
        <v>10</v>
      </c>
      <c r="C69" s="206">
        <v>44454</v>
      </c>
      <c r="D69" s="161" t="s">
        <v>9</v>
      </c>
      <c r="E69" s="161" t="s">
        <v>25</v>
      </c>
      <c r="F69" s="222">
        <v>1455</v>
      </c>
      <c r="G69" s="222">
        <v>1465</v>
      </c>
      <c r="H69" s="222">
        <v>10</v>
      </c>
      <c r="I69" s="207">
        <v>850</v>
      </c>
      <c r="J69" s="242">
        <f t="shared" si="18"/>
        <v>8500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44455</v>
      </c>
      <c r="D70" s="161" t="s">
        <v>9</v>
      </c>
      <c r="E70" s="161" t="s">
        <v>3063</v>
      </c>
      <c r="F70" s="161">
        <v>1180</v>
      </c>
      <c r="G70" s="222">
        <v>1190</v>
      </c>
      <c r="H70" s="222">
        <v>10</v>
      </c>
      <c r="I70" s="207">
        <v>750</v>
      </c>
      <c r="J70" s="242">
        <f t="shared" si="18"/>
        <v>7500</v>
      </c>
      <c r="K70" s="153"/>
      <c r="V70" s="25">
        <f t="shared" si="19"/>
        <v>1</v>
      </c>
      <c r="W70" s="25">
        <f t="shared" si="20"/>
        <v>0</v>
      </c>
    </row>
    <row r="71" spans="1:23" x14ac:dyDescent="0.3">
      <c r="A71" s="147"/>
      <c r="B71" s="205">
        <f t="shared" si="21"/>
        <v>12</v>
      </c>
      <c r="C71" s="206">
        <v>44456</v>
      </c>
      <c r="D71" s="161" t="s">
        <v>9</v>
      </c>
      <c r="E71" s="161" t="s">
        <v>795</v>
      </c>
      <c r="F71" s="222">
        <v>1725</v>
      </c>
      <c r="G71" s="222">
        <v>1734.5</v>
      </c>
      <c r="H71" s="222">
        <v>9.5</v>
      </c>
      <c r="I71" s="207">
        <v>350</v>
      </c>
      <c r="J71" s="242">
        <f t="shared" si="18"/>
        <v>3325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44459</v>
      </c>
      <c r="D72" s="161" t="s">
        <v>9</v>
      </c>
      <c r="E72" s="161" t="s">
        <v>137</v>
      </c>
      <c r="F72" s="222">
        <v>2765</v>
      </c>
      <c r="G72" s="222">
        <v>2800</v>
      </c>
      <c r="H72" s="222">
        <f>2800-2765</f>
        <v>35</v>
      </c>
      <c r="I72" s="207">
        <v>300</v>
      </c>
      <c r="J72" s="242">
        <f t="shared" si="18"/>
        <v>10500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44460</v>
      </c>
      <c r="D73" s="161" t="s">
        <v>9</v>
      </c>
      <c r="E73" s="161" t="s">
        <v>3248</v>
      </c>
      <c r="F73" s="223">
        <v>1720</v>
      </c>
      <c r="G73" s="222">
        <v>1742</v>
      </c>
      <c r="H73" s="255">
        <v>22</v>
      </c>
      <c r="I73" s="207">
        <v>1000</v>
      </c>
      <c r="J73" s="242">
        <f t="shared" si="18"/>
        <v>22000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44461</v>
      </c>
      <c r="D74" s="161" t="s">
        <v>9</v>
      </c>
      <c r="E74" s="161" t="s">
        <v>90</v>
      </c>
      <c r="F74" s="222">
        <v>1490</v>
      </c>
      <c r="G74" s="222">
        <v>1520</v>
      </c>
      <c r="H74" s="255">
        <f>1520-1490</f>
        <v>30</v>
      </c>
      <c r="I74" s="207">
        <v>600</v>
      </c>
      <c r="J74" s="242">
        <f t="shared" si="18"/>
        <v>18000</v>
      </c>
      <c r="K74" s="153"/>
      <c r="V74" s="25">
        <f t="shared" si="19"/>
        <v>1</v>
      </c>
      <c r="W74" s="25">
        <f t="shared" si="20"/>
        <v>0</v>
      </c>
    </row>
    <row r="75" spans="1:23" x14ac:dyDescent="0.3">
      <c r="A75" s="147"/>
      <c r="B75" s="205">
        <f t="shared" si="21"/>
        <v>16</v>
      </c>
      <c r="C75" s="206">
        <v>44462</v>
      </c>
      <c r="D75" s="161" t="s">
        <v>9</v>
      </c>
      <c r="E75" s="161" t="s">
        <v>58</v>
      </c>
      <c r="F75" s="222">
        <v>803</v>
      </c>
      <c r="G75" s="222">
        <v>812</v>
      </c>
      <c r="H75" s="255">
        <v>9</v>
      </c>
      <c r="I75" s="207">
        <v>1200</v>
      </c>
      <c r="J75" s="242">
        <f t="shared" si="18"/>
        <v>10800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44463</v>
      </c>
      <c r="D76" s="161" t="s">
        <v>9</v>
      </c>
      <c r="E76" s="161" t="s">
        <v>1407</v>
      </c>
      <c r="F76" s="222">
        <v>1035</v>
      </c>
      <c r="G76" s="222">
        <v>1040</v>
      </c>
      <c r="H76" s="222">
        <v>5</v>
      </c>
      <c r="I76" s="207">
        <v>600</v>
      </c>
      <c r="J76" s="242">
        <f t="shared" si="18"/>
        <v>3000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44466</v>
      </c>
      <c r="D77" s="161" t="s">
        <v>9</v>
      </c>
      <c r="E77" s="161" t="s">
        <v>58</v>
      </c>
      <c r="F77" s="222">
        <v>804</v>
      </c>
      <c r="G77" s="222">
        <v>810</v>
      </c>
      <c r="H77" s="222">
        <v>6</v>
      </c>
      <c r="I77" s="207">
        <v>1200</v>
      </c>
      <c r="J77" s="242">
        <f t="shared" si="18"/>
        <v>7200</v>
      </c>
      <c r="K77" s="153"/>
      <c r="V77" s="25">
        <f t="shared" si="19"/>
        <v>1</v>
      </c>
      <c r="W77" s="25">
        <f t="shared" si="20"/>
        <v>0</v>
      </c>
    </row>
    <row r="78" spans="1:23" x14ac:dyDescent="0.3">
      <c r="A78" s="147"/>
      <c r="B78" s="205">
        <f t="shared" si="21"/>
        <v>19</v>
      </c>
      <c r="C78" s="206">
        <v>44467</v>
      </c>
      <c r="D78" s="161" t="s">
        <v>9</v>
      </c>
      <c r="E78" s="161" t="s">
        <v>2999</v>
      </c>
      <c r="F78" s="222">
        <v>727</v>
      </c>
      <c r="G78" s="222">
        <v>733</v>
      </c>
      <c r="H78" s="222">
        <f>733-727</f>
        <v>6</v>
      </c>
      <c r="I78" s="207">
        <v>1100</v>
      </c>
      <c r="J78" s="242">
        <f t="shared" si="18"/>
        <v>6600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44468</v>
      </c>
      <c r="D79" s="161" t="s">
        <v>9</v>
      </c>
      <c r="E79" s="161" t="s">
        <v>3475</v>
      </c>
      <c r="F79" s="222">
        <v>428</v>
      </c>
      <c r="G79" s="222">
        <v>433</v>
      </c>
      <c r="H79" s="222">
        <v>5</v>
      </c>
      <c r="I79" s="207">
        <v>1600</v>
      </c>
      <c r="J79" s="242">
        <f t="shared" si="18"/>
        <v>8000</v>
      </c>
      <c r="K79" s="153"/>
      <c r="V79" s="25">
        <f t="shared" si="19"/>
        <v>1</v>
      </c>
      <c r="W79" s="25">
        <f t="shared" si="20"/>
        <v>0</v>
      </c>
    </row>
    <row r="80" spans="1:23" x14ac:dyDescent="0.3">
      <c r="A80" s="147"/>
      <c r="B80" s="205">
        <f t="shared" si="21"/>
        <v>21</v>
      </c>
      <c r="C80" s="206">
        <v>44469</v>
      </c>
      <c r="D80" s="161" t="s">
        <v>9</v>
      </c>
      <c r="E80" s="161" t="s">
        <v>3505</v>
      </c>
      <c r="F80" s="222">
        <v>1205</v>
      </c>
      <c r="G80" s="222">
        <v>1215</v>
      </c>
      <c r="H80" s="222">
        <v>10</v>
      </c>
      <c r="I80" s="207">
        <v>750</v>
      </c>
      <c r="J80" s="242">
        <f t="shared" si="18"/>
        <v>7500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/>
      <c r="D81" s="161"/>
      <c r="E81" s="161"/>
      <c r="F81" s="222"/>
      <c r="G81" s="222"/>
      <c r="H81" s="222"/>
      <c r="I81" s="207"/>
      <c r="J81" s="242">
        <f t="shared" si="18"/>
        <v>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ht="15" thickBot="1" x14ac:dyDescent="0.35">
      <c r="A83" s="147"/>
      <c r="B83" s="205">
        <f t="shared" si="21"/>
        <v>24</v>
      </c>
      <c r="C83" s="209"/>
      <c r="D83" s="166"/>
      <c r="E83" s="166"/>
      <c r="F83" s="210"/>
      <c r="G83" s="210"/>
      <c r="H83" s="166"/>
      <c r="I83" s="210"/>
      <c r="J83" s="244">
        <f t="shared" si="18"/>
        <v>0</v>
      </c>
      <c r="K83" s="153"/>
      <c r="V83" s="25">
        <f t="shared" si="19"/>
        <v>0</v>
      </c>
      <c r="W83" s="25">
        <f t="shared" si="20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186351.24999999994</v>
      </c>
      <c r="K84" s="153"/>
      <c r="V84" s="25">
        <f>SUM(V60:V83)</f>
        <v>20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3450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44440</v>
      </c>
      <c r="D92" s="185" t="s">
        <v>9</v>
      </c>
      <c r="E92" s="185" t="s">
        <v>39</v>
      </c>
      <c r="F92" s="219">
        <v>17190</v>
      </c>
      <c r="G92" s="219">
        <v>17215</v>
      </c>
      <c r="H92" s="185">
        <f>17215-17190</f>
        <v>25</v>
      </c>
      <c r="I92" s="219">
        <v>150</v>
      </c>
      <c r="J92" s="246">
        <f t="shared" ref="J92:J114" si="22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44441</v>
      </c>
      <c r="D93" s="185" t="s">
        <v>9</v>
      </c>
      <c r="E93" s="185" t="s">
        <v>39</v>
      </c>
      <c r="F93" s="219">
        <v>17130</v>
      </c>
      <c r="G93" s="219">
        <v>17210</v>
      </c>
      <c r="H93" s="185">
        <f>17210-17130</f>
        <v>80</v>
      </c>
      <c r="I93" s="219">
        <v>150</v>
      </c>
      <c r="J93" s="242">
        <f t="shared" si="22"/>
        <v>12000</v>
      </c>
      <c r="K93" s="153"/>
      <c r="V93" s="25">
        <f t="shared" ref="V93:V114" si="23">IF($J93&gt;0,1,0)</f>
        <v>1</v>
      </c>
      <c r="W93" s="25">
        <f t="shared" ref="W93:W114" si="24">IF($J93&lt;0,1,0)</f>
        <v>0</v>
      </c>
    </row>
    <row r="94" spans="1:23" x14ac:dyDescent="0.3">
      <c r="A94" s="147"/>
      <c r="B94" s="205">
        <f t="shared" ref="B94:B114" si="25">B93+1</f>
        <v>3</v>
      </c>
      <c r="C94" s="206">
        <v>44442</v>
      </c>
      <c r="D94" s="161" t="s">
        <v>9</v>
      </c>
      <c r="E94" s="161" t="s">
        <v>39</v>
      </c>
      <c r="F94" s="207">
        <v>17300</v>
      </c>
      <c r="G94" s="207">
        <v>17320</v>
      </c>
      <c r="H94" s="161">
        <v>20</v>
      </c>
      <c r="I94" s="207">
        <v>150</v>
      </c>
      <c r="J94" s="242">
        <f t="shared" si="22"/>
        <v>3000</v>
      </c>
      <c r="K94" s="153"/>
      <c r="V94" s="25">
        <f t="shared" si="23"/>
        <v>1</v>
      </c>
      <c r="W94" s="25">
        <f t="shared" si="24"/>
        <v>0</v>
      </c>
    </row>
    <row r="95" spans="1:23" x14ac:dyDescent="0.3">
      <c r="A95" s="147"/>
      <c r="B95" s="205">
        <f t="shared" si="25"/>
        <v>4</v>
      </c>
      <c r="C95" s="206">
        <v>44445</v>
      </c>
      <c r="D95" s="161" t="s">
        <v>8</v>
      </c>
      <c r="E95" s="161" t="s">
        <v>39</v>
      </c>
      <c r="F95" s="207">
        <v>17380</v>
      </c>
      <c r="G95" s="207">
        <v>17362</v>
      </c>
      <c r="H95" s="161">
        <f>17380-17362</f>
        <v>18</v>
      </c>
      <c r="I95" s="207">
        <v>150</v>
      </c>
      <c r="J95" s="242">
        <f t="shared" si="22"/>
        <v>2700</v>
      </c>
      <c r="K95" s="153"/>
      <c r="V95" s="25">
        <f t="shared" si="23"/>
        <v>1</v>
      </c>
      <c r="W95" s="25">
        <f t="shared" si="24"/>
        <v>0</v>
      </c>
    </row>
    <row r="96" spans="1:23" x14ac:dyDescent="0.3">
      <c r="A96" s="147"/>
      <c r="B96" s="205">
        <f t="shared" si="25"/>
        <v>5</v>
      </c>
      <c r="C96" s="206">
        <v>44446</v>
      </c>
      <c r="D96" s="161" t="s">
        <v>8</v>
      </c>
      <c r="E96" s="161" t="s">
        <v>39</v>
      </c>
      <c r="F96" s="207">
        <v>17340</v>
      </c>
      <c r="G96" s="207">
        <v>17300</v>
      </c>
      <c r="H96" s="161">
        <v>40</v>
      </c>
      <c r="I96" s="207">
        <v>150</v>
      </c>
      <c r="J96" s="242">
        <f t="shared" si="22"/>
        <v>6000</v>
      </c>
      <c r="K96" s="153"/>
      <c r="V96" s="25">
        <f t="shared" si="23"/>
        <v>1</v>
      </c>
      <c r="W96" s="25">
        <f t="shared" si="24"/>
        <v>0</v>
      </c>
    </row>
    <row r="97" spans="1:23" x14ac:dyDescent="0.3">
      <c r="A97" s="147"/>
      <c r="B97" s="205">
        <f t="shared" si="25"/>
        <v>6</v>
      </c>
      <c r="C97" s="206">
        <v>44447</v>
      </c>
      <c r="D97" s="161" t="s">
        <v>9</v>
      </c>
      <c r="E97" s="161" t="s">
        <v>39</v>
      </c>
      <c r="F97" s="207">
        <v>17370</v>
      </c>
      <c r="G97" s="207">
        <v>17390</v>
      </c>
      <c r="H97" s="161">
        <v>20</v>
      </c>
      <c r="I97" s="207">
        <v>150</v>
      </c>
      <c r="J97" s="242">
        <f t="shared" si="22"/>
        <v>3000</v>
      </c>
      <c r="K97" s="153"/>
      <c r="V97" s="25">
        <f t="shared" si="23"/>
        <v>1</v>
      </c>
      <c r="W97" s="25">
        <f t="shared" si="24"/>
        <v>0</v>
      </c>
    </row>
    <row r="98" spans="1:23" x14ac:dyDescent="0.3">
      <c r="A98" s="147"/>
      <c r="B98" s="205">
        <f t="shared" si="25"/>
        <v>7</v>
      </c>
      <c r="C98" s="206">
        <v>44448</v>
      </c>
      <c r="D98" s="161" t="s">
        <v>9</v>
      </c>
      <c r="E98" s="161" t="s">
        <v>39</v>
      </c>
      <c r="F98" s="207">
        <v>17340</v>
      </c>
      <c r="G98" s="207">
        <v>17360</v>
      </c>
      <c r="H98" s="161">
        <v>20</v>
      </c>
      <c r="I98" s="207">
        <v>150</v>
      </c>
      <c r="J98" s="242">
        <f t="shared" si="22"/>
        <v>3000</v>
      </c>
      <c r="K98" s="153"/>
      <c r="V98" s="25">
        <f t="shared" si="23"/>
        <v>1</v>
      </c>
      <c r="W98" s="25">
        <f t="shared" si="24"/>
        <v>0</v>
      </c>
    </row>
    <row r="99" spans="1:23" x14ac:dyDescent="0.3">
      <c r="A99" s="147"/>
      <c r="B99" s="205">
        <f t="shared" si="25"/>
        <v>8</v>
      </c>
      <c r="C99" s="206">
        <v>44452</v>
      </c>
      <c r="D99" s="161" t="s">
        <v>8</v>
      </c>
      <c r="E99" s="161" t="s">
        <v>39</v>
      </c>
      <c r="F99" s="207">
        <v>17290</v>
      </c>
      <c r="G99" s="207">
        <v>17265</v>
      </c>
      <c r="H99" s="161">
        <f>17290-17265</f>
        <v>25</v>
      </c>
      <c r="I99" s="207">
        <v>150</v>
      </c>
      <c r="J99" s="242">
        <f t="shared" si="22"/>
        <v>3750</v>
      </c>
      <c r="K99" s="153"/>
      <c r="V99" s="25">
        <f t="shared" si="23"/>
        <v>1</v>
      </c>
      <c r="W99" s="25">
        <f t="shared" si="24"/>
        <v>0</v>
      </c>
    </row>
    <row r="100" spans="1:23" x14ac:dyDescent="0.3">
      <c r="A100" s="147"/>
      <c r="B100" s="205">
        <f t="shared" si="25"/>
        <v>9</v>
      </c>
      <c r="C100" s="206">
        <v>44453</v>
      </c>
      <c r="D100" s="161" t="s">
        <v>9</v>
      </c>
      <c r="E100" s="161" t="s">
        <v>39</v>
      </c>
      <c r="F100" s="207">
        <v>17420</v>
      </c>
      <c r="G100" s="207">
        <v>17380</v>
      </c>
      <c r="H100" s="161">
        <v>-40</v>
      </c>
      <c r="I100" s="207">
        <v>150</v>
      </c>
      <c r="J100" s="242">
        <f t="shared" si="22"/>
        <v>-6000</v>
      </c>
      <c r="K100" s="153"/>
      <c r="V100" s="25">
        <f t="shared" si="23"/>
        <v>0</v>
      </c>
      <c r="W100" s="25">
        <f t="shared" si="24"/>
        <v>1</v>
      </c>
    </row>
    <row r="101" spans="1:23" x14ac:dyDescent="0.3">
      <c r="A101" s="147"/>
      <c r="B101" s="205">
        <f t="shared" si="25"/>
        <v>10</v>
      </c>
      <c r="C101" s="206">
        <v>44454</v>
      </c>
      <c r="D101" s="161" t="s">
        <v>9</v>
      </c>
      <c r="E101" s="161" t="s">
        <v>39</v>
      </c>
      <c r="F101" s="207">
        <v>17430</v>
      </c>
      <c r="G101" s="207">
        <v>17510</v>
      </c>
      <c r="H101" s="161">
        <v>80</v>
      </c>
      <c r="I101" s="207">
        <v>150</v>
      </c>
      <c r="J101" s="242">
        <f t="shared" si="22"/>
        <v>12000</v>
      </c>
      <c r="K101" s="153"/>
      <c r="V101" s="25">
        <f t="shared" si="23"/>
        <v>1</v>
      </c>
      <c r="W101" s="25">
        <f t="shared" si="24"/>
        <v>0</v>
      </c>
    </row>
    <row r="102" spans="1:23" x14ac:dyDescent="0.3">
      <c r="A102" s="147"/>
      <c r="B102" s="205">
        <f t="shared" si="25"/>
        <v>11</v>
      </c>
      <c r="C102" s="206">
        <v>44455</v>
      </c>
      <c r="D102" s="161" t="s">
        <v>9</v>
      </c>
      <c r="E102" s="161" t="s">
        <v>39</v>
      </c>
      <c r="F102" s="207">
        <v>17540</v>
      </c>
      <c r="G102" s="207">
        <v>17620</v>
      </c>
      <c r="H102" s="161">
        <v>80</v>
      </c>
      <c r="I102" s="207">
        <v>150</v>
      </c>
      <c r="J102" s="242">
        <f t="shared" si="22"/>
        <v>12000</v>
      </c>
      <c r="K102" s="153"/>
      <c r="V102" s="25">
        <f t="shared" si="23"/>
        <v>1</v>
      </c>
      <c r="W102" s="25">
        <f t="shared" si="24"/>
        <v>0</v>
      </c>
    </row>
    <row r="103" spans="1:23" x14ac:dyDescent="0.3">
      <c r="A103" s="147"/>
      <c r="B103" s="205">
        <f t="shared" si="25"/>
        <v>12</v>
      </c>
      <c r="C103" s="206">
        <v>44456</v>
      </c>
      <c r="D103" s="161" t="s">
        <v>9</v>
      </c>
      <c r="E103" s="161" t="s">
        <v>39</v>
      </c>
      <c r="F103" s="207">
        <v>17720</v>
      </c>
      <c r="G103" s="207">
        <v>17800</v>
      </c>
      <c r="H103" s="161">
        <v>80</v>
      </c>
      <c r="I103" s="207">
        <v>150</v>
      </c>
      <c r="J103" s="242">
        <f t="shared" si="22"/>
        <v>12000</v>
      </c>
      <c r="K103" s="153"/>
      <c r="V103" s="25">
        <f t="shared" si="23"/>
        <v>1</v>
      </c>
      <c r="W103" s="25">
        <f t="shared" si="24"/>
        <v>0</v>
      </c>
    </row>
    <row r="104" spans="1:23" x14ac:dyDescent="0.3">
      <c r="A104" s="147"/>
      <c r="B104" s="205">
        <f t="shared" si="25"/>
        <v>13</v>
      </c>
      <c r="C104" s="206">
        <v>44459</v>
      </c>
      <c r="D104" s="161" t="s">
        <v>9</v>
      </c>
      <c r="E104" s="161" t="s">
        <v>39</v>
      </c>
      <c r="F104" s="207">
        <v>17530</v>
      </c>
      <c r="G104" s="207">
        <v>17610</v>
      </c>
      <c r="H104" s="161">
        <v>80</v>
      </c>
      <c r="I104" s="207">
        <v>150</v>
      </c>
      <c r="J104" s="242">
        <f t="shared" si="22"/>
        <v>12000</v>
      </c>
      <c r="K104" s="153"/>
      <c r="V104" s="25">
        <f t="shared" si="23"/>
        <v>1</v>
      </c>
      <c r="W104" s="25">
        <f t="shared" si="24"/>
        <v>0</v>
      </c>
    </row>
    <row r="105" spans="1:23" x14ac:dyDescent="0.3">
      <c r="A105" s="147"/>
      <c r="B105" s="205">
        <f t="shared" si="25"/>
        <v>14</v>
      </c>
      <c r="C105" s="206">
        <v>44460</v>
      </c>
      <c r="D105" s="161" t="s">
        <v>8</v>
      </c>
      <c r="E105" s="161" t="s">
        <v>39</v>
      </c>
      <c r="F105" s="207">
        <v>17400</v>
      </c>
      <c r="G105" s="207">
        <v>17360</v>
      </c>
      <c r="H105" s="161">
        <v>40</v>
      </c>
      <c r="I105" s="207">
        <v>150</v>
      </c>
      <c r="J105" s="242">
        <f t="shared" si="22"/>
        <v>6000</v>
      </c>
      <c r="K105" s="153"/>
      <c r="V105" s="25">
        <f t="shared" si="23"/>
        <v>1</v>
      </c>
      <c r="W105" s="25">
        <f t="shared" si="24"/>
        <v>0</v>
      </c>
    </row>
    <row r="106" spans="1:23" x14ac:dyDescent="0.3">
      <c r="A106" s="147"/>
      <c r="B106" s="205">
        <f t="shared" si="25"/>
        <v>15</v>
      </c>
      <c r="C106" s="206">
        <v>44461</v>
      </c>
      <c r="D106" s="161" t="s">
        <v>9</v>
      </c>
      <c r="E106" s="161" t="s">
        <v>39</v>
      </c>
      <c r="F106" s="207">
        <v>17590</v>
      </c>
      <c r="G106" s="207">
        <v>17550</v>
      </c>
      <c r="H106" s="161">
        <v>-40</v>
      </c>
      <c r="I106" s="207">
        <v>150</v>
      </c>
      <c r="J106" s="242">
        <f t="shared" si="22"/>
        <v>-6000</v>
      </c>
      <c r="K106" s="153"/>
      <c r="V106" s="25">
        <f t="shared" si="23"/>
        <v>0</v>
      </c>
      <c r="W106" s="25">
        <f t="shared" si="24"/>
        <v>1</v>
      </c>
    </row>
    <row r="107" spans="1:23" x14ac:dyDescent="0.3">
      <c r="A107" s="147"/>
      <c r="B107" s="205">
        <f t="shared" si="25"/>
        <v>16</v>
      </c>
      <c r="C107" s="206">
        <v>44462</v>
      </c>
      <c r="D107" s="161" t="s">
        <v>9</v>
      </c>
      <c r="E107" s="161" t="s">
        <v>39</v>
      </c>
      <c r="F107" s="207">
        <v>17700</v>
      </c>
      <c r="G107" s="207">
        <v>17780</v>
      </c>
      <c r="H107" s="161">
        <v>80</v>
      </c>
      <c r="I107" s="207">
        <v>150</v>
      </c>
      <c r="J107" s="242">
        <f t="shared" si="22"/>
        <v>12000</v>
      </c>
      <c r="K107" s="153"/>
      <c r="V107" s="25">
        <f t="shared" si="23"/>
        <v>1</v>
      </c>
      <c r="W107" s="25">
        <f t="shared" si="24"/>
        <v>0</v>
      </c>
    </row>
    <row r="108" spans="1:23" x14ac:dyDescent="0.3">
      <c r="A108" s="147"/>
      <c r="B108" s="205">
        <f t="shared" si="25"/>
        <v>17</v>
      </c>
      <c r="C108" s="206">
        <v>44463</v>
      </c>
      <c r="D108" s="161" t="s">
        <v>9</v>
      </c>
      <c r="E108" s="161" t="s">
        <v>39</v>
      </c>
      <c r="F108" s="207">
        <v>17890</v>
      </c>
      <c r="G108" s="207">
        <v>17930</v>
      </c>
      <c r="H108" s="161">
        <v>40</v>
      </c>
      <c r="I108" s="207">
        <v>150</v>
      </c>
      <c r="J108" s="242">
        <f t="shared" si="22"/>
        <v>6000</v>
      </c>
      <c r="K108" s="153"/>
      <c r="V108" s="25">
        <f t="shared" si="23"/>
        <v>1</v>
      </c>
      <c r="W108" s="25">
        <f t="shared" si="24"/>
        <v>0</v>
      </c>
    </row>
    <row r="109" spans="1:23" x14ac:dyDescent="0.3">
      <c r="A109" s="147"/>
      <c r="B109" s="205">
        <f t="shared" si="25"/>
        <v>18</v>
      </c>
      <c r="C109" s="206">
        <v>44466</v>
      </c>
      <c r="D109" s="161" t="s">
        <v>9</v>
      </c>
      <c r="E109" s="161" t="s">
        <v>39</v>
      </c>
      <c r="F109" s="207">
        <v>17880</v>
      </c>
      <c r="G109" s="207">
        <v>17840</v>
      </c>
      <c r="H109" s="161">
        <v>-40</v>
      </c>
      <c r="I109" s="207">
        <v>150</v>
      </c>
      <c r="J109" s="242">
        <f t="shared" si="22"/>
        <v>-6000</v>
      </c>
      <c r="K109" s="153"/>
      <c r="V109" s="25">
        <f t="shared" si="23"/>
        <v>0</v>
      </c>
      <c r="W109" s="25">
        <f t="shared" si="24"/>
        <v>1</v>
      </c>
    </row>
    <row r="110" spans="1:23" x14ac:dyDescent="0.3">
      <c r="A110" s="147"/>
      <c r="B110" s="205">
        <f t="shared" si="25"/>
        <v>19</v>
      </c>
      <c r="C110" s="206">
        <v>44467</v>
      </c>
      <c r="D110" s="161" t="s">
        <v>8</v>
      </c>
      <c r="E110" s="161" t="s">
        <v>39</v>
      </c>
      <c r="F110" s="207">
        <v>17850</v>
      </c>
      <c r="G110" s="207">
        <v>1770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3"/>
        <v>1</v>
      </c>
      <c r="W110" s="25">
        <f t="shared" si="24"/>
        <v>0</v>
      </c>
    </row>
    <row r="111" spans="1:23" x14ac:dyDescent="0.3">
      <c r="A111" s="147"/>
      <c r="B111" s="205">
        <f t="shared" si="25"/>
        <v>20</v>
      </c>
      <c r="C111" s="206">
        <v>44468</v>
      </c>
      <c r="D111" s="161" t="s">
        <v>9</v>
      </c>
      <c r="E111" s="161" t="s">
        <v>39</v>
      </c>
      <c r="F111" s="207">
        <v>17700</v>
      </c>
      <c r="G111" s="207">
        <v>17780</v>
      </c>
      <c r="H111" s="161">
        <v>80</v>
      </c>
      <c r="I111" s="207">
        <v>150</v>
      </c>
      <c r="J111" s="242">
        <f t="shared" si="22"/>
        <v>12000</v>
      </c>
      <c r="K111" s="153"/>
      <c r="V111" s="25">
        <f t="shared" si="23"/>
        <v>1</v>
      </c>
      <c r="W111" s="25">
        <f t="shared" si="24"/>
        <v>0</v>
      </c>
    </row>
    <row r="112" spans="1:23" x14ac:dyDescent="0.3">
      <c r="A112" s="147"/>
      <c r="B112" s="205">
        <f t="shared" si="25"/>
        <v>21</v>
      </c>
      <c r="C112" s="206">
        <v>44469</v>
      </c>
      <c r="D112" s="161" t="s">
        <v>9</v>
      </c>
      <c r="E112" s="161" t="s">
        <v>39</v>
      </c>
      <c r="F112" s="207">
        <v>17710</v>
      </c>
      <c r="G112" s="207">
        <v>17725</v>
      </c>
      <c r="H112" s="161">
        <v>15</v>
      </c>
      <c r="I112" s="207"/>
      <c r="J112" s="242">
        <f t="shared" si="22"/>
        <v>0</v>
      </c>
      <c r="K112" s="153"/>
      <c r="V112" s="25">
        <f t="shared" si="23"/>
        <v>0</v>
      </c>
      <c r="W112" s="25">
        <f t="shared" si="24"/>
        <v>0</v>
      </c>
    </row>
    <row r="113" spans="1:23" x14ac:dyDescent="0.3">
      <c r="A113" s="147"/>
      <c r="B113" s="205">
        <f t="shared" si="25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2"/>
        <v>0</v>
      </c>
      <c r="K113" s="153"/>
      <c r="V113" s="25">
        <f t="shared" si="23"/>
        <v>0</v>
      </c>
      <c r="W113" s="25">
        <f t="shared" si="24"/>
        <v>0</v>
      </c>
    </row>
    <row r="114" spans="1:23" ht="15" thickBot="1" x14ac:dyDescent="0.35">
      <c r="A114" s="147"/>
      <c r="B114" s="208">
        <f t="shared" si="25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2"/>
        <v>0</v>
      </c>
      <c r="K114" s="153"/>
      <c r="V114" s="25">
        <f t="shared" si="23"/>
        <v>0</v>
      </c>
      <c r="W114" s="25">
        <f t="shared" si="24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115200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3451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44440</v>
      </c>
      <c r="D123" s="185" t="s">
        <v>9</v>
      </c>
      <c r="E123" s="185" t="s">
        <v>3454</v>
      </c>
      <c r="F123" s="219">
        <v>100</v>
      </c>
      <c r="G123" s="231">
        <v>115</v>
      </c>
      <c r="H123" s="231">
        <v>15</v>
      </c>
      <c r="I123" s="219">
        <v>300</v>
      </c>
      <c r="J123" s="246">
        <f t="shared" ref="J123:J145" si="26">I123*H123</f>
        <v>4500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44441</v>
      </c>
      <c r="D124" s="185" t="s">
        <v>9</v>
      </c>
      <c r="E124" s="185" t="s">
        <v>3458</v>
      </c>
      <c r="F124" s="219">
        <v>75</v>
      </c>
      <c r="G124" s="219">
        <v>125</v>
      </c>
      <c r="H124" s="185">
        <f>125-75</f>
        <v>50</v>
      </c>
      <c r="I124" s="219">
        <v>300</v>
      </c>
      <c r="J124" s="242">
        <f t="shared" si="26"/>
        <v>15000</v>
      </c>
      <c r="K124" s="153"/>
      <c r="V124" s="25">
        <f t="shared" ref="V124:V145" si="27">IF($J124&gt;0,1,0)</f>
        <v>1</v>
      </c>
      <c r="W124" s="25">
        <f t="shared" ref="W124:W145" si="28">IF($J124&lt;0,1,0)</f>
        <v>0</v>
      </c>
    </row>
    <row r="125" spans="1:23" x14ac:dyDescent="0.3">
      <c r="A125" s="147"/>
      <c r="B125" s="205">
        <f>B124+1</f>
        <v>3</v>
      </c>
      <c r="C125" s="206">
        <v>44442</v>
      </c>
      <c r="D125" s="161" t="s">
        <v>9</v>
      </c>
      <c r="E125" s="161" t="s">
        <v>3462</v>
      </c>
      <c r="F125" s="207">
        <v>105</v>
      </c>
      <c r="G125" s="207">
        <v>85</v>
      </c>
      <c r="H125" s="161">
        <v>-20</v>
      </c>
      <c r="I125" s="207">
        <v>300</v>
      </c>
      <c r="J125" s="242">
        <f t="shared" si="26"/>
        <v>-6000</v>
      </c>
      <c r="K125" s="153"/>
      <c r="V125" s="25">
        <f t="shared" si="27"/>
        <v>0</v>
      </c>
      <c r="W125" s="25">
        <f t="shared" si="28"/>
        <v>1</v>
      </c>
    </row>
    <row r="126" spans="1:23" x14ac:dyDescent="0.3">
      <c r="A126" s="147"/>
      <c r="B126" s="205">
        <f t="shared" ref="B126:B145" si="29">B125+1</f>
        <v>4</v>
      </c>
      <c r="C126" s="206">
        <v>44445</v>
      </c>
      <c r="D126" s="161" t="s">
        <v>9</v>
      </c>
      <c r="E126" s="161" t="s">
        <v>1516</v>
      </c>
      <c r="F126" s="207">
        <v>110</v>
      </c>
      <c r="G126" s="207">
        <v>120</v>
      </c>
      <c r="H126" s="161">
        <v>10</v>
      </c>
      <c r="I126" s="207">
        <v>300</v>
      </c>
      <c r="J126" s="242">
        <f t="shared" si="26"/>
        <v>3000</v>
      </c>
      <c r="K126" s="153"/>
      <c r="V126" s="25">
        <f t="shared" si="27"/>
        <v>1</v>
      </c>
      <c r="W126" s="25">
        <f t="shared" si="28"/>
        <v>0</v>
      </c>
    </row>
    <row r="127" spans="1:23" x14ac:dyDescent="0.3">
      <c r="A127" s="147"/>
      <c r="B127" s="205">
        <f t="shared" si="29"/>
        <v>5</v>
      </c>
      <c r="C127" s="206">
        <v>44446</v>
      </c>
      <c r="D127" s="161" t="s">
        <v>9</v>
      </c>
      <c r="E127" s="161" t="s">
        <v>3468</v>
      </c>
      <c r="F127" s="207">
        <v>95</v>
      </c>
      <c r="G127" s="207">
        <v>119</v>
      </c>
      <c r="H127" s="161">
        <f>119-95</f>
        <v>24</v>
      </c>
      <c r="I127" s="207">
        <v>300</v>
      </c>
      <c r="J127" s="242">
        <f t="shared" si="26"/>
        <v>7200</v>
      </c>
      <c r="K127" s="153"/>
      <c r="M127" s="25" t="s">
        <v>2008</v>
      </c>
      <c r="V127" s="25">
        <f t="shared" si="27"/>
        <v>1</v>
      </c>
      <c r="W127" s="25">
        <f t="shared" si="28"/>
        <v>0</v>
      </c>
    </row>
    <row r="128" spans="1:23" x14ac:dyDescent="0.3">
      <c r="A128" s="147"/>
      <c r="B128" s="205">
        <f t="shared" si="29"/>
        <v>6</v>
      </c>
      <c r="C128" s="206">
        <v>44447</v>
      </c>
      <c r="D128" s="161" t="s">
        <v>9</v>
      </c>
      <c r="E128" s="161" t="s">
        <v>3462</v>
      </c>
      <c r="F128" s="207">
        <v>100</v>
      </c>
      <c r="G128" s="222">
        <v>75</v>
      </c>
      <c r="H128" s="222">
        <v>-25</v>
      </c>
      <c r="I128" s="207">
        <v>300</v>
      </c>
      <c r="J128" s="242">
        <f t="shared" si="26"/>
        <v>-7500</v>
      </c>
      <c r="K128" s="153"/>
      <c r="V128" s="25">
        <f t="shared" si="27"/>
        <v>0</v>
      </c>
      <c r="W128" s="25">
        <f t="shared" si="28"/>
        <v>1</v>
      </c>
    </row>
    <row r="129" spans="1:23" x14ac:dyDescent="0.3">
      <c r="A129" s="147"/>
      <c r="B129" s="205">
        <f t="shared" si="29"/>
        <v>7</v>
      </c>
      <c r="C129" s="206">
        <v>44448</v>
      </c>
      <c r="D129" s="161" t="s">
        <v>9</v>
      </c>
      <c r="E129" s="161" t="s">
        <v>3477</v>
      </c>
      <c r="F129" s="207">
        <v>110</v>
      </c>
      <c r="G129" s="207">
        <v>125</v>
      </c>
      <c r="H129" s="161">
        <f>125-110</f>
        <v>15</v>
      </c>
      <c r="I129" s="207">
        <v>300</v>
      </c>
      <c r="J129" s="242">
        <f t="shared" si="26"/>
        <v>4500</v>
      </c>
      <c r="K129" s="153"/>
      <c r="V129" s="25">
        <f t="shared" si="27"/>
        <v>1</v>
      </c>
      <c r="W129" s="25">
        <f t="shared" si="28"/>
        <v>0</v>
      </c>
    </row>
    <row r="130" spans="1:23" x14ac:dyDescent="0.3">
      <c r="A130" s="147"/>
      <c r="B130" s="205">
        <f t="shared" si="29"/>
        <v>8</v>
      </c>
      <c r="C130" s="206">
        <v>44452</v>
      </c>
      <c r="D130" s="161" t="s">
        <v>9</v>
      </c>
      <c r="E130" s="161" t="s">
        <v>1492</v>
      </c>
      <c r="F130" s="207">
        <v>95</v>
      </c>
      <c r="G130" s="207">
        <v>107</v>
      </c>
      <c r="H130" s="161">
        <f>107-95</f>
        <v>12</v>
      </c>
      <c r="I130" s="207">
        <v>300</v>
      </c>
      <c r="J130" s="242">
        <f t="shared" si="26"/>
        <v>3600</v>
      </c>
      <c r="K130" s="153"/>
      <c r="V130" s="25">
        <f t="shared" si="27"/>
        <v>1</v>
      </c>
      <c r="W130" s="25">
        <f t="shared" si="28"/>
        <v>0</v>
      </c>
    </row>
    <row r="131" spans="1:23" x14ac:dyDescent="0.3">
      <c r="A131" s="147"/>
      <c r="B131" s="205">
        <f t="shared" si="29"/>
        <v>9</v>
      </c>
      <c r="C131" s="206">
        <v>44453</v>
      </c>
      <c r="D131" s="161" t="s">
        <v>9</v>
      </c>
      <c r="E131" s="161" t="s">
        <v>3480</v>
      </c>
      <c r="F131" s="207">
        <v>110</v>
      </c>
      <c r="G131" s="207">
        <v>85</v>
      </c>
      <c r="H131" s="161">
        <v>-25</v>
      </c>
      <c r="I131" s="207">
        <v>300</v>
      </c>
      <c r="J131" s="242">
        <f t="shared" si="26"/>
        <v>-7500</v>
      </c>
      <c r="K131" s="153"/>
      <c r="V131" s="25">
        <f t="shared" si="27"/>
        <v>0</v>
      </c>
      <c r="W131" s="25">
        <f t="shared" si="28"/>
        <v>1</v>
      </c>
    </row>
    <row r="132" spans="1:23" x14ac:dyDescent="0.3">
      <c r="A132" s="147"/>
      <c r="B132" s="205">
        <f t="shared" si="29"/>
        <v>10</v>
      </c>
      <c r="C132" s="206">
        <v>44454</v>
      </c>
      <c r="D132" s="161" t="s">
        <v>9</v>
      </c>
      <c r="E132" s="161" t="s">
        <v>3480</v>
      </c>
      <c r="F132" s="207">
        <v>100</v>
      </c>
      <c r="G132" s="222">
        <v>150</v>
      </c>
      <c r="H132" s="222">
        <v>50</v>
      </c>
      <c r="I132" s="207">
        <v>300</v>
      </c>
      <c r="J132" s="242">
        <f t="shared" si="26"/>
        <v>15000</v>
      </c>
      <c r="K132" s="153"/>
      <c r="V132" s="25">
        <f t="shared" si="27"/>
        <v>1</v>
      </c>
      <c r="W132" s="25">
        <f t="shared" si="28"/>
        <v>0</v>
      </c>
    </row>
    <row r="133" spans="1:23" x14ac:dyDescent="0.3">
      <c r="A133" s="147"/>
      <c r="B133" s="205">
        <f t="shared" si="29"/>
        <v>11</v>
      </c>
      <c r="C133" s="206">
        <v>44455</v>
      </c>
      <c r="D133" s="161" t="s">
        <v>9</v>
      </c>
      <c r="E133" s="161" t="s">
        <v>3486</v>
      </c>
      <c r="F133" s="207">
        <v>105</v>
      </c>
      <c r="G133" s="222">
        <v>155</v>
      </c>
      <c r="H133" s="222">
        <v>50</v>
      </c>
      <c r="I133" s="207">
        <v>300</v>
      </c>
      <c r="J133" s="242">
        <f t="shared" si="26"/>
        <v>15000</v>
      </c>
      <c r="K133" s="153"/>
      <c r="V133" s="25">
        <f t="shared" si="27"/>
        <v>1</v>
      </c>
      <c r="W133" s="25">
        <f t="shared" si="28"/>
        <v>0</v>
      </c>
    </row>
    <row r="134" spans="1:23" x14ac:dyDescent="0.3">
      <c r="A134" s="147"/>
      <c r="B134" s="205">
        <f t="shared" si="29"/>
        <v>12</v>
      </c>
      <c r="C134" s="206">
        <v>44456</v>
      </c>
      <c r="D134" s="161" t="s">
        <v>9</v>
      </c>
      <c r="E134" s="161" t="s">
        <v>3487</v>
      </c>
      <c r="F134" s="207">
        <v>100</v>
      </c>
      <c r="G134" s="222">
        <v>125</v>
      </c>
      <c r="H134" s="222">
        <v>25</v>
      </c>
      <c r="I134" s="207">
        <v>300</v>
      </c>
      <c r="J134" s="242">
        <f t="shared" si="26"/>
        <v>7500</v>
      </c>
      <c r="K134" s="153"/>
      <c r="V134" s="25">
        <f t="shared" si="27"/>
        <v>1</v>
      </c>
      <c r="W134" s="25">
        <f t="shared" si="28"/>
        <v>0</v>
      </c>
    </row>
    <row r="135" spans="1:23" x14ac:dyDescent="0.3">
      <c r="A135" s="147"/>
      <c r="B135" s="205">
        <f t="shared" si="29"/>
        <v>13</v>
      </c>
      <c r="C135" s="206">
        <v>44459</v>
      </c>
      <c r="D135" s="161" t="s">
        <v>9</v>
      </c>
      <c r="E135" s="161" t="s">
        <v>2954</v>
      </c>
      <c r="F135" s="207">
        <v>125</v>
      </c>
      <c r="G135" s="222">
        <v>175</v>
      </c>
      <c r="H135" s="222">
        <v>50</v>
      </c>
      <c r="I135" s="207">
        <v>300</v>
      </c>
      <c r="J135" s="242">
        <f t="shared" si="26"/>
        <v>15000</v>
      </c>
      <c r="K135" s="153"/>
      <c r="V135" s="25">
        <f t="shared" si="27"/>
        <v>1</v>
      </c>
      <c r="W135" s="25">
        <f t="shared" si="28"/>
        <v>0</v>
      </c>
    </row>
    <row r="136" spans="1:23" x14ac:dyDescent="0.3">
      <c r="A136" s="147"/>
      <c r="B136" s="205">
        <f t="shared" si="29"/>
        <v>14</v>
      </c>
      <c r="C136" s="206">
        <v>44460</v>
      </c>
      <c r="D136" s="161" t="s">
        <v>9</v>
      </c>
      <c r="E136" s="161" t="s">
        <v>1516</v>
      </c>
      <c r="F136" s="207">
        <v>120</v>
      </c>
      <c r="G136" s="207">
        <v>143</v>
      </c>
      <c r="H136" s="161">
        <v>23</v>
      </c>
      <c r="I136" s="207">
        <v>300</v>
      </c>
      <c r="J136" s="242">
        <f>I136*H136</f>
        <v>6900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9"/>
        <v>15</v>
      </c>
      <c r="C137" s="206">
        <v>44461</v>
      </c>
      <c r="D137" s="161" t="s">
        <v>9</v>
      </c>
      <c r="E137" s="161" t="s">
        <v>3490</v>
      </c>
      <c r="F137" s="207">
        <v>100</v>
      </c>
      <c r="G137" s="207">
        <v>75</v>
      </c>
      <c r="H137" s="161">
        <v>-25</v>
      </c>
      <c r="I137" s="207">
        <v>300</v>
      </c>
      <c r="J137" s="242">
        <f t="shared" si="26"/>
        <v>-7500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9"/>
        <v>16</v>
      </c>
      <c r="C138" s="206">
        <v>44462</v>
      </c>
      <c r="D138" s="161" t="s">
        <v>9</v>
      </c>
      <c r="E138" s="161" t="s">
        <v>1586</v>
      </c>
      <c r="F138" s="207">
        <v>115</v>
      </c>
      <c r="G138" s="207">
        <v>165</v>
      </c>
      <c r="H138" s="161">
        <v>50</v>
      </c>
      <c r="I138" s="207">
        <v>300</v>
      </c>
      <c r="J138" s="242">
        <f t="shared" si="26"/>
        <v>15000</v>
      </c>
      <c r="K138" s="153"/>
      <c r="V138" s="25">
        <f t="shared" si="27"/>
        <v>1</v>
      </c>
      <c r="W138" s="25">
        <f t="shared" si="28"/>
        <v>0</v>
      </c>
    </row>
    <row r="139" spans="1:23" x14ac:dyDescent="0.3">
      <c r="A139" s="147"/>
      <c r="B139" s="205">
        <f t="shared" si="29"/>
        <v>17</v>
      </c>
      <c r="C139" s="206">
        <v>44463</v>
      </c>
      <c r="D139" s="161" t="s">
        <v>9</v>
      </c>
      <c r="E139" s="161" t="s">
        <v>3491</v>
      </c>
      <c r="F139" s="207">
        <v>130</v>
      </c>
      <c r="G139" s="207">
        <v>147</v>
      </c>
      <c r="H139" s="161">
        <v>17</v>
      </c>
      <c r="I139" s="207">
        <v>300</v>
      </c>
      <c r="J139" s="242">
        <f t="shared" si="26"/>
        <v>5100</v>
      </c>
      <c r="K139" s="153"/>
      <c r="V139" s="25">
        <f t="shared" si="27"/>
        <v>1</v>
      </c>
      <c r="W139" s="25">
        <f t="shared" si="28"/>
        <v>0</v>
      </c>
    </row>
    <row r="140" spans="1:23" x14ac:dyDescent="0.3">
      <c r="A140" s="147"/>
      <c r="B140" s="205">
        <f t="shared" si="29"/>
        <v>18</v>
      </c>
      <c r="C140" s="206">
        <v>44466</v>
      </c>
      <c r="D140" s="161" t="s">
        <v>9</v>
      </c>
      <c r="E140" s="161" t="s">
        <v>3501</v>
      </c>
      <c r="F140" s="207">
        <v>115</v>
      </c>
      <c r="G140" s="222">
        <v>125</v>
      </c>
      <c r="H140" s="222">
        <v>10</v>
      </c>
      <c r="I140" s="207">
        <v>300</v>
      </c>
      <c r="J140" s="242">
        <f t="shared" si="26"/>
        <v>3000</v>
      </c>
      <c r="K140" s="153"/>
      <c r="V140" s="25">
        <f t="shared" si="27"/>
        <v>1</v>
      </c>
      <c r="W140" s="25">
        <f t="shared" si="28"/>
        <v>0</v>
      </c>
    </row>
    <row r="141" spans="1:23" x14ac:dyDescent="0.3">
      <c r="A141" s="147"/>
      <c r="B141" s="205">
        <f t="shared" si="29"/>
        <v>19</v>
      </c>
      <c r="C141" s="206">
        <v>44467</v>
      </c>
      <c r="D141" s="161" t="s">
        <v>9</v>
      </c>
      <c r="E141" s="161" t="s">
        <v>3502</v>
      </c>
      <c r="F141" s="207">
        <v>95</v>
      </c>
      <c r="G141" s="207">
        <v>145</v>
      </c>
      <c r="H141" s="161">
        <v>50</v>
      </c>
      <c r="I141" s="207">
        <v>300</v>
      </c>
      <c r="J141" s="242">
        <f t="shared" si="26"/>
        <v>15000</v>
      </c>
      <c r="K141" s="153"/>
      <c r="V141" s="25">
        <f t="shared" si="27"/>
        <v>1</v>
      </c>
      <c r="W141" s="25">
        <f t="shared" si="28"/>
        <v>0</v>
      </c>
    </row>
    <row r="142" spans="1:23" x14ac:dyDescent="0.3">
      <c r="A142" s="147"/>
      <c r="B142" s="205">
        <f t="shared" si="29"/>
        <v>20</v>
      </c>
      <c r="C142" s="206">
        <v>44468</v>
      </c>
      <c r="D142" s="161" t="s">
        <v>9</v>
      </c>
      <c r="E142" s="161" t="s">
        <v>3503</v>
      </c>
      <c r="F142" s="207">
        <v>95</v>
      </c>
      <c r="G142" s="207">
        <v>70</v>
      </c>
      <c r="H142" s="161">
        <v>-25</v>
      </c>
      <c r="I142" s="207">
        <v>300</v>
      </c>
      <c r="J142" s="242">
        <f t="shared" si="26"/>
        <v>-7500</v>
      </c>
      <c r="K142" s="153"/>
      <c r="V142" s="25">
        <f t="shared" si="27"/>
        <v>0</v>
      </c>
      <c r="W142" s="25">
        <f t="shared" si="28"/>
        <v>1</v>
      </c>
    </row>
    <row r="143" spans="1:23" x14ac:dyDescent="0.3">
      <c r="A143" s="147"/>
      <c r="B143" s="205">
        <f t="shared" si="29"/>
        <v>21</v>
      </c>
      <c r="C143" s="206">
        <v>44469</v>
      </c>
      <c r="D143" s="161" t="s">
        <v>9</v>
      </c>
      <c r="E143" s="161" t="s">
        <v>3504</v>
      </c>
      <c r="F143" s="207">
        <v>80</v>
      </c>
      <c r="G143" s="207">
        <v>97</v>
      </c>
      <c r="H143" s="161">
        <v>17</v>
      </c>
      <c r="I143" s="207">
        <v>300</v>
      </c>
      <c r="J143" s="242">
        <f t="shared" si="26"/>
        <v>5100</v>
      </c>
      <c r="K143" s="153"/>
      <c r="V143" s="25">
        <f t="shared" si="27"/>
        <v>1</v>
      </c>
      <c r="W143" s="25">
        <f t="shared" si="28"/>
        <v>0</v>
      </c>
    </row>
    <row r="144" spans="1:23" x14ac:dyDescent="0.3">
      <c r="A144" s="147"/>
      <c r="B144" s="205">
        <f t="shared" si="29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6"/>
        <v>0</v>
      </c>
      <c r="K144" s="153"/>
      <c r="V144" s="25">
        <f t="shared" si="27"/>
        <v>0</v>
      </c>
      <c r="W144" s="25">
        <f t="shared" si="28"/>
        <v>0</v>
      </c>
    </row>
    <row r="145" spans="1:23" ht="15" thickBot="1" x14ac:dyDescent="0.35">
      <c r="A145" s="147"/>
      <c r="B145" s="208">
        <f t="shared" si="29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6"/>
        <v>0</v>
      </c>
      <c r="K145" s="153"/>
      <c r="V145" s="25">
        <f t="shared" si="27"/>
        <v>0</v>
      </c>
      <c r="W145" s="25">
        <f t="shared" si="28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104400</v>
      </c>
      <c r="K146" s="153"/>
      <c r="V146" s="25">
        <f>SUM(V123:V145)</f>
        <v>16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3450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44440</v>
      </c>
      <c r="D154" s="185" t="s">
        <v>9</v>
      </c>
      <c r="E154" s="185" t="s">
        <v>301</v>
      </c>
      <c r="F154" s="219">
        <v>37000</v>
      </c>
      <c r="G154" s="231">
        <v>37050</v>
      </c>
      <c r="H154" s="185">
        <v>50</v>
      </c>
      <c r="I154" s="219">
        <v>50</v>
      </c>
      <c r="J154" s="246">
        <f t="shared" ref="J154:J176" si="30">I154*H154</f>
        <v>2500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44441</v>
      </c>
      <c r="D155" s="185" t="s">
        <v>9</v>
      </c>
      <c r="E155" s="185" t="s">
        <v>301</v>
      </c>
      <c r="F155" s="219">
        <v>36700</v>
      </c>
      <c r="G155" s="219">
        <v>36900</v>
      </c>
      <c r="H155" s="185">
        <v>200</v>
      </c>
      <c r="I155" s="219">
        <v>50</v>
      </c>
      <c r="J155" s="242">
        <f t="shared" si="30"/>
        <v>10000</v>
      </c>
      <c r="K155" s="153"/>
      <c r="V155" s="25">
        <f t="shared" ref="V155:V176" si="31">IF($J155&gt;0,1,0)</f>
        <v>1</v>
      </c>
      <c r="W155" s="25">
        <f t="shared" ref="W155:W176" si="32">IF($J155&lt;0,1,0)</f>
        <v>0</v>
      </c>
    </row>
    <row r="156" spans="1:23" x14ac:dyDescent="0.3">
      <c r="A156" s="147"/>
      <c r="B156" s="205">
        <f t="shared" ref="B156:B176" si="33">B155+1</f>
        <v>3</v>
      </c>
      <c r="C156" s="206">
        <v>44442</v>
      </c>
      <c r="D156" s="161" t="s">
        <v>9</v>
      </c>
      <c r="E156" s="161" t="s">
        <v>301</v>
      </c>
      <c r="F156" s="207">
        <v>37200</v>
      </c>
      <c r="G156" s="207">
        <v>37050</v>
      </c>
      <c r="H156" s="161">
        <v>-150</v>
      </c>
      <c r="I156" s="207">
        <v>50</v>
      </c>
      <c r="J156" s="242">
        <f t="shared" si="30"/>
        <v>-7500</v>
      </c>
      <c r="K156" s="153"/>
      <c r="V156" s="25">
        <f t="shared" si="31"/>
        <v>0</v>
      </c>
      <c r="W156" s="25">
        <f t="shared" si="32"/>
        <v>1</v>
      </c>
    </row>
    <row r="157" spans="1:23" x14ac:dyDescent="0.3">
      <c r="A157" s="147"/>
      <c r="B157" s="205">
        <f t="shared" si="33"/>
        <v>4</v>
      </c>
      <c r="C157" s="206">
        <v>44445</v>
      </c>
      <c r="D157" s="161" t="s">
        <v>8</v>
      </c>
      <c r="E157" s="161" t="s">
        <v>301</v>
      </c>
      <c r="F157" s="207">
        <v>36750</v>
      </c>
      <c r="G157" s="207">
        <v>36690</v>
      </c>
      <c r="H157" s="161">
        <f>36750-36690</f>
        <v>60</v>
      </c>
      <c r="I157" s="207">
        <v>50</v>
      </c>
      <c r="J157" s="242">
        <f t="shared" si="30"/>
        <v>3000</v>
      </c>
      <c r="K157" s="153"/>
      <c r="V157" s="25">
        <f t="shared" si="31"/>
        <v>1</v>
      </c>
      <c r="W157" s="25">
        <f t="shared" si="32"/>
        <v>0</v>
      </c>
    </row>
    <row r="158" spans="1:23" x14ac:dyDescent="0.3">
      <c r="A158" s="147"/>
      <c r="B158" s="205">
        <f t="shared" si="33"/>
        <v>5</v>
      </c>
      <c r="C158" s="206">
        <v>44446</v>
      </c>
      <c r="D158" s="161" t="s">
        <v>8</v>
      </c>
      <c r="E158" s="161" t="s">
        <v>301</v>
      </c>
      <c r="F158" s="207">
        <v>36400</v>
      </c>
      <c r="G158" s="207">
        <v>36310</v>
      </c>
      <c r="H158" s="161">
        <f>36400-36310</f>
        <v>90</v>
      </c>
      <c r="I158" s="207">
        <v>50</v>
      </c>
      <c r="J158" s="242">
        <f t="shared" si="30"/>
        <v>4500</v>
      </c>
      <c r="K158" s="153"/>
      <c r="V158" s="25">
        <f t="shared" si="31"/>
        <v>1</v>
      </c>
      <c r="W158" s="25">
        <f t="shared" si="32"/>
        <v>0</v>
      </c>
    </row>
    <row r="159" spans="1:23" x14ac:dyDescent="0.3">
      <c r="A159" s="147"/>
      <c r="B159" s="205">
        <f t="shared" si="33"/>
        <v>6</v>
      </c>
      <c r="C159" s="206">
        <v>44447</v>
      </c>
      <c r="D159" s="161" t="s">
        <v>9</v>
      </c>
      <c r="E159" s="161" t="s">
        <v>301</v>
      </c>
      <c r="F159" s="207">
        <v>36700</v>
      </c>
      <c r="G159" s="207">
        <v>36910</v>
      </c>
      <c r="H159" s="161">
        <f>36910-36700</f>
        <v>210</v>
      </c>
      <c r="I159" s="207">
        <v>50</v>
      </c>
      <c r="J159" s="242">
        <f t="shared" si="30"/>
        <v>10500</v>
      </c>
      <c r="K159" s="153"/>
      <c r="V159" s="25">
        <f t="shared" si="31"/>
        <v>1</v>
      </c>
      <c r="W159" s="25">
        <f t="shared" si="32"/>
        <v>0</v>
      </c>
    </row>
    <row r="160" spans="1:23" x14ac:dyDescent="0.3">
      <c r="A160" s="147"/>
      <c r="B160" s="205">
        <f t="shared" si="33"/>
        <v>7</v>
      </c>
      <c r="C160" s="206">
        <v>44448</v>
      </c>
      <c r="D160" s="161" t="s">
        <v>9</v>
      </c>
      <c r="E160" s="161" t="s">
        <v>301</v>
      </c>
      <c r="F160" s="207">
        <v>36800</v>
      </c>
      <c r="G160" s="207">
        <v>36850</v>
      </c>
      <c r="H160" s="161">
        <v>50</v>
      </c>
      <c r="I160" s="207">
        <v>50</v>
      </c>
      <c r="J160" s="242">
        <f t="shared" si="30"/>
        <v>2500</v>
      </c>
      <c r="K160" s="153"/>
      <c r="V160" s="25">
        <f t="shared" si="31"/>
        <v>1</v>
      </c>
      <c r="W160" s="25">
        <f t="shared" si="32"/>
        <v>0</v>
      </c>
    </row>
    <row r="161" spans="1:23" x14ac:dyDescent="0.3">
      <c r="A161" s="147"/>
      <c r="B161" s="205">
        <f t="shared" si="33"/>
        <v>8</v>
      </c>
      <c r="C161" s="206">
        <v>44452</v>
      </c>
      <c r="D161" s="161" t="s">
        <v>8</v>
      </c>
      <c r="E161" s="161" t="s">
        <v>301</v>
      </c>
      <c r="F161" s="207">
        <v>36450</v>
      </c>
      <c r="G161" s="207">
        <v>36410</v>
      </c>
      <c r="H161" s="161">
        <v>40</v>
      </c>
      <c r="I161" s="207">
        <v>50</v>
      </c>
      <c r="J161" s="242">
        <f t="shared" si="30"/>
        <v>2000</v>
      </c>
      <c r="K161" s="153"/>
      <c r="V161" s="25">
        <f t="shared" si="31"/>
        <v>1</v>
      </c>
      <c r="W161" s="25">
        <f t="shared" si="32"/>
        <v>0</v>
      </c>
    </row>
    <row r="162" spans="1:23" x14ac:dyDescent="0.3">
      <c r="A162" s="147"/>
      <c r="B162" s="205">
        <f t="shared" si="33"/>
        <v>9</v>
      </c>
      <c r="C162" s="206">
        <v>44453</v>
      </c>
      <c r="D162" s="161" t="s">
        <v>9</v>
      </c>
      <c r="E162" s="161" t="s">
        <v>301</v>
      </c>
      <c r="F162" s="207">
        <v>36800</v>
      </c>
      <c r="G162" s="207">
        <v>36650</v>
      </c>
      <c r="H162" s="161">
        <v>-150</v>
      </c>
      <c r="I162" s="207">
        <v>50</v>
      </c>
      <c r="J162" s="242">
        <f t="shared" si="30"/>
        <v>-7500</v>
      </c>
      <c r="K162" s="153"/>
      <c r="V162" s="25">
        <f t="shared" si="31"/>
        <v>0</v>
      </c>
      <c r="W162" s="25">
        <f t="shared" si="32"/>
        <v>1</v>
      </c>
    </row>
    <row r="163" spans="1:23" x14ac:dyDescent="0.3">
      <c r="A163" s="147"/>
      <c r="B163" s="205">
        <f t="shared" si="33"/>
        <v>10</v>
      </c>
      <c r="C163" s="206">
        <v>44454</v>
      </c>
      <c r="D163" s="161" t="s">
        <v>9</v>
      </c>
      <c r="E163" s="161" t="s">
        <v>301</v>
      </c>
      <c r="F163" s="207">
        <v>36750</v>
      </c>
      <c r="G163" s="207">
        <v>37050</v>
      </c>
      <c r="H163" s="161">
        <v>300</v>
      </c>
      <c r="I163" s="207">
        <v>50</v>
      </c>
      <c r="J163" s="242">
        <f t="shared" si="30"/>
        <v>15000</v>
      </c>
      <c r="K163" s="153"/>
      <c r="V163" s="25">
        <f t="shared" si="31"/>
        <v>1</v>
      </c>
      <c r="W163" s="25">
        <f t="shared" si="32"/>
        <v>0</v>
      </c>
    </row>
    <row r="164" spans="1:23" x14ac:dyDescent="0.3">
      <c r="A164" s="147"/>
      <c r="B164" s="205">
        <f t="shared" si="33"/>
        <v>11</v>
      </c>
      <c r="C164" s="206">
        <v>44455</v>
      </c>
      <c r="D164" s="161" t="s">
        <v>9</v>
      </c>
      <c r="E164" s="161" t="s">
        <v>301</v>
      </c>
      <c r="F164" s="207">
        <v>37200</v>
      </c>
      <c r="G164" s="207">
        <v>37500</v>
      </c>
      <c r="H164" s="161">
        <v>300</v>
      </c>
      <c r="I164" s="207">
        <v>50</v>
      </c>
      <c r="J164" s="242">
        <f t="shared" si="30"/>
        <v>15000</v>
      </c>
      <c r="K164" s="153"/>
      <c r="V164" s="25">
        <f t="shared" si="31"/>
        <v>1</v>
      </c>
      <c r="W164" s="25">
        <f t="shared" si="32"/>
        <v>0</v>
      </c>
    </row>
    <row r="165" spans="1:23" x14ac:dyDescent="0.3">
      <c r="A165" s="147"/>
      <c r="B165" s="205">
        <f t="shared" si="33"/>
        <v>12</v>
      </c>
      <c r="C165" s="206">
        <v>44456</v>
      </c>
      <c r="D165" s="161" t="s">
        <v>9</v>
      </c>
      <c r="E165" s="161" t="s">
        <v>301</v>
      </c>
      <c r="F165" s="207">
        <v>37950</v>
      </c>
      <c r="G165" s="207">
        <v>38224</v>
      </c>
      <c r="H165" s="161">
        <v>274</v>
      </c>
      <c r="I165" s="207">
        <v>50</v>
      </c>
      <c r="J165" s="242">
        <f t="shared" si="30"/>
        <v>13700</v>
      </c>
      <c r="K165" s="153"/>
      <c r="V165" s="25">
        <f t="shared" si="31"/>
        <v>1</v>
      </c>
      <c r="W165" s="25">
        <f t="shared" si="32"/>
        <v>0</v>
      </c>
    </row>
    <row r="166" spans="1:23" x14ac:dyDescent="0.3">
      <c r="A166" s="147"/>
      <c r="B166" s="205">
        <f t="shared" si="33"/>
        <v>13</v>
      </c>
      <c r="C166" s="206">
        <v>44459</v>
      </c>
      <c r="D166" s="161" t="s">
        <v>9</v>
      </c>
      <c r="E166" s="161" t="s">
        <v>301</v>
      </c>
      <c r="F166" s="207">
        <v>37700</v>
      </c>
      <c r="G166" s="207">
        <v>37850</v>
      </c>
      <c r="H166" s="161">
        <v>150</v>
      </c>
      <c r="I166" s="207">
        <v>50</v>
      </c>
      <c r="J166" s="242">
        <f t="shared" si="30"/>
        <v>7500</v>
      </c>
      <c r="K166" s="153"/>
      <c r="V166" s="25">
        <f t="shared" si="31"/>
        <v>1</v>
      </c>
      <c r="W166" s="25">
        <f t="shared" si="32"/>
        <v>0</v>
      </c>
    </row>
    <row r="167" spans="1:23" x14ac:dyDescent="0.3">
      <c r="A167" s="147"/>
      <c r="B167" s="205">
        <f t="shared" si="33"/>
        <v>14</v>
      </c>
      <c r="C167" s="206">
        <v>44460</v>
      </c>
      <c r="D167" s="161" t="s">
        <v>8</v>
      </c>
      <c r="E167" s="161" t="s">
        <v>301</v>
      </c>
      <c r="F167" s="207">
        <v>37050</v>
      </c>
      <c r="G167" s="207">
        <v>36750</v>
      </c>
      <c r="H167" s="161">
        <v>300</v>
      </c>
      <c r="I167" s="207">
        <v>50</v>
      </c>
      <c r="J167" s="242">
        <f t="shared" si="30"/>
        <v>15000</v>
      </c>
      <c r="K167" s="153"/>
      <c r="V167" s="25">
        <f t="shared" si="31"/>
        <v>1</v>
      </c>
      <c r="W167" s="25">
        <f t="shared" si="32"/>
        <v>0</v>
      </c>
    </row>
    <row r="168" spans="1:23" x14ac:dyDescent="0.3">
      <c r="A168" s="147"/>
      <c r="B168" s="205">
        <f t="shared" si="33"/>
        <v>15</v>
      </c>
      <c r="C168" s="206">
        <v>44461</v>
      </c>
      <c r="D168" s="161" t="s">
        <v>9</v>
      </c>
      <c r="E168" s="161" t="s">
        <v>301</v>
      </c>
      <c r="F168" s="207">
        <v>37300</v>
      </c>
      <c r="G168" s="207">
        <v>37150</v>
      </c>
      <c r="H168" s="161">
        <v>-150</v>
      </c>
      <c r="I168" s="207">
        <v>50</v>
      </c>
      <c r="J168" s="242">
        <f t="shared" si="30"/>
        <v>-7500</v>
      </c>
      <c r="K168" s="153"/>
      <c r="V168" s="25">
        <f t="shared" si="31"/>
        <v>0</v>
      </c>
      <c r="W168" s="25">
        <f t="shared" si="32"/>
        <v>1</v>
      </c>
    </row>
    <row r="169" spans="1:23" x14ac:dyDescent="0.3">
      <c r="A169" s="147"/>
      <c r="B169" s="205">
        <f t="shared" si="33"/>
        <v>16</v>
      </c>
      <c r="C169" s="206">
        <v>44462</v>
      </c>
      <c r="D169" s="161" t="s">
        <v>9</v>
      </c>
      <c r="E169" s="161" t="s">
        <v>301</v>
      </c>
      <c r="F169" s="207">
        <v>37550</v>
      </c>
      <c r="G169" s="207">
        <v>37850</v>
      </c>
      <c r="H169" s="161">
        <v>300</v>
      </c>
      <c r="I169" s="207">
        <v>50</v>
      </c>
      <c r="J169" s="242">
        <f t="shared" si="30"/>
        <v>15000</v>
      </c>
      <c r="K169" s="153"/>
      <c r="V169" s="25">
        <f t="shared" si="31"/>
        <v>1</v>
      </c>
      <c r="W169" s="25">
        <f t="shared" si="32"/>
        <v>0</v>
      </c>
    </row>
    <row r="170" spans="1:23" x14ac:dyDescent="0.3">
      <c r="A170" s="147"/>
      <c r="B170" s="205">
        <f t="shared" si="33"/>
        <v>17</v>
      </c>
      <c r="C170" s="206">
        <v>44463</v>
      </c>
      <c r="D170" s="161" t="s">
        <v>9</v>
      </c>
      <c r="E170" s="161" t="s">
        <v>301</v>
      </c>
      <c r="F170" s="207">
        <v>37900</v>
      </c>
      <c r="G170" s="207">
        <v>38000</v>
      </c>
      <c r="H170" s="161">
        <v>100</v>
      </c>
      <c r="I170" s="207">
        <v>50</v>
      </c>
      <c r="J170" s="242">
        <f t="shared" si="30"/>
        <v>5000</v>
      </c>
      <c r="K170" s="153"/>
      <c r="V170" s="25">
        <f t="shared" si="31"/>
        <v>1</v>
      </c>
      <c r="W170" s="25">
        <f t="shared" si="32"/>
        <v>0</v>
      </c>
    </row>
    <row r="171" spans="1:23" x14ac:dyDescent="0.3">
      <c r="A171" s="147"/>
      <c r="B171" s="205">
        <f t="shared" si="33"/>
        <v>18</v>
      </c>
      <c r="C171" s="206">
        <v>44466</v>
      </c>
      <c r="D171" s="161" t="s">
        <v>9</v>
      </c>
      <c r="E171" s="161" t="s">
        <v>301</v>
      </c>
      <c r="F171" s="207">
        <v>38300</v>
      </c>
      <c r="G171" s="207">
        <v>38380</v>
      </c>
      <c r="H171" s="161">
        <v>80</v>
      </c>
      <c r="I171" s="207">
        <v>50</v>
      </c>
      <c r="J171" s="242">
        <f t="shared" si="30"/>
        <v>4000</v>
      </c>
      <c r="K171" s="153"/>
      <c r="V171" s="25">
        <f t="shared" si="31"/>
        <v>1</v>
      </c>
      <c r="W171" s="25">
        <f t="shared" si="32"/>
        <v>0</v>
      </c>
    </row>
    <row r="172" spans="1:23" x14ac:dyDescent="0.3">
      <c r="A172" s="147"/>
      <c r="B172" s="205">
        <f t="shared" si="33"/>
        <v>19</v>
      </c>
      <c r="C172" s="206">
        <v>44467</v>
      </c>
      <c r="D172" s="161" t="s">
        <v>8</v>
      </c>
      <c r="E172" s="161" t="s">
        <v>301</v>
      </c>
      <c r="F172" s="207">
        <v>38150</v>
      </c>
      <c r="G172" s="207">
        <v>37850</v>
      </c>
      <c r="H172" s="161">
        <v>300</v>
      </c>
      <c r="I172" s="207">
        <v>50</v>
      </c>
      <c r="J172" s="242">
        <f t="shared" si="30"/>
        <v>15000</v>
      </c>
      <c r="K172" s="153"/>
      <c r="V172" s="25">
        <f t="shared" si="31"/>
        <v>1</v>
      </c>
      <c r="W172" s="25">
        <f t="shared" si="32"/>
        <v>0</v>
      </c>
    </row>
    <row r="173" spans="1:23" x14ac:dyDescent="0.3">
      <c r="A173" s="147"/>
      <c r="B173" s="205">
        <f t="shared" si="33"/>
        <v>20</v>
      </c>
      <c r="C173" s="206">
        <v>44468</v>
      </c>
      <c r="D173" s="161" t="s">
        <v>9</v>
      </c>
      <c r="E173" s="161" t="s">
        <v>301</v>
      </c>
      <c r="F173" s="207">
        <v>37700</v>
      </c>
      <c r="G173" s="207">
        <v>37760</v>
      </c>
      <c r="H173" s="161">
        <v>60</v>
      </c>
      <c r="I173" s="207">
        <v>50</v>
      </c>
      <c r="J173" s="242">
        <f t="shared" si="30"/>
        <v>3000</v>
      </c>
      <c r="K173" s="153"/>
      <c r="V173" s="25">
        <f t="shared" si="31"/>
        <v>1</v>
      </c>
      <c r="W173" s="25">
        <f t="shared" si="32"/>
        <v>0</v>
      </c>
    </row>
    <row r="174" spans="1:23" x14ac:dyDescent="0.3">
      <c r="A174" s="147"/>
      <c r="B174" s="205">
        <f t="shared" si="33"/>
        <v>21</v>
      </c>
      <c r="C174" s="206">
        <v>44469</v>
      </c>
      <c r="D174" s="161" t="s">
        <v>8</v>
      </c>
      <c r="E174" s="161" t="s">
        <v>301</v>
      </c>
      <c r="F174" s="207">
        <v>37750</v>
      </c>
      <c r="G174" s="207">
        <v>37690</v>
      </c>
      <c r="H174" s="161">
        <f>37750-37690</f>
        <v>60</v>
      </c>
      <c r="I174" s="207">
        <v>50</v>
      </c>
      <c r="J174" s="242">
        <f t="shared" si="30"/>
        <v>3000</v>
      </c>
      <c r="K174" s="153"/>
      <c r="V174" s="25">
        <f t="shared" si="31"/>
        <v>1</v>
      </c>
      <c r="W174" s="25">
        <f t="shared" si="32"/>
        <v>0</v>
      </c>
    </row>
    <row r="175" spans="1:23" x14ac:dyDescent="0.3">
      <c r="A175" s="147"/>
      <c r="B175" s="205">
        <f t="shared" si="33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0"/>
        <v>0</v>
      </c>
      <c r="K175" s="153"/>
      <c r="V175" s="25">
        <f t="shared" si="31"/>
        <v>0</v>
      </c>
      <c r="W175" s="25">
        <f t="shared" si="32"/>
        <v>0</v>
      </c>
    </row>
    <row r="176" spans="1:23" ht="15" thickBot="1" x14ac:dyDescent="0.35">
      <c r="A176" s="147"/>
      <c r="B176" s="208">
        <f t="shared" si="33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0"/>
        <v>0</v>
      </c>
      <c r="K176" s="153"/>
      <c r="V176" s="25">
        <f t="shared" si="31"/>
        <v>0</v>
      </c>
      <c r="W176" s="25">
        <f t="shared" si="32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123700</v>
      </c>
      <c r="K177" s="153"/>
      <c r="V177" s="25">
        <f>SUM(V154:V176)</f>
        <v>18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3451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44440</v>
      </c>
      <c r="D185" s="185" t="s">
        <v>9</v>
      </c>
      <c r="E185" s="185" t="s">
        <v>3259</v>
      </c>
      <c r="F185" s="219">
        <v>200</v>
      </c>
      <c r="G185" s="219">
        <v>100</v>
      </c>
      <c r="H185" s="185">
        <v>-100</v>
      </c>
      <c r="I185" s="219">
        <v>100</v>
      </c>
      <c r="J185" s="246">
        <f t="shared" ref="J185:J207" si="34">I185*H185</f>
        <v>-10000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44441</v>
      </c>
      <c r="D186" s="185" t="s">
        <v>9</v>
      </c>
      <c r="E186" s="185" t="s">
        <v>3447</v>
      </c>
      <c r="F186" s="219">
        <v>150</v>
      </c>
      <c r="G186" s="219">
        <v>350</v>
      </c>
      <c r="H186" s="185">
        <v>200</v>
      </c>
      <c r="I186" s="219">
        <v>100</v>
      </c>
      <c r="J186" s="242">
        <f t="shared" si="34"/>
        <v>20000</v>
      </c>
      <c r="K186" s="153"/>
      <c r="V186" s="25">
        <f t="shared" ref="V186:V207" si="35">IF($J186&gt;0,1,0)</f>
        <v>1</v>
      </c>
      <c r="W186" s="25">
        <f t="shared" ref="W186:W207" si="36">IF($J186&lt;0,1,0)</f>
        <v>0</v>
      </c>
    </row>
    <row r="187" spans="1:23" x14ac:dyDescent="0.3">
      <c r="A187" s="147"/>
      <c r="B187" s="205">
        <f t="shared" ref="B187:B207" si="37">B186+1</f>
        <v>3</v>
      </c>
      <c r="C187" s="206">
        <v>44442</v>
      </c>
      <c r="D187" s="161" t="s">
        <v>9</v>
      </c>
      <c r="E187" s="161" t="s">
        <v>3461</v>
      </c>
      <c r="F187" s="207">
        <v>280</v>
      </c>
      <c r="G187" s="207">
        <v>180</v>
      </c>
      <c r="H187" s="161">
        <v>-100</v>
      </c>
      <c r="I187" s="207">
        <v>100</v>
      </c>
      <c r="J187" s="242">
        <f t="shared" si="34"/>
        <v>-10000</v>
      </c>
      <c r="K187" s="153"/>
      <c r="V187" s="25">
        <f t="shared" si="35"/>
        <v>0</v>
      </c>
      <c r="W187" s="25">
        <f t="shared" si="36"/>
        <v>1</v>
      </c>
    </row>
    <row r="188" spans="1:23" x14ac:dyDescent="0.3">
      <c r="A188" s="147"/>
      <c r="B188" s="205">
        <f t="shared" si="37"/>
        <v>4</v>
      </c>
      <c r="C188" s="206">
        <v>44445</v>
      </c>
      <c r="D188" s="161" t="s">
        <v>9</v>
      </c>
      <c r="E188" s="161" t="s">
        <v>3466</v>
      </c>
      <c r="F188" s="207">
        <v>320</v>
      </c>
      <c r="G188" s="207">
        <v>220</v>
      </c>
      <c r="H188" s="161">
        <v>-100</v>
      </c>
      <c r="I188" s="207">
        <v>100</v>
      </c>
      <c r="J188" s="242">
        <f t="shared" si="34"/>
        <v>-10000</v>
      </c>
      <c r="K188" s="153"/>
      <c r="V188" s="25">
        <f t="shared" si="35"/>
        <v>0</v>
      </c>
      <c r="W188" s="25">
        <f t="shared" si="36"/>
        <v>1</v>
      </c>
    </row>
    <row r="189" spans="1:23" x14ac:dyDescent="0.3">
      <c r="A189" s="147"/>
      <c r="B189" s="205">
        <f t="shared" si="37"/>
        <v>5</v>
      </c>
      <c r="C189" s="206">
        <v>44446</v>
      </c>
      <c r="D189" s="161" t="s">
        <v>9</v>
      </c>
      <c r="E189" s="161" t="s">
        <v>3467</v>
      </c>
      <c r="F189" s="207">
        <v>300</v>
      </c>
      <c r="G189" s="207">
        <v>385</v>
      </c>
      <c r="H189" s="161">
        <v>85</v>
      </c>
      <c r="I189" s="207">
        <v>100</v>
      </c>
      <c r="J189" s="242">
        <f t="shared" si="34"/>
        <v>8500</v>
      </c>
      <c r="K189" s="153"/>
      <c r="O189" s="25" t="s">
        <v>2008</v>
      </c>
      <c r="V189" s="25">
        <f t="shared" si="35"/>
        <v>1</v>
      </c>
      <c r="W189" s="25">
        <f t="shared" si="36"/>
        <v>0</v>
      </c>
    </row>
    <row r="190" spans="1:23" x14ac:dyDescent="0.3">
      <c r="A190" s="147"/>
      <c r="B190" s="205">
        <f t="shared" si="37"/>
        <v>6</v>
      </c>
      <c r="C190" s="206">
        <v>44447</v>
      </c>
      <c r="D190" s="161" t="s">
        <v>9</v>
      </c>
      <c r="E190" s="161" t="s">
        <v>3472</v>
      </c>
      <c r="F190" s="207">
        <v>170</v>
      </c>
      <c r="G190" s="207">
        <v>259</v>
      </c>
      <c r="H190" s="161">
        <f>259-170</f>
        <v>89</v>
      </c>
      <c r="I190" s="207">
        <v>100</v>
      </c>
      <c r="J190" s="242">
        <f t="shared" si="34"/>
        <v>8900</v>
      </c>
      <c r="K190" s="153"/>
      <c r="V190" s="25">
        <f t="shared" si="35"/>
        <v>1</v>
      </c>
      <c r="W190" s="25">
        <f t="shared" si="36"/>
        <v>0</v>
      </c>
    </row>
    <row r="191" spans="1:23" x14ac:dyDescent="0.3">
      <c r="A191" s="147"/>
      <c r="B191" s="205">
        <f t="shared" si="37"/>
        <v>7</v>
      </c>
      <c r="C191" s="206">
        <v>44448</v>
      </c>
      <c r="D191" s="161" t="s">
        <v>9</v>
      </c>
      <c r="E191" s="161" t="s">
        <v>3472</v>
      </c>
      <c r="F191" s="207">
        <v>100</v>
      </c>
      <c r="G191" s="207">
        <v>20</v>
      </c>
      <c r="H191" s="161">
        <v>-80</v>
      </c>
      <c r="I191" s="207">
        <v>100</v>
      </c>
      <c r="J191" s="242">
        <f t="shared" si="34"/>
        <v>-8000</v>
      </c>
      <c r="K191" s="153"/>
      <c r="V191" s="25">
        <f t="shared" si="35"/>
        <v>0</v>
      </c>
      <c r="W191" s="25">
        <f t="shared" si="36"/>
        <v>1</v>
      </c>
    </row>
    <row r="192" spans="1:23" x14ac:dyDescent="0.3">
      <c r="A192" s="147"/>
      <c r="B192" s="205">
        <f t="shared" si="37"/>
        <v>8</v>
      </c>
      <c r="C192" s="206">
        <v>44452</v>
      </c>
      <c r="D192" s="161" t="s">
        <v>9</v>
      </c>
      <c r="E192" s="161" t="s">
        <v>3481</v>
      </c>
      <c r="F192" s="207">
        <v>300</v>
      </c>
      <c r="G192" s="207">
        <v>340</v>
      </c>
      <c r="H192" s="161">
        <v>40</v>
      </c>
      <c r="I192" s="207">
        <v>100</v>
      </c>
      <c r="J192" s="242">
        <f t="shared" si="34"/>
        <v>4000</v>
      </c>
      <c r="K192" s="153"/>
      <c r="V192" s="25">
        <f t="shared" si="35"/>
        <v>1</v>
      </c>
      <c r="W192" s="25">
        <f t="shared" si="36"/>
        <v>0</v>
      </c>
    </row>
    <row r="193" spans="1:23" x14ac:dyDescent="0.3">
      <c r="A193" s="147"/>
      <c r="B193" s="205">
        <f t="shared" si="37"/>
        <v>9</v>
      </c>
      <c r="C193" s="206">
        <v>44453</v>
      </c>
      <c r="D193" s="161" t="s">
        <v>9</v>
      </c>
      <c r="E193" s="161" t="s">
        <v>3240</v>
      </c>
      <c r="F193" s="207">
        <v>150</v>
      </c>
      <c r="G193" s="207">
        <v>110</v>
      </c>
      <c r="H193" s="161">
        <v>-40</v>
      </c>
      <c r="I193" s="207">
        <v>100</v>
      </c>
      <c r="J193" s="242">
        <f t="shared" si="34"/>
        <v>-4000</v>
      </c>
      <c r="K193" s="153"/>
      <c r="V193" s="25">
        <f t="shared" si="35"/>
        <v>0</v>
      </c>
      <c r="W193" s="25">
        <f t="shared" si="36"/>
        <v>1</v>
      </c>
    </row>
    <row r="194" spans="1:23" x14ac:dyDescent="0.3">
      <c r="A194" s="147"/>
      <c r="B194" s="205">
        <f t="shared" si="37"/>
        <v>10</v>
      </c>
      <c r="C194" s="206">
        <v>44454</v>
      </c>
      <c r="D194" s="161" t="s">
        <v>9</v>
      </c>
      <c r="E194" s="161" t="s">
        <v>3246</v>
      </c>
      <c r="F194" s="207">
        <v>170</v>
      </c>
      <c r="G194" s="207">
        <v>370</v>
      </c>
      <c r="H194" s="161">
        <v>200</v>
      </c>
      <c r="I194" s="207">
        <v>100</v>
      </c>
      <c r="J194" s="242">
        <f t="shared" si="34"/>
        <v>20000</v>
      </c>
      <c r="K194" s="153"/>
      <c r="V194" s="25">
        <f t="shared" si="35"/>
        <v>1</v>
      </c>
      <c r="W194" s="25">
        <f t="shared" si="36"/>
        <v>0</v>
      </c>
    </row>
    <row r="195" spans="1:23" x14ac:dyDescent="0.3">
      <c r="A195" s="147"/>
      <c r="B195" s="205">
        <f t="shared" si="37"/>
        <v>11</v>
      </c>
      <c r="C195" s="206">
        <v>44455</v>
      </c>
      <c r="D195" s="161" t="s">
        <v>9</v>
      </c>
      <c r="E195" s="161" t="s">
        <v>3242</v>
      </c>
      <c r="F195" s="207">
        <v>100</v>
      </c>
      <c r="G195" s="207">
        <v>260</v>
      </c>
      <c r="H195" s="161">
        <v>160</v>
      </c>
      <c r="I195" s="207">
        <v>100</v>
      </c>
      <c r="J195" s="242">
        <f t="shared" si="34"/>
        <v>16000</v>
      </c>
      <c r="K195" s="153"/>
      <c r="V195" s="25">
        <f t="shared" si="35"/>
        <v>1</v>
      </c>
      <c r="W195" s="25">
        <f t="shared" si="36"/>
        <v>0</v>
      </c>
    </row>
    <row r="196" spans="1:23" x14ac:dyDescent="0.3">
      <c r="A196" s="147"/>
      <c r="B196" s="205">
        <f t="shared" si="37"/>
        <v>12</v>
      </c>
      <c r="C196" s="206">
        <v>44456</v>
      </c>
      <c r="D196" s="161" t="s">
        <v>9</v>
      </c>
      <c r="E196" s="161" t="s">
        <v>3488</v>
      </c>
      <c r="F196" s="207">
        <v>370</v>
      </c>
      <c r="G196" s="207">
        <v>510</v>
      </c>
      <c r="H196" s="161">
        <v>140</v>
      </c>
      <c r="I196" s="207">
        <v>100</v>
      </c>
      <c r="J196" s="242">
        <f t="shared" si="34"/>
        <v>14000</v>
      </c>
      <c r="K196" s="153"/>
      <c r="V196" s="25">
        <f t="shared" si="35"/>
        <v>1</v>
      </c>
      <c r="W196" s="25">
        <f t="shared" si="36"/>
        <v>0</v>
      </c>
    </row>
    <row r="197" spans="1:23" x14ac:dyDescent="0.3">
      <c r="A197" s="147"/>
      <c r="B197" s="205">
        <f t="shared" si="37"/>
        <v>13</v>
      </c>
      <c r="C197" s="206">
        <v>44459</v>
      </c>
      <c r="D197" s="161" t="s">
        <v>9</v>
      </c>
      <c r="E197" s="161" t="s">
        <v>3492</v>
      </c>
      <c r="F197" s="207">
        <v>290</v>
      </c>
      <c r="G197" s="207">
        <v>370</v>
      </c>
      <c r="H197" s="161">
        <f>370-290</f>
        <v>80</v>
      </c>
      <c r="I197" s="207">
        <v>100</v>
      </c>
      <c r="J197" s="242">
        <f t="shared" si="34"/>
        <v>8000</v>
      </c>
      <c r="K197" s="153"/>
      <c r="V197" s="25">
        <f t="shared" si="35"/>
        <v>1</v>
      </c>
      <c r="W197" s="25">
        <f t="shared" si="36"/>
        <v>0</v>
      </c>
    </row>
    <row r="198" spans="1:23" x14ac:dyDescent="0.3">
      <c r="A198" s="147"/>
      <c r="B198" s="205">
        <f t="shared" si="37"/>
        <v>14</v>
      </c>
      <c r="C198" s="206">
        <v>44460</v>
      </c>
      <c r="D198" s="161" t="s">
        <v>9</v>
      </c>
      <c r="E198" s="161" t="s">
        <v>3493</v>
      </c>
      <c r="F198" s="207">
        <v>350</v>
      </c>
      <c r="G198" s="207">
        <v>550</v>
      </c>
      <c r="H198" s="161">
        <v>200</v>
      </c>
      <c r="I198" s="207">
        <v>100</v>
      </c>
      <c r="J198" s="242">
        <f t="shared" si="34"/>
        <v>20000</v>
      </c>
      <c r="K198" s="153"/>
      <c r="V198" s="25">
        <f t="shared" si="35"/>
        <v>1</v>
      </c>
      <c r="W198" s="25">
        <f t="shared" si="36"/>
        <v>0</v>
      </c>
    </row>
    <row r="199" spans="1:23" x14ac:dyDescent="0.3">
      <c r="A199" s="147"/>
      <c r="B199" s="205">
        <f t="shared" si="37"/>
        <v>15</v>
      </c>
      <c r="C199" s="206">
        <v>44461</v>
      </c>
      <c r="D199" s="161" t="s">
        <v>9</v>
      </c>
      <c r="E199" s="161" t="s">
        <v>3494</v>
      </c>
      <c r="F199" s="207">
        <v>270</v>
      </c>
      <c r="G199" s="207">
        <v>335</v>
      </c>
      <c r="H199" s="161">
        <f>335-270</f>
        <v>65</v>
      </c>
      <c r="I199" s="207">
        <v>100</v>
      </c>
      <c r="J199" s="242">
        <f t="shared" si="34"/>
        <v>6500</v>
      </c>
      <c r="K199" s="153"/>
      <c r="V199" s="25">
        <f t="shared" si="35"/>
        <v>1</v>
      </c>
      <c r="W199" s="25">
        <f t="shared" si="36"/>
        <v>0</v>
      </c>
    </row>
    <row r="200" spans="1:23" x14ac:dyDescent="0.3">
      <c r="A200" s="147"/>
      <c r="B200" s="205">
        <f t="shared" si="37"/>
        <v>16</v>
      </c>
      <c r="C200" s="206">
        <v>44462</v>
      </c>
      <c r="D200" s="161" t="s">
        <v>9</v>
      </c>
      <c r="E200" s="161" t="s">
        <v>3495</v>
      </c>
      <c r="F200" s="207">
        <v>150</v>
      </c>
      <c r="G200" s="207">
        <v>200</v>
      </c>
      <c r="H200" s="161">
        <v>50</v>
      </c>
      <c r="I200" s="207">
        <v>100</v>
      </c>
      <c r="J200" s="242">
        <f t="shared" si="34"/>
        <v>5000</v>
      </c>
      <c r="K200" s="153"/>
      <c r="V200" s="25">
        <f t="shared" si="35"/>
        <v>1</v>
      </c>
      <c r="W200" s="25">
        <f t="shared" si="36"/>
        <v>0</v>
      </c>
    </row>
    <row r="201" spans="1:23" x14ac:dyDescent="0.3">
      <c r="A201" s="147"/>
      <c r="B201" s="205">
        <f t="shared" si="37"/>
        <v>17</v>
      </c>
      <c r="C201" s="206">
        <v>44463</v>
      </c>
      <c r="D201" s="161" t="s">
        <v>9</v>
      </c>
      <c r="E201" s="161" t="s">
        <v>3488</v>
      </c>
      <c r="F201" s="207">
        <v>400</v>
      </c>
      <c r="G201" s="207">
        <v>460</v>
      </c>
      <c r="H201" s="161">
        <v>60</v>
      </c>
      <c r="I201" s="207">
        <v>100</v>
      </c>
      <c r="J201" s="242">
        <f t="shared" si="34"/>
        <v>6000</v>
      </c>
      <c r="K201" s="153"/>
      <c r="V201" s="25">
        <f t="shared" si="35"/>
        <v>1</v>
      </c>
      <c r="W201" s="25">
        <f t="shared" si="36"/>
        <v>0</v>
      </c>
    </row>
    <row r="202" spans="1:23" x14ac:dyDescent="0.3">
      <c r="A202" s="147"/>
      <c r="B202" s="205">
        <f t="shared" si="37"/>
        <v>18</v>
      </c>
      <c r="C202" s="206">
        <v>44466</v>
      </c>
      <c r="D202" s="161" t="s">
        <v>9</v>
      </c>
      <c r="E202" s="161" t="s">
        <v>3506</v>
      </c>
      <c r="F202" s="207">
        <v>320</v>
      </c>
      <c r="G202" s="207">
        <v>220</v>
      </c>
      <c r="H202" s="161">
        <v>-100</v>
      </c>
      <c r="I202" s="207">
        <v>100</v>
      </c>
      <c r="J202" s="242">
        <f t="shared" si="34"/>
        <v>-10000</v>
      </c>
      <c r="K202" s="153"/>
      <c r="V202" s="25">
        <f t="shared" si="35"/>
        <v>0</v>
      </c>
      <c r="W202" s="25">
        <f t="shared" si="36"/>
        <v>1</v>
      </c>
    </row>
    <row r="203" spans="1:23" x14ac:dyDescent="0.3">
      <c r="A203" s="147"/>
      <c r="B203" s="205">
        <f t="shared" si="37"/>
        <v>19</v>
      </c>
      <c r="C203" s="206">
        <v>44467</v>
      </c>
      <c r="D203" s="161" t="s">
        <v>9</v>
      </c>
      <c r="E203" s="161" t="s">
        <v>3507</v>
      </c>
      <c r="F203" s="207">
        <v>270</v>
      </c>
      <c r="G203" s="207">
        <v>470</v>
      </c>
      <c r="H203" s="161">
        <v>200</v>
      </c>
      <c r="I203" s="207">
        <v>100</v>
      </c>
      <c r="J203" s="242">
        <f t="shared" si="34"/>
        <v>20000</v>
      </c>
      <c r="K203" s="153"/>
      <c r="V203" s="25">
        <f t="shared" si="35"/>
        <v>1</v>
      </c>
      <c r="W203" s="25">
        <f t="shared" si="36"/>
        <v>0</v>
      </c>
    </row>
    <row r="204" spans="1:23" x14ac:dyDescent="0.3">
      <c r="A204" s="147"/>
      <c r="B204" s="205">
        <f t="shared" si="37"/>
        <v>20</v>
      </c>
      <c r="C204" s="206">
        <v>44468</v>
      </c>
      <c r="D204" s="161" t="s">
        <v>9</v>
      </c>
      <c r="E204" s="161" t="s">
        <v>3508</v>
      </c>
      <c r="F204" s="207">
        <v>260</v>
      </c>
      <c r="G204" s="207">
        <v>160</v>
      </c>
      <c r="H204" s="161">
        <v>-100</v>
      </c>
      <c r="I204" s="207">
        <v>100</v>
      </c>
      <c r="J204" s="242">
        <f t="shared" si="34"/>
        <v>-10000</v>
      </c>
      <c r="K204" s="153"/>
      <c r="V204" s="25">
        <f t="shared" si="35"/>
        <v>0</v>
      </c>
      <c r="W204" s="25">
        <f t="shared" si="36"/>
        <v>1</v>
      </c>
    </row>
    <row r="205" spans="1:23" x14ac:dyDescent="0.3">
      <c r="A205" s="147"/>
      <c r="B205" s="205">
        <f t="shared" si="37"/>
        <v>21</v>
      </c>
      <c r="C205" s="206">
        <v>44469</v>
      </c>
      <c r="D205" s="161" t="s">
        <v>9</v>
      </c>
      <c r="E205" s="161" t="s">
        <v>3509</v>
      </c>
      <c r="F205" s="207">
        <v>170</v>
      </c>
      <c r="G205" s="207">
        <v>370</v>
      </c>
      <c r="H205" s="161">
        <v>200</v>
      </c>
      <c r="I205" s="207">
        <v>100</v>
      </c>
      <c r="J205" s="242">
        <f t="shared" si="34"/>
        <v>20000</v>
      </c>
      <c r="K205" s="153"/>
      <c r="V205" s="25">
        <f t="shared" si="35"/>
        <v>1</v>
      </c>
      <c r="W205" s="25">
        <f t="shared" si="36"/>
        <v>0</v>
      </c>
    </row>
    <row r="206" spans="1:23" x14ac:dyDescent="0.3">
      <c r="A206" s="147"/>
      <c r="B206" s="205">
        <f t="shared" si="37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4"/>
        <v>0</v>
      </c>
      <c r="K206" s="153"/>
      <c r="V206" s="25">
        <f t="shared" si="35"/>
        <v>0</v>
      </c>
      <c r="W206" s="25">
        <f t="shared" si="36"/>
        <v>0</v>
      </c>
    </row>
    <row r="207" spans="1:23" ht="15" thickBot="1" x14ac:dyDescent="0.35">
      <c r="A207" s="147"/>
      <c r="B207" s="208">
        <f t="shared" si="37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4"/>
        <v>0</v>
      </c>
      <c r="K207" s="153"/>
      <c r="V207" s="25">
        <f t="shared" si="35"/>
        <v>0</v>
      </c>
      <c r="W207" s="25">
        <f t="shared" si="36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114900</v>
      </c>
      <c r="K208" s="153"/>
      <c r="V208" s="25">
        <f>SUM(V185:V207)</f>
        <v>14</v>
      </c>
      <c r="W208" s="25">
        <f>SUM(W185:W207)</f>
        <v>7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3450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44440</v>
      </c>
      <c r="D216" s="185" t="s">
        <v>9</v>
      </c>
      <c r="E216" s="185" t="s">
        <v>3455</v>
      </c>
      <c r="F216" s="231">
        <v>125</v>
      </c>
      <c r="G216" s="231">
        <v>150</v>
      </c>
      <c r="H216" s="231">
        <v>25</v>
      </c>
      <c r="I216" s="219">
        <v>200</v>
      </c>
      <c r="J216" s="246">
        <f t="shared" ref="J216:J239" si="38"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44441</v>
      </c>
      <c r="D217" s="185" t="s">
        <v>9</v>
      </c>
      <c r="E217" s="185" t="s">
        <v>3459</v>
      </c>
      <c r="F217" s="231">
        <v>190</v>
      </c>
      <c r="G217" s="231">
        <v>229</v>
      </c>
      <c r="H217" s="231">
        <f>229-190</f>
        <v>39</v>
      </c>
      <c r="I217" s="219">
        <v>125</v>
      </c>
      <c r="J217" s="242">
        <f>I217*H217</f>
        <v>4875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9">B217+1</f>
        <v>3</v>
      </c>
      <c r="C218" s="206">
        <v>44442</v>
      </c>
      <c r="D218" s="161" t="s">
        <v>9</v>
      </c>
      <c r="E218" s="161" t="s">
        <v>3460</v>
      </c>
      <c r="F218" s="222">
        <v>50</v>
      </c>
      <c r="G218" s="222">
        <v>78</v>
      </c>
      <c r="H218" s="222">
        <f>78-50</f>
        <v>28</v>
      </c>
      <c r="I218" s="207">
        <v>300</v>
      </c>
      <c r="J218" s="242">
        <f t="shared" si="38"/>
        <v>8400</v>
      </c>
      <c r="K218" s="153"/>
      <c r="V218" s="25">
        <f t="shared" ref="V218:V239" si="40">IF($J218&gt;0,1,0)</f>
        <v>1</v>
      </c>
      <c r="W218" s="25">
        <f t="shared" ref="W218:W239" si="41">IF($J218&lt;0,1,0)</f>
        <v>0</v>
      </c>
    </row>
    <row r="219" spans="1:23" x14ac:dyDescent="0.3">
      <c r="A219" s="147"/>
      <c r="B219" s="205">
        <f t="shared" si="39"/>
        <v>4</v>
      </c>
      <c r="C219" s="206">
        <v>44445</v>
      </c>
      <c r="D219" s="161" t="s">
        <v>9</v>
      </c>
      <c r="E219" s="161" t="s">
        <v>3469</v>
      </c>
      <c r="F219" s="222">
        <v>110</v>
      </c>
      <c r="G219" s="222">
        <v>125</v>
      </c>
      <c r="H219" s="222">
        <f>125-110</f>
        <v>15</v>
      </c>
      <c r="I219" s="207">
        <v>250</v>
      </c>
      <c r="J219" s="242">
        <f t="shared" si="38"/>
        <v>3750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5</v>
      </c>
      <c r="C220" s="206">
        <v>44446</v>
      </c>
      <c r="D220" s="161" t="s">
        <v>9</v>
      </c>
      <c r="E220" s="161" t="s">
        <v>3470</v>
      </c>
      <c r="F220" s="222">
        <v>105</v>
      </c>
      <c r="G220" s="222">
        <v>155</v>
      </c>
      <c r="H220" s="222">
        <f>155-105</f>
        <v>50</v>
      </c>
      <c r="I220" s="207">
        <v>325</v>
      </c>
      <c r="J220" s="242">
        <f t="shared" si="38"/>
        <v>16250</v>
      </c>
      <c r="K220" s="153"/>
      <c r="V220" s="25">
        <f t="shared" si="40"/>
        <v>1</v>
      </c>
      <c r="W220" s="25">
        <f t="shared" si="41"/>
        <v>0</v>
      </c>
    </row>
    <row r="221" spans="1:23" x14ac:dyDescent="0.3">
      <c r="A221" s="147"/>
      <c r="B221" s="205">
        <f t="shared" si="39"/>
        <v>6</v>
      </c>
      <c r="C221" s="206">
        <v>44447</v>
      </c>
      <c r="D221" s="161" t="s">
        <v>9</v>
      </c>
      <c r="E221" s="161" t="s">
        <v>3471</v>
      </c>
      <c r="F221" s="222">
        <v>17</v>
      </c>
      <c r="G221" s="222">
        <v>13</v>
      </c>
      <c r="H221" s="222">
        <v>-4</v>
      </c>
      <c r="I221" s="207">
        <v>1100</v>
      </c>
      <c r="J221" s="242">
        <f t="shared" si="38"/>
        <v>-4400</v>
      </c>
      <c r="K221" s="153"/>
      <c r="V221" s="25">
        <f t="shared" si="40"/>
        <v>0</v>
      </c>
      <c r="W221" s="25">
        <f t="shared" si="41"/>
        <v>1</v>
      </c>
    </row>
    <row r="222" spans="1:23" x14ac:dyDescent="0.3">
      <c r="A222" s="147"/>
      <c r="B222" s="205">
        <f t="shared" si="39"/>
        <v>7</v>
      </c>
      <c r="C222" s="206">
        <v>44448</v>
      </c>
      <c r="D222" s="161" t="s">
        <v>9</v>
      </c>
      <c r="E222" s="161" t="s">
        <v>3478</v>
      </c>
      <c r="F222" s="222">
        <v>19</v>
      </c>
      <c r="G222" s="222">
        <v>15</v>
      </c>
      <c r="H222" s="222">
        <v>-4</v>
      </c>
      <c r="I222" s="207">
        <v>1375</v>
      </c>
      <c r="J222" s="242">
        <f t="shared" si="38"/>
        <v>-5500</v>
      </c>
      <c r="K222" s="153"/>
      <c r="V222" s="25">
        <f t="shared" si="40"/>
        <v>0</v>
      </c>
      <c r="W222" s="25">
        <f t="shared" si="41"/>
        <v>1</v>
      </c>
    </row>
    <row r="223" spans="1:23" x14ac:dyDescent="0.3">
      <c r="A223" s="147"/>
      <c r="B223" s="205">
        <f t="shared" si="39"/>
        <v>8</v>
      </c>
      <c r="C223" s="206">
        <v>44452</v>
      </c>
      <c r="D223" s="161" t="s">
        <v>9</v>
      </c>
      <c r="E223" s="161" t="s">
        <v>3482</v>
      </c>
      <c r="F223" s="222">
        <v>200</v>
      </c>
      <c r="G223" s="222">
        <v>230</v>
      </c>
      <c r="H223" s="222">
        <v>30</v>
      </c>
      <c r="I223" s="207">
        <v>200</v>
      </c>
      <c r="J223" s="242">
        <f t="shared" si="38"/>
        <v>6000</v>
      </c>
      <c r="K223" s="153"/>
      <c r="V223" s="25">
        <f t="shared" si="40"/>
        <v>1</v>
      </c>
      <c r="W223" s="25">
        <f t="shared" si="41"/>
        <v>0</v>
      </c>
    </row>
    <row r="224" spans="1:23" x14ac:dyDescent="0.3">
      <c r="A224" s="147"/>
      <c r="B224" s="205">
        <f t="shared" si="39"/>
        <v>9</v>
      </c>
      <c r="C224" s="206">
        <v>44453</v>
      </c>
      <c r="D224" s="161" t="s">
        <v>9</v>
      </c>
      <c r="E224" s="161" t="s">
        <v>2724</v>
      </c>
      <c r="F224" s="222">
        <v>155</v>
      </c>
      <c r="G224" s="222">
        <v>188</v>
      </c>
      <c r="H224" s="255">
        <f>188-155</f>
        <v>33</v>
      </c>
      <c r="I224" s="207">
        <v>100</v>
      </c>
      <c r="J224" s="242">
        <f t="shared" si="38"/>
        <v>3300</v>
      </c>
      <c r="K224" s="153"/>
      <c r="V224" s="25">
        <f t="shared" si="40"/>
        <v>1</v>
      </c>
      <c r="W224" s="25">
        <f t="shared" si="41"/>
        <v>0</v>
      </c>
    </row>
    <row r="225" spans="1:23" x14ac:dyDescent="0.3">
      <c r="A225" s="147"/>
      <c r="B225" s="205">
        <f t="shared" si="39"/>
        <v>10</v>
      </c>
      <c r="C225" s="206">
        <v>44454</v>
      </c>
      <c r="D225" s="161" t="s">
        <v>9</v>
      </c>
      <c r="E225" s="161" t="s">
        <v>3483</v>
      </c>
      <c r="F225" s="222">
        <v>115</v>
      </c>
      <c r="G225" s="222">
        <v>128</v>
      </c>
      <c r="H225" s="255">
        <f>128-115</f>
        <v>13</v>
      </c>
      <c r="I225" s="207">
        <v>325</v>
      </c>
      <c r="J225" s="242">
        <f t="shared" si="38"/>
        <v>4225</v>
      </c>
      <c r="K225" s="153"/>
      <c r="V225" s="25">
        <f t="shared" si="40"/>
        <v>1</v>
      </c>
      <c r="W225" s="25">
        <f t="shared" si="41"/>
        <v>0</v>
      </c>
    </row>
    <row r="226" spans="1:23" x14ac:dyDescent="0.3">
      <c r="A226" s="147"/>
      <c r="B226" s="205">
        <f t="shared" si="39"/>
        <v>11</v>
      </c>
      <c r="C226" s="206">
        <v>44455</v>
      </c>
      <c r="D226" s="161" t="s">
        <v>9</v>
      </c>
      <c r="E226" s="161" t="s">
        <v>3484</v>
      </c>
      <c r="F226" s="222">
        <v>40</v>
      </c>
      <c r="G226" s="222">
        <v>56</v>
      </c>
      <c r="H226" s="255">
        <f>56-40</f>
        <v>16</v>
      </c>
      <c r="I226" s="207">
        <v>900</v>
      </c>
      <c r="J226" s="242">
        <f t="shared" si="38"/>
        <v>14400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12</v>
      </c>
      <c r="C227" s="206">
        <v>44455</v>
      </c>
      <c r="D227" s="161" t="s">
        <v>9</v>
      </c>
      <c r="E227" s="161" t="s">
        <v>3485</v>
      </c>
      <c r="F227" s="222">
        <v>11.5</v>
      </c>
      <c r="G227" s="222">
        <v>16.5</v>
      </c>
      <c r="H227" s="255">
        <v>5</v>
      </c>
      <c r="I227" s="207">
        <v>3000</v>
      </c>
      <c r="J227" s="242">
        <f t="shared" si="38"/>
        <v>15000</v>
      </c>
      <c r="K227" s="153"/>
      <c r="V227" s="25">
        <f t="shared" si="40"/>
        <v>1</v>
      </c>
      <c r="W227" s="25">
        <f t="shared" si="41"/>
        <v>0</v>
      </c>
    </row>
    <row r="228" spans="1:23" x14ac:dyDescent="0.3">
      <c r="A228" s="147"/>
      <c r="B228" s="205">
        <f t="shared" si="39"/>
        <v>13</v>
      </c>
      <c r="C228" s="206">
        <v>44456</v>
      </c>
      <c r="D228" s="161" t="s">
        <v>9</v>
      </c>
      <c r="E228" s="161" t="s">
        <v>3489</v>
      </c>
      <c r="F228" s="222">
        <v>22</v>
      </c>
      <c r="G228" s="222">
        <v>28</v>
      </c>
      <c r="H228" s="255">
        <v>6</v>
      </c>
      <c r="I228" s="207">
        <v>550</v>
      </c>
      <c r="J228" s="242">
        <f t="shared" si="38"/>
        <v>3300</v>
      </c>
      <c r="K228" s="153"/>
      <c r="V228" s="25">
        <f t="shared" si="40"/>
        <v>1</v>
      </c>
      <c r="W228" s="25">
        <f t="shared" si="41"/>
        <v>0</v>
      </c>
    </row>
    <row r="229" spans="1:23" x14ac:dyDescent="0.3">
      <c r="A229" s="147"/>
      <c r="B229" s="205">
        <f t="shared" si="39"/>
        <v>14</v>
      </c>
      <c r="C229" s="206">
        <v>44459</v>
      </c>
      <c r="D229" s="161" t="s">
        <v>9</v>
      </c>
      <c r="E229" s="161" t="s">
        <v>3496</v>
      </c>
      <c r="F229" s="222">
        <v>38</v>
      </c>
      <c r="G229" s="222">
        <v>30</v>
      </c>
      <c r="H229" s="255">
        <v>8</v>
      </c>
      <c r="I229" s="207">
        <v>600</v>
      </c>
      <c r="J229" s="242">
        <f>I229*H229</f>
        <v>4800</v>
      </c>
      <c r="K229" s="153"/>
      <c r="V229" s="25">
        <f t="shared" si="40"/>
        <v>1</v>
      </c>
      <c r="W229" s="25">
        <f t="shared" si="41"/>
        <v>0</v>
      </c>
    </row>
    <row r="230" spans="1:23" x14ac:dyDescent="0.3">
      <c r="A230" s="147"/>
      <c r="B230" s="205">
        <f t="shared" si="39"/>
        <v>15</v>
      </c>
      <c r="C230" s="206">
        <v>44460</v>
      </c>
      <c r="D230" s="161" t="s">
        <v>9</v>
      </c>
      <c r="E230" s="161" t="s">
        <v>3497</v>
      </c>
      <c r="F230" s="222">
        <v>70</v>
      </c>
      <c r="G230" s="222">
        <v>89.9</v>
      </c>
      <c r="H230" s="255">
        <v>9.9</v>
      </c>
      <c r="I230" s="207">
        <v>300</v>
      </c>
      <c r="J230" s="242">
        <f t="shared" si="38"/>
        <v>2970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16</v>
      </c>
      <c r="C231" s="206">
        <v>44461</v>
      </c>
      <c r="D231" s="161" t="s">
        <v>9</v>
      </c>
      <c r="E231" s="161" t="s">
        <v>3498</v>
      </c>
      <c r="F231" s="222">
        <v>65</v>
      </c>
      <c r="G231" s="222">
        <v>95</v>
      </c>
      <c r="H231" s="222">
        <v>30</v>
      </c>
      <c r="I231" s="207">
        <v>400</v>
      </c>
      <c r="J231" s="242">
        <f t="shared" si="38"/>
        <v>12000</v>
      </c>
      <c r="K231" s="153"/>
      <c r="V231" s="25">
        <f t="shared" si="40"/>
        <v>1</v>
      </c>
      <c r="W231" s="25">
        <f t="shared" si="41"/>
        <v>0</v>
      </c>
    </row>
    <row r="232" spans="1:23" x14ac:dyDescent="0.3">
      <c r="A232" s="147"/>
      <c r="B232" s="205">
        <f t="shared" si="39"/>
        <v>17</v>
      </c>
      <c r="C232" s="206">
        <v>44462</v>
      </c>
      <c r="D232" s="161" t="s">
        <v>9</v>
      </c>
      <c r="E232" s="161" t="s">
        <v>3499</v>
      </c>
      <c r="F232" s="222">
        <v>15</v>
      </c>
      <c r="G232" s="222">
        <v>19</v>
      </c>
      <c r="H232" s="222">
        <v>4</v>
      </c>
      <c r="I232" s="207">
        <v>1200</v>
      </c>
      <c r="J232" s="242">
        <f t="shared" si="38"/>
        <v>4800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18</v>
      </c>
      <c r="C233" s="206">
        <v>44463</v>
      </c>
      <c r="D233" s="161" t="s">
        <v>9</v>
      </c>
      <c r="E233" s="161" t="s">
        <v>3500</v>
      </c>
      <c r="F233" s="222">
        <v>16</v>
      </c>
      <c r="G233" s="222">
        <v>27.85</v>
      </c>
      <c r="H233" s="222">
        <f>27.85-16</f>
        <v>11.850000000000001</v>
      </c>
      <c r="I233" s="207">
        <v>550</v>
      </c>
      <c r="J233" s="242">
        <f t="shared" si="38"/>
        <v>6517.5000000000009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19</v>
      </c>
      <c r="C234" s="206">
        <v>44466</v>
      </c>
      <c r="D234" s="161" t="s">
        <v>9</v>
      </c>
      <c r="E234" s="161" t="s">
        <v>3510</v>
      </c>
      <c r="F234" s="222">
        <v>9</v>
      </c>
      <c r="G234" s="222">
        <v>10.1</v>
      </c>
      <c r="H234" s="222">
        <v>1.1000000000000001</v>
      </c>
      <c r="I234" s="207">
        <v>1200</v>
      </c>
      <c r="J234" s="242">
        <f t="shared" si="38"/>
        <v>1320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20</v>
      </c>
      <c r="C235" s="206">
        <v>44467</v>
      </c>
      <c r="D235" s="161" t="s">
        <v>9</v>
      </c>
      <c r="E235" s="161" t="s">
        <v>3511</v>
      </c>
      <c r="F235" s="222">
        <v>8</v>
      </c>
      <c r="G235" s="222">
        <v>14</v>
      </c>
      <c r="H235" s="222">
        <v>6</v>
      </c>
      <c r="I235" s="207">
        <v>1375</v>
      </c>
      <c r="J235" s="242">
        <f t="shared" si="38"/>
        <v>8250</v>
      </c>
      <c r="K235" s="153"/>
      <c r="V235" s="25">
        <f t="shared" si="40"/>
        <v>1</v>
      </c>
      <c r="W235" s="25">
        <f t="shared" si="41"/>
        <v>0</v>
      </c>
    </row>
    <row r="236" spans="1:23" x14ac:dyDescent="0.3">
      <c r="A236" s="147"/>
      <c r="B236" s="205">
        <f t="shared" si="39"/>
        <v>21</v>
      </c>
      <c r="C236" s="206">
        <v>44468</v>
      </c>
      <c r="D236" s="161" t="s">
        <v>9</v>
      </c>
      <c r="E236" s="161" t="s">
        <v>3512</v>
      </c>
      <c r="F236" s="222">
        <v>9</v>
      </c>
      <c r="G236" s="222">
        <v>17</v>
      </c>
      <c r="H236" s="222">
        <v>8</v>
      </c>
      <c r="I236" s="207">
        <v>1500</v>
      </c>
      <c r="J236" s="242">
        <f t="shared" si="38"/>
        <v>12000</v>
      </c>
      <c r="K236" s="153"/>
      <c r="V236" s="25">
        <f t="shared" si="40"/>
        <v>1</v>
      </c>
      <c r="W236" s="25">
        <f t="shared" si="41"/>
        <v>0</v>
      </c>
    </row>
    <row r="237" spans="1:23" x14ac:dyDescent="0.3">
      <c r="A237" s="147"/>
      <c r="B237" s="205">
        <f t="shared" si="39"/>
        <v>22</v>
      </c>
      <c r="C237" s="206">
        <v>44469</v>
      </c>
      <c r="D237" s="161" t="s">
        <v>9</v>
      </c>
      <c r="E237" s="161" t="s">
        <v>2088</v>
      </c>
      <c r="F237" s="222">
        <v>11</v>
      </c>
      <c r="G237" s="222">
        <v>5</v>
      </c>
      <c r="H237" s="222">
        <v>-6</v>
      </c>
      <c r="I237" s="207">
        <v>550</v>
      </c>
      <c r="J237" s="242">
        <f t="shared" si="38"/>
        <v>-3300</v>
      </c>
      <c r="K237" s="153"/>
      <c r="V237" s="25">
        <f t="shared" si="40"/>
        <v>0</v>
      </c>
      <c r="W237" s="25">
        <f t="shared" si="41"/>
        <v>1</v>
      </c>
    </row>
    <row r="238" spans="1:23" x14ac:dyDescent="0.3">
      <c r="A238" s="147"/>
      <c r="B238" s="205">
        <f t="shared" si="39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8"/>
        <v>0</v>
      </c>
      <c r="K238" s="153"/>
      <c r="V238" s="25">
        <f t="shared" si="40"/>
        <v>0</v>
      </c>
      <c r="W238" s="25">
        <f t="shared" si="41"/>
        <v>0</v>
      </c>
    </row>
    <row r="239" spans="1:23" ht="15" thickBot="1" x14ac:dyDescent="0.35">
      <c r="A239" s="147"/>
      <c r="B239" s="208">
        <f t="shared" si="39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8"/>
        <v>0</v>
      </c>
      <c r="K239" s="153"/>
      <c r="V239" s="25">
        <f t="shared" si="40"/>
        <v>0</v>
      </c>
      <c r="W239" s="25">
        <f t="shared" si="41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123957.5</v>
      </c>
      <c r="K240" s="153"/>
      <c r="V240" s="25">
        <f>SUM(V216:V239)</f>
        <v>19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500-000000000000}"/>
    <hyperlink ref="B84" r:id="rId2" xr:uid="{00000000-0004-0000-6500-000001000000}"/>
    <hyperlink ref="B115" r:id="rId3" xr:uid="{00000000-0004-0000-6500-000002000000}"/>
    <hyperlink ref="B146" r:id="rId4" xr:uid="{00000000-0004-0000-6500-000003000000}"/>
    <hyperlink ref="B177" r:id="rId5" xr:uid="{00000000-0004-0000-6500-000004000000}"/>
    <hyperlink ref="B208" r:id="rId6" xr:uid="{00000000-0004-0000-6500-000005000000}"/>
    <hyperlink ref="B240" r:id="rId7" xr:uid="{00000000-0004-0000-6500-000006000000}"/>
    <hyperlink ref="M1" location="'MASTER '!A1" display="Back" xr:uid="{00000000-0004-0000-6500-000007000000}"/>
    <hyperlink ref="M6:M7" location="'SEP 2021'!A77" display="STOCK FUTURE" xr:uid="{00000000-0004-0000-6500-000008000000}"/>
    <hyperlink ref="M12:M13" location="'SEP 2021'!A170" display="BANK NIFTY" xr:uid="{00000000-0004-0000-6500-000009000000}"/>
    <hyperlink ref="M10:M11" location="'SEP 2021'!A139" display="NF. OPTION" xr:uid="{00000000-0004-0000-6500-00000A000000}"/>
    <hyperlink ref="M8:M9" location="'SEP 2021'!A108" display="NIFTY FUTURE" xr:uid="{00000000-0004-0000-6500-00000B000000}"/>
    <hyperlink ref="M4:M5" location="'SEP 2021'!A1" display="CASH" xr:uid="{00000000-0004-0000-6500-00000C000000}"/>
    <hyperlink ref="M14:M15" location="'SEP 2021'!A201" display="B.NIFTY OPTION" xr:uid="{00000000-0004-0000-6500-00000D000000}"/>
    <hyperlink ref="M16:M17" location="'SEP 2021'!A216" display="STOCK OPTION" xr:uid="{00000000-0004-0000-6500-00000E000000}"/>
  </hyperlinks>
  <pageMargins left="0" right="0" top="0" bottom="0" header="0" footer="0"/>
  <pageSetup scale="95" orientation="portrait" r:id="rId8"/>
  <drawing r:id="rId9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W241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3513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39</v>
      </c>
      <c r="O4" s="386">
        <f>V52</f>
        <v>34</v>
      </c>
      <c r="P4" s="386">
        <f>W52</f>
        <v>5</v>
      </c>
      <c r="Q4" s="387">
        <f>N4-O4-P4</f>
        <v>0</v>
      </c>
      <c r="R4" s="380">
        <f>O4/N4</f>
        <v>0.87179487179487181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44470</v>
      </c>
      <c r="D6" s="158" t="s">
        <v>9</v>
      </c>
      <c r="E6" s="158" t="s">
        <v>2563</v>
      </c>
      <c r="F6" s="230">
        <v>1995</v>
      </c>
      <c r="G6" s="222">
        <v>2007</v>
      </c>
      <c r="H6" s="222">
        <f>2007-1995</f>
        <v>12</v>
      </c>
      <c r="I6" s="207">
        <f t="shared" ref="I6:I7" si="0">300000/F6</f>
        <v>150.37593984962405</v>
      </c>
      <c r="J6" s="161">
        <f t="shared" ref="J6:J7" si="1">H6*I6</f>
        <v>1804.5112781954886</v>
      </c>
      <c r="K6" s="153"/>
      <c r="M6" s="394" t="s">
        <v>450</v>
      </c>
      <c r="N6" s="344">
        <f>COUNT(C60:C83)</f>
        <v>21</v>
      </c>
      <c r="O6" s="346">
        <f>V84</f>
        <v>18</v>
      </c>
      <c r="P6" s="346">
        <f>W84</f>
        <v>3</v>
      </c>
      <c r="Q6" s="374">
        <f>N6-O6-P6</f>
        <v>0</v>
      </c>
      <c r="R6" s="376">
        <f t="shared" ref="R6" si="2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44470</v>
      </c>
      <c r="D7" s="161" t="s">
        <v>8</v>
      </c>
      <c r="E7" s="161" t="s">
        <v>58</v>
      </c>
      <c r="F7" s="222">
        <v>762</v>
      </c>
      <c r="G7" s="231">
        <v>770</v>
      </c>
      <c r="H7" s="255">
        <v>-8</v>
      </c>
      <c r="I7" s="207">
        <f t="shared" si="0"/>
        <v>393.70078740157481</v>
      </c>
      <c r="J7" s="161">
        <f t="shared" si="1"/>
        <v>-3149.6062992125985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44473</v>
      </c>
      <c r="D8" s="161" t="s">
        <v>9</v>
      </c>
      <c r="E8" s="161" t="s">
        <v>2707</v>
      </c>
      <c r="F8" s="222">
        <v>239</v>
      </c>
      <c r="G8" s="222">
        <v>243</v>
      </c>
      <c r="H8" s="222">
        <v>4</v>
      </c>
      <c r="I8" s="207">
        <f t="shared" ref="I8:I44" si="6">300000/F8</f>
        <v>1255.2301255230125</v>
      </c>
      <c r="J8" s="161">
        <f t="shared" ref="J8:J44" si="7">H8*I8</f>
        <v>5020.9205020920499</v>
      </c>
      <c r="K8" s="153"/>
      <c r="M8" s="394" t="s">
        <v>451</v>
      </c>
      <c r="N8" s="344">
        <f>COUNT(C92:C114)</f>
        <v>20</v>
      </c>
      <c r="O8" s="346">
        <f>V115</f>
        <v>18</v>
      </c>
      <c r="P8" s="346">
        <f>W115</f>
        <v>2</v>
      </c>
      <c r="Q8" s="374">
        <f>N8-O8-P8</f>
        <v>0</v>
      </c>
      <c r="R8" s="376">
        <f t="shared" ref="R8" si="8">O8/N8</f>
        <v>0.9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44473</v>
      </c>
      <c r="D9" s="161" t="s">
        <v>9</v>
      </c>
      <c r="E9" s="161" t="s">
        <v>3443</v>
      </c>
      <c r="F9" s="222">
        <v>2395</v>
      </c>
      <c r="G9" s="231">
        <v>2435</v>
      </c>
      <c r="H9" s="255">
        <f>2435-2395</f>
        <v>40</v>
      </c>
      <c r="I9" s="207">
        <f t="shared" si="6"/>
        <v>125.26096033402922</v>
      </c>
      <c r="J9" s="161">
        <f t="shared" si="7"/>
        <v>5010.4384133611693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44474</v>
      </c>
      <c r="D10" s="161" t="s">
        <v>9</v>
      </c>
      <c r="E10" s="161" t="s">
        <v>3473</v>
      </c>
      <c r="F10" s="222">
        <v>189</v>
      </c>
      <c r="G10" s="222">
        <v>195</v>
      </c>
      <c r="H10" s="222">
        <f>195-189</f>
        <v>6</v>
      </c>
      <c r="I10" s="207">
        <f t="shared" si="6"/>
        <v>1587.3015873015872</v>
      </c>
      <c r="J10" s="161">
        <f t="shared" si="7"/>
        <v>9523.8095238095229</v>
      </c>
      <c r="K10" s="153"/>
      <c r="M10" s="394" t="s">
        <v>1176</v>
      </c>
      <c r="N10" s="344">
        <f>COUNT(C123:C145)</f>
        <v>20</v>
      </c>
      <c r="O10" s="346">
        <f>V146</f>
        <v>20</v>
      </c>
      <c r="P10" s="346">
        <f>W146</f>
        <v>0</v>
      </c>
      <c r="Q10" s="374">
        <f>N10-O10-P10</f>
        <v>0</v>
      </c>
      <c r="R10" s="376">
        <f t="shared" ref="R10:R16" si="9">O10/N10</f>
        <v>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44474</v>
      </c>
      <c r="D11" s="161" t="s">
        <v>9</v>
      </c>
      <c r="E11" s="161" t="s">
        <v>310</v>
      </c>
      <c r="F11" s="222">
        <v>873</v>
      </c>
      <c r="G11" s="222">
        <v>883</v>
      </c>
      <c r="H11" s="255">
        <f>883-873</f>
        <v>10</v>
      </c>
      <c r="I11" s="207">
        <f t="shared" si="6"/>
        <v>343.64261168384877</v>
      </c>
      <c r="J11" s="161">
        <f t="shared" si="7"/>
        <v>3436.4261168384878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44475</v>
      </c>
      <c r="D12" s="161" t="s">
        <v>9</v>
      </c>
      <c r="E12" s="161" t="s">
        <v>250</v>
      </c>
      <c r="F12" s="222">
        <v>2270</v>
      </c>
      <c r="G12" s="222">
        <v>2250</v>
      </c>
      <c r="H12" s="222">
        <v>-20</v>
      </c>
      <c r="I12" s="207">
        <f t="shared" si="6"/>
        <v>132.15859030837004</v>
      </c>
      <c r="J12" s="161">
        <f t="shared" si="7"/>
        <v>-2643.171806167401</v>
      </c>
      <c r="K12" s="153"/>
      <c r="M12" s="394" t="s">
        <v>41</v>
      </c>
      <c r="N12" s="344">
        <f>COUNT(C154:C176)</f>
        <v>20</v>
      </c>
      <c r="O12" s="346">
        <f>V177</f>
        <v>19</v>
      </c>
      <c r="P12" s="346">
        <f>W177</f>
        <v>1</v>
      </c>
      <c r="Q12" s="374">
        <f t="shared" ref="Q12" si="10">N12-O12-P12</f>
        <v>0</v>
      </c>
      <c r="R12" s="376">
        <f t="shared" si="9"/>
        <v>0.95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44475</v>
      </c>
      <c r="D13" s="161" t="s">
        <v>9</v>
      </c>
      <c r="E13" s="161" t="s">
        <v>586</v>
      </c>
      <c r="F13" s="222">
        <v>1635</v>
      </c>
      <c r="G13" s="222">
        <v>1640</v>
      </c>
      <c r="H13" s="255">
        <v>5</v>
      </c>
      <c r="I13" s="207">
        <f t="shared" si="6"/>
        <v>183.48623853211009</v>
      </c>
      <c r="J13" s="161">
        <f t="shared" si="7"/>
        <v>917.43119266055044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44476</v>
      </c>
      <c r="D14" s="161" t="s">
        <v>9</v>
      </c>
      <c r="E14" s="161" t="s">
        <v>371</v>
      </c>
      <c r="F14" s="222">
        <v>185</v>
      </c>
      <c r="G14" s="222">
        <v>186.2</v>
      </c>
      <c r="H14" s="222">
        <f>186.2-185</f>
        <v>1.1999999999999886</v>
      </c>
      <c r="I14" s="207">
        <f t="shared" si="6"/>
        <v>1621.6216216216217</v>
      </c>
      <c r="J14" s="161">
        <f t="shared" si="7"/>
        <v>1945.9459459459276</v>
      </c>
      <c r="K14" s="153"/>
      <c r="M14" s="394" t="s">
        <v>1175</v>
      </c>
      <c r="N14" s="344">
        <f>COUNT(C185:C207)</f>
        <v>20</v>
      </c>
      <c r="O14" s="346">
        <f>V208</f>
        <v>18</v>
      </c>
      <c r="P14" s="346">
        <f>W208</f>
        <v>2</v>
      </c>
      <c r="Q14" s="374">
        <f t="shared" ref="Q14" si="11">N14-O14-P14</f>
        <v>0</v>
      </c>
      <c r="R14" s="376">
        <f t="shared" si="9"/>
        <v>0.9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44476</v>
      </c>
      <c r="D15" s="161" t="s">
        <v>9</v>
      </c>
      <c r="E15" s="161" t="s">
        <v>2944</v>
      </c>
      <c r="F15" s="222">
        <v>1490</v>
      </c>
      <c r="G15" s="222">
        <v>1520</v>
      </c>
      <c r="H15" s="222">
        <f>1520-1490</f>
        <v>30</v>
      </c>
      <c r="I15" s="207">
        <f t="shared" si="6"/>
        <v>201.34228187919464</v>
      </c>
      <c r="J15" s="161">
        <f t="shared" si="7"/>
        <v>6040.2684563758394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44477</v>
      </c>
      <c r="D16" s="161" t="s">
        <v>9</v>
      </c>
      <c r="E16" s="161" t="s">
        <v>90</v>
      </c>
      <c r="F16" s="222">
        <v>1430</v>
      </c>
      <c r="G16" s="222">
        <v>1445</v>
      </c>
      <c r="H16" s="222">
        <v>15</v>
      </c>
      <c r="I16" s="207">
        <f t="shared" si="6"/>
        <v>209.79020979020979</v>
      </c>
      <c r="J16" s="161">
        <f t="shared" si="7"/>
        <v>3146.8531468531469</v>
      </c>
      <c r="K16" s="153"/>
      <c r="L16" s="25" t="s">
        <v>2008</v>
      </c>
      <c r="M16" s="394" t="s">
        <v>1090</v>
      </c>
      <c r="N16" s="344">
        <v>20</v>
      </c>
      <c r="O16" s="346">
        <f>V240</f>
        <v>18</v>
      </c>
      <c r="P16" s="346">
        <f>W240</f>
        <v>2</v>
      </c>
      <c r="Q16" s="374">
        <f t="shared" ref="Q16" si="12">N16-O16-P16</f>
        <v>0</v>
      </c>
      <c r="R16" s="376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44480</v>
      </c>
      <c r="D17" s="161" t="s">
        <v>9</v>
      </c>
      <c r="E17" s="161" t="s">
        <v>3527</v>
      </c>
      <c r="F17" s="222">
        <v>3320</v>
      </c>
      <c r="G17" s="222">
        <v>3290</v>
      </c>
      <c r="H17" s="222">
        <v>-30</v>
      </c>
      <c r="I17" s="207">
        <f t="shared" si="6"/>
        <v>90.361445783132524</v>
      </c>
      <c r="J17" s="161">
        <f t="shared" si="7"/>
        <v>-2710.8433734939758</v>
      </c>
      <c r="K17" s="153"/>
      <c r="M17" s="395"/>
      <c r="N17" s="381"/>
      <c r="O17" s="373"/>
      <c r="P17" s="373"/>
      <c r="Q17" s="375"/>
      <c r="R17" s="377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44480</v>
      </c>
      <c r="D18" s="161" t="s">
        <v>9</v>
      </c>
      <c r="E18" s="161" t="s">
        <v>3528</v>
      </c>
      <c r="F18" s="222">
        <v>410</v>
      </c>
      <c r="G18" s="222">
        <v>420</v>
      </c>
      <c r="H18" s="222">
        <v>10</v>
      </c>
      <c r="I18" s="207">
        <f t="shared" si="6"/>
        <v>731.70731707317077</v>
      </c>
      <c r="J18" s="161">
        <f t="shared" si="7"/>
        <v>7317.0731707317082</v>
      </c>
      <c r="K18" s="153"/>
      <c r="M18" s="392" t="s">
        <v>946</v>
      </c>
      <c r="N18" s="378">
        <f>SUM(N4:N17)</f>
        <v>160</v>
      </c>
      <c r="O18" s="378">
        <f t="shared" ref="O18:Q18" si="13">SUM(O4:O17)</f>
        <v>145</v>
      </c>
      <c r="P18" s="378">
        <f t="shared" si="13"/>
        <v>15</v>
      </c>
      <c r="Q18" s="378">
        <f t="shared" si="13"/>
        <v>0</v>
      </c>
      <c r="R18" s="380">
        <f t="shared" ref="R18" si="14">O18/N18</f>
        <v>0.90625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44481</v>
      </c>
      <c r="D19" s="161" t="s">
        <v>9</v>
      </c>
      <c r="E19" s="161" t="s">
        <v>2944</v>
      </c>
      <c r="F19" s="222">
        <v>1510</v>
      </c>
      <c r="G19" s="222">
        <v>1538</v>
      </c>
      <c r="H19" s="222">
        <f>1538-1510</f>
        <v>28</v>
      </c>
      <c r="I19" s="207">
        <f t="shared" si="6"/>
        <v>198.67549668874173</v>
      </c>
      <c r="J19" s="161">
        <f t="shared" si="7"/>
        <v>5562.9139072847684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44481</v>
      </c>
      <c r="D20" s="161" t="s">
        <v>9</v>
      </c>
      <c r="E20" s="161" t="s">
        <v>3528</v>
      </c>
      <c r="F20" s="222">
        <v>194</v>
      </c>
      <c r="G20" s="222">
        <v>196</v>
      </c>
      <c r="H20" s="222">
        <v>2</v>
      </c>
      <c r="I20" s="207">
        <f t="shared" si="6"/>
        <v>1546.3917525773195</v>
      </c>
      <c r="J20" s="161">
        <f t="shared" si="7"/>
        <v>3092.783505154639</v>
      </c>
      <c r="K20" s="153"/>
      <c r="M20" s="316" t="s">
        <v>2253</v>
      </c>
      <c r="N20" s="317"/>
      <c r="O20" s="318"/>
      <c r="P20" s="325">
        <f>R18</f>
        <v>0.90625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44482</v>
      </c>
      <c r="D21" s="161" t="s">
        <v>9</v>
      </c>
      <c r="E21" s="161" t="s">
        <v>2707</v>
      </c>
      <c r="F21" s="222">
        <v>241</v>
      </c>
      <c r="G21" s="222">
        <v>242.5</v>
      </c>
      <c r="H21" s="222">
        <v>1.5</v>
      </c>
      <c r="I21" s="207">
        <f t="shared" si="6"/>
        <v>1244.8132780082988</v>
      </c>
      <c r="J21" s="161">
        <f t="shared" si="7"/>
        <v>1867.2199170124481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44482</v>
      </c>
      <c r="D22" s="161" t="s">
        <v>9</v>
      </c>
      <c r="E22" s="161" t="s">
        <v>586</v>
      </c>
      <c r="F22" s="222">
        <v>1640</v>
      </c>
      <c r="G22" s="222">
        <v>1670</v>
      </c>
      <c r="H22" s="222">
        <v>30</v>
      </c>
      <c r="I22" s="207">
        <f t="shared" si="6"/>
        <v>182.92682926829269</v>
      </c>
      <c r="J22" s="161">
        <f t="shared" si="7"/>
        <v>5487.8048780487807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44483</v>
      </c>
      <c r="D23" s="161" t="s">
        <v>9</v>
      </c>
      <c r="E23" s="161" t="s">
        <v>168</v>
      </c>
      <c r="F23" s="222">
        <v>1420</v>
      </c>
      <c r="G23" s="222">
        <v>1440</v>
      </c>
      <c r="H23" s="222">
        <v>20</v>
      </c>
      <c r="I23" s="207">
        <f t="shared" si="6"/>
        <v>211.26760563380282</v>
      </c>
      <c r="J23" s="161">
        <f t="shared" si="7"/>
        <v>4225.3521126760561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44483</v>
      </c>
      <c r="D24" s="161" t="s">
        <v>9</v>
      </c>
      <c r="E24" s="161" t="s">
        <v>2707</v>
      </c>
      <c r="F24" s="222">
        <v>239</v>
      </c>
      <c r="G24" s="222">
        <v>241</v>
      </c>
      <c r="H24" s="222">
        <v>2</v>
      </c>
      <c r="I24" s="207">
        <f t="shared" si="6"/>
        <v>1255.2301255230125</v>
      </c>
      <c r="J24" s="161">
        <f t="shared" si="7"/>
        <v>2510.460251046025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44487</v>
      </c>
      <c r="D25" s="161" t="s">
        <v>9</v>
      </c>
      <c r="E25" s="161" t="s">
        <v>25</v>
      </c>
      <c r="F25" s="222">
        <v>1410</v>
      </c>
      <c r="G25" s="222">
        <v>1417</v>
      </c>
      <c r="H25" s="222">
        <v>7</v>
      </c>
      <c r="I25" s="207">
        <f t="shared" si="6"/>
        <v>212.7659574468085</v>
      </c>
      <c r="J25" s="161">
        <f t="shared" si="7"/>
        <v>1489.3617021276596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44487</v>
      </c>
      <c r="D26" s="161" t="s">
        <v>9</v>
      </c>
      <c r="E26" s="161" t="s">
        <v>3528</v>
      </c>
      <c r="F26" s="222">
        <v>250</v>
      </c>
      <c r="G26" s="222">
        <v>258</v>
      </c>
      <c r="H26" s="222">
        <v>8</v>
      </c>
      <c r="I26" s="207">
        <f t="shared" si="6"/>
        <v>1200</v>
      </c>
      <c r="J26" s="242">
        <f t="shared" si="7"/>
        <v>9600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44488</v>
      </c>
      <c r="D27" s="161" t="s">
        <v>9</v>
      </c>
      <c r="E27" s="161" t="s">
        <v>137</v>
      </c>
      <c r="F27" s="222">
        <v>2710</v>
      </c>
      <c r="G27" s="222">
        <v>2680</v>
      </c>
      <c r="H27" s="222">
        <v>-30</v>
      </c>
      <c r="I27" s="207">
        <f t="shared" si="6"/>
        <v>110.70110701107011</v>
      </c>
      <c r="J27" s="242">
        <f t="shared" si="7"/>
        <v>-3321.0332103321034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44488</v>
      </c>
      <c r="D28" s="161" t="s">
        <v>9</v>
      </c>
      <c r="E28" s="161" t="s">
        <v>552</v>
      </c>
      <c r="F28" s="222">
        <v>1235</v>
      </c>
      <c r="G28" s="222">
        <v>1239</v>
      </c>
      <c r="H28" s="222">
        <v>4</v>
      </c>
      <c r="I28" s="207">
        <f t="shared" si="6"/>
        <v>242.91497975708501</v>
      </c>
      <c r="J28" s="242">
        <f t="shared" si="7"/>
        <v>971.65991902834003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44489</v>
      </c>
      <c r="D29" s="161" t="s">
        <v>9</v>
      </c>
      <c r="E29" s="161" t="s">
        <v>122</v>
      </c>
      <c r="F29" s="222">
        <v>2130</v>
      </c>
      <c r="G29" s="222">
        <v>2170</v>
      </c>
      <c r="H29" s="222">
        <v>40</v>
      </c>
      <c r="I29" s="207">
        <f t="shared" si="6"/>
        <v>140.8450704225352</v>
      </c>
      <c r="J29" s="242">
        <f t="shared" si="7"/>
        <v>5633.8028169014078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44489</v>
      </c>
      <c r="D30" s="161" t="s">
        <v>9</v>
      </c>
      <c r="E30" s="161" t="s">
        <v>3545</v>
      </c>
      <c r="F30" s="222">
        <v>640</v>
      </c>
      <c r="G30" s="222">
        <v>645</v>
      </c>
      <c r="H30" s="222">
        <v>5</v>
      </c>
      <c r="I30" s="207">
        <f t="shared" si="6"/>
        <v>468.75</v>
      </c>
      <c r="J30" s="242">
        <f t="shared" si="7"/>
        <v>2343.75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44490</v>
      </c>
      <c r="D31" s="161" t="s">
        <v>9</v>
      </c>
      <c r="E31" s="161" t="s">
        <v>129</v>
      </c>
      <c r="F31" s="222">
        <v>2825</v>
      </c>
      <c r="G31" s="222">
        <v>2833</v>
      </c>
      <c r="H31" s="222">
        <f>2833-2825</f>
        <v>8</v>
      </c>
      <c r="I31" s="207">
        <f t="shared" si="6"/>
        <v>106.19469026548673</v>
      </c>
      <c r="J31" s="242">
        <f t="shared" si="7"/>
        <v>849.55752212389382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44490</v>
      </c>
      <c r="D32" s="161" t="s">
        <v>8</v>
      </c>
      <c r="E32" s="161" t="s">
        <v>31</v>
      </c>
      <c r="F32" s="222">
        <v>2675</v>
      </c>
      <c r="G32" s="222">
        <v>2643</v>
      </c>
      <c r="H32" s="222">
        <f>2675-2643</f>
        <v>32</v>
      </c>
      <c r="I32" s="207">
        <f t="shared" si="6"/>
        <v>112.14953271028037</v>
      </c>
      <c r="J32" s="242">
        <f t="shared" si="7"/>
        <v>3588.7850467289718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44491</v>
      </c>
      <c r="D33" s="161" t="s">
        <v>9</v>
      </c>
      <c r="E33" s="161" t="s">
        <v>3546</v>
      </c>
      <c r="F33" s="222">
        <v>257</v>
      </c>
      <c r="G33" s="222">
        <v>261</v>
      </c>
      <c r="H33" s="222">
        <v>4</v>
      </c>
      <c r="I33" s="207">
        <f t="shared" si="6"/>
        <v>1167.3151750972763</v>
      </c>
      <c r="J33" s="242">
        <f t="shared" si="7"/>
        <v>4669.2607003891053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44491</v>
      </c>
      <c r="D34" s="161" t="s">
        <v>9</v>
      </c>
      <c r="E34" s="161" t="s">
        <v>502</v>
      </c>
      <c r="F34" s="222">
        <v>1525</v>
      </c>
      <c r="G34" s="222">
        <v>1555</v>
      </c>
      <c r="H34" s="222">
        <f>1555-1525</f>
        <v>30</v>
      </c>
      <c r="I34" s="207">
        <f t="shared" si="6"/>
        <v>196.72131147540983</v>
      </c>
      <c r="J34" s="242">
        <f t="shared" si="7"/>
        <v>5901.6393442622948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44494</v>
      </c>
      <c r="D35" s="161" t="s">
        <v>9</v>
      </c>
      <c r="E35" s="161" t="s">
        <v>3551</v>
      </c>
      <c r="F35" s="222">
        <v>700</v>
      </c>
      <c r="G35" s="222">
        <v>692</v>
      </c>
      <c r="H35" s="222">
        <v>-8</v>
      </c>
      <c r="I35" s="207">
        <f t="shared" si="6"/>
        <v>428.57142857142856</v>
      </c>
      <c r="J35" s="242">
        <f t="shared" si="7"/>
        <v>-3428.5714285714284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44494</v>
      </c>
      <c r="D36" s="161" t="s">
        <v>9</v>
      </c>
      <c r="E36" s="161" t="s">
        <v>2814</v>
      </c>
      <c r="F36" s="222">
        <v>1650</v>
      </c>
      <c r="G36" s="222">
        <v>1690</v>
      </c>
      <c r="H36" s="222">
        <v>40</v>
      </c>
      <c r="I36" s="207">
        <f t="shared" si="6"/>
        <v>181.81818181818181</v>
      </c>
      <c r="J36" s="242">
        <f t="shared" si="7"/>
        <v>7272.7272727272721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44495</v>
      </c>
      <c r="D37" s="161" t="s">
        <v>9</v>
      </c>
      <c r="E37" s="161" t="s">
        <v>3343</v>
      </c>
      <c r="F37" s="222">
        <v>1220</v>
      </c>
      <c r="G37" s="222">
        <v>1250</v>
      </c>
      <c r="H37" s="222">
        <v>30</v>
      </c>
      <c r="I37" s="207">
        <f t="shared" si="6"/>
        <v>245.90163934426229</v>
      </c>
      <c r="J37" s="242">
        <f t="shared" si="7"/>
        <v>7377.0491803278692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44495</v>
      </c>
      <c r="D38" s="161" t="s">
        <v>9</v>
      </c>
      <c r="E38" s="161" t="s">
        <v>2203</v>
      </c>
      <c r="F38" s="222">
        <v>987</v>
      </c>
      <c r="G38" s="222">
        <v>1007</v>
      </c>
      <c r="H38" s="222">
        <f>1007-987</f>
        <v>20</v>
      </c>
      <c r="I38" s="207">
        <f t="shared" si="6"/>
        <v>303.951367781155</v>
      </c>
      <c r="J38" s="242">
        <f t="shared" si="7"/>
        <v>6079.0273556231004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44496</v>
      </c>
      <c r="D39" s="161" t="s">
        <v>9</v>
      </c>
      <c r="E39" s="161" t="s">
        <v>795</v>
      </c>
      <c r="F39" s="222">
        <v>1555</v>
      </c>
      <c r="G39" s="222">
        <v>1570</v>
      </c>
      <c r="H39" s="222">
        <f>1570-1555</f>
        <v>15</v>
      </c>
      <c r="I39" s="207">
        <f t="shared" si="6"/>
        <v>192.92604501607718</v>
      </c>
      <c r="J39" s="242">
        <f t="shared" si="7"/>
        <v>2893.8906752411576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44496</v>
      </c>
      <c r="D40" s="161" t="s">
        <v>9</v>
      </c>
      <c r="E40" s="161" t="s">
        <v>2204</v>
      </c>
      <c r="F40" s="222">
        <v>1540</v>
      </c>
      <c r="G40" s="222">
        <v>1547</v>
      </c>
      <c r="H40" s="222">
        <v>7</v>
      </c>
      <c r="I40" s="207">
        <f t="shared" si="6"/>
        <v>194.80519480519482</v>
      </c>
      <c r="J40" s="242">
        <f t="shared" si="7"/>
        <v>1363.6363636363637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44497</v>
      </c>
      <c r="D41" s="161" t="s">
        <v>9</v>
      </c>
      <c r="E41" s="161" t="s">
        <v>78</v>
      </c>
      <c r="F41" s="222">
        <v>1835</v>
      </c>
      <c r="G41" s="223">
        <v>1857</v>
      </c>
      <c r="H41" s="222">
        <f>1857-1535</f>
        <v>322</v>
      </c>
      <c r="I41" s="207">
        <f t="shared" si="6"/>
        <v>163.48773841961852</v>
      </c>
      <c r="J41" s="242">
        <f t="shared" si="7"/>
        <v>52643.051771117163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44497</v>
      </c>
      <c r="D42" s="161" t="s">
        <v>9</v>
      </c>
      <c r="E42" s="161" t="s">
        <v>552</v>
      </c>
      <c r="F42" s="222">
        <v>1225</v>
      </c>
      <c r="G42" s="222">
        <v>1242</v>
      </c>
      <c r="H42" s="222">
        <f>1242-1225</f>
        <v>17</v>
      </c>
      <c r="I42" s="207">
        <f t="shared" si="6"/>
        <v>244.89795918367346</v>
      </c>
      <c r="J42" s="242">
        <f t="shared" si="7"/>
        <v>4163.2653061224491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44498</v>
      </c>
      <c r="D43" s="161" t="s">
        <v>9</v>
      </c>
      <c r="E43" s="161" t="s">
        <v>16</v>
      </c>
      <c r="F43" s="222">
        <v>2390</v>
      </c>
      <c r="G43" s="222">
        <v>2402</v>
      </c>
      <c r="H43" s="222">
        <f>2402-2390</f>
        <v>12</v>
      </c>
      <c r="I43" s="207">
        <f t="shared" si="6"/>
        <v>125.52301255230125</v>
      </c>
      <c r="J43" s="242">
        <f t="shared" si="7"/>
        <v>1506.2761506276152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44498</v>
      </c>
      <c r="D44" s="161" t="s">
        <v>9</v>
      </c>
      <c r="E44" s="161" t="s">
        <v>815</v>
      </c>
      <c r="F44" s="222">
        <v>530</v>
      </c>
      <c r="G44" s="222">
        <v>542</v>
      </c>
      <c r="H44" s="222">
        <f>542-530</f>
        <v>12</v>
      </c>
      <c r="I44" s="207">
        <f t="shared" si="6"/>
        <v>566.03773584905662</v>
      </c>
      <c r="J44" s="242">
        <f t="shared" si="7"/>
        <v>6792.4528301886794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176796.18015748245</v>
      </c>
      <c r="K52" s="153"/>
      <c r="V52" s="25">
        <f>SUM(V6:V51)</f>
        <v>34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3513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44470</v>
      </c>
      <c r="D60" s="161" t="s">
        <v>9</v>
      </c>
      <c r="E60" s="161" t="s">
        <v>90</v>
      </c>
      <c r="F60" s="222">
        <v>1378</v>
      </c>
      <c r="G60" s="222">
        <v>1388</v>
      </c>
      <c r="H60" s="222">
        <v>10</v>
      </c>
      <c r="I60" s="207">
        <v>600</v>
      </c>
      <c r="J60" s="241">
        <f t="shared" ref="J60:J83" si="15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44473</v>
      </c>
      <c r="D61" s="161" t="s">
        <v>9</v>
      </c>
      <c r="E61" s="161" t="s">
        <v>3063</v>
      </c>
      <c r="F61" s="222">
        <v>1223</v>
      </c>
      <c r="G61" s="222">
        <v>1243</v>
      </c>
      <c r="H61" s="222">
        <v>20</v>
      </c>
      <c r="I61" s="207">
        <v>750</v>
      </c>
      <c r="J61" s="242">
        <f t="shared" si="15"/>
        <v>15000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44474</v>
      </c>
      <c r="D62" s="161" t="s">
        <v>9</v>
      </c>
      <c r="E62" s="161" t="s">
        <v>3515</v>
      </c>
      <c r="F62" s="222">
        <v>1365</v>
      </c>
      <c r="G62" s="222">
        <v>1385</v>
      </c>
      <c r="H62" s="222">
        <v>20</v>
      </c>
      <c r="I62" s="207">
        <v>475</v>
      </c>
      <c r="J62" s="242">
        <f t="shared" si="15"/>
        <v>9500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44475</v>
      </c>
      <c r="D63" s="161" t="s">
        <v>9</v>
      </c>
      <c r="E63" s="161" t="s">
        <v>3516</v>
      </c>
      <c r="F63" s="222">
        <v>1060</v>
      </c>
      <c r="G63" s="222">
        <v>1080</v>
      </c>
      <c r="H63" s="222">
        <v>20</v>
      </c>
      <c r="I63" s="207">
        <v>725</v>
      </c>
      <c r="J63" s="242">
        <f t="shared" si="15"/>
        <v>14500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44476</v>
      </c>
      <c r="D64" s="161" t="s">
        <v>9</v>
      </c>
      <c r="E64" s="161" t="s">
        <v>795</v>
      </c>
      <c r="F64" s="222">
        <v>1695</v>
      </c>
      <c r="G64" s="222">
        <v>1702</v>
      </c>
      <c r="H64" s="222">
        <f>1702-1695</f>
        <v>7</v>
      </c>
      <c r="I64" s="207">
        <v>350</v>
      </c>
      <c r="J64" s="242">
        <f t="shared" si="15"/>
        <v>2450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44477</v>
      </c>
      <c r="D65" s="161" t="s">
        <v>9</v>
      </c>
      <c r="E65" s="161" t="s">
        <v>90</v>
      </c>
      <c r="F65" s="222">
        <v>1435</v>
      </c>
      <c r="G65" s="222">
        <v>1450</v>
      </c>
      <c r="H65" s="222">
        <f>1450-1435</f>
        <v>15</v>
      </c>
      <c r="I65" s="207">
        <v>600</v>
      </c>
      <c r="J65" s="242">
        <f t="shared" si="15"/>
        <v>9000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44480</v>
      </c>
      <c r="D66" s="161" t="s">
        <v>9</v>
      </c>
      <c r="E66" s="161" t="s">
        <v>862</v>
      </c>
      <c r="F66" s="222">
        <v>749</v>
      </c>
      <c r="G66" s="222">
        <v>755</v>
      </c>
      <c r="H66" s="222">
        <f>755-749</f>
        <v>6</v>
      </c>
      <c r="I66" s="207">
        <v>1300</v>
      </c>
      <c r="J66" s="242">
        <f t="shared" si="15"/>
        <v>7800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44481</v>
      </c>
      <c r="D67" s="161" t="s">
        <v>9</v>
      </c>
      <c r="E67" s="161" t="s">
        <v>19</v>
      </c>
      <c r="F67" s="222">
        <v>477</v>
      </c>
      <c r="G67" s="222">
        <v>479</v>
      </c>
      <c r="H67" s="222">
        <v>2</v>
      </c>
      <c r="I67" s="207">
        <v>3000</v>
      </c>
      <c r="J67" s="242">
        <f t="shared" si="15"/>
        <v>6000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44482</v>
      </c>
      <c r="D68" s="161" t="s">
        <v>9</v>
      </c>
      <c r="E68" s="161" t="s">
        <v>58</v>
      </c>
      <c r="F68" s="222">
        <v>802</v>
      </c>
      <c r="G68" s="222">
        <v>805</v>
      </c>
      <c r="H68" s="222">
        <v>3</v>
      </c>
      <c r="I68" s="207">
        <v>1200</v>
      </c>
      <c r="J68" s="242">
        <f t="shared" si="15"/>
        <v>3600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44483</v>
      </c>
      <c r="D69" s="161" t="s">
        <v>9</v>
      </c>
      <c r="E69" s="161" t="s">
        <v>1916</v>
      </c>
      <c r="F69" s="222">
        <v>3150</v>
      </c>
      <c r="G69" s="222">
        <v>3174</v>
      </c>
      <c r="H69" s="222">
        <v>24</v>
      </c>
      <c r="I69" s="207">
        <v>250</v>
      </c>
      <c r="J69" s="242">
        <f t="shared" si="15"/>
        <v>6000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44487</v>
      </c>
      <c r="D70" s="161" t="s">
        <v>9</v>
      </c>
      <c r="E70" s="161" t="s">
        <v>3515</v>
      </c>
      <c r="F70" s="161">
        <v>1530</v>
      </c>
      <c r="G70" s="222">
        <v>1560</v>
      </c>
      <c r="H70" s="222">
        <v>30</v>
      </c>
      <c r="I70" s="207">
        <v>475</v>
      </c>
      <c r="J70" s="242">
        <f t="shared" si="15"/>
        <v>14250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44488</v>
      </c>
      <c r="D71" s="161" t="s">
        <v>9</v>
      </c>
      <c r="E71" s="161" t="s">
        <v>3188</v>
      </c>
      <c r="F71" s="222">
        <v>1540</v>
      </c>
      <c r="G71" s="222">
        <v>1525</v>
      </c>
      <c r="H71" s="222">
        <v>-15</v>
      </c>
      <c r="I71" s="207">
        <v>425</v>
      </c>
      <c r="J71" s="242">
        <f t="shared" si="15"/>
        <v>-6375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44489</v>
      </c>
      <c r="D72" s="161" t="s">
        <v>9</v>
      </c>
      <c r="E72" s="161" t="s">
        <v>173</v>
      </c>
      <c r="F72" s="222">
        <v>3190</v>
      </c>
      <c r="G72" s="222">
        <v>3210</v>
      </c>
      <c r="H72" s="222">
        <f>3210-3190</f>
        <v>20</v>
      </c>
      <c r="I72" s="207">
        <v>300</v>
      </c>
      <c r="J72" s="242">
        <f t="shared" si="15"/>
        <v>6000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44489</v>
      </c>
      <c r="D73" s="161" t="s">
        <v>9</v>
      </c>
      <c r="E73" s="161" t="s">
        <v>2999</v>
      </c>
      <c r="F73" s="223">
        <v>707</v>
      </c>
      <c r="G73" s="222">
        <v>710.25</v>
      </c>
      <c r="H73" s="255">
        <v>3.25</v>
      </c>
      <c r="I73" s="207">
        <v>1100</v>
      </c>
      <c r="J73" s="242">
        <f t="shared" si="15"/>
        <v>3575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44490</v>
      </c>
      <c r="D74" s="161" t="s">
        <v>9</v>
      </c>
      <c r="E74" s="161" t="s">
        <v>2999</v>
      </c>
      <c r="F74" s="222">
        <v>710</v>
      </c>
      <c r="G74" s="222">
        <v>703</v>
      </c>
      <c r="H74" s="255">
        <v>-7</v>
      </c>
      <c r="I74" s="207">
        <v>1100</v>
      </c>
      <c r="J74" s="242">
        <f t="shared" si="15"/>
        <v>-7700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44491</v>
      </c>
      <c r="D75" s="161" t="s">
        <v>9</v>
      </c>
      <c r="E75" s="161" t="s">
        <v>800</v>
      </c>
      <c r="F75" s="222">
        <v>1675</v>
      </c>
      <c r="G75" s="222">
        <v>1687</v>
      </c>
      <c r="H75" s="255">
        <f>1687-1675</f>
        <v>12</v>
      </c>
      <c r="I75" s="207">
        <v>700</v>
      </c>
      <c r="J75" s="242">
        <f t="shared" si="15"/>
        <v>8400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44494</v>
      </c>
      <c r="D76" s="161" t="s">
        <v>9</v>
      </c>
      <c r="E76" s="161" t="s">
        <v>552</v>
      </c>
      <c r="F76" s="222">
        <v>1168</v>
      </c>
      <c r="G76" s="222">
        <v>1158.2</v>
      </c>
      <c r="H76" s="222">
        <f>1168-1158.2</f>
        <v>9.7999999999999545</v>
      </c>
      <c r="I76" s="207">
        <v>900</v>
      </c>
      <c r="J76" s="242">
        <f t="shared" si="15"/>
        <v>8819.99999999996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44495</v>
      </c>
      <c r="D77" s="161" t="s">
        <v>9</v>
      </c>
      <c r="E77" s="161" t="s">
        <v>51</v>
      </c>
      <c r="F77" s="222">
        <v>1192</v>
      </c>
      <c r="G77" s="222">
        <v>1182</v>
      </c>
      <c r="H77" s="222">
        <v>-10</v>
      </c>
      <c r="I77" s="207">
        <v>500</v>
      </c>
      <c r="J77" s="242">
        <f t="shared" si="15"/>
        <v>-5000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>
        <v>44496</v>
      </c>
      <c r="D78" s="161" t="s">
        <v>9</v>
      </c>
      <c r="E78" s="161" t="s">
        <v>795</v>
      </c>
      <c r="F78" s="222">
        <v>1560</v>
      </c>
      <c r="G78" s="222">
        <v>1572</v>
      </c>
      <c r="H78" s="222">
        <v>12</v>
      </c>
      <c r="I78" s="207">
        <v>350</v>
      </c>
      <c r="J78" s="242">
        <f t="shared" si="15"/>
        <v>4200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44497</v>
      </c>
      <c r="D79" s="161" t="s">
        <v>9</v>
      </c>
      <c r="E79" s="161" t="s">
        <v>552</v>
      </c>
      <c r="F79" s="222">
        <v>1230</v>
      </c>
      <c r="G79" s="222">
        <v>1242</v>
      </c>
      <c r="H79" s="222">
        <v>12</v>
      </c>
      <c r="I79" s="207">
        <v>900</v>
      </c>
      <c r="J79" s="242">
        <f t="shared" si="15"/>
        <v>10800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44498</v>
      </c>
      <c r="D80" s="161" t="s">
        <v>9</v>
      </c>
      <c r="E80" s="161" t="s">
        <v>3444</v>
      </c>
      <c r="F80" s="222">
        <v>277</v>
      </c>
      <c r="G80" s="222">
        <v>281</v>
      </c>
      <c r="H80" s="222">
        <f>281-277</f>
        <v>4</v>
      </c>
      <c r="I80" s="207">
        <v>2800</v>
      </c>
      <c r="J80" s="242">
        <f t="shared" si="15"/>
        <v>11200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128019.99999999996</v>
      </c>
      <c r="K84" s="153"/>
      <c r="V84" s="25">
        <f>SUM(V60:V83)</f>
        <v>18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3513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44470</v>
      </c>
      <c r="D92" s="185" t="s">
        <v>9</v>
      </c>
      <c r="E92" s="185" t="s">
        <v>39</v>
      </c>
      <c r="F92" s="219">
        <v>17460</v>
      </c>
      <c r="G92" s="219">
        <v>17540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44473</v>
      </c>
      <c r="D93" s="185" t="s">
        <v>9</v>
      </c>
      <c r="E93" s="185" t="s">
        <v>39</v>
      </c>
      <c r="F93" s="219">
        <v>17630</v>
      </c>
      <c r="G93" s="219">
        <v>17710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44474</v>
      </c>
      <c r="D94" s="161" t="s">
        <v>9</v>
      </c>
      <c r="E94" s="161" t="s">
        <v>39</v>
      </c>
      <c r="F94" s="207">
        <v>17670</v>
      </c>
      <c r="G94" s="207">
        <v>17750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44475</v>
      </c>
      <c r="D95" s="161" t="s">
        <v>9</v>
      </c>
      <c r="E95" s="161" t="s">
        <v>39</v>
      </c>
      <c r="F95" s="207">
        <v>17840</v>
      </c>
      <c r="G95" s="207">
        <v>17800</v>
      </c>
      <c r="H95" s="161">
        <v>-40</v>
      </c>
      <c r="I95" s="207">
        <v>150</v>
      </c>
      <c r="J95" s="242">
        <f t="shared" si="19"/>
        <v>-6000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44476</v>
      </c>
      <c r="D96" s="161" t="s">
        <v>9</v>
      </c>
      <c r="E96" s="161" t="s">
        <v>39</v>
      </c>
      <c r="F96" s="207">
        <v>17810</v>
      </c>
      <c r="G96" s="207">
        <v>17880</v>
      </c>
      <c r="H96" s="161">
        <v>70</v>
      </c>
      <c r="I96" s="207">
        <v>150</v>
      </c>
      <c r="J96" s="242">
        <f t="shared" si="19"/>
        <v>10500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44477</v>
      </c>
      <c r="D97" s="161" t="s">
        <v>9</v>
      </c>
      <c r="E97" s="161" t="s">
        <v>39</v>
      </c>
      <c r="F97" s="207">
        <v>17880</v>
      </c>
      <c r="G97" s="207">
        <v>17910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44480</v>
      </c>
      <c r="D98" s="161" t="s">
        <v>9</v>
      </c>
      <c r="E98" s="161" t="s">
        <v>39</v>
      </c>
      <c r="F98" s="207">
        <v>17970</v>
      </c>
      <c r="G98" s="207">
        <v>18050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44481</v>
      </c>
      <c r="D99" s="161" t="s">
        <v>9</v>
      </c>
      <c r="E99" s="161" t="s">
        <v>39</v>
      </c>
      <c r="F99" s="207">
        <v>17900</v>
      </c>
      <c r="G99" s="207">
        <v>17980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44482</v>
      </c>
      <c r="D100" s="161" t="s">
        <v>9</v>
      </c>
      <c r="E100" s="161" t="s">
        <v>39</v>
      </c>
      <c r="F100" s="207">
        <v>18080</v>
      </c>
      <c r="G100" s="207">
        <v>18160</v>
      </c>
      <c r="H100" s="161">
        <v>80</v>
      </c>
      <c r="I100" s="207">
        <v>150</v>
      </c>
      <c r="J100" s="242">
        <f t="shared" si="19"/>
        <v>12000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44483</v>
      </c>
      <c r="D101" s="161" t="s">
        <v>9</v>
      </c>
      <c r="E101" s="161" t="s">
        <v>39</v>
      </c>
      <c r="F101" s="207">
        <v>18260</v>
      </c>
      <c r="G101" s="207">
        <v>18340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44487</v>
      </c>
      <c r="D102" s="161" t="s">
        <v>9</v>
      </c>
      <c r="E102" s="161" t="s">
        <v>39</v>
      </c>
      <c r="F102" s="207">
        <v>18470</v>
      </c>
      <c r="G102" s="207">
        <v>18510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44488</v>
      </c>
      <c r="D103" s="161" t="s">
        <v>9</v>
      </c>
      <c r="E103" s="161" t="s">
        <v>39</v>
      </c>
      <c r="F103" s="207">
        <v>18530</v>
      </c>
      <c r="G103" s="207">
        <v>18588</v>
      </c>
      <c r="H103" s="161">
        <f>18588-18530</f>
        <v>58</v>
      </c>
      <c r="I103" s="207">
        <v>150</v>
      </c>
      <c r="J103" s="242">
        <f t="shared" si="19"/>
        <v>8700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44489</v>
      </c>
      <c r="D104" s="161" t="s">
        <v>9</v>
      </c>
      <c r="E104" s="161" t="s">
        <v>39</v>
      </c>
      <c r="F104" s="207">
        <v>18420</v>
      </c>
      <c r="G104" s="207">
        <v>15460</v>
      </c>
      <c r="H104" s="161">
        <v>40</v>
      </c>
      <c r="I104" s="207">
        <v>150</v>
      </c>
      <c r="J104" s="242">
        <f t="shared" si="19"/>
        <v>6000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44490</v>
      </c>
      <c r="D105" s="161" t="s">
        <v>8</v>
      </c>
      <c r="E105" s="161" t="s">
        <v>39</v>
      </c>
      <c r="F105" s="207">
        <v>18200</v>
      </c>
      <c r="G105" s="207">
        <v>18120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44491</v>
      </c>
      <c r="D106" s="161" t="s">
        <v>9</v>
      </c>
      <c r="E106" s="161" t="s">
        <v>39</v>
      </c>
      <c r="F106" s="207">
        <v>18280</v>
      </c>
      <c r="G106" s="207">
        <v>18240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44494</v>
      </c>
      <c r="D107" s="161" t="s">
        <v>9</v>
      </c>
      <c r="E107" s="161" t="s">
        <v>39</v>
      </c>
      <c r="F107" s="207">
        <v>18120</v>
      </c>
      <c r="G107" s="207">
        <v>18200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44495</v>
      </c>
      <c r="D108" s="161" t="s">
        <v>9</v>
      </c>
      <c r="E108" s="161" t="s">
        <v>39</v>
      </c>
      <c r="F108" s="207">
        <v>18250</v>
      </c>
      <c r="G108" s="207">
        <v>18285</v>
      </c>
      <c r="H108" s="161">
        <v>35</v>
      </c>
      <c r="I108" s="207">
        <v>150</v>
      </c>
      <c r="J108" s="242">
        <f t="shared" si="19"/>
        <v>5250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44496</v>
      </c>
      <c r="D109" s="161" t="s">
        <v>9</v>
      </c>
      <c r="E109" s="161" t="s">
        <v>39</v>
      </c>
      <c r="F109" s="207">
        <v>18310</v>
      </c>
      <c r="G109" s="207">
        <v>18350</v>
      </c>
      <c r="H109" s="161">
        <v>40</v>
      </c>
      <c r="I109" s="207">
        <v>150</v>
      </c>
      <c r="J109" s="242">
        <f t="shared" si="19"/>
        <v>6000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44497</v>
      </c>
      <c r="D110" s="161" t="s">
        <v>8</v>
      </c>
      <c r="E110" s="161" t="s">
        <v>39</v>
      </c>
      <c r="F110" s="207">
        <v>18080</v>
      </c>
      <c r="G110" s="207">
        <v>18000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44498</v>
      </c>
      <c r="D111" s="161" t="s">
        <v>9</v>
      </c>
      <c r="E111" s="161" t="s">
        <v>39</v>
      </c>
      <c r="F111" s="207">
        <v>17840</v>
      </c>
      <c r="G111" s="207">
        <v>17920</v>
      </c>
      <c r="H111" s="161">
        <f>17920-17840</f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166950</v>
      </c>
      <c r="K115" s="153"/>
      <c r="V115" s="25">
        <f>SUM(V92:V114)</f>
        <v>18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3514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44470</v>
      </c>
      <c r="D123" s="185" t="s">
        <v>9</v>
      </c>
      <c r="E123" s="185" t="s">
        <v>2954</v>
      </c>
      <c r="F123" s="219">
        <v>135</v>
      </c>
      <c r="G123" s="231">
        <v>160</v>
      </c>
      <c r="H123" s="231">
        <f>160-135</f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44473</v>
      </c>
      <c r="D124" s="185" t="s">
        <v>9</v>
      </c>
      <c r="E124" s="185" t="s">
        <v>1586</v>
      </c>
      <c r="F124" s="219">
        <v>130</v>
      </c>
      <c r="G124" s="219">
        <v>180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>B124+1</f>
        <v>3</v>
      </c>
      <c r="C125" s="206">
        <v>44474</v>
      </c>
      <c r="D125" s="161" t="s">
        <v>9</v>
      </c>
      <c r="E125" s="161" t="s">
        <v>3504</v>
      </c>
      <c r="F125" s="207">
        <v>105</v>
      </c>
      <c r="G125" s="207">
        <v>155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ref="B126:B145" si="26">B125+1</f>
        <v>4</v>
      </c>
      <c r="C126" s="206">
        <v>44475</v>
      </c>
      <c r="D126" s="161" t="s">
        <v>9</v>
      </c>
      <c r="E126" s="161" t="s">
        <v>3487</v>
      </c>
      <c r="F126" s="207">
        <v>110</v>
      </c>
      <c r="G126" s="263">
        <v>144.5</v>
      </c>
      <c r="H126" s="161">
        <f>144.5-110</f>
        <v>34.5</v>
      </c>
      <c r="I126" s="207">
        <v>300</v>
      </c>
      <c r="J126" s="242">
        <f t="shared" si="23"/>
        <v>10350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44476</v>
      </c>
      <c r="D127" s="161" t="s">
        <v>9</v>
      </c>
      <c r="E127" s="161" t="s">
        <v>3487</v>
      </c>
      <c r="F127" s="207">
        <v>75</v>
      </c>
      <c r="G127" s="207">
        <v>109</v>
      </c>
      <c r="H127" s="161">
        <f>109-75</f>
        <v>34</v>
      </c>
      <c r="I127" s="207">
        <v>300</v>
      </c>
      <c r="J127" s="242">
        <f t="shared" si="23"/>
        <v>10200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44477</v>
      </c>
      <c r="D128" s="161" t="s">
        <v>9</v>
      </c>
      <c r="E128" s="161" t="s">
        <v>3517</v>
      </c>
      <c r="F128" s="207">
        <v>75</v>
      </c>
      <c r="G128" s="222">
        <v>100</v>
      </c>
      <c r="H128" s="222">
        <f>100-75</f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44480</v>
      </c>
      <c r="D129" s="161" t="s">
        <v>9</v>
      </c>
      <c r="E129" s="161" t="s">
        <v>3517</v>
      </c>
      <c r="F129" s="207">
        <v>110</v>
      </c>
      <c r="G129" s="207">
        <v>147</v>
      </c>
      <c r="H129" s="161">
        <f>147-110</f>
        <v>37</v>
      </c>
      <c r="I129" s="207">
        <v>300</v>
      </c>
      <c r="J129" s="242">
        <f t="shared" si="23"/>
        <v>11100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44481</v>
      </c>
      <c r="D130" s="161" t="s">
        <v>9</v>
      </c>
      <c r="E130" s="161" t="s">
        <v>3491</v>
      </c>
      <c r="F130" s="207">
        <v>100</v>
      </c>
      <c r="G130" s="207">
        <v>150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44482</v>
      </c>
      <c r="D131" s="161" t="s">
        <v>9</v>
      </c>
      <c r="E131" s="161" t="s">
        <v>3529</v>
      </c>
      <c r="F131" s="207">
        <v>125</v>
      </c>
      <c r="G131" s="207">
        <v>175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44483</v>
      </c>
      <c r="D132" s="161" t="s">
        <v>9</v>
      </c>
      <c r="E132" s="161" t="s">
        <v>1649</v>
      </c>
      <c r="F132" s="207">
        <v>80</v>
      </c>
      <c r="G132" s="222">
        <v>105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44487</v>
      </c>
      <c r="D133" s="161" t="s">
        <v>9</v>
      </c>
      <c r="E133" s="161" t="s">
        <v>3530</v>
      </c>
      <c r="F133" s="207">
        <v>125</v>
      </c>
      <c r="G133" s="222">
        <v>160</v>
      </c>
      <c r="H133" s="222">
        <f>160-125</f>
        <v>35</v>
      </c>
      <c r="I133" s="207">
        <v>300</v>
      </c>
      <c r="J133" s="242">
        <f t="shared" si="23"/>
        <v>10500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44488</v>
      </c>
      <c r="D134" s="161" t="s">
        <v>9</v>
      </c>
      <c r="E134" s="161" t="s">
        <v>1910</v>
      </c>
      <c r="F134" s="207">
        <v>110</v>
      </c>
      <c r="G134" s="222">
        <v>130</v>
      </c>
      <c r="H134" s="222">
        <v>20</v>
      </c>
      <c r="I134" s="207">
        <v>300</v>
      </c>
      <c r="J134" s="242">
        <f t="shared" si="23"/>
        <v>6000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44489</v>
      </c>
      <c r="D135" s="161" t="s">
        <v>9</v>
      </c>
      <c r="E135" s="161" t="s">
        <v>1651</v>
      </c>
      <c r="F135" s="207">
        <v>95</v>
      </c>
      <c r="G135" s="222">
        <v>107</v>
      </c>
      <c r="H135" s="222">
        <f>107-95</f>
        <v>12</v>
      </c>
      <c r="I135" s="207">
        <v>300</v>
      </c>
      <c r="J135" s="242">
        <f t="shared" si="23"/>
        <v>3600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44490</v>
      </c>
      <c r="D136" s="161" t="s">
        <v>9</v>
      </c>
      <c r="E136" s="161" t="s">
        <v>3547</v>
      </c>
      <c r="F136" s="207">
        <v>85</v>
      </c>
      <c r="G136" s="207">
        <v>135</v>
      </c>
      <c r="H136" s="161">
        <f>135-85</f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44491</v>
      </c>
      <c r="D137" s="161" t="s">
        <v>9</v>
      </c>
      <c r="E137" s="161" t="s">
        <v>1605</v>
      </c>
      <c r="F137" s="207">
        <v>90</v>
      </c>
      <c r="G137" s="207">
        <v>120</v>
      </c>
      <c r="H137" s="161">
        <v>30</v>
      </c>
      <c r="I137" s="207">
        <v>300</v>
      </c>
      <c r="J137" s="242">
        <f t="shared" si="23"/>
        <v>9000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44494</v>
      </c>
      <c r="D138" s="161" t="s">
        <v>9</v>
      </c>
      <c r="E138" s="161" t="s">
        <v>3550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3"/>
        <v>15000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44495</v>
      </c>
      <c r="D139" s="161" t="s">
        <v>9</v>
      </c>
      <c r="E139" s="161" t="s">
        <v>3552</v>
      </c>
      <c r="F139" s="207">
        <v>110</v>
      </c>
      <c r="G139" s="207">
        <v>126</v>
      </c>
      <c r="H139" s="161">
        <v>16</v>
      </c>
      <c r="I139" s="207">
        <v>300</v>
      </c>
      <c r="J139" s="242">
        <f t="shared" si="23"/>
        <v>4800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44496</v>
      </c>
      <c r="D140" s="161" t="s">
        <v>9</v>
      </c>
      <c r="E140" s="161" t="s">
        <v>3552</v>
      </c>
      <c r="F140" s="207">
        <v>120</v>
      </c>
      <c r="G140" s="222">
        <v>137</v>
      </c>
      <c r="H140" s="222">
        <v>17</v>
      </c>
      <c r="I140" s="207">
        <v>300</v>
      </c>
      <c r="J140" s="242">
        <f t="shared" si="23"/>
        <v>5100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44497</v>
      </c>
      <c r="D141" s="161" t="s">
        <v>9</v>
      </c>
      <c r="E141" s="161" t="s">
        <v>3553</v>
      </c>
      <c r="F141" s="207">
        <v>85</v>
      </c>
      <c r="G141" s="207">
        <v>135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44498</v>
      </c>
      <c r="D142" s="161" t="s">
        <v>9</v>
      </c>
      <c r="E142" s="161" t="s">
        <v>3491</v>
      </c>
      <c r="F142" s="207">
        <v>145</v>
      </c>
      <c r="G142" s="207">
        <v>164</v>
      </c>
      <c r="H142" s="161">
        <f>164-145</f>
        <v>19</v>
      </c>
      <c r="I142" s="207">
        <v>300</v>
      </c>
      <c r="J142" s="242">
        <f t="shared" si="23"/>
        <v>5700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203850</v>
      </c>
      <c r="K146" s="153"/>
      <c r="V146" s="25">
        <f>SUM(V123:V145)</f>
        <v>20</v>
      </c>
      <c r="W146" s="25">
        <f>SUM(W123:W145)</f>
        <v>0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3513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44470</v>
      </c>
      <c r="D154" s="185" t="s">
        <v>9</v>
      </c>
      <c r="E154" s="185" t="s">
        <v>301</v>
      </c>
      <c r="F154" s="219">
        <v>37150</v>
      </c>
      <c r="G154" s="231">
        <v>37360</v>
      </c>
      <c r="H154" s="185">
        <f>37360-37150</f>
        <v>210</v>
      </c>
      <c r="I154" s="219">
        <v>50</v>
      </c>
      <c r="J154" s="246">
        <f t="shared" ref="J154:J176" si="27">I154*H154</f>
        <v>10500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44473</v>
      </c>
      <c r="D155" s="185" t="s">
        <v>9</v>
      </c>
      <c r="E155" s="185" t="s">
        <v>301</v>
      </c>
      <c r="F155" s="219">
        <v>37650</v>
      </c>
      <c r="G155" s="219">
        <v>37760</v>
      </c>
      <c r="H155" s="185">
        <f>37760-37650</f>
        <v>110</v>
      </c>
      <c r="I155" s="219">
        <v>50</v>
      </c>
      <c r="J155" s="242">
        <f t="shared" si="27"/>
        <v>5500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44474</v>
      </c>
      <c r="D156" s="161" t="s">
        <v>9</v>
      </c>
      <c r="E156" s="161" t="s">
        <v>301</v>
      </c>
      <c r="F156" s="207">
        <v>37550</v>
      </c>
      <c r="G156" s="207">
        <v>37850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44475</v>
      </c>
      <c r="D157" s="161" t="s">
        <v>9</v>
      </c>
      <c r="E157" s="161" t="s">
        <v>301</v>
      </c>
      <c r="F157" s="207">
        <v>38100</v>
      </c>
      <c r="G157" s="207">
        <v>38190</v>
      </c>
      <c r="H157" s="161">
        <v>90</v>
      </c>
      <c r="I157" s="207">
        <v>50</v>
      </c>
      <c r="J157" s="242">
        <f t="shared" si="27"/>
        <v>4500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44476</v>
      </c>
      <c r="D158" s="161" t="s">
        <v>9</v>
      </c>
      <c r="E158" s="161" t="s">
        <v>301</v>
      </c>
      <c r="F158" s="207">
        <v>37900</v>
      </c>
      <c r="G158" s="207">
        <v>38000</v>
      </c>
      <c r="H158" s="161">
        <v>100</v>
      </c>
      <c r="I158" s="207">
        <v>50</v>
      </c>
      <c r="J158" s="242">
        <f t="shared" si="27"/>
        <v>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44477</v>
      </c>
      <c r="D159" s="161" t="s">
        <v>9</v>
      </c>
      <c r="E159" s="161" t="s">
        <v>301</v>
      </c>
      <c r="F159" s="207">
        <v>38000</v>
      </c>
      <c r="G159" s="207">
        <v>38200</v>
      </c>
      <c r="H159" s="161">
        <v>200</v>
      </c>
      <c r="I159" s="207">
        <v>50</v>
      </c>
      <c r="J159" s="242">
        <f t="shared" si="27"/>
        <v>10000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44480</v>
      </c>
      <c r="D160" s="161" t="s">
        <v>9</v>
      </c>
      <c r="E160" s="161" t="s">
        <v>301</v>
      </c>
      <c r="F160" s="207">
        <v>38200</v>
      </c>
      <c r="G160" s="207">
        <v>38500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44481</v>
      </c>
      <c r="D161" s="161" t="s">
        <v>9</v>
      </c>
      <c r="E161" s="161" t="s">
        <v>301</v>
      </c>
      <c r="F161" s="207">
        <v>38400</v>
      </c>
      <c r="G161" s="207">
        <v>38600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44482</v>
      </c>
      <c r="D162" s="161" t="s">
        <v>9</v>
      </c>
      <c r="E162" s="161" t="s">
        <v>301</v>
      </c>
      <c r="F162" s="207">
        <v>38750</v>
      </c>
      <c r="G162" s="207">
        <v>38790</v>
      </c>
      <c r="H162" s="161">
        <v>40</v>
      </c>
      <c r="I162" s="207">
        <v>50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44483</v>
      </c>
      <c r="D163" s="161" t="s">
        <v>9</v>
      </c>
      <c r="E163" s="161" t="s">
        <v>301</v>
      </c>
      <c r="F163" s="207">
        <v>38900</v>
      </c>
      <c r="G163" s="207">
        <v>39200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44487</v>
      </c>
      <c r="D164" s="161" t="s">
        <v>9</v>
      </c>
      <c r="E164" s="161" t="s">
        <v>301</v>
      </c>
      <c r="F164" s="207">
        <v>39700</v>
      </c>
      <c r="G164" s="207">
        <v>40000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44488</v>
      </c>
      <c r="D165" s="161" t="s">
        <v>9</v>
      </c>
      <c r="E165" s="161" t="s">
        <v>301</v>
      </c>
      <c r="F165" s="207">
        <v>39700</v>
      </c>
      <c r="G165" s="207">
        <v>39930</v>
      </c>
      <c r="H165" s="161">
        <f>39930-39700</f>
        <v>230</v>
      </c>
      <c r="I165" s="207">
        <v>50</v>
      </c>
      <c r="J165" s="242">
        <f t="shared" si="27"/>
        <v>11500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44489</v>
      </c>
      <c r="D166" s="161" t="s">
        <v>9</v>
      </c>
      <c r="E166" s="161" t="s">
        <v>301</v>
      </c>
      <c r="F166" s="207">
        <v>39500</v>
      </c>
      <c r="G166" s="207">
        <v>39800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44490</v>
      </c>
      <c r="D167" s="161" t="s">
        <v>9</v>
      </c>
      <c r="E167" s="161" t="s">
        <v>301</v>
      </c>
      <c r="F167" s="207">
        <v>39750</v>
      </c>
      <c r="G167" s="207">
        <v>39600</v>
      </c>
      <c r="H167" s="161">
        <v>-150</v>
      </c>
      <c r="I167" s="207">
        <v>50</v>
      </c>
      <c r="J167" s="242">
        <f t="shared" si="27"/>
        <v>-7500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44491</v>
      </c>
      <c r="D168" s="161" t="s">
        <v>9</v>
      </c>
      <c r="E168" s="161" t="s">
        <v>301</v>
      </c>
      <c r="F168" s="207">
        <v>40300</v>
      </c>
      <c r="G168" s="207">
        <v>40450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44494</v>
      </c>
      <c r="D169" s="161" t="s">
        <v>9</v>
      </c>
      <c r="E169" s="161" t="s">
        <v>301</v>
      </c>
      <c r="F169" s="207">
        <v>40850</v>
      </c>
      <c r="G169" s="207">
        <v>41150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44495</v>
      </c>
      <c r="D170" s="161" t="s">
        <v>9</v>
      </c>
      <c r="E170" s="161" t="s">
        <v>301</v>
      </c>
      <c r="F170" s="207">
        <v>41000</v>
      </c>
      <c r="G170" s="207">
        <v>41300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44496</v>
      </c>
      <c r="D171" s="161" t="s">
        <v>9</v>
      </c>
      <c r="E171" s="161" t="s">
        <v>301</v>
      </c>
      <c r="F171" s="207">
        <v>41300</v>
      </c>
      <c r="G171" s="207">
        <v>41360</v>
      </c>
      <c r="H171" s="161">
        <v>60</v>
      </c>
      <c r="I171" s="207">
        <v>50</v>
      </c>
      <c r="J171" s="242">
        <f t="shared" si="27"/>
        <v>3000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44497</v>
      </c>
      <c r="D172" s="161" t="s">
        <v>9</v>
      </c>
      <c r="E172" s="161" t="s">
        <v>301</v>
      </c>
      <c r="F172" s="207">
        <v>40500</v>
      </c>
      <c r="G172" s="207">
        <v>40200</v>
      </c>
      <c r="H172" s="161">
        <v>300</v>
      </c>
      <c r="I172" s="207">
        <v>50</v>
      </c>
      <c r="J172" s="242">
        <f t="shared" si="27"/>
        <v>15000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44498</v>
      </c>
      <c r="D173" s="161" t="s">
        <v>9</v>
      </c>
      <c r="E173" s="161" t="s">
        <v>301</v>
      </c>
      <c r="F173" s="207">
        <v>39450</v>
      </c>
      <c r="G173" s="207">
        <v>39750</v>
      </c>
      <c r="H173" s="161">
        <v>300</v>
      </c>
      <c r="I173" s="207">
        <v>50</v>
      </c>
      <c r="J173" s="242">
        <f t="shared" si="27"/>
        <v>15000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197000</v>
      </c>
      <c r="K177" s="153"/>
      <c r="V177" s="25">
        <f>SUM(V154:V176)</f>
        <v>19</v>
      </c>
      <c r="W177" s="25">
        <f>SUM(W154:W176)</f>
        <v>1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3514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44470</v>
      </c>
      <c r="D185" s="185" t="s">
        <v>9</v>
      </c>
      <c r="E185" s="185" t="s">
        <v>3461</v>
      </c>
      <c r="F185" s="219">
        <v>370</v>
      </c>
      <c r="G185" s="219">
        <v>470</v>
      </c>
      <c r="H185" s="185">
        <v>100</v>
      </c>
      <c r="I185" s="219">
        <v>100</v>
      </c>
      <c r="J185" s="246">
        <f t="shared" ref="J185:J207" si="31">I185*H185</f>
        <v>10000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44473</v>
      </c>
      <c r="D186" s="185" t="s">
        <v>9</v>
      </c>
      <c r="E186" s="185" t="s">
        <v>3495</v>
      </c>
      <c r="F186" s="219">
        <v>320</v>
      </c>
      <c r="G186" s="219">
        <v>360</v>
      </c>
      <c r="H186" s="185">
        <v>40</v>
      </c>
      <c r="I186" s="219">
        <v>100</v>
      </c>
      <c r="J186" s="242">
        <f t="shared" si="31"/>
        <v>4000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44474</v>
      </c>
      <c r="D187" s="161" t="s">
        <v>9</v>
      </c>
      <c r="E187" s="161" t="s">
        <v>3495</v>
      </c>
      <c r="F187" s="207">
        <v>200</v>
      </c>
      <c r="G187" s="207">
        <v>335</v>
      </c>
      <c r="H187" s="161">
        <v>135</v>
      </c>
      <c r="I187" s="207">
        <v>100</v>
      </c>
      <c r="J187" s="242">
        <f t="shared" si="31"/>
        <v>13500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44475</v>
      </c>
      <c r="D188" s="161" t="s">
        <v>9</v>
      </c>
      <c r="E188" s="161" t="s">
        <v>3518</v>
      </c>
      <c r="F188" s="207">
        <v>200</v>
      </c>
      <c r="G188" s="207">
        <v>244</v>
      </c>
      <c r="H188" s="161">
        <v>44</v>
      </c>
      <c r="I188" s="207">
        <v>100</v>
      </c>
      <c r="J188" s="242">
        <f t="shared" si="31"/>
        <v>4400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44476</v>
      </c>
      <c r="D189" s="161" t="s">
        <v>9</v>
      </c>
      <c r="E189" s="161" t="s">
        <v>3519</v>
      </c>
      <c r="F189" s="207">
        <v>100</v>
      </c>
      <c r="G189" s="207">
        <v>155</v>
      </c>
      <c r="H189" s="161">
        <v>55</v>
      </c>
      <c r="I189" s="207">
        <v>100</v>
      </c>
      <c r="J189" s="242">
        <f t="shared" si="31"/>
        <v>5500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44477</v>
      </c>
      <c r="D190" s="161" t="s">
        <v>9</v>
      </c>
      <c r="E190" s="161" t="s">
        <v>3520</v>
      </c>
      <c r="F190" s="207">
        <v>330</v>
      </c>
      <c r="G190" s="207">
        <v>375</v>
      </c>
      <c r="H190" s="161">
        <f>375-330</f>
        <v>45</v>
      </c>
      <c r="I190" s="207">
        <v>100</v>
      </c>
      <c r="J190" s="242">
        <f t="shared" si="31"/>
        <v>4500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44480</v>
      </c>
      <c r="D191" s="161" t="s">
        <v>9</v>
      </c>
      <c r="E191" s="161" t="s">
        <v>3531</v>
      </c>
      <c r="F191" s="207">
        <v>260</v>
      </c>
      <c r="G191" s="207">
        <v>460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44481</v>
      </c>
      <c r="D192" s="161" t="s">
        <v>9</v>
      </c>
      <c r="E192" s="161" t="s">
        <v>3532</v>
      </c>
      <c r="F192" s="207">
        <v>230</v>
      </c>
      <c r="G192" s="207">
        <v>410</v>
      </c>
      <c r="H192" s="161">
        <f>410-230</f>
        <v>180</v>
      </c>
      <c r="I192" s="207">
        <v>100</v>
      </c>
      <c r="J192" s="242">
        <f t="shared" si="31"/>
        <v>18000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44482</v>
      </c>
      <c r="D193" s="161" t="s">
        <v>9</v>
      </c>
      <c r="E193" s="161" t="s">
        <v>3533</v>
      </c>
      <c r="F193" s="207">
        <v>210</v>
      </c>
      <c r="G193" s="207">
        <v>185</v>
      </c>
      <c r="H193" s="161">
        <v>-25</v>
      </c>
      <c r="I193" s="207">
        <v>100</v>
      </c>
      <c r="J193" s="242">
        <f t="shared" si="31"/>
        <v>-2500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44483</v>
      </c>
      <c r="D194" s="161" t="s">
        <v>9</v>
      </c>
      <c r="E194" s="161" t="s">
        <v>3533</v>
      </c>
      <c r="F194" s="207">
        <v>190</v>
      </c>
      <c r="G194" s="207">
        <v>390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>B194+1</f>
        <v>11</v>
      </c>
      <c r="C195" s="206">
        <v>44487</v>
      </c>
      <c r="D195" s="161" t="s">
        <v>9</v>
      </c>
      <c r="E195" s="161" t="s">
        <v>3534</v>
      </c>
      <c r="F195" s="207">
        <v>320</v>
      </c>
      <c r="G195" s="207">
        <v>460</v>
      </c>
      <c r="H195" s="161">
        <f>460-320</f>
        <v>140</v>
      </c>
      <c r="I195" s="207">
        <v>100</v>
      </c>
      <c r="J195" s="242">
        <f t="shared" si="31"/>
        <v>14000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44488</v>
      </c>
      <c r="D196" s="161" t="s">
        <v>9</v>
      </c>
      <c r="E196" s="161" t="s">
        <v>3534</v>
      </c>
      <c r="F196" s="207">
        <v>270</v>
      </c>
      <c r="G196" s="207">
        <v>355</v>
      </c>
      <c r="H196" s="161">
        <f>355-270</f>
        <v>85</v>
      </c>
      <c r="I196" s="207">
        <v>100</v>
      </c>
      <c r="J196" s="242">
        <f t="shared" si="31"/>
        <v>8500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44489</v>
      </c>
      <c r="D197" s="161" t="s">
        <v>9</v>
      </c>
      <c r="E197" s="161" t="s">
        <v>3534</v>
      </c>
      <c r="F197" s="207">
        <v>210</v>
      </c>
      <c r="G197" s="207">
        <v>298</v>
      </c>
      <c r="H197" s="161">
        <f>298-210</f>
        <v>88</v>
      </c>
      <c r="I197" s="207">
        <v>100</v>
      </c>
      <c r="J197" s="242">
        <f t="shared" si="31"/>
        <v>8800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44490</v>
      </c>
      <c r="D198" s="161" t="s">
        <v>9</v>
      </c>
      <c r="E198" s="161" t="s">
        <v>3535</v>
      </c>
      <c r="F198" s="207">
        <v>180</v>
      </c>
      <c r="G198" s="207">
        <v>90</v>
      </c>
      <c r="H198" s="161">
        <v>-90</v>
      </c>
      <c r="I198" s="207">
        <v>100</v>
      </c>
      <c r="J198" s="242">
        <f t="shared" si="31"/>
        <v>-9000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44491</v>
      </c>
      <c r="D199" s="161" t="s">
        <v>9</v>
      </c>
      <c r="E199" s="161" t="s">
        <v>3536</v>
      </c>
      <c r="F199" s="207">
        <v>370</v>
      </c>
      <c r="G199" s="207">
        <v>530</v>
      </c>
      <c r="H199" s="161">
        <f>530-370</f>
        <v>160</v>
      </c>
      <c r="I199" s="207">
        <v>100</v>
      </c>
      <c r="J199" s="242">
        <f t="shared" si="31"/>
        <v>16000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44494</v>
      </c>
      <c r="D200" s="161" t="s">
        <v>9</v>
      </c>
      <c r="E200" s="161" t="s">
        <v>3549</v>
      </c>
      <c r="F200" s="207">
        <v>320</v>
      </c>
      <c r="G200" s="207">
        <v>520</v>
      </c>
      <c r="H200" s="161">
        <v>200</v>
      </c>
      <c r="I200" s="207">
        <v>100</v>
      </c>
      <c r="J200" s="242">
        <f t="shared" si="31"/>
        <v>20000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44495</v>
      </c>
      <c r="D201" s="161" t="s">
        <v>9</v>
      </c>
      <c r="E201" s="161" t="s">
        <v>3554</v>
      </c>
      <c r="F201" s="207">
        <v>320</v>
      </c>
      <c r="G201" s="207">
        <v>520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44496</v>
      </c>
      <c r="D202" s="161" t="s">
        <v>9</v>
      </c>
      <c r="E202" s="161" t="s">
        <v>3555</v>
      </c>
      <c r="F202" s="207">
        <v>250</v>
      </c>
      <c r="G202" s="207">
        <v>285</v>
      </c>
      <c r="H202" s="161">
        <f>285-250</f>
        <v>35</v>
      </c>
      <c r="I202" s="207">
        <v>100</v>
      </c>
      <c r="J202" s="242">
        <f t="shared" si="31"/>
        <v>3500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41210</v>
      </c>
      <c r="D203" s="161" t="s">
        <v>9</v>
      </c>
      <c r="E203" s="161" t="s">
        <v>3556</v>
      </c>
      <c r="F203" s="207">
        <v>180</v>
      </c>
      <c r="G203" s="207">
        <v>380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44498</v>
      </c>
      <c r="D204" s="161" t="s">
        <v>9</v>
      </c>
      <c r="E204" s="161" t="s">
        <v>3557</v>
      </c>
      <c r="F204" s="207">
        <v>430</v>
      </c>
      <c r="G204" s="207">
        <v>585</v>
      </c>
      <c r="H204" s="161">
        <f>585-430</f>
        <v>155</v>
      </c>
      <c r="I204" s="207">
        <v>100</v>
      </c>
      <c r="J204" s="242">
        <f t="shared" si="31"/>
        <v>15500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214700</v>
      </c>
      <c r="K208" s="153"/>
      <c r="V208" s="25">
        <f>SUM(V185:V207)</f>
        <v>18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3513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44470</v>
      </c>
      <c r="D216" s="185" t="s">
        <v>9</v>
      </c>
      <c r="E216" s="185" t="s">
        <v>3521</v>
      </c>
      <c r="F216" s="231">
        <v>62</v>
      </c>
      <c r="G216" s="231">
        <v>65.25</v>
      </c>
      <c r="H216" s="231">
        <v>3.25</v>
      </c>
      <c r="I216" s="219">
        <v>600</v>
      </c>
      <c r="J216" s="246">
        <f t="shared" ref="J216:J239" si="35">I216*H216</f>
        <v>1950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44473</v>
      </c>
      <c r="D217" s="185" t="s">
        <v>9</v>
      </c>
      <c r="E217" s="185" t="s">
        <v>3522</v>
      </c>
      <c r="F217" s="231">
        <v>115</v>
      </c>
      <c r="G217" s="231">
        <v>155</v>
      </c>
      <c r="H217" s="231">
        <f>155-115</f>
        <v>40</v>
      </c>
      <c r="I217" s="219">
        <v>500</v>
      </c>
      <c r="J217" s="242">
        <f>I217*H217</f>
        <v>20000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44474</v>
      </c>
      <c r="D218" s="161" t="s">
        <v>9</v>
      </c>
      <c r="E218" s="161" t="s">
        <v>3523</v>
      </c>
      <c r="F218" s="222">
        <v>40</v>
      </c>
      <c r="G218" s="222">
        <v>43</v>
      </c>
      <c r="H218" s="222">
        <v>3</v>
      </c>
      <c r="I218" s="207">
        <v>1250</v>
      </c>
      <c r="J218" s="242">
        <f t="shared" si="35"/>
        <v>3750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44475</v>
      </c>
      <c r="D219" s="161" t="s">
        <v>9</v>
      </c>
      <c r="E219" s="161" t="s">
        <v>3524</v>
      </c>
      <c r="F219" s="222">
        <v>41</v>
      </c>
      <c r="G219" s="222">
        <v>46</v>
      </c>
      <c r="H219" s="222">
        <v>5</v>
      </c>
      <c r="I219" s="207">
        <v>500</v>
      </c>
      <c r="J219" s="242">
        <f t="shared" si="35"/>
        <v>2500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44476</v>
      </c>
      <c r="D220" s="161" t="s">
        <v>9</v>
      </c>
      <c r="E220" s="161" t="s">
        <v>3525</v>
      </c>
      <c r="F220" s="222">
        <v>66</v>
      </c>
      <c r="G220" s="222">
        <v>76</v>
      </c>
      <c r="H220" s="222">
        <v>10</v>
      </c>
      <c r="I220" s="207">
        <v>550</v>
      </c>
      <c r="J220" s="242">
        <f t="shared" si="35"/>
        <v>5500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44477</v>
      </c>
      <c r="D221" s="161" t="s">
        <v>9</v>
      </c>
      <c r="E221" s="161" t="s">
        <v>3526</v>
      </c>
      <c r="F221" s="222">
        <v>56</v>
      </c>
      <c r="G221" s="222">
        <v>62</v>
      </c>
      <c r="H221" s="222">
        <f>62-56</f>
        <v>6</v>
      </c>
      <c r="I221" s="207">
        <v>600</v>
      </c>
      <c r="J221" s="242">
        <f t="shared" si="35"/>
        <v>3600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44480</v>
      </c>
      <c r="D222" s="161" t="s">
        <v>9</v>
      </c>
      <c r="E222" s="161" t="s">
        <v>3537</v>
      </c>
      <c r="F222" s="222">
        <v>100</v>
      </c>
      <c r="G222" s="222">
        <v>108.5</v>
      </c>
      <c r="H222" s="222">
        <v>8.5</v>
      </c>
      <c r="I222" s="207">
        <v>350</v>
      </c>
      <c r="J222" s="242">
        <f t="shared" si="35"/>
        <v>2975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44481</v>
      </c>
      <c r="D223" s="161" t="s">
        <v>9</v>
      </c>
      <c r="E223" s="161" t="s">
        <v>3538</v>
      </c>
      <c r="F223" s="222">
        <v>135</v>
      </c>
      <c r="G223" s="222">
        <v>148</v>
      </c>
      <c r="H223" s="222">
        <f>148-135</f>
        <v>13</v>
      </c>
      <c r="I223" s="207">
        <v>275</v>
      </c>
      <c r="J223" s="242">
        <f t="shared" si="35"/>
        <v>3575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44482</v>
      </c>
      <c r="D224" s="161" t="s">
        <v>9</v>
      </c>
      <c r="E224" s="161" t="s">
        <v>3510</v>
      </c>
      <c r="F224" s="222">
        <v>19</v>
      </c>
      <c r="G224" s="222">
        <v>20.7</v>
      </c>
      <c r="H224" s="255">
        <v>1.7</v>
      </c>
      <c r="I224" s="207">
        <v>1200</v>
      </c>
      <c r="J224" s="242">
        <f t="shared" si="35"/>
        <v>2040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44483</v>
      </c>
      <c r="D225" s="161" t="s">
        <v>9</v>
      </c>
      <c r="E225" s="161" t="s">
        <v>3539</v>
      </c>
      <c r="F225" s="222">
        <v>57</v>
      </c>
      <c r="G225" s="222">
        <v>67</v>
      </c>
      <c r="H225" s="255">
        <v>10</v>
      </c>
      <c r="I225" s="207">
        <v>500</v>
      </c>
      <c r="J225" s="242">
        <f t="shared" si="35"/>
        <v>5000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44487</v>
      </c>
      <c r="D226" s="161" t="s">
        <v>9</v>
      </c>
      <c r="E226" s="161" t="s">
        <v>3540</v>
      </c>
      <c r="F226" s="222">
        <v>47</v>
      </c>
      <c r="G226" s="222">
        <v>53</v>
      </c>
      <c r="H226" s="255">
        <f>53-47</f>
        <v>6</v>
      </c>
      <c r="I226" s="207">
        <v>500</v>
      </c>
      <c r="J226" s="242">
        <f t="shared" si="35"/>
        <v>3000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44488</v>
      </c>
      <c r="D227" s="161" t="s">
        <v>9</v>
      </c>
      <c r="E227" s="161" t="s">
        <v>3541</v>
      </c>
      <c r="F227" s="222">
        <v>47</v>
      </c>
      <c r="G227" s="222">
        <v>60</v>
      </c>
      <c r="H227" s="255">
        <f>60-47</f>
        <v>13</v>
      </c>
      <c r="I227" s="207">
        <v>700</v>
      </c>
      <c r="J227" s="242">
        <f t="shared" si="35"/>
        <v>9100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44489</v>
      </c>
      <c r="D228" s="161" t="s">
        <v>9</v>
      </c>
      <c r="E228" s="161" t="s">
        <v>3542</v>
      </c>
      <c r="F228" s="222">
        <v>60</v>
      </c>
      <c r="G228" s="222">
        <v>90</v>
      </c>
      <c r="H228" s="255">
        <v>30</v>
      </c>
      <c r="I228" s="207">
        <v>550</v>
      </c>
      <c r="J228" s="242">
        <f t="shared" si="35"/>
        <v>16500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44490</v>
      </c>
      <c r="D229" s="161" t="s">
        <v>9</v>
      </c>
      <c r="E229" s="161" t="s">
        <v>3543</v>
      </c>
      <c r="F229" s="222">
        <v>52</v>
      </c>
      <c r="G229" s="222">
        <v>42</v>
      </c>
      <c r="H229" s="255">
        <v>-10</v>
      </c>
      <c r="I229" s="207">
        <v>300</v>
      </c>
      <c r="J229" s="242">
        <f>I229*H229</f>
        <v>-3000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44491</v>
      </c>
      <c r="D230" s="161" t="s">
        <v>9</v>
      </c>
      <c r="E230" s="161" t="s">
        <v>3544</v>
      </c>
      <c r="F230" s="222">
        <v>60</v>
      </c>
      <c r="G230" s="222">
        <v>74</v>
      </c>
      <c r="H230" s="255">
        <v>14</v>
      </c>
      <c r="I230" s="207">
        <v>250</v>
      </c>
      <c r="J230" s="242">
        <f t="shared" si="35"/>
        <v>3500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44494</v>
      </c>
      <c r="D231" s="161" t="s">
        <v>9</v>
      </c>
      <c r="E231" s="161" t="s">
        <v>3548</v>
      </c>
      <c r="F231" s="222">
        <v>38</v>
      </c>
      <c r="G231" s="222">
        <v>58</v>
      </c>
      <c r="H231" s="222">
        <v>20</v>
      </c>
      <c r="I231" s="207">
        <v>900</v>
      </c>
      <c r="J231" s="242">
        <f t="shared" si="35"/>
        <v>18000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44495</v>
      </c>
      <c r="D232" s="161" t="s">
        <v>9</v>
      </c>
      <c r="E232" s="161" t="s">
        <v>3540</v>
      </c>
      <c r="F232" s="222">
        <v>29</v>
      </c>
      <c r="G232" s="222">
        <v>41</v>
      </c>
      <c r="H232" s="222">
        <f>41-29</f>
        <v>12</v>
      </c>
      <c r="I232" s="207">
        <v>500</v>
      </c>
      <c r="J232" s="242">
        <f t="shared" si="35"/>
        <v>6000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44496</v>
      </c>
      <c r="D233" s="161" t="s">
        <v>9</v>
      </c>
      <c r="E233" s="161" t="s">
        <v>3559</v>
      </c>
      <c r="F233" s="222">
        <v>12</v>
      </c>
      <c r="G233" s="222">
        <v>16</v>
      </c>
      <c r="H233" s="222">
        <v>4</v>
      </c>
      <c r="I233" s="207">
        <v>600</v>
      </c>
      <c r="J233" s="242">
        <f t="shared" si="35"/>
        <v>2400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44497</v>
      </c>
      <c r="D234" s="161" t="s">
        <v>9</v>
      </c>
      <c r="E234" s="161" t="s">
        <v>3558</v>
      </c>
      <c r="F234" s="222">
        <v>5</v>
      </c>
      <c r="G234" s="222">
        <v>9</v>
      </c>
      <c r="H234" s="222">
        <v>4</v>
      </c>
      <c r="I234" s="207">
        <v>575</v>
      </c>
      <c r="J234" s="242">
        <f t="shared" si="35"/>
        <v>2300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44498</v>
      </c>
      <c r="D235" s="161" t="s">
        <v>9</v>
      </c>
      <c r="E235" s="161" t="s">
        <v>3560</v>
      </c>
      <c r="F235" s="222">
        <v>100</v>
      </c>
      <c r="G235" s="222">
        <v>88</v>
      </c>
      <c r="H235" s="222">
        <v>-22</v>
      </c>
      <c r="I235" s="207">
        <v>375</v>
      </c>
      <c r="J235" s="242">
        <f t="shared" si="35"/>
        <v>-8250</v>
      </c>
      <c r="K235" s="153"/>
      <c r="V235" s="25">
        <f t="shared" si="37"/>
        <v>0</v>
      </c>
      <c r="W235" s="25">
        <f t="shared" si="38"/>
        <v>1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100440</v>
      </c>
      <c r="K240" s="153"/>
      <c r="V240" s="25">
        <f>SUM(V216:V239)</f>
        <v>18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600-000000000000}"/>
    <hyperlink ref="B84" r:id="rId2" xr:uid="{00000000-0004-0000-6600-000001000000}"/>
    <hyperlink ref="B115" r:id="rId3" xr:uid="{00000000-0004-0000-6600-000002000000}"/>
    <hyperlink ref="B146" r:id="rId4" xr:uid="{00000000-0004-0000-6600-000003000000}"/>
    <hyperlink ref="B177" r:id="rId5" xr:uid="{00000000-0004-0000-6600-000004000000}"/>
    <hyperlink ref="B208" r:id="rId6" xr:uid="{00000000-0004-0000-6600-000005000000}"/>
    <hyperlink ref="B240" r:id="rId7" xr:uid="{00000000-0004-0000-6600-000006000000}"/>
    <hyperlink ref="M1" location="'MASTER '!A1" display="Back" xr:uid="{00000000-0004-0000-6600-000007000000}"/>
    <hyperlink ref="M6:M7" location="'OCTOBER 2021'!A77" display="STOCK FUTURE" xr:uid="{00000000-0004-0000-6600-000008000000}"/>
    <hyperlink ref="M12:M13" location="'OCTOBER 2021'!A170" display="BANK NIFTY" xr:uid="{00000000-0004-0000-6600-000009000000}"/>
    <hyperlink ref="M10:M11" location="'OCTOBER 2021'!A139" display="NF. OPTION" xr:uid="{00000000-0004-0000-6600-00000A000000}"/>
    <hyperlink ref="M8:M9" location="'OCTOBER 2021'!A108" display="NIFTY FUTURE" xr:uid="{00000000-0004-0000-6600-00000B000000}"/>
    <hyperlink ref="M4:M5" location="'OCTOBER 2021'!A1" display="CASH" xr:uid="{00000000-0004-0000-6600-00000C000000}"/>
    <hyperlink ref="M14:M15" location="'OCTOBER 2021'!A201" display="B.NIFTY OPTION" xr:uid="{00000000-0004-0000-6600-00000D000000}"/>
    <hyperlink ref="M16:M17" location="'OCTOBER 2021'!A216" display="STOCK OPTION" xr:uid="{00000000-0004-0000-6600-00000E000000}"/>
  </hyperlinks>
  <pageMargins left="0" right="0" top="0" bottom="0" header="0" footer="0"/>
  <pageSetup scale="95" orientation="portrait" r:id="rId8"/>
  <drawing r:id="rId9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W241"/>
  <sheetViews>
    <sheetView topLeftCell="A218" zoomScaleNormal="100" workbookViewId="0">
      <selection activeCell="M231" sqref="M229:M231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3600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34</v>
      </c>
      <c r="O4" s="386">
        <f>V52</f>
        <v>23</v>
      </c>
      <c r="P4" s="386">
        <f>W52</f>
        <v>10</v>
      </c>
      <c r="Q4" s="387">
        <f>N4-O4-P4</f>
        <v>1</v>
      </c>
      <c r="R4" s="380">
        <f>O4/N4</f>
        <v>0.67647058823529416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44501</v>
      </c>
      <c r="D6" s="158" t="s">
        <v>9</v>
      </c>
      <c r="E6" s="158" t="s">
        <v>129</v>
      </c>
      <c r="F6" s="230">
        <v>2885</v>
      </c>
      <c r="G6" s="222">
        <v>2860</v>
      </c>
      <c r="H6" s="222">
        <v>-15</v>
      </c>
      <c r="I6" s="207">
        <f t="shared" ref="I6:I7" si="0">300000/F6</f>
        <v>103.98613518197574</v>
      </c>
      <c r="J6" s="161">
        <f t="shared" ref="J6:J7" si="1">H6*I6</f>
        <v>-1559.7920277296362</v>
      </c>
      <c r="K6" s="153"/>
      <c r="M6" s="394" t="s">
        <v>450</v>
      </c>
      <c r="N6" s="344">
        <f>COUNT(C60:C83)</f>
        <v>20</v>
      </c>
      <c r="O6" s="346">
        <f>V84</f>
        <v>16</v>
      </c>
      <c r="P6" s="346">
        <f>W84</f>
        <v>4</v>
      </c>
      <c r="Q6" s="374">
        <f>N6-O6-P6</f>
        <v>0</v>
      </c>
      <c r="R6" s="376">
        <f t="shared" ref="R6" si="2">O6/N6</f>
        <v>0.8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44501</v>
      </c>
      <c r="D7" s="161" t="s">
        <v>9</v>
      </c>
      <c r="E7" s="161" t="s">
        <v>552</v>
      </c>
      <c r="F7" s="222">
        <v>1170</v>
      </c>
      <c r="G7" s="231">
        <v>1185</v>
      </c>
      <c r="H7" s="255">
        <v>15</v>
      </c>
      <c r="I7" s="207">
        <f t="shared" si="0"/>
        <v>256.41025641025641</v>
      </c>
      <c r="J7" s="161">
        <f t="shared" si="1"/>
        <v>3846.1538461538462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44502</v>
      </c>
      <c r="D8" s="161" t="s">
        <v>9</v>
      </c>
      <c r="E8" s="161" t="s">
        <v>3561</v>
      </c>
      <c r="F8" s="222">
        <v>920</v>
      </c>
      <c r="G8" s="222">
        <v>910</v>
      </c>
      <c r="H8" s="222">
        <v>-10</v>
      </c>
      <c r="I8" s="207">
        <f t="shared" ref="I8:I39" si="6">300000/F8</f>
        <v>326.08695652173913</v>
      </c>
      <c r="J8" s="161">
        <f t="shared" ref="J8:J39" si="7">H8*I8</f>
        <v>-3260.869565217391</v>
      </c>
      <c r="K8" s="153"/>
      <c r="M8" s="394" t="s">
        <v>451</v>
      </c>
      <c r="N8" s="344">
        <f>COUNT(C92:C114)</f>
        <v>17</v>
      </c>
      <c r="O8" s="346">
        <f>V115</f>
        <v>15</v>
      </c>
      <c r="P8" s="346">
        <f>W115</f>
        <v>2</v>
      </c>
      <c r="Q8" s="374">
        <f>N8-O8-P8</f>
        <v>0</v>
      </c>
      <c r="R8" s="376">
        <f t="shared" ref="R8" si="8">O8/N8</f>
        <v>0.88235294117647056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44502</v>
      </c>
      <c r="D9" s="161" t="s">
        <v>9</v>
      </c>
      <c r="E9" s="161" t="s">
        <v>3562</v>
      </c>
      <c r="F9" s="222">
        <v>5400</v>
      </c>
      <c r="G9" s="231">
        <v>5480</v>
      </c>
      <c r="H9" s="255">
        <v>80</v>
      </c>
      <c r="I9" s="207">
        <f t="shared" si="6"/>
        <v>55.555555555555557</v>
      </c>
      <c r="J9" s="161">
        <f t="shared" si="7"/>
        <v>4444.4444444444443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44509</v>
      </c>
      <c r="D10" s="161" t="s">
        <v>9</v>
      </c>
      <c r="E10" s="161" t="s">
        <v>2004</v>
      </c>
      <c r="F10" s="222">
        <v>692</v>
      </c>
      <c r="G10" s="222">
        <v>705</v>
      </c>
      <c r="H10" s="222">
        <f>705-692</f>
        <v>13</v>
      </c>
      <c r="I10" s="207">
        <f t="shared" si="6"/>
        <v>433.52601156069363</v>
      </c>
      <c r="J10" s="161">
        <f t="shared" si="7"/>
        <v>5635.838150289017</v>
      </c>
      <c r="K10" s="153"/>
      <c r="M10" s="394" t="s">
        <v>1176</v>
      </c>
      <c r="N10" s="344">
        <f>COUNT(C123:C145)</f>
        <v>17</v>
      </c>
      <c r="O10" s="346">
        <f>V146</f>
        <v>16</v>
      </c>
      <c r="P10" s="346">
        <f>W146</f>
        <v>1</v>
      </c>
      <c r="Q10" s="374">
        <f>N10-O10-P10</f>
        <v>0</v>
      </c>
      <c r="R10" s="376">
        <f t="shared" ref="R10:R16" si="9">O10/N10</f>
        <v>0.94117647058823528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44509</v>
      </c>
      <c r="D11" s="161" t="s">
        <v>9</v>
      </c>
      <c r="E11" s="161" t="s">
        <v>2470</v>
      </c>
      <c r="F11" s="222">
        <v>642</v>
      </c>
      <c r="G11" s="222">
        <v>651</v>
      </c>
      <c r="H11" s="255">
        <f>651-642</f>
        <v>9</v>
      </c>
      <c r="I11" s="207">
        <f t="shared" si="6"/>
        <v>467.28971962616822</v>
      </c>
      <c r="J11" s="161">
        <f t="shared" si="7"/>
        <v>4205.6074766355141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44510</v>
      </c>
      <c r="D12" s="161" t="s">
        <v>9</v>
      </c>
      <c r="E12" s="161" t="s">
        <v>3343</v>
      </c>
      <c r="F12" s="222">
        <v>1240</v>
      </c>
      <c r="G12" s="222">
        <v>1225</v>
      </c>
      <c r="H12" s="222">
        <v>-15</v>
      </c>
      <c r="I12" s="207">
        <f t="shared" si="6"/>
        <v>241.93548387096774</v>
      </c>
      <c r="J12" s="161">
        <f t="shared" si="7"/>
        <v>-3629.0322580645161</v>
      </c>
      <c r="K12" s="153"/>
      <c r="M12" s="394" t="s">
        <v>41</v>
      </c>
      <c r="N12" s="344">
        <f>COUNT(C154:C176)</f>
        <v>17</v>
      </c>
      <c r="O12" s="346">
        <f>V177</f>
        <v>15</v>
      </c>
      <c r="P12" s="346">
        <f>W177</f>
        <v>2</v>
      </c>
      <c r="Q12" s="374">
        <f t="shared" ref="Q12" si="10">N12-O12-P12</f>
        <v>0</v>
      </c>
      <c r="R12" s="376">
        <f t="shared" si="9"/>
        <v>0.88235294117647056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44510</v>
      </c>
      <c r="D13" s="161" t="s">
        <v>9</v>
      </c>
      <c r="E13" s="161" t="s">
        <v>3563</v>
      </c>
      <c r="F13" s="222">
        <v>1880</v>
      </c>
      <c r="G13" s="222">
        <v>1920</v>
      </c>
      <c r="H13" s="255">
        <f>1920-1880</f>
        <v>40</v>
      </c>
      <c r="I13" s="207">
        <f t="shared" si="6"/>
        <v>159.57446808510639</v>
      </c>
      <c r="J13" s="161">
        <f t="shared" si="7"/>
        <v>6382.978723404256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44511</v>
      </c>
      <c r="D14" s="161" t="s">
        <v>9</v>
      </c>
      <c r="E14" s="161" t="s">
        <v>2563</v>
      </c>
      <c r="F14" s="222">
        <v>2165</v>
      </c>
      <c r="G14" s="222">
        <v>2194</v>
      </c>
      <c r="H14" s="222">
        <f>2194-2165</f>
        <v>29</v>
      </c>
      <c r="I14" s="207">
        <f t="shared" si="6"/>
        <v>138.56812933025404</v>
      </c>
      <c r="J14" s="161">
        <f t="shared" si="7"/>
        <v>4018.4757505773673</v>
      </c>
      <c r="K14" s="153"/>
      <c r="M14" s="394" t="s">
        <v>1175</v>
      </c>
      <c r="N14" s="344">
        <f>COUNT(C185:C207)</f>
        <v>17</v>
      </c>
      <c r="O14" s="346">
        <f>V208</f>
        <v>15</v>
      </c>
      <c r="P14" s="346">
        <f>W208</f>
        <v>2</v>
      </c>
      <c r="Q14" s="374">
        <f t="shared" ref="Q14" si="11">N14-O14-P14</f>
        <v>0</v>
      </c>
      <c r="R14" s="376">
        <f t="shared" si="9"/>
        <v>0.88235294117647056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44511</v>
      </c>
      <c r="D15" s="161" t="s">
        <v>9</v>
      </c>
      <c r="E15" s="161" t="s">
        <v>78</v>
      </c>
      <c r="F15" s="222">
        <v>1970</v>
      </c>
      <c r="G15" s="222">
        <v>1979</v>
      </c>
      <c r="H15" s="222">
        <v>9</v>
      </c>
      <c r="I15" s="207">
        <f t="shared" si="6"/>
        <v>152.28426395939087</v>
      </c>
      <c r="J15" s="161">
        <f t="shared" si="7"/>
        <v>1370.5583756345179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44512</v>
      </c>
      <c r="D16" s="161" t="s">
        <v>9</v>
      </c>
      <c r="E16" s="161" t="s">
        <v>111</v>
      </c>
      <c r="F16" s="222">
        <v>348</v>
      </c>
      <c r="G16" s="222">
        <v>348</v>
      </c>
      <c r="H16" s="222">
        <v>0</v>
      </c>
      <c r="I16" s="207">
        <f t="shared" si="6"/>
        <v>862.06896551724139</v>
      </c>
      <c r="J16" s="161">
        <f t="shared" si="7"/>
        <v>0</v>
      </c>
      <c r="K16" s="153"/>
      <c r="L16" s="25" t="s">
        <v>2008</v>
      </c>
      <c r="M16" s="394" t="s">
        <v>1090</v>
      </c>
      <c r="N16" s="344">
        <v>20</v>
      </c>
      <c r="O16" s="346">
        <f>V240</f>
        <v>16</v>
      </c>
      <c r="P16" s="346">
        <f>W240</f>
        <v>1</v>
      </c>
      <c r="Q16" s="374">
        <f t="shared" ref="Q16" si="12">N16-O16-P16</f>
        <v>3</v>
      </c>
      <c r="R16" s="376">
        <f t="shared" si="9"/>
        <v>0.8</v>
      </c>
      <c r="V16" s="25">
        <f>IF($J16&gt;0,1,0)</f>
        <v>0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44512</v>
      </c>
      <c r="D17" s="161" t="s">
        <v>9</v>
      </c>
      <c r="E17" s="161" t="s">
        <v>2563</v>
      </c>
      <c r="F17" s="222">
        <v>2190</v>
      </c>
      <c r="G17" s="222">
        <v>2230</v>
      </c>
      <c r="H17" s="222">
        <f>2230-2190</f>
        <v>40</v>
      </c>
      <c r="I17" s="207">
        <f t="shared" si="6"/>
        <v>136.98630136986301</v>
      </c>
      <c r="J17" s="161">
        <f t="shared" si="7"/>
        <v>5479.4520547945203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44515</v>
      </c>
      <c r="D18" s="161" t="s">
        <v>9</v>
      </c>
      <c r="E18" s="161" t="s">
        <v>2563</v>
      </c>
      <c r="F18" s="222">
        <v>2320</v>
      </c>
      <c r="G18" s="222">
        <v>2332</v>
      </c>
      <c r="H18" s="222">
        <v>12</v>
      </c>
      <c r="I18" s="207">
        <f t="shared" si="6"/>
        <v>129.31034482758622</v>
      </c>
      <c r="J18" s="161">
        <f t="shared" si="7"/>
        <v>1551.7241379310346</v>
      </c>
      <c r="K18" s="153"/>
      <c r="M18" s="392" t="s">
        <v>946</v>
      </c>
      <c r="N18" s="378">
        <f>SUM(N4:N17)</f>
        <v>142</v>
      </c>
      <c r="O18" s="378">
        <f t="shared" ref="O18:Q18" si="13">SUM(O4:O17)</f>
        <v>116</v>
      </c>
      <c r="P18" s="378">
        <f t="shared" si="13"/>
        <v>22</v>
      </c>
      <c r="Q18" s="378">
        <f t="shared" si="13"/>
        <v>4</v>
      </c>
      <c r="R18" s="380">
        <f t="shared" ref="R18" si="14">O18/N18</f>
        <v>0.81690140845070425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44515</v>
      </c>
      <c r="D19" s="161" t="s">
        <v>9</v>
      </c>
      <c r="E19" s="161" t="s">
        <v>3546</v>
      </c>
      <c r="F19" s="222">
        <v>300</v>
      </c>
      <c r="G19" s="222">
        <v>236</v>
      </c>
      <c r="H19" s="222">
        <v>-4</v>
      </c>
      <c r="I19" s="207">
        <f t="shared" si="6"/>
        <v>1000</v>
      </c>
      <c r="J19" s="161">
        <f t="shared" si="7"/>
        <v>-4000</v>
      </c>
      <c r="K19" s="153"/>
      <c r="M19" s="393"/>
      <c r="N19" s="379"/>
      <c r="O19" s="379"/>
      <c r="P19" s="379"/>
      <c r="Q19" s="379"/>
      <c r="R19" s="377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44516</v>
      </c>
      <c r="D20" s="161" t="s">
        <v>9</v>
      </c>
      <c r="E20" s="161" t="s">
        <v>982</v>
      </c>
      <c r="F20" s="222">
        <v>758</v>
      </c>
      <c r="G20" s="222">
        <v>750</v>
      </c>
      <c r="H20" s="222">
        <v>8</v>
      </c>
      <c r="I20" s="207">
        <f t="shared" si="6"/>
        <v>395.77836411609496</v>
      </c>
      <c r="J20" s="161">
        <f t="shared" si="7"/>
        <v>3166.2269129287597</v>
      </c>
      <c r="K20" s="153"/>
      <c r="M20" s="316" t="s">
        <v>2253</v>
      </c>
      <c r="N20" s="317"/>
      <c r="O20" s="318"/>
      <c r="P20" s="325">
        <f>R18</f>
        <v>0.81690140845070425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44516</v>
      </c>
      <c r="D21" s="161" t="s">
        <v>9</v>
      </c>
      <c r="E21" s="161" t="s">
        <v>834</v>
      </c>
      <c r="F21" s="222">
        <v>333</v>
      </c>
      <c r="G21" s="222">
        <v>338.9</v>
      </c>
      <c r="H21" s="222">
        <v>5.9</v>
      </c>
      <c r="I21" s="207">
        <f t="shared" si="6"/>
        <v>900.90090090090087</v>
      </c>
      <c r="J21" s="161">
        <f t="shared" si="7"/>
        <v>5315.3153153153153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44517</v>
      </c>
      <c r="D22" s="161" t="s">
        <v>9</v>
      </c>
      <c r="E22" s="161" t="s">
        <v>173</v>
      </c>
      <c r="F22" s="222">
        <v>3210</v>
      </c>
      <c r="G22" s="222">
        <v>3229</v>
      </c>
      <c r="H22" s="222">
        <f>3229-3210</f>
        <v>19</v>
      </c>
      <c r="I22" s="207">
        <f t="shared" si="6"/>
        <v>93.45794392523365</v>
      </c>
      <c r="J22" s="161">
        <f t="shared" si="7"/>
        <v>1775.7009345794393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44517</v>
      </c>
      <c r="D23" s="161" t="s">
        <v>9</v>
      </c>
      <c r="E23" s="161" t="s">
        <v>3343</v>
      </c>
      <c r="F23" s="222">
        <v>1250</v>
      </c>
      <c r="G23" s="222">
        <v>1235</v>
      </c>
      <c r="H23" s="222">
        <v>-15</v>
      </c>
      <c r="I23" s="207">
        <f t="shared" si="6"/>
        <v>240</v>
      </c>
      <c r="J23" s="161">
        <f t="shared" si="7"/>
        <v>-3600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44518</v>
      </c>
      <c r="D24" s="161" t="s">
        <v>9</v>
      </c>
      <c r="E24" s="161" t="s">
        <v>51</v>
      </c>
      <c r="F24" s="222">
        <v>1255</v>
      </c>
      <c r="G24" s="222">
        <v>1245</v>
      </c>
      <c r="H24" s="222">
        <v>-10</v>
      </c>
      <c r="I24" s="207">
        <f t="shared" si="6"/>
        <v>239.04382470119521</v>
      </c>
      <c r="J24" s="161">
        <f t="shared" si="7"/>
        <v>-2390.4382470119522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44518</v>
      </c>
      <c r="D25" s="161" t="s">
        <v>9</v>
      </c>
      <c r="E25" s="161" t="s">
        <v>3584</v>
      </c>
      <c r="F25" s="222">
        <v>944</v>
      </c>
      <c r="G25" s="222">
        <v>949</v>
      </c>
      <c r="H25" s="222">
        <v>5</v>
      </c>
      <c r="I25" s="207">
        <f t="shared" si="6"/>
        <v>317.79661016949154</v>
      </c>
      <c r="J25" s="161">
        <f t="shared" si="7"/>
        <v>1588.9830508474577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44522</v>
      </c>
      <c r="D26" s="161" t="s">
        <v>9</v>
      </c>
      <c r="E26" s="161" t="s">
        <v>15</v>
      </c>
      <c r="F26" s="222">
        <v>2310</v>
      </c>
      <c r="G26" s="222">
        <v>2323</v>
      </c>
      <c r="H26" s="222">
        <f>2323-2310</f>
        <v>13</v>
      </c>
      <c r="I26" s="207">
        <f t="shared" si="6"/>
        <v>129.87012987012986</v>
      </c>
      <c r="J26" s="161">
        <f t="shared" si="7"/>
        <v>1688.3116883116882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44522</v>
      </c>
      <c r="D27" s="161" t="s">
        <v>9</v>
      </c>
      <c r="E27" s="161" t="s">
        <v>3476</v>
      </c>
      <c r="F27" s="222">
        <v>2295</v>
      </c>
      <c r="G27" s="222">
        <v>2310</v>
      </c>
      <c r="H27" s="222">
        <f>2310-2295</f>
        <v>15</v>
      </c>
      <c r="I27" s="207">
        <f t="shared" si="6"/>
        <v>130.718954248366</v>
      </c>
      <c r="J27" s="161">
        <f t="shared" si="7"/>
        <v>1960.7843137254899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44523</v>
      </c>
      <c r="D28" s="161" t="s">
        <v>9</v>
      </c>
      <c r="E28" s="161" t="s">
        <v>3436</v>
      </c>
      <c r="F28" s="222">
        <v>890</v>
      </c>
      <c r="G28" s="222">
        <v>895</v>
      </c>
      <c r="H28" s="222">
        <v>5</v>
      </c>
      <c r="I28" s="207">
        <f t="shared" si="6"/>
        <v>337.07865168539325</v>
      </c>
      <c r="J28" s="161">
        <f t="shared" si="7"/>
        <v>1685.3932584269662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44523</v>
      </c>
      <c r="D29" s="161" t="s">
        <v>9</v>
      </c>
      <c r="E29" s="161" t="s">
        <v>3589</v>
      </c>
      <c r="F29" s="222">
        <v>365</v>
      </c>
      <c r="G29" s="222">
        <v>367.8</v>
      </c>
      <c r="H29" s="222">
        <f>367.8-365</f>
        <v>2.8000000000000114</v>
      </c>
      <c r="I29" s="207">
        <f t="shared" si="6"/>
        <v>821.91780821917803</v>
      </c>
      <c r="J29" s="161">
        <f t="shared" si="7"/>
        <v>2301.3698630137078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44524</v>
      </c>
      <c r="D30" s="161" t="s">
        <v>9</v>
      </c>
      <c r="E30" s="161" t="s">
        <v>50</v>
      </c>
      <c r="F30" s="222">
        <v>795</v>
      </c>
      <c r="G30" s="222">
        <v>785</v>
      </c>
      <c r="H30" s="222">
        <v>-10</v>
      </c>
      <c r="I30" s="207">
        <f t="shared" si="6"/>
        <v>377.35849056603774</v>
      </c>
      <c r="J30" s="161">
        <f t="shared" si="7"/>
        <v>-3773.5849056603774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44524</v>
      </c>
      <c r="D31" s="161" t="s">
        <v>9</v>
      </c>
      <c r="E31" s="161" t="s">
        <v>2391</v>
      </c>
      <c r="F31" s="222">
        <v>620</v>
      </c>
      <c r="G31" s="222">
        <v>628</v>
      </c>
      <c r="H31" s="222">
        <v>8</v>
      </c>
      <c r="I31" s="207">
        <f t="shared" si="6"/>
        <v>483.87096774193549</v>
      </c>
      <c r="J31" s="161">
        <f t="shared" si="7"/>
        <v>3870.9677419354839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44525</v>
      </c>
      <c r="D32" s="161" t="s">
        <v>9</v>
      </c>
      <c r="E32" s="161" t="s">
        <v>3248</v>
      </c>
      <c r="F32" s="222">
        <v>2230</v>
      </c>
      <c r="G32" s="222">
        <v>2258</v>
      </c>
      <c r="H32" s="222">
        <f>2258-2230</f>
        <v>28</v>
      </c>
      <c r="I32" s="207">
        <f t="shared" si="6"/>
        <v>134.52914798206277</v>
      </c>
      <c r="J32" s="161">
        <f t="shared" si="7"/>
        <v>3766.8161434977574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44525</v>
      </c>
      <c r="D33" s="161" t="s">
        <v>9</v>
      </c>
      <c r="E33" s="161" t="s">
        <v>3343</v>
      </c>
      <c r="F33" s="222">
        <v>1220</v>
      </c>
      <c r="G33" s="222">
        <v>1210</v>
      </c>
      <c r="H33" s="222">
        <v>-20</v>
      </c>
      <c r="I33" s="207">
        <f t="shared" si="6"/>
        <v>245.90163934426229</v>
      </c>
      <c r="J33" s="161">
        <f t="shared" si="7"/>
        <v>-4918.0327868852455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44526</v>
      </c>
      <c r="D34" s="161" t="s">
        <v>9</v>
      </c>
      <c r="E34" s="161" t="s">
        <v>160</v>
      </c>
      <c r="F34" s="222">
        <v>920</v>
      </c>
      <c r="G34" s="222">
        <v>940</v>
      </c>
      <c r="H34" s="222">
        <v>20</v>
      </c>
      <c r="I34" s="207">
        <f t="shared" si="6"/>
        <v>326.08695652173913</v>
      </c>
      <c r="J34" s="242">
        <f t="shared" si="7"/>
        <v>6521.7391304347821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44526</v>
      </c>
      <c r="D35" s="161" t="s">
        <v>9</v>
      </c>
      <c r="E35" s="161" t="s">
        <v>3334</v>
      </c>
      <c r="F35" s="222">
        <v>2520</v>
      </c>
      <c r="G35" s="222">
        <v>2500</v>
      </c>
      <c r="H35" s="222">
        <v>-20</v>
      </c>
      <c r="I35" s="207">
        <f t="shared" si="6"/>
        <v>119.04761904761905</v>
      </c>
      <c r="J35" s="242">
        <f t="shared" si="7"/>
        <v>-2380.9523809523812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44529</v>
      </c>
      <c r="D36" s="161" t="s">
        <v>9</v>
      </c>
      <c r="E36" s="161" t="s">
        <v>160</v>
      </c>
      <c r="F36" s="222">
        <v>970</v>
      </c>
      <c r="G36" s="222">
        <v>980</v>
      </c>
      <c r="H36" s="222">
        <v>10</v>
      </c>
      <c r="I36" s="207">
        <f t="shared" si="6"/>
        <v>309.2783505154639</v>
      </c>
      <c r="J36" s="242">
        <f t="shared" si="7"/>
        <v>3092.783505154639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44529</v>
      </c>
      <c r="D37" s="161" t="s">
        <v>9</v>
      </c>
      <c r="E37" s="161" t="s">
        <v>2473</v>
      </c>
      <c r="F37" s="222">
        <v>4860</v>
      </c>
      <c r="G37" s="222">
        <v>4820</v>
      </c>
      <c r="H37" s="222">
        <v>-40</v>
      </c>
      <c r="I37" s="207">
        <f t="shared" si="6"/>
        <v>61.728395061728392</v>
      </c>
      <c r="J37" s="242">
        <f t="shared" si="7"/>
        <v>-2469.1358024691358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44530</v>
      </c>
      <c r="D38" s="161" t="s">
        <v>9</v>
      </c>
      <c r="E38" s="161" t="s">
        <v>90</v>
      </c>
      <c r="F38" s="222">
        <v>1580</v>
      </c>
      <c r="G38" s="222">
        <v>1595</v>
      </c>
      <c r="H38" s="222">
        <v>15</v>
      </c>
      <c r="I38" s="207">
        <f t="shared" si="6"/>
        <v>189.87341772151899</v>
      </c>
      <c r="J38" s="242">
        <f t="shared" si="7"/>
        <v>2848.1012658227846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44530</v>
      </c>
      <c r="D39" s="161" t="s">
        <v>9</v>
      </c>
      <c r="E39" s="161" t="s">
        <v>168</v>
      </c>
      <c r="F39" s="222">
        <v>1365</v>
      </c>
      <c r="G39" s="222">
        <v>1379</v>
      </c>
      <c r="H39" s="222">
        <f>1379-1365</f>
        <v>14</v>
      </c>
      <c r="I39" s="207">
        <f t="shared" si="6"/>
        <v>219.78021978021977</v>
      </c>
      <c r="J39" s="242">
        <f t="shared" si="7"/>
        <v>3076.9230769230767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47612.81118679123</v>
      </c>
      <c r="K52" s="153"/>
      <c r="V52" s="25">
        <f>SUM(V6:V51)</f>
        <v>23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3601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44501</v>
      </c>
      <c r="D60" s="161" t="s">
        <v>9</v>
      </c>
      <c r="E60" s="161" t="s">
        <v>3561</v>
      </c>
      <c r="F60" s="222">
        <v>920</v>
      </c>
      <c r="G60" s="222">
        <v>910</v>
      </c>
      <c r="H60" s="222">
        <v>-10</v>
      </c>
      <c r="I60" s="207">
        <v>600</v>
      </c>
      <c r="J60" s="241">
        <f t="shared" ref="J60:J83" si="15">I60*H60</f>
        <v>-6000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44502</v>
      </c>
      <c r="D61" s="161" t="s">
        <v>9</v>
      </c>
      <c r="E61" s="161" t="s">
        <v>502</v>
      </c>
      <c r="F61" s="222">
        <v>1450</v>
      </c>
      <c r="G61" s="222">
        <v>1480</v>
      </c>
      <c r="H61" s="222">
        <v>30</v>
      </c>
      <c r="I61" s="207">
        <v>400</v>
      </c>
      <c r="J61" s="242">
        <f t="shared" si="15"/>
        <v>12000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44509</v>
      </c>
      <c r="D62" s="161" t="s">
        <v>9</v>
      </c>
      <c r="E62" s="161" t="s">
        <v>25</v>
      </c>
      <c r="F62" s="222">
        <v>1360</v>
      </c>
      <c r="G62" s="222">
        <v>1345</v>
      </c>
      <c r="H62" s="222">
        <v>-15</v>
      </c>
      <c r="I62" s="207">
        <v>425</v>
      </c>
      <c r="J62" s="242">
        <f t="shared" si="15"/>
        <v>-6375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44510</v>
      </c>
      <c r="D63" s="161" t="s">
        <v>8</v>
      </c>
      <c r="E63" s="161" t="s">
        <v>365</v>
      </c>
      <c r="F63" s="222">
        <v>662</v>
      </c>
      <c r="G63" s="222">
        <v>653</v>
      </c>
      <c r="H63" s="222">
        <f>662-653</f>
        <v>9</v>
      </c>
      <c r="I63" s="207">
        <v>1350</v>
      </c>
      <c r="J63" s="242">
        <f t="shared" si="15"/>
        <v>12150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44511</v>
      </c>
      <c r="D64" s="161" t="s">
        <v>9</v>
      </c>
      <c r="E64" s="161" t="s">
        <v>2563</v>
      </c>
      <c r="F64" s="222">
        <v>2175</v>
      </c>
      <c r="G64" s="222">
        <v>2204</v>
      </c>
      <c r="H64" s="222">
        <f>2204-2175</f>
        <v>29</v>
      </c>
      <c r="I64" s="207">
        <v>250</v>
      </c>
      <c r="J64" s="242">
        <f t="shared" si="15"/>
        <v>7250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44512</v>
      </c>
      <c r="D65" s="161" t="s">
        <v>9</v>
      </c>
      <c r="E65" s="161" t="s">
        <v>800</v>
      </c>
      <c r="F65" s="222">
        <v>1720</v>
      </c>
      <c r="G65" s="222">
        <v>1740</v>
      </c>
      <c r="H65" s="222">
        <v>20</v>
      </c>
      <c r="I65" s="207">
        <v>350</v>
      </c>
      <c r="J65" s="242">
        <f t="shared" si="15"/>
        <v>7000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44515</v>
      </c>
      <c r="D66" s="161" t="s">
        <v>9</v>
      </c>
      <c r="E66" s="161" t="s">
        <v>3563</v>
      </c>
      <c r="F66" s="222">
        <v>2005</v>
      </c>
      <c r="G66" s="222">
        <v>1985</v>
      </c>
      <c r="H66" s="222">
        <f>2005-1985</f>
        <v>20</v>
      </c>
      <c r="I66" s="207">
        <v>350</v>
      </c>
      <c r="J66" s="242">
        <f t="shared" si="15"/>
        <v>7000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44516</v>
      </c>
      <c r="D67" s="161" t="s">
        <v>9</v>
      </c>
      <c r="E67" s="161" t="s">
        <v>3577</v>
      </c>
      <c r="F67" s="222">
        <v>818</v>
      </c>
      <c r="G67" s="222">
        <v>821</v>
      </c>
      <c r="H67" s="222">
        <v>3</v>
      </c>
      <c r="I67" s="207">
        <v>1250</v>
      </c>
      <c r="J67" s="242">
        <f t="shared" si="15"/>
        <v>3750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44517</v>
      </c>
      <c r="D68" s="161" t="s">
        <v>9</v>
      </c>
      <c r="E68" s="161" t="s">
        <v>2995</v>
      </c>
      <c r="F68" s="222">
        <v>844</v>
      </c>
      <c r="G68" s="222">
        <v>847.5</v>
      </c>
      <c r="H68" s="222">
        <v>3.5</v>
      </c>
      <c r="I68" s="207">
        <v>675</v>
      </c>
      <c r="J68" s="242">
        <f t="shared" si="15"/>
        <v>2362.5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44518</v>
      </c>
      <c r="D69" s="161" t="s">
        <v>9</v>
      </c>
      <c r="E69" s="161" t="s">
        <v>3562</v>
      </c>
      <c r="F69" s="222">
        <v>5490</v>
      </c>
      <c r="G69" s="222">
        <v>5440</v>
      </c>
      <c r="H69" s="222">
        <v>-50</v>
      </c>
      <c r="I69" s="207">
        <v>125</v>
      </c>
      <c r="J69" s="242">
        <f t="shared" si="15"/>
        <v>-6250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44522</v>
      </c>
      <c r="D70" s="161" t="s">
        <v>9</v>
      </c>
      <c r="E70" s="161" t="s">
        <v>2925</v>
      </c>
      <c r="F70" s="161">
        <v>639</v>
      </c>
      <c r="G70" s="222">
        <v>642.5</v>
      </c>
      <c r="H70" s="222">
        <f>642.5-639</f>
        <v>3.5</v>
      </c>
      <c r="I70" s="207">
        <v>756</v>
      </c>
      <c r="J70" s="242">
        <f t="shared" si="15"/>
        <v>2646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44522</v>
      </c>
      <c r="D71" s="161" t="s">
        <v>8</v>
      </c>
      <c r="E71" s="161" t="s">
        <v>19</v>
      </c>
      <c r="F71" s="222">
        <v>495</v>
      </c>
      <c r="G71" s="222">
        <v>485</v>
      </c>
      <c r="H71" s="222">
        <v>10</v>
      </c>
      <c r="I71" s="207">
        <v>1500</v>
      </c>
      <c r="J71" s="242">
        <f t="shared" si="15"/>
        <v>15000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44523</v>
      </c>
      <c r="D72" s="161" t="s">
        <v>9</v>
      </c>
      <c r="E72" s="161" t="s">
        <v>3515</v>
      </c>
      <c r="F72" s="222">
        <v>1380</v>
      </c>
      <c r="G72" s="222">
        <v>1410</v>
      </c>
      <c r="H72" s="222">
        <f>1410-1380</f>
        <v>30</v>
      </c>
      <c r="I72" s="207">
        <v>475</v>
      </c>
      <c r="J72" s="242">
        <f t="shared" si="15"/>
        <v>14250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44524</v>
      </c>
      <c r="D73" s="161" t="s">
        <v>9</v>
      </c>
      <c r="E73" s="161" t="s">
        <v>108</v>
      </c>
      <c r="F73" s="223">
        <v>519</v>
      </c>
      <c r="G73" s="222">
        <v>525</v>
      </c>
      <c r="H73" s="255">
        <f>525-519</f>
        <v>6</v>
      </c>
      <c r="I73" s="207">
        <v>1150</v>
      </c>
      <c r="J73" s="242">
        <f t="shared" si="15"/>
        <v>6900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44525</v>
      </c>
      <c r="D74" s="161" t="s">
        <v>9</v>
      </c>
      <c r="E74" s="161" t="s">
        <v>3187</v>
      </c>
      <c r="F74" s="222">
        <v>556</v>
      </c>
      <c r="G74" s="222">
        <v>558.6</v>
      </c>
      <c r="H74" s="255">
        <v>2.6</v>
      </c>
      <c r="I74" s="207">
        <v>1500</v>
      </c>
      <c r="J74" s="242">
        <f t="shared" si="15"/>
        <v>3900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44525</v>
      </c>
      <c r="D75" s="161" t="s">
        <v>9</v>
      </c>
      <c r="E75" s="161" t="s">
        <v>19</v>
      </c>
      <c r="F75" s="222">
        <v>490</v>
      </c>
      <c r="G75" s="222">
        <v>494.65</v>
      </c>
      <c r="H75" s="255">
        <v>4.6500000000000004</v>
      </c>
      <c r="I75" s="207">
        <v>1500</v>
      </c>
      <c r="J75" s="242">
        <f t="shared" si="15"/>
        <v>6975.0000000000009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44526</v>
      </c>
      <c r="D76" s="161" t="s">
        <v>9</v>
      </c>
      <c r="E76" s="161" t="s">
        <v>3334</v>
      </c>
      <c r="F76" s="222">
        <v>2525</v>
      </c>
      <c r="G76" s="222">
        <v>2505</v>
      </c>
      <c r="H76" s="222">
        <v>-20</v>
      </c>
      <c r="I76" s="207">
        <v>200</v>
      </c>
      <c r="J76" s="242">
        <f t="shared" si="15"/>
        <v>-4000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44526</v>
      </c>
      <c r="D77" s="161" t="s">
        <v>9</v>
      </c>
      <c r="E77" s="161" t="s">
        <v>160</v>
      </c>
      <c r="F77" s="222">
        <v>963</v>
      </c>
      <c r="G77" s="222">
        <v>983</v>
      </c>
      <c r="H77" s="222">
        <f>983-963</f>
        <v>20</v>
      </c>
      <c r="I77" s="207">
        <v>650</v>
      </c>
      <c r="J77" s="242">
        <f t="shared" si="15"/>
        <v>13000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44529</v>
      </c>
      <c r="D78" s="161" t="s">
        <v>9</v>
      </c>
      <c r="E78" s="161" t="s">
        <v>160</v>
      </c>
      <c r="F78" s="222">
        <v>971</v>
      </c>
      <c r="G78" s="222">
        <v>987</v>
      </c>
      <c r="H78" s="222">
        <v>16</v>
      </c>
      <c r="I78" s="207">
        <v>650</v>
      </c>
      <c r="J78" s="242">
        <f t="shared" si="15"/>
        <v>10400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44530</v>
      </c>
      <c r="D79" s="161" t="s">
        <v>9</v>
      </c>
      <c r="E79" s="161" t="s">
        <v>3400</v>
      </c>
      <c r="F79" s="222">
        <v>1580</v>
      </c>
      <c r="G79" s="222">
        <v>1595</v>
      </c>
      <c r="H79" s="222">
        <v>15</v>
      </c>
      <c r="I79" s="207">
        <v>600</v>
      </c>
      <c r="J79" s="242">
        <f t="shared" si="15"/>
        <v>9000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110958.5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3600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44501</v>
      </c>
      <c r="D92" s="185" t="s">
        <v>8</v>
      </c>
      <c r="E92" s="185" t="s">
        <v>39</v>
      </c>
      <c r="F92" s="219">
        <v>17800</v>
      </c>
      <c r="G92" s="219">
        <v>17760</v>
      </c>
      <c r="H92" s="185">
        <f>17800-17760</f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44502</v>
      </c>
      <c r="D93" s="185" t="s">
        <v>8</v>
      </c>
      <c r="E93" s="185" t="s">
        <v>39</v>
      </c>
      <c r="F93" s="219">
        <v>17960</v>
      </c>
      <c r="G93" s="219">
        <v>17880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44509</v>
      </c>
      <c r="D94" s="161" t="s">
        <v>9</v>
      </c>
      <c r="E94" s="161" t="s">
        <v>39</v>
      </c>
      <c r="F94" s="207">
        <v>18060</v>
      </c>
      <c r="G94" s="207">
        <v>18098</v>
      </c>
      <c r="H94" s="161">
        <f>18098-18060</f>
        <v>38</v>
      </c>
      <c r="I94" s="207">
        <v>150</v>
      </c>
      <c r="J94" s="242">
        <f t="shared" si="19"/>
        <v>5700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44510</v>
      </c>
      <c r="D95" s="161" t="s">
        <v>9</v>
      </c>
      <c r="E95" s="161" t="s">
        <v>39</v>
      </c>
      <c r="F95" s="207">
        <v>17950</v>
      </c>
      <c r="G95" s="207">
        <v>18030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44511</v>
      </c>
      <c r="D96" s="161" t="s">
        <v>8</v>
      </c>
      <c r="E96" s="161" t="s">
        <v>39</v>
      </c>
      <c r="F96" s="207">
        <v>17890</v>
      </c>
      <c r="G96" s="207">
        <v>17810</v>
      </c>
      <c r="H96" s="161"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44512</v>
      </c>
      <c r="D97" s="161" t="s">
        <v>9</v>
      </c>
      <c r="E97" s="161" t="s">
        <v>39</v>
      </c>
      <c r="F97" s="207">
        <v>17970</v>
      </c>
      <c r="G97" s="207">
        <v>18050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44515</v>
      </c>
      <c r="D98" s="161" t="s">
        <v>9</v>
      </c>
      <c r="E98" s="161" t="s">
        <v>39</v>
      </c>
      <c r="F98" s="207">
        <v>18160</v>
      </c>
      <c r="G98" s="207">
        <v>18180</v>
      </c>
      <c r="H98" s="161">
        <v>20</v>
      </c>
      <c r="I98" s="207">
        <v>150</v>
      </c>
      <c r="J98" s="242">
        <f t="shared" si="19"/>
        <v>3000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44516</v>
      </c>
      <c r="D99" s="161" t="s">
        <v>8</v>
      </c>
      <c r="E99" s="161" t="s">
        <v>39</v>
      </c>
      <c r="F99" s="207">
        <v>18070</v>
      </c>
      <c r="G99" s="207">
        <v>18030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44517</v>
      </c>
      <c r="D100" s="161" t="s">
        <v>9</v>
      </c>
      <c r="E100" s="161" t="s">
        <v>39</v>
      </c>
      <c r="F100" s="207">
        <v>17980</v>
      </c>
      <c r="G100" s="207">
        <v>18020</v>
      </c>
      <c r="H100" s="161">
        <v>40</v>
      </c>
      <c r="I100" s="207">
        <v>150</v>
      </c>
      <c r="J100" s="242">
        <f t="shared" si="19"/>
        <v>6000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44518</v>
      </c>
      <c r="D101" s="161" t="s">
        <v>8</v>
      </c>
      <c r="E101" s="161" t="s">
        <v>39</v>
      </c>
      <c r="F101" s="207">
        <v>17800</v>
      </c>
      <c r="G101" s="207">
        <v>17720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44522</v>
      </c>
      <c r="D102" s="161" t="s">
        <v>8</v>
      </c>
      <c r="E102" s="161" t="s">
        <v>39</v>
      </c>
      <c r="F102" s="207">
        <v>17650</v>
      </c>
      <c r="G102" s="207">
        <v>17570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44523</v>
      </c>
      <c r="D103" s="161" t="s">
        <v>9</v>
      </c>
      <c r="E103" s="161" t="s">
        <v>39</v>
      </c>
      <c r="F103" s="207">
        <v>17380</v>
      </c>
      <c r="G103" s="207">
        <v>17460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44524</v>
      </c>
      <c r="D104" s="161" t="s">
        <v>9</v>
      </c>
      <c r="E104" s="161" t="s">
        <v>39</v>
      </c>
      <c r="F104" s="207">
        <v>17550</v>
      </c>
      <c r="G104" s="207">
        <v>17510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44525</v>
      </c>
      <c r="D105" s="161" t="s">
        <v>8</v>
      </c>
      <c r="E105" s="161" t="s">
        <v>39</v>
      </c>
      <c r="F105" s="207">
        <v>17410</v>
      </c>
      <c r="G105" s="207">
        <v>17450</v>
      </c>
      <c r="H105" s="161">
        <v>-40</v>
      </c>
      <c r="I105" s="207">
        <v>150</v>
      </c>
      <c r="J105" s="242">
        <f t="shared" si="19"/>
        <v>-6000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44526</v>
      </c>
      <c r="D106" s="161" t="s">
        <v>8</v>
      </c>
      <c r="E106" s="161" t="s">
        <v>39</v>
      </c>
      <c r="F106" s="207">
        <v>17270</v>
      </c>
      <c r="G106" s="207">
        <v>17190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44529</v>
      </c>
      <c r="D107" s="161" t="s">
        <v>9</v>
      </c>
      <c r="E107" s="161" t="s">
        <v>39</v>
      </c>
      <c r="F107" s="207">
        <v>17050</v>
      </c>
      <c r="G107" s="207">
        <v>17130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44530</v>
      </c>
      <c r="D108" s="161" t="s">
        <v>9</v>
      </c>
      <c r="E108" s="161" t="s">
        <v>39</v>
      </c>
      <c r="F108" s="207">
        <v>17250</v>
      </c>
      <c r="G108" s="207">
        <v>17330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134700</v>
      </c>
      <c r="K115" s="153"/>
      <c r="V115" s="25">
        <f>SUM(V92:V114)</f>
        <v>15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3602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44501</v>
      </c>
      <c r="D123" s="185" t="s">
        <v>9</v>
      </c>
      <c r="E123" s="185" t="s">
        <v>3564</v>
      </c>
      <c r="F123" s="219">
        <v>105</v>
      </c>
      <c r="G123" s="231">
        <v>122</v>
      </c>
      <c r="H123" s="231">
        <f>122-105</f>
        <v>17</v>
      </c>
      <c r="I123" s="219">
        <v>300</v>
      </c>
      <c r="J123" s="246">
        <f t="shared" ref="J123:J145" si="23">I123*H123</f>
        <v>5100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44502</v>
      </c>
      <c r="D124" s="185" t="s">
        <v>9</v>
      </c>
      <c r="E124" s="185" t="s">
        <v>1605</v>
      </c>
      <c r="F124" s="219">
        <v>110</v>
      </c>
      <c r="G124" s="219">
        <v>160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>B124+1</f>
        <v>3</v>
      </c>
      <c r="C125" s="206">
        <v>44509</v>
      </c>
      <c r="D125" s="161" t="s">
        <v>9</v>
      </c>
      <c r="E125" s="161" t="s">
        <v>3565</v>
      </c>
      <c r="F125" s="207">
        <v>105</v>
      </c>
      <c r="G125" s="207">
        <v>80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ref="B126:B145" si="26">B125+1</f>
        <v>4</v>
      </c>
      <c r="C126" s="206">
        <v>44510</v>
      </c>
      <c r="D126" s="161" t="s">
        <v>9</v>
      </c>
      <c r="E126" s="161" t="s">
        <v>3491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44511</v>
      </c>
      <c r="D127" s="161" t="s">
        <v>9</v>
      </c>
      <c r="E127" s="161" t="s">
        <v>3566</v>
      </c>
      <c r="F127" s="207">
        <v>80</v>
      </c>
      <c r="G127" s="207">
        <v>130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44512</v>
      </c>
      <c r="D128" s="161" t="s">
        <v>9</v>
      </c>
      <c r="E128" s="161" t="s">
        <v>3529</v>
      </c>
      <c r="F128" s="207">
        <v>105</v>
      </c>
      <c r="G128" s="222">
        <v>155</v>
      </c>
      <c r="H128" s="222"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44515</v>
      </c>
      <c r="D129" s="161" t="s">
        <v>9</v>
      </c>
      <c r="E129" s="161" t="s">
        <v>3578</v>
      </c>
      <c r="F129" s="207">
        <v>110</v>
      </c>
      <c r="G129" s="207">
        <v>120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44516</v>
      </c>
      <c r="D130" s="161" t="s">
        <v>9</v>
      </c>
      <c r="E130" s="161" t="s">
        <v>1918</v>
      </c>
      <c r="F130" s="207">
        <v>120</v>
      </c>
      <c r="G130" s="207">
        <v>131</v>
      </c>
      <c r="H130" s="161">
        <v>11</v>
      </c>
      <c r="I130" s="207">
        <v>300</v>
      </c>
      <c r="J130" s="242">
        <f t="shared" si="23"/>
        <v>3300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44517</v>
      </c>
      <c r="D131" s="161" t="s">
        <v>9</v>
      </c>
      <c r="E131" s="161" t="s">
        <v>3491</v>
      </c>
      <c r="F131" s="207">
        <v>115</v>
      </c>
      <c r="G131" s="207">
        <v>153</v>
      </c>
      <c r="H131" s="161">
        <f>153-115</f>
        <v>38</v>
      </c>
      <c r="I131" s="207">
        <v>300</v>
      </c>
      <c r="J131" s="242">
        <f t="shared" si="23"/>
        <v>11400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44518</v>
      </c>
      <c r="D132" s="161" t="s">
        <v>9</v>
      </c>
      <c r="E132" s="161" t="s">
        <v>1604</v>
      </c>
      <c r="F132" s="207">
        <v>90</v>
      </c>
      <c r="G132" s="222">
        <v>140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44522</v>
      </c>
      <c r="D133" s="161" t="s">
        <v>9</v>
      </c>
      <c r="E133" s="161" t="s">
        <v>1540</v>
      </c>
      <c r="F133" s="207">
        <v>100</v>
      </c>
      <c r="G133" s="222">
        <v>150</v>
      </c>
      <c r="H133" s="222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44523</v>
      </c>
      <c r="D134" s="161" t="s">
        <v>9</v>
      </c>
      <c r="E134" s="161" t="s">
        <v>1603</v>
      </c>
      <c r="F134" s="207">
        <v>95</v>
      </c>
      <c r="G134" s="222">
        <v>145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44524</v>
      </c>
      <c r="D135" s="161" t="s">
        <v>9</v>
      </c>
      <c r="E135" s="161" t="s">
        <v>2954</v>
      </c>
      <c r="F135" s="207">
        <v>105</v>
      </c>
      <c r="G135" s="222">
        <v>130</v>
      </c>
      <c r="H135" s="222">
        <v>25</v>
      </c>
      <c r="I135" s="207">
        <v>300</v>
      </c>
      <c r="J135" s="242">
        <f t="shared" si="23"/>
        <v>7500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44525</v>
      </c>
      <c r="D136" s="161" t="s">
        <v>9</v>
      </c>
      <c r="E136" s="161" t="s">
        <v>1603</v>
      </c>
      <c r="F136" s="207">
        <v>90</v>
      </c>
      <c r="G136" s="207">
        <v>140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44526</v>
      </c>
      <c r="D137" s="161" t="s">
        <v>9</v>
      </c>
      <c r="E137" s="161" t="s">
        <v>2989</v>
      </c>
      <c r="F137" s="207">
        <v>115</v>
      </c>
      <c r="G137" s="207">
        <v>165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44529</v>
      </c>
      <c r="D138" s="161" t="s">
        <v>9</v>
      </c>
      <c r="E138" s="161" t="s">
        <v>3454</v>
      </c>
      <c r="F138" s="207">
        <v>110</v>
      </c>
      <c r="G138" s="207">
        <v>145</v>
      </c>
      <c r="H138" s="161">
        <v>35</v>
      </c>
      <c r="I138" s="207">
        <v>300</v>
      </c>
      <c r="J138" s="242">
        <f t="shared" si="23"/>
        <v>10500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44530</v>
      </c>
      <c r="D139" s="161" t="s">
        <v>9</v>
      </c>
      <c r="E139" s="161" t="s">
        <v>3477</v>
      </c>
      <c r="F139" s="207">
        <v>100</v>
      </c>
      <c r="G139" s="207">
        <v>150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22"/>
      <c r="H140" s="222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183300</v>
      </c>
      <c r="K146" s="153"/>
      <c r="V146" s="25">
        <f>SUM(V123:V145)</f>
        <v>16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3600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44501</v>
      </c>
      <c r="D154" s="185" t="s">
        <v>8</v>
      </c>
      <c r="E154" s="185" t="s">
        <v>301</v>
      </c>
      <c r="F154" s="219">
        <v>39400</v>
      </c>
      <c r="G154" s="231">
        <v>39300</v>
      </c>
      <c r="H154" s="185">
        <v>100</v>
      </c>
      <c r="I154" s="219">
        <v>50</v>
      </c>
      <c r="J154" s="246">
        <f t="shared" ref="J154:J176" si="27">I154*H154</f>
        <v>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44502</v>
      </c>
      <c r="D155" s="185" t="s">
        <v>8</v>
      </c>
      <c r="E155" s="185" t="s">
        <v>301</v>
      </c>
      <c r="F155" s="219">
        <v>39900</v>
      </c>
      <c r="G155" s="219">
        <v>39750</v>
      </c>
      <c r="H155" s="185">
        <v>150</v>
      </c>
      <c r="I155" s="219">
        <v>50</v>
      </c>
      <c r="J155" s="242">
        <f t="shared" si="27"/>
        <v>7500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44509</v>
      </c>
      <c r="D156" s="161" t="s">
        <v>9</v>
      </c>
      <c r="E156" s="161" t="s">
        <v>301</v>
      </c>
      <c r="F156" s="207">
        <v>39500</v>
      </c>
      <c r="G156" s="207">
        <v>39650</v>
      </c>
      <c r="H156" s="161">
        <v>150</v>
      </c>
      <c r="I156" s="207">
        <v>50</v>
      </c>
      <c r="J156" s="242">
        <f t="shared" si="27"/>
        <v>7500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44510</v>
      </c>
      <c r="D157" s="161" t="s">
        <v>9</v>
      </c>
      <c r="E157" s="161" t="s">
        <v>301</v>
      </c>
      <c r="F157" s="207">
        <v>39150</v>
      </c>
      <c r="G157" s="207">
        <v>39300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44511</v>
      </c>
      <c r="D158" s="161" t="s">
        <v>8</v>
      </c>
      <c r="E158" s="161" t="s">
        <v>301</v>
      </c>
      <c r="F158" s="207">
        <v>38850</v>
      </c>
      <c r="G158" s="207">
        <v>38550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44512</v>
      </c>
      <c r="D159" s="161" t="s">
        <v>9</v>
      </c>
      <c r="E159" s="161" t="s">
        <v>301</v>
      </c>
      <c r="F159" s="207">
        <v>38700</v>
      </c>
      <c r="G159" s="207">
        <v>38910</v>
      </c>
      <c r="H159" s="161">
        <f>38910-38700</f>
        <v>210</v>
      </c>
      <c r="I159" s="207">
        <v>50</v>
      </c>
      <c r="J159" s="242">
        <f t="shared" si="27"/>
        <v>10500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44515</v>
      </c>
      <c r="D160" s="161" t="s">
        <v>9</v>
      </c>
      <c r="E160" s="161" t="s">
        <v>301</v>
      </c>
      <c r="F160" s="207">
        <v>39000</v>
      </c>
      <c r="G160" s="207">
        <v>38850</v>
      </c>
      <c r="H160" s="161">
        <v>-150</v>
      </c>
      <c r="I160" s="207">
        <v>50</v>
      </c>
      <c r="J160" s="242">
        <f t="shared" si="27"/>
        <v>-7500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44516</v>
      </c>
      <c r="D161" s="161" t="s">
        <v>8</v>
      </c>
      <c r="E161" s="161" t="s">
        <v>301</v>
      </c>
      <c r="F161" s="207">
        <v>38600</v>
      </c>
      <c r="G161" s="207">
        <v>38300</v>
      </c>
      <c r="H161" s="161">
        <v>300</v>
      </c>
      <c r="I161" s="207">
        <v>50</v>
      </c>
      <c r="J161" s="242">
        <f t="shared" si="27"/>
        <v>15000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44517</v>
      </c>
      <c r="D162" s="161" t="s">
        <v>9</v>
      </c>
      <c r="E162" s="161" t="s">
        <v>301</v>
      </c>
      <c r="F162" s="207">
        <v>38300</v>
      </c>
      <c r="G162" s="207">
        <v>38450</v>
      </c>
      <c r="H162" s="161">
        <v>150</v>
      </c>
      <c r="I162" s="207">
        <v>50</v>
      </c>
      <c r="J162" s="242">
        <f t="shared" si="27"/>
        <v>7500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44518</v>
      </c>
      <c r="D163" s="161" t="s">
        <v>9</v>
      </c>
      <c r="E163" s="161" t="s">
        <v>301</v>
      </c>
      <c r="F163" s="207">
        <v>38200</v>
      </c>
      <c r="G163" s="207">
        <v>38050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44522</v>
      </c>
      <c r="D164" s="161" t="s">
        <v>8</v>
      </c>
      <c r="E164" s="161" t="s">
        <v>301</v>
      </c>
      <c r="F164" s="207">
        <v>37750</v>
      </c>
      <c r="G164" s="207">
        <v>37450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44523</v>
      </c>
      <c r="D165" s="161" t="s">
        <v>9</v>
      </c>
      <c r="E165" s="161" t="s">
        <v>301</v>
      </c>
      <c r="F165" s="207">
        <v>37200</v>
      </c>
      <c r="G165" s="207">
        <v>37250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44524</v>
      </c>
      <c r="D166" s="161" t="s">
        <v>9</v>
      </c>
      <c r="E166" s="161" t="s">
        <v>301</v>
      </c>
      <c r="F166" s="207">
        <v>37450</v>
      </c>
      <c r="G166" s="207">
        <v>37750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44525</v>
      </c>
      <c r="D167" s="161" t="s">
        <v>8</v>
      </c>
      <c r="E167" s="161" t="s">
        <v>301</v>
      </c>
      <c r="F167" s="207">
        <v>37200</v>
      </c>
      <c r="G167" s="207">
        <v>37150</v>
      </c>
      <c r="H167" s="161">
        <v>50</v>
      </c>
      <c r="I167" s="207">
        <v>50</v>
      </c>
      <c r="J167" s="242">
        <f t="shared" si="27"/>
        <v>2500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44526</v>
      </c>
      <c r="D168" s="161" t="s">
        <v>8</v>
      </c>
      <c r="E168" s="161" t="s">
        <v>301</v>
      </c>
      <c r="F168" s="207">
        <v>36700</v>
      </c>
      <c r="G168" s="207">
        <v>36400</v>
      </c>
      <c r="H168" s="161">
        <v>200</v>
      </c>
      <c r="I168" s="207">
        <v>50</v>
      </c>
      <c r="J168" s="242">
        <f t="shared" si="27"/>
        <v>10000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44529</v>
      </c>
      <c r="D169" s="161" t="s">
        <v>9</v>
      </c>
      <c r="E169" s="161" t="s">
        <v>301</v>
      </c>
      <c r="F169" s="207">
        <v>36000</v>
      </c>
      <c r="G169" s="207">
        <v>36200</v>
      </c>
      <c r="H169" s="161">
        <v>200</v>
      </c>
      <c r="I169" s="207">
        <v>50</v>
      </c>
      <c r="J169" s="242">
        <f t="shared" si="27"/>
        <v>10000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44530</v>
      </c>
      <c r="D170" s="161" t="s">
        <v>9</v>
      </c>
      <c r="E170" s="161" t="s">
        <v>301</v>
      </c>
      <c r="F170" s="207">
        <v>36500</v>
      </c>
      <c r="G170" s="207">
        <v>36800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130500</v>
      </c>
      <c r="K177" s="153"/>
      <c r="V177" s="25">
        <f>SUM(V154:V176)</f>
        <v>15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3602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44501</v>
      </c>
      <c r="D185" s="185" t="s">
        <v>9</v>
      </c>
      <c r="E185" s="185" t="s">
        <v>3567</v>
      </c>
      <c r="F185" s="219">
        <v>350</v>
      </c>
      <c r="G185" s="219">
        <v>400</v>
      </c>
      <c r="H185" s="185">
        <v>50</v>
      </c>
      <c r="I185" s="219">
        <v>100</v>
      </c>
      <c r="J185" s="246">
        <f t="shared" ref="J185:J207" si="31">I185*H185</f>
        <v>5000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44502</v>
      </c>
      <c r="D186" s="185" t="s">
        <v>9</v>
      </c>
      <c r="E186" s="185" t="s">
        <v>3568</v>
      </c>
      <c r="F186" s="219">
        <v>300</v>
      </c>
      <c r="G186" s="219">
        <v>427</v>
      </c>
      <c r="H186" s="185">
        <v>127</v>
      </c>
      <c r="I186" s="219">
        <v>100</v>
      </c>
      <c r="J186" s="242">
        <f t="shared" si="31"/>
        <v>12700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44509</v>
      </c>
      <c r="D187" s="161" t="s">
        <v>9</v>
      </c>
      <c r="E187" s="161" t="s">
        <v>3557</v>
      </c>
      <c r="F187" s="207">
        <v>300</v>
      </c>
      <c r="G187" s="207">
        <v>200</v>
      </c>
      <c r="H187" s="161">
        <v>-100</v>
      </c>
      <c r="I187" s="207">
        <v>100</v>
      </c>
      <c r="J187" s="242">
        <f t="shared" si="31"/>
        <v>-10000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44510</v>
      </c>
      <c r="D188" s="161" t="s">
        <v>9</v>
      </c>
      <c r="E188" s="161" t="s">
        <v>3569</v>
      </c>
      <c r="F188" s="207">
        <v>240</v>
      </c>
      <c r="G188" s="207">
        <v>285</v>
      </c>
      <c r="H188" s="161">
        <f>285-240</f>
        <v>45</v>
      </c>
      <c r="I188" s="207">
        <v>100</v>
      </c>
      <c r="J188" s="242">
        <f t="shared" si="31"/>
        <v>4500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44511</v>
      </c>
      <c r="D189" s="161" t="s">
        <v>9</v>
      </c>
      <c r="E189" s="161" t="s">
        <v>3570</v>
      </c>
      <c r="F189" s="207">
        <v>170</v>
      </c>
      <c r="G189" s="207">
        <v>370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44512</v>
      </c>
      <c r="D190" s="161" t="s">
        <v>9</v>
      </c>
      <c r="E190" s="161" t="s">
        <v>3533</v>
      </c>
      <c r="F190" s="207">
        <v>330</v>
      </c>
      <c r="G190" s="207">
        <v>430</v>
      </c>
      <c r="H190" s="161">
        <v>100</v>
      </c>
      <c r="I190" s="207">
        <v>100</v>
      </c>
      <c r="J190" s="242">
        <f t="shared" si="31"/>
        <v>10000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44515</v>
      </c>
      <c r="D191" s="161" t="s">
        <v>9</v>
      </c>
      <c r="E191" s="161" t="s">
        <v>3579</v>
      </c>
      <c r="F191" s="207">
        <v>250</v>
      </c>
      <c r="G191" s="207">
        <v>150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44516</v>
      </c>
      <c r="D192" s="161" t="s">
        <v>9</v>
      </c>
      <c r="E192" s="161" t="s">
        <v>3580</v>
      </c>
      <c r="F192" s="207">
        <v>320</v>
      </c>
      <c r="G192" s="207">
        <v>455</v>
      </c>
      <c r="H192" s="161">
        <f>455-320</f>
        <v>135</v>
      </c>
      <c r="I192" s="207">
        <v>100</v>
      </c>
      <c r="J192" s="242">
        <f t="shared" si="31"/>
        <v>13500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44517</v>
      </c>
      <c r="D193" s="161" t="s">
        <v>9</v>
      </c>
      <c r="E193" s="161" t="s">
        <v>3532</v>
      </c>
      <c r="F193" s="207">
        <v>230</v>
      </c>
      <c r="G193" s="207">
        <v>330</v>
      </c>
      <c r="H193" s="161">
        <v>100</v>
      </c>
      <c r="I193" s="207">
        <v>100</v>
      </c>
      <c r="J193" s="242">
        <f t="shared" si="31"/>
        <v>10000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44518</v>
      </c>
      <c r="D194" s="161" t="s">
        <v>9</v>
      </c>
      <c r="E194" s="161" t="s">
        <v>3585</v>
      </c>
      <c r="F194" s="207">
        <v>200</v>
      </c>
      <c r="G194" s="207">
        <v>280</v>
      </c>
      <c r="H194" s="161">
        <v>80</v>
      </c>
      <c r="I194" s="207">
        <v>100</v>
      </c>
      <c r="J194" s="242">
        <f t="shared" si="31"/>
        <v>8000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44522</v>
      </c>
      <c r="D195" s="161" t="s">
        <v>9</v>
      </c>
      <c r="E195" s="161" t="s">
        <v>3588</v>
      </c>
      <c r="F195" s="207">
        <v>310</v>
      </c>
      <c r="G195" s="207">
        <v>510</v>
      </c>
      <c r="H195" s="161">
        <v>200</v>
      </c>
      <c r="I195" s="207">
        <v>100</v>
      </c>
      <c r="J195" s="242">
        <f t="shared" si="31"/>
        <v>20000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44523</v>
      </c>
      <c r="D196" s="161" t="s">
        <v>9</v>
      </c>
      <c r="E196" s="161" t="s">
        <v>3590</v>
      </c>
      <c r="F196" s="207">
        <v>230</v>
      </c>
      <c r="G196" s="207">
        <v>360</v>
      </c>
      <c r="H196" s="161">
        <f>360-230</f>
        <v>130</v>
      </c>
      <c r="I196" s="207">
        <v>100</v>
      </c>
      <c r="J196" s="242">
        <f t="shared" si="31"/>
        <v>13000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44524</v>
      </c>
      <c r="D197" s="161" t="s">
        <v>9</v>
      </c>
      <c r="E197" s="161" t="s">
        <v>3591</v>
      </c>
      <c r="F197" s="207">
        <v>250</v>
      </c>
      <c r="G197" s="207">
        <v>450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44525</v>
      </c>
      <c r="D198" s="161" t="s">
        <v>9</v>
      </c>
      <c r="E198" s="161" t="s">
        <v>3592</v>
      </c>
      <c r="F198" s="207">
        <v>160</v>
      </c>
      <c r="G198" s="207">
        <v>190</v>
      </c>
      <c r="H198" s="161">
        <v>30</v>
      </c>
      <c r="I198" s="207">
        <v>100</v>
      </c>
      <c r="J198" s="242">
        <f t="shared" si="31"/>
        <v>3000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44526</v>
      </c>
      <c r="D199" s="161" t="s">
        <v>9</v>
      </c>
      <c r="E199" s="161" t="s">
        <v>3597</v>
      </c>
      <c r="F199" s="207">
        <v>400</v>
      </c>
      <c r="G199" s="207">
        <v>600</v>
      </c>
      <c r="H199" s="161">
        <v>200</v>
      </c>
      <c r="I199" s="207">
        <v>100</v>
      </c>
      <c r="J199" s="242">
        <f t="shared" si="31"/>
        <v>20000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44529</v>
      </c>
      <c r="D200" s="161" t="s">
        <v>9</v>
      </c>
      <c r="E200" s="161" t="s">
        <v>3271</v>
      </c>
      <c r="F200" s="207">
        <v>380</v>
      </c>
      <c r="G200" s="207">
        <v>580</v>
      </c>
      <c r="H200" s="161">
        <v>200</v>
      </c>
      <c r="I200" s="207">
        <v>100</v>
      </c>
      <c r="J200" s="242">
        <f t="shared" si="31"/>
        <v>20000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44530</v>
      </c>
      <c r="D201" s="161" t="s">
        <v>9</v>
      </c>
      <c r="E201" s="161" t="s">
        <v>3447</v>
      </c>
      <c r="F201" s="207">
        <v>270</v>
      </c>
      <c r="G201" s="207">
        <v>405</v>
      </c>
      <c r="H201" s="161">
        <f>405-270</f>
        <v>135</v>
      </c>
      <c r="I201" s="207">
        <v>100</v>
      </c>
      <c r="J201" s="242">
        <f t="shared" si="31"/>
        <v>13500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173200</v>
      </c>
      <c r="K208" s="153"/>
      <c r="V208" s="25">
        <f>SUM(V185:V207)</f>
        <v>15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3600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44501</v>
      </c>
      <c r="D216" s="185" t="s">
        <v>9</v>
      </c>
      <c r="E216" s="185" t="s">
        <v>3571</v>
      </c>
      <c r="F216" s="231">
        <v>50</v>
      </c>
      <c r="G216" s="231">
        <v>70</v>
      </c>
      <c r="H216" s="231">
        <v>20</v>
      </c>
      <c r="I216" s="219">
        <v>900</v>
      </c>
      <c r="J216" s="246">
        <f t="shared" ref="J216:J239" si="35">I216*H216</f>
        <v>18000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44502</v>
      </c>
      <c r="D217" s="185" t="s">
        <v>9</v>
      </c>
      <c r="E217" s="185" t="s">
        <v>3572</v>
      </c>
      <c r="F217" s="231">
        <v>300</v>
      </c>
      <c r="G217" s="231">
        <v>357</v>
      </c>
      <c r="H217" s="231">
        <v>57</v>
      </c>
      <c r="I217" s="219">
        <v>125</v>
      </c>
      <c r="J217" s="242">
        <f>I217*H217</f>
        <v>7125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44509</v>
      </c>
      <c r="D218" s="161" t="s">
        <v>9</v>
      </c>
      <c r="E218" s="161" t="s">
        <v>3573</v>
      </c>
      <c r="F218" s="222">
        <v>25</v>
      </c>
      <c r="G218" s="222">
        <v>28.5</v>
      </c>
      <c r="H218" s="222">
        <v>3.5</v>
      </c>
      <c r="I218" s="207">
        <v>1250</v>
      </c>
      <c r="J218" s="242">
        <f t="shared" si="35"/>
        <v>4375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44510</v>
      </c>
      <c r="D219" s="161" t="s">
        <v>9</v>
      </c>
      <c r="E219" s="161" t="s">
        <v>3574</v>
      </c>
      <c r="F219" s="222">
        <v>70</v>
      </c>
      <c r="G219" s="222">
        <v>74</v>
      </c>
      <c r="H219" s="222">
        <v>4</v>
      </c>
      <c r="I219" s="207">
        <v>350</v>
      </c>
      <c r="J219" s="242">
        <f t="shared" si="35"/>
        <v>1400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44511</v>
      </c>
      <c r="D220" s="161" t="s">
        <v>9</v>
      </c>
      <c r="E220" s="161" t="s">
        <v>3575</v>
      </c>
      <c r="F220" s="222">
        <v>80</v>
      </c>
      <c r="G220" s="222">
        <v>85</v>
      </c>
      <c r="H220" s="222">
        <v>5</v>
      </c>
      <c r="I220" s="207">
        <v>250</v>
      </c>
      <c r="J220" s="242">
        <f t="shared" si="35"/>
        <v>1250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44512</v>
      </c>
      <c r="D221" s="161" t="s">
        <v>9</v>
      </c>
      <c r="E221" s="161" t="s">
        <v>3576</v>
      </c>
      <c r="F221" s="222">
        <v>68</v>
      </c>
      <c r="G221" s="222">
        <v>98</v>
      </c>
      <c r="H221" s="222">
        <v>30</v>
      </c>
      <c r="I221" s="207">
        <v>250</v>
      </c>
      <c r="J221" s="242">
        <f t="shared" si="35"/>
        <v>7500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44515</v>
      </c>
      <c r="D222" s="161" t="s">
        <v>9</v>
      </c>
      <c r="E222" s="161" t="s">
        <v>3581</v>
      </c>
      <c r="F222" s="222">
        <v>70</v>
      </c>
      <c r="G222" s="222">
        <v>75</v>
      </c>
      <c r="H222" s="222">
        <v>5</v>
      </c>
      <c r="I222" s="207">
        <v>350</v>
      </c>
      <c r="J222" s="242">
        <f t="shared" si="35"/>
        <v>1750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44516</v>
      </c>
      <c r="D223" s="161" t="s">
        <v>9</v>
      </c>
      <c r="E223" s="161" t="s">
        <v>3582</v>
      </c>
      <c r="F223" s="222">
        <v>28</v>
      </c>
      <c r="G223" s="222">
        <v>29.7</v>
      </c>
      <c r="H223" s="222">
        <v>1.7</v>
      </c>
      <c r="I223" s="207">
        <v>1250</v>
      </c>
      <c r="J223" s="242">
        <f t="shared" si="35"/>
        <v>2125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44517</v>
      </c>
      <c r="D224" s="161" t="s">
        <v>9</v>
      </c>
      <c r="E224" s="161" t="s">
        <v>3583</v>
      </c>
      <c r="F224" s="222">
        <v>12</v>
      </c>
      <c r="G224" s="222">
        <v>13.5</v>
      </c>
      <c r="H224" s="255">
        <v>1.5</v>
      </c>
      <c r="I224" s="207">
        <v>675</v>
      </c>
      <c r="J224" s="242">
        <f t="shared" si="35"/>
        <v>1012.5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44518</v>
      </c>
      <c r="D225" s="161" t="s">
        <v>9</v>
      </c>
      <c r="E225" s="161" t="s">
        <v>3586</v>
      </c>
      <c r="F225" s="222">
        <v>150</v>
      </c>
      <c r="G225" s="222">
        <v>100</v>
      </c>
      <c r="H225" s="255">
        <v>-50</v>
      </c>
      <c r="I225" s="207">
        <v>125</v>
      </c>
      <c r="J225" s="242">
        <f t="shared" si="35"/>
        <v>-6250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44522</v>
      </c>
      <c r="D226" s="161" t="s">
        <v>9</v>
      </c>
      <c r="E226" s="161" t="s">
        <v>3587</v>
      </c>
      <c r="F226" s="222">
        <v>17</v>
      </c>
      <c r="G226" s="222">
        <v>22</v>
      </c>
      <c r="H226" s="255">
        <v>5</v>
      </c>
      <c r="I226" s="207">
        <v>475</v>
      </c>
      <c r="J226" s="242">
        <f t="shared" si="35"/>
        <v>2375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44523</v>
      </c>
      <c r="D227" s="161" t="s">
        <v>9</v>
      </c>
      <c r="E227" s="161" t="s">
        <v>3593</v>
      </c>
      <c r="F227" s="222">
        <v>16</v>
      </c>
      <c r="G227" s="222">
        <v>22</v>
      </c>
      <c r="H227" s="255">
        <v>6</v>
      </c>
      <c r="I227" s="207">
        <v>1250</v>
      </c>
      <c r="J227" s="242">
        <f t="shared" si="35"/>
        <v>7500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44524</v>
      </c>
      <c r="D228" s="161" t="s">
        <v>9</v>
      </c>
      <c r="E228" s="161" t="s">
        <v>3594</v>
      </c>
      <c r="F228" s="222">
        <v>5</v>
      </c>
      <c r="G228" s="222">
        <v>5.9</v>
      </c>
      <c r="H228" s="255">
        <v>0.9</v>
      </c>
      <c r="I228" s="207">
        <v>1500</v>
      </c>
      <c r="J228" s="242">
        <f t="shared" si="35"/>
        <v>1350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44525</v>
      </c>
      <c r="D229" s="161" t="s">
        <v>9</v>
      </c>
      <c r="E229" s="161" t="s">
        <v>3595</v>
      </c>
      <c r="F229" s="222">
        <v>23</v>
      </c>
      <c r="G229" s="222">
        <v>43</v>
      </c>
      <c r="H229" s="255">
        <v>20</v>
      </c>
      <c r="I229" s="207">
        <v>500</v>
      </c>
      <c r="J229" s="242">
        <f>I229*H229</f>
        <v>10000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44526</v>
      </c>
      <c r="D230" s="161" t="s">
        <v>9</v>
      </c>
      <c r="E230" s="161" t="s">
        <v>3596</v>
      </c>
      <c r="F230" s="222">
        <v>27</v>
      </c>
      <c r="G230" s="222">
        <v>39</v>
      </c>
      <c r="H230" s="255">
        <f>39-27</f>
        <v>12</v>
      </c>
      <c r="I230" s="207">
        <v>650</v>
      </c>
      <c r="J230" s="242">
        <f t="shared" si="35"/>
        <v>7800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44529</v>
      </c>
      <c r="D231" s="161" t="s">
        <v>9</v>
      </c>
      <c r="E231" s="161" t="s">
        <v>3598</v>
      </c>
      <c r="F231" s="222">
        <v>32</v>
      </c>
      <c r="G231" s="222">
        <v>35</v>
      </c>
      <c r="H231" s="222">
        <v>3</v>
      </c>
      <c r="I231" s="207">
        <v>700</v>
      </c>
      <c r="J231" s="242">
        <f t="shared" si="35"/>
        <v>2100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44530</v>
      </c>
      <c r="D232" s="161" t="s">
        <v>9</v>
      </c>
      <c r="E232" s="161" t="s">
        <v>3599</v>
      </c>
      <c r="F232" s="222">
        <v>75</v>
      </c>
      <c r="G232" s="222">
        <v>83</v>
      </c>
      <c r="H232" s="222">
        <f>83-75</f>
        <v>8</v>
      </c>
      <c r="I232" s="207">
        <v>150</v>
      </c>
      <c r="J232" s="242">
        <f t="shared" si="35"/>
        <v>1200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70612.5</v>
      </c>
      <c r="K240" s="153"/>
      <c r="V240" s="25">
        <f>SUM(V216:V239)</f>
        <v>16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6700-000000000000}"/>
    <hyperlink ref="B84" r:id="rId2" xr:uid="{00000000-0004-0000-6700-000001000000}"/>
    <hyperlink ref="B115" r:id="rId3" xr:uid="{00000000-0004-0000-6700-000002000000}"/>
    <hyperlink ref="B146" r:id="rId4" xr:uid="{00000000-0004-0000-6700-000003000000}"/>
    <hyperlink ref="B177" r:id="rId5" xr:uid="{00000000-0004-0000-6700-000004000000}"/>
    <hyperlink ref="B208" r:id="rId6" xr:uid="{00000000-0004-0000-6700-000005000000}"/>
    <hyperlink ref="B240" r:id="rId7" xr:uid="{00000000-0004-0000-6700-000006000000}"/>
    <hyperlink ref="M1" location="'MASTER '!A1" display="Back" xr:uid="{00000000-0004-0000-6700-000007000000}"/>
    <hyperlink ref="M6:M7" location="'NOV 2021'!A77" display="STOCK FUTURE" xr:uid="{00000000-0004-0000-6700-000008000000}"/>
    <hyperlink ref="M12:M13" location="'NOV 2021'!A170" display="BANK NIFTY" xr:uid="{00000000-0004-0000-6700-000009000000}"/>
    <hyperlink ref="M10:M11" location="'NOV 2021'!A139" display="NF. OPTION" xr:uid="{00000000-0004-0000-6700-00000A000000}"/>
    <hyperlink ref="M8:M9" location="'NOV 2021'!A108" display="NIFTY FUTURE" xr:uid="{00000000-0004-0000-6700-00000B000000}"/>
    <hyperlink ref="M4:M5" location="'NOV 2021'!A1" display="CASH" xr:uid="{00000000-0004-0000-6700-00000C000000}"/>
    <hyperlink ref="M14:M15" location="'NOV 2021'!A201" display="B.NIFTY OPTION" xr:uid="{00000000-0004-0000-6700-00000D000000}"/>
    <hyperlink ref="M16:M17" location="'NOV 2021'!A216" display="STOCK OPTION" xr:uid="{00000000-0004-0000-6700-00000E000000}"/>
  </hyperlinks>
  <pageMargins left="0" right="0" top="0" bottom="0" header="0" footer="0"/>
  <pageSetup scale="95" orientation="portrait" r:id="rId8"/>
  <drawing r:id="rId9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W242"/>
  <sheetViews>
    <sheetView topLeftCell="A216" zoomScaleNormal="100" workbookViewId="0">
      <selection activeCell="H245" sqref="H24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3603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45</v>
      </c>
      <c r="O4" s="386">
        <f>V52</f>
        <v>38</v>
      </c>
      <c r="P4" s="386">
        <f>W52</f>
        <v>7</v>
      </c>
      <c r="Q4" s="387">
        <f>N4-O4-P4</f>
        <v>0</v>
      </c>
      <c r="R4" s="380">
        <f>O4/N4</f>
        <v>0.84444444444444444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44531</v>
      </c>
      <c r="D6" s="158" t="s">
        <v>9</v>
      </c>
      <c r="E6" s="158" t="s">
        <v>1361</v>
      </c>
      <c r="F6" s="230">
        <v>935</v>
      </c>
      <c r="G6" s="222">
        <v>945</v>
      </c>
      <c r="H6" s="222">
        <v>10</v>
      </c>
      <c r="I6" s="207">
        <f t="shared" ref="I6:I7" si="0">300000/F6</f>
        <v>320.85561497326205</v>
      </c>
      <c r="J6" s="161">
        <f t="shared" ref="J6:J7" si="1">H6*I6</f>
        <v>3208.5561497326207</v>
      </c>
      <c r="K6" s="153"/>
      <c r="M6" s="394" t="s">
        <v>450</v>
      </c>
      <c r="N6" s="344">
        <f>COUNT(C60:C83)</f>
        <v>24</v>
      </c>
      <c r="O6" s="346">
        <f>V84</f>
        <v>21</v>
      </c>
      <c r="P6" s="346">
        <f>W84</f>
        <v>2</v>
      </c>
      <c r="Q6" s="374">
        <f>N6-O6-P6</f>
        <v>1</v>
      </c>
      <c r="R6" s="376">
        <f t="shared" ref="R6" si="2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44531</v>
      </c>
      <c r="D7" s="161" t="s">
        <v>9</v>
      </c>
      <c r="E7" s="161" t="s">
        <v>90</v>
      </c>
      <c r="F7" s="222">
        <v>1568</v>
      </c>
      <c r="G7" s="231">
        <v>1580</v>
      </c>
      <c r="H7" s="255">
        <v>12</v>
      </c>
      <c r="I7" s="207">
        <f t="shared" si="0"/>
        <v>191.32653061224491</v>
      </c>
      <c r="J7" s="161">
        <f t="shared" si="1"/>
        <v>2295.9183673469388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44532</v>
      </c>
      <c r="D8" s="161" t="s">
        <v>9</v>
      </c>
      <c r="E8" s="161" t="s">
        <v>3527</v>
      </c>
      <c r="F8" s="222">
        <v>3015</v>
      </c>
      <c r="G8" s="222">
        <v>3041</v>
      </c>
      <c r="H8" s="222">
        <f>3041-3015</f>
        <v>26</v>
      </c>
      <c r="I8" s="207">
        <f t="shared" ref="I8" si="6">300000/F8</f>
        <v>99.50248756218906</v>
      </c>
      <c r="J8" s="161">
        <f t="shared" ref="J8" si="7">H8*I8</f>
        <v>2587.0646766169157</v>
      </c>
      <c r="K8" s="153"/>
      <c r="M8" s="394" t="s">
        <v>451</v>
      </c>
      <c r="N8" s="344">
        <f>COUNT(C92:C114)</f>
        <v>23</v>
      </c>
      <c r="O8" s="346">
        <f>V115</f>
        <v>22</v>
      </c>
      <c r="P8" s="346">
        <f>W115</f>
        <v>1</v>
      </c>
      <c r="Q8" s="374">
        <f>N8-O8-P8</f>
        <v>0</v>
      </c>
      <c r="R8" s="376">
        <f t="shared" ref="R8" si="8">O8/N8</f>
        <v>0.95652173913043481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44532</v>
      </c>
      <c r="D9" s="161" t="s">
        <v>9</v>
      </c>
      <c r="E9" s="161" t="s">
        <v>3453</v>
      </c>
      <c r="F9" s="222">
        <v>3210</v>
      </c>
      <c r="G9" s="231">
        <v>3218</v>
      </c>
      <c r="H9" s="255">
        <v>8</v>
      </c>
      <c r="I9" s="207">
        <f t="shared" ref="I9:I50" si="9">300000/F9</f>
        <v>93.45794392523365</v>
      </c>
      <c r="J9" s="161">
        <f t="shared" ref="J9:J50" si="10">H9*I9</f>
        <v>747.6635514018692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44533</v>
      </c>
      <c r="D10" s="161" t="s">
        <v>9</v>
      </c>
      <c r="E10" s="161" t="s">
        <v>578</v>
      </c>
      <c r="F10" s="222">
        <v>1772</v>
      </c>
      <c r="G10" s="222">
        <v>1757</v>
      </c>
      <c r="H10" s="222">
        <v>-15</v>
      </c>
      <c r="I10" s="207">
        <f t="shared" si="9"/>
        <v>169.30022573363431</v>
      </c>
      <c r="J10" s="161">
        <f t="shared" si="10"/>
        <v>-2539.5033860045146</v>
      </c>
      <c r="K10" s="153"/>
      <c r="M10" s="394" t="s">
        <v>1176</v>
      </c>
      <c r="N10" s="344">
        <f>COUNT(C123:C146)</f>
        <v>24</v>
      </c>
      <c r="O10" s="346">
        <f>V147</f>
        <v>23</v>
      </c>
      <c r="P10" s="346">
        <f>W147</f>
        <v>1</v>
      </c>
      <c r="Q10" s="374">
        <f>N10-O10-P10</f>
        <v>0</v>
      </c>
      <c r="R10" s="376">
        <f t="shared" ref="R10:R16" si="11">O10/N10</f>
        <v>0.95833333333333337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44533</v>
      </c>
      <c r="D11" s="161" t="s">
        <v>8</v>
      </c>
      <c r="E11" s="161" t="s">
        <v>31</v>
      </c>
      <c r="F11" s="222">
        <v>2470</v>
      </c>
      <c r="G11" s="222">
        <v>2430</v>
      </c>
      <c r="H11" s="255">
        <v>40</v>
      </c>
      <c r="I11" s="207">
        <f t="shared" si="9"/>
        <v>121.4574898785425</v>
      </c>
      <c r="J11" s="161">
        <f t="shared" si="10"/>
        <v>4858.2995951416997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44536</v>
      </c>
      <c r="D12" s="161" t="s">
        <v>9</v>
      </c>
      <c r="E12" s="161" t="s">
        <v>25</v>
      </c>
      <c r="F12" s="222">
        <v>1130</v>
      </c>
      <c r="G12" s="222">
        <v>1140</v>
      </c>
      <c r="H12" s="222">
        <v>10</v>
      </c>
      <c r="I12" s="207">
        <f t="shared" si="9"/>
        <v>265.48672566371681</v>
      </c>
      <c r="J12" s="161">
        <f t="shared" si="10"/>
        <v>2654.8672566371679</v>
      </c>
      <c r="K12" s="153"/>
      <c r="M12" s="394" t="s">
        <v>41</v>
      </c>
      <c r="N12" s="344">
        <f>COUNT(C155:C177)</f>
        <v>23</v>
      </c>
      <c r="O12" s="346">
        <f>V178</f>
        <v>20</v>
      </c>
      <c r="P12" s="346">
        <f>W178</f>
        <v>3</v>
      </c>
      <c r="Q12" s="374">
        <f t="shared" ref="Q12" si="12">N12-O12-P12</f>
        <v>0</v>
      </c>
      <c r="R12" s="376">
        <f t="shared" si="11"/>
        <v>0.86956521739130432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44536</v>
      </c>
      <c r="D13" s="161" t="s">
        <v>8</v>
      </c>
      <c r="E13" s="161" t="s">
        <v>552</v>
      </c>
      <c r="F13" s="222">
        <v>935</v>
      </c>
      <c r="G13" s="222">
        <v>915</v>
      </c>
      <c r="H13" s="255">
        <f>935-915</f>
        <v>20</v>
      </c>
      <c r="I13" s="207">
        <f t="shared" si="9"/>
        <v>320.85561497326205</v>
      </c>
      <c r="J13" s="161">
        <f t="shared" si="10"/>
        <v>6417.1122994652414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44537</v>
      </c>
      <c r="D14" s="161" t="s">
        <v>9</v>
      </c>
      <c r="E14" s="161" t="s">
        <v>552</v>
      </c>
      <c r="F14" s="222">
        <v>930</v>
      </c>
      <c r="G14" s="222">
        <v>936.5</v>
      </c>
      <c r="H14" s="222">
        <v>6.5</v>
      </c>
      <c r="I14" s="207">
        <f t="shared" si="9"/>
        <v>322.58064516129031</v>
      </c>
      <c r="J14" s="161">
        <f t="shared" si="10"/>
        <v>2096.7741935483868</v>
      </c>
      <c r="K14" s="153"/>
      <c r="M14" s="394" t="s">
        <v>1175</v>
      </c>
      <c r="N14" s="344">
        <f>COUNT(C186:C208)</f>
        <v>23</v>
      </c>
      <c r="O14" s="346">
        <f>V209</f>
        <v>20</v>
      </c>
      <c r="P14" s="346">
        <f>W209</f>
        <v>3</v>
      </c>
      <c r="Q14" s="374">
        <f t="shared" ref="Q14" si="13">N14-O14-P14</f>
        <v>0</v>
      </c>
      <c r="R14" s="376">
        <f t="shared" si="11"/>
        <v>0.86956521739130432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44537</v>
      </c>
      <c r="D15" s="161" t="s">
        <v>8</v>
      </c>
      <c r="E15" s="161" t="s">
        <v>796</v>
      </c>
      <c r="F15" s="222">
        <v>5270</v>
      </c>
      <c r="G15" s="222">
        <v>5240</v>
      </c>
      <c r="H15" s="222">
        <v>30</v>
      </c>
      <c r="I15" s="207">
        <f t="shared" si="9"/>
        <v>56.92599620493359</v>
      </c>
      <c r="J15" s="161">
        <f t="shared" si="10"/>
        <v>1707.7798861480078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44538</v>
      </c>
      <c r="D16" s="161" t="s">
        <v>9</v>
      </c>
      <c r="E16" s="161" t="s">
        <v>796</v>
      </c>
      <c r="F16" s="222">
        <v>5330</v>
      </c>
      <c r="G16" s="222">
        <v>5350</v>
      </c>
      <c r="H16" s="222">
        <v>20</v>
      </c>
      <c r="I16" s="207">
        <f t="shared" si="9"/>
        <v>56.285178236397748</v>
      </c>
      <c r="J16" s="161">
        <f t="shared" si="10"/>
        <v>1125.7035647279549</v>
      </c>
      <c r="K16" s="153"/>
      <c r="L16" s="25" t="s">
        <v>2008</v>
      </c>
      <c r="M16" s="394" t="s">
        <v>1090</v>
      </c>
      <c r="N16" s="344">
        <v>24</v>
      </c>
      <c r="O16" s="346">
        <f>V241</f>
        <v>23</v>
      </c>
      <c r="P16" s="346">
        <f>W241</f>
        <v>1</v>
      </c>
      <c r="Q16" s="374">
        <v>0</v>
      </c>
      <c r="R16" s="376">
        <f t="shared" si="11"/>
        <v>0.95833333333333337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44538</v>
      </c>
      <c r="D17" s="161" t="s">
        <v>9</v>
      </c>
      <c r="E17" s="161" t="s">
        <v>29</v>
      </c>
      <c r="F17" s="222">
        <v>1176</v>
      </c>
      <c r="G17" s="222">
        <v>1181</v>
      </c>
      <c r="H17" s="222">
        <f>1181-1176</f>
        <v>5</v>
      </c>
      <c r="I17" s="207">
        <f t="shared" si="9"/>
        <v>255.10204081632654</v>
      </c>
      <c r="J17" s="161">
        <f t="shared" si="10"/>
        <v>1275.5102040816328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44539</v>
      </c>
      <c r="D18" s="161" t="s">
        <v>9</v>
      </c>
      <c r="E18" s="161" t="s">
        <v>1361</v>
      </c>
      <c r="F18" s="222">
        <v>920</v>
      </c>
      <c r="G18" s="222">
        <v>934</v>
      </c>
      <c r="H18" s="222">
        <v>14</v>
      </c>
      <c r="I18" s="207">
        <f t="shared" si="9"/>
        <v>326.08695652173913</v>
      </c>
      <c r="J18" s="161">
        <f t="shared" si="10"/>
        <v>4565.217391304348</v>
      </c>
      <c r="K18" s="153"/>
      <c r="M18" s="392" t="s">
        <v>946</v>
      </c>
      <c r="N18" s="378">
        <f>SUM(N4:N17)</f>
        <v>186</v>
      </c>
      <c r="O18" s="378">
        <f t="shared" ref="O18:Q18" si="14">SUM(O4:O17)</f>
        <v>167</v>
      </c>
      <c r="P18" s="378">
        <f t="shared" si="14"/>
        <v>18</v>
      </c>
      <c r="Q18" s="378">
        <f t="shared" si="14"/>
        <v>1</v>
      </c>
      <c r="R18" s="380">
        <f t="shared" ref="R18" si="15">O18/N18</f>
        <v>0.89784946236559138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44539</v>
      </c>
      <c r="D19" s="161" t="s">
        <v>8</v>
      </c>
      <c r="E19" s="161" t="s">
        <v>795</v>
      </c>
      <c r="F19" s="222">
        <v>1450</v>
      </c>
      <c r="G19" s="222">
        <v>1438</v>
      </c>
      <c r="H19" s="222">
        <f>1450-1438</f>
        <v>12</v>
      </c>
      <c r="I19" s="207">
        <f t="shared" si="9"/>
        <v>206.89655172413794</v>
      </c>
      <c r="J19" s="161">
        <f t="shared" si="10"/>
        <v>2482.7586206896553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44540</v>
      </c>
      <c r="D20" s="161" t="s">
        <v>9</v>
      </c>
      <c r="E20" s="161" t="s">
        <v>3473</v>
      </c>
      <c r="F20" s="222">
        <v>204</v>
      </c>
      <c r="G20" s="222">
        <v>206.2</v>
      </c>
      <c r="H20" s="222">
        <v>2.2000000000000002</v>
      </c>
      <c r="I20" s="207">
        <f t="shared" si="9"/>
        <v>1470.5882352941176</v>
      </c>
      <c r="J20" s="161">
        <f t="shared" si="10"/>
        <v>3235.294117647059</v>
      </c>
      <c r="K20" s="153"/>
      <c r="M20" s="316" t="s">
        <v>2253</v>
      </c>
      <c r="N20" s="317"/>
      <c r="O20" s="318"/>
      <c r="P20" s="325">
        <f>R18</f>
        <v>0.89784946236559138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44540</v>
      </c>
      <c r="D21" s="161" t="s">
        <v>9</v>
      </c>
      <c r="E21" s="161" t="s">
        <v>1407</v>
      </c>
      <c r="F21" s="222">
        <v>955</v>
      </c>
      <c r="G21" s="222">
        <v>975</v>
      </c>
      <c r="H21" s="222">
        <v>20</v>
      </c>
      <c r="I21" s="207">
        <f t="shared" si="9"/>
        <v>314.13612565445027</v>
      </c>
      <c r="J21" s="161">
        <f t="shared" si="10"/>
        <v>6282.7225130890056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44543</v>
      </c>
      <c r="D22" s="161" t="s">
        <v>9</v>
      </c>
      <c r="E22" s="161" t="s">
        <v>864</v>
      </c>
      <c r="F22" s="222">
        <v>2170</v>
      </c>
      <c r="G22" s="222">
        <v>2178</v>
      </c>
      <c r="H22" s="222">
        <v>8</v>
      </c>
      <c r="I22" s="207">
        <f t="shared" si="9"/>
        <v>138.24884792626727</v>
      </c>
      <c r="J22" s="161">
        <f t="shared" si="10"/>
        <v>1105.9907834101382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44543</v>
      </c>
      <c r="D23" s="161" t="s">
        <v>9</v>
      </c>
      <c r="E23" s="161" t="s">
        <v>49</v>
      </c>
      <c r="F23" s="222">
        <v>3780</v>
      </c>
      <c r="G23" s="222">
        <v>3795</v>
      </c>
      <c r="H23" s="222">
        <v>15</v>
      </c>
      <c r="I23" s="207">
        <f t="shared" si="9"/>
        <v>79.365079365079367</v>
      </c>
      <c r="J23" s="161">
        <f t="shared" si="10"/>
        <v>1190.4761904761906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44544</v>
      </c>
      <c r="D24" s="161" t="s">
        <v>9</v>
      </c>
      <c r="E24" s="161" t="s">
        <v>864</v>
      </c>
      <c r="F24" s="222">
        <v>2170</v>
      </c>
      <c r="G24" s="222">
        <v>2150</v>
      </c>
      <c r="H24" s="222">
        <v>20</v>
      </c>
      <c r="I24" s="207">
        <f t="shared" si="9"/>
        <v>138.24884792626727</v>
      </c>
      <c r="J24" s="161">
        <f t="shared" si="10"/>
        <v>2764.9769585253453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44544</v>
      </c>
      <c r="D25" s="161" t="s">
        <v>8</v>
      </c>
      <c r="E25" s="161" t="s">
        <v>2107</v>
      </c>
      <c r="F25" s="222">
        <v>2640</v>
      </c>
      <c r="G25" s="222">
        <v>2598</v>
      </c>
      <c r="H25" s="222">
        <f>2640-2598</f>
        <v>42</v>
      </c>
      <c r="I25" s="207">
        <f t="shared" si="9"/>
        <v>113.63636363636364</v>
      </c>
      <c r="J25" s="161">
        <f t="shared" si="10"/>
        <v>4772.727272727273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44545</v>
      </c>
      <c r="D26" s="161" t="s">
        <v>9</v>
      </c>
      <c r="E26" s="161" t="s">
        <v>3516</v>
      </c>
      <c r="F26" s="222">
        <v>1076</v>
      </c>
      <c r="G26" s="222">
        <v>1080</v>
      </c>
      <c r="H26" s="222">
        <v>4</v>
      </c>
      <c r="I26" s="207">
        <f t="shared" si="9"/>
        <v>278.81040892193306</v>
      </c>
      <c r="J26" s="161">
        <f t="shared" si="10"/>
        <v>1115.2416356877322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44545</v>
      </c>
      <c r="D27" s="161" t="s">
        <v>8</v>
      </c>
      <c r="E27" s="161" t="s">
        <v>129</v>
      </c>
      <c r="F27" s="222">
        <v>2735</v>
      </c>
      <c r="G27" s="222">
        <v>2715</v>
      </c>
      <c r="H27" s="222">
        <f>2735-2715</f>
        <v>20</v>
      </c>
      <c r="I27" s="207">
        <f t="shared" si="9"/>
        <v>109.68921389396709</v>
      </c>
      <c r="J27" s="161">
        <f t="shared" si="10"/>
        <v>2193.784277879342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44546</v>
      </c>
      <c r="D28" s="161" t="s">
        <v>9</v>
      </c>
      <c r="E28" s="161" t="s">
        <v>78</v>
      </c>
      <c r="F28" s="222">
        <v>1900</v>
      </c>
      <c r="G28" s="222">
        <v>1880</v>
      </c>
      <c r="H28" s="222">
        <v>-20</v>
      </c>
      <c r="I28" s="207">
        <f t="shared" si="9"/>
        <v>157.89473684210526</v>
      </c>
      <c r="J28" s="161">
        <f t="shared" si="10"/>
        <v>-3157.894736842105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44546</v>
      </c>
      <c r="D29" s="161" t="s">
        <v>8</v>
      </c>
      <c r="E29" s="161" t="s">
        <v>2999</v>
      </c>
      <c r="F29" s="222">
        <v>670</v>
      </c>
      <c r="G29" s="222">
        <v>678</v>
      </c>
      <c r="H29" s="222">
        <v>-8</v>
      </c>
      <c r="I29" s="207">
        <f t="shared" si="9"/>
        <v>447.76119402985074</v>
      </c>
      <c r="J29" s="161">
        <f t="shared" si="10"/>
        <v>-3582.0895522388059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44547</v>
      </c>
      <c r="D30" s="161" t="s">
        <v>9</v>
      </c>
      <c r="E30" s="161" t="s">
        <v>3546</v>
      </c>
      <c r="F30" s="222">
        <v>277</v>
      </c>
      <c r="G30" s="222">
        <v>273</v>
      </c>
      <c r="H30" s="222">
        <v>4</v>
      </c>
      <c r="I30" s="207">
        <f t="shared" si="9"/>
        <v>1083.0324909747292</v>
      </c>
      <c r="J30" s="161">
        <f t="shared" si="10"/>
        <v>4332.1299638989167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44547</v>
      </c>
      <c r="D31" s="161" t="s">
        <v>8</v>
      </c>
      <c r="E31" s="161" t="s">
        <v>2004</v>
      </c>
      <c r="F31" s="222">
        <v>633</v>
      </c>
      <c r="G31" s="222">
        <v>627.15</v>
      </c>
      <c r="H31" s="222">
        <f>633-627.15</f>
        <v>5.8500000000000227</v>
      </c>
      <c r="I31" s="207">
        <f t="shared" si="9"/>
        <v>473.93364928909955</v>
      </c>
      <c r="J31" s="161">
        <f t="shared" si="10"/>
        <v>2772.511848341243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44550</v>
      </c>
      <c r="D32" s="161" t="s">
        <v>9</v>
      </c>
      <c r="E32" s="161" t="s">
        <v>129</v>
      </c>
      <c r="F32" s="222">
        <v>2555</v>
      </c>
      <c r="G32" s="222">
        <v>2562</v>
      </c>
      <c r="H32" s="222">
        <f>2562-2555</f>
        <v>7</v>
      </c>
      <c r="I32" s="207">
        <f t="shared" si="9"/>
        <v>117.41682974559687</v>
      </c>
      <c r="J32" s="161">
        <f t="shared" si="10"/>
        <v>821.91780821917814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44550</v>
      </c>
      <c r="D33" s="161" t="s">
        <v>8</v>
      </c>
      <c r="E33" s="161" t="s">
        <v>29</v>
      </c>
      <c r="F33" s="222">
        <v>1150</v>
      </c>
      <c r="G33" s="222">
        <v>1160</v>
      </c>
      <c r="H33" s="222">
        <v>-10</v>
      </c>
      <c r="I33" s="207">
        <f t="shared" si="9"/>
        <v>260.86956521739131</v>
      </c>
      <c r="J33" s="161">
        <f t="shared" si="10"/>
        <v>-2608.695652173913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44551</v>
      </c>
      <c r="D34" s="161" t="s">
        <v>9</v>
      </c>
      <c r="E34" s="161" t="s">
        <v>800</v>
      </c>
      <c r="F34" s="222">
        <v>1550</v>
      </c>
      <c r="G34" s="222">
        <v>1580</v>
      </c>
      <c r="H34" s="222">
        <v>30</v>
      </c>
      <c r="I34" s="207">
        <f t="shared" si="9"/>
        <v>193.54838709677421</v>
      </c>
      <c r="J34" s="161">
        <f t="shared" si="10"/>
        <v>5806.4516129032263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44551</v>
      </c>
      <c r="D35" s="161" t="s">
        <v>8</v>
      </c>
      <c r="E35" s="161" t="s">
        <v>2563</v>
      </c>
      <c r="F35" s="222">
        <v>1785</v>
      </c>
      <c r="G35" s="222">
        <v>1800</v>
      </c>
      <c r="H35" s="222">
        <v>-15</v>
      </c>
      <c r="I35" s="207">
        <f t="shared" si="9"/>
        <v>168.0672268907563</v>
      </c>
      <c r="J35" s="161">
        <f t="shared" si="10"/>
        <v>-2521.0084033613443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44552</v>
      </c>
      <c r="D36" s="161" t="s">
        <v>9</v>
      </c>
      <c r="E36" s="161" t="s">
        <v>3628</v>
      </c>
      <c r="F36" s="222">
        <v>3140</v>
      </c>
      <c r="G36" s="222">
        <v>3182</v>
      </c>
      <c r="H36" s="222">
        <f>3182-3140</f>
        <v>42</v>
      </c>
      <c r="I36" s="207">
        <f t="shared" si="9"/>
        <v>95.541401273885356</v>
      </c>
      <c r="J36" s="161">
        <f t="shared" si="10"/>
        <v>4012.7388535031851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44553</v>
      </c>
      <c r="D37" s="161" t="s">
        <v>9</v>
      </c>
      <c r="E37" s="161" t="s">
        <v>129</v>
      </c>
      <c r="F37" s="222">
        <v>2565</v>
      </c>
      <c r="G37" s="222">
        <v>2575</v>
      </c>
      <c r="H37" s="222">
        <v>10</v>
      </c>
      <c r="I37" s="207">
        <f t="shared" si="9"/>
        <v>116.95906432748538</v>
      </c>
      <c r="J37" s="161">
        <f t="shared" si="10"/>
        <v>1169.5906432748538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44553</v>
      </c>
      <c r="D38" s="161" t="s">
        <v>9</v>
      </c>
      <c r="E38" s="161" t="s">
        <v>1361</v>
      </c>
      <c r="F38" s="222">
        <v>962</v>
      </c>
      <c r="G38" s="222">
        <v>966</v>
      </c>
      <c r="H38" s="222">
        <v>4</v>
      </c>
      <c r="I38" s="207">
        <f t="shared" si="9"/>
        <v>311.85031185031187</v>
      </c>
      <c r="J38" s="161">
        <f t="shared" si="10"/>
        <v>1247.4012474012475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44554</v>
      </c>
      <c r="D39" s="161" t="s">
        <v>8</v>
      </c>
      <c r="E39" s="161" t="s">
        <v>109</v>
      </c>
      <c r="F39" s="222">
        <v>820</v>
      </c>
      <c r="G39" s="222">
        <v>810</v>
      </c>
      <c r="H39" s="222">
        <v>10</v>
      </c>
      <c r="I39" s="207">
        <f t="shared" si="9"/>
        <v>365.85365853658539</v>
      </c>
      <c r="J39" s="161">
        <f t="shared" si="10"/>
        <v>3658.5365853658541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44554</v>
      </c>
      <c r="D40" s="161" t="s">
        <v>8</v>
      </c>
      <c r="E40" s="161" t="s">
        <v>133</v>
      </c>
      <c r="F40" s="222">
        <v>910</v>
      </c>
      <c r="G40" s="222">
        <v>896.3</v>
      </c>
      <c r="H40" s="222">
        <f>910-896.3</f>
        <v>13.700000000000045</v>
      </c>
      <c r="I40" s="207">
        <f t="shared" si="9"/>
        <v>329.67032967032969</v>
      </c>
      <c r="J40" s="161">
        <f t="shared" si="10"/>
        <v>4516.4835164835322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44557</v>
      </c>
      <c r="D41" s="161" t="s">
        <v>9</v>
      </c>
      <c r="E41" s="161" t="s">
        <v>502</v>
      </c>
      <c r="F41" s="222">
        <v>1220</v>
      </c>
      <c r="G41" s="223">
        <v>1210</v>
      </c>
      <c r="H41" s="222">
        <v>10</v>
      </c>
      <c r="I41" s="207">
        <f t="shared" si="9"/>
        <v>245.90163934426229</v>
      </c>
      <c r="J41" s="161">
        <f t="shared" si="10"/>
        <v>2459.0163934426228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44557</v>
      </c>
      <c r="D42" s="161" t="s">
        <v>9</v>
      </c>
      <c r="E42" s="161" t="s">
        <v>3629</v>
      </c>
      <c r="F42" s="222">
        <v>4010</v>
      </c>
      <c r="G42" s="222">
        <v>4070</v>
      </c>
      <c r="H42" s="222">
        <v>60</v>
      </c>
      <c r="I42" s="207">
        <f t="shared" si="9"/>
        <v>74.812967581047388</v>
      </c>
      <c r="J42" s="161">
        <f t="shared" si="10"/>
        <v>4488.7780548628434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44558</v>
      </c>
      <c r="D43" s="161" t="s">
        <v>9</v>
      </c>
      <c r="E43" s="161" t="s">
        <v>51</v>
      </c>
      <c r="F43" s="222">
        <v>1212</v>
      </c>
      <c r="G43" s="222">
        <v>1219</v>
      </c>
      <c r="H43" s="222">
        <v>7</v>
      </c>
      <c r="I43" s="207">
        <f t="shared" si="9"/>
        <v>247.52475247524754</v>
      </c>
      <c r="J43" s="161">
        <f t="shared" si="10"/>
        <v>1732.6732673267327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44558</v>
      </c>
      <c r="D44" s="161" t="s">
        <v>8</v>
      </c>
      <c r="E44" s="161" t="s">
        <v>95</v>
      </c>
      <c r="F44" s="222">
        <v>736</v>
      </c>
      <c r="G44" s="222">
        <v>732.6</v>
      </c>
      <c r="H44" s="222">
        <f>736-732.6</f>
        <v>3.3999999999999773</v>
      </c>
      <c r="I44" s="207">
        <f t="shared" si="9"/>
        <v>407.60869565217394</v>
      </c>
      <c r="J44" s="161">
        <f t="shared" si="10"/>
        <v>1385.8695652173822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44559</v>
      </c>
      <c r="D45" s="161" t="s">
        <v>9</v>
      </c>
      <c r="E45" s="161" t="s">
        <v>126</v>
      </c>
      <c r="F45" s="222">
        <v>3710</v>
      </c>
      <c r="G45" s="222">
        <v>3719</v>
      </c>
      <c r="H45" s="222">
        <v>9</v>
      </c>
      <c r="I45" s="207">
        <f t="shared" si="9"/>
        <v>80.862533692722366</v>
      </c>
      <c r="J45" s="161">
        <f t="shared" si="10"/>
        <v>727.76280323450123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44559</v>
      </c>
      <c r="D46" s="161" t="s">
        <v>9</v>
      </c>
      <c r="E46" s="161" t="s">
        <v>862</v>
      </c>
      <c r="F46" s="222">
        <v>765</v>
      </c>
      <c r="G46" s="222">
        <v>755</v>
      </c>
      <c r="H46" s="222">
        <v>-10</v>
      </c>
      <c r="I46" s="207">
        <f t="shared" si="9"/>
        <v>392.15686274509807</v>
      </c>
      <c r="J46" s="161">
        <f t="shared" si="10"/>
        <v>-3921.5686274509808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44560</v>
      </c>
      <c r="D47" s="161" t="s">
        <v>9</v>
      </c>
      <c r="E47" s="161" t="s">
        <v>1407</v>
      </c>
      <c r="F47" s="222">
        <v>940</v>
      </c>
      <c r="G47" s="222">
        <v>945</v>
      </c>
      <c r="H47" s="222">
        <v>5</v>
      </c>
      <c r="I47" s="207">
        <f t="shared" si="9"/>
        <v>319.14893617021278</v>
      </c>
      <c r="J47" s="161">
        <f t="shared" si="10"/>
        <v>1595.744680851064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44560</v>
      </c>
      <c r="D48" s="161" t="s">
        <v>9</v>
      </c>
      <c r="E48" s="161" t="s">
        <v>299</v>
      </c>
      <c r="F48" s="222">
        <v>1720</v>
      </c>
      <c r="G48" s="222">
        <v>1700</v>
      </c>
      <c r="H48" s="222">
        <v>-20</v>
      </c>
      <c r="I48" s="207">
        <f t="shared" si="9"/>
        <v>174.41860465116278</v>
      </c>
      <c r="J48" s="161">
        <f t="shared" si="10"/>
        <v>-3488.3720930232557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44561</v>
      </c>
      <c r="D49" s="161" t="s">
        <v>9</v>
      </c>
      <c r="E49" s="161" t="s">
        <v>37</v>
      </c>
      <c r="F49" s="222">
        <v>470</v>
      </c>
      <c r="G49" s="222">
        <v>475</v>
      </c>
      <c r="H49" s="222">
        <v>5</v>
      </c>
      <c r="I49" s="207">
        <f t="shared" si="9"/>
        <v>638.29787234042556</v>
      </c>
      <c r="J49" s="161">
        <f t="shared" si="10"/>
        <v>3191.489361702128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>
        <v>44561</v>
      </c>
      <c r="D50" s="161" t="s">
        <v>9</v>
      </c>
      <c r="E50" s="161" t="s">
        <v>250</v>
      </c>
      <c r="F50" s="222">
        <v>2170</v>
      </c>
      <c r="G50" s="222">
        <v>2202</v>
      </c>
      <c r="H50" s="222">
        <f>2202-2170</f>
        <v>32</v>
      </c>
      <c r="I50" s="207">
        <f t="shared" si="9"/>
        <v>138.24884792626727</v>
      </c>
      <c r="J50" s="161">
        <f t="shared" si="10"/>
        <v>4423.9631336405528</v>
      </c>
      <c r="K50" s="153"/>
      <c r="V50" s="25">
        <f t="shared" si="3"/>
        <v>1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85208.366394858676</v>
      </c>
      <c r="K52" s="153"/>
      <c r="V52" s="25">
        <f>SUM(V6:V51)</f>
        <v>38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3604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44531</v>
      </c>
      <c r="D60" s="161" t="s">
        <v>9</v>
      </c>
      <c r="E60" s="161" t="s">
        <v>173</v>
      </c>
      <c r="F60" s="222">
        <v>3195</v>
      </c>
      <c r="G60" s="222">
        <v>3205</v>
      </c>
      <c r="H60" s="222">
        <f>3205-3195</f>
        <v>10</v>
      </c>
      <c r="I60" s="207">
        <v>150</v>
      </c>
      <c r="J60" s="241">
        <f t="shared" ref="J60:J83" si="16">I60*H60</f>
        <v>1500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44532</v>
      </c>
      <c r="D61" s="161" t="s">
        <v>9</v>
      </c>
      <c r="E61" s="161" t="s">
        <v>1407</v>
      </c>
      <c r="F61" s="222">
        <v>915</v>
      </c>
      <c r="G61" s="222">
        <v>919</v>
      </c>
      <c r="H61" s="222">
        <v>4</v>
      </c>
      <c r="I61" s="207">
        <v>600</v>
      </c>
      <c r="J61" s="242">
        <f t="shared" si="16"/>
        <v>2400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44533</v>
      </c>
      <c r="D62" s="161" t="s">
        <v>9</v>
      </c>
      <c r="E62" s="161" t="s">
        <v>2093</v>
      </c>
      <c r="F62" s="222">
        <v>980</v>
      </c>
      <c r="G62" s="222">
        <v>983</v>
      </c>
      <c r="H62" s="222">
        <v>3</v>
      </c>
      <c r="I62" s="207">
        <v>650</v>
      </c>
      <c r="J62" s="242">
        <f t="shared" si="16"/>
        <v>1950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44536</v>
      </c>
      <c r="D63" s="161" t="s">
        <v>9</v>
      </c>
      <c r="E63" s="161" t="s">
        <v>299</v>
      </c>
      <c r="F63" s="222">
        <v>1725</v>
      </c>
      <c r="G63" s="222">
        <v>1732</v>
      </c>
      <c r="H63" s="222">
        <f>1732-1725</f>
        <v>7</v>
      </c>
      <c r="I63" s="207">
        <v>500</v>
      </c>
      <c r="J63" s="242">
        <f t="shared" si="16"/>
        <v>3500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44537</v>
      </c>
      <c r="D64" s="161" t="s">
        <v>9</v>
      </c>
      <c r="E64" s="161" t="s">
        <v>365</v>
      </c>
      <c r="F64" s="222">
        <v>662</v>
      </c>
      <c r="G64" s="222">
        <v>665.5</v>
      </c>
      <c r="H64" s="222">
        <v>3.5</v>
      </c>
      <c r="I64" s="207">
        <v>1350</v>
      </c>
      <c r="J64" s="242">
        <f t="shared" si="16"/>
        <v>4725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44538</v>
      </c>
      <c r="D65" s="161" t="s">
        <v>9</v>
      </c>
      <c r="E65" s="161" t="s">
        <v>3562</v>
      </c>
      <c r="F65" s="222">
        <v>5330</v>
      </c>
      <c r="G65" s="222">
        <v>5400</v>
      </c>
      <c r="H65" s="222">
        <f>5400-5330</f>
        <v>70</v>
      </c>
      <c r="I65" s="207">
        <v>125</v>
      </c>
      <c r="J65" s="242">
        <f t="shared" si="16"/>
        <v>8750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44539</v>
      </c>
      <c r="D66" s="161" t="s">
        <v>8</v>
      </c>
      <c r="E66" s="161" t="s">
        <v>365</v>
      </c>
      <c r="F66" s="222">
        <v>667</v>
      </c>
      <c r="G66" s="222">
        <v>664.2</v>
      </c>
      <c r="H66" s="222">
        <f>667-664.2</f>
        <v>2.7999999999999545</v>
      </c>
      <c r="I66" s="207">
        <v>1350</v>
      </c>
      <c r="J66" s="242">
        <f t="shared" si="16"/>
        <v>3779.9999999999386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44540</v>
      </c>
      <c r="D67" s="161" t="s">
        <v>9</v>
      </c>
      <c r="E67" s="161" t="s">
        <v>3515</v>
      </c>
      <c r="F67" s="222">
        <v>1312</v>
      </c>
      <c r="G67" s="222">
        <v>1324</v>
      </c>
      <c r="H67" s="222">
        <f>1324-1312</f>
        <v>12</v>
      </c>
      <c r="I67" s="207">
        <v>475</v>
      </c>
      <c r="J67" s="242">
        <f t="shared" si="16"/>
        <v>5700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44543</v>
      </c>
      <c r="D68" s="161" t="s">
        <v>9</v>
      </c>
      <c r="E68" s="161" t="s">
        <v>3436</v>
      </c>
      <c r="F68" s="222">
        <v>872</v>
      </c>
      <c r="G68" s="222">
        <v>880</v>
      </c>
      <c r="H68" s="222">
        <f>880-872</f>
        <v>8</v>
      </c>
      <c r="I68" s="207">
        <v>1625</v>
      </c>
      <c r="J68" s="242">
        <f t="shared" si="16"/>
        <v>13000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44544</v>
      </c>
      <c r="D69" s="161" t="s">
        <v>9</v>
      </c>
      <c r="E69" s="161" t="s">
        <v>2004</v>
      </c>
      <c r="F69" s="222">
        <v>650</v>
      </c>
      <c r="G69" s="222">
        <v>644</v>
      </c>
      <c r="H69" s="222">
        <v>-6</v>
      </c>
      <c r="I69" s="207">
        <v>1563</v>
      </c>
      <c r="J69" s="242">
        <f t="shared" si="16"/>
        <v>-9378</v>
      </c>
      <c r="K69" s="153"/>
      <c r="V69" s="25">
        <f t="shared" si="17"/>
        <v>0</v>
      </c>
      <c r="W69" s="25">
        <f t="shared" si="18"/>
        <v>1</v>
      </c>
    </row>
    <row r="70" spans="1:23" x14ac:dyDescent="0.3">
      <c r="A70" s="147"/>
      <c r="B70" s="205">
        <f t="shared" si="19"/>
        <v>11</v>
      </c>
      <c r="C70" s="206">
        <v>44545</v>
      </c>
      <c r="D70" s="161" t="s">
        <v>8</v>
      </c>
      <c r="E70" s="161" t="s">
        <v>864</v>
      </c>
      <c r="F70" s="161">
        <v>2128</v>
      </c>
      <c r="G70" s="222">
        <v>2122</v>
      </c>
      <c r="H70" s="222">
        <v>6</v>
      </c>
      <c r="I70" s="207">
        <v>375</v>
      </c>
      <c r="J70" s="242">
        <f t="shared" si="16"/>
        <v>2250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44546</v>
      </c>
      <c r="D71" s="161" t="s">
        <v>8</v>
      </c>
      <c r="E71" s="161" t="s">
        <v>3622</v>
      </c>
      <c r="F71" s="222">
        <v>744</v>
      </c>
      <c r="G71" s="222">
        <v>739</v>
      </c>
      <c r="H71" s="222">
        <f>744-739</f>
        <v>5</v>
      </c>
      <c r="I71" s="207">
        <v>675</v>
      </c>
      <c r="J71" s="242">
        <f t="shared" si="16"/>
        <v>3375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44547</v>
      </c>
      <c r="D72" s="161" t="s">
        <v>8</v>
      </c>
      <c r="E72" s="161" t="s">
        <v>667</v>
      </c>
      <c r="F72" s="222">
        <v>216</v>
      </c>
      <c r="G72" s="222">
        <v>213</v>
      </c>
      <c r="H72" s="222">
        <v>6</v>
      </c>
      <c r="I72" s="207">
        <v>3500</v>
      </c>
      <c r="J72" s="242">
        <f t="shared" si="16"/>
        <v>21000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44550</v>
      </c>
      <c r="D73" s="161" t="s">
        <v>8</v>
      </c>
      <c r="E73" s="161" t="s">
        <v>795</v>
      </c>
      <c r="F73" s="223">
        <v>1400</v>
      </c>
      <c r="G73" s="222">
        <v>1395</v>
      </c>
      <c r="H73" s="255">
        <v>5</v>
      </c>
      <c r="I73" s="207">
        <v>350</v>
      </c>
      <c r="J73" s="242">
        <f t="shared" si="16"/>
        <v>1750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44551</v>
      </c>
      <c r="D74" s="161" t="s">
        <v>9</v>
      </c>
      <c r="E74" s="161" t="s">
        <v>1361</v>
      </c>
      <c r="F74" s="222">
        <v>942</v>
      </c>
      <c r="G74" s="222">
        <v>949.8</v>
      </c>
      <c r="H74" s="255">
        <f>949.8-942</f>
        <v>7.7999999999999545</v>
      </c>
      <c r="I74" s="207">
        <v>500</v>
      </c>
      <c r="J74" s="242">
        <f t="shared" si="16"/>
        <v>3899.9999999999773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44552</v>
      </c>
      <c r="D75" s="161" t="s">
        <v>9</v>
      </c>
      <c r="E75" s="161" t="s">
        <v>49</v>
      </c>
      <c r="F75" s="222">
        <v>3425</v>
      </c>
      <c r="G75" s="222">
        <v>3455</v>
      </c>
      <c r="H75" s="255">
        <v>30</v>
      </c>
      <c r="I75" s="207">
        <v>125</v>
      </c>
      <c r="J75" s="242">
        <f t="shared" si="16"/>
        <v>3750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44553</v>
      </c>
      <c r="D76" s="161" t="s">
        <v>9</v>
      </c>
      <c r="E76" s="161" t="s">
        <v>2979</v>
      </c>
      <c r="F76" s="222">
        <v>471</v>
      </c>
      <c r="G76" s="222">
        <v>465</v>
      </c>
      <c r="H76" s="222">
        <v>-6</v>
      </c>
      <c r="I76" s="207">
        <v>1100</v>
      </c>
      <c r="J76" s="242">
        <f t="shared" si="16"/>
        <v>-6600</v>
      </c>
      <c r="K76" s="153"/>
      <c r="V76" s="25">
        <f t="shared" si="17"/>
        <v>0</v>
      </c>
      <c r="W76" s="25">
        <f t="shared" si="18"/>
        <v>1</v>
      </c>
    </row>
    <row r="77" spans="1:23" x14ac:dyDescent="0.3">
      <c r="A77" s="147"/>
      <c r="B77" s="205">
        <f t="shared" si="19"/>
        <v>18</v>
      </c>
      <c r="C77" s="206">
        <v>44554</v>
      </c>
      <c r="D77" s="161" t="s">
        <v>8</v>
      </c>
      <c r="E77" s="161" t="s">
        <v>586</v>
      </c>
      <c r="F77" s="222">
        <v>1650</v>
      </c>
      <c r="G77" s="222">
        <v>1620</v>
      </c>
      <c r="H77" s="222">
        <v>30</v>
      </c>
      <c r="I77" s="207">
        <v>475</v>
      </c>
      <c r="J77" s="242">
        <f t="shared" si="16"/>
        <v>14250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44557</v>
      </c>
      <c r="D78" s="161" t="s">
        <v>9</v>
      </c>
      <c r="E78" s="161" t="s">
        <v>3630</v>
      </c>
      <c r="F78" s="222">
        <v>510</v>
      </c>
      <c r="G78" s="222">
        <v>522</v>
      </c>
      <c r="H78" s="222">
        <v>12</v>
      </c>
      <c r="I78" s="207">
        <v>900</v>
      </c>
      <c r="J78" s="242">
        <f t="shared" si="16"/>
        <v>10800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44557</v>
      </c>
      <c r="D79" s="161" t="s">
        <v>9</v>
      </c>
      <c r="E79" s="161" t="s">
        <v>3562</v>
      </c>
      <c r="F79" s="222">
        <v>5470</v>
      </c>
      <c r="G79" s="222">
        <v>5528</v>
      </c>
      <c r="H79" s="222">
        <f>5528-5470</f>
        <v>58</v>
      </c>
      <c r="I79" s="207">
        <v>125</v>
      </c>
      <c r="J79" s="242">
        <f t="shared" si="16"/>
        <v>7250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44558</v>
      </c>
      <c r="D80" s="161" t="s">
        <v>9</v>
      </c>
      <c r="E80" s="161" t="s">
        <v>3631</v>
      </c>
      <c r="F80" s="222">
        <v>2435</v>
      </c>
      <c r="G80" s="222">
        <v>2470</v>
      </c>
      <c r="H80" s="222">
        <f>2470-2435</f>
        <v>35</v>
      </c>
      <c r="I80" s="207">
        <v>250</v>
      </c>
      <c r="J80" s="242">
        <f t="shared" si="16"/>
        <v>8750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>
        <v>44559</v>
      </c>
      <c r="D81" s="161" t="s">
        <v>9</v>
      </c>
      <c r="E81" s="161" t="s">
        <v>49</v>
      </c>
      <c r="F81" s="222">
        <v>3525</v>
      </c>
      <c r="G81" s="222">
        <v>3575</v>
      </c>
      <c r="H81" s="222">
        <f>3575-3525</f>
        <v>50</v>
      </c>
      <c r="I81" s="207">
        <v>125</v>
      </c>
      <c r="J81" s="242">
        <f t="shared" si="16"/>
        <v>6250</v>
      </c>
      <c r="K81" s="153"/>
    </row>
    <row r="82" spans="1:23" x14ac:dyDescent="0.3">
      <c r="A82" s="147"/>
      <c r="B82" s="205">
        <f t="shared" si="19"/>
        <v>23</v>
      </c>
      <c r="C82" s="206">
        <v>44560</v>
      </c>
      <c r="D82" s="161" t="s">
        <v>8</v>
      </c>
      <c r="E82" s="161" t="s">
        <v>3443</v>
      </c>
      <c r="F82" s="222">
        <v>2445</v>
      </c>
      <c r="G82" s="222">
        <v>2438</v>
      </c>
      <c r="H82" s="222">
        <f>2445-2438</f>
        <v>7</v>
      </c>
      <c r="I82" s="207">
        <v>250</v>
      </c>
      <c r="J82" s="242">
        <f t="shared" si="16"/>
        <v>1750</v>
      </c>
      <c r="K82" s="153"/>
      <c r="V82" s="25">
        <f t="shared" si="17"/>
        <v>1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>
        <v>44561</v>
      </c>
      <c r="D83" s="166" t="s">
        <v>9</v>
      </c>
      <c r="E83" s="166" t="s">
        <v>2925</v>
      </c>
      <c r="F83" s="210">
        <v>559</v>
      </c>
      <c r="G83" s="210">
        <v>565</v>
      </c>
      <c r="H83" s="166">
        <v>6</v>
      </c>
      <c r="I83" s="210">
        <v>750</v>
      </c>
      <c r="J83" s="244">
        <f t="shared" si="16"/>
        <v>4500</v>
      </c>
      <c r="K83" s="153"/>
      <c r="V83" s="25">
        <f t="shared" si="17"/>
        <v>1</v>
      </c>
      <c r="W83" s="25">
        <f t="shared" si="18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118901.99999999991</v>
      </c>
      <c r="K84" s="153"/>
      <c r="V84" s="25">
        <f>SUM(V60:V83)</f>
        <v>21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3603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44531</v>
      </c>
      <c r="D92" s="185" t="s">
        <v>9</v>
      </c>
      <c r="E92" s="185" t="s">
        <v>39</v>
      </c>
      <c r="F92" s="219">
        <v>17180</v>
      </c>
      <c r="G92" s="219">
        <v>17200</v>
      </c>
      <c r="H92" s="185">
        <v>20</v>
      </c>
      <c r="I92" s="219">
        <v>150</v>
      </c>
      <c r="J92" s="246">
        <f t="shared" ref="J92:J114" si="20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44532</v>
      </c>
      <c r="D93" s="185" t="s">
        <v>9</v>
      </c>
      <c r="E93" s="185" t="s">
        <v>39</v>
      </c>
      <c r="F93" s="219">
        <v>17300</v>
      </c>
      <c r="G93" s="219">
        <v>17380</v>
      </c>
      <c r="H93" s="185">
        <v>80</v>
      </c>
      <c r="I93" s="219">
        <v>150</v>
      </c>
      <c r="J93" s="242">
        <f t="shared" si="20"/>
        <v>12000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44533</v>
      </c>
      <c r="D94" s="161" t="s">
        <v>9</v>
      </c>
      <c r="E94" s="161" t="s">
        <v>39</v>
      </c>
      <c r="F94" s="207">
        <v>17400</v>
      </c>
      <c r="G94" s="207">
        <v>17440</v>
      </c>
      <c r="H94" s="161">
        <v>40</v>
      </c>
      <c r="I94" s="207">
        <v>150</v>
      </c>
      <c r="J94" s="242">
        <f t="shared" si="20"/>
        <v>6000</v>
      </c>
      <c r="K94" s="153"/>
      <c r="V94" s="25">
        <f t="shared" si="21"/>
        <v>1</v>
      </c>
      <c r="W94" s="25">
        <f t="shared" si="22"/>
        <v>0</v>
      </c>
    </row>
    <row r="95" spans="1:23" x14ac:dyDescent="0.3">
      <c r="A95" s="147"/>
      <c r="B95" s="205">
        <f t="shared" si="23"/>
        <v>4</v>
      </c>
      <c r="C95" s="206">
        <v>44536</v>
      </c>
      <c r="D95" s="161" t="s">
        <v>8</v>
      </c>
      <c r="E95" s="161" t="s">
        <v>39</v>
      </c>
      <c r="F95" s="207">
        <v>17170</v>
      </c>
      <c r="G95" s="207">
        <v>17090</v>
      </c>
      <c r="H95" s="161">
        <v>80</v>
      </c>
      <c r="I95" s="207">
        <v>150</v>
      </c>
      <c r="J95" s="242">
        <f t="shared" si="20"/>
        <v>12000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44537</v>
      </c>
      <c r="D96" s="161" t="s">
        <v>9</v>
      </c>
      <c r="E96" s="161" t="s">
        <v>39</v>
      </c>
      <c r="F96" s="207">
        <v>17120</v>
      </c>
      <c r="G96" s="207">
        <v>17200</v>
      </c>
      <c r="H96" s="161">
        <v>80</v>
      </c>
      <c r="I96" s="207">
        <v>150</v>
      </c>
      <c r="J96" s="242">
        <f t="shared" si="20"/>
        <v>12000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44538</v>
      </c>
      <c r="D97" s="161" t="s">
        <v>9</v>
      </c>
      <c r="E97" s="161" t="s">
        <v>39</v>
      </c>
      <c r="F97" s="207">
        <v>17440</v>
      </c>
      <c r="G97" s="207">
        <v>17460</v>
      </c>
      <c r="H97" s="161">
        <v>20</v>
      </c>
      <c r="I97" s="207">
        <v>150</v>
      </c>
      <c r="J97" s="242">
        <f t="shared" si="20"/>
        <v>3000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44539</v>
      </c>
      <c r="D98" s="161" t="s">
        <v>8</v>
      </c>
      <c r="E98" s="161" t="s">
        <v>39</v>
      </c>
      <c r="F98" s="207">
        <v>17490</v>
      </c>
      <c r="G98" s="207">
        <v>17430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8</v>
      </c>
      <c r="C99" s="206">
        <v>44540</v>
      </c>
      <c r="D99" s="161" t="s">
        <v>9</v>
      </c>
      <c r="E99" s="161" t="s">
        <v>39</v>
      </c>
      <c r="F99" s="207">
        <v>17500</v>
      </c>
      <c r="G99" s="207">
        <v>17525</v>
      </c>
      <c r="H99" s="161">
        <v>25</v>
      </c>
      <c r="I99" s="207">
        <v>150</v>
      </c>
      <c r="J99" s="242">
        <f t="shared" si="20"/>
        <v>3750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44543</v>
      </c>
      <c r="D100" s="161" t="s">
        <v>8</v>
      </c>
      <c r="E100" s="161" t="s">
        <v>39</v>
      </c>
      <c r="F100" s="207">
        <v>17590</v>
      </c>
      <c r="G100" s="207">
        <v>17510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44544</v>
      </c>
      <c r="D101" s="161" t="s">
        <v>9</v>
      </c>
      <c r="E101" s="161" t="s">
        <v>39</v>
      </c>
      <c r="F101" s="207">
        <v>17360</v>
      </c>
      <c r="G101" s="207">
        <v>17380</v>
      </c>
      <c r="H101" s="161">
        <v>20</v>
      </c>
      <c r="I101" s="207">
        <v>150</v>
      </c>
      <c r="J101" s="242">
        <f t="shared" si="20"/>
        <v>3000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44545</v>
      </c>
      <c r="D102" s="161" t="s">
        <v>8</v>
      </c>
      <c r="E102" s="161" t="s">
        <v>39</v>
      </c>
      <c r="F102" s="207">
        <v>17280</v>
      </c>
      <c r="G102" s="207">
        <v>17220</v>
      </c>
      <c r="H102" s="161">
        <v>60</v>
      </c>
      <c r="I102" s="207">
        <v>150</v>
      </c>
      <c r="J102" s="242">
        <f t="shared" si="20"/>
        <v>9000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12</v>
      </c>
      <c r="C103" s="206">
        <v>44546</v>
      </c>
      <c r="D103" s="161" t="s">
        <v>8</v>
      </c>
      <c r="E103" s="161" t="s">
        <v>39</v>
      </c>
      <c r="F103" s="207">
        <v>17330</v>
      </c>
      <c r="G103" s="207">
        <v>17250</v>
      </c>
      <c r="H103" s="161">
        <f>17330-17250</f>
        <v>80</v>
      </c>
      <c r="I103" s="207">
        <v>150</v>
      </c>
      <c r="J103" s="242">
        <f t="shared" si="20"/>
        <v>12000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44547</v>
      </c>
      <c r="D104" s="161" t="s">
        <v>8</v>
      </c>
      <c r="E104" s="161" t="s">
        <v>39</v>
      </c>
      <c r="F104" s="207">
        <v>17100</v>
      </c>
      <c r="G104" s="207">
        <v>17020</v>
      </c>
      <c r="H104" s="161">
        <v>80</v>
      </c>
      <c r="I104" s="207">
        <v>150</v>
      </c>
      <c r="J104" s="242">
        <f t="shared" si="20"/>
        <v>12000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44550</v>
      </c>
      <c r="D105" s="161" t="s">
        <v>8</v>
      </c>
      <c r="E105" s="161" t="s">
        <v>39</v>
      </c>
      <c r="F105" s="207">
        <v>16710</v>
      </c>
      <c r="G105" s="207">
        <v>16630</v>
      </c>
      <c r="H105" s="161">
        <v>80</v>
      </c>
      <c r="I105" s="207">
        <v>150</v>
      </c>
      <c r="J105" s="242">
        <f t="shared" si="20"/>
        <v>12000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44551</v>
      </c>
      <c r="D106" s="161" t="s">
        <v>9</v>
      </c>
      <c r="E106" s="161" t="s">
        <v>39</v>
      </c>
      <c r="F106" s="207">
        <v>16820</v>
      </c>
      <c r="G106" s="207">
        <v>16900</v>
      </c>
      <c r="H106" s="161">
        <v>80</v>
      </c>
      <c r="I106" s="207">
        <v>150</v>
      </c>
      <c r="J106" s="242">
        <f t="shared" si="20"/>
        <v>12000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44552</v>
      </c>
      <c r="D107" s="161" t="s">
        <v>9</v>
      </c>
      <c r="E107" s="161" t="s">
        <v>39</v>
      </c>
      <c r="F107" s="207">
        <v>16910</v>
      </c>
      <c r="G107" s="207">
        <v>16930</v>
      </c>
      <c r="H107" s="161">
        <v>20</v>
      </c>
      <c r="I107" s="207">
        <v>150</v>
      </c>
      <c r="J107" s="242">
        <f t="shared" si="20"/>
        <v>3000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44553</v>
      </c>
      <c r="D108" s="161" t="s">
        <v>9</v>
      </c>
      <c r="E108" s="161" t="s">
        <v>39</v>
      </c>
      <c r="F108" s="207">
        <v>17100</v>
      </c>
      <c r="G108" s="207">
        <v>17060</v>
      </c>
      <c r="H108" s="161">
        <v>-40</v>
      </c>
      <c r="I108" s="207">
        <v>150</v>
      </c>
      <c r="J108" s="242">
        <f t="shared" si="20"/>
        <v>-6000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18</v>
      </c>
      <c r="C109" s="206">
        <v>44554</v>
      </c>
      <c r="D109" s="161" t="s">
        <v>8</v>
      </c>
      <c r="E109" s="161" t="s">
        <v>39</v>
      </c>
      <c r="F109" s="207">
        <v>17020</v>
      </c>
      <c r="G109" s="207">
        <v>16940</v>
      </c>
      <c r="H109" s="161">
        <v>80</v>
      </c>
      <c r="I109" s="207">
        <v>150</v>
      </c>
      <c r="J109" s="242">
        <f t="shared" si="20"/>
        <v>12000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>
        <v>44557</v>
      </c>
      <c r="D110" s="161" t="s">
        <v>9</v>
      </c>
      <c r="E110" s="161" t="s">
        <v>39</v>
      </c>
      <c r="F110" s="207">
        <v>16950</v>
      </c>
      <c r="G110" s="207">
        <v>17030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>
        <v>44558</v>
      </c>
      <c r="D111" s="161" t="s">
        <v>9</v>
      </c>
      <c r="E111" s="161" t="s">
        <v>39</v>
      </c>
      <c r="F111" s="207">
        <v>17200</v>
      </c>
      <c r="G111" s="207">
        <v>17258</v>
      </c>
      <c r="H111" s="161">
        <v>58</v>
      </c>
      <c r="I111" s="207">
        <v>150</v>
      </c>
      <c r="J111" s="242">
        <f t="shared" si="20"/>
        <v>8700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>
        <v>44559</v>
      </c>
      <c r="D112" s="161" t="s">
        <v>9</v>
      </c>
      <c r="E112" s="161" t="s">
        <v>39</v>
      </c>
      <c r="F112" s="207">
        <v>17220</v>
      </c>
      <c r="G112" s="207">
        <v>17260</v>
      </c>
      <c r="H112" s="161">
        <v>40</v>
      </c>
      <c r="I112" s="207">
        <v>150</v>
      </c>
      <c r="J112" s="242">
        <f t="shared" si="20"/>
        <v>6000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>
        <v>44560</v>
      </c>
      <c r="D113" s="161" t="s">
        <v>9</v>
      </c>
      <c r="E113" s="161" t="s">
        <v>39</v>
      </c>
      <c r="F113" s="207">
        <v>17230</v>
      </c>
      <c r="G113" s="207">
        <v>17248</v>
      </c>
      <c r="H113" s="161">
        <v>18</v>
      </c>
      <c r="I113" s="207">
        <v>150</v>
      </c>
      <c r="J113" s="242">
        <f t="shared" si="20"/>
        <v>2700</v>
      </c>
      <c r="K113" s="153"/>
      <c r="V113" s="25">
        <f t="shared" si="21"/>
        <v>1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>
        <v>44561</v>
      </c>
      <c r="D114" s="166" t="s">
        <v>9</v>
      </c>
      <c r="E114" s="166" t="s">
        <v>39</v>
      </c>
      <c r="F114" s="210">
        <v>17380</v>
      </c>
      <c r="G114" s="210">
        <v>17435</v>
      </c>
      <c r="H114" s="166">
        <f>17435-17380</f>
        <v>55</v>
      </c>
      <c r="I114" s="210">
        <v>150</v>
      </c>
      <c r="J114" s="244">
        <f t="shared" si="20"/>
        <v>8250</v>
      </c>
      <c r="K114" s="153"/>
      <c r="V114" s="25">
        <f t="shared" si="21"/>
        <v>1</v>
      </c>
      <c r="W114" s="25">
        <f t="shared" si="22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179400</v>
      </c>
      <c r="K115" s="153"/>
      <c r="V115" s="25">
        <f>SUM(V92:V114)</f>
        <v>22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3605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44531</v>
      </c>
      <c r="D123" s="185" t="s">
        <v>9</v>
      </c>
      <c r="E123" s="185" t="s">
        <v>3454</v>
      </c>
      <c r="F123" s="219">
        <v>95</v>
      </c>
      <c r="G123" s="231">
        <v>130</v>
      </c>
      <c r="H123" s="231">
        <f>130-95</f>
        <v>35</v>
      </c>
      <c r="I123" s="219">
        <v>300</v>
      </c>
      <c r="J123" s="246">
        <f t="shared" ref="J123:J146" si="24">I123*H123</f>
        <v>10500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44532</v>
      </c>
      <c r="D124" s="185" t="s">
        <v>9</v>
      </c>
      <c r="E124" s="185" t="s">
        <v>3608</v>
      </c>
      <c r="F124" s="219">
        <v>95</v>
      </c>
      <c r="G124" s="219">
        <v>145</v>
      </c>
      <c r="H124" s="185">
        <v>50</v>
      </c>
      <c r="I124" s="219">
        <v>300</v>
      </c>
      <c r="J124" s="242">
        <f t="shared" si="24"/>
        <v>15000</v>
      </c>
      <c r="K124" s="153"/>
      <c r="V124" s="25">
        <f t="shared" ref="V124:V146" si="25">IF($J124&gt;0,1,0)</f>
        <v>1</v>
      </c>
      <c r="W124" s="25">
        <f t="shared" ref="W124:W146" si="26">IF($J124&lt;0,1,0)</f>
        <v>0</v>
      </c>
    </row>
    <row r="125" spans="1:23" x14ac:dyDescent="0.3">
      <c r="A125" s="147"/>
      <c r="B125" s="205">
        <f>B124+1</f>
        <v>3</v>
      </c>
      <c r="C125" s="206">
        <v>44533</v>
      </c>
      <c r="D125" s="161" t="s">
        <v>9</v>
      </c>
      <c r="E125" s="161" t="s">
        <v>3486</v>
      </c>
      <c r="F125" s="207">
        <v>110</v>
      </c>
      <c r="G125" s="207">
        <v>120</v>
      </c>
      <c r="H125" s="161">
        <v>10</v>
      </c>
      <c r="I125" s="207">
        <v>300</v>
      </c>
      <c r="J125" s="242">
        <f t="shared" si="24"/>
        <v>3000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ref="B126:B146" si="27">B125+1</f>
        <v>4</v>
      </c>
      <c r="C126" s="206">
        <v>44536</v>
      </c>
      <c r="D126" s="161" t="s">
        <v>9</v>
      </c>
      <c r="E126" s="161" t="s">
        <v>3609</v>
      </c>
      <c r="F126" s="207">
        <v>105</v>
      </c>
      <c r="G126" s="207">
        <v>155</v>
      </c>
      <c r="H126" s="161">
        <v>50</v>
      </c>
      <c r="I126" s="207">
        <v>300</v>
      </c>
      <c r="J126" s="242">
        <f t="shared" si="24"/>
        <v>15000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44537</v>
      </c>
      <c r="D127" s="161" t="s">
        <v>9</v>
      </c>
      <c r="E127" s="161" t="s">
        <v>3610</v>
      </c>
      <c r="F127" s="207">
        <v>100</v>
      </c>
      <c r="G127" s="207">
        <v>150</v>
      </c>
      <c r="H127" s="161">
        <v>50</v>
      </c>
      <c r="I127" s="207">
        <v>300</v>
      </c>
      <c r="J127" s="242">
        <f t="shared" si="24"/>
        <v>15000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44538</v>
      </c>
      <c r="D128" s="161" t="s">
        <v>9</v>
      </c>
      <c r="E128" s="161" t="s">
        <v>1603</v>
      </c>
      <c r="F128" s="207">
        <v>80</v>
      </c>
      <c r="G128" s="222">
        <v>120</v>
      </c>
      <c r="H128" s="222">
        <f>120-80</f>
        <v>40</v>
      </c>
      <c r="I128" s="207">
        <v>300</v>
      </c>
      <c r="J128" s="242">
        <f t="shared" si="24"/>
        <v>12000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44539</v>
      </c>
      <c r="D129" s="161" t="s">
        <v>9</v>
      </c>
      <c r="E129" s="161" t="s">
        <v>1539</v>
      </c>
      <c r="F129" s="207">
        <v>90</v>
      </c>
      <c r="G129" s="207">
        <v>128</v>
      </c>
      <c r="H129" s="161">
        <f>128-90</f>
        <v>38</v>
      </c>
      <c r="I129" s="207">
        <v>300</v>
      </c>
      <c r="J129" s="242">
        <f t="shared" si="24"/>
        <v>11400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44540</v>
      </c>
      <c r="D130" s="161" t="s">
        <v>9</v>
      </c>
      <c r="E130" s="161" t="s">
        <v>2954</v>
      </c>
      <c r="F130" s="207">
        <v>115</v>
      </c>
      <c r="G130" s="207">
        <v>126</v>
      </c>
      <c r="H130" s="161">
        <f>126-115</f>
        <v>11</v>
      </c>
      <c r="I130" s="207">
        <v>300</v>
      </c>
      <c r="J130" s="242">
        <f t="shared" si="24"/>
        <v>3300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44543</v>
      </c>
      <c r="D131" s="161" t="s">
        <v>9</v>
      </c>
      <c r="E131" s="161" t="s">
        <v>1516</v>
      </c>
      <c r="F131" s="207">
        <v>100</v>
      </c>
      <c r="G131" s="207">
        <v>135</v>
      </c>
      <c r="H131" s="161">
        <v>35</v>
      </c>
      <c r="I131" s="207">
        <v>300</v>
      </c>
      <c r="J131" s="242">
        <f t="shared" si="24"/>
        <v>10500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44544</v>
      </c>
      <c r="D132" s="161" t="s">
        <v>9</v>
      </c>
      <c r="E132" s="161" t="s">
        <v>3462</v>
      </c>
      <c r="F132" s="207">
        <v>125</v>
      </c>
      <c r="G132" s="222">
        <v>137</v>
      </c>
      <c r="H132" s="222">
        <f>137-125</f>
        <v>12</v>
      </c>
      <c r="I132" s="207">
        <v>300</v>
      </c>
      <c r="J132" s="242">
        <f t="shared" si="24"/>
        <v>3600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44544</v>
      </c>
      <c r="D133" s="161" t="s">
        <v>9</v>
      </c>
      <c r="E133" s="161" t="s">
        <v>1492</v>
      </c>
      <c r="F133" s="207">
        <v>120</v>
      </c>
      <c r="G133" s="222">
        <v>139</v>
      </c>
      <c r="H133" s="222">
        <f>139-120</f>
        <v>19</v>
      </c>
      <c r="I133" s="207">
        <v>300</v>
      </c>
      <c r="J133" s="242">
        <f t="shared" si="24"/>
        <v>5700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44545</v>
      </c>
      <c r="D134" s="161" t="s">
        <v>9</v>
      </c>
      <c r="E134" s="161" t="s">
        <v>3623</v>
      </c>
      <c r="F134" s="207">
        <v>90</v>
      </c>
      <c r="G134" s="222">
        <v>115</v>
      </c>
      <c r="H134" s="222">
        <f>115-90</f>
        <v>25</v>
      </c>
      <c r="I134" s="207">
        <v>300</v>
      </c>
      <c r="J134" s="242">
        <f t="shared" si="24"/>
        <v>7500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13</v>
      </c>
      <c r="C135" s="206">
        <v>44546</v>
      </c>
      <c r="D135" s="161" t="s">
        <v>9</v>
      </c>
      <c r="E135" s="161" t="s">
        <v>3468</v>
      </c>
      <c r="F135" s="207">
        <v>105</v>
      </c>
      <c r="G135" s="222">
        <v>120</v>
      </c>
      <c r="H135" s="222">
        <v>15</v>
      </c>
      <c r="I135" s="207">
        <v>300</v>
      </c>
      <c r="J135" s="242">
        <f t="shared" si="24"/>
        <v>4500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44547</v>
      </c>
      <c r="D136" s="161" t="s">
        <v>9</v>
      </c>
      <c r="E136" s="161" t="s">
        <v>1389</v>
      </c>
      <c r="F136" s="207">
        <v>110</v>
      </c>
      <c r="G136" s="207">
        <v>147</v>
      </c>
      <c r="H136" s="161">
        <f>147-110</f>
        <v>37</v>
      </c>
      <c r="I136" s="207">
        <v>300</v>
      </c>
      <c r="J136" s="242">
        <f>I136*H136</f>
        <v>11100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44550</v>
      </c>
      <c r="D137" s="161" t="s">
        <v>9</v>
      </c>
      <c r="E137" s="161" t="s">
        <v>1443</v>
      </c>
      <c r="F137" s="207">
        <v>110</v>
      </c>
      <c r="G137" s="207">
        <v>160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44551</v>
      </c>
      <c r="D138" s="161" t="s">
        <v>9</v>
      </c>
      <c r="E138" s="161" t="s">
        <v>3446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44552</v>
      </c>
      <c r="D139" s="161" t="s">
        <v>9</v>
      </c>
      <c r="E139" s="161" t="s">
        <v>3632</v>
      </c>
      <c r="F139" s="207">
        <v>115</v>
      </c>
      <c r="G139" s="207">
        <v>90</v>
      </c>
      <c r="H139" s="161">
        <v>-25</v>
      </c>
      <c r="I139" s="207">
        <v>300</v>
      </c>
      <c r="J139" s="242">
        <f t="shared" si="24"/>
        <v>-7500</v>
      </c>
      <c r="K139" s="153"/>
      <c r="V139" s="25">
        <f t="shared" si="25"/>
        <v>0</v>
      </c>
      <c r="W139" s="25">
        <f t="shared" si="26"/>
        <v>1</v>
      </c>
    </row>
    <row r="140" spans="1:23" x14ac:dyDescent="0.3">
      <c r="A140" s="147"/>
      <c r="B140" s="205">
        <f t="shared" si="27"/>
        <v>18</v>
      </c>
      <c r="C140" s="206">
        <v>44553</v>
      </c>
      <c r="D140" s="161" t="s">
        <v>9</v>
      </c>
      <c r="E140" s="161" t="s">
        <v>3633</v>
      </c>
      <c r="F140" s="207">
        <v>75</v>
      </c>
      <c r="G140" s="222">
        <v>125</v>
      </c>
      <c r="H140" s="222">
        <v>50</v>
      </c>
      <c r="I140" s="207">
        <v>300</v>
      </c>
      <c r="J140" s="242">
        <f t="shared" si="24"/>
        <v>15000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>
        <v>44554</v>
      </c>
      <c r="D141" s="161" t="s">
        <v>9</v>
      </c>
      <c r="E141" s="161" t="s">
        <v>3634</v>
      </c>
      <c r="F141" s="207">
        <v>120</v>
      </c>
      <c r="G141" s="207">
        <v>155</v>
      </c>
      <c r="H141" s="161">
        <f>155-120</f>
        <v>35</v>
      </c>
      <c r="I141" s="207">
        <v>300</v>
      </c>
      <c r="J141" s="242">
        <f t="shared" si="24"/>
        <v>10500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44557</v>
      </c>
      <c r="D142" s="161" t="s">
        <v>9</v>
      </c>
      <c r="E142" s="161" t="s">
        <v>3635</v>
      </c>
      <c r="F142" s="207">
        <v>125</v>
      </c>
      <c r="G142" s="207">
        <v>175</v>
      </c>
      <c r="H142" s="161">
        <v>50</v>
      </c>
      <c r="I142" s="207">
        <v>300</v>
      </c>
      <c r="J142" s="242">
        <f t="shared" si="24"/>
        <v>15000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>
        <v>44558</v>
      </c>
      <c r="D143" s="161" t="s">
        <v>9</v>
      </c>
      <c r="E143" s="161" t="s">
        <v>3608</v>
      </c>
      <c r="F143" s="207">
        <v>90</v>
      </c>
      <c r="G143" s="207">
        <v>105</v>
      </c>
      <c r="H143" s="161">
        <f>105-90</f>
        <v>15</v>
      </c>
      <c r="I143" s="207">
        <v>300</v>
      </c>
      <c r="J143" s="242">
        <f t="shared" si="24"/>
        <v>4500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>
        <v>44559</v>
      </c>
      <c r="D144" s="161" t="s">
        <v>9</v>
      </c>
      <c r="E144" s="161" t="s">
        <v>3608</v>
      </c>
      <c r="F144" s="207">
        <v>75</v>
      </c>
      <c r="G144" s="207">
        <v>93</v>
      </c>
      <c r="H144" s="161">
        <f>93-75</f>
        <v>18</v>
      </c>
      <c r="I144" s="207">
        <v>300</v>
      </c>
      <c r="J144" s="242">
        <f t="shared" si="24"/>
        <v>5400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23</v>
      </c>
      <c r="C145" s="264">
        <v>44560</v>
      </c>
      <c r="D145" s="265" t="s">
        <v>9</v>
      </c>
      <c r="E145" s="265" t="s">
        <v>3454</v>
      </c>
      <c r="F145" s="266">
        <v>90</v>
      </c>
      <c r="G145" s="266">
        <v>115</v>
      </c>
      <c r="H145" s="265">
        <f>115-90</f>
        <v>25</v>
      </c>
      <c r="I145" s="266">
        <v>300</v>
      </c>
      <c r="J145" s="242">
        <f t="shared" si="24"/>
        <v>7500</v>
      </c>
      <c r="K145" s="153"/>
      <c r="V145" s="25">
        <f t="shared" si="25"/>
        <v>1</v>
      </c>
      <c r="W145" s="25">
        <f t="shared" si="26"/>
        <v>0</v>
      </c>
    </row>
    <row r="146" spans="1:23" ht="15" thickBot="1" x14ac:dyDescent="0.35">
      <c r="A146" s="147"/>
      <c r="B146" s="205">
        <f t="shared" si="27"/>
        <v>24</v>
      </c>
      <c r="C146" s="209">
        <v>44561</v>
      </c>
      <c r="D146" s="166" t="s">
        <v>9</v>
      </c>
      <c r="E146" s="166" t="s">
        <v>3639</v>
      </c>
      <c r="F146" s="210">
        <v>95</v>
      </c>
      <c r="G146" s="210">
        <v>120</v>
      </c>
      <c r="H146" s="166">
        <f>120-95</f>
        <v>25</v>
      </c>
      <c r="I146" s="210">
        <v>300</v>
      </c>
      <c r="J146" s="244">
        <f t="shared" si="24"/>
        <v>7500</v>
      </c>
      <c r="K146" s="153"/>
      <c r="V146" s="25">
        <f t="shared" si="25"/>
        <v>1</v>
      </c>
      <c r="W146" s="25">
        <f t="shared" si="26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216000</v>
      </c>
      <c r="K147" s="153"/>
      <c r="V147" s="25">
        <f>SUM(V123:V146)</f>
        <v>23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3603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44531</v>
      </c>
      <c r="D155" s="185" t="s">
        <v>9</v>
      </c>
      <c r="E155" s="185" t="s">
        <v>301</v>
      </c>
      <c r="F155" s="219">
        <v>36100</v>
      </c>
      <c r="G155" s="231">
        <v>35950</v>
      </c>
      <c r="H155" s="185">
        <v>-150</v>
      </c>
      <c r="I155" s="219">
        <v>50</v>
      </c>
      <c r="J155" s="246">
        <f t="shared" ref="J155:J177" si="28">I155*H155</f>
        <v>-7500</v>
      </c>
      <c r="K155" s="153"/>
      <c r="V155" s="25">
        <f>IF($J155&gt;0,1,0)</f>
        <v>0</v>
      </c>
      <c r="W155" s="25">
        <f>IF($J155&lt;0,1,0)</f>
        <v>1</v>
      </c>
    </row>
    <row r="156" spans="1:23" x14ac:dyDescent="0.3">
      <c r="A156" s="147"/>
      <c r="B156" s="205">
        <f>B155+1</f>
        <v>2</v>
      </c>
      <c r="C156" s="218">
        <v>44532</v>
      </c>
      <c r="D156" s="185" t="s">
        <v>9</v>
      </c>
      <c r="E156" s="185" t="s">
        <v>301</v>
      </c>
      <c r="F156" s="219">
        <v>36450</v>
      </c>
      <c r="G156" s="219">
        <v>36600</v>
      </c>
      <c r="H156" s="185">
        <v>150</v>
      </c>
      <c r="I156" s="219">
        <v>50</v>
      </c>
      <c r="J156" s="242">
        <f t="shared" si="28"/>
        <v>7500</v>
      </c>
      <c r="K156" s="153"/>
      <c r="V156" s="25">
        <f t="shared" ref="V156:V177" si="29">IF($J156&gt;0,1,0)</f>
        <v>1</v>
      </c>
      <c r="W156" s="25">
        <f t="shared" ref="W156:W177" si="30">IF($J156&lt;0,1,0)</f>
        <v>0</v>
      </c>
    </row>
    <row r="157" spans="1:23" x14ac:dyDescent="0.3">
      <c r="A157" s="147"/>
      <c r="B157" s="205">
        <f t="shared" ref="B157:B177" si="31">B156+1</f>
        <v>3</v>
      </c>
      <c r="C157" s="206">
        <v>44533</v>
      </c>
      <c r="D157" s="161" t="s">
        <v>9</v>
      </c>
      <c r="E157" s="161" t="s">
        <v>301</v>
      </c>
      <c r="F157" s="207">
        <v>36750</v>
      </c>
      <c r="G157" s="207">
        <v>36840</v>
      </c>
      <c r="H157" s="161">
        <f>36840-36750</f>
        <v>90</v>
      </c>
      <c r="I157" s="207">
        <v>50</v>
      </c>
      <c r="J157" s="242">
        <f t="shared" si="28"/>
        <v>4500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4</v>
      </c>
      <c r="C158" s="206">
        <v>44536</v>
      </c>
      <c r="D158" s="161" t="s">
        <v>8</v>
      </c>
      <c r="E158" s="161" t="s">
        <v>301</v>
      </c>
      <c r="F158" s="207">
        <v>36400</v>
      </c>
      <c r="G158" s="207">
        <v>36100</v>
      </c>
      <c r="H158" s="161">
        <v>300</v>
      </c>
      <c r="I158" s="207">
        <v>50</v>
      </c>
      <c r="J158" s="242">
        <f t="shared" si="28"/>
        <v>15000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5</v>
      </c>
      <c r="C159" s="206">
        <v>44537</v>
      </c>
      <c r="D159" s="161" t="s">
        <v>9</v>
      </c>
      <c r="E159" s="161" t="s">
        <v>301</v>
      </c>
      <c r="F159" s="207">
        <v>36400</v>
      </c>
      <c r="G159" s="207">
        <v>36700</v>
      </c>
      <c r="H159" s="161">
        <v>300</v>
      </c>
      <c r="I159" s="207">
        <v>50</v>
      </c>
      <c r="J159" s="242">
        <f t="shared" si="28"/>
        <v>15000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6</v>
      </c>
      <c r="C160" s="206">
        <v>44538</v>
      </c>
      <c r="D160" s="161" t="s">
        <v>9</v>
      </c>
      <c r="E160" s="161" t="s">
        <v>301</v>
      </c>
      <c r="F160" s="207">
        <v>37200</v>
      </c>
      <c r="G160" s="207">
        <v>37290</v>
      </c>
      <c r="H160" s="161">
        <v>90</v>
      </c>
      <c r="I160" s="207">
        <v>50</v>
      </c>
      <c r="J160" s="242">
        <f t="shared" si="28"/>
        <v>4500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7</v>
      </c>
      <c r="C161" s="206">
        <v>44539</v>
      </c>
      <c r="D161" s="161" t="s">
        <v>8</v>
      </c>
      <c r="E161" s="161" t="s">
        <v>301</v>
      </c>
      <c r="F161" s="207">
        <v>37200</v>
      </c>
      <c r="G161" s="207">
        <v>37050</v>
      </c>
      <c r="H161" s="161">
        <f>37200-37050</f>
        <v>150</v>
      </c>
      <c r="I161" s="207">
        <v>50</v>
      </c>
      <c r="J161" s="242">
        <f t="shared" si="28"/>
        <v>7500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8</v>
      </c>
      <c r="C162" s="206">
        <v>44540</v>
      </c>
      <c r="D162" s="161" t="s">
        <v>9</v>
      </c>
      <c r="E162" s="161" t="s">
        <v>301</v>
      </c>
      <c r="F162" s="207">
        <v>37100</v>
      </c>
      <c r="G162" s="207">
        <v>37150</v>
      </c>
      <c r="H162" s="161">
        <v>50</v>
      </c>
      <c r="I162" s="207">
        <v>50</v>
      </c>
      <c r="J162" s="242">
        <f t="shared" si="28"/>
        <v>2500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9</v>
      </c>
      <c r="C163" s="206">
        <v>44543</v>
      </c>
      <c r="D163" s="161" t="s">
        <v>8</v>
      </c>
      <c r="E163" s="161" t="s">
        <v>301</v>
      </c>
      <c r="F163" s="207">
        <v>37350</v>
      </c>
      <c r="G163" s="207">
        <v>37050</v>
      </c>
      <c r="H163" s="161">
        <v>300</v>
      </c>
      <c r="I163" s="207">
        <v>50</v>
      </c>
      <c r="J163" s="242">
        <f t="shared" si="28"/>
        <v>15000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10</v>
      </c>
      <c r="C164" s="206">
        <v>44544</v>
      </c>
      <c r="D164" s="161" t="s">
        <v>8</v>
      </c>
      <c r="E164" s="161" t="s">
        <v>301</v>
      </c>
      <c r="F164" s="207">
        <v>36700</v>
      </c>
      <c r="G164" s="207">
        <v>36850</v>
      </c>
      <c r="H164" s="161">
        <v>-150</v>
      </c>
      <c r="I164" s="207">
        <v>50</v>
      </c>
      <c r="J164" s="242">
        <f t="shared" si="28"/>
        <v>-7500</v>
      </c>
      <c r="K164" s="153"/>
      <c r="V164" s="25">
        <f t="shared" si="29"/>
        <v>0</v>
      </c>
      <c r="W164" s="25">
        <f t="shared" si="30"/>
        <v>1</v>
      </c>
    </row>
    <row r="165" spans="1:23" x14ac:dyDescent="0.3">
      <c r="A165" s="147"/>
      <c r="B165" s="205">
        <f t="shared" si="31"/>
        <v>11</v>
      </c>
      <c r="C165" s="206">
        <v>44545</v>
      </c>
      <c r="D165" s="161" t="s">
        <v>8</v>
      </c>
      <c r="E165" s="161" t="s">
        <v>301</v>
      </c>
      <c r="F165" s="207">
        <v>37000</v>
      </c>
      <c r="G165" s="207">
        <v>36930</v>
      </c>
      <c r="H165" s="161">
        <f>37000-36930</f>
        <v>70</v>
      </c>
      <c r="I165" s="207">
        <v>50</v>
      </c>
      <c r="J165" s="242">
        <f t="shared" si="28"/>
        <v>3500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12</v>
      </c>
      <c r="C166" s="206">
        <v>44546</v>
      </c>
      <c r="D166" s="161" t="s">
        <v>8</v>
      </c>
      <c r="E166" s="161" t="s">
        <v>301</v>
      </c>
      <c r="F166" s="207">
        <v>37100</v>
      </c>
      <c r="G166" s="207">
        <v>36800</v>
      </c>
      <c r="H166" s="161">
        <v>300</v>
      </c>
      <c r="I166" s="207">
        <v>50</v>
      </c>
      <c r="J166" s="242">
        <f t="shared" si="28"/>
        <v>15000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13</v>
      </c>
      <c r="C167" s="206">
        <v>44547</v>
      </c>
      <c r="D167" s="161" t="s">
        <v>8</v>
      </c>
      <c r="E167" s="161" t="s">
        <v>301</v>
      </c>
      <c r="F167" s="207">
        <v>36200</v>
      </c>
      <c r="G167" s="207">
        <v>35900</v>
      </c>
      <c r="H167" s="161"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14</v>
      </c>
      <c r="C168" s="206">
        <v>44550</v>
      </c>
      <c r="D168" s="161" t="s">
        <v>8</v>
      </c>
      <c r="E168" s="161" t="s">
        <v>301</v>
      </c>
      <c r="F168" s="207">
        <v>34750</v>
      </c>
      <c r="G168" s="207">
        <v>34450</v>
      </c>
      <c r="H168" s="161">
        <v>300</v>
      </c>
      <c r="I168" s="207">
        <v>50</v>
      </c>
      <c r="J168" s="242">
        <f t="shared" si="28"/>
        <v>15000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15</v>
      </c>
      <c r="C169" s="206">
        <v>44551</v>
      </c>
      <c r="D169" s="161" t="s">
        <v>9</v>
      </c>
      <c r="E169" s="161" t="s">
        <v>301</v>
      </c>
      <c r="F169" s="207">
        <v>34800</v>
      </c>
      <c r="G169" s="207">
        <v>35100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16</v>
      </c>
      <c r="C170" s="206">
        <v>44552</v>
      </c>
      <c r="D170" s="161" t="s">
        <v>9</v>
      </c>
      <c r="E170" s="161" t="s">
        <v>301</v>
      </c>
      <c r="F170" s="207">
        <v>35000</v>
      </c>
      <c r="G170" s="207">
        <v>34850</v>
      </c>
      <c r="H170" s="161">
        <v>-300</v>
      </c>
      <c r="I170" s="207">
        <v>50</v>
      </c>
      <c r="J170" s="242">
        <f t="shared" si="28"/>
        <v>-15000</v>
      </c>
      <c r="K170" s="153"/>
      <c r="V170" s="25">
        <f t="shared" si="29"/>
        <v>0</v>
      </c>
      <c r="W170" s="25">
        <f t="shared" si="30"/>
        <v>1</v>
      </c>
    </row>
    <row r="171" spans="1:23" x14ac:dyDescent="0.3">
      <c r="A171" s="147"/>
      <c r="B171" s="205">
        <f t="shared" si="31"/>
        <v>17</v>
      </c>
      <c r="C171" s="206">
        <v>44553</v>
      </c>
      <c r="D171" s="161" t="s">
        <v>9</v>
      </c>
      <c r="E171" s="161" t="s">
        <v>301</v>
      </c>
      <c r="F171" s="207">
        <v>35250</v>
      </c>
      <c r="G171" s="207">
        <v>35550</v>
      </c>
      <c r="H171" s="161">
        <v>300</v>
      </c>
      <c r="I171" s="207">
        <v>50</v>
      </c>
      <c r="J171" s="242">
        <f t="shared" si="28"/>
        <v>15000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18</v>
      </c>
      <c r="C172" s="206">
        <v>44554</v>
      </c>
      <c r="D172" s="161" t="s">
        <v>8</v>
      </c>
      <c r="E172" s="161" t="s">
        <v>301</v>
      </c>
      <c r="F172" s="207">
        <v>34850</v>
      </c>
      <c r="G172" s="207">
        <v>34640</v>
      </c>
      <c r="H172" s="161">
        <v>210</v>
      </c>
      <c r="I172" s="207">
        <v>50</v>
      </c>
      <c r="J172" s="242">
        <f t="shared" si="28"/>
        <v>10500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19</v>
      </c>
      <c r="C173" s="206">
        <v>44557</v>
      </c>
      <c r="D173" s="161" t="s">
        <v>9</v>
      </c>
      <c r="E173" s="161" t="s">
        <v>301</v>
      </c>
      <c r="F173" s="207">
        <v>34700</v>
      </c>
      <c r="G173" s="207">
        <v>35000</v>
      </c>
      <c r="H173" s="161">
        <v>300</v>
      </c>
      <c r="I173" s="207">
        <v>50</v>
      </c>
      <c r="J173" s="242">
        <f t="shared" si="28"/>
        <v>15000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20</v>
      </c>
      <c r="C174" s="206">
        <v>44558</v>
      </c>
      <c r="D174" s="161" t="s">
        <v>9</v>
      </c>
      <c r="E174" s="161" t="s">
        <v>301</v>
      </c>
      <c r="F174" s="207">
        <v>35200</v>
      </c>
      <c r="G174" s="207">
        <v>35330</v>
      </c>
      <c r="H174" s="161">
        <v>130</v>
      </c>
      <c r="I174" s="207">
        <v>50</v>
      </c>
      <c r="J174" s="242">
        <f t="shared" si="28"/>
        <v>6500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21</v>
      </c>
      <c r="C175" s="206">
        <v>44559</v>
      </c>
      <c r="D175" s="161" t="s">
        <v>9</v>
      </c>
      <c r="E175" s="161" t="s">
        <v>301</v>
      </c>
      <c r="F175" s="207">
        <v>35200</v>
      </c>
      <c r="G175" s="207">
        <v>35250</v>
      </c>
      <c r="H175" s="161">
        <v>50</v>
      </c>
      <c r="I175" s="207">
        <v>50</v>
      </c>
      <c r="J175" s="242">
        <f t="shared" si="28"/>
        <v>2500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22</v>
      </c>
      <c r="C176" s="206">
        <v>44560</v>
      </c>
      <c r="D176" s="161" t="s">
        <v>9</v>
      </c>
      <c r="E176" s="161" t="s">
        <v>301</v>
      </c>
      <c r="F176" s="207">
        <v>35000</v>
      </c>
      <c r="G176" s="207">
        <v>35060</v>
      </c>
      <c r="H176" s="161">
        <v>60</v>
      </c>
      <c r="I176" s="207">
        <v>50</v>
      </c>
      <c r="J176" s="242">
        <f t="shared" si="28"/>
        <v>3000</v>
      </c>
      <c r="K176" s="153"/>
      <c r="V176" s="25">
        <f t="shared" si="29"/>
        <v>1</v>
      </c>
      <c r="W176" s="25">
        <f t="shared" si="30"/>
        <v>0</v>
      </c>
    </row>
    <row r="177" spans="1:23" ht="15" thickBot="1" x14ac:dyDescent="0.35">
      <c r="A177" s="147"/>
      <c r="B177" s="208">
        <f t="shared" si="31"/>
        <v>23</v>
      </c>
      <c r="C177" s="209">
        <v>44561</v>
      </c>
      <c r="D177" s="166" t="s">
        <v>9</v>
      </c>
      <c r="E177" s="166" t="s">
        <v>301</v>
      </c>
      <c r="F177" s="210">
        <v>35650</v>
      </c>
      <c r="G177" s="210">
        <v>35710</v>
      </c>
      <c r="H177" s="166">
        <f>35710-35650</f>
        <v>60</v>
      </c>
      <c r="I177" s="210">
        <v>50</v>
      </c>
      <c r="J177" s="244">
        <f t="shared" si="28"/>
        <v>3000</v>
      </c>
      <c r="K177" s="153"/>
      <c r="V177" s="25">
        <f t="shared" si="29"/>
        <v>1</v>
      </c>
      <c r="W177" s="25">
        <f t="shared" si="30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160500</v>
      </c>
      <c r="K178" s="153"/>
      <c r="V178" s="25">
        <f>SUM(V155:V177)</f>
        <v>20</v>
      </c>
      <c r="W178" s="25">
        <f>SUM(W155:W177)</f>
        <v>3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3605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44531</v>
      </c>
      <c r="D186" s="185" t="s">
        <v>9</v>
      </c>
      <c r="E186" s="185" t="s">
        <v>3271</v>
      </c>
      <c r="F186" s="219">
        <v>270</v>
      </c>
      <c r="G186" s="219">
        <v>470</v>
      </c>
      <c r="H186" s="185">
        <v>200</v>
      </c>
      <c r="I186" s="219">
        <v>100</v>
      </c>
      <c r="J186" s="246">
        <f t="shared" ref="J186:J208" si="32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44532</v>
      </c>
      <c r="D187" s="185" t="s">
        <v>9</v>
      </c>
      <c r="E187" s="185" t="s">
        <v>3278</v>
      </c>
      <c r="F187" s="219">
        <v>150</v>
      </c>
      <c r="G187" s="219">
        <v>200</v>
      </c>
      <c r="H187" s="185">
        <v>50</v>
      </c>
      <c r="I187" s="219">
        <v>100</v>
      </c>
      <c r="J187" s="242">
        <f t="shared" si="32"/>
        <v>5000</v>
      </c>
      <c r="K187" s="153"/>
      <c r="V187" s="25">
        <f t="shared" ref="V187:V208" si="33">IF($J187&gt;0,1,0)</f>
        <v>1</v>
      </c>
      <c r="W187" s="25">
        <f t="shared" ref="W187:W208" si="34">IF($J187&lt;0,1,0)</f>
        <v>0</v>
      </c>
    </row>
    <row r="188" spans="1:23" x14ac:dyDescent="0.3">
      <c r="A188" s="147"/>
      <c r="B188" s="205">
        <f t="shared" ref="B188:B208" si="35">B187+1</f>
        <v>3</v>
      </c>
      <c r="C188" s="206">
        <v>44533</v>
      </c>
      <c r="D188" s="161" t="s">
        <v>9</v>
      </c>
      <c r="E188" s="161" t="s">
        <v>3472</v>
      </c>
      <c r="F188" s="207">
        <v>350</v>
      </c>
      <c r="G188" s="207">
        <v>420</v>
      </c>
      <c r="H188" s="161">
        <f>420-350</f>
        <v>70</v>
      </c>
      <c r="I188" s="207">
        <v>100</v>
      </c>
      <c r="J188" s="242">
        <f t="shared" si="32"/>
        <v>7000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4</v>
      </c>
      <c r="C189" s="206">
        <v>44536</v>
      </c>
      <c r="D189" s="161" t="s">
        <v>9</v>
      </c>
      <c r="E189" s="161" t="s">
        <v>3611</v>
      </c>
      <c r="F189" s="207">
        <v>400</v>
      </c>
      <c r="G189" s="207">
        <v>600</v>
      </c>
      <c r="H189" s="161">
        <v>200</v>
      </c>
      <c r="I189" s="207">
        <v>100</v>
      </c>
      <c r="J189" s="242">
        <f t="shared" si="32"/>
        <v>20000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5</v>
      </c>
      <c r="C190" s="206">
        <v>44537</v>
      </c>
      <c r="D190" s="161" t="s">
        <v>9</v>
      </c>
      <c r="E190" s="161" t="s">
        <v>3278</v>
      </c>
      <c r="F190" s="207">
        <v>270</v>
      </c>
      <c r="G190" s="207">
        <v>470</v>
      </c>
      <c r="H190" s="161">
        <v>200</v>
      </c>
      <c r="I190" s="207">
        <v>100</v>
      </c>
      <c r="J190" s="242">
        <f t="shared" si="32"/>
        <v>20000</v>
      </c>
      <c r="K190" s="153"/>
      <c r="O190" s="25" t="s">
        <v>2008</v>
      </c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6</v>
      </c>
      <c r="C191" s="206">
        <v>44538</v>
      </c>
      <c r="D191" s="161" t="s">
        <v>9</v>
      </c>
      <c r="E191" s="161" t="s">
        <v>3461</v>
      </c>
      <c r="F191" s="207">
        <v>200</v>
      </c>
      <c r="G191" s="207">
        <v>300</v>
      </c>
      <c r="H191" s="161">
        <v>100</v>
      </c>
      <c r="I191" s="207">
        <v>100</v>
      </c>
      <c r="J191" s="242">
        <f t="shared" si="32"/>
        <v>10000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7</v>
      </c>
      <c r="C192" s="206">
        <v>44539</v>
      </c>
      <c r="D192" s="161" t="s">
        <v>9</v>
      </c>
      <c r="E192" s="161" t="s">
        <v>3592</v>
      </c>
      <c r="F192" s="207">
        <v>200</v>
      </c>
      <c r="G192" s="207">
        <v>335</v>
      </c>
      <c r="H192" s="161">
        <f>335-200</f>
        <v>135</v>
      </c>
      <c r="I192" s="207">
        <v>100</v>
      </c>
      <c r="J192" s="242">
        <f t="shared" si="32"/>
        <v>13500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8</v>
      </c>
      <c r="C193" s="206">
        <v>44540</v>
      </c>
      <c r="D193" s="161" t="s">
        <v>9</v>
      </c>
      <c r="E193" s="161" t="s">
        <v>3242</v>
      </c>
      <c r="F193" s="207">
        <v>330</v>
      </c>
      <c r="G193" s="207">
        <v>387</v>
      </c>
      <c r="H193" s="161">
        <f>387-330</f>
        <v>57</v>
      </c>
      <c r="I193" s="207">
        <v>100</v>
      </c>
      <c r="J193" s="242">
        <f t="shared" si="32"/>
        <v>5700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9</v>
      </c>
      <c r="C194" s="206">
        <v>44543</v>
      </c>
      <c r="D194" s="161" t="s">
        <v>9</v>
      </c>
      <c r="E194" s="161" t="s">
        <v>3619</v>
      </c>
      <c r="F194" s="207">
        <v>350</v>
      </c>
      <c r="G194" s="207">
        <v>490</v>
      </c>
      <c r="H194" s="161">
        <f>490-350</f>
        <v>140</v>
      </c>
      <c r="I194" s="207">
        <v>100</v>
      </c>
      <c r="J194" s="242">
        <f t="shared" si="32"/>
        <v>14000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10</v>
      </c>
      <c r="C195" s="206">
        <v>44544</v>
      </c>
      <c r="D195" s="161" t="s">
        <v>9</v>
      </c>
      <c r="E195" s="161" t="s">
        <v>3466</v>
      </c>
      <c r="F195" s="207">
        <v>320</v>
      </c>
      <c r="G195" s="207">
        <v>355</v>
      </c>
      <c r="H195" s="161">
        <f>355-320</f>
        <v>35</v>
      </c>
      <c r="I195" s="207">
        <v>100</v>
      </c>
      <c r="J195" s="242">
        <f t="shared" si="32"/>
        <v>3500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11</v>
      </c>
      <c r="C196" s="206">
        <v>44545</v>
      </c>
      <c r="D196" s="161" t="s">
        <v>9</v>
      </c>
      <c r="E196" s="161" t="s">
        <v>3493</v>
      </c>
      <c r="F196" s="207">
        <v>300</v>
      </c>
      <c r="G196" s="207">
        <v>340</v>
      </c>
      <c r="H196" s="161">
        <v>40</v>
      </c>
      <c r="I196" s="207">
        <v>100</v>
      </c>
      <c r="J196" s="242">
        <f t="shared" si="32"/>
        <v>4000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12</v>
      </c>
      <c r="C197" s="206">
        <v>44546</v>
      </c>
      <c r="D197" s="161" t="s">
        <v>9</v>
      </c>
      <c r="E197" s="161" t="s">
        <v>3493</v>
      </c>
      <c r="F197" s="207">
        <v>200</v>
      </c>
      <c r="G197" s="207">
        <v>400</v>
      </c>
      <c r="H197" s="161">
        <v>200</v>
      </c>
      <c r="I197" s="207">
        <v>100</v>
      </c>
      <c r="J197" s="242">
        <f t="shared" si="32"/>
        <v>20000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13</v>
      </c>
      <c r="C198" s="206">
        <v>44547</v>
      </c>
      <c r="D198" s="161" t="s">
        <v>9</v>
      </c>
      <c r="E198" s="161" t="s">
        <v>3424</v>
      </c>
      <c r="F198" s="207">
        <v>420</v>
      </c>
      <c r="G198" s="207">
        <v>620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14</v>
      </c>
      <c r="C199" s="206">
        <v>44550</v>
      </c>
      <c r="D199" s="161" t="s">
        <v>9</v>
      </c>
      <c r="E199" s="161" t="s">
        <v>3358</v>
      </c>
      <c r="F199" s="207">
        <v>420</v>
      </c>
      <c r="G199" s="207">
        <v>620</v>
      </c>
      <c r="H199" s="161">
        <v>200</v>
      </c>
      <c r="I199" s="207">
        <v>100</v>
      </c>
      <c r="J199" s="242">
        <f t="shared" si="32"/>
        <v>20000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15</v>
      </c>
      <c r="C200" s="206">
        <v>44551</v>
      </c>
      <c r="D200" s="161" t="s">
        <v>9</v>
      </c>
      <c r="E200" s="161" t="s">
        <v>3415</v>
      </c>
      <c r="F200" s="207">
        <v>270</v>
      </c>
      <c r="G200" s="207">
        <v>370</v>
      </c>
      <c r="H200" s="161">
        <v>100</v>
      </c>
      <c r="I200" s="207">
        <v>100</v>
      </c>
      <c r="J200" s="242">
        <f t="shared" si="32"/>
        <v>10000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16</v>
      </c>
      <c r="C201" s="206">
        <v>44552</v>
      </c>
      <c r="D201" s="161" t="s">
        <v>9</v>
      </c>
      <c r="E201" s="161" t="s">
        <v>3221</v>
      </c>
      <c r="F201" s="207">
        <v>190</v>
      </c>
      <c r="G201" s="207">
        <v>90</v>
      </c>
      <c r="H201" s="161">
        <v>-100</v>
      </c>
      <c r="I201" s="207">
        <v>100</v>
      </c>
      <c r="J201" s="242">
        <f t="shared" si="32"/>
        <v>-10000</v>
      </c>
      <c r="K201" s="153"/>
      <c r="V201" s="25">
        <f t="shared" si="33"/>
        <v>0</v>
      </c>
      <c r="W201" s="25">
        <f t="shared" si="34"/>
        <v>1</v>
      </c>
    </row>
    <row r="202" spans="1:23" x14ac:dyDescent="0.3">
      <c r="A202" s="147"/>
      <c r="B202" s="205">
        <f t="shared" si="35"/>
        <v>17</v>
      </c>
      <c r="C202" s="206">
        <v>44553</v>
      </c>
      <c r="D202" s="161" t="s">
        <v>9</v>
      </c>
      <c r="E202" s="161" t="s">
        <v>3386</v>
      </c>
      <c r="F202" s="207">
        <v>150</v>
      </c>
      <c r="G202" s="207">
        <v>350</v>
      </c>
      <c r="H202" s="161">
        <v>200</v>
      </c>
      <c r="I202" s="207">
        <v>100</v>
      </c>
      <c r="J202" s="242">
        <f t="shared" si="32"/>
        <v>20000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18</v>
      </c>
      <c r="C203" s="206">
        <v>44554</v>
      </c>
      <c r="D203" s="161" t="s">
        <v>9</v>
      </c>
      <c r="E203" s="161" t="s">
        <v>3279</v>
      </c>
      <c r="F203" s="207">
        <v>400</v>
      </c>
      <c r="G203" s="207">
        <v>495</v>
      </c>
      <c r="H203" s="161">
        <v>95</v>
      </c>
      <c r="I203" s="207">
        <v>100</v>
      </c>
      <c r="J203" s="242">
        <f t="shared" si="32"/>
        <v>9500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19</v>
      </c>
      <c r="C204" s="206">
        <v>44557</v>
      </c>
      <c r="D204" s="161" t="s">
        <v>9</v>
      </c>
      <c r="E204" s="161" t="s">
        <v>3284</v>
      </c>
      <c r="F204" s="207">
        <v>300</v>
      </c>
      <c r="G204" s="207">
        <v>500</v>
      </c>
      <c r="H204" s="161">
        <v>200</v>
      </c>
      <c r="I204" s="207">
        <v>100</v>
      </c>
      <c r="J204" s="242">
        <f t="shared" si="32"/>
        <v>20000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20</v>
      </c>
      <c r="C205" s="206">
        <v>44558</v>
      </c>
      <c r="D205" s="161" t="s">
        <v>9</v>
      </c>
      <c r="E205" s="161" t="s">
        <v>3254</v>
      </c>
      <c r="F205" s="207">
        <v>310</v>
      </c>
      <c r="G205" s="207">
        <v>350</v>
      </c>
      <c r="H205" s="161">
        <v>40</v>
      </c>
      <c r="I205" s="207">
        <v>100</v>
      </c>
      <c r="J205" s="242">
        <f t="shared" si="32"/>
        <v>4000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21</v>
      </c>
      <c r="C206" s="206">
        <v>44559</v>
      </c>
      <c r="D206" s="161" t="s">
        <v>9</v>
      </c>
      <c r="E206" s="161" t="s">
        <v>3254</v>
      </c>
      <c r="F206" s="207">
        <v>200</v>
      </c>
      <c r="G206" s="207">
        <v>235</v>
      </c>
      <c r="H206" s="161">
        <v>35</v>
      </c>
      <c r="I206" s="207">
        <v>100</v>
      </c>
      <c r="J206" s="242">
        <f t="shared" si="32"/>
        <v>3500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22</v>
      </c>
      <c r="C207" s="206">
        <v>44560</v>
      </c>
      <c r="D207" s="161" t="s">
        <v>9</v>
      </c>
      <c r="E207" s="161" t="s">
        <v>3415</v>
      </c>
      <c r="F207" s="207">
        <v>200</v>
      </c>
      <c r="G207" s="207">
        <v>100</v>
      </c>
      <c r="H207" s="161">
        <v>-100</v>
      </c>
      <c r="I207" s="207">
        <v>100</v>
      </c>
      <c r="J207" s="242">
        <f t="shared" si="32"/>
        <v>-10000</v>
      </c>
      <c r="K207" s="153"/>
      <c r="V207" s="25">
        <f t="shared" si="33"/>
        <v>0</v>
      </c>
      <c r="W207" s="25">
        <f t="shared" si="34"/>
        <v>1</v>
      </c>
    </row>
    <row r="208" spans="1:23" ht="15" thickBot="1" x14ac:dyDescent="0.35">
      <c r="A208" s="147"/>
      <c r="B208" s="208">
        <f t="shared" si="35"/>
        <v>23</v>
      </c>
      <c r="C208" s="209">
        <v>44561</v>
      </c>
      <c r="D208" s="166" t="s">
        <v>9</v>
      </c>
      <c r="E208" s="166" t="s">
        <v>3640</v>
      </c>
      <c r="F208" s="210">
        <v>320</v>
      </c>
      <c r="G208" s="210">
        <v>280</v>
      </c>
      <c r="H208" s="166">
        <v>-40</v>
      </c>
      <c r="I208" s="210">
        <v>100</v>
      </c>
      <c r="J208" s="244">
        <f t="shared" si="32"/>
        <v>-4000</v>
      </c>
      <c r="K208" s="153"/>
      <c r="V208" s="25">
        <f t="shared" si="33"/>
        <v>0</v>
      </c>
      <c r="W208" s="25">
        <f t="shared" si="34"/>
        <v>1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225700</v>
      </c>
      <c r="K209" s="153"/>
      <c r="V209" s="25">
        <f>SUM(V186:V208)</f>
        <v>20</v>
      </c>
      <c r="W209" s="25">
        <f>SUM(W186:W208)</f>
        <v>3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3603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44531</v>
      </c>
      <c r="D217" s="185" t="s">
        <v>9</v>
      </c>
      <c r="E217" s="185" t="s">
        <v>3606</v>
      </c>
      <c r="F217" s="231">
        <v>31</v>
      </c>
      <c r="G217" s="231">
        <v>37</v>
      </c>
      <c r="H217" s="231">
        <v>6</v>
      </c>
      <c r="I217" s="219">
        <v>500</v>
      </c>
      <c r="J217" s="246">
        <f t="shared" ref="J217:J240" si="36"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44532</v>
      </c>
      <c r="D218" s="185" t="s">
        <v>9</v>
      </c>
      <c r="E218" s="185" t="s">
        <v>3607</v>
      </c>
      <c r="F218" s="231">
        <v>140</v>
      </c>
      <c r="G218" s="231">
        <v>153</v>
      </c>
      <c r="H218" s="231">
        <v>13</v>
      </c>
      <c r="I218" s="219">
        <v>250</v>
      </c>
      <c r="J218" s="242">
        <f>I218*H218</f>
        <v>3250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7">B218+1</f>
        <v>3</v>
      </c>
      <c r="C219" s="206">
        <v>44533</v>
      </c>
      <c r="D219" s="161" t="s">
        <v>9</v>
      </c>
      <c r="E219" s="161" t="s">
        <v>3612</v>
      </c>
      <c r="F219" s="222">
        <v>60</v>
      </c>
      <c r="G219" s="222">
        <v>80</v>
      </c>
      <c r="H219" s="222">
        <v>20</v>
      </c>
      <c r="I219" s="207">
        <v>250</v>
      </c>
      <c r="J219" s="242">
        <f t="shared" si="36"/>
        <v>5000</v>
      </c>
      <c r="K219" s="153"/>
      <c r="V219" s="25">
        <f t="shared" ref="V219:V240" si="38">IF($J219&gt;0,1,0)</f>
        <v>1</v>
      </c>
      <c r="W219" s="25">
        <f t="shared" ref="W219:W240" si="39">IF($J219&lt;0,1,0)</f>
        <v>0</v>
      </c>
    </row>
    <row r="220" spans="1:23" x14ac:dyDescent="0.3">
      <c r="A220" s="147"/>
      <c r="B220" s="205">
        <f t="shared" si="37"/>
        <v>4</v>
      </c>
      <c r="C220" s="206">
        <v>44536</v>
      </c>
      <c r="D220" s="161" t="s">
        <v>9</v>
      </c>
      <c r="E220" s="161" t="s">
        <v>3613</v>
      </c>
      <c r="F220" s="222">
        <v>37</v>
      </c>
      <c r="G220" s="222">
        <v>48.4</v>
      </c>
      <c r="H220" s="222">
        <f>48.4-37</f>
        <v>11.399999999999999</v>
      </c>
      <c r="I220" s="207">
        <v>900</v>
      </c>
      <c r="J220" s="242">
        <f t="shared" si="36"/>
        <v>10259.999999999998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5</v>
      </c>
      <c r="C221" s="206">
        <v>44537</v>
      </c>
      <c r="D221" s="161" t="s">
        <v>9</v>
      </c>
      <c r="E221" s="161" t="s">
        <v>3614</v>
      </c>
      <c r="F221" s="222">
        <v>210</v>
      </c>
      <c r="G221" s="222">
        <v>160</v>
      </c>
      <c r="H221" s="222">
        <v>-50</v>
      </c>
      <c r="I221" s="207">
        <v>125</v>
      </c>
      <c r="J221" s="242">
        <f t="shared" si="36"/>
        <v>-6250</v>
      </c>
      <c r="K221" s="153"/>
      <c r="V221" s="25">
        <f t="shared" si="38"/>
        <v>0</v>
      </c>
      <c r="W221" s="25">
        <f t="shared" si="39"/>
        <v>1</v>
      </c>
    </row>
    <row r="222" spans="1:23" x14ac:dyDescent="0.3">
      <c r="A222" s="147"/>
      <c r="B222" s="205">
        <f t="shared" si="37"/>
        <v>6</v>
      </c>
      <c r="C222" s="206">
        <v>44537</v>
      </c>
      <c r="D222" s="161" t="s">
        <v>9</v>
      </c>
      <c r="E222" s="161" t="s">
        <v>3615</v>
      </c>
      <c r="F222" s="222">
        <v>28</v>
      </c>
      <c r="G222" s="222">
        <v>28.4</v>
      </c>
      <c r="H222" s="222">
        <v>0.4</v>
      </c>
      <c r="I222" s="207">
        <v>1250</v>
      </c>
      <c r="J222" s="242">
        <f t="shared" si="36"/>
        <v>500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7</v>
      </c>
      <c r="C223" s="206">
        <v>44538</v>
      </c>
      <c r="D223" s="161" t="s">
        <v>9</v>
      </c>
      <c r="E223" s="161" t="s">
        <v>3616</v>
      </c>
      <c r="F223" s="222">
        <v>66</v>
      </c>
      <c r="G223" s="222">
        <v>76</v>
      </c>
      <c r="H223" s="222">
        <v>10</v>
      </c>
      <c r="I223" s="207">
        <v>350</v>
      </c>
      <c r="J223" s="242">
        <f t="shared" si="36"/>
        <v>3500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8</v>
      </c>
      <c r="C224" s="206">
        <v>44539</v>
      </c>
      <c r="D224" s="161" t="s">
        <v>9</v>
      </c>
      <c r="E224" s="161" t="s">
        <v>3617</v>
      </c>
      <c r="F224" s="222">
        <v>31</v>
      </c>
      <c r="G224" s="222">
        <v>35.700000000000003</v>
      </c>
      <c r="H224" s="222">
        <v>4.7</v>
      </c>
      <c r="I224" s="207">
        <v>500</v>
      </c>
      <c r="J224" s="242">
        <f t="shared" si="36"/>
        <v>2350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9</v>
      </c>
      <c r="C225" s="206">
        <v>44540</v>
      </c>
      <c r="D225" s="161" t="s">
        <v>9</v>
      </c>
      <c r="E225" s="161" t="s">
        <v>3618</v>
      </c>
      <c r="F225" s="222">
        <v>75</v>
      </c>
      <c r="G225" s="222">
        <v>95</v>
      </c>
      <c r="H225" s="255">
        <v>20</v>
      </c>
      <c r="I225" s="207">
        <v>150</v>
      </c>
      <c r="J225" s="242">
        <f t="shared" si="36"/>
        <v>3000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10</v>
      </c>
      <c r="C226" s="206">
        <v>44543</v>
      </c>
      <c r="D226" s="161" t="s">
        <v>9</v>
      </c>
      <c r="E226" s="161" t="s">
        <v>3620</v>
      </c>
      <c r="F226" s="222">
        <v>150</v>
      </c>
      <c r="G226" s="222">
        <v>210</v>
      </c>
      <c r="H226" s="255">
        <f>210-150</f>
        <v>60</v>
      </c>
      <c r="I226" s="207">
        <v>125</v>
      </c>
      <c r="J226" s="242">
        <f t="shared" si="36"/>
        <v>7500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11</v>
      </c>
      <c r="C227" s="206">
        <v>44544</v>
      </c>
      <c r="D227" s="161" t="s">
        <v>9</v>
      </c>
      <c r="E227" s="161" t="s">
        <v>3621</v>
      </c>
      <c r="F227" s="222">
        <v>19</v>
      </c>
      <c r="G227" s="222">
        <v>22.5</v>
      </c>
      <c r="H227" s="255">
        <v>3.5</v>
      </c>
      <c r="I227" s="207">
        <v>1250</v>
      </c>
      <c r="J227" s="242">
        <f t="shared" si="36"/>
        <v>4375</v>
      </c>
      <c r="K227" s="153"/>
      <c r="V227" s="25">
        <f t="shared" si="38"/>
        <v>1</v>
      </c>
      <c r="W227" s="25">
        <f t="shared" si="39"/>
        <v>0</v>
      </c>
    </row>
    <row r="228" spans="1:23" x14ac:dyDescent="0.3">
      <c r="A228" s="147"/>
      <c r="B228" s="205">
        <f t="shared" si="37"/>
        <v>12</v>
      </c>
      <c r="C228" s="206">
        <v>44545</v>
      </c>
      <c r="D228" s="161" t="s">
        <v>9</v>
      </c>
      <c r="E228" s="161" t="s">
        <v>3624</v>
      </c>
      <c r="F228" s="222">
        <v>50</v>
      </c>
      <c r="G228" s="222">
        <v>59</v>
      </c>
      <c r="H228" s="255">
        <v>9</v>
      </c>
      <c r="I228" s="207">
        <v>300</v>
      </c>
      <c r="J228" s="242">
        <f t="shared" si="36"/>
        <v>2700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13</v>
      </c>
      <c r="C229" s="206">
        <v>44546</v>
      </c>
      <c r="D229" s="161" t="s">
        <v>9</v>
      </c>
      <c r="E229" s="161" t="s">
        <v>3625</v>
      </c>
      <c r="F229" s="222">
        <v>65</v>
      </c>
      <c r="G229" s="222">
        <v>80</v>
      </c>
      <c r="H229" s="255">
        <f>80-65</f>
        <v>15</v>
      </c>
      <c r="I229" s="207">
        <v>350</v>
      </c>
      <c r="J229" s="242">
        <f t="shared" si="36"/>
        <v>5250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14</v>
      </c>
      <c r="C230" s="206">
        <v>44547</v>
      </c>
      <c r="D230" s="161" t="s">
        <v>9</v>
      </c>
      <c r="E230" s="161" t="s">
        <v>3626</v>
      </c>
      <c r="F230" s="222">
        <v>6.5</v>
      </c>
      <c r="G230" s="222">
        <v>7.8</v>
      </c>
      <c r="H230" s="255">
        <f>7.8-6.5</f>
        <v>1.2999999999999998</v>
      </c>
      <c r="I230" s="207">
        <v>3500</v>
      </c>
      <c r="J230" s="242">
        <f>I230*H230</f>
        <v>4549.9999999999991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15</v>
      </c>
      <c r="C231" s="206">
        <v>44550</v>
      </c>
      <c r="D231" s="161" t="s">
        <v>9</v>
      </c>
      <c r="E231" s="161" t="s">
        <v>3627</v>
      </c>
      <c r="F231" s="222">
        <v>80</v>
      </c>
      <c r="G231" s="222">
        <v>112</v>
      </c>
      <c r="H231" s="255">
        <f>112-80</f>
        <v>32</v>
      </c>
      <c r="I231" s="207">
        <v>125</v>
      </c>
      <c r="J231" s="242">
        <f t="shared" si="36"/>
        <v>4000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16</v>
      </c>
      <c r="C232" s="206">
        <v>44551</v>
      </c>
      <c r="D232" s="161" t="s">
        <v>9</v>
      </c>
      <c r="E232" s="161" t="s">
        <v>3572</v>
      </c>
      <c r="F232" s="222">
        <v>160</v>
      </c>
      <c r="G232" s="222">
        <v>184</v>
      </c>
      <c r="H232" s="222">
        <f>184-160</f>
        <v>24</v>
      </c>
      <c r="I232" s="207">
        <v>125</v>
      </c>
      <c r="J232" s="242">
        <f t="shared" si="36"/>
        <v>3000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17</v>
      </c>
      <c r="C233" s="206">
        <v>44552</v>
      </c>
      <c r="D233" s="161" t="s">
        <v>9</v>
      </c>
      <c r="E233" s="161" t="s">
        <v>3391</v>
      </c>
      <c r="F233" s="222">
        <v>130</v>
      </c>
      <c r="G233" s="222">
        <v>141</v>
      </c>
      <c r="H233" s="222">
        <v>11</v>
      </c>
      <c r="I233" s="207">
        <v>100</v>
      </c>
      <c r="J233" s="242">
        <f t="shared" si="36"/>
        <v>1100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18</v>
      </c>
      <c r="C234" s="206">
        <v>44553</v>
      </c>
      <c r="D234" s="161" t="s">
        <v>9</v>
      </c>
      <c r="E234" s="161" t="s">
        <v>3636</v>
      </c>
      <c r="F234" s="222">
        <v>43</v>
      </c>
      <c r="G234" s="222">
        <v>47</v>
      </c>
      <c r="H234" s="222">
        <v>4</v>
      </c>
      <c r="I234" s="207">
        <v>300</v>
      </c>
      <c r="J234" s="242">
        <f t="shared" si="36"/>
        <v>1200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19</v>
      </c>
      <c r="C235" s="206">
        <v>44554</v>
      </c>
      <c r="D235" s="161" t="s">
        <v>9</v>
      </c>
      <c r="E235" s="161" t="s">
        <v>3637</v>
      </c>
      <c r="F235" s="222">
        <v>3.2</v>
      </c>
      <c r="G235" s="222">
        <v>4.0999999999999996</v>
      </c>
      <c r="H235" s="222">
        <f>4.1-3.2</f>
        <v>0.89999999999999947</v>
      </c>
      <c r="I235" s="207">
        <v>300</v>
      </c>
      <c r="J235" s="242">
        <f t="shared" si="36"/>
        <v>269.99999999999983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20</v>
      </c>
      <c r="C236" s="206">
        <v>44557</v>
      </c>
      <c r="D236" s="161" t="s">
        <v>9</v>
      </c>
      <c r="E236" s="161" t="s">
        <v>3586</v>
      </c>
      <c r="F236" s="222">
        <v>110</v>
      </c>
      <c r="G236" s="222">
        <v>122</v>
      </c>
      <c r="H236" s="222">
        <f>122-110</f>
        <v>12</v>
      </c>
      <c r="I236" s="207">
        <v>125</v>
      </c>
      <c r="J236" s="242">
        <f t="shared" si="36"/>
        <v>1500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21</v>
      </c>
      <c r="C237" s="206">
        <v>44558</v>
      </c>
      <c r="D237" s="161" t="s">
        <v>9</v>
      </c>
      <c r="E237" s="161" t="s">
        <v>3638</v>
      </c>
      <c r="F237" s="222">
        <v>8.5</v>
      </c>
      <c r="G237" s="222">
        <v>10.199999999999999</v>
      </c>
      <c r="H237" s="222">
        <f>10.2-8.5</f>
        <v>1.6999999999999993</v>
      </c>
      <c r="I237" s="207">
        <v>1375</v>
      </c>
      <c r="J237" s="242">
        <f t="shared" si="36"/>
        <v>2337.4999999999991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22</v>
      </c>
      <c r="C238" s="206">
        <v>44559</v>
      </c>
      <c r="D238" s="161" t="s">
        <v>9</v>
      </c>
      <c r="E238" s="161" t="s">
        <v>3641</v>
      </c>
      <c r="F238" s="222">
        <v>23</v>
      </c>
      <c r="G238" s="222">
        <v>27.5</v>
      </c>
      <c r="H238" s="222">
        <v>4.5</v>
      </c>
      <c r="I238" s="207">
        <v>150</v>
      </c>
      <c r="J238" s="242">
        <f t="shared" si="36"/>
        <v>675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23</v>
      </c>
      <c r="C239" s="206">
        <v>44560</v>
      </c>
      <c r="D239" s="161" t="s">
        <v>9</v>
      </c>
      <c r="E239" s="161" t="s">
        <v>3642</v>
      </c>
      <c r="F239" s="222">
        <v>7</v>
      </c>
      <c r="G239" s="222">
        <v>12</v>
      </c>
      <c r="H239" s="222">
        <v>5</v>
      </c>
      <c r="I239" s="207">
        <v>350</v>
      </c>
      <c r="J239" s="242">
        <f t="shared" si="36"/>
        <v>1750</v>
      </c>
      <c r="K239" s="153"/>
      <c r="V239" s="25">
        <f t="shared" si="38"/>
        <v>1</v>
      </c>
      <c r="W239" s="25">
        <f t="shared" si="39"/>
        <v>0</v>
      </c>
    </row>
    <row r="240" spans="1:23" ht="15" thickBot="1" x14ac:dyDescent="0.35">
      <c r="A240" s="147"/>
      <c r="B240" s="208">
        <f t="shared" si="37"/>
        <v>24</v>
      </c>
      <c r="C240" s="209">
        <v>44561</v>
      </c>
      <c r="D240" s="166" t="s">
        <v>9</v>
      </c>
      <c r="E240" s="166" t="s">
        <v>3643</v>
      </c>
      <c r="F240" s="222">
        <v>62</v>
      </c>
      <c r="G240" s="222">
        <v>92</v>
      </c>
      <c r="H240" s="166">
        <v>30</v>
      </c>
      <c r="I240" s="210">
        <v>250</v>
      </c>
      <c r="J240" s="244">
        <f t="shared" si="36"/>
        <v>7500</v>
      </c>
      <c r="K240" s="153"/>
      <c r="V240" s="25">
        <f t="shared" si="38"/>
        <v>1</v>
      </c>
      <c r="W240" s="25">
        <f t="shared" si="39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72317.5</v>
      </c>
      <c r="K241" s="153"/>
      <c r="V241" s="25">
        <f>SUM(V217:V240)</f>
        <v>23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800-000000000000}"/>
    <hyperlink ref="B115" r:id="rId2" xr:uid="{00000000-0004-0000-6800-000001000000}"/>
    <hyperlink ref="B147" r:id="rId3" xr:uid="{00000000-0004-0000-6800-000002000000}"/>
    <hyperlink ref="B178" r:id="rId4" xr:uid="{00000000-0004-0000-6800-000003000000}"/>
    <hyperlink ref="B209" r:id="rId5" xr:uid="{00000000-0004-0000-6800-000004000000}"/>
    <hyperlink ref="B241" r:id="rId6" xr:uid="{00000000-0004-0000-6800-000005000000}"/>
    <hyperlink ref="M1" location="'MASTER '!A1" display="Back" xr:uid="{00000000-0004-0000-6800-000006000000}"/>
    <hyperlink ref="M6:M7" location="'DEC 2021'!A77" display="STOCK FUTURE" xr:uid="{00000000-0004-0000-6800-000007000000}"/>
    <hyperlink ref="M12:M13" location="'DEC 2021'!A170" display="BANK NIFTY" xr:uid="{00000000-0004-0000-6800-000008000000}"/>
    <hyperlink ref="M10:M11" location="'DEC 2021'!A139" display="NF. OPTION" xr:uid="{00000000-0004-0000-6800-000009000000}"/>
    <hyperlink ref="M8:M9" location="'DEC 2021'!A108" display="NIFTY FUTURE" xr:uid="{00000000-0004-0000-6800-00000A000000}"/>
    <hyperlink ref="M4:M5" location="'DEC 2021'!A1" display="CASH" xr:uid="{00000000-0004-0000-6800-00000B000000}"/>
    <hyperlink ref="M14:M15" location="'DEC 2021'!A201" display="B.NIFTY OPTION" xr:uid="{00000000-0004-0000-6800-00000C000000}"/>
    <hyperlink ref="M16:M17" location="'DEC 2021'!A216" display="STOCK OPTION" xr:uid="{00000000-0004-0000-6800-00000D000000}"/>
    <hyperlink ref="B52" r:id="rId7" xr:uid="{00000000-0004-0000-6800-00000E000000}"/>
  </hyperlinks>
  <pageMargins left="0" right="0" top="0" bottom="0" header="0" footer="0"/>
  <pageSetup scale="95" orientation="portrait" r:id="rId8"/>
  <drawing r:id="rId9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242"/>
  <sheetViews>
    <sheetView zoomScale="90" zoomScaleNormal="9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3645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37</v>
      </c>
      <c r="P4" s="386">
        <f>W52</f>
        <v>3</v>
      </c>
      <c r="Q4" s="387">
        <f>N4-O4-P4</f>
        <v>0</v>
      </c>
      <c r="R4" s="380">
        <f>O4/N4</f>
        <v>0.92500000000000004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44564</v>
      </c>
      <c r="D6" s="158" t="s">
        <v>9</v>
      </c>
      <c r="E6" s="158" t="s">
        <v>299</v>
      </c>
      <c r="F6" s="230">
        <v>1720</v>
      </c>
      <c r="G6" s="222">
        <v>1730</v>
      </c>
      <c r="H6" s="222">
        <v>10</v>
      </c>
      <c r="I6" s="207">
        <f t="shared" ref="I6:I43" si="0">300000/F6</f>
        <v>174.41860465116278</v>
      </c>
      <c r="J6" s="161">
        <f t="shared" ref="J6:J43" si="1">H6*I6</f>
        <v>1744.1860465116279</v>
      </c>
      <c r="K6" s="153"/>
      <c r="M6" s="394" t="s">
        <v>450</v>
      </c>
      <c r="N6" s="344">
        <f>COUNT(C60:C83)</f>
        <v>21</v>
      </c>
      <c r="O6" s="346">
        <f>V84</f>
        <v>17</v>
      </c>
      <c r="P6" s="346">
        <f>W84</f>
        <v>4</v>
      </c>
      <c r="Q6" s="374">
        <f>N6-O6-P6</f>
        <v>0</v>
      </c>
      <c r="R6" s="376">
        <f t="shared" ref="R6" si="2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44564</v>
      </c>
      <c r="D7" s="161" t="s">
        <v>9</v>
      </c>
      <c r="E7" s="161" t="s">
        <v>3649</v>
      </c>
      <c r="F7" s="222">
        <v>879</v>
      </c>
      <c r="G7" s="231">
        <v>899</v>
      </c>
      <c r="H7" s="255">
        <v>20</v>
      </c>
      <c r="I7" s="207">
        <f t="shared" si="0"/>
        <v>341.29692832764505</v>
      </c>
      <c r="J7" s="161">
        <f t="shared" si="1"/>
        <v>6825.9385665529007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44565</v>
      </c>
      <c r="D8" s="161" t="s">
        <v>9</v>
      </c>
      <c r="E8" s="161" t="s">
        <v>157</v>
      </c>
      <c r="F8" s="222">
        <v>716</v>
      </c>
      <c r="G8" s="222">
        <v>722</v>
      </c>
      <c r="H8" s="222">
        <v>6</v>
      </c>
      <c r="I8" s="207">
        <f t="shared" si="0"/>
        <v>418.99441340782124</v>
      </c>
      <c r="J8" s="161">
        <f t="shared" si="1"/>
        <v>2513.9664804469276</v>
      </c>
      <c r="K8" s="153"/>
      <c r="M8" s="394" t="s">
        <v>451</v>
      </c>
      <c r="N8" s="344">
        <f>COUNT(C92:C114)</f>
        <v>20</v>
      </c>
      <c r="O8" s="346">
        <f>V115</f>
        <v>17</v>
      </c>
      <c r="P8" s="346">
        <f>W115</f>
        <v>3</v>
      </c>
      <c r="Q8" s="374">
        <f>N8-O8-P8</f>
        <v>0</v>
      </c>
      <c r="R8" s="376">
        <f t="shared" ref="R8" si="6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44565</v>
      </c>
      <c r="D9" s="161" t="s">
        <v>8</v>
      </c>
      <c r="E9" s="161" t="s">
        <v>834</v>
      </c>
      <c r="F9" s="222">
        <v>341</v>
      </c>
      <c r="G9" s="231">
        <v>334</v>
      </c>
      <c r="H9" s="255">
        <f>341-334</f>
        <v>7</v>
      </c>
      <c r="I9" s="207">
        <f t="shared" si="0"/>
        <v>879.76539589442814</v>
      </c>
      <c r="J9" s="161">
        <f t="shared" si="1"/>
        <v>6158.3577712609967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44566</v>
      </c>
      <c r="D10" s="161" t="s">
        <v>9</v>
      </c>
      <c r="E10" s="161" t="s">
        <v>275</v>
      </c>
      <c r="F10" s="222">
        <v>391</v>
      </c>
      <c r="G10" s="222">
        <v>395</v>
      </c>
      <c r="H10" s="222">
        <v>4</v>
      </c>
      <c r="I10" s="207">
        <f t="shared" si="0"/>
        <v>767.26342710997437</v>
      </c>
      <c r="J10" s="161">
        <f t="shared" si="1"/>
        <v>3069.0537084398975</v>
      </c>
      <c r="K10" s="153"/>
      <c r="M10" s="394" t="s">
        <v>1176</v>
      </c>
      <c r="N10" s="344">
        <f>COUNT(C123:C146)</f>
        <v>19</v>
      </c>
      <c r="O10" s="346">
        <f>V147</f>
        <v>18</v>
      </c>
      <c r="P10" s="346">
        <f>W147</f>
        <v>1</v>
      </c>
      <c r="Q10" s="374">
        <f>N10-O10-P10</f>
        <v>0</v>
      </c>
      <c r="R10" s="376">
        <f t="shared" ref="R10:R16" si="7">O10/N10</f>
        <v>0.94736842105263153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44566</v>
      </c>
      <c r="D11" s="161" t="s">
        <v>9</v>
      </c>
      <c r="E11" s="161" t="s">
        <v>25</v>
      </c>
      <c r="F11" s="222">
        <v>1155</v>
      </c>
      <c r="G11" s="222">
        <v>1175</v>
      </c>
      <c r="H11" s="255">
        <v>20</v>
      </c>
      <c r="I11" s="207">
        <f t="shared" si="0"/>
        <v>259.74025974025972</v>
      </c>
      <c r="J11" s="161">
        <f t="shared" si="1"/>
        <v>5194.8051948051943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44567</v>
      </c>
      <c r="D12" s="161" t="s">
        <v>9</v>
      </c>
      <c r="E12" s="161" t="s">
        <v>550</v>
      </c>
      <c r="F12" s="222">
        <v>409</v>
      </c>
      <c r="G12" s="222">
        <v>404</v>
      </c>
      <c r="H12" s="222">
        <v>-5</v>
      </c>
      <c r="I12" s="207">
        <f t="shared" si="0"/>
        <v>733.49633251833745</v>
      </c>
      <c r="J12" s="161">
        <f t="shared" si="1"/>
        <v>-3667.4816625916874</v>
      </c>
      <c r="K12" s="153"/>
      <c r="M12" s="394" t="s">
        <v>41</v>
      </c>
      <c r="N12" s="344">
        <f>COUNT(C155:C177)</f>
        <v>20</v>
      </c>
      <c r="O12" s="346">
        <f>V178</f>
        <v>18</v>
      </c>
      <c r="P12" s="346">
        <f>W178</f>
        <v>2</v>
      </c>
      <c r="Q12" s="374">
        <f t="shared" ref="Q12" si="8">N12-O12-P12</f>
        <v>0</v>
      </c>
      <c r="R12" s="376">
        <f t="shared" si="7"/>
        <v>0.9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44567</v>
      </c>
      <c r="D13" s="161" t="s">
        <v>9</v>
      </c>
      <c r="E13" s="161" t="s">
        <v>133</v>
      </c>
      <c r="F13" s="222">
        <v>937</v>
      </c>
      <c r="G13" s="222">
        <v>941</v>
      </c>
      <c r="H13" s="255">
        <v>4</v>
      </c>
      <c r="I13" s="207">
        <f t="shared" si="0"/>
        <v>320.17075773745995</v>
      </c>
      <c r="J13" s="161">
        <f t="shared" si="1"/>
        <v>1280.6830309498398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44568</v>
      </c>
      <c r="D14" s="161" t="s">
        <v>9</v>
      </c>
      <c r="E14" s="161" t="s">
        <v>3650</v>
      </c>
      <c r="F14" s="222">
        <v>307</v>
      </c>
      <c r="G14" s="222">
        <v>315</v>
      </c>
      <c r="H14" s="222">
        <f>315-307</f>
        <v>8</v>
      </c>
      <c r="I14" s="207">
        <f t="shared" si="0"/>
        <v>977.19869706840393</v>
      </c>
      <c r="J14" s="161">
        <f t="shared" si="1"/>
        <v>7817.5895765472314</v>
      </c>
      <c r="K14" s="153"/>
      <c r="M14" s="394" t="s">
        <v>1175</v>
      </c>
      <c r="N14" s="344">
        <f>COUNT(C186:C208)</f>
        <v>20</v>
      </c>
      <c r="O14" s="346">
        <f>V209</f>
        <v>16</v>
      </c>
      <c r="P14" s="346">
        <f>W209</f>
        <v>4</v>
      </c>
      <c r="Q14" s="374">
        <f t="shared" ref="Q14" si="9">N14-O14-P14</f>
        <v>0</v>
      </c>
      <c r="R14" s="376">
        <f t="shared" si="7"/>
        <v>0.8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44568</v>
      </c>
      <c r="D15" s="161" t="s">
        <v>9</v>
      </c>
      <c r="E15" s="161" t="s">
        <v>250</v>
      </c>
      <c r="F15" s="222">
        <v>2240</v>
      </c>
      <c r="G15" s="222">
        <v>2280</v>
      </c>
      <c r="H15" s="222">
        <v>40</v>
      </c>
      <c r="I15" s="207">
        <f t="shared" si="0"/>
        <v>133.92857142857142</v>
      </c>
      <c r="J15" s="161">
        <f t="shared" si="1"/>
        <v>5357.1428571428569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44571</v>
      </c>
      <c r="D16" s="161" t="s">
        <v>9</v>
      </c>
      <c r="E16" s="161" t="s">
        <v>3656</v>
      </c>
      <c r="F16" s="222">
        <v>169.5</v>
      </c>
      <c r="G16" s="222">
        <v>172.5</v>
      </c>
      <c r="H16" s="222">
        <v>3</v>
      </c>
      <c r="I16" s="207">
        <f t="shared" si="0"/>
        <v>1769.9115044247787</v>
      </c>
      <c r="J16" s="161">
        <f t="shared" si="1"/>
        <v>5309.7345132743358</v>
      </c>
      <c r="K16" s="153"/>
      <c r="L16" s="25" t="s">
        <v>2008</v>
      </c>
      <c r="M16" s="394" t="s">
        <v>1090</v>
      </c>
      <c r="N16" s="344">
        <f>COUNT(C217:C240)</f>
        <v>21</v>
      </c>
      <c r="O16" s="346">
        <f>V241</f>
        <v>18</v>
      </c>
      <c r="P16" s="346">
        <f>W241</f>
        <v>3</v>
      </c>
      <c r="Q16" s="374">
        <v>0</v>
      </c>
      <c r="R16" s="376">
        <f t="shared" si="7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44571</v>
      </c>
      <c r="D17" s="161" t="s">
        <v>9</v>
      </c>
      <c r="E17" s="161" t="s">
        <v>3515</v>
      </c>
      <c r="F17" s="222">
        <v>1270</v>
      </c>
      <c r="G17" s="222">
        <v>1290</v>
      </c>
      <c r="H17" s="222">
        <v>20</v>
      </c>
      <c r="I17" s="207">
        <f t="shared" si="0"/>
        <v>236.22047244094489</v>
      </c>
      <c r="J17" s="161">
        <f t="shared" si="1"/>
        <v>4724.4094488188975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44572</v>
      </c>
      <c r="D18" s="161" t="s">
        <v>9</v>
      </c>
      <c r="E18" s="161" t="s">
        <v>90</v>
      </c>
      <c r="F18" s="222">
        <v>1725</v>
      </c>
      <c r="G18" s="222">
        <v>1740</v>
      </c>
      <c r="H18" s="222">
        <f>1740-1725</f>
        <v>15</v>
      </c>
      <c r="I18" s="207">
        <f t="shared" si="0"/>
        <v>173.91304347826087</v>
      </c>
      <c r="J18" s="161">
        <f t="shared" si="1"/>
        <v>2608.695652173913</v>
      </c>
      <c r="K18" s="153"/>
      <c r="M18" s="392" t="s">
        <v>946</v>
      </c>
      <c r="N18" s="378">
        <f>SUM(N4:N17)</f>
        <v>161</v>
      </c>
      <c r="O18" s="378">
        <f t="shared" ref="O18:Q18" si="10">SUM(O4:O17)</f>
        <v>141</v>
      </c>
      <c r="P18" s="378">
        <f t="shared" si="10"/>
        <v>20</v>
      </c>
      <c r="Q18" s="378">
        <f t="shared" si="10"/>
        <v>0</v>
      </c>
      <c r="R18" s="380">
        <f t="shared" ref="R18" si="11">O18/N18</f>
        <v>0.87577639751552794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44572</v>
      </c>
      <c r="D19" s="161" t="s">
        <v>8</v>
      </c>
      <c r="E19" s="161" t="s">
        <v>834</v>
      </c>
      <c r="F19" s="222">
        <v>334</v>
      </c>
      <c r="G19" s="222">
        <v>330</v>
      </c>
      <c r="H19" s="222">
        <v>4</v>
      </c>
      <c r="I19" s="207">
        <f t="shared" si="0"/>
        <v>898.20359281437129</v>
      </c>
      <c r="J19" s="161">
        <f t="shared" si="1"/>
        <v>3592.8143712574852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44573</v>
      </c>
      <c r="D20" s="161" t="s">
        <v>9</v>
      </c>
      <c r="E20" s="161" t="s">
        <v>19</v>
      </c>
      <c r="F20" s="222">
        <v>510</v>
      </c>
      <c r="G20" s="222">
        <v>513</v>
      </c>
      <c r="H20" s="222">
        <v>3</v>
      </c>
      <c r="I20" s="207">
        <f t="shared" si="0"/>
        <v>588.23529411764707</v>
      </c>
      <c r="J20" s="161">
        <f t="shared" si="1"/>
        <v>1764.7058823529412</v>
      </c>
      <c r="K20" s="153"/>
      <c r="M20" s="316" t="s">
        <v>2253</v>
      </c>
      <c r="N20" s="317"/>
      <c r="O20" s="318"/>
      <c r="P20" s="325">
        <f>R18</f>
        <v>0.87577639751552794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44573</v>
      </c>
      <c r="D21" s="161" t="s">
        <v>9</v>
      </c>
      <c r="E21" s="161" t="s">
        <v>3465</v>
      </c>
      <c r="F21" s="222">
        <v>615</v>
      </c>
      <c r="G21" s="222">
        <v>607</v>
      </c>
      <c r="H21" s="222">
        <v>-8</v>
      </c>
      <c r="I21" s="207">
        <f t="shared" si="0"/>
        <v>487.80487804878049</v>
      </c>
      <c r="J21" s="161">
        <f t="shared" si="1"/>
        <v>-3902.439024390244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44574</v>
      </c>
      <c r="D22" s="161" t="s">
        <v>9</v>
      </c>
      <c r="E22" s="161" t="s">
        <v>578</v>
      </c>
      <c r="F22" s="222">
        <v>1900</v>
      </c>
      <c r="G22" s="222">
        <v>1910</v>
      </c>
      <c r="H22" s="222">
        <v>10</v>
      </c>
      <c r="I22" s="207">
        <f t="shared" si="0"/>
        <v>157.89473684210526</v>
      </c>
      <c r="J22" s="161">
        <f t="shared" si="1"/>
        <v>1578.9473684210525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44574</v>
      </c>
      <c r="D23" s="161" t="s">
        <v>8</v>
      </c>
      <c r="E23" s="161" t="s">
        <v>3248</v>
      </c>
      <c r="F23" s="222">
        <v>1925</v>
      </c>
      <c r="G23" s="222">
        <v>1912.2</v>
      </c>
      <c r="H23" s="222">
        <f>1925-1912.2</f>
        <v>12.799999999999955</v>
      </c>
      <c r="I23" s="207">
        <f t="shared" si="0"/>
        <v>155.84415584415584</v>
      </c>
      <c r="J23" s="161">
        <f t="shared" si="1"/>
        <v>1994.8051948051875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44575</v>
      </c>
      <c r="D24" s="161" t="s">
        <v>9</v>
      </c>
      <c r="E24" s="161" t="s">
        <v>160</v>
      </c>
      <c r="F24" s="222">
        <v>930</v>
      </c>
      <c r="G24" s="222">
        <v>920</v>
      </c>
      <c r="H24" s="222">
        <v>-10</v>
      </c>
      <c r="I24" s="207">
        <f t="shared" si="0"/>
        <v>322.58064516129031</v>
      </c>
      <c r="J24" s="161">
        <f t="shared" si="1"/>
        <v>-3225.8064516129029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44575</v>
      </c>
      <c r="D25" s="161" t="s">
        <v>8</v>
      </c>
      <c r="E25" s="161" t="s">
        <v>16</v>
      </c>
      <c r="F25" s="222">
        <v>2615</v>
      </c>
      <c r="G25" s="222">
        <v>2595</v>
      </c>
      <c r="H25" s="222">
        <f>2615-2595</f>
        <v>20</v>
      </c>
      <c r="I25" s="207">
        <f t="shared" si="0"/>
        <v>114.72275334608031</v>
      </c>
      <c r="J25" s="161">
        <f t="shared" si="1"/>
        <v>2294.455066921606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44578</v>
      </c>
      <c r="D26" s="161" t="s">
        <v>9</v>
      </c>
      <c r="E26" s="161" t="s">
        <v>19</v>
      </c>
      <c r="F26" s="222">
        <v>516</v>
      </c>
      <c r="G26" s="222">
        <v>518.79999999999995</v>
      </c>
      <c r="H26" s="222">
        <v>2.8</v>
      </c>
      <c r="I26" s="207">
        <f t="shared" si="0"/>
        <v>581.39534883720933</v>
      </c>
      <c r="J26" s="161">
        <f t="shared" si="1"/>
        <v>1627.9069767441861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44578</v>
      </c>
      <c r="D27" s="161" t="s">
        <v>8</v>
      </c>
      <c r="E27" s="161" t="s">
        <v>25</v>
      </c>
      <c r="F27" s="222">
        <v>1200</v>
      </c>
      <c r="G27" s="222">
        <v>1190.5</v>
      </c>
      <c r="H27" s="222">
        <f>1200-1190.5</f>
        <v>9.5</v>
      </c>
      <c r="I27" s="207">
        <f t="shared" si="0"/>
        <v>250</v>
      </c>
      <c r="J27" s="161">
        <f t="shared" si="1"/>
        <v>2375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44579</v>
      </c>
      <c r="D28" s="161" t="s">
        <v>9</v>
      </c>
      <c r="E28" s="161" t="s">
        <v>3656</v>
      </c>
      <c r="F28" s="222">
        <v>170</v>
      </c>
      <c r="G28" s="222">
        <v>173.7</v>
      </c>
      <c r="H28" s="222">
        <v>3.7</v>
      </c>
      <c r="I28" s="207">
        <f t="shared" si="0"/>
        <v>1764.7058823529412</v>
      </c>
      <c r="J28" s="161">
        <f t="shared" si="1"/>
        <v>6529.4117647058829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44579</v>
      </c>
      <c r="D29" s="161" t="s">
        <v>8</v>
      </c>
      <c r="E29" s="161" t="s">
        <v>3456</v>
      </c>
      <c r="F29" s="222">
        <v>900</v>
      </c>
      <c r="G29" s="222">
        <v>980</v>
      </c>
      <c r="H29" s="222">
        <v>20</v>
      </c>
      <c r="I29" s="207">
        <f t="shared" si="0"/>
        <v>333.33333333333331</v>
      </c>
      <c r="J29" s="161">
        <f t="shared" si="1"/>
        <v>6666.6666666666661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44580</v>
      </c>
      <c r="D30" s="161" t="s">
        <v>9</v>
      </c>
      <c r="E30" s="161" t="s">
        <v>422</v>
      </c>
      <c r="F30" s="222">
        <v>1490</v>
      </c>
      <c r="G30" s="222">
        <v>1512</v>
      </c>
      <c r="H30" s="222">
        <f>1512-1490</f>
        <v>22</v>
      </c>
      <c r="I30" s="207">
        <f t="shared" si="0"/>
        <v>201.34228187919464</v>
      </c>
      <c r="J30" s="161">
        <f t="shared" si="1"/>
        <v>4429.5302013422825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44580</v>
      </c>
      <c r="D31" s="161" t="s">
        <v>9</v>
      </c>
      <c r="E31" s="161" t="s">
        <v>834</v>
      </c>
      <c r="F31" s="222">
        <v>326</v>
      </c>
      <c r="G31" s="222">
        <v>327.5</v>
      </c>
      <c r="H31" s="222">
        <v>1.5</v>
      </c>
      <c r="I31" s="207">
        <f t="shared" si="0"/>
        <v>920.24539877300617</v>
      </c>
      <c r="J31" s="161">
        <f t="shared" si="1"/>
        <v>1380.3680981595094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44581</v>
      </c>
      <c r="D32" s="161" t="s">
        <v>9</v>
      </c>
      <c r="E32" s="161" t="s">
        <v>15</v>
      </c>
      <c r="F32" s="222">
        <v>2385</v>
      </c>
      <c r="G32" s="222">
        <v>2405</v>
      </c>
      <c r="H32" s="222">
        <f>2405-2385</f>
        <v>20</v>
      </c>
      <c r="I32" s="207">
        <f t="shared" si="0"/>
        <v>125.78616352201257</v>
      </c>
      <c r="J32" s="161">
        <f t="shared" si="1"/>
        <v>2515.7232704402513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44581</v>
      </c>
      <c r="D33" s="161" t="s">
        <v>9</v>
      </c>
      <c r="E33" s="161" t="s">
        <v>85</v>
      </c>
      <c r="F33" s="222">
        <v>707</v>
      </c>
      <c r="G33" s="222">
        <v>718</v>
      </c>
      <c r="H33" s="222">
        <f>718-707</f>
        <v>11</v>
      </c>
      <c r="I33" s="207">
        <f t="shared" si="0"/>
        <v>424.3281471004243</v>
      </c>
      <c r="J33" s="161">
        <f t="shared" si="1"/>
        <v>4667.6096181046669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44582</v>
      </c>
      <c r="D34" s="161" t="s">
        <v>9</v>
      </c>
      <c r="E34" s="161" t="s">
        <v>549</v>
      </c>
      <c r="F34" s="222">
        <v>645</v>
      </c>
      <c r="G34" s="222">
        <v>652</v>
      </c>
      <c r="H34" s="222">
        <f>652-645</f>
        <v>7</v>
      </c>
      <c r="I34" s="207">
        <f t="shared" si="0"/>
        <v>465.11627906976742</v>
      </c>
      <c r="J34" s="161">
        <f t="shared" si="1"/>
        <v>3255.8139534883721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44582</v>
      </c>
      <c r="D35" s="161" t="s">
        <v>9</v>
      </c>
      <c r="E35" s="161" t="s">
        <v>19</v>
      </c>
      <c r="F35" s="222">
        <v>504</v>
      </c>
      <c r="G35" s="222">
        <v>507</v>
      </c>
      <c r="H35" s="222">
        <v>3</v>
      </c>
      <c r="I35" s="207">
        <f t="shared" si="0"/>
        <v>595.23809523809518</v>
      </c>
      <c r="J35" s="161">
        <f t="shared" si="1"/>
        <v>1785.7142857142856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44585</v>
      </c>
      <c r="D36" s="161" t="s">
        <v>9</v>
      </c>
      <c r="E36" s="161" t="s">
        <v>50</v>
      </c>
      <c r="F36" s="222">
        <v>820</v>
      </c>
      <c r="G36" s="222">
        <v>825</v>
      </c>
      <c r="H36" s="222">
        <v>5</v>
      </c>
      <c r="I36" s="207">
        <f t="shared" si="0"/>
        <v>365.85365853658539</v>
      </c>
      <c r="J36" s="161">
        <f t="shared" si="1"/>
        <v>1829.268292682927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44585</v>
      </c>
      <c r="D37" s="161" t="s">
        <v>9</v>
      </c>
      <c r="E37" s="161" t="s">
        <v>160</v>
      </c>
      <c r="F37" s="222">
        <v>882</v>
      </c>
      <c r="G37" s="222">
        <v>892</v>
      </c>
      <c r="H37" s="222">
        <v>10</v>
      </c>
      <c r="I37" s="207">
        <f t="shared" si="0"/>
        <v>340.13605442176873</v>
      </c>
      <c r="J37" s="161">
        <f t="shared" si="1"/>
        <v>3401.3605442176872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44586</v>
      </c>
      <c r="D38" s="161" t="s">
        <v>9</v>
      </c>
      <c r="E38" s="161" t="s">
        <v>98</v>
      </c>
      <c r="F38" s="222">
        <v>2750</v>
      </c>
      <c r="G38" s="222">
        <v>2785</v>
      </c>
      <c r="H38" s="222">
        <f>2785-2750</f>
        <v>35</v>
      </c>
      <c r="I38" s="207">
        <f t="shared" si="0"/>
        <v>109.09090909090909</v>
      </c>
      <c r="J38" s="161">
        <f t="shared" si="1"/>
        <v>3818.1818181818185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44586</v>
      </c>
      <c r="D39" s="161" t="s">
        <v>9</v>
      </c>
      <c r="E39" s="161" t="s">
        <v>85</v>
      </c>
      <c r="F39" s="222">
        <v>700</v>
      </c>
      <c r="G39" s="222">
        <v>716</v>
      </c>
      <c r="H39" s="222">
        <v>16</v>
      </c>
      <c r="I39" s="207">
        <f t="shared" si="0"/>
        <v>428.57142857142856</v>
      </c>
      <c r="J39" s="161">
        <f t="shared" si="1"/>
        <v>6857.1428571428569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44588</v>
      </c>
      <c r="D40" s="161" t="s">
        <v>9</v>
      </c>
      <c r="E40" s="161" t="s">
        <v>3334</v>
      </c>
      <c r="F40" s="222">
        <v>2150</v>
      </c>
      <c r="G40" s="222">
        <v>2121</v>
      </c>
      <c r="H40" s="222">
        <f>2150-2121</f>
        <v>29</v>
      </c>
      <c r="I40" s="207">
        <f t="shared" si="0"/>
        <v>139.53488372093022</v>
      </c>
      <c r="J40" s="161">
        <f t="shared" si="1"/>
        <v>4046.5116279069766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44588</v>
      </c>
      <c r="D41" s="161" t="s">
        <v>9</v>
      </c>
      <c r="E41" s="161" t="s">
        <v>160</v>
      </c>
      <c r="F41" s="222">
        <v>918</v>
      </c>
      <c r="G41" s="223">
        <v>922</v>
      </c>
      <c r="H41" s="222">
        <v>4</v>
      </c>
      <c r="I41" s="207">
        <f t="shared" si="0"/>
        <v>326.79738562091501</v>
      </c>
      <c r="J41" s="161">
        <f t="shared" si="1"/>
        <v>1307.18954248366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44589</v>
      </c>
      <c r="D42" s="161" t="s">
        <v>9</v>
      </c>
      <c r="E42" s="161" t="s">
        <v>3473</v>
      </c>
      <c r="F42" s="222">
        <v>204</v>
      </c>
      <c r="G42" s="222">
        <v>210</v>
      </c>
      <c r="H42" s="222">
        <v>6</v>
      </c>
      <c r="I42" s="207">
        <f t="shared" si="0"/>
        <v>1470.5882352941176</v>
      </c>
      <c r="J42" s="161">
        <f t="shared" si="1"/>
        <v>8823.5294117647063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44589</v>
      </c>
      <c r="D43" s="161" t="s">
        <v>9</v>
      </c>
      <c r="E43" s="161" t="s">
        <v>109</v>
      </c>
      <c r="F43" s="222">
        <v>888</v>
      </c>
      <c r="G43" s="222">
        <v>893</v>
      </c>
      <c r="H43" s="222">
        <f>893-888</f>
        <v>5</v>
      </c>
      <c r="I43" s="207">
        <f t="shared" si="0"/>
        <v>337.83783783783781</v>
      </c>
      <c r="J43" s="161">
        <f t="shared" si="1"/>
        <v>1689.1891891891892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44592</v>
      </c>
      <c r="D44" s="161" t="s">
        <v>9</v>
      </c>
      <c r="E44" s="161" t="s">
        <v>192</v>
      </c>
      <c r="F44" s="222">
        <v>246</v>
      </c>
      <c r="G44" s="222">
        <v>252</v>
      </c>
      <c r="H44" s="222">
        <f>252-246</f>
        <v>6</v>
      </c>
      <c r="I44" s="207">
        <f t="shared" ref="I44:I45" si="12">300000/F44</f>
        <v>1219.5121951219512</v>
      </c>
      <c r="J44" s="161">
        <f t="shared" ref="J44:J45" si="13">H44*I44</f>
        <v>7317.0731707317073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44592</v>
      </c>
      <c r="D45" s="161" t="s">
        <v>9</v>
      </c>
      <c r="E45" s="161" t="s">
        <v>3516</v>
      </c>
      <c r="F45" s="222">
        <v>1032</v>
      </c>
      <c r="G45" s="222">
        <v>1036</v>
      </c>
      <c r="H45" s="222">
        <v>4</v>
      </c>
      <c r="I45" s="207">
        <f t="shared" si="12"/>
        <v>290.69767441860466</v>
      </c>
      <c r="J45" s="161">
        <f t="shared" si="13"/>
        <v>1162.7906976744187</v>
      </c>
      <c r="K45" s="153"/>
      <c r="V45" s="25">
        <f t="shared" si="3"/>
        <v>1</v>
      </c>
      <c r="W45" s="25">
        <f t="shared" si="4"/>
        <v>0</v>
      </c>
    </row>
    <row r="46" spans="1:23" hidden="1" x14ac:dyDescent="0.3">
      <c r="A46" s="147"/>
      <c r="B46" s="205">
        <f>B45+1</f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hidden="1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hidden="1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hidden="1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hidden="1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hidden="1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128520.54557943009</v>
      </c>
      <c r="K52" s="153"/>
      <c r="V52" s="25">
        <f>SUM(V6:V51)</f>
        <v>37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3646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44564</v>
      </c>
      <c r="D60" s="161" t="s">
        <v>9</v>
      </c>
      <c r="E60" s="161" t="s">
        <v>3649</v>
      </c>
      <c r="F60" s="222">
        <v>890</v>
      </c>
      <c r="G60" s="222">
        <v>904</v>
      </c>
      <c r="H60" s="222">
        <f>904-890</f>
        <v>14</v>
      </c>
      <c r="I60" s="207">
        <v>700</v>
      </c>
      <c r="J60" s="241">
        <f t="shared" ref="J60:J83" si="14">I60*H60</f>
        <v>9800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44565</v>
      </c>
      <c r="D61" s="161" t="s">
        <v>8</v>
      </c>
      <c r="E61" s="161" t="s">
        <v>2995</v>
      </c>
      <c r="F61" s="222">
        <v>740</v>
      </c>
      <c r="G61" s="222">
        <v>734.15</v>
      </c>
      <c r="H61" s="222">
        <f>740-734.15</f>
        <v>5.8500000000000227</v>
      </c>
      <c r="I61" s="207">
        <v>675</v>
      </c>
      <c r="J61" s="242">
        <f t="shared" si="14"/>
        <v>3948.7500000000155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44566</v>
      </c>
      <c r="D62" s="161" t="s">
        <v>9</v>
      </c>
      <c r="E62" s="161" t="s">
        <v>3651</v>
      </c>
      <c r="F62" s="222">
        <v>1910</v>
      </c>
      <c r="G62" s="222">
        <v>1941</v>
      </c>
      <c r="H62" s="222">
        <f>1941-1910</f>
        <v>31</v>
      </c>
      <c r="I62" s="207">
        <v>250</v>
      </c>
      <c r="J62" s="242">
        <f t="shared" si="14"/>
        <v>7750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44567</v>
      </c>
      <c r="D63" s="161" t="s">
        <v>8</v>
      </c>
      <c r="E63" s="161" t="s">
        <v>2203</v>
      </c>
      <c r="F63" s="222">
        <v>875</v>
      </c>
      <c r="G63" s="222">
        <v>885</v>
      </c>
      <c r="H63" s="222">
        <v>-10</v>
      </c>
      <c r="I63" s="207">
        <v>600</v>
      </c>
      <c r="J63" s="242">
        <f t="shared" si="14"/>
        <v>-6000</v>
      </c>
      <c r="K63" s="153"/>
      <c r="L63" s="25" t="s">
        <v>2008</v>
      </c>
      <c r="V63" s="25">
        <f t="shared" si="15"/>
        <v>0</v>
      </c>
      <c r="W63" s="25">
        <f t="shared" si="16"/>
        <v>1</v>
      </c>
    </row>
    <row r="64" spans="1:23" x14ac:dyDescent="0.3">
      <c r="A64" s="147"/>
      <c r="B64" s="205">
        <f t="shared" si="17"/>
        <v>5</v>
      </c>
      <c r="C64" s="206">
        <v>44568</v>
      </c>
      <c r="D64" s="161" t="s">
        <v>9</v>
      </c>
      <c r="E64" s="161" t="s">
        <v>3436</v>
      </c>
      <c r="F64" s="222">
        <v>870</v>
      </c>
      <c r="G64" s="222">
        <v>890</v>
      </c>
      <c r="H64" s="222">
        <v>20</v>
      </c>
      <c r="I64" s="207">
        <v>875</v>
      </c>
      <c r="J64" s="242">
        <f t="shared" si="14"/>
        <v>17500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44571</v>
      </c>
      <c r="D65" s="161" t="s">
        <v>9</v>
      </c>
      <c r="E65" s="161" t="s">
        <v>122</v>
      </c>
      <c r="F65" s="222">
        <v>1900</v>
      </c>
      <c r="G65" s="222">
        <v>1920</v>
      </c>
      <c r="H65" s="222">
        <v>20</v>
      </c>
      <c r="I65" s="207">
        <v>550</v>
      </c>
      <c r="J65" s="242">
        <f t="shared" si="14"/>
        <v>11000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44572</v>
      </c>
      <c r="D66" s="161" t="s">
        <v>9</v>
      </c>
      <c r="E66" s="161" t="s">
        <v>90</v>
      </c>
      <c r="F66" s="222">
        <v>1735</v>
      </c>
      <c r="G66" s="222">
        <v>1745</v>
      </c>
      <c r="H66" s="222">
        <v>10</v>
      </c>
      <c r="I66" s="207">
        <v>600</v>
      </c>
      <c r="J66" s="242">
        <f t="shared" si="14"/>
        <v>6000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44573</v>
      </c>
      <c r="D67" s="161" t="s">
        <v>9</v>
      </c>
      <c r="E67" s="161" t="s">
        <v>3248</v>
      </c>
      <c r="F67" s="222">
        <v>1980</v>
      </c>
      <c r="G67" s="222">
        <v>1960</v>
      </c>
      <c r="H67" s="222">
        <v>-20</v>
      </c>
      <c r="I67" s="207">
        <v>500</v>
      </c>
      <c r="J67" s="242">
        <f t="shared" si="14"/>
        <v>-10000</v>
      </c>
      <c r="K67" s="153"/>
      <c r="V67" s="25">
        <f t="shared" si="15"/>
        <v>0</v>
      </c>
      <c r="W67" s="25">
        <f t="shared" si="16"/>
        <v>1</v>
      </c>
    </row>
    <row r="68" spans="1:23" x14ac:dyDescent="0.3">
      <c r="A68" s="147"/>
      <c r="B68" s="205">
        <f t="shared" si="17"/>
        <v>9</v>
      </c>
      <c r="C68" s="206">
        <v>44574</v>
      </c>
      <c r="D68" s="161" t="s">
        <v>9</v>
      </c>
      <c r="E68" s="161" t="s">
        <v>25</v>
      </c>
      <c r="F68" s="222">
        <v>1182</v>
      </c>
      <c r="G68" s="222">
        <v>1202</v>
      </c>
      <c r="H68" s="222">
        <f>1202-1182</f>
        <v>20</v>
      </c>
      <c r="I68" s="207">
        <v>425</v>
      </c>
      <c r="J68" s="242">
        <f t="shared" si="14"/>
        <v>8500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44575</v>
      </c>
      <c r="D69" s="161" t="s">
        <v>9</v>
      </c>
      <c r="E69" s="161" t="s">
        <v>3657</v>
      </c>
      <c r="F69" s="222">
        <v>2010</v>
      </c>
      <c r="G69" s="222">
        <v>2020</v>
      </c>
      <c r="H69" s="222">
        <v>10</v>
      </c>
      <c r="I69" s="207">
        <v>550</v>
      </c>
      <c r="J69" s="242">
        <f t="shared" si="14"/>
        <v>5500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44578</v>
      </c>
      <c r="D70" s="161" t="s">
        <v>9</v>
      </c>
      <c r="E70" s="161" t="s">
        <v>2925</v>
      </c>
      <c r="F70" s="161">
        <v>600</v>
      </c>
      <c r="G70" s="222">
        <v>612</v>
      </c>
      <c r="H70" s="222">
        <v>12</v>
      </c>
      <c r="I70" s="207">
        <v>750</v>
      </c>
      <c r="J70" s="242">
        <f t="shared" si="14"/>
        <v>9000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44579</v>
      </c>
      <c r="D71" s="161" t="s">
        <v>9</v>
      </c>
      <c r="E71" s="161" t="s">
        <v>2204</v>
      </c>
      <c r="F71" s="222">
        <v>1520</v>
      </c>
      <c r="G71" s="222">
        <v>1505</v>
      </c>
      <c r="H71" s="222">
        <v>-15</v>
      </c>
      <c r="I71" s="207">
        <v>375</v>
      </c>
      <c r="J71" s="242">
        <f t="shared" si="14"/>
        <v>-5625</v>
      </c>
      <c r="K71" s="153"/>
      <c r="V71" s="25">
        <f t="shared" si="15"/>
        <v>0</v>
      </c>
      <c r="W71" s="25">
        <f t="shared" si="16"/>
        <v>1</v>
      </c>
    </row>
    <row r="72" spans="1:23" x14ac:dyDescent="0.3">
      <c r="A72" s="147"/>
      <c r="B72" s="205">
        <f t="shared" si="17"/>
        <v>13</v>
      </c>
      <c r="C72" s="206">
        <v>44579</v>
      </c>
      <c r="D72" s="161" t="s">
        <v>9</v>
      </c>
      <c r="E72" s="161" t="s">
        <v>133</v>
      </c>
      <c r="F72" s="222">
        <v>948</v>
      </c>
      <c r="G72" s="222">
        <v>963</v>
      </c>
      <c r="H72" s="222">
        <f>963-948</f>
        <v>15</v>
      </c>
      <c r="I72" s="207">
        <v>850</v>
      </c>
      <c r="J72" s="242">
        <f t="shared" si="14"/>
        <v>12750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44580</v>
      </c>
      <c r="D73" s="161" t="s">
        <v>9</v>
      </c>
      <c r="E73" s="161" t="s">
        <v>119</v>
      </c>
      <c r="F73" s="223">
        <v>1930</v>
      </c>
      <c r="G73" s="222">
        <v>1915</v>
      </c>
      <c r="H73" s="255">
        <v>-15</v>
      </c>
      <c r="I73" s="207">
        <v>400</v>
      </c>
      <c r="J73" s="242">
        <f t="shared" si="14"/>
        <v>-6000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44581</v>
      </c>
      <c r="D74" s="161" t="s">
        <v>9</v>
      </c>
      <c r="E74" s="161" t="s">
        <v>800</v>
      </c>
      <c r="F74" s="222">
        <v>1620</v>
      </c>
      <c r="G74" s="222">
        <v>1632</v>
      </c>
      <c r="H74" s="255">
        <f>1632-1620</f>
        <v>12</v>
      </c>
      <c r="I74" s="207">
        <v>350</v>
      </c>
      <c r="J74" s="242">
        <f t="shared" si="14"/>
        <v>4200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44582</v>
      </c>
      <c r="D75" s="161" t="s">
        <v>8</v>
      </c>
      <c r="E75" s="161" t="s">
        <v>2093</v>
      </c>
      <c r="F75" s="222">
        <v>955</v>
      </c>
      <c r="G75" s="222">
        <v>940</v>
      </c>
      <c r="H75" s="255">
        <v>15</v>
      </c>
      <c r="I75" s="207">
        <v>650</v>
      </c>
      <c r="J75" s="242">
        <f t="shared" si="14"/>
        <v>9750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44585</v>
      </c>
      <c r="D76" s="161" t="s">
        <v>8</v>
      </c>
      <c r="E76" s="161" t="s">
        <v>422</v>
      </c>
      <c r="F76" s="222">
        <v>1340</v>
      </c>
      <c r="G76" s="222">
        <v>1310</v>
      </c>
      <c r="H76" s="222">
        <v>30</v>
      </c>
      <c r="I76" s="207">
        <v>400</v>
      </c>
      <c r="J76" s="242">
        <f t="shared" si="14"/>
        <v>12000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44586</v>
      </c>
      <c r="D77" s="161" t="s">
        <v>9</v>
      </c>
      <c r="E77" s="161" t="s">
        <v>2814</v>
      </c>
      <c r="F77" s="222">
        <v>1540</v>
      </c>
      <c r="G77" s="222">
        <v>1570</v>
      </c>
      <c r="H77" s="222">
        <v>30</v>
      </c>
      <c r="I77" s="207">
        <v>407</v>
      </c>
      <c r="J77" s="242">
        <f t="shared" si="14"/>
        <v>12210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44588</v>
      </c>
      <c r="D78" s="161" t="s">
        <v>8</v>
      </c>
      <c r="E78" s="161" t="s">
        <v>814</v>
      </c>
      <c r="F78" s="222">
        <v>600</v>
      </c>
      <c r="G78" s="222">
        <v>592</v>
      </c>
      <c r="H78" s="222">
        <f>600-592</f>
        <v>8</v>
      </c>
      <c r="I78" s="207">
        <v>1000</v>
      </c>
      <c r="J78" s="242">
        <f t="shared" si="14"/>
        <v>8000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44589</v>
      </c>
      <c r="D79" s="161" t="s">
        <v>9</v>
      </c>
      <c r="E79" s="161" t="s">
        <v>3063</v>
      </c>
      <c r="F79" s="222">
        <v>1230</v>
      </c>
      <c r="G79" s="222">
        <v>1240</v>
      </c>
      <c r="H79" s="222">
        <v>10</v>
      </c>
      <c r="I79" s="207">
        <v>750</v>
      </c>
      <c r="J79" s="242">
        <f t="shared" si="14"/>
        <v>7500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44592</v>
      </c>
      <c r="D80" s="161" t="s">
        <v>9</v>
      </c>
      <c r="E80" s="161" t="s">
        <v>85</v>
      </c>
      <c r="F80" s="222">
        <v>730</v>
      </c>
      <c r="G80" s="222">
        <v>736</v>
      </c>
      <c r="H80" s="222">
        <v>6</v>
      </c>
      <c r="I80" s="207">
        <v>950</v>
      </c>
      <c r="J80" s="242">
        <f t="shared" si="14"/>
        <v>5700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123483.75000000001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3645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44564</v>
      </c>
      <c r="D92" s="185" t="s">
        <v>9</v>
      </c>
      <c r="E92" s="185" t="s">
        <v>39</v>
      </c>
      <c r="F92" s="219">
        <v>17500</v>
      </c>
      <c r="G92" s="219">
        <v>17580</v>
      </c>
      <c r="H92" s="185"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44565</v>
      </c>
      <c r="D93" s="185" t="s">
        <v>9</v>
      </c>
      <c r="E93" s="185" t="s">
        <v>39</v>
      </c>
      <c r="F93" s="219">
        <v>17720</v>
      </c>
      <c r="G93" s="219">
        <v>17800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44566</v>
      </c>
      <c r="D94" s="161" t="s">
        <v>9</v>
      </c>
      <c r="E94" s="161" t="s">
        <v>39</v>
      </c>
      <c r="F94" s="207">
        <v>17870</v>
      </c>
      <c r="G94" s="207">
        <v>17885</v>
      </c>
      <c r="H94" s="161">
        <v>15</v>
      </c>
      <c r="I94" s="207">
        <v>150</v>
      </c>
      <c r="J94" s="242">
        <f t="shared" si="18"/>
        <v>2250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44567</v>
      </c>
      <c r="D95" s="161" t="s">
        <v>8</v>
      </c>
      <c r="E95" s="161" t="s">
        <v>39</v>
      </c>
      <c r="F95" s="207">
        <v>17760</v>
      </c>
      <c r="G95" s="207">
        <v>17695</v>
      </c>
      <c r="H95" s="161">
        <v>65</v>
      </c>
      <c r="I95" s="207">
        <v>150</v>
      </c>
      <c r="J95" s="242">
        <f t="shared" si="18"/>
        <v>9750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44568</v>
      </c>
      <c r="D96" s="161" t="s">
        <v>9</v>
      </c>
      <c r="E96" s="161" t="s">
        <v>39</v>
      </c>
      <c r="F96" s="207">
        <v>17920</v>
      </c>
      <c r="G96" s="207">
        <v>17940</v>
      </c>
      <c r="H96" s="161">
        <v>20</v>
      </c>
      <c r="I96" s="207">
        <v>150</v>
      </c>
      <c r="J96" s="242">
        <f t="shared" si="18"/>
        <v>3000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44571</v>
      </c>
      <c r="D97" s="161" t="s">
        <v>9</v>
      </c>
      <c r="E97" s="161" t="s">
        <v>39</v>
      </c>
      <c r="F97" s="207">
        <v>17940</v>
      </c>
      <c r="G97" s="207">
        <v>18020</v>
      </c>
      <c r="H97" s="161"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44572</v>
      </c>
      <c r="D98" s="161" t="s">
        <v>9</v>
      </c>
      <c r="E98" s="161" t="s">
        <v>39</v>
      </c>
      <c r="F98" s="207">
        <v>18020</v>
      </c>
      <c r="G98" s="207">
        <v>18100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44573</v>
      </c>
      <c r="D99" s="161" t="s">
        <v>9</v>
      </c>
      <c r="E99" s="161" t="s">
        <v>39</v>
      </c>
      <c r="F99" s="207">
        <v>18190</v>
      </c>
      <c r="G99" s="207">
        <v>18244</v>
      </c>
      <c r="H99" s="161">
        <f>18244-18190</f>
        <v>54</v>
      </c>
      <c r="I99" s="207">
        <v>150</v>
      </c>
      <c r="J99" s="242">
        <f t="shared" si="18"/>
        <v>8100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44574</v>
      </c>
      <c r="D100" s="161" t="s">
        <v>9</v>
      </c>
      <c r="E100" s="161" t="s">
        <v>39</v>
      </c>
      <c r="F100" s="207">
        <v>18290</v>
      </c>
      <c r="G100" s="207">
        <v>18250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44575</v>
      </c>
      <c r="D101" s="161" t="s">
        <v>9</v>
      </c>
      <c r="E101" s="161" t="s">
        <v>39</v>
      </c>
      <c r="F101" s="207">
        <v>18230</v>
      </c>
      <c r="G101" s="207">
        <v>18250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44578</v>
      </c>
      <c r="D102" s="161" t="s">
        <v>9</v>
      </c>
      <c r="E102" s="161" t="s">
        <v>39</v>
      </c>
      <c r="F102" s="207">
        <v>18270</v>
      </c>
      <c r="G102" s="207">
        <v>18350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44579</v>
      </c>
      <c r="D103" s="161" t="s">
        <v>8</v>
      </c>
      <c r="E103" s="161" t="s">
        <v>39</v>
      </c>
      <c r="F103" s="207">
        <v>18250</v>
      </c>
      <c r="G103" s="207">
        <v>18200</v>
      </c>
      <c r="H103" s="161">
        <v>50</v>
      </c>
      <c r="I103" s="207">
        <v>150</v>
      </c>
      <c r="J103" s="242">
        <f t="shared" si="18"/>
        <v>7500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44580</v>
      </c>
      <c r="D104" s="161" t="s">
        <v>9</v>
      </c>
      <c r="E104" s="161" t="s">
        <v>39</v>
      </c>
      <c r="F104" s="207">
        <v>18040</v>
      </c>
      <c r="G104" s="207">
        <v>18074</v>
      </c>
      <c r="H104" s="161">
        <v>34</v>
      </c>
      <c r="I104" s="207">
        <v>150</v>
      </c>
      <c r="J104" s="242">
        <f t="shared" si="18"/>
        <v>5100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44581</v>
      </c>
      <c r="D105" s="161" t="s">
        <v>9</v>
      </c>
      <c r="E105" s="161" t="s">
        <v>39</v>
      </c>
      <c r="F105" s="207">
        <v>17940</v>
      </c>
      <c r="G105" s="207">
        <v>17900</v>
      </c>
      <c r="H105" s="161">
        <v>-40</v>
      </c>
      <c r="I105" s="207">
        <v>150</v>
      </c>
      <c r="J105" s="242">
        <f t="shared" si="18"/>
        <v>-6000</v>
      </c>
      <c r="K105" s="153"/>
      <c r="V105" s="25">
        <f t="shared" si="19"/>
        <v>0</v>
      </c>
      <c r="W105" s="25">
        <f t="shared" si="20"/>
        <v>1</v>
      </c>
    </row>
    <row r="106" spans="1:23" x14ac:dyDescent="0.3">
      <c r="A106" s="147"/>
      <c r="B106" s="205">
        <f t="shared" si="21"/>
        <v>15</v>
      </c>
      <c r="C106" s="206">
        <v>44582</v>
      </c>
      <c r="D106" s="161" t="s">
        <v>9</v>
      </c>
      <c r="E106" s="161" t="s">
        <v>39</v>
      </c>
      <c r="F106" s="207">
        <v>17650</v>
      </c>
      <c r="G106" s="207">
        <v>17670</v>
      </c>
      <c r="H106" s="161">
        <v>20</v>
      </c>
      <c r="I106" s="207">
        <v>150</v>
      </c>
      <c r="J106" s="242">
        <f t="shared" si="18"/>
        <v>3000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44585</v>
      </c>
      <c r="D107" s="161" t="s">
        <v>8</v>
      </c>
      <c r="E107" s="161" t="s">
        <v>39</v>
      </c>
      <c r="F107" s="207">
        <v>17420</v>
      </c>
      <c r="G107" s="207">
        <v>17340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44586</v>
      </c>
      <c r="D108" s="161" t="s">
        <v>9</v>
      </c>
      <c r="E108" s="161" t="s">
        <v>39</v>
      </c>
      <c r="F108" s="207">
        <v>17110</v>
      </c>
      <c r="G108" s="207">
        <v>17190</v>
      </c>
      <c r="H108" s="161"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44588</v>
      </c>
      <c r="D109" s="161" t="s">
        <v>9</v>
      </c>
      <c r="E109" s="161" t="s">
        <v>39</v>
      </c>
      <c r="F109" s="207">
        <v>17000</v>
      </c>
      <c r="G109" s="207">
        <v>17030</v>
      </c>
      <c r="H109" s="161">
        <v>30</v>
      </c>
      <c r="I109" s="207">
        <v>150</v>
      </c>
      <c r="J109" s="242">
        <f t="shared" si="18"/>
        <v>4500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44589</v>
      </c>
      <c r="D110" s="161" t="s">
        <v>9</v>
      </c>
      <c r="E110" s="161" t="s">
        <v>39</v>
      </c>
      <c r="F110" s="207">
        <v>17370</v>
      </c>
      <c r="G110" s="207">
        <v>17330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9"/>
        <v>0</v>
      </c>
      <c r="W110" s="25">
        <f t="shared" si="20"/>
        <v>1</v>
      </c>
    </row>
    <row r="111" spans="1:23" x14ac:dyDescent="0.3">
      <c r="A111" s="147"/>
      <c r="B111" s="205">
        <f t="shared" si="21"/>
        <v>20</v>
      </c>
      <c r="C111" s="206">
        <v>44592</v>
      </c>
      <c r="D111" s="161" t="s">
        <v>9</v>
      </c>
      <c r="E111" s="161" t="s">
        <v>39</v>
      </c>
      <c r="F111" s="207">
        <v>17350</v>
      </c>
      <c r="G111" s="207">
        <v>17367</v>
      </c>
      <c r="H111" s="161">
        <f>17367-17350</f>
        <v>17</v>
      </c>
      <c r="I111" s="207">
        <v>150</v>
      </c>
      <c r="J111" s="242">
        <f t="shared" si="18"/>
        <v>2550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114750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3647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44564</v>
      </c>
      <c r="D123" s="185" t="s">
        <v>9</v>
      </c>
      <c r="E123" s="185" t="s">
        <v>3486</v>
      </c>
      <c r="F123" s="219">
        <v>115</v>
      </c>
      <c r="G123" s="231">
        <v>165</v>
      </c>
      <c r="H123" s="231">
        <v>50</v>
      </c>
      <c r="I123" s="219">
        <v>300</v>
      </c>
      <c r="J123" s="246">
        <f t="shared" ref="J123:J146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44565</v>
      </c>
      <c r="D124" s="185" t="s">
        <v>9</v>
      </c>
      <c r="E124" s="185" t="s">
        <v>3504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44566</v>
      </c>
      <c r="D125" s="161" t="s">
        <v>9</v>
      </c>
      <c r="E125" s="161" t="s">
        <v>3487</v>
      </c>
      <c r="F125" s="207">
        <v>115</v>
      </c>
      <c r="G125" s="207">
        <v>165</v>
      </c>
      <c r="H125" s="161">
        <v>50</v>
      </c>
      <c r="I125" s="207">
        <v>300</v>
      </c>
      <c r="J125" s="242">
        <f t="shared" si="22"/>
        <v>15000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44567</v>
      </c>
      <c r="D126" s="161" t="s">
        <v>9</v>
      </c>
      <c r="E126" s="161" t="s">
        <v>1604</v>
      </c>
      <c r="F126" s="207">
        <v>100</v>
      </c>
      <c r="G126" s="207">
        <v>139</v>
      </c>
      <c r="H126" s="161">
        <v>39</v>
      </c>
      <c r="I126" s="207">
        <v>300</v>
      </c>
      <c r="J126" s="242">
        <f t="shared" si="22"/>
        <v>11700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44568</v>
      </c>
      <c r="D127" s="161" t="s">
        <v>9</v>
      </c>
      <c r="E127" s="161" t="s">
        <v>3503</v>
      </c>
      <c r="F127" s="207">
        <v>110</v>
      </c>
      <c r="G127" s="207">
        <v>120</v>
      </c>
      <c r="H127" s="161">
        <v>10</v>
      </c>
      <c r="I127" s="207">
        <v>300</v>
      </c>
      <c r="J127" s="242">
        <f t="shared" si="22"/>
        <v>3000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44571</v>
      </c>
      <c r="D128" s="161" t="s">
        <v>9</v>
      </c>
      <c r="E128" s="161" t="s">
        <v>3517</v>
      </c>
      <c r="F128" s="207">
        <v>105</v>
      </c>
      <c r="G128" s="222">
        <v>153</v>
      </c>
      <c r="H128" s="222">
        <f>153-105</f>
        <v>48</v>
      </c>
      <c r="I128" s="207">
        <v>300</v>
      </c>
      <c r="J128" s="242">
        <f t="shared" si="22"/>
        <v>14400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44572</v>
      </c>
      <c r="D129" s="161" t="s">
        <v>9</v>
      </c>
      <c r="E129" s="161" t="s">
        <v>3529</v>
      </c>
      <c r="F129" s="207">
        <v>100</v>
      </c>
      <c r="G129" s="207">
        <v>135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44573</v>
      </c>
      <c r="D130" s="161" t="s">
        <v>9</v>
      </c>
      <c r="E130" s="161" t="s">
        <v>3550</v>
      </c>
      <c r="F130" s="207">
        <v>105</v>
      </c>
      <c r="G130" s="207">
        <v>140</v>
      </c>
      <c r="H130" s="161">
        <f>140-105</f>
        <v>35</v>
      </c>
      <c r="I130" s="207">
        <v>300</v>
      </c>
      <c r="J130" s="242">
        <f t="shared" si="22"/>
        <v>10500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44574</v>
      </c>
      <c r="D131" s="161" t="s">
        <v>9</v>
      </c>
      <c r="E131" s="161" t="s">
        <v>3578</v>
      </c>
      <c r="F131" s="207">
        <v>75</v>
      </c>
      <c r="G131" s="207">
        <v>105</v>
      </c>
      <c r="H131" s="161">
        <f>105-75</f>
        <v>30</v>
      </c>
      <c r="I131" s="207">
        <v>300</v>
      </c>
      <c r="J131" s="242">
        <f t="shared" si="22"/>
        <v>9000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44575</v>
      </c>
      <c r="D132" s="161" t="s">
        <v>9</v>
      </c>
      <c r="E132" s="161" t="s">
        <v>3552</v>
      </c>
      <c r="F132" s="207">
        <v>110</v>
      </c>
      <c r="G132" s="222">
        <v>156</v>
      </c>
      <c r="H132" s="222">
        <f>156-110</f>
        <v>46</v>
      </c>
      <c r="I132" s="207">
        <v>300</v>
      </c>
      <c r="J132" s="242">
        <f t="shared" si="22"/>
        <v>13800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44579</v>
      </c>
      <c r="D133" s="161" t="s">
        <v>9</v>
      </c>
      <c r="E133" s="161" t="s">
        <v>3547</v>
      </c>
      <c r="F133" s="207">
        <v>100</v>
      </c>
      <c r="G133" s="222">
        <v>129</v>
      </c>
      <c r="H133" s="222">
        <v>29</v>
      </c>
      <c r="I133" s="207">
        <v>300</v>
      </c>
      <c r="J133" s="242">
        <f t="shared" si="22"/>
        <v>8700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44580</v>
      </c>
      <c r="D134" s="161" t="s">
        <v>9</v>
      </c>
      <c r="E134" s="161" t="s">
        <v>3529</v>
      </c>
      <c r="F134" s="207">
        <v>90</v>
      </c>
      <c r="G134" s="222">
        <v>109</v>
      </c>
      <c r="H134" s="222">
        <v>19</v>
      </c>
      <c r="I134" s="207">
        <v>300</v>
      </c>
      <c r="J134" s="242">
        <f t="shared" si="22"/>
        <v>5700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44581</v>
      </c>
      <c r="D135" s="161" t="s">
        <v>9</v>
      </c>
      <c r="E135" s="161" t="s">
        <v>3566</v>
      </c>
      <c r="F135" s="207">
        <v>90</v>
      </c>
      <c r="G135" s="222">
        <v>140</v>
      </c>
      <c r="H135" s="222">
        <f>140-90</f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44582</v>
      </c>
      <c r="D136" s="161" t="s">
        <v>9</v>
      </c>
      <c r="E136" s="161" t="s">
        <v>1539</v>
      </c>
      <c r="F136" s="207">
        <v>110</v>
      </c>
      <c r="G136" s="207">
        <v>85</v>
      </c>
      <c r="H136" s="161">
        <v>-30</v>
      </c>
      <c r="I136" s="207">
        <v>300</v>
      </c>
      <c r="J136" s="242">
        <f>I136*H136</f>
        <v>-9000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5"/>
        <v>15</v>
      </c>
      <c r="C137" s="206">
        <v>44585</v>
      </c>
      <c r="D137" s="161" t="s">
        <v>9</v>
      </c>
      <c r="E137" s="161" t="s">
        <v>1516</v>
      </c>
      <c r="F137" s="207">
        <v>115</v>
      </c>
      <c r="G137" s="207">
        <v>165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44586</v>
      </c>
      <c r="D138" s="161" t="s">
        <v>9</v>
      </c>
      <c r="E138" s="161" t="s">
        <v>3454</v>
      </c>
      <c r="F138" s="207">
        <v>105</v>
      </c>
      <c r="G138" s="207">
        <v>120</v>
      </c>
      <c r="H138" s="161">
        <f>120-105</f>
        <v>15</v>
      </c>
      <c r="I138" s="207">
        <v>300</v>
      </c>
      <c r="J138" s="242">
        <f t="shared" si="22"/>
        <v>4500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44588</v>
      </c>
      <c r="D139" s="161" t="s">
        <v>9</v>
      </c>
      <c r="E139" s="161" t="s">
        <v>1389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44589</v>
      </c>
      <c r="D140" s="161" t="s">
        <v>9</v>
      </c>
      <c r="E140" s="161" t="s">
        <v>2954</v>
      </c>
      <c r="F140" s="207">
        <v>165</v>
      </c>
      <c r="G140" s="222">
        <v>180</v>
      </c>
      <c r="H140" s="222">
        <f>180-165</f>
        <v>15</v>
      </c>
      <c r="I140" s="207">
        <v>300</v>
      </c>
      <c r="J140" s="242">
        <f t="shared" si="22"/>
        <v>4500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44592</v>
      </c>
      <c r="D141" s="161" t="s">
        <v>9</v>
      </c>
      <c r="E141" s="161" t="s">
        <v>2954</v>
      </c>
      <c r="F141" s="207">
        <v>155</v>
      </c>
      <c r="G141" s="222">
        <v>190</v>
      </c>
      <c r="H141" s="222">
        <f>190-155</f>
        <v>35</v>
      </c>
      <c r="I141" s="207">
        <v>300</v>
      </c>
      <c r="J141" s="242">
        <f t="shared" si="22"/>
        <v>10500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6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187800</v>
      </c>
      <c r="K147" s="153"/>
      <c r="V147" s="25">
        <f>SUM(V123:V146)</f>
        <v>18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3645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44564</v>
      </c>
      <c r="D155" s="185" t="s">
        <v>9</v>
      </c>
      <c r="E155" s="185" t="s">
        <v>301</v>
      </c>
      <c r="F155" s="219">
        <v>38150</v>
      </c>
      <c r="G155" s="231">
        <v>38250</v>
      </c>
      <c r="H155" s="185">
        <v>100</v>
      </c>
      <c r="I155" s="219">
        <v>50</v>
      </c>
      <c r="J155" s="246">
        <f t="shared" ref="J155:J177" si="26">I155*H155</f>
        <v>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44565</v>
      </c>
      <c r="D156" s="185" t="s">
        <v>9</v>
      </c>
      <c r="E156" s="185" t="s">
        <v>301</v>
      </c>
      <c r="F156" s="219">
        <v>36800</v>
      </c>
      <c r="G156" s="219">
        <v>37000</v>
      </c>
      <c r="H156" s="185">
        <f>37000-36800</f>
        <v>200</v>
      </c>
      <c r="I156" s="219">
        <v>50</v>
      </c>
      <c r="J156" s="242">
        <f t="shared" si="26"/>
        <v>10000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44566</v>
      </c>
      <c r="D157" s="161" t="s">
        <v>9</v>
      </c>
      <c r="E157" s="161" t="s">
        <v>301</v>
      </c>
      <c r="F157" s="207">
        <v>37400</v>
      </c>
      <c r="G157" s="207">
        <v>37700</v>
      </c>
      <c r="H157" s="161">
        <v>300</v>
      </c>
      <c r="I157" s="207">
        <v>50</v>
      </c>
      <c r="J157" s="242">
        <f t="shared" si="26"/>
        <v>15000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44567</v>
      </c>
      <c r="D158" s="161" t="s">
        <v>8</v>
      </c>
      <c r="E158" s="161" t="s">
        <v>301</v>
      </c>
      <c r="F158" s="207">
        <v>37350</v>
      </c>
      <c r="G158" s="207">
        <v>37240</v>
      </c>
      <c r="H158" s="161">
        <f>37350-37240</f>
        <v>110</v>
      </c>
      <c r="I158" s="207">
        <v>50</v>
      </c>
      <c r="J158" s="242">
        <f t="shared" si="26"/>
        <v>5500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44568</v>
      </c>
      <c r="D159" s="161" t="s">
        <v>9</v>
      </c>
      <c r="E159" s="161" t="s">
        <v>301</v>
      </c>
      <c r="F159" s="207">
        <v>38150</v>
      </c>
      <c r="G159" s="207">
        <v>38250</v>
      </c>
      <c r="H159" s="161">
        <v>100</v>
      </c>
      <c r="I159" s="207">
        <v>50</v>
      </c>
      <c r="J159" s="242">
        <f t="shared" si="26"/>
        <v>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44571</v>
      </c>
      <c r="D160" s="161" t="s">
        <v>9</v>
      </c>
      <c r="E160" s="161" t="s">
        <v>301</v>
      </c>
      <c r="F160" s="207">
        <v>38250</v>
      </c>
      <c r="G160" s="207">
        <v>38450</v>
      </c>
      <c r="H160" s="161">
        <v>200</v>
      </c>
      <c r="I160" s="207">
        <v>50</v>
      </c>
      <c r="J160" s="242">
        <f t="shared" si="26"/>
        <v>10000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44572</v>
      </c>
      <c r="D161" s="161" t="s">
        <v>9</v>
      </c>
      <c r="E161" s="161" t="s">
        <v>301</v>
      </c>
      <c r="F161" s="207">
        <v>38300</v>
      </c>
      <c r="G161" s="207">
        <v>38600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44573</v>
      </c>
      <c r="D162" s="161" t="s">
        <v>9</v>
      </c>
      <c r="E162" s="161" t="s">
        <v>301</v>
      </c>
      <c r="F162" s="207">
        <v>38900</v>
      </c>
      <c r="G162" s="207">
        <v>38950</v>
      </c>
      <c r="H162" s="161">
        <v>50</v>
      </c>
      <c r="I162" s="207">
        <v>50</v>
      </c>
      <c r="J162" s="242">
        <f t="shared" si="26"/>
        <v>2500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44574</v>
      </c>
      <c r="D163" s="161" t="s">
        <v>9</v>
      </c>
      <c r="E163" s="161" t="s">
        <v>301</v>
      </c>
      <c r="F163" s="207">
        <v>38750</v>
      </c>
      <c r="G163" s="207">
        <v>38810</v>
      </c>
      <c r="H163" s="161">
        <f>38810-38750</f>
        <v>60</v>
      </c>
      <c r="I163" s="207">
        <v>50</v>
      </c>
      <c r="J163" s="242">
        <f t="shared" si="26"/>
        <v>3000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44575</v>
      </c>
      <c r="D164" s="161" t="s">
        <v>9</v>
      </c>
      <c r="E164" s="161" t="s">
        <v>301</v>
      </c>
      <c r="F164" s="207">
        <v>38400</v>
      </c>
      <c r="G164" s="207">
        <v>38470</v>
      </c>
      <c r="H164" s="161">
        <v>70</v>
      </c>
      <c r="I164" s="207">
        <v>50</v>
      </c>
      <c r="J164" s="242">
        <f t="shared" si="26"/>
        <v>3500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44578</v>
      </c>
      <c r="D165" s="161" t="s">
        <v>9</v>
      </c>
      <c r="E165" s="161" t="s">
        <v>301</v>
      </c>
      <c r="F165" s="207">
        <v>38400</v>
      </c>
      <c r="G165" s="207">
        <v>38495</v>
      </c>
      <c r="H165" s="161">
        <v>95</v>
      </c>
      <c r="I165" s="207">
        <v>50</v>
      </c>
      <c r="J165" s="242">
        <f t="shared" si="26"/>
        <v>4750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44579</v>
      </c>
      <c r="D166" s="161" t="s">
        <v>9</v>
      </c>
      <c r="E166" s="161" t="s">
        <v>301</v>
      </c>
      <c r="F166" s="207">
        <v>38400</v>
      </c>
      <c r="G166" s="207">
        <v>38660</v>
      </c>
      <c r="H166" s="161">
        <v>260</v>
      </c>
      <c r="I166" s="207">
        <v>50</v>
      </c>
      <c r="J166" s="242">
        <f t="shared" si="26"/>
        <v>13000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44580</v>
      </c>
      <c r="D167" s="161" t="s">
        <v>9</v>
      </c>
      <c r="E167" s="161" t="s">
        <v>301</v>
      </c>
      <c r="F167" s="207">
        <v>3810</v>
      </c>
      <c r="G167" s="207">
        <v>38400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44581</v>
      </c>
      <c r="D168" s="161" t="s">
        <v>9</v>
      </c>
      <c r="E168" s="161" t="s">
        <v>301</v>
      </c>
      <c r="F168" s="207">
        <v>38200</v>
      </c>
      <c r="G168" s="207">
        <v>38050</v>
      </c>
      <c r="H168" s="161">
        <v>-150</v>
      </c>
      <c r="I168" s="207">
        <v>50</v>
      </c>
      <c r="J168" s="242">
        <f t="shared" si="26"/>
        <v>-7500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15</v>
      </c>
      <c r="C169" s="206">
        <v>44582</v>
      </c>
      <c r="D169" s="161" t="s">
        <v>9</v>
      </c>
      <c r="E169" s="161" t="s">
        <v>301</v>
      </c>
      <c r="F169" s="207">
        <v>37450</v>
      </c>
      <c r="G169" s="207">
        <v>37300</v>
      </c>
      <c r="H169" s="161">
        <v>-150</v>
      </c>
      <c r="I169" s="207">
        <v>50</v>
      </c>
      <c r="J169" s="242">
        <f t="shared" si="26"/>
        <v>-7500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16</v>
      </c>
      <c r="C170" s="206">
        <v>44585</v>
      </c>
      <c r="D170" s="161" t="s">
        <v>9</v>
      </c>
      <c r="E170" s="161" t="s">
        <v>301</v>
      </c>
      <c r="F170" s="207">
        <v>37600</v>
      </c>
      <c r="G170" s="207">
        <v>37660</v>
      </c>
      <c r="H170" s="161">
        <v>60</v>
      </c>
      <c r="I170" s="207">
        <v>50</v>
      </c>
      <c r="J170" s="242">
        <f t="shared" si="26"/>
        <v>3000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44586</v>
      </c>
      <c r="D171" s="161" t="s">
        <v>9</v>
      </c>
      <c r="E171" s="161" t="s">
        <v>301</v>
      </c>
      <c r="F171" s="207">
        <v>37100</v>
      </c>
      <c r="G171" s="207">
        <v>37300</v>
      </c>
      <c r="H171" s="161">
        <v>200</v>
      </c>
      <c r="I171" s="207">
        <v>50</v>
      </c>
      <c r="J171" s="242">
        <f t="shared" si="26"/>
        <v>10000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44588</v>
      </c>
      <c r="D172" s="161" t="s">
        <v>9</v>
      </c>
      <c r="E172" s="161" t="s">
        <v>301</v>
      </c>
      <c r="F172" s="207">
        <v>37300</v>
      </c>
      <c r="G172" s="207">
        <v>37410</v>
      </c>
      <c r="H172" s="161">
        <f>37410-37300</f>
        <v>110</v>
      </c>
      <c r="I172" s="207">
        <v>50</v>
      </c>
      <c r="J172" s="242">
        <f t="shared" si="26"/>
        <v>5500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44589</v>
      </c>
      <c r="D173" s="161" t="s">
        <v>9</v>
      </c>
      <c r="E173" s="161" t="s">
        <v>301</v>
      </c>
      <c r="F173" s="207">
        <v>38400</v>
      </c>
      <c r="G173" s="207">
        <v>38475</v>
      </c>
      <c r="H173" s="161">
        <v>75</v>
      </c>
      <c r="I173" s="207">
        <v>50</v>
      </c>
      <c r="J173" s="242">
        <f t="shared" si="26"/>
        <v>3750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44592</v>
      </c>
      <c r="D174" s="161" t="s">
        <v>8</v>
      </c>
      <c r="E174" s="161" t="s">
        <v>301</v>
      </c>
      <c r="F174" s="207">
        <v>37950</v>
      </c>
      <c r="G174" s="207">
        <v>37757</v>
      </c>
      <c r="H174" s="161">
        <v>193</v>
      </c>
      <c r="I174" s="207">
        <v>50</v>
      </c>
      <c r="J174" s="242">
        <f t="shared" si="26"/>
        <v>9650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124150</v>
      </c>
      <c r="K178" s="153"/>
      <c r="V178" s="25">
        <f>SUM(V155:V177)</f>
        <v>18</v>
      </c>
      <c r="W178" s="25">
        <f>SUM(W155:W177)</f>
        <v>2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3644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44564</v>
      </c>
      <c r="D186" s="185" t="s">
        <v>9</v>
      </c>
      <c r="E186" s="185" t="s">
        <v>3236</v>
      </c>
      <c r="F186" s="219">
        <v>250</v>
      </c>
      <c r="G186" s="219">
        <v>450</v>
      </c>
      <c r="H186" s="185">
        <v>200</v>
      </c>
      <c r="I186" s="219">
        <v>100</v>
      </c>
      <c r="J186" s="246">
        <f t="shared" ref="J186:J208" si="30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44565</v>
      </c>
      <c r="D187" s="185" t="s">
        <v>9</v>
      </c>
      <c r="E187" s="185" t="s">
        <v>3240</v>
      </c>
      <c r="F187" s="219">
        <v>250</v>
      </c>
      <c r="G187" s="219">
        <v>310</v>
      </c>
      <c r="H187" s="185">
        <f>310-250</f>
        <v>60</v>
      </c>
      <c r="I187" s="219">
        <v>100</v>
      </c>
      <c r="J187" s="242">
        <f t="shared" si="30"/>
        <v>6000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44566</v>
      </c>
      <c r="D188" s="161" t="s">
        <v>9</v>
      </c>
      <c r="E188" s="161" t="s">
        <v>3591</v>
      </c>
      <c r="F188" s="207">
        <v>180</v>
      </c>
      <c r="G188" s="207">
        <v>380</v>
      </c>
      <c r="H188" s="161">
        <v>200</v>
      </c>
      <c r="I188" s="207">
        <v>100</v>
      </c>
      <c r="J188" s="242">
        <f t="shared" si="30"/>
        <v>20000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44567</v>
      </c>
      <c r="D189" s="161" t="s">
        <v>9</v>
      </c>
      <c r="E189" s="161" t="s">
        <v>3619</v>
      </c>
      <c r="F189" s="207">
        <v>190</v>
      </c>
      <c r="G189" s="207">
        <v>225</v>
      </c>
      <c r="H189" s="161">
        <f>225-190</f>
        <v>35</v>
      </c>
      <c r="I189" s="207">
        <v>100</v>
      </c>
      <c r="J189" s="242">
        <f t="shared" si="30"/>
        <v>3500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44568</v>
      </c>
      <c r="D190" s="161" t="s">
        <v>9</v>
      </c>
      <c r="E190" s="161" t="s">
        <v>3520</v>
      </c>
      <c r="F190" s="207">
        <v>420</v>
      </c>
      <c r="G190" s="207">
        <v>465</v>
      </c>
      <c r="H190" s="161">
        <f>465-420</f>
        <v>45</v>
      </c>
      <c r="I190" s="207">
        <v>100</v>
      </c>
      <c r="J190" s="242">
        <f t="shared" si="30"/>
        <v>4500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44571</v>
      </c>
      <c r="D191" s="161" t="s">
        <v>9</v>
      </c>
      <c r="E191" s="161" t="s">
        <v>3532</v>
      </c>
      <c r="F191" s="207">
        <v>300</v>
      </c>
      <c r="G191" s="207">
        <v>394</v>
      </c>
      <c r="H191" s="161">
        <v>94</v>
      </c>
      <c r="I191" s="207">
        <v>100</v>
      </c>
      <c r="J191" s="242">
        <f t="shared" si="30"/>
        <v>9400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44572</v>
      </c>
      <c r="D192" s="161" t="s">
        <v>9</v>
      </c>
      <c r="E192" s="161" t="s">
        <v>3532</v>
      </c>
      <c r="F192" s="207">
        <v>260</v>
      </c>
      <c r="G192" s="207">
        <v>405</v>
      </c>
      <c r="H192" s="161">
        <f>405-260</f>
        <v>145</v>
      </c>
      <c r="I192" s="207">
        <v>100</v>
      </c>
      <c r="J192" s="242">
        <f t="shared" si="30"/>
        <v>14500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44573</v>
      </c>
      <c r="D193" s="161" t="s">
        <v>9</v>
      </c>
      <c r="E193" s="161" t="s">
        <v>3658</v>
      </c>
      <c r="F193" s="207">
        <v>220</v>
      </c>
      <c r="G193" s="207">
        <v>180</v>
      </c>
      <c r="H193" s="161">
        <v>-40</v>
      </c>
      <c r="I193" s="207">
        <v>100</v>
      </c>
      <c r="J193" s="242">
        <f t="shared" si="30"/>
        <v>-4000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9</v>
      </c>
      <c r="C194" s="206">
        <v>44574</v>
      </c>
      <c r="D194" s="161" t="s">
        <v>9</v>
      </c>
      <c r="E194" s="161" t="s">
        <v>3659</v>
      </c>
      <c r="F194" s="207">
        <v>150</v>
      </c>
      <c r="G194" s="207">
        <v>50</v>
      </c>
      <c r="H194" s="161">
        <v>-100</v>
      </c>
      <c r="I194" s="207">
        <v>100</v>
      </c>
      <c r="J194" s="242">
        <f t="shared" si="30"/>
        <v>-10000</v>
      </c>
      <c r="K194" s="153"/>
      <c r="V194" s="25">
        <f t="shared" si="31"/>
        <v>0</v>
      </c>
      <c r="W194" s="25">
        <f t="shared" si="32"/>
        <v>1</v>
      </c>
    </row>
    <row r="195" spans="1:23" x14ac:dyDescent="0.3">
      <c r="A195" s="147"/>
      <c r="B195" s="205">
        <f t="shared" si="33"/>
        <v>10</v>
      </c>
      <c r="C195" s="206">
        <v>44575</v>
      </c>
      <c r="D195" s="161" t="s">
        <v>9</v>
      </c>
      <c r="E195" s="161" t="s">
        <v>3660</v>
      </c>
      <c r="F195" s="207">
        <v>300</v>
      </c>
      <c r="G195" s="207">
        <v>400</v>
      </c>
      <c r="H195" s="161">
        <v>100</v>
      </c>
      <c r="I195" s="207">
        <v>100</v>
      </c>
      <c r="J195" s="242">
        <f t="shared" si="30"/>
        <v>10000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44578</v>
      </c>
      <c r="D196" s="161" t="s">
        <v>9</v>
      </c>
      <c r="E196" s="161" t="s">
        <v>3506</v>
      </c>
      <c r="F196" s="207">
        <v>340</v>
      </c>
      <c r="G196" s="207">
        <v>270</v>
      </c>
      <c r="H196" s="161">
        <v>-70</v>
      </c>
      <c r="I196" s="207">
        <v>100</v>
      </c>
      <c r="J196" s="242">
        <f t="shared" si="30"/>
        <v>-7000</v>
      </c>
      <c r="K196" s="153"/>
      <c r="V196" s="25">
        <f t="shared" si="31"/>
        <v>0</v>
      </c>
      <c r="W196" s="25">
        <f t="shared" si="32"/>
        <v>1</v>
      </c>
    </row>
    <row r="197" spans="1:23" x14ac:dyDescent="0.3">
      <c r="A197" s="147"/>
      <c r="B197" s="205">
        <f t="shared" si="33"/>
        <v>12</v>
      </c>
      <c r="C197" s="206">
        <v>44579</v>
      </c>
      <c r="D197" s="161" t="s">
        <v>9</v>
      </c>
      <c r="E197" s="161" t="s">
        <v>3506</v>
      </c>
      <c r="F197" s="207">
        <v>260</v>
      </c>
      <c r="G197" s="207">
        <v>460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44580</v>
      </c>
      <c r="D198" s="161" t="s">
        <v>9</v>
      </c>
      <c r="E198" s="161" t="s">
        <v>3520</v>
      </c>
      <c r="F198" s="207">
        <v>220</v>
      </c>
      <c r="G198" s="207">
        <v>375</v>
      </c>
      <c r="H198" s="161">
        <f>375-220</f>
        <v>155</v>
      </c>
      <c r="I198" s="207">
        <v>100</v>
      </c>
      <c r="J198" s="242">
        <f t="shared" si="30"/>
        <v>15500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44581</v>
      </c>
      <c r="D199" s="161" t="s">
        <v>9</v>
      </c>
      <c r="E199" s="161" t="s">
        <v>3661</v>
      </c>
      <c r="F199" s="207">
        <v>210</v>
      </c>
      <c r="G199" s="207">
        <v>350</v>
      </c>
      <c r="H199" s="161">
        <f>350-210</f>
        <v>140</v>
      </c>
      <c r="I199" s="207">
        <v>100</v>
      </c>
      <c r="J199" s="242">
        <f t="shared" si="30"/>
        <v>14000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44582</v>
      </c>
      <c r="D200" s="161" t="s">
        <v>9</v>
      </c>
      <c r="E200" s="161" t="s">
        <v>3619</v>
      </c>
      <c r="F200" s="207">
        <v>400</v>
      </c>
      <c r="G200" s="207">
        <v>300</v>
      </c>
      <c r="H200" s="161">
        <v>-100</v>
      </c>
      <c r="I200" s="207">
        <v>100</v>
      </c>
      <c r="J200" s="242">
        <f t="shared" si="30"/>
        <v>-10000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16</v>
      </c>
      <c r="C201" s="206">
        <v>44585</v>
      </c>
      <c r="D201" s="161" t="s">
        <v>9</v>
      </c>
      <c r="E201" s="161" t="s">
        <v>3671</v>
      </c>
      <c r="F201" s="207">
        <v>370</v>
      </c>
      <c r="G201" s="207">
        <v>570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44586</v>
      </c>
      <c r="D202" s="161" t="s">
        <v>9</v>
      </c>
      <c r="E202" s="161" t="s">
        <v>3461</v>
      </c>
      <c r="F202" s="207">
        <v>370</v>
      </c>
      <c r="G202" s="207">
        <v>570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44588</v>
      </c>
      <c r="D203" s="161" t="s">
        <v>9</v>
      </c>
      <c r="E203" s="161" t="s">
        <v>3590</v>
      </c>
      <c r="F203" s="207">
        <v>170</v>
      </c>
      <c r="G203" s="207">
        <v>266</v>
      </c>
      <c r="H203" s="161">
        <f>266-170</f>
        <v>96</v>
      </c>
      <c r="I203" s="207">
        <v>100</v>
      </c>
      <c r="J203" s="242">
        <f t="shared" si="30"/>
        <v>9600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44589</v>
      </c>
      <c r="D204" s="161" t="s">
        <v>9</v>
      </c>
      <c r="E204" s="161" t="s">
        <v>3659</v>
      </c>
      <c r="F204" s="207">
        <v>550</v>
      </c>
      <c r="G204" s="207">
        <v>613</v>
      </c>
      <c r="H204" s="161">
        <f>613-550</f>
        <v>63</v>
      </c>
      <c r="I204" s="207">
        <v>100</v>
      </c>
      <c r="J204" s="242">
        <f t="shared" si="30"/>
        <v>6300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44592</v>
      </c>
      <c r="D205" s="161" t="s">
        <v>9</v>
      </c>
      <c r="E205" s="161" t="s">
        <v>3671</v>
      </c>
      <c r="F205" s="207">
        <v>600</v>
      </c>
      <c r="G205" s="207">
        <v>660</v>
      </c>
      <c r="H205" s="161">
        <v>60</v>
      </c>
      <c r="I205" s="207">
        <v>100</v>
      </c>
      <c r="J205" s="242">
        <f t="shared" si="30"/>
        <v>6000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168300</v>
      </c>
      <c r="K209" s="153"/>
      <c r="V209" s="25">
        <f>SUM(V186:V208)</f>
        <v>16</v>
      </c>
      <c r="W209" s="25">
        <f>SUM(W186:W208)</f>
        <v>4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3645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44564</v>
      </c>
      <c r="D217" s="185" t="s">
        <v>9</v>
      </c>
      <c r="E217" s="185" t="s">
        <v>3648</v>
      </c>
      <c r="F217" s="231">
        <v>58</v>
      </c>
      <c r="G217" s="231">
        <v>68</v>
      </c>
      <c r="H217" s="231">
        <v>1</v>
      </c>
      <c r="I217" s="219">
        <v>250</v>
      </c>
      <c r="J217" s="246">
        <f t="shared" ref="J217:J240" si="34">I217*H217</f>
        <v>250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44565</v>
      </c>
      <c r="D218" s="185" t="s">
        <v>9</v>
      </c>
      <c r="E218" s="185" t="s">
        <v>3652</v>
      </c>
      <c r="F218" s="231">
        <v>50</v>
      </c>
      <c r="G218" s="231">
        <v>57</v>
      </c>
      <c r="H218" s="231">
        <v>7</v>
      </c>
      <c r="I218" s="219">
        <v>400</v>
      </c>
      <c r="J218" s="242">
        <f>I218*H218</f>
        <v>2800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5">B218+1</f>
        <v>3</v>
      </c>
      <c r="C219" s="206">
        <v>44566</v>
      </c>
      <c r="D219" s="161" t="s">
        <v>9</v>
      </c>
      <c r="E219" s="161" t="s">
        <v>3653</v>
      </c>
      <c r="F219" s="222">
        <v>45</v>
      </c>
      <c r="G219" s="222">
        <v>55</v>
      </c>
      <c r="H219" s="222">
        <v>10</v>
      </c>
      <c r="I219" s="207">
        <v>300</v>
      </c>
      <c r="J219" s="242">
        <f t="shared" si="34"/>
        <v>3000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44567</v>
      </c>
      <c r="D220" s="161" t="s">
        <v>9</v>
      </c>
      <c r="E220" s="161" t="s">
        <v>3654</v>
      </c>
      <c r="F220" s="222">
        <v>23</v>
      </c>
      <c r="G220" s="222">
        <v>26</v>
      </c>
      <c r="H220" s="222">
        <v>3</v>
      </c>
      <c r="I220" s="207">
        <v>850</v>
      </c>
      <c r="J220" s="242">
        <f t="shared" si="34"/>
        <v>2550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44568</v>
      </c>
      <c r="D221" s="161" t="s">
        <v>9</v>
      </c>
      <c r="E221" s="161" t="s">
        <v>3655</v>
      </c>
      <c r="F221" s="222">
        <v>35</v>
      </c>
      <c r="G221" s="222">
        <v>45</v>
      </c>
      <c r="H221" s="222">
        <v>10</v>
      </c>
      <c r="I221" s="207">
        <v>875</v>
      </c>
      <c r="J221" s="242">
        <f t="shared" si="34"/>
        <v>8750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44571</v>
      </c>
      <c r="D222" s="161" t="s">
        <v>9</v>
      </c>
      <c r="E222" s="161" t="s">
        <v>3662</v>
      </c>
      <c r="F222" s="222">
        <v>53</v>
      </c>
      <c r="G222" s="222">
        <v>67</v>
      </c>
      <c r="H222" s="222">
        <f>67-53</f>
        <v>14</v>
      </c>
      <c r="I222" s="207">
        <v>550</v>
      </c>
      <c r="J222" s="242">
        <f t="shared" si="34"/>
        <v>7700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44572</v>
      </c>
      <c r="D223" s="161" t="s">
        <v>9</v>
      </c>
      <c r="E223" s="161" t="s">
        <v>2436</v>
      </c>
      <c r="F223" s="222">
        <v>9</v>
      </c>
      <c r="G223" s="222">
        <v>11</v>
      </c>
      <c r="H223" s="222">
        <v>2</v>
      </c>
      <c r="I223" s="207">
        <v>3100</v>
      </c>
      <c r="J223" s="242">
        <f t="shared" si="34"/>
        <v>6200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44573</v>
      </c>
      <c r="D224" s="161" t="s">
        <v>9</v>
      </c>
      <c r="E224" s="161" t="s">
        <v>3663</v>
      </c>
      <c r="F224" s="222">
        <v>155</v>
      </c>
      <c r="G224" s="222">
        <v>165</v>
      </c>
      <c r="H224" s="222">
        <v>10</v>
      </c>
      <c r="I224" s="207">
        <v>125</v>
      </c>
      <c r="J224" s="242">
        <f t="shared" si="34"/>
        <v>1250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44574</v>
      </c>
      <c r="D225" s="161" t="s">
        <v>9</v>
      </c>
      <c r="E225" s="161" t="s">
        <v>3664</v>
      </c>
      <c r="F225" s="222">
        <v>44</v>
      </c>
      <c r="G225" s="222">
        <v>34</v>
      </c>
      <c r="H225" s="255">
        <v>-10</v>
      </c>
      <c r="I225" s="207">
        <v>300</v>
      </c>
      <c r="J225" s="242">
        <f t="shared" si="34"/>
        <v>-3000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44575</v>
      </c>
      <c r="D226" s="161" t="s">
        <v>9</v>
      </c>
      <c r="E226" s="161" t="s">
        <v>3665</v>
      </c>
      <c r="F226" s="222">
        <v>210</v>
      </c>
      <c r="G226" s="222">
        <v>225</v>
      </c>
      <c r="H226" s="255">
        <f>225-210</f>
        <v>15</v>
      </c>
      <c r="I226" s="207">
        <v>125</v>
      </c>
      <c r="J226" s="242">
        <f t="shared" si="34"/>
        <v>1875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44575</v>
      </c>
      <c r="D227" s="161" t="s">
        <v>9</v>
      </c>
      <c r="E227" s="161" t="s">
        <v>3666</v>
      </c>
      <c r="F227" s="222">
        <v>56</v>
      </c>
      <c r="G227" s="222">
        <v>59.9</v>
      </c>
      <c r="H227" s="255">
        <v>3.9</v>
      </c>
      <c r="I227" s="207">
        <v>350</v>
      </c>
      <c r="J227" s="242">
        <f t="shared" si="34"/>
        <v>1365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44578</v>
      </c>
      <c r="D228" s="161" t="s">
        <v>9</v>
      </c>
      <c r="E228" s="161" t="s">
        <v>3667</v>
      </c>
      <c r="F228" s="222">
        <v>29</v>
      </c>
      <c r="G228" s="222">
        <v>33</v>
      </c>
      <c r="H228" s="255">
        <v>4</v>
      </c>
      <c r="I228" s="207">
        <v>425</v>
      </c>
      <c r="J228" s="242">
        <f t="shared" si="34"/>
        <v>1700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44579</v>
      </c>
      <c r="D229" s="161" t="s">
        <v>9</v>
      </c>
      <c r="E229" s="161" t="s">
        <v>3668</v>
      </c>
      <c r="F229" s="222">
        <v>17</v>
      </c>
      <c r="G229" s="222">
        <v>21.5</v>
      </c>
      <c r="H229" s="255">
        <v>4.5</v>
      </c>
      <c r="I229" s="207">
        <v>1250</v>
      </c>
      <c r="J229" s="242">
        <f t="shared" si="34"/>
        <v>5625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44580</v>
      </c>
      <c r="D230" s="161" t="s">
        <v>9</v>
      </c>
      <c r="E230" s="161" t="s">
        <v>2418</v>
      </c>
      <c r="F230" s="222">
        <v>7</v>
      </c>
      <c r="G230" s="222">
        <v>8</v>
      </c>
      <c r="H230" s="255">
        <v>1</v>
      </c>
      <c r="I230" s="207">
        <v>3100</v>
      </c>
      <c r="J230" s="242">
        <f>I230*H230</f>
        <v>3100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44581</v>
      </c>
      <c r="D231" s="161" t="s">
        <v>9</v>
      </c>
      <c r="E231" s="161" t="s">
        <v>3669</v>
      </c>
      <c r="F231" s="222">
        <v>45</v>
      </c>
      <c r="G231" s="222">
        <v>55</v>
      </c>
      <c r="H231" s="255">
        <v>10</v>
      </c>
      <c r="I231" s="207">
        <v>275</v>
      </c>
      <c r="J231" s="242">
        <f t="shared" si="34"/>
        <v>2750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44582</v>
      </c>
      <c r="D232" s="161" t="s">
        <v>9</v>
      </c>
      <c r="E232" s="161" t="s">
        <v>3670</v>
      </c>
      <c r="F232" s="222">
        <v>17</v>
      </c>
      <c r="G232" s="222">
        <v>11</v>
      </c>
      <c r="H232" s="222">
        <v>-6</v>
      </c>
      <c r="I232" s="207">
        <v>1250</v>
      </c>
      <c r="J232" s="242">
        <f t="shared" si="34"/>
        <v>-7500</v>
      </c>
      <c r="K232" s="153"/>
      <c r="V232" s="25">
        <f t="shared" si="36"/>
        <v>0</v>
      </c>
      <c r="W232" s="25">
        <f t="shared" si="37"/>
        <v>1</v>
      </c>
    </row>
    <row r="233" spans="1:23" x14ac:dyDescent="0.3">
      <c r="A233" s="147"/>
      <c r="B233" s="205">
        <f t="shared" si="35"/>
        <v>17</v>
      </c>
      <c r="C233" s="206">
        <v>44585</v>
      </c>
      <c r="D233" s="161" t="s">
        <v>9</v>
      </c>
      <c r="E233" s="161" t="s">
        <v>3672</v>
      </c>
      <c r="F233" s="222">
        <v>30</v>
      </c>
      <c r="G233" s="222">
        <v>46</v>
      </c>
      <c r="H233" s="222">
        <v>16</v>
      </c>
      <c r="I233" s="207">
        <v>150</v>
      </c>
      <c r="J233" s="242">
        <f t="shared" si="34"/>
        <v>2400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44586</v>
      </c>
      <c r="D234" s="161" t="s">
        <v>9</v>
      </c>
      <c r="E234" s="161" t="s">
        <v>2859</v>
      </c>
      <c r="F234" s="222">
        <v>7</v>
      </c>
      <c r="G234" s="222">
        <v>13</v>
      </c>
      <c r="H234" s="222">
        <v>6</v>
      </c>
      <c r="I234" s="207">
        <v>1200</v>
      </c>
      <c r="J234" s="242">
        <f t="shared" si="34"/>
        <v>7200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44588</v>
      </c>
      <c r="D235" s="161" t="s">
        <v>9</v>
      </c>
      <c r="E235" s="161" t="s">
        <v>3673</v>
      </c>
      <c r="F235" s="222">
        <v>9</v>
      </c>
      <c r="G235" s="222">
        <v>11</v>
      </c>
      <c r="H235" s="222">
        <v>2</v>
      </c>
      <c r="I235" s="207">
        <v>650</v>
      </c>
      <c r="J235" s="242">
        <f t="shared" si="34"/>
        <v>1300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>
        <v>44589</v>
      </c>
      <c r="D236" s="161" t="s">
        <v>9</v>
      </c>
      <c r="E236" s="161" t="s">
        <v>3675</v>
      </c>
      <c r="F236" s="222">
        <v>36</v>
      </c>
      <c r="G236" s="222">
        <v>26</v>
      </c>
      <c r="H236" s="222">
        <v>-10</v>
      </c>
      <c r="I236" s="207">
        <v>700</v>
      </c>
      <c r="J236" s="242">
        <f t="shared" si="34"/>
        <v>-7000</v>
      </c>
      <c r="K236" s="153"/>
      <c r="V236" s="25">
        <f t="shared" si="36"/>
        <v>0</v>
      </c>
      <c r="W236" s="25">
        <f t="shared" si="37"/>
        <v>1</v>
      </c>
    </row>
    <row r="237" spans="1:23" x14ac:dyDescent="0.3">
      <c r="A237" s="147"/>
      <c r="B237" s="205">
        <f t="shared" si="35"/>
        <v>21</v>
      </c>
      <c r="C237" s="206">
        <v>44592</v>
      </c>
      <c r="D237" s="161" t="s">
        <v>9</v>
      </c>
      <c r="E237" s="161" t="s">
        <v>3674</v>
      </c>
      <c r="F237" s="222">
        <v>180</v>
      </c>
      <c r="G237" s="222">
        <v>189</v>
      </c>
      <c r="H237" s="222">
        <v>9</v>
      </c>
      <c r="I237" s="207">
        <v>125</v>
      </c>
      <c r="J237" s="242">
        <f t="shared" si="34"/>
        <v>1125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43440</v>
      </c>
      <c r="K241" s="153"/>
      <c r="V241" s="25">
        <f>SUM(V217:V240)</f>
        <v>18</v>
      </c>
      <c r="W241" s="25">
        <f>SUM(W217:W240)</f>
        <v>3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</mergeCells>
  <hyperlinks>
    <hyperlink ref="B84" r:id="rId1" xr:uid="{00000000-0004-0000-6900-000000000000}"/>
    <hyperlink ref="B115" r:id="rId2" xr:uid="{00000000-0004-0000-6900-000001000000}"/>
    <hyperlink ref="B147" r:id="rId3" xr:uid="{00000000-0004-0000-6900-000002000000}"/>
    <hyperlink ref="B178" r:id="rId4" xr:uid="{00000000-0004-0000-6900-000003000000}"/>
    <hyperlink ref="B209" r:id="rId5" xr:uid="{00000000-0004-0000-6900-000004000000}"/>
    <hyperlink ref="B241" r:id="rId6" xr:uid="{00000000-0004-0000-6900-000005000000}"/>
    <hyperlink ref="M1" location="'MASTER '!A1" display="Back" xr:uid="{00000000-0004-0000-6900-000006000000}"/>
    <hyperlink ref="M6:M7" location="'JAN 2022'!A77" display="STOCK FUTURE" xr:uid="{00000000-0004-0000-6900-000007000000}"/>
    <hyperlink ref="M12:M13" location="'JAN 2022'!A170" display="BANK NIFTY" xr:uid="{00000000-0004-0000-6900-000008000000}"/>
    <hyperlink ref="M10:M11" location="'JAN 2022'!A139" display="NF. OPTION" xr:uid="{00000000-0004-0000-6900-000009000000}"/>
    <hyperlink ref="M8:M9" location="'JAN 2022'!A108" display="NIFTY FUTURE" xr:uid="{00000000-0004-0000-6900-00000A000000}"/>
    <hyperlink ref="M4:M5" location="'JAN 2022'!A1" display="CASH" xr:uid="{00000000-0004-0000-6900-00000B000000}"/>
    <hyperlink ref="M14:M15" location="'JAN 2022'!A201" display="B.NIFTY OPTION" xr:uid="{00000000-0004-0000-6900-00000C000000}"/>
    <hyperlink ref="M16:M17" location="'JAN 2022'!A216" display="STOCK OPTION" xr:uid="{00000000-0004-0000-6900-00000D000000}"/>
    <hyperlink ref="B52" r:id="rId7" xr:uid="{00000000-0004-0000-6900-00000E000000}"/>
  </hyperlinks>
  <pageMargins left="0" right="0" top="0" bottom="0" header="0" footer="0"/>
  <pageSetup scale="95" orientation="portrait" r:id="rId8"/>
  <drawing r:id="rId9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W242"/>
  <sheetViews>
    <sheetView topLeftCell="A106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3676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35</v>
      </c>
      <c r="P4" s="386">
        <f>W52</f>
        <v>5</v>
      </c>
      <c r="Q4" s="387">
        <f>N4-O4-P4</f>
        <v>0</v>
      </c>
      <c r="R4" s="380">
        <f>O4/N4</f>
        <v>0.875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44593</v>
      </c>
      <c r="D6" s="158" t="s">
        <v>9</v>
      </c>
      <c r="E6" s="158" t="s">
        <v>94</v>
      </c>
      <c r="F6" s="230">
        <v>1505</v>
      </c>
      <c r="G6" s="222">
        <v>1512</v>
      </c>
      <c r="H6" s="222">
        <f>1512-1505</f>
        <v>7</v>
      </c>
      <c r="I6" s="207">
        <f t="shared" ref="I6:I7" si="0">300000/F6</f>
        <v>199.33554817275748</v>
      </c>
      <c r="J6" s="161">
        <f t="shared" ref="J6:J7" si="1">H6*I6</f>
        <v>1395.3488372093025</v>
      </c>
      <c r="K6" s="153"/>
      <c r="M6" s="394" t="s">
        <v>450</v>
      </c>
      <c r="N6" s="344">
        <f>COUNT(C60:C83)</f>
        <v>20</v>
      </c>
      <c r="O6" s="346">
        <f>V84</f>
        <v>16</v>
      </c>
      <c r="P6" s="346">
        <f>W84</f>
        <v>4</v>
      </c>
      <c r="Q6" s="374">
        <f>N6-O6-P6</f>
        <v>0</v>
      </c>
      <c r="R6" s="376">
        <f t="shared" ref="R6" si="2">O6/N6</f>
        <v>0.8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44593</v>
      </c>
      <c r="D7" s="161" t="s">
        <v>9</v>
      </c>
      <c r="E7" s="161" t="s">
        <v>371</v>
      </c>
      <c r="F7" s="222">
        <v>164</v>
      </c>
      <c r="G7" s="231">
        <v>165.5</v>
      </c>
      <c r="H7" s="255">
        <v>1.5</v>
      </c>
      <c r="I7" s="207">
        <f t="shared" si="0"/>
        <v>1829.2682926829268</v>
      </c>
      <c r="J7" s="161">
        <f t="shared" si="1"/>
        <v>2743.9024390243903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44594</v>
      </c>
      <c r="D8" s="161" t="s">
        <v>9</v>
      </c>
      <c r="E8" s="161" t="s">
        <v>132</v>
      </c>
      <c r="F8" s="222">
        <v>513</v>
      </c>
      <c r="G8" s="222">
        <v>518</v>
      </c>
      <c r="H8" s="222">
        <v>5</v>
      </c>
      <c r="I8" s="207">
        <f t="shared" ref="I8:I45" si="6">300000/F8</f>
        <v>584.79532163742692</v>
      </c>
      <c r="J8" s="161">
        <f t="shared" ref="J8:J45" si="7">H8*I8</f>
        <v>2923.9766081871348</v>
      </c>
      <c r="K8" s="153"/>
      <c r="M8" s="394" t="s">
        <v>451</v>
      </c>
      <c r="N8" s="344">
        <f>COUNT(C92:C114)</f>
        <v>20</v>
      </c>
      <c r="O8" s="346">
        <f>V115</f>
        <v>19</v>
      </c>
      <c r="P8" s="346">
        <f>W115</f>
        <v>1</v>
      </c>
      <c r="Q8" s="374">
        <f>N8-O8-P8</f>
        <v>0</v>
      </c>
      <c r="R8" s="376">
        <f t="shared" ref="R8" si="8">O8/N8</f>
        <v>0.95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44594</v>
      </c>
      <c r="D9" s="161" t="s">
        <v>9</v>
      </c>
      <c r="E9" s="161" t="s">
        <v>157</v>
      </c>
      <c r="F9" s="222">
        <v>758</v>
      </c>
      <c r="G9" s="231">
        <v>761</v>
      </c>
      <c r="H9" s="255">
        <v>2</v>
      </c>
      <c r="I9" s="207">
        <f t="shared" si="6"/>
        <v>395.77836411609496</v>
      </c>
      <c r="J9" s="161">
        <f t="shared" si="7"/>
        <v>791.55672823218993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44595</v>
      </c>
      <c r="D10" s="161" t="s">
        <v>8</v>
      </c>
      <c r="E10" s="161" t="s">
        <v>129</v>
      </c>
      <c r="F10" s="222">
        <v>2570</v>
      </c>
      <c r="G10" s="222">
        <v>2530</v>
      </c>
      <c r="H10" s="222">
        <f>2570-2530</f>
        <v>40</v>
      </c>
      <c r="I10" s="207">
        <f t="shared" si="6"/>
        <v>116.73151750972762</v>
      </c>
      <c r="J10" s="161">
        <f t="shared" si="7"/>
        <v>4669.2607003891053</v>
      </c>
      <c r="K10" s="153"/>
      <c r="M10" s="394" t="s">
        <v>1176</v>
      </c>
      <c r="N10" s="344">
        <f>COUNT(C123:C146)</f>
        <v>20</v>
      </c>
      <c r="O10" s="346">
        <f>V147</f>
        <v>19</v>
      </c>
      <c r="P10" s="346">
        <f>W147</f>
        <v>1</v>
      </c>
      <c r="Q10" s="374">
        <f>N10-O10-P10</f>
        <v>0</v>
      </c>
      <c r="R10" s="376">
        <f t="shared" ref="R10:R16" si="9">O10/N10</f>
        <v>0.95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44595</v>
      </c>
      <c r="D11" s="161" t="s">
        <v>9</v>
      </c>
      <c r="E11" s="161" t="s">
        <v>3436</v>
      </c>
      <c r="F11" s="222">
        <v>868</v>
      </c>
      <c r="G11" s="222">
        <v>871.5</v>
      </c>
      <c r="H11" s="255">
        <f>871.5-868</f>
        <v>3.5</v>
      </c>
      <c r="I11" s="207">
        <f t="shared" si="6"/>
        <v>345.62211981566821</v>
      </c>
      <c r="J11" s="161">
        <f t="shared" si="7"/>
        <v>1209.6774193548388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44596</v>
      </c>
      <c r="D12" s="161" t="s">
        <v>9</v>
      </c>
      <c r="E12" s="161" t="s">
        <v>25</v>
      </c>
      <c r="F12" s="222">
        <v>1187</v>
      </c>
      <c r="G12" s="222">
        <v>1197</v>
      </c>
      <c r="H12" s="222">
        <v>10</v>
      </c>
      <c r="I12" s="207">
        <f t="shared" si="6"/>
        <v>252.7379949452401</v>
      </c>
      <c r="J12" s="161">
        <f t="shared" si="7"/>
        <v>2527.379949452401</v>
      </c>
      <c r="K12" s="153"/>
      <c r="M12" s="394" t="s">
        <v>41</v>
      </c>
      <c r="N12" s="344">
        <f>COUNT(C155:C177)</f>
        <v>20</v>
      </c>
      <c r="O12" s="346">
        <f>V178</f>
        <v>19</v>
      </c>
      <c r="P12" s="346">
        <f>W178</f>
        <v>1</v>
      </c>
      <c r="Q12" s="374">
        <f t="shared" ref="Q12" si="10">N12-O12-P12</f>
        <v>0</v>
      </c>
      <c r="R12" s="376">
        <f t="shared" si="9"/>
        <v>0.95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44596</v>
      </c>
      <c r="D13" s="161" t="s">
        <v>9</v>
      </c>
      <c r="E13" s="161" t="s">
        <v>58</v>
      </c>
      <c r="F13" s="222">
        <v>800</v>
      </c>
      <c r="G13" s="222">
        <v>804</v>
      </c>
      <c r="H13" s="255">
        <v>4</v>
      </c>
      <c r="I13" s="207">
        <f t="shared" si="6"/>
        <v>375</v>
      </c>
      <c r="J13" s="161">
        <f t="shared" si="7"/>
        <v>1500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44599</v>
      </c>
      <c r="D14" s="161" t="s">
        <v>9</v>
      </c>
      <c r="E14" s="161" t="s">
        <v>1847</v>
      </c>
      <c r="F14" s="222">
        <v>515</v>
      </c>
      <c r="G14" s="222">
        <v>517</v>
      </c>
      <c r="H14" s="222">
        <v>2</v>
      </c>
      <c r="I14" s="207">
        <f t="shared" si="6"/>
        <v>582.52427184466023</v>
      </c>
      <c r="J14" s="161">
        <f t="shared" si="7"/>
        <v>1165.0485436893205</v>
      </c>
      <c r="K14" s="153"/>
      <c r="M14" s="394" t="s">
        <v>1175</v>
      </c>
      <c r="N14" s="344">
        <f>COUNT(C186:C208)</f>
        <v>20</v>
      </c>
      <c r="O14" s="346">
        <f>V209</f>
        <v>19</v>
      </c>
      <c r="P14" s="346">
        <f>W209</f>
        <v>1</v>
      </c>
      <c r="Q14" s="374">
        <f t="shared" ref="Q14" si="11">N14-O14-P14</f>
        <v>0</v>
      </c>
      <c r="R14" s="376">
        <f t="shared" si="9"/>
        <v>0.95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44599</v>
      </c>
      <c r="D15" s="161" t="s">
        <v>9</v>
      </c>
      <c r="E15" s="161" t="s">
        <v>2563</v>
      </c>
      <c r="F15" s="222">
        <v>2080</v>
      </c>
      <c r="G15" s="222">
        <v>2120</v>
      </c>
      <c r="H15" s="222">
        <f>2120-2080</f>
        <v>40</v>
      </c>
      <c r="I15" s="207">
        <f t="shared" si="6"/>
        <v>144.23076923076923</v>
      </c>
      <c r="J15" s="161">
        <f t="shared" si="7"/>
        <v>5769.2307692307695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44600</v>
      </c>
      <c r="D16" s="161" t="s">
        <v>9</v>
      </c>
      <c r="E16" s="161" t="s">
        <v>2093</v>
      </c>
      <c r="F16" s="222">
        <v>875</v>
      </c>
      <c r="G16" s="222">
        <v>880</v>
      </c>
      <c r="H16" s="222">
        <v>5</v>
      </c>
      <c r="I16" s="207">
        <f t="shared" si="6"/>
        <v>342.85714285714283</v>
      </c>
      <c r="J16" s="161">
        <f t="shared" si="7"/>
        <v>1714.2857142857142</v>
      </c>
      <c r="K16" s="153"/>
      <c r="L16" s="25" t="s">
        <v>2008</v>
      </c>
      <c r="M16" s="394" t="s">
        <v>1090</v>
      </c>
      <c r="N16" s="344">
        <f>COUNT(C217:C240)</f>
        <v>21</v>
      </c>
      <c r="O16" s="346">
        <f>V241</f>
        <v>20</v>
      </c>
      <c r="P16" s="346">
        <f>W241</f>
        <v>1</v>
      </c>
      <c r="Q16" s="374">
        <v>0</v>
      </c>
      <c r="R16" s="376">
        <f t="shared" si="9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44600</v>
      </c>
      <c r="D17" s="161" t="s">
        <v>8</v>
      </c>
      <c r="E17" s="161" t="s">
        <v>3689</v>
      </c>
      <c r="F17" s="222">
        <v>440</v>
      </c>
      <c r="G17" s="222">
        <v>428</v>
      </c>
      <c r="H17" s="222">
        <f>440-428</f>
        <v>12</v>
      </c>
      <c r="I17" s="207">
        <f t="shared" si="6"/>
        <v>681.81818181818187</v>
      </c>
      <c r="J17" s="161">
        <f t="shared" si="7"/>
        <v>8181.818181818182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44601</v>
      </c>
      <c r="D18" s="161" t="s">
        <v>9</v>
      </c>
      <c r="E18" s="161" t="s">
        <v>3691</v>
      </c>
      <c r="F18" s="222">
        <v>709</v>
      </c>
      <c r="G18" s="222">
        <v>723</v>
      </c>
      <c r="H18" s="222">
        <f>723-709</f>
        <v>14</v>
      </c>
      <c r="I18" s="207">
        <f t="shared" si="6"/>
        <v>423.1311706629055</v>
      </c>
      <c r="J18" s="161">
        <f t="shared" si="7"/>
        <v>5923.8363892806774</v>
      </c>
      <c r="K18" s="153"/>
      <c r="M18" s="392" t="s">
        <v>946</v>
      </c>
      <c r="N18" s="378">
        <f>SUM(N4:N17)</f>
        <v>161</v>
      </c>
      <c r="O18" s="378">
        <f t="shared" ref="O18:Q18" si="12">SUM(O4:O17)</f>
        <v>147</v>
      </c>
      <c r="P18" s="378">
        <f t="shared" si="12"/>
        <v>14</v>
      </c>
      <c r="Q18" s="378">
        <f t="shared" si="12"/>
        <v>0</v>
      </c>
      <c r="R18" s="380">
        <f t="shared" ref="R18" si="13">O18/N18</f>
        <v>0.91304347826086951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44601</v>
      </c>
      <c r="D19" s="161" t="s">
        <v>9</v>
      </c>
      <c r="E19" s="161" t="s">
        <v>3473</v>
      </c>
      <c r="F19" s="222">
        <v>214</v>
      </c>
      <c r="G19" s="222">
        <v>215</v>
      </c>
      <c r="H19" s="222">
        <v>1</v>
      </c>
      <c r="I19" s="207">
        <f t="shared" si="6"/>
        <v>1401.8691588785048</v>
      </c>
      <c r="J19" s="161">
        <f t="shared" si="7"/>
        <v>1401.8691588785048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44602</v>
      </c>
      <c r="D20" s="161" t="s">
        <v>9</v>
      </c>
      <c r="E20" s="161" t="s">
        <v>552</v>
      </c>
      <c r="F20" s="222">
        <v>974</v>
      </c>
      <c r="G20" s="222">
        <v>977.5</v>
      </c>
      <c r="H20" s="222">
        <v>3.5</v>
      </c>
      <c r="I20" s="207">
        <f t="shared" si="6"/>
        <v>308.00821355236138</v>
      </c>
      <c r="J20" s="161">
        <f t="shared" si="7"/>
        <v>1078.0287474332649</v>
      </c>
      <c r="K20" s="153"/>
      <c r="M20" s="316" t="s">
        <v>2253</v>
      </c>
      <c r="N20" s="317"/>
      <c r="O20" s="318"/>
      <c r="P20" s="325">
        <f>R18</f>
        <v>0.91304347826086951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44602</v>
      </c>
      <c r="D21" s="161" t="s">
        <v>8</v>
      </c>
      <c r="E21" s="161" t="s">
        <v>2204</v>
      </c>
      <c r="F21" s="222">
        <v>1445</v>
      </c>
      <c r="G21" s="222">
        <v>1440.2</v>
      </c>
      <c r="H21" s="222">
        <f>1445-1440.2</f>
        <v>4.7999999999999545</v>
      </c>
      <c r="I21" s="207">
        <f t="shared" si="6"/>
        <v>207.61245674740485</v>
      </c>
      <c r="J21" s="161">
        <f t="shared" si="7"/>
        <v>996.53979238753379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44603</v>
      </c>
      <c r="D22" s="161" t="s">
        <v>9</v>
      </c>
      <c r="E22" s="161" t="s">
        <v>552</v>
      </c>
      <c r="F22" s="222">
        <v>975</v>
      </c>
      <c r="G22" s="222">
        <v>990</v>
      </c>
      <c r="H22" s="222">
        <f>990-975</f>
        <v>15</v>
      </c>
      <c r="I22" s="207">
        <f t="shared" si="6"/>
        <v>307.69230769230768</v>
      </c>
      <c r="J22" s="161">
        <f t="shared" si="7"/>
        <v>4615.3846153846152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44603</v>
      </c>
      <c r="D23" s="161" t="s">
        <v>9</v>
      </c>
      <c r="E23" s="161" t="s">
        <v>157</v>
      </c>
      <c r="F23" s="222">
        <v>754</v>
      </c>
      <c r="G23" s="222">
        <v>746</v>
      </c>
      <c r="H23" s="222">
        <v>-8</v>
      </c>
      <c r="I23" s="207">
        <f t="shared" si="6"/>
        <v>397.87798408488061</v>
      </c>
      <c r="J23" s="161">
        <f t="shared" si="7"/>
        <v>-3183.0238726790449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44606</v>
      </c>
      <c r="D24" s="161" t="s">
        <v>9</v>
      </c>
      <c r="E24" s="161" t="s">
        <v>50</v>
      </c>
      <c r="F24" s="222">
        <v>876</v>
      </c>
      <c r="G24" s="222">
        <v>886</v>
      </c>
      <c r="H24" s="222">
        <v>10</v>
      </c>
      <c r="I24" s="207">
        <f t="shared" si="6"/>
        <v>342.46575342465752</v>
      </c>
      <c r="J24" s="161">
        <f t="shared" si="7"/>
        <v>3424.6575342465753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44606</v>
      </c>
      <c r="D25" s="161" t="s">
        <v>8</v>
      </c>
      <c r="E25" s="161" t="s">
        <v>552</v>
      </c>
      <c r="F25" s="222">
        <v>945</v>
      </c>
      <c r="G25" s="222">
        <v>955</v>
      </c>
      <c r="H25" s="222">
        <v>-10</v>
      </c>
      <c r="I25" s="207">
        <f t="shared" si="6"/>
        <v>317.46031746031747</v>
      </c>
      <c r="J25" s="161">
        <f t="shared" si="7"/>
        <v>-3174.6031746031749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44607</v>
      </c>
      <c r="D26" s="161" t="s">
        <v>9</v>
      </c>
      <c r="E26" s="161" t="s">
        <v>50</v>
      </c>
      <c r="F26" s="222">
        <v>872</v>
      </c>
      <c r="G26" s="222">
        <v>862</v>
      </c>
      <c r="H26" s="222">
        <v>-10</v>
      </c>
      <c r="I26" s="207">
        <f t="shared" si="6"/>
        <v>344.0366972477064</v>
      </c>
      <c r="J26" s="161">
        <f t="shared" si="7"/>
        <v>-3440.3669724770639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44607</v>
      </c>
      <c r="D27" s="161" t="s">
        <v>8</v>
      </c>
      <c r="E27" s="161" t="s">
        <v>132</v>
      </c>
      <c r="F27" s="222">
        <v>512</v>
      </c>
      <c r="G27" s="222">
        <v>500</v>
      </c>
      <c r="H27" s="222">
        <v>12</v>
      </c>
      <c r="I27" s="207">
        <f t="shared" si="6"/>
        <v>585.9375</v>
      </c>
      <c r="J27" s="161">
        <f t="shared" si="7"/>
        <v>7031.25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44608</v>
      </c>
      <c r="D28" s="161" t="s">
        <v>9</v>
      </c>
      <c r="E28" s="161" t="s">
        <v>3444</v>
      </c>
      <c r="F28" s="222">
        <v>265</v>
      </c>
      <c r="G28" s="222">
        <v>269</v>
      </c>
      <c r="H28" s="222">
        <v>4</v>
      </c>
      <c r="I28" s="207">
        <f t="shared" si="6"/>
        <v>1132.0754716981132</v>
      </c>
      <c r="J28" s="161">
        <f t="shared" si="7"/>
        <v>4528.3018867924529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44608</v>
      </c>
      <c r="D29" s="161" t="s">
        <v>8</v>
      </c>
      <c r="E29" s="161" t="s">
        <v>25</v>
      </c>
      <c r="F29" s="222">
        <v>1195</v>
      </c>
      <c r="G29" s="222">
        <v>1188</v>
      </c>
      <c r="H29" s="222">
        <f>1195-1188</f>
        <v>7</v>
      </c>
      <c r="I29" s="207">
        <f t="shared" si="6"/>
        <v>251.04602510460251</v>
      </c>
      <c r="J29" s="161">
        <f t="shared" si="7"/>
        <v>1757.3221757322176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44609</v>
      </c>
      <c r="D30" s="161" t="s">
        <v>9</v>
      </c>
      <c r="E30" s="161" t="s">
        <v>160</v>
      </c>
      <c r="F30" s="222">
        <v>952</v>
      </c>
      <c r="G30" s="222">
        <v>942</v>
      </c>
      <c r="H30" s="222">
        <v>-10</v>
      </c>
      <c r="I30" s="207">
        <f t="shared" si="6"/>
        <v>315.12605042016804</v>
      </c>
      <c r="J30" s="161">
        <f t="shared" si="7"/>
        <v>-3151.2605042016803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44609</v>
      </c>
      <c r="D31" s="161" t="s">
        <v>8</v>
      </c>
      <c r="E31" s="161" t="s">
        <v>157</v>
      </c>
      <c r="F31" s="222">
        <v>720</v>
      </c>
      <c r="G31" s="222">
        <v>707</v>
      </c>
      <c r="H31" s="222">
        <f>720-707</f>
        <v>13</v>
      </c>
      <c r="I31" s="207">
        <f t="shared" si="6"/>
        <v>416.66666666666669</v>
      </c>
      <c r="J31" s="161">
        <f t="shared" si="7"/>
        <v>5416.666666666667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44610</v>
      </c>
      <c r="D32" s="161" t="s">
        <v>9</v>
      </c>
      <c r="E32" s="161" t="s">
        <v>51</v>
      </c>
      <c r="F32" s="222">
        <v>1240</v>
      </c>
      <c r="G32" s="222">
        <v>1254</v>
      </c>
      <c r="H32" s="222">
        <v>14</v>
      </c>
      <c r="I32" s="207">
        <f t="shared" si="6"/>
        <v>241.93548387096774</v>
      </c>
      <c r="J32" s="161">
        <f t="shared" si="7"/>
        <v>3387.0967741935483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44610</v>
      </c>
      <c r="D33" s="161" t="s">
        <v>9</v>
      </c>
      <c r="E33" s="161" t="s">
        <v>3474</v>
      </c>
      <c r="F33" s="222">
        <v>803</v>
      </c>
      <c r="G33" s="222">
        <v>813</v>
      </c>
      <c r="H33" s="222">
        <v>10</v>
      </c>
      <c r="I33" s="207">
        <f t="shared" si="6"/>
        <v>373.59900373599004</v>
      </c>
      <c r="J33" s="161">
        <f t="shared" si="7"/>
        <v>3735.9900373599003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44613</v>
      </c>
      <c r="D34" s="161" t="s">
        <v>9</v>
      </c>
      <c r="E34" s="161" t="s">
        <v>160</v>
      </c>
      <c r="F34" s="222">
        <v>904</v>
      </c>
      <c r="G34" s="222">
        <v>909</v>
      </c>
      <c r="H34" s="222">
        <v>5</v>
      </c>
      <c r="I34" s="207">
        <f t="shared" si="6"/>
        <v>331.85840707964604</v>
      </c>
      <c r="J34" s="161">
        <f t="shared" si="7"/>
        <v>1659.2920353982302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44613</v>
      </c>
      <c r="D35" s="161" t="s">
        <v>8</v>
      </c>
      <c r="E35" s="161" t="s">
        <v>2203</v>
      </c>
      <c r="F35" s="222">
        <v>760</v>
      </c>
      <c r="G35" s="222">
        <v>768</v>
      </c>
      <c r="H35" s="222">
        <v>-8</v>
      </c>
      <c r="I35" s="207">
        <f t="shared" si="6"/>
        <v>394.73684210526318</v>
      </c>
      <c r="J35" s="161">
        <f t="shared" si="7"/>
        <v>-3157.8947368421054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44614</v>
      </c>
      <c r="D36" s="161" t="s">
        <v>9</v>
      </c>
      <c r="E36" s="161" t="s">
        <v>95</v>
      </c>
      <c r="F36" s="222">
        <v>744</v>
      </c>
      <c r="G36" s="222">
        <v>758</v>
      </c>
      <c r="H36" s="222">
        <f>758-744</f>
        <v>14</v>
      </c>
      <c r="I36" s="207">
        <f t="shared" si="6"/>
        <v>403.22580645161293</v>
      </c>
      <c r="J36" s="161">
        <f t="shared" si="7"/>
        <v>5645.1612903225814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44614</v>
      </c>
      <c r="D37" s="161" t="s">
        <v>8</v>
      </c>
      <c r="E37" s="161" t="s">
        <v>3343</v>
      </c>
      <c r="F37" s="222">
        <v>1232</v>
      </c>
      <c r="G37" s="222">
        <v>1226.5</v>
      </c>
      <c r="H37" s="222">
        <f>1232-1226.5</f>
        <v>5.5</v>
      </c>
      <c r="I37" s="207">
        <f t="shared" si="6"/>
        <v>243.50649350649351</v>
      </c>
      <c r="J37" s="161">
        <f t="shared" si="7"/>
        <v>1339.2857142857142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44615</v>
      </c>
      <c r="D38" s="161" t="s">
        <v>9</v>
      </c>
      <c r="E38" s="161" t="s">
        <v>16</v>
      </c>
      <c r="F38" s="222">
        <v>2495</v>
      </c>
      <c r="G38" s="222">
        <v>2520</v>
      </c>
      <c r="H38" s="222">
        <f>2520-2495</f>
        <v>25</v>
      </c>
      <c r="I38" s="207">
        <f t="shared" si="6"/>
        <v>120.24048096192385</v>
      </c>
      <c r="J38" s="161">
        <f t="shared" si="7"/>
        <v>3006.0120240480965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44615</v>
      </c>
      <c r="D39" s="161" t="s">
        <v>9</v>
      </c>
      <c r="E39" s="161" t="s">
        <v>15</v>
      </c>
      <c r="F39" s="222">
        <v>2435</v>
      </c>
      <c r="G39" s="222">
        <v>2455</v>
      </c>
      <c r="H39" s="222">
        <v>20</v>
      </c>
      <c r="I39" s="207">
        <f t="shared" si="6"/>
        <v>123.20328542094455</v>
      </c>
      <c r="J39" s="161">
        <f t="shared" si="7"/>
        <v>2464.0657084188911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44616</v>
      </c>
      <c r="D40" s="161" t="s">
        <v>9</v>
      </c>
      <c r="E40" s="161" t="s">
        <v>3705</v>
      </c>
      <c r="F40" s="222">
        <v>114.5</v>
      </c>
      <c r="G40" s="222">
        <v>118</v>
      </c>
      <c r="H40" s="222">
        <f>118-114.5</f>
        <v>3.5</v>
      </c>
      <c r="I40" s="207">
        <f t="shared" si="6"/>
        <v>2620.0873362445413</v>
      </c>
      <c r="J40" s="161">
        <f t="shared" si="7"/>
        <v>9170.3056768558945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44616</v>
      </c>
      <c r="D41" s="161" t="s">
        <v>9</v>
      </c>
      <c r="E41" s="161" t="s">
        <v>834</v>
      </c>
      <c r="F41" s="222">
        <v>346</v>
      </c>
      <c r="G41" s="223">
        <v>342</v>
      </c>
      <c r="H41" s="222">
        <f>346-342</f>
        <v>4</v>
      </c>
      <c r="I41" s="207">
        <f t="shared" si="6"/>
        <v>867.05202312138726</v>
      </c>
      <c r="J41" s="161">
        <f t="shared" si="7"/>
        <v>3468.2080924855491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44617</v>
      </c>
      <c r="D42" s="161" t="s">
        <v>9</v>
      </c>
      <c r="E42" s="161" t="s">
        <v>3706</v>
      </c>
      <c r="F42" s="222">
        <v>541</v>
      </c>
      <c r="G42" s="222">
        <v>544.70000000000005</v>
      </c>
      <c r="H42" s="222">
        <v>6.7</v>
      </c>
      <c r="I42" s="207">
        <f t="shared" si="6"/>
        <v>554.52865064695004</v>
      </c>
      <c r="J42" s="161">
        <f t="shared" si="7"/>
        <v>3715.3419593345652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44617</v>
      </c>
      <c r="D43" s="161" t="s">
        <v>9</v>
      </c>
      <c r="E43" s="161" t="s">
        <v>37</v>
      </c>
      <c r="F43" s="222">
        <v>535</v>
      </c>
      <c r="G43" s="222">
        <v>545</v>
      </c>
      <c r="H43" s="222">
        <v>10</v>
      </c>
      <c r="I43" s="207">
        <f t="shared" si="6"/>
        <v>560.74766355140184</v>
      </c>
      <c r="J43" s="161">
        <f t="shared" si="7"/>
        <v>5607.4766355140182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44620</v>
      </c>
      <c r="D44" s="161" t="s">
        <v>9</v>
      </c>
      <c r="E44" s="161" t="s">
        <v>30</v>
      </c>
      <c r="F44" s="222">
        <v>139</v>
      </c>
      <c r="G44" s="222">
        <v>143</v>
      </c>
      <c r="H44" s="222">
        <f>143-139</f>
        <v>4</v>
      </c>
      <c r="I44" s="207">
        <f t="shared" si="6"/>
        <v>2158.2733812949641</v>
      </c>
      <c r="J44" s="161">
        <f t="shared" si="7"/>
        <v>8633.0935251798564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44620</v>
      </c>
      <c r="D45" s="161" t="s">
        <v>9</v>
      </c>
      <c r="E45" s="161" t="s">
        <v>796</v>
      </c>
      <c r="F45" s="222">
        <v>4670</v>
      </c>
      <c r="G45" s="222">
        <v>4750</v>
      </c>
      <c r="H45" s="222">
        <f>4750-4670</f>
        <v>80</v>
      </c>
      <c r="I45" s="207">
        <f t="shared" si="6"/>
        <v>64.239828693790145</v>
      </c>
      <c r="J45" s="161">
        <f t="shared" si="7"/>
        <v>5139.186295503212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111628.70936577281</v>
      </c>
      <c r="K52" s="153"/>
      <c r="V52" s="25">
        <f>SUM(V6:V51)</f>
        <v>35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3677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44593</v>
      </c>
      <c r="D60" s="161" t="s">
        <v>9</v>
      </c>
      <c r="E60" s="161" t="s">
        <v>95</v>
      </c>
      <c r="F60" s="222">
        <v>813</v>
      </c>
      <c r="G60" s="222">
        <v>805</v>
      </c>
      <c r="H60" s="222">
        <v>-8</v>
      </c>
      <c r="I60" s="207">
        <v>1375</v>
      </c>
      <c r="J60" s="241">
        <f t="shared" ref="J60:J83" si="14">I60*H60</f>
        <v>-11000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44594</v>
      </c>
      <c r="D61" s="161" t="s">
        <v>9</v>
      </c>
      <c r="E61" s="161" t="s">
        <v>160</v>
      </c>
      <c r="F61" s="222">
        <v>958</v>
      </c>
      <c r="G61" s="222">
        <v>948</v>
      </c>
      <c r="H61" s="222">
        <v>-10</v>
      </c>
      <c r="I61" s="207">
        <v>650</v>
      </c>
      <c r="J61" s="242">
        <f t="shared" si="14"/>
        <v>-6500</v>
      </c>
      <c r="K61" s="153"/>
      <c r="O61" s="25" t="s">
        <v>2008</v>
      </c>
      <c r="V61" s="25">
        <f t="shared" ref="V61:V83" si="15">IF($J61&gt;0,1,0)</f>
        <v>0</v>
      </c>
      <c r="W61" s="25">
        <f t="shared" ref="W61:W83" si="16">IF($J61&lt;0,1,0)</f>
        <v>1</v>
      </c>
    </row>
    <row r="62" spans="1:23" x14ac:dyDescent="0.3">
      <c r="A62" s="147"/>
      <c r="B62" s="205">
        <f t="shared" ref="B62:B83" si="17">B61+1</f>
        <v>3</v>
      </c>
      <c r="C62" s="206">
        <v>44595</v>
      </c>
      <c r="D62" s="161" t="s">
        <v>8</v>
      </c>
      <c r="E62" s="161" t="s">
        <v>137</v>
      </c>
      <c r="F62" s="222">
        <v>2330</v>
      </c>
      <c r="G62" s="222">
        <v>2303.5</v>
      </c>
      <c r="H62" s="222">
        <f>2330-2303.5</f>
        <v>26.5</v>
      </c>
      <c r="I62" s="207">
        <v>300</v>
      </c>
      <c r="J62" s="242">
        <f t="shared" si="14"/>
        <v>7950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44596</v>
      </c>
      <c r="D63" s="161" t="s">
        <v>9</v>
      </c>
      <c r="E63" s="161" t="s">
        <v>3685</v>
      </c>
      <c r="F63" s="222">
        <v>972</v>
      </c>
      <c r="G63" s="222">
        <v>992</v>
      </c>
      <c r="H63" s="222">
        <v>20</v>
      </c>
      <c r="I63" s="207">
        <v>700</v>
      </c>
      <c r="J63" s="242">
        <f t="shared" si="14"/>
        <v>14000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44599</v>
      </c>
      <c r="D64" s="161" t="s">
        <v>9</v>
      </c>
      <c r="E64" s="161" t="s">
        <v>111</v>
      </c>
      <c r="F64" s="222">
        <v>399</v>
      </c>
      <c r="G64" s="222">
        <v>404</v>
      </c>
      <c r="H64" s="222">
        <f>404-399</f>
        <v>5</v>
      </c>
      <c r="I64" s="207">
        <v>2300</v>
      </c>
      <c r="J64" s="242">
        <f t="shared" si="14"/>
        <v>11500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44600</v>
      </c>
      <c r="D65" s="161" t="s">
        <v>9</v>
      </c>
      <c r="E65" s="161" t="s">
        <v>51</v>
      </c>
      <c r="F65" s="222">
        <v>1235</v>
      </c>
      <c r="G65" s="222">
        <v>1225</v>
      </c>
      <c r="H65" s="222">
        <v>-10</v>
      </c>
      <c r="I65" s="207">
        <v>500</v>
      </c>
      <c r="J65" s="242">
        <f t="shared" si="14"/>
        <v>-5000</v>
      </c>
      <c r="K65" s="153"/>
      <c r="V65" s="25">
        <f t="shared" si="15"/>
        <v>0</v>
      </c>
      <c r="W65" s="25">
        <f t="shared" si="16"/>
        <v>1</v>
      </c>
    </row>
    <row r="66" spans="1:23" x14ac:dyDescent="0.3">
      <c r="A66" s="147"/>
      <c r="B66" s="205">
        <f t="shared" si="17"/>
        <v>7</v>
      </c>
      <c r="C66" s="206">
        <v>44601</v>
      </c>
      <c r="D66" s="161" t="s">
        <v>9</v>
      </c>
      <c r="E66" s="161" t="s">
        <v>107</v>
      </c>
      <c r="F66" s="222">
        <v>3550</v>
      </c>
      <c r="G66" s="222">
        <v>3570</v>
      </c>
      <c r="H66" s="222">
        <v>20</v>
      </c>
      <c r="I66" s="207">
        <v>250</v>
      </c>
      <c r="J66" s="242">
        <f t="shared" si="14"/>
        <v>5000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44602</v>
      </c>
      <c r="D67" s="161" t="s">
        <v>9</v>
      </c>
      <c r="E67" s="161" t="s">
        <v>365</v>
      </c>
      <c r="F67" s="222">
        <v>672</v>
      </c>
      <c r="G67" s="222">
        <v>679.9</v>
      </c>
      <c r="H67" s="222">
        <f>679.9-672</f>
        <v>7.8999999999999773</v>
      </c>
      <c r="I67" s="207">
        <v>1350</v>
      </c>
      <c r="J67" s="242">
        <f t="shared" si="14"/>
        <v>10664.999999999969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44603</v>
      </c>
      <c r="D68" s="161" t="s">
        <v>9</v>
      </c>
      <c r="E68" s="161" t="s">
        <v>58</v>
      </c>
      <c r="F68" s="222">
        <v>808</v>
      </c>
      <c r="G68" s="222">
        <v>800</v>
      </c>
      <c r="H68" s="222">
        <v>-8</v>
      </c>
      <c r="I68" s="207">
        <v>1200</v>
      </c>
      <c r="J68" s="242">
        <f t="shared" si="14"/>
        <v>-9600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44606</v>
      </c>
      <c r="D69" s="161" t="s">
        <v>9</v>
      </c>
      <c r="E69" s="161" t="s">
        <v>403</v>
      </c>
      <c r="F69" s="222">
        <v>4320</v>
      </c>
      <c r="G69" s="222">
        <v>4340</v>
      </c>
      <c r="H69" s="222">
        <v>20</v>
      </c>
      <c r="I69" s="207">
        <v>100</v>
      </c>
      <c r="J69" s="242">
        <f t="shared" si="14"/>
        <v>2000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44607</v>
      </c>
      <c r="D70" s="161" t="s">
        <v>9</v>
      </c>
      <c r="E70" s="161" t="s">
        <v>90</v>
      </c>
      <c r="F70" s="161">
        <v>1415</v>
      </c>
      <c r="G70" s="222">
        <v>1444.4</v>
      </c>
      <c r="H70" s="222">
        <f>1444.4-1415</f>
        <v>29.400000000000091</v>
      </c>
      <c r="I70" s="207">
        <v>600</v>
      </c>
      <c r="J70" s="242">
        <f t="shared" si="14"/>
        <v>17640.000000000055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44608</v>
      </c>
      <c r="D71" s="161" t="s">
        <v>9</v>
      </c>
      <c r="E71" s="161" t="s">
        <v>502</v>
      </c>
      <c r="F71" s="222">
        <v>1250</v>
      </c>
      <c r="G71" s="222">
        <v>1272</v>
      </c>
      <c r="H71" s="222">
        <f>1272-1250</f>
        <v>22</v>
      </c>
      <c r="I71" s="207">
        <v>400</v>
      </c>
      <c r="J71" s="242">
        <f t="shared" si="14"/>
        <v>8800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44609</v>
      </c>
      <c r="D72" s="161" t="s">
        <v>9</v>
      </c>
      <c r="E72" s="161" t="s">
        <v>502</v>
      </c>
      <c r="F72" s="222">
        <v>1255</v>
      </c>
      <c r="G72" s="222">
        <v>1277</v>
      </c>
      <c r="H72" s="222">
        <f>1277-1255</f>
        <v>22</v>
      </c>
      <c r="I72" s="207">
        <v>400</v>
      </c>
      <c r="J72" s="242">
        <f t="shared" si="14"/>
        <v>8800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44610</v>
      </c>
      <c r="D73" s="161" t="s">
        <v>8</v>
      </c>
      <c r="E73" s="161" t="s">
        <v>2814</v>
      </c>
      <c r="F73" s="223">
        <v>1592</v>
      </c>
      <c r="G73" s="222">
        <v>1563.55</v>
      </c>
      <c r="H73" s="255">
        <f>1592-1563.55</f>
        <v>28.450000000000045</v>
      </c>
      <c r="I73" s="207">
        <v>407</v>
      </c>
      <c r="J73" s="242">
        <f t="shared" si="14"/>
        <v>11579.150000000018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44613</v>
      </c>
      <c r="D74" s="161" t="s">
        <v>8</v>
      </c>
      <c r="E74" s="161" t="s">
        <v>3577</v>
      </c>
      <c r="F74" s="222">
        <v>211</v>
      </c>
      <c r="G74" s="222">
        <v>209.6</v>
      </c>
      <c r="H74" s="255">
        <f>211-209.6</f>
        <v>1.4000000000000057</v>
      </c>
      <c r="I74" s="207">
        <v>3750</v>
      </c>
      <c r="J74" s="242">
        <f t="shared" si="14"/>
        <v>5250.0000000000209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44614</v>
      </c>
      <c r="D75" s="161" t="s">
        <v>8</v>
      </c>
      <c r="E75" s="161" t="s">
        <v>2925</v>
      </c>
      <c r="F75" s="222">
        <v>494</v>
      </c>
      <c r="G75" s="222">
        <v>492.3</v>
      </c>
      <c r="H75" s="255">
        <f>494-492.3</f>
        <v>1.6999999999999886</v>
      </c>
      <c r="I75" s="207">
        <v>750</v>
      </c>
      <c r="J75" s="242">
        <f t="shared" si="14"/>
        <v>1274.9999999999914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44615</v>
      </c>
      <c r="D76" s="161" t="s">
        <v>9</v>
      </c>
      <c r="E76" s="161" t="s">
        <v>3561</v>
      </c>
      <c r="F76" s="222">
        <v>964</v>
      </c>
      <c r="G76" s="222">
        <v>970.75</v>
      </c>
      <c r="H76" s="222">
        <f>970.75-964</f>
        <v>6.75</v>
      </c>
      <c r="I76" s="207">
        <v>600</v>
      </c>
      <c r="J76" s="242">
        <f t="shared" si="14"/>
        <v>4050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44616</v>
      </c>
      <c r="D77" s="161" t="s">
        <v>9</v>
      </c>
      <c r="E77" s="161" t="s">
        <v>310</v>
      </c>
      <c r="F77" s="222">
        <v>845</v>
      </c>
      <c r="G77" s="222">
        <v>855</v>
      </c>
      <c r="H77" s="222">
        <v>10</v>
      </c>
      <c r="I77" s="207">
        <v>1250</v>
      </c>
      <c r="J77" s="242">
        <f t="shared" si="14"/>
        <v>12500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44617</v>
      </c>
      <c r="D78" s="161" t="s">
        <v>9</v>
      </c>
      <c r="E78" s="161" t="s">
        <v>310</v>
      </c>
      <c r="F78" s="222">
        <v>880</v>
      </c>
      <c r="G78" s="222">
        <v>890</v>
      </c>
      <c r="H78" s="222">
        <v>10</v>
      </c>
      <c r="I78" s="207">
        <v>1250</v>
      </c>
      <c r="J78" s="242">
        <f t="shared" si="14"/>
        <v>12500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44620</v>
      </c>
      <c r="D79" s="161" t="s">
        <v>9</v>
      </c>
      <c r="E79" s="161" t="s">
        <v>796</v>
      </c>
      <c r="F79" s="222">
        <v>4720</v>
      </c>
      <c r="G79" s="222">
        <v>4799.75</v>
      </c>
      <c r="H79" s="222">
        <f>4799.5-4720</f>
        <v>79.5</v>
      </c>
      <c r="I79" s="207">
        <v>125</v>
      </c>
      <c r="J79" s="242">
        <f t="shared" si="14"/>
        <v>9937.5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111346.65000000005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3676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44593</v>
      </c>
      <c r="D92" s="185" t="s">
        <v>9</v>
      </c>
      <c r="E92" s="185" t="s">
        <v>39</v>
      </c>
      <c r="F92" s="219">
        <v>17540</v>
      </c>
      <c r="G92" s="219">
        <v>17605</v>
      </c>
      <c r="H92" s="185">
        <v>65</v>
      </c>
      <c r="I92" s="219">
        <v>150</v>
      </c>
      <c r="J92" s="246">
        <f t="shared" ref="J92:J114" si="18">I92*H92</f>
        <v>9750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44594</v>
      </c>
      <c r="D93" s="185" t="s">
        <v>9</v>
      </c>
      <c r="E93" s="185" t="s">
        <v>39</v>
      </c>
      <c r="F93" s="219">
        <v>17730</v>
      </c>
      <c r="G93" s="219">
        <v>17745</v>
      </c>
      <c r="H93" s="185">
        <v>15</v>
      </c>
      <c r="I93" s="219">
        <v>150</v>
      </c>
      <c r="J93" s="242">
        <f t="shared" si="18"/>
        <v>2250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44595</v>
      </c>
      <c r="D94" s="161" t="s">
        <v>8</v>
      </c>
      <c r="E94" s="161" t="s">
        <v>39</v>
      </c>
      <c r="F94" s="207">
        <v>17710</v>
      </c>
      <c r="G94" s="207">
        <v>17630</v>
      </c>
      <c r="H94" s="161">
        <f>17710-17630</f>
        <v>80</v>
      </c>
      <c r="I94" s="207">
        <v>150</v>
      </c>
      <c r="J94" s="242">
        <f t="shared" si="18"/>
        <v>12000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44596</v>
      </c>
      <c r="D95" s="161" t="s">
        <v>9</v>
      </c>
      <c r="E95" s="161" t="s">
        <v>39</v>
      </c>
      <c r="F95" s="207">
        <v>17590</v>
      </c>
      <c r="G95" s="207">
        <v>17630</v>
      </c>
      <c r="H95" s="161">
        <f>17630-17590</f>
        <v>40</v>
      </c>
      <c r="I95" s="207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44599</v>
      </c>
      <c r="D96" s="161" t="s">
        <v>8</v>
      </c>
      <c r="E96" s="161" t="s">
        <v>39</v>
      </c>
      <c r="F96" s="207">
        <v>17410</v>
      </c>
      <c r="G96" s="207">
        <v>17330</v>
      </c>
      <c r="H96" s="161">
        <f>17410-17330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44600</v>
      </c>
      <c r="D97" s="161" t="s">
        <v>8</v>
      </c>
      <c r="E97" s="161" t="s">
        <v>39</v>
      </c>
      <c r="F97" s="207">
        <v>17220</v>
      </c>
      <c r="G97" s="207">
        <v>17140</v>
      </c>
      <c r="H97" s="161">
        <f>17220-17140</f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44601</v>
      </c>
      <c r="D98" s="161" t="s">
        <v>9</v>
      </c>
      <c r="E98" s="161" t="s">
        <v>39</v>
      </c>
      <c r="F98" s="207">
        <v>17410</v>
      </c>
      <c r="G98" s="207">
        <v>17490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44602</v>
      </c>
      <c r="D99" s="161" t="s">
        <v>8</v>
      </c>
      <c r="E99" s="161" t="s">
        <v>39</v>
      </c>
      <c r="F99" s="207">
        <v>17480</v>
      </c>
      <c r="G99" s="207">
        <v>17440</v>
      </c>
      <c r="H99" s="161">
        <v>40</v>
      </c>
      <c r="I99" s="207">
        <v>150</v>
      </c>
      <c r="J99" s="242">
        <f t="shared" si="18"/>
        <v>6000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44603</v>
      </c>
      <c r="D100" s="161" t="s">
        <v>8</v>
      </c>
      <c r="E100" s="161" t="s">
        <v>39</v>
      </c>
      <c r="F100" s="207">
        <v>17340</v>
      </c>
      <c r="G100" s="207">
        <v>17285</v>
      </c>
      <c r="H100" s="161">
        <f>17340-17285</f>
        <v>55</v>
      </c>
      <c r="I100" s="207">
        <v>150</v>
      </c>
      <c r="J100" s="242">
        <f t="shared" si="18"/>
        <v>8250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44606</v>
      </c>
      <c r="D101" s="161" t="s">
        <v>9</v>
      </c>
      <c r="E101" s="161" t="s">
        <v>39</v>
      </c>
      <c r="F101" s="207">
        <v>17050</v>
      </c>
      <c r="G101" s="207">
        <v>17070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44607</v>
      </c>
      <c r="D102" s="161" t="s">
        <v>8</v>
      </c>
      <c r="E102" s="161" t="s">
        <v>39</v>
      </c>
      <c r="F102" s="207">
        <v>16890</v>
      </c>
      <c r="G102" s="207">
        <v>16850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44608</v>
      </c>
      <c r="D103" s="161" t="s">
        <v>8</v>
      </c>
      <c r="E103" s="161" t="s">
        <v>39</v>
      </c>
      <c r="F103" s="207">
        <v>17340</v>
      </c>
      <c r="G103" s="207">
        <v>17260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44609</v>
      </c>
      <c r="D104" s="161" t="s">
        <v>8</v>
      </c>
      <c r="E104" s="161" t="s">
        <v>39</v>
      </c>
      <c r="F104" s="207">
        <v>17320</v>
      </c>
      <c r="G104" s="207">
        <v>17240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44610</v>
      </c>
      <c r="D105" s="161" t="s">
        <v>9</v>
      </c>
      <c r="E105" s="161" t="s">
        <v>39</v>
      </c>
      <c r="F105" s="207">
        <v>17290</v>
      </c>
      <c r="G105" s="207">
        <v>17370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44613</v>
      </c>
      <c r="D106" s="161" t="s">
        <v>9</v>
      </c>
      <c r="E106" s="161" t="s">
        <v>39</v>
      </c>
      <c r="F106" s="207">
        <v>17200</v>
      </c>
      <c r="G106" s="207">
        <v>17280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44614</v>
      </c>
      <c r="D107" s="161" t="s">
        <v>9</v>
      </c>
      <c r="E107" s="161" t="s">
        <v>39</v>
      </c>
      <c r="F107" s="207">
        <v>16940</v>
      </c>
      <c r="G107" s="207">
        <v>16998</v>
      </c>
      <c r="H107" s="161">
        <f>16998-16940</f>
        <v>58</v>
      </c>
      <c r="I107" s="207">
        <v>150</v>
      </c>
      <c r="J107" s="242">
        <f t="shared" si="18"/>
        <v>8700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44615</v>
      </c>
      <c r="D108" s="161" t="s">
        <v>8</v>
      </c>
      <c r="E108" s="161" t="s">
        <v>39</v>
      </c>
      <c r="F108" s="207">
        <v>17150</v>
      </c>
      <c r="G108" s="207">
        <v>17118</v>
      </c>
      <c r="H108" s="161">
        <f>17150-17118</f>
        <v>32</v>
      </c>
      <c r="I108" s="207">
        <v>150</v>
      </c>
      <c r="J108" s="242">
        <f t="shared" si="18"/>
        <v>4800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44616</v>
      </c>
      <c r="D109" s="161" t="s">
        <v>8</v>
      </c>
      <c r="E109" s="161" t="s">
        <v>39</v>
      </c>
      <c r="F109" s="207">
        <v>16510</v>
      </c>
      <c r="G109" s="207">
        <v>16550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19</v>
      </c>
      <c r="C110" s="206">
        <v>44617</v>
      </c>
      <c r="D110" s="161" t="s">
        <v>9</v>
      </c>
      <c r="E110" s="161" t="s">
        <v>39</v>
      </c>
      <c r="F110" s="207">
        <v>16640</v>
      </c>
      <c r="G110" s="207">
        <v>16720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44620</v>
      </c>
      <c r="D111" s="161" t="s">
        <v>9</v>
      </c>
      <c r="E111" s="161" t="s">
        <v>39</v>
      </c>
      <c r="F111" s="207">
        <v>16570</v>
      </c>
      <c r="G111" s="207">
        <v>16650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168750</v>
      </c>
      <c r="K115" s="153"/>
      <c r="V115" s="25">
        <f>SUM(V92:V114)</f>
        <v>19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3678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44593</v>
      </c>
      <c r="D123" s="185" t="s">
        <v>9</v>
      </c>
      <c r="E123" s="185" t="s">
        <v>1584</v>
      </c>
      <c r="F123" s="219">
        <v>145</v>
      </c>
      <c r="G123" s="231">
        <v>184</v>
      </c>
      <c r="H123" s="231">
        <f>184-145</f>
        <v>39</v>
      </c>
      <c r="I123" s="219">
        <v>300</v>
      </c>
      <c r="J123" s="246">
        <f t="shared" ref="J123:J146" si="22">I123*H123</f>
        <v>11700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44594</v>
      </c>
      <c r="D124" s="185" t="s">
        <v>9</v>
      </c>
      <c r="E124" s="185" t="s">
        <v>1584</v>
      </c>
      <c r="F124" s="219">
        <v>95</v>
      </c>
      <c r="G124" s="219">
        <v>120</v>
      </c>
      <c r="H124" s="185">
        <f>125-95</f>
        <v>30</v>
      </c>
      <c r="I124" s="219">
        <v>300</v>
      </c>
      <c r="J124" s="242">
        <f t="shared" si="22"/>
        <v>9000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44595</v>
      </c>
      <c r="D125" s="161" t="s">
        <v>9</v>
      </c>
      <c r="E125" s="161" t="s">
        <v>1604</v>
      </c>
      <c r="F125" s="207">
        <v>90</v>
      </c>
      <c r="G125" s="207">
        <v>140</v>
      </c>
      <c r="H125" s="161">
        <f>140-90</f>
        <v>50</v>
      </c>
      <c r="I125" s="207">
        <v>300</v>
      </c>
      <c r="J125" s="242">
        <f t="shared" si="22"/>
        <v>15000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44596</v>
      </c>
      <c r="D126" s="161" t="s">
        <v>9</v>
      </c>
      <c r="E126" s="161" t="s">
        <v>3504</v>
      </c>
      <c r="F126" s="207">
        <v>130</v>
      </c>
      <c r="G126" s="207">
        <v>105</v>
      </c>
      <c r="H126" s="161">
        <v>-25</v>
      </c>
      <c r="I126" s="207">
        <v>300</v>
      </c>
      <c r="J126" s="242">
        <f t="shared" si="22"/>
        <v>-7500</v>
      </c>
      <c r="K126" s="153"/>
      <c r="V126" s="25">
        <f t="shared" si="23"/>
        <v>0</v>
      </c>
      <c r="W126" s="25">
        <f t="shared" si="24"/>
        <v>1</v>
      </c>
    </row>
    <row r="127" spans="1:23" x14ac:dyDescent="0.3">
      <c r="A127" s="147"/>
      <c r="B127" s="205">
        <f t="shared" si="25"/>
        <v>5</v>
      </c>
      <c r="C127" s="206">
        <v>44599</v>
      </c>
      <c r="D127" s="161" t="s">
        <v>9</v>
      </c>
      <c r="E127" s="161" t="s">
        <v>1516</v>
      </c>
      <c r="F127" s="207">
        <v>120</v>
      </c>
      <c r="G127" s="207">
        <v>170</v>
      </c>
      <c r="H127" s="161">
        <v>50</v>
      </c>
      <c r="I127" s="207">
        <v>300</v>
      </c>
      <c r="J127" s="242">
        <f t="shared" si="22"/>
        <v>15000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44600</v>
      </c>
      <c r="D128" s="161" t="s">
        <v>9</v>
      </c>
      <c r="E128" s="161" t="s">
        <v>2989</v>
      </c>
      <c r="F128" s="207">
        <v>130</v>
      </c>
      <c r="G128" s="222">
        <v>180</v>
      </c>
      <c r="H128" s="222"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44601</v>
      </c>
      <c r="D129" s="161" t="s">
        <v>9</v>
      </c>
      <c r="E129" s="161" t="s">
        <v>3480</v>
      </c>
      <c r="F129" s="207">
        <v>100</v>
      </c>
      <c r="G129" s="207">
        <v>135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44602</v>
      </c>
      <c r="D130" s="161" t="s">
        <v>9</v>
      </c>
      <c r="E130" s="161" t="s">
        <v>3692</v>
      </c>
      <c r="F130" s="207">
        <v>105</v>
      </c>
      <c r="G130" s="207">
        <v>130</v>
      </c>
      <c r="H130" s="161"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44603</v>
      </c>
      <c r="D131" s="161" t="s">
        <v>9</v>
      </c>
      <c r="E131" s="161" t="s">
        <v>3468</v>
      </c>
      <c r="F131" s="207">
        <v>125</v>
      </c>
      <c r="G131" s="207">
        <v>159</v>
      </c>
      <c r="H131" s="161">
        <f>159-125</f>
        <v>34</v>
      </c>
      <c r="I131" s="207">
        <v>300</v>
      </c>
      <c r="J131" s="242">
        <f t="shared" si="22"/>
        <v>10200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44606</v>
      </c>
      <c r="D132" s="161" t="s">
        <v>9</v>
      </c>
      <c r="E132" s="161" t="s">
        <v>3610</v>
      </c>
      <c r="F132" s="207">
        <v>140</v>
      </c>
      <c r="G132" s="222">
        <v>151.5</v>
      </c>
      <c r="H132" s="222">
        <f>151.5-140</f>
        <v>11.5</v>
      </c>
      <c r="I132" s="207">
        <v>300</v>
      </c>
      <c r="J132" s="242">
        <f t="shared" si="22"/>
        <v>3450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44607</v>
      </c>
      <c r="D133" s="161" t="s">
        <v>9</v>
      </c>
      <c r="E133" s="161" t="s">
        <v>3700</v>
      </c>
      <c r="F133" s="207">
        <v>125</v>
      </c>
      <c r="G133" s="222">
        <v>150</v>
      </c>
      <c r="H133" s="222">
        <v>25</v>
      </c>
      <c r="I133" s="207">
        <v>300</v>
      </c>
      <c r="J133" s="242">
        <f t="shared" si="22"/>
        <v>7500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44608</v>
      </c>
      <c r="D134" s="161" t="s">
        <v>9</v>
      </c>
      <c r="E134" s="161" t="s">
        <v>3468</v>
      </c>
      <c r="F134" s="207">
        <v>100</v>
      </c>
      <c r="G134" s="222">
        <v>150</v>
      </c>
      <c r="H134" s="222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44609</v>
      </c>
      <c r="D135" s="161" t="s">
        <v>9</v>
      </c>
      <c r="E135" s="161" t="s">
        <v>1516</v>
      </c>
      <c r="F135" s="207">
        <v>120</v>
      </c>
      <c r="G135" s="222">
        <v>170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44610</v>
      </c>
      <c r="D136" s="161" t="s">
        <v>9</v>
      </c>
      <c r="E136" s="161" t="s">
        <v>1603</v>
      </c>
      <c r="F136" s="207">
        <v>145</v>
      </c>
      <c r="G136" s="207">
        <v>181</v>
      </c>
      <c r="H136" s="161">
        <f>181-145</f>
        <v>36</v>
      </c>
      <c r="I136" s="207">
        <v>300</v>
      </c>
      <c r="J136" s="242">
        <f>I136*H136</f>
        <v>10800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44613</v>
      </c>
      <c r="D137" s="161" t="s">
        <v>9</v>
      </c>
      <c r="E137" s="161" t="s">
        <v>3477</v>
      </c>
      <c r="F137" s="207">
        <v>140</v>
      </c>
      <c r="G137" s="207">
        <v>190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44614</v>
      </c>
      <c r="D138" s="161" t="s">
        <v>9</v>
      </c>
      <c r="E138" s="161" t="s">
        <v>3635</v>
      </c>
      <c r="F138" s="207">
        <v>140</v>
      </c>
      <c r="G138" s="207">
        <v>175</v>
      </c>
      <c r="H138" s="161">
        <v>35</v>
      </c>
      <c r="I138" s="207">
        <v>300</v>
      </c>
      <c r="J138" s="242">
        <f t="shared" si="22"/>
        <v>10500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44615</v>
      </c>
      <c r="D139" s="161" t="s">
        <v>9</v>
      </c>
      <c r="E139" s="161" t="s">
        <v>2989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22"/>
        <v>4500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44616</v>
      </c>
      <c r="D140" s="161" t="s">
        <v>9</v>
      </c>
      <c r="E140" s="161" t="s">
        <v>1415</v>
      </c>
      <c r="F140" s="207">
        <v>85</v>
      </c>
      <c r="G140" s="222">
        <v>95</v>
      </c>
      <c r="H140" s="222">
        <v>10</v>
      </c>
      <c r="I140" s="207">
        <v>300</v>
      </c>
      <c r="J140" s="242">
        <f t="shared" si="22"/>
        <v>3000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44617</v>
      </c>
      <c r="D141" s="161" t="s">
        <v>9</v>
      </c>
      <c r="E141" s="161" t="s">
        <v>1444</v>
      </c>
      <c r="F141" s="207">
        <v>190</v>
      </c>
      <c r="G141" s="222">
        <v>240</v>
      </c>
      <c r="H141" s="222">
        <f>240-190</f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44620</v>
      </c>
      <c r="D142" s="161" t="s">
        <v>9</v>
      </c>
      <c r="E142" s="161" t="s">
        <v>1376</v>
      </c>
      <c r="F142" s="207">
        <v>200</v>
      </c>
      <c r="G142" s="207">
        <v>250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6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201150</v>
      </c>
      <c r="K147" s="153"/>
      <c r="V147" s="25">
        <f>SUM(V123:V146)</f>
        <v>19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3676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44593</v>
      </c>
      <c r="D155" s="185" t="s">
        <v>9</v>
      </c>
      <c r="E155" s="185" t="s">
        <v>301</v>
      </c>
      <c r="F155" s="219">
        <v>38800</v>
      </c>
      <c r="G155" s="231">
        <v>38900</v>
      </c>
      <c r="H155" s="185">
        <v>100</v>
      </c>
      <c r="I155" s="219">
        <v>50</v>
      </c>
      <c r="J155" s="246">
        <f t="shared" ref="J155:J177" si="26">I155*H155</f>
        <v>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44594</v>
      </c>
      <c r="D156" s="185" t="s">
        <v>9</v>
      </c>
      <c r="E156" s="185" t="s">
        <v>301</v>
      </c>
      <c r="F156" s="219">
        <v>39150</v>
      </c>
      <c r="G156" s="219">
        <v>39450</v>
      </c>
      <c r="H156" s="185">
        <v>300</v>
      </c>
      <c r="I156" s="219">
        <v>50</v>
      </c>
      <c r="J156" s="242">
        <f t="shared" si="26"/>
        <v>15000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44595</v>
      </c>
      <c r="D157" s="161" t="s">
        <v>8</v>
      </c>
      <c r="E157" s="161" t="s">
        <v>301</v>
      </c>
      <c r="F157" s="207">
        <v>39300</v>
      </c>
      <c r="G157" s="207">
        <v>39255</v>
      </c>
      <c r="H157" s="161">
        <f>39300-39255</f>
        <v>45</v>
      </c>
      <c r="I157" s="207">
        <v>50</v>
      </c>
      <c r="J157" s="242">
        <f t="shared" si="26"/>
        <v>2250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44596</v>
      </c>
      <c r="D158" s="161" t="s">
        <v>9</v>
      </c>
      <c r="E158" s="161" t="s">
        <v>301</v>
      </c>
      <c r="F158" s="207">
        <v>39300</v>
      </c>
      <c r="G158" s="207">
        <v>39355</v>
      </c>
      <c r="H158" s="161">
        <v>55</v>
      </c>
      <c r="I158" s="207">
        <v>50</v>
      </c>
      <c r="J158" s="242">
        <f t="shared" si="26"/>
        <v>2750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44599</v>
      </c>
      <c r="D159" s="161" t="s">
        <v>8</v>
      </c>
      <c r="E159" s="161" t="s">
        <v>301</v>
      </c>
      <c r="F159" s="207">
        <v>38750</v>
      </c>
      <c r="G159" s="207">
        <v>38450</v>
      </c>
      <c r="H159" s="161">
        <v>300</v>
      </c>
      <c r="I159" s="207">
        <v>50</v>
      </c>
      <c r="J159" s="242">
        <f t="shared" si="26"/>
        <v>15000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44600</v>
      </c>
      <c r="D160" s="161" t="s">
        <v>8</v>
      </c>
      <c r="E160" s="161" t="s">
        <v>301</v>
      </c>
      <c r="F160" s="207">
        <v>37900</v>
      </c>
      <c r="G160" s="207">
        <v>37600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44601</v>
      </c>
      <c r="D161" s="161" t="s">
        <v>9</v>
      </c>
      <c r="E161" s="161" t="s">
        <v>301</v>
      </c>
      <c r="F161" s="207">
        <v>38500</v>
      </c>
      <c r="G161" s="207">
        <v>38725</v>
      </c>
      <c r="H161" s="161">
        <v>225</v>
      </c>
      <c r="I161" s="207">
        <v>50</v>
      </c>
      <c r="J161" s="242">
        <f t="shared" si="26"/>
        <v>11250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44602</v>
      </c>
      <c r="D162" s="161" t="s">
        <v>8</v>
      </c>
      <c r="E162" s="161" t="s">
        <v>301</v>
      </c>
      <c r="F162" s="207">
        <v>38750</v>
      </c>
      <c r="G162" s="207">
        <v>38600</v>
      </c>
      <c r="H162" s="161">
        <v>150</v>
      </c>
      <c r="I162" s="207">
        <v>50</v>
      </c>
      <c r="J162" s="242">
        <f t="shared" si="26"/>
        <v>7500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44603</v>
      </c>
      <c r="D163" s="161" t="s">
        <v>8</v>
      </c>
      <c r="E163" s="161" t="s">
        <v>301</v>
      </c>
      <c r="F163" s="207">
        <v>38600</v>
      </c>
      <c r="G163" s="207">
        <v>38410</v>
      </c>
      <c r="H163" s="161">
        <f>38600-38410</f>
        <v>190</v>
      </c>
      <c r="I163" s="207">
        <v>50</v>
      </c>
      <c r="J163" s="242">
        <f t="shared" si="26"/>
        <v>9500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44606</v>
      </c>
      <c r="D164" s="161" t="s">
        <v>8</v>
      </c>
      <c r="E164" s="161" t="s">
        <v>301</v>
      </c>
      <c r="F164" s="207">
        <v>37400</v>
      </c>
      <c r="G164" s="207">
        <v>37350</v>
      </c>
      <c r="H164" s="161">
        <v>50</v>
      </c>
      <c r="I164" s="207">
        <v>50</v>
      </c>
      <c r="J164" s="242">
        <f t="shared" si="26"/>
        <v>2500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44607</v>
      </c>
      <c r="D165" s="161" t="s">
        <v>8</v>
      </c>
      <c r="E165" s="161" t="s">
        <v>301</v>
      </c>
      <c r="F165" s="207">
        <v>36900</v>
      </c>
      <c r="G165" s="207">
        <v>36680</v>
      </c>
      <c r="H165" s="161">
        <f>36900-36680</f>
        <v>220</v>
      </c>
      <c r="I165" s="207">
        <v>50</v>
      </c>
      <c r="J165" s="242">
        <f t="shared" si="26"/>
        <v>11000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44608</v>
      </c>
      <c r="D166" s="161" t="s">
        <v>8</v>
      </c>
      <c r="E166" s="161" t="s">
        <v>301</v>
      </c>
      <c r="F166" s="207">
        <v>38100</v>
      </c>
      <c r="G166" s="207">
        <v>37800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44609</v>
      </c>
      <c r="D167" s="161" t="s">
        <v>8</v>
      </c>
      <c r="E167" s="161" t="s">
        <v>301</v>
      </c>
      <c r="F167" s="207">
        <v>37700</v>
      </c>
      <c r="G167" s="207">
        <v>37500</v>
      </c>
      <c r="H167" s="161">
        <v>200</v>
      </c>
      <c r="I167" s="207">
        <v>50</v>
      </c>
      <c r="J167" s="242">
        <f t="shared" si="26"/>
        <v>10000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44610</v>
      </c>
      <c r="D168" s="161" t="s">
        <v>9</v>
      </c>
      <c r="E168" s="161" t="s">
        <v>301</v>
      </c>
      <c r="F168" s="207">
        <v>37500</v>
      </c>
      <c r="G168" s="207">
        <v>37800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44613</v>
      </c>
      <c r="D169" s="161" t="s">
        <v>9</v>
      </c>
      <c r="E169" s="161" t="s">
        <v>301</v>
      </c>
      <c r="F169" s="207">
        <v>37700</v>
      </c>
      <c r="G169" s="207">
        <v>37900</v>
      </c>
      <c r="H169" s="161">
        <v>200</v>
      </c>
      <c r="I169" s="207">
        <v>50</v>
      </c>
      <c r="J169" s="242">
        <f t="shared" si="26"/>
        <v>10000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44614</v>
      </c>
      <c r="D170" s="161" t="s">
        <v>9</v>
      </c>
      <c r="E170" s="161" t="s">
        <v>301</v>
      </c>
      <c r="F170" s="207">
        <v>37150</v>
      </c>
      <c r="G170" s="207">
        <v>37450</v>
      </c>
      <c r="H170" s="161">
        <v>300</v>
      </c>
      <c r="I170" s="207">
        <v>50</v>
      </c>
      <c r="J170" s="242">
        <f t="shared" si="26"/>
        <v>15000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44615</v>
      </c>
      <c r="D171" s="161" t="s">
        <v>8</v>
      </c>
      <c r="E171" s="161" t="s">
        <v>301</v>
      </c>
      <c r="F171" s="207">
        <v>37600</v>
      </c>
      <c r="G171" s="207">
        <v>37460</v>
      </c>
      <c r="H171" s="161">
        <f>37600-37460</f>
        <v>140</v>
      </c>
      <c r="I171" s="207">
        <v>50</v>
      </c>
      <c r="J171" s="242">
        <f t="shared" si="26"/>
        <v>7000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44616</v>
      </c>
      <c r="D172" s="161" t="s">
        <v>8</v>
      </c>
      <c r="E172" s="161" t="s">
        <v>301</v>
      </c>
      <c r="F172" s="207">
        <v>35950</v>
      </c>
      <c r="G172" s="207">
        <v>36100</v>
      </c>
      <c r="H172" s="161">
        <v>-150</v>
      </c>
      <c r="I172" s="207">
        <v>50</v>
      </c>
      <c r="J172" s="242">
        <f t="shared" si="26"/>
        <v>-7500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19</v>
      </c>
      <c r="C173" s="206">
        <v>44617</v>
      </c>
      <c r="D173" s="161" t="s">
        <v>9</v>
      </c>
      <c r="E173" s="161" t="s">
        <v>301</v>
      </c>
      <c r="F173" s="207">
        <v>36350</v>
      </c>
      <c r="G173" s="207">
        <v>36650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44620</v>
      </c>
      <c r="D174" s="161" t="s">
        <v>8</v>
      </c>
      <c r="E174" s="161" t="s">
        <v>301</v>
      </c>
      <c r="F174" s="207">
        <v>35800</v>
      </c>
      <c r="G174" s="207">
        <v>35750</v>
      </c>
      <c r="H174" s="161">
        <v>50</v>
      </c>
      <c r="I174" s="207">
        <v>50</v>
      </c>
      <c r="J174" s="242">
        <f t="shared" si="26"/>
        <v>2500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178750</v>
      </c>
      <c r="K178" s="153"/>
      <c r="V178" s="25">
        <f>SUM(V155:V177)</f>
        <v>19</v>
      </c>
      <c r="W178" s="25">
        <f>SUM(W155:W177)</f>
        <v>1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3679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44593</v>
      </c>
      <c r="D186" s="185" t="s">
        <v>9</v>
      </c>
      <c r="E186" s="185" t="s">
        <v>3579</v>
      </c>
      <c r="F186" s="219">
        <v>570</v>
      </c>
      <c r="G186" s="219">
        <v>610</v>
      </c>
      <c r="H186" s="185">
        <f>610-570</f>
        <v>40</v>
      </c>
      <c r="I186" s="219">
        <v>100</v>
      </c>
      <c r="J186" s="246">
        <f t="shared" ref="J186:J208" si="30">I186*H186</f>
        <v>4000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44594</v>
      </c>
      <c r="D187" s="185" t="s">
        <v>9</v>
      </c>
      <c r="E187" s="185" t="s">
        <v>3569</v>
      </c>
      <c r="F187" s="219">
        <v>270</v>
      </c>
      <c r="G187" s="219">
        <v>370</v>
      </c>
      <c r="H187" s="185">
        <v>100</v>
      </c>
      <c r="I187" s="219">
        <v>100</v>
      </c>
      <c r="J187" s="242">
        <f t="shared" si="30"/>
        <v>10000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44595</v>
      </c>
      <c r="D188" s="161" t="s">
        <v>9</v>
      </c>
      <c r="E188" s="161" t="s">
        <v>3681</v>
      </c>
      <c r="F188" s="207">
        <v>210</v>
      </c>
      <c r="G188" s="207">
        <v>283</v>
      </c>
      <c r="H188" s="161">
        <f>283-210</f>
        <v>73</v>
      </c>
      <c r="I188" s="207">
        <v>100</v>
      </c>
      <c r="J188" s="242">
        <f t="shared" si="30"/>
        <v>7300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44596</v>
      </c>
      <c r="D189" s="161" t="s">
        <v>9</v>
      </c>
      <c r="E189" s="161" t="s">
        <v>3684</v>
      </c>
      <c r="F189" s="207">
        <v>370</v>
      </c>
      <c r="G189" s="207">
        <v>270</v>
      </c>
      <c r="H189" s="161">
        <v>-100</v>
      </c>
      <c r="I189" s="207">
        <v>100</v>
      </c>
      <c r="J189" s="242">
        <f t="shared" si="30"/>
        <v>-10000</v>
      </c>
      <c r="K189" s="153"/>
      <c r="V189" s="25">
        <f t="shared" si="31"/>
        <v>0</v>
      </c>
      <c r="W189" s="25">
        <f t="shared" si="32"/>
        <v>1</v>
      </c>
    </row>
    <row r="190" spans="1:23" x14ac:dyDescent="0.3">
      <c r="A190" s="147"/>
      <c r="B190" s="205">
        <f t="shared" si="33"/>
        <v>5</v>
      </c>
      <c r="C190" s="206">
        <v>44599</v>
      </c>
      <c r="D190" s="161" t="s">
        <v>9</v>
      </c>
      <c r="E190" s="161" t="s">
        <v>3688</v>
      </c>
      <c r="F190" s="207">
        <v>410</v>
      </c>
      <c r="G190" s="207">
        <v>555</v>
      </c>
      <c r="H190" s="161">
        <f>555-410</f>
        <v>145</v>
      </c>
      <c r="I190" s="207">
        <v>100</v>
      </c>
      <c r="J190" s="242">
        <f t="shared" si="30"/>
        <v>14500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44600</v>
      </c>
      <c r="D191" s="161" t="s">
        <v>9</v>
      </c>
      <c r="E191" s="161" t="s">
        <v>3509</v>
      </c>
      <c r="F191" s="207">
        <v>380</v>
      </c>
      <c r="G191" s="207">
        <v>580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44601</v>
      </c>
      <c r="D192" s="161" t="s">
        <v>9</v>
      </c>
      <c r="E192" s="161" t="s">
        <v>3660</v>
      </c>
      <c r="F192" s="207">
        <v>210</v>
      </c>
      <c r="G192" s="207">
        <v>260</v>
      </c>
      <c r="H192" s="161">
        <v>50</v>
      </c>
      <c r="I192" s="207">
        <v>100</v>
      </c>
      <c r="J192" s="242">
        <f t="shared" si="30"/>
        <v>5000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44602</v>
      </c>
      <c r="D193" s="161" t="s">
        <v>9</v>
      </c>
      <c r="E193" s="161" t="s">
        <v>3693</v>
      </c>
      <c r="F193" s="207">
        <v>150</v>
      </c>
      <c r="G193" s="207">
        <v>285</v>
      </c>
      <c r="H193" s="161">
        <f>285-150</f>
        <v>135</v>
      </c>
      <c r="I193" s="207">
        <v>100</v>
      </c>
      <c r="J193" s="242">
        <f t="shared" si="30"/>
        <v>13500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44603</v>
      </c>
      <c r="D194" s="161" t="s">
        <v>9</v>
      </c>
      <c r="E194" s="161" t="s">
        <v>3696</v>
      </c>
      <c r="F194" s="207">
        <v>400</v>
      </c>
      <c r="G194" s="207">
        <v>445</v>
      </c>
      <c r="H194" s="161">
        <v>45</v>
      </c>
      <c r="I194" s="207">
        <v>100</v>
      </c>
      <c r="J194" s="242">
        <f t="shared" si="30"/>
        <v>4500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44606</v>
      </c>
      <c r="D195" s="161" t="s">
        <v>9</v>
      </c>
      <c r="E195" s="161" t="s">
        <v>3495</v>
      </c>
      <c r="F195" s="207">
        <v>400</v>
      </c>
      <c r="G195" s="207">
        <v>435</v>
      </c>
      <c r="H195" s="161">
        <v>35</v>
      </c>
      <c r="I195" s="207">
        <v>100</v>
      </c>
      <c r="J195" s="242">
        <f t="shared" si="30"/>
        <v>3500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44607</v>
      </c>
      <c r="D196" s="161" t="s">
        <v>9</v>
      </c>
      <c r="E196" s="161" t="s">
        <v>3250</v>
      </c>
      <c r="F196" s="207">
        <v>400</v>
      </c>
      <c r="G196" s="207">
        <v>442</v>
      </c>
      <c r="H196" s="161">
        <v>42</v>
      </c>
      <c r="I196" s="207">
        <v>100</v>
      </c>
      <c r="J196" s="242">
        <f t="shared" si="30"/>
        <v>4200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44608</v>
      </c>
      <c r="D197" s="161" t="s">
        <v>9</v>
      </c>
      <c r="E197" s="161" t="s">
        <v>3507</v>
      </c>
      <c r="F197" s="207">
        <v>260</v>
      </c>
      <c r="G197" s="207">
        <v>460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44609</v>
      </c>
      <c r="D198" s="161" t="s">
        <v>9</v>
      </c>
      <c r="E198" s="161" t="s">
        <v>3588</v>
      </c>
      <c r="F198" s="207">
        <v>200</v>
      </c>
      <c r="G198" s="207">
        <v>245</v>
      </c>
      <c r="H198" s="161">
        <v>45</v>
      </c>
      <c r="I198" s="207">
        <v>100</v>
      </c>
      <c r="J198" s="242">
        <f t="shared" si="30"/>
        <v>4500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44610</v>
      </c>
      <c r="D199" s="161" t="s">
        <v>9</v>
      </c>
      <c r="E199" s="161" t="s">
        <v>3495</v>
      </c>
      <c r="F199" s="207">
        <v>500</v>
      </c>
      <c r="G199" s="207">
        <v>600</v>
      </c>
      <c r="H199" s="161">
        <v>100</v>
      </c>
      <c r="I199" s="207">
        <v>100</v>
      </c>
      <c r="J199" s="242">
        <f t="shared" si="30"/>
        <v>10000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44613</v>
      </c>
      <c r="D200" s="161" t="s">
        <v>9</v>
      </c>
      <c r="E200" s="161" t="s">
        <v>3492</v>
      </c>
      <c r="F200" s="207">
        <v>440</v>
      </c>
      <c r="G200" s="207">
        <v>640</v>
      </c>
      <c r="H200" s="161">
        <v>200</v>
      </c>
      <c r="I200" s="207">
        <v>100</v>
      </c>
      <c r="J200" s="242">
        <f t="shared" si="30"/>
        <v>20000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44614</v>
      </c>
      <c r="D201" s="161" t="s">
        <v>9</v>
      </c>
      <c r="E201" s="161" t="s">
        <v>3242</v>
      </c>
      <c r="F201" s="207">
        <v>440</v>
      </c>
      <c r="G201" s="207">
        <v>640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44615</v>
      </c>
      <c r="D202" s="161" t="s">
        <v>9</v>
      </c>
      <c r="E202" s="161" t="s">
        <v>3588</v>
      </c>
      <c r="F202" s="207">
        <v>270</v>
      </c>
      <c r="G202" s="207">
        <v>270</v>
      </c>
      <c r="H202" s="161">
        <v>100</v>
      </c>
      <c r="I202" s="207">
        <v>100</v>
      </c>
      <c r="J202" s="242">
        <f t="shared" si="30"/>
        <v>10000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44616</v>
      </c>
      <c r="D203" s="161" t="s">
        <v>9</v>
      </c>
      <c r="E203" s="161" t="s">
        <v>3424</v>
      </c>
      <c r="F203" s="207">
        <v>180</v>
      </c>
      <c r="G203" s="207">
        <v>380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44617</v>
      </c>
      <c r="D204" s="161" t="s">
        <v>9</v>
      </c>
      <c r="E204" s="161" t="s">
        <v>3447</v>
      </c>
      <c r="F204" s="207">
        <v>530</v>
      </c>
      <c r="G204" s="207">
        <v>680</v>
      </c>
      <c r="H204" s="161">
        <f>680-530</f>
        <v>150</v>
      </c>
      <c r="I204" s="207">
        <v>100</v>
      </c>
      <c r="J204" s="242">
        <f t="shared" si="30"/>
        <v>15000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44620</v>
      </c>
      <c r="D205" s="161" t="s">
        <v>9</v>
      </c>
      <c r="E205" s="161" t="s">
        <v>3711</v>
      </c>
      <c r="F205" s="207">
        <v>540</v>
      </c>
      <c r="G205" s="207">
        <v>720</v>
      </c>
      <c r="H205" s="161">
        <f>720-540</f>
        <v>180</v>
      </c>
      <c r="I205" s="207">
        <v>100</v>
      </c>
      <c r="J205" s="242">
        <f t="shared" si="30"/>
        <v>18000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214000</v>
      </c>
      <c r="K209" s="153"/>
      <c r="V209" s="25">
        <f>SUM(V186:V208)</f>
        <v>19</v>
      </c>
      <c r="W209" s="25">
        <f>SUM(W186:W208)</f>
        <v>1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3676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44593</v>
      </c>
      <c r="D217" s="185" t="s">
        <v>9</v>
      </c>
      <c r="E217" s="185" t="s">
        <v>3680</v>
      </c>
      <c r="F217" s="231">
        <v>34</v>
      </c>
      <c r="G217" s="231">
        <v>36.6</v>
      </c>
      <c r="H217" s="231">
        <v>2.6</v>
      </c>
      <c r="I217" s="219">
        <v>550</v>
      </c>
      <c r="J217" s="246">
        <f t="shared" ref="J217:J240" si="34">I217*H217</f>
        <v>1430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44594</v>
      </c>
      <c r="D218" s="185" t="s">
        <v>9</v>
      </c>
      <c r="E218" s="185" t="s">
        <v>3697</v>
      </c>
      <c r="F218" s="231">
        <v>48</v>
      </c>
      <c r="G218" s="231">
        <v>53.5</v>
      </c>
      <c r="H218" s="231">
        <f>53.5-48</f>
        <v>5.5</v>
      </c>
      <c r="I218" s="219">
        <v>400</v>
      </c>
      <c r="J218" s="242">
        <f>I218*H218</f>
        <v>2200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5">B218+1</f>
        <v>3</v>
      </c>
      <c r="C219" s="206">
        <v>44595</v>
      </c>
      <c r="D219" s="161" t="s">
        <v>9</v>
      </c>
      <c r="E219" s="161" t="s">
        <v>3682</v>
      </c>
      <c r="F219" s="222">
        <v>41</v>
      </c>
      <c r="G219" s="222">
        <v>55.9</v>
      </c>
      <c r="H219" s="222">
        <f>55.9-41</f>
        <v>14.899999999999999</v>
      </c>
      <c r="I219" s="207">
        <v>300</v>
      </c>
      <c r="J219" s="242">
        <f t="shared" si="34"/>
        <v>4470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44596</v>
      </c>
      <c r="D220" s="161" t="s">
        <v>9</v>
      </c>
      <c r="E220" s="161" t="s">
        <v>3683</v>
      </c>
      <c r="F220" s="222">
        <v>45</v>
      </c>
      <c r="G220" s="222">
        <v>49</v>
      </c>
      <c r="H220" s="222">
        <f>49-45</f>
        <v>4</v>
      </c>
      <c r="I220" s="207">
        <v>425</v>
      </c>
      <c r="J220" s="242">
        <f t="shared" si="34"/>
        <v>1700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44599</v>
      </c>
      <c r="D221" s="161" t="s">
        <v>9</v>
      </c>
      <c r="E221" s="161" t="s">
        <v>3686</v>
      </c>
      <c r="F221" s="222">
        <v>200</v>
      </c>
      <c r="G221" s="222">
        <v>280</v>
      </c>
      <c r="H221" s="222">
        <v>80</v>
      </c>
      <c r="I221" s="207">
        <v>125</v>
      </c>
      <c r="J221" s="242">
        <f t="shared" si="34"/>
        <v>10000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44600</v>
      </c>
      <c r="D222" s="161" t="s">
        <v>9</v>
      </c>
      <c r="E222" s="161" t="s">
        <v>3687</v>
      </c>
      <c r="F222" s="222">
        <v>19</v>
      </c>
      <c r="G222" s="222">
        <v>27</v>
      </c>
      <c r="H222" s="222">
        <f>27-19</f>
        <v>8</v>
      </c>
      <c r="I222" s="207">
        <v>1600</v>
      </c>
      <c r="J222" s="242">
        <f t="shared" si="34"/>
        <v>12800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44601</v>
      </c>
      <c r="D223" s="161" t="s">
        <v>9</v>
      </c>
      <c r="E223" s="161" t="s">
        <v>3690</v>
      </c>
      <c r="F223" s="222">
        <v>70</v>
      </c>
      <c r="G223" s="222">
        <v>80</v>
      </c>
      <c r="H223" s="222">
        <v>10</v>
      </c>
      <c r="I223" s="207">
        <v>300</v>
      </c>
      <c r="J223" s="242">
        <f t="shared" si="34"/>
        <v>3000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44602</v>
      </c>
      <c r="D224" s="161" t="s">
        <v>9</v>
      </c>
      <c r="E224" s="161" t="s">
        <v>3694</v>
      </c>
      <c r="F224" s="222">
        <v>16</v>
      </c>
      <c r="G224" s="222">
        <v>18.399999999999999</v>
      </c>
      <c r="H224" s="222">
        <v>2.4</v>
      </c>
      <c r="I224" s="207">
        <v>1350</v>
      </c>
      <c r="J224" s="242">
        <f t="shared" si="34"/>
        <v>3240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44603</v>
      </c>
      <c r="D225" s="161" t="s">
        <v>9</v>
      </c>
      <c r="E225" s="161" t="s">
        <v>3695</v>
      </c>
      <c r="F225" s="222">
        <v>70</v>
      </c>
      <c r="G225" s="222">
        <v>50</v>
      </c>
      <c r="H225" s="255">
        <v>-20</v>
      </c>
      <c r="I225" s="207">
        <v>250</v>
      </c>
      <c r="J225" s="242">
        <f t="shared" si="34"/>
        <v>-5000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44606</v>
      </c>
      <c r="D226" s="161" t="s">
        <v>9</v>
      </c>
      <c r="E226" s="161" t="s">
        <v>3698</v>
      </c>
      <c r="F226" s="222">
        <v>60</v>
      </c>
      <c r="G226" s="222">
        <v>90</v>
      </c>
      <c r="H226" s="255">
        <v>30</v>
      </c>
      <c r="I226" s="207">
        <v>250</v>
      </c>
      <c r="J226" s="242">
        <f t="shared" si="34"/>
        <v>7500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44607</v>
      </c>
      <c r="D227" s="161" t="s">
        <v>9</v>
      </c>
      <c r="E227" s="161" t="s">
        <v>3699</v>
      </c>
      <c r="F227" s="222">
        <v>32</v>
      </c>
      <c r="G227" s="222">
        <v>44.5</v>
      </c>
      <c r="H227" s="255">
        <f>44.5-32</f>
        <v>12.5</v>
      </c>
      <c r="I227" s="207">
        <v>600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44608</v>
      </c>
      <c r="D228" s="161" t="s">
        <v>9</v>
      </c>
      <c r="E228" s="161" t="s">
        <v>3701</v>
      </c>
      <c r="F228" s="222">
        <v>10</v>
      </c>
      <c r="G228" s="222">
        <v>12.65</v>
      </c>
      <c r="H228" s="255">
        <v>2.65</v>
      </c>
      <c r="I228" s="207">
        <v>750</v>
      </c>
      <c r="J228" s="242">
        <f t="shared" si="34"/>
        <v>1987.5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44609</v>
      </c>
      <c r="D229" s="161" t="s">
        <v>9</v>
      </c>
      <c r="E229" s="161" t="s">
        <v>3702</v>
      </c>
      <c r="F229" s="222">
        <v>10</v>
      </c>
      <c r="G229" s="222">
        <v>12</v>
      </c>
      <c r="H229" s="255">
        <v>2</v>
      </c>
      <c r="I229" s="207">
        <v>1500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44610</v>
      </c>
      <c r="D230" s="161" t="s">
        <v>9</v>
      </c>
      <c r="E230" s="161" t="s">
        <v>3703</v>
      </c>
      <c r="F230" s="222">
        <v>24</v>
      </c>
      <c r="G230" s="222">
        <v>30.4</v>
      </c>
      <c r="H230" s="255">
        <f>30.4-24</f>
        <v>6.3999999999999986</v>
      </c>
      <c r="I230" s="207">
        <v>500</v>
      </c>
      <c r="J230" s="242">
        <f>I230*H230</f>
        <v>3199.9999999999991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44613</v>
      </c>
      <c r="D231" s="161" t="s">
        <v>9</v>
      </c>
      <c r="E231" s="161" t="s">
        <v>3704</v>
      </c>
      <c r="F231" s="222">
        <v>4</v>
      </c>
      <c r="G231" s="222">
        <v>5</v>
      </c>
      <c r="H231" s="255">
        <v>1</v>
      </c>
      <c r="I231" s="207">
        <v>3000</v>
      </c>
      <c r="J231" s="242">
        <f t="shared" si="34"/>
        <v>3000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44614</v>
      </c>
      <c r="D232" s="161" t="s">
        <v>9</v>
      </c>
      <c r="E232" s="161" t="s">
        <v>3701</v>
      </c>
      <c r="F232" s="222">
        <v>10</v>
      </c>
      <c r="G232" s="222">
        <v>11.95</v>
      </c>
      <c r="H232" s="222">
        <v>1.95</v>
      </c>
      <c r="I232" s="207">
        <v>750</v>
      </c>
      <c r="J232" s="242">
        <f t="shared" si="34"/>
        <v>1462.5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44615</v>
      </c>
      <c r="D233" s="161" t="s">
        <v>9</v>
      </c>
      <c r="E233" s="161" t="s">
        <v>3707</v>
      </c>
      <c r="F233" s="222">
        <v>75</v>
      </c>
      <c r="G233" s="222">
        <v>90</v>
      </c>
      <c r="H233" s="222">
        <v>15</v>
      </c>
      <c r="I233" s="207">
        <v>125</v>
      </c>
      <c r="J233" s="242">
        <f t="shared" si="34"/>
        <v>1875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44615</v>
      </c>
      <c r="D234" s="161" t="s">
        <v>9</v>
      </c>
      <c r="E234" s="161" t="s">
        <v>3708</v>
      </c>
      <c r="F234" s="222">
        <v>7</v>
      </c>
      <c r="G234" s="222">
        <v>10.55</v>
      </c>
      <c r="H234" s="222">
        <f>10.55-7</f>
        <v>3.5500000000000007</v>
      </c>
      <c r="I234" s="207">
        <v>700</v>
      </c>
      <c r="J234" s="242">
        <f t="shared" si="34"/>
        <v>2485.0000000000005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44616</v>
      </c>
      <c r="D235" s="161" t="s">
        <v>9</v>
      </c>
      <c r="E235" s="161" t="s">
        <v>3709</v>
      </c>
      <c r="F235" s="222">
        <v>2.5</v>
      </c>
      <c r="G235" s="222">
        <v>6.5</v>
      </c>
      <c r="H235" s="222">
        <v>4</v>
      </c>
      <c r="I235" s="207">
        <v>350</v>
      </c>
      <c r="J235" s="242">
        <f t="shared" si="34"/>
        <v>1400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>
        <v>44617</v>
      </c>
      <c r="D236" s="161" t="s">
        <v>9</v>
      </c>
      <c r="E236" s="161" t="s">
        <v>3710</v>
      </c>
      <c r="F236" s="222">
        <v>35</v>
      </c>
      <c r="G236" s="222">
        <v>41</v>
      </c>
      <c r="H236" s="222">
        <v>6</v>
      </c>
      <c r="I236" s="207">
        <v>1250</v>
      </c>
      <c r="J236" s="242">
        <f t="shared" si="34"/>
        <v>7500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>
        <v>44620</v>
      </c>
      <c r="D237" s="161" t="s">
        <v>9</v>
      </c>
      <c r="E237" s="161" t="s">
        <v>3712</v>
      </c>
      <c r="F237" s="222">
        <v>220</v>
      </c>
      <c r="G237" s="222">
        <v>255</v>
      </c>
      <c r="H237" s="222">
        <f>255-220</f>
        <v>35</v>
      </c>
      <c r="I237" s="207">
        <v>125</v>
      </c>
      <c r="J237" s="242">
        <f t="shared" si="34"/>
        <v>4375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79125</v>
      </c>
      <c r="K241" s="153"/>
      <c r="V241" s="25">
        <f>SUM(V217:V240)</f>
        <v>20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A00-000000000000}"/>
    <hyperlink ref="B115" r:id="rId2" xr:uid="{00000000-0004-0000-6A00-000001000000}"/>
    <hyperlink ref="B147" r:id="rId3" xr:uid="{00000000-0004-0000-6A00-000002000000}"/>
    <hyperlink ref="B178" r:id="rId4" xr:uid="{00000000-0004-0000-6A00-000003000000}"/>
    <hyperlink ref="B209" r:id="rId5" xr:uid="{00000000-0004-0000-6A00-000004000000}"/>
    <hyperlink ref="B241" r:id="rId6" xr:uid="{00000000-0004-0000-6A00-000005000000}"/>
    <hyperlink ref="M1" location="'MASTER '!A1" display="Back" xr:uid="{00000000-0004-0000-6A00-000006000000}"/>
    <hyperlink ref="M6:M7" location="'FEB 2022'!A77" display="STOCK FUTURE" xr:uid="{00000000-0004-0000-6A00-000007000000}"/>
    <hyperlink ref="M12:M13" location="'FEB 2022'!A170" display="BANK NIFTY" xr:uid="{00000000-0004-0000-6A00-000008000000}"/>
    <hyperlink ref="M10:M11" location="'FEB 2022'!A139" display="NF. OPTION" xr:uid="{00000000-0004-0000-6A00-000009000000}"/>
    <hyperlink ref="M8:M9" location="'FEB 2022'!A108" display="NIFTY FUTURE" xr:uid="{00000000-0004-0000-6A00-00000A000000}"/>
    <hyperlink ref="M4:M5" location="'FEB 2022'!A1" display="CASH" xr:uid="{00000000-0004-0000-6A00-00000B000000}"/>
    <hyperlink ref="M14:M15" location="'FEB 2022'!A201" display="B.NIFTY OPTION" xr:uid="{00000000-0004-0000-6A00-00000C000000}"/>
    <hyperlink ref="M16:M17" location="'FEB 2022'!A216" display="STOCK OPTION" xr:uid="{00000000-0004-0000-6A00-00000D000000}"/>
    <hyperlink ref="B52" r:id="rId7" xr:uid="{00000000-0004-0000-6A00-00000E000000}"/>
  </hyperlinks>
  <pageMargins left="0" right="0" top="0" bottom="0" header="0" footer="0"/>
  <pageSetup scale="95" orientation="portrait" r:id="rId8"/>
  <drawing r:id="rId9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242"/>
  <sheetViews>
    <sheetView topLeftCell="A75" zoomScaleNormal="100" workbookViewId="0">
      <selection activeCell="M85" sqref="M85:M8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3713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34</v>
      </c>
      <c r="P4" s="386">
        <f>W52</f>
        <v>8</v>
      </c>
      <c r="Q4" s="387">
        <f>N4-O4-P4</f>
        <v>0</v>
      </c>
      <c r="R4" s="380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44622</v>
      </c>
      <c r="D6" s="158" t="s">
        <v>9</v>
      </c>
      <c r="E6" s="158" t="s">
        <v>531</v>
      </c>
      <c r="F6" s="230">
        <v>3900</v>
      </c>
      <c r="G6" s="222">
        <v>3925</v>
      </c>
      <c r="H6" s="222">
        <v>25</v>
      </c>
      <c r="I6" s="207">
        <f t="shared" ref="I6:I7" si="0">300000/F6</f>
        <v>76.92307692307692</v>
      </c>
      <c r="J6" s="161">
        <f t="shared" ref="J6:J7" si="1">H6*I6</f>
        <v>1923.0769230769231</v>
      </c>
      <c r="K6" s="153"/>
      <c r="M6" s="394" t="s">
        <v>450</v>
      </c>
      <c r="N6" s="344">
        <f>COUNT(C60:C83)</f>
        <v>21</v>
      </c>
      <c r="O6" s="346">
        <f>V84</f>
        <v>19</v>
      </c>
      <c r="P6" s="346">
        <f>W84</f>
        <v>2</v>
      </c>
      <c r="Q6" s="374">
        <f>N6-O6-P6</f>
        <v>0</v>
      </c>
      <c r="R6" s="376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44622</v>
      </c>
      <c r="D7" s="161" t="s">
        <v>9</v>
      </c>
      <c r="E7" s="161" t="s">
        <v>37</v>
      </c>
      <c r="F7" s="222">
        <v>596</v>
      </c>
      <c r="G7" s="231">
        <v>608</v>
      </c>
      <c r="H7" s="255">
        <f>608-596</f>
        <v>12</v>
      </c>
      <c r="I7" s="207">
        <f t="shared" si="0"/>
        <v>503.3557046979866</v>
      </c>
      <c r="J7" s="161">
        <f t="shared" si="1"/>
        <v>6040.2684563758394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44623</v>
      </c>
      <c r="D8" s="161" t="s">
        <v>9</v>
      </c>
      <c r="E8" s="161" t="s">
        <v>184</v>
      </c>
      <c r="F8" s="222">
        <v>570</v>
      </c>
      <c r="G8" s="222">
        <v>574.85</v>
      </c>
      <c r="H8" s="222">
        <v>4.8499999999999996</v>
      </c>
      <c r="I8" s="207">
        <f t="shared" ref="I8" si="6">300000/F8</f>
        <v>526.31578947368416</v>
      </c>
      <c r="J8" s="161">
        <f t="shared" ref="J8" si="7">H8*I8</f>
        <v>2552.6315789473679</v>
      </c>
      <c r="K8" s="153"/>
      <c r="M8" s="394" t="s">
        <v>451</v>
      </c>
      <c r="N8" s="344">
        <f>COUNT(C92:C114)</f>
        <v>21</v>
      </c>
      <c r="O8" s="346">
        <f>V115</f>
        <v>19</v>
      </c>
      <c r="P8" s="346">
        <f>W115</f>
        <v>2</v>
      </c>
      <c r="Q8" s="374">
        <f>N8-O8-P8</f>
        <v>0</v>
      </c>
      <c r="R8" s="376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44623</v>
      </c>
      <c r="D9" s="161" t="s">
        <v>9</v>
      </c>
      <c r="E9" s="161" t="s">
        <v>299</v>
      </c>
      <c r="F9" s="222">
        <v>1665</v>
      </c>
      <c r="G9" s="231">
        <v>1672.5</v>
      </c>
      <c r="H9" s="255">
        <f>1672.5-1665</f>
        <v>7.5</v>
      </c>
      <c r="I9" s="207">
        <f t="shared" ref="I9:I47" si="9">300000/F9</f>
        <v>180.18018018018017</v>
      </c>
      <c r="J9" s="161">
        <f t="shared" ref="J9:J47" si="10">H9*I9</f>
        <v>1351.3513513513512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44624</v>
      </c>
      <c r="D10" s="161" t="s">
        <v>9</v>
      </c>
      <c r="E10" s="161" t="s">
        <v>895</v>
      </c>
      <c r="F10" s="222">
        <v>221.5</v>
      </c>
      <c r="G10" s="222">
        <v>218.5</v>
      </c>
      <c r="H10" s="222">
        <v>-3</v>
      </c>
      <c r="I10" s="207">
        <f t="shared" si="9"/>
        <v>1354.4018058690745</v>
      </c>
      <c r="J10" s="161">
        <f t="shared" si="10"/>
        <v>-4063.2054176072234</v>
      </c>
      <c r="K10" s="153"/>
      <c r="M10" s="394" t="s">
        <v>1176</v>
      </c>
      <c r="N10" s="344">
        <f>COUNT(C123:C146)</f>
        <v>22</v>
      </c>
      <c r="O10" s="346">
        <f>V147</f>
        <v>22</v>
      </c>
      <c r="P10" s="346">
        <f>W147</f>
        <v>0</v>
      </c>
      <c r="Q10" s="374">
        <f>N10-O10-P10</f>
        <v>0</v>
      </c>
      <c r="R10" s="376">
        <f t="shared" ref="R10:R16" si="11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44624</v>
      </c>
      <c r="D11" s="161" t="s">
        <v>8</v>
      </c>
      <c r="E11" s="161" t="s">
        <v>3717</v>
      </c>
      <c r="F11" s="222">
        <v>535</v>
      </c>
      <c r="G11" s="222">
        <v>540</v>
      </c>
      <c r="H11" s="255">
        <v>-5</v>
      </c>
      <c r="I11" s="207">
        <f t="shared" si="9"/>
        <v>560.74766355140184</v>
      </c>
      <c r="J11" s="161">
        <f t="shared" si="10"/>
        <v>-2803.7383177570091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44627</v>
      </c>
      <c r="D12" s="161" t="s">
        <v>9</v>
      </c>
      <c r="E12" s="161" t="s">
        <v>25</v>
      </c>
      <c r="F12" s="222">
        <v>1277</v>
      </c>
      <c r="G12" s="222">
        <v>1282.9000000000001</v>
      </c>
      <c r="H12" s="222">
        <f>1282.9-1277</f>
        <v>5.9000000000000909</v>
      </c>
      <c r="I12" s="207">
        <f t="shared" si="9"/>
        <v>234.92560689115115</v>
      </c>
      <c r="J12" s="161">
        <f t="shared" si="10"/>
        <v>1386.0610806578131</v>
      </c>
      <c r="K12" s="153"/>
      <c r="M12" s="394" t="s">
        <v>41</v>
      </c>
      <c r="N12" s="344">
        <f>COUNT(C155:C177)</f>
        <v>22</v>
      </c>
      <c r="O12" s="346">
        <f>V178</f>
        <v>20</v>
      </c>
      <c r="P12" s="346">
        <f>W178</f>
        <v>2</v>
      </c>
      <c r="Q12" s="374">
        <f t="shared" ref="Q12" si="12">N12-O12-P12</f>
        <v>0</v>
      </c>
      <c r="R12" s="376">
        <f t="shared" si="11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44627</v>
      </c>
      <c r="D13" s="161" t="s">
        <v>9</v>
      </c>
      <c r="E13" s="161" t="s">
        <v>46</v>
      </c>
      <c r="F13" s="222">
        <v>171.3</v>
      </c>
      <c r="G13" s="222">
        <v>175.3</v>
      </c>
      <c r="H13" s="255">
        <v>4</v>
      </c>
      <c r="I13" s="207">
        <f t="shared" si="9"/>
        <v>1751.3134851138352</v>
      </c>
      <c r="J13" s="161">
        <f t="shared" si="10"/>
        <v>7005.2539404553409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44628</v>
      </c>
      <c r="D14" s="161" t="s">
        <v>9</v>
      </c>
      <c r="E14" s="161" t="s">
        <v>3718</v>
      </c>
      <c r="F14" s="222">
        <v>171</v>
      </c>
      <c r="G14" s="222">
        <v>172.3</v>
      </c>
      <c r="H14" s="222">
        <v>1.3</v>
      </c>
      <c r="I14" s="207">
        <f t="shared" si="9"/>
        <v>1754.3859649122808</v>
      </c>
      <c r="J14" s="161">
        <f t="shared" si="10"/>
        <v>2280.7017543859652</v>
      </c>
      <c r="K14" s="153"/>
      <c r="M14" s="394" t="s">
        <v>1175</v>
      </c>
      <c r="N14" s="344">
        <f>COUNT(C186:C208)</f>
        <v>22</v>
      </c>
      <c r="O14" s="346">
        <f>V209</f>
        <v>19</v>
      </c>
      <c r="P14" s="346">
        <f>W209</f>
        <v>3</v>
      </c>
      <c r="Q14" s="374">
        <f t="shared" ref="Q14" si="13">N14-O14-P14</f>
        <v>0</v>
      </c>
      <c r="R14" s="376">
        <f t="shared" si="11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44628</v>
      </c>
      <c r="D15" s="161" t="s">
        <v>9</v>
      </c>
      <c r="E15" s="161" t="s">
        <v>3719</v>
      </c>
      <c r="F15" s="222">
        <v>708</v>
      </c>
      <c r="G15" s="222">
        <v>716</v>
      </c>
      <c r="H15" s="222">
        <v>8</v>
      </c>
      <c r="I15" s="207">
        <f t="shared" si="9"/>
        <v>423.72881355932202</v>
      </c>
      <c r="J15" s="161">
        <f t="shared" si="10"/>
        <v>3389.8305084745762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44629</v>
      </c>
      <c r="D16" s="161" t="s">
        <v>9</v>
      </c>
      <c r="E16" s="161" t="s">
        <v>3516</v>
      </c>
      <c r="F16" s="222">
        <v>1127</v>
      </c>
      <c r="G16" s="222">
        <v>1147</v>
      </c>
      <c r="H16" s="222">
        <v>20</v>
      </c>
      <c r="I16" s="207">
        <f t="shared" si="9"/>
        <v>266.19343389529723</v>
      </c>
      <c r="J16" s="161">
        <f t="shared" si="10"/>
        <v>5323.8686779059444</v>
      </c>
      <c r="K16" s="153"/>
      <c r="L16" s="25" t="s">
        <v>2008</v>
      </c>
      <c r="M16" s="394" t="s">
        <v>1090</v>
      </c>
      <c r="N16" s="344">
        <f>COUNT(C217:C240)</f>
        <v>21</v>
      </c>
      <c r="O16" s="346">
        <f>V241</f>
        <v>20</v>
      </c>
      <c r="P16" s="346">
        <f>W241</f>
        <v>1</v>
      </c>
      <c r="Q16" s="374">
        <v>0</v>
      </c>
      <c r="R16" s="376">
        <f t="shared" si="11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44629</v>
      </c>
      <c r="D17" s="161" t="s">
        <v>9</v>
      </c>
      <c r="E17" s="161" t="s">
        <v>3577</v>
      </c>
      <c r="F17" s="222">
        <v>220</v>
      </c>
      <c r="G17" s="222">
        <v>224</v>
      </c>
      <c r="H17" s="222">
        <v>4</v>
      </c>
      <c r="I17" s="207">
        <f t="shared" si="9"/>
        <v>1363.6363636363637</v>
      </c>
      <c r="J17" s="161">
        <f t="shared" si="10"/>
        <v>5454.545454545455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44630</v>
      </c>
      <c r="D18" s="161" t="s">
        <v>9</v>
      </c>
      <c r="E18" s="161" t="s">
        <v>26</v>
      </c>
      <c r="F18" s="222">
        <v>356</v>
      </c>
      <c r="G18" s="222">
        <v>360</v>
      </c>
      <c r="H18" s="222">
        <v>4</v>
      </c>
      <c r="I18" s="207">
        <f t="shared" si="9"/>
        <v>842.69662921348311</v>
      </c>
      <c r="J18" s="161">
        <f t="shared" si="10"/>
        <v>3370.7865168539324</v>
      </c>
      <c r="K18" s="153"/>
      <c r="M18" s="392" t="s">
        <v>946</v>
      </c>
      <c r="N18" s="378">
        <f>SUM(N4:N17)</f>
        <v>171</v>
      </c>
      <c r="O18" s="378">
        <f t="shared" ref="O18:Q18" si="14">SUM(O4:O17)</f>
        <v>153</v>
      </c>
      <c r="P18" s="378">
        <f t="shared" si="14"/>
        <v>18</v>
      </c>
      <c r="Q18" s="378">
        <f t="shared" si="14"/>
        <v>0</v>
      </c>
      <c r="R18" s="380">
        <f t="shared" ref="R18" si="15">O18/N18</f>
        <v>0.89473684210526316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44630</v>
      </c>
      <c r="D19" s="161" t="s">
        <v>9</v>
      </c>
      <c r="E19" s="161" t="s">
        <v>3685</v>
      </c>
      <c r="F19" s="222">
        <v>907</v>
      </c>
      <c r="G19" s="222">
        <v>921</v>
      </c>
      <c r="H19" s="222">
        <f>921-907</f>
        <v>14</v>
      </c>
      <c r="I19" s="207">
        <f t="shared" si="9"/>
        <v>330.76074972436606</v>
      </c>
      <c r="J19" s="161">
        <f t="shared" si="10"/>
        <v>4630.6504961411247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44631</v>
      </c>
      <c r="D20" s="161" t="s">
        <v>9</v>
      </c>
      <c r="E20" s="161" t="s">
        <v>19</v>
      </c>
      <c r="F20" s="222">
        <v>470</v>
      </c>
      <c r="G20" s="222">
        <v>472.4</v>
      </c>
      <c r="H20" s="222">
        <v>2.4</v>
      </c>
      <c r="I20" s="207">
        <f t="shared" si="9"/>
        <v>638.29787234042556</v>
      </c>
      <c r="J20" s="161">
        <f t="shared" si="10"/>
        <v>1531.9148936170213</v>
      </c>
      <c r="K20" s="153"/>
      <c r="M20" s="316" t="s">
        <v>2253</v>
      </c>
      <c r="N20" s="317"/>
      <c r="O20" s="318"/>
      <c r="P20" s="325">
        <f>R18</f>
        <v>0.89473684210526316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44631</v>
      </c>
      <c r="D21" s="161" t="s">
        <v>9</v>
      </c>
      <c r="E21" s="161" t="s">
        <v>371</v>
      </c>
      <c r="F21" s="222">
        <v>144.5</v>
      </c>
      <c r="G21" s="222">
        <v>145.5</v>
      </c>
      <c r="H21" s="222">
        <v>1</v>
      </c>
      <c r="I21" s="207">
        <f t="shared" si="9"/>
        <v>2076.1245674740485</v>
      </c>
      <c r="J21" s="161">
        <f t="shared" si="10"/>
        <v>2076.1245674740485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44634</v>
      </c>
      <c r="D22" s="161" t="s">
        <v>9</v>
      </c>
      <c r="E22" s="161" t="s">
        <v>3563</v>
      </c>
      <c r="F22" s="222">
        <v>1415</v>
      </c>
      <c r="G22" s="222">
        <v>1400</v>
      </c>
      <c r="H22" s="222">
        <v>15</v>
      </c>
      <c r="I22" s="207">
        <f t="shared" si="9"/>
        <v>212.01413427561837</v>
      </c>
      <c r="J22" s="161">
        <f t="shared" si="10"/>
        <v>3180.2120141342757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44634</v>
      </c>
      <c r="D23" s="161" t="s">
        <v>9</v>
      </c>
      <c r="E23" s="161" t="s">
        <v>95</v>
      </c>
      <c r="F23" s="222">
        <v>687</v>
      </c>
      <c r="G23" s="222">
        <v>696.5</v>
      </c>
      <c r="H23" s="222">
        <f>696.5-687</f>
        <v>9.5</v>
      </c>
      <c r="I23" s="207">
        <f t="shared" si="9"/>
        <v>436.68122270742356</v>
      </c>
      <c r="J23" s="161">
        <f t="shared" si="10"/>
        <v>4148.4716157205239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44635</v>
      </c>
      <c r="D24" s="161" t="s">
        <v>9</v>
      </c>
      <c r="E24" s="161" t="s">
        <v>3473</v>
      </c>
      <c r="F24" s="222">
        <v>206.5</v>
      </c>
      <c r="G24" s="222">
        <v>203.5</v>
      </c>
      <c r="H24" s="222">
        <v>3</v>
      </c>
      <c r="I24" s="207">
        <f t="shared" si="9"/>
        <v>1452.7845036319613</v>
      </c>
      <c r="J24" s="161">
        <f t="shared" si="10"/>
        <v>4358.353510895884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44635</v>
      </c>
      <c r="D25" s="161" t="s">
        <v>9</v>
      </c>
      <c r="E25" s="161" t="s">
        <v>310</v>
      </c>
      <c r="F25" s="222">
        <v>864</v>
      </c>
      <c r="G25" s="222">
        <v>856</v>
      </c>
      <c r="H25" s="222">
        <v>-8</v>
      </c>
      <c r="I25" s="207">
        <f t="shared" si="9"/>
        <v>347.22222222222223</v>
      </c>
      <c r="J25" s="161">
        <f t="shared" si="10"/>
        <v>-2777.7777777777778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44636</v>
      </c>
      <c r="D26" s="161" t="s">
        <v>9</v>
      </c>
      <c r="E26" s="161" t="s">
        <v>862</v>
      </c>
      <c r="F26" s="222">
        <v>755</v>
      </c>
      <c r="G26" s="222">
        <v>748</v>
      </c>
      <c r="H26" s="222">
        <v>-7</v>
      </c>
      <c r="I26" s="207">
        <f t="shared" si="9"/>
        <v>397.35099337748346</v>
      </c>
      <c r="J26" s="161">
        <f t="shared" si="10"/>
        <v>-2781.4569536423842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44636</v>
      </c>
      <c r="D27" s="161" t="s">
        <v>9</v>
      </c>
      <c r="E27" s="161" t="s">
        <v>2470</v>
      </c>
      <c r="F27" s="222">
        <v>709</v>
      </c>
      <c r="G27" s="222">
        <v>701</v>
      </c>
      <c r="H27" s="222">
        <v>-8</v>
      </c>
      <c r="I27" s="207">
        <f t="shared" si="9"/>
        <v>423.1311706629055</v>
      </c>
      <c r="J27" s="161">
        <f t="shared" si="10"/>
        <v>-3385.049365303244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44637</v>
      </c>
      <c r="D28" s="161" t="s">
        <v>9</v>
      </c>
      <c r="E28" s="161" t="s">
        <v>129</v>
      </c>
      <c r="F28" s="222">
        <v>2375</v>
      </c>
      <c r="G28" s="222">
        <v>2415</v>
      </c>
      <c r="H28" s="222">
        <f>2415-2375</f>
        <v>40</v>
      </c>
      <c r="I28" s="207">
        <f t="shared" si="9"/>
        <v>126.31578947368421</v>
      </c>
      <c r="J28" s="161">
        <f t="shared" si="10"/>
        <v>5052.6315789473683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44637</v>
      </c>
      <c r="D29" s="161" t="s">
        <v>9</v>
      </c>
      <c r="E29" s="161" t="s">
        <v>31</v>
      </c>
      <c r="F29" s="222">
        <v>2438</v>
      </c>
      <c r="G29" s="222">
        <v>2478</v>
      </c>
      <c r="H29" s="222">
        <v>40</v>
      </c>
      <c r="I29" s="207">
        <f t="shared" si="9"/>
        <v>123.05168170631666</v>
      </c>
      <c r="J29" s="161">
        <f t="shared" si="10"/>
        <v>4922.0672682526665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44641</v>
      </c>
      <c r="D30" s="161" t="s">
        <v>9</v>
      </c>
      <c r="E30" s="161" t="s">
        <v>50</v>
      </c>
      <c r="F30" s="222">
        <v>924</v>
      </c>
      <c r="G30" s="222">
        <v>931</v>
      </c>
      <c r="H30" s="222">
        <f>931-924</f>
        <v>7</v>
      </c>
      <c r="I30" s="207">
        <f t="shared" si="9"/>
        <v>324.6753246753247</v>
      </c>
      <c r="J30" s="161">
        <f t="shared" si="10"/>
        <v>2272.727272727273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44641</v>
      </c>
      <c r="D31" s="161" t="s">
        <v>8</v>
      </c>
      <c r="E31" s="161" t="s">
        <v>19</v>
      </c>
      <c r="F31" s="222">
        <v>497</v>
      </c>
      <c r="G31" s="222">
        <v>490</v>
      </c>
      <c r="H31" s="222">
        <v>7</v>
      </c>
      <c r="I31" s="207">
        <f t="shared" si="9"/>
        <v>603.62173038229378</v>
      </c>
      <c r="J31" s="161">
        <f t="shared" si="10"/>
        <v>4225.3521126760561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44642</v>
      </c>
      <c r="D32" s="161" t="s">
        <v>9</v>
      </c>
      <c r="E32" s="161" t="s">
        <v>275</v>
      </c>
      <c r="F32" s="222">
        <v>362</v>
      </c>
      <c r="G32" s="222">
        <v>368.25</v>
      </c>
      <c r="H32" s="222">
        <f>368.25-362</f>
        <v>6.25</v>
      </c>
      <c r="I32" s="207">
        <f t="shared" si="9"/>
        <v>828.72928176795585</v>
      </c>
      <c r="J32" s="161">
        <f t="shared" si="10"/>
        <v>5179.558011049724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44642</v>
      </c>
      <c r="D33" s="161" t="s">
        <v>8</v>
      </c>
      <c r="E33" s="161" t="s">
        <v>19</v>
      </c>
      <c r="F33" s="222">
        <v>488</v>
      </c>
      <c r="G33" s="222">
        <v>478</v>
      </c>
      <c r="H33" s="222">
        <v>10</v>
      </c>
      <c r="I33" s="207">
        <f t="shared" si="9"/>
        <v>614.75409836065569</v>
      </c>
      <c r="J33" s="161">
        <f t="shared" si="10"/>
        <v>6147.5409836065573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44643</v>
      </c>
      <c r="D34" s="161" t="s">
        <v>9</v>
      </c>
      <c r="E34" s="161" t="s">
        <v>3528</v>
      </c>
      <c r="F34" s="222">
        <v>235.5</v>
      </c>
      <c r="G34" s="222">
        <v>237.4</v>
      </c>
      <c r="H34" s="222">
        <f>237.4-235.5</f>
        <v>1.9000000000000057</v>
      </c>
      <c r="I34" s="207">
        <f t="shared" si="9"/>
        <v>1273.8853503184714</v>
      </c>
      <c r="J34" s="161">
        <f t="shared" si="10"/>
        <v>2420.3821656051027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44643</v>
      </c>
      <c r="D35" s="161" t="s">
        <v>8</v>
      </c>
      <c r="E35" s="161" t="s">
        <v>3546</v>
      </c>
      <c r="F35" s="222">
        <v>284</v>
      </c>
      <c r="G35" s="222">
        <v>288</v>
      </c>
      <c r="H35" s="222">
        <v>-4</v>
      </c>
      <c r="I35" s="207">
        <f t="shared" si="9"/>
        <v>1056.338028169014</v>
      </c>
      <c r="J35" s="161">
        <f t="shared" si="10"/>
        <v>-4225.3521126760561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44644</v>
      </c>
      <c r="D36" s="161" t="s">
        <v>9</v>
      </c>
      <c r="E36" s="161" t="s">
        <v>31</v>
      </c>
      <c r="F36" s="222">
        <v>2555</v>
      </c>
      <c r="G36" s="222">
        <v>2584</v>
      </c>
      <c r="H36" s="222">
        <v>29</v>
      </c>
      <c r="I36" s="207">
        <f t="shared" si="9"/>
        <v>117.41682974559687</v>
      </c>
      <c r="J36" s="161">
        <f t="shared" si="10"/>
        <v>3405.0880626223093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44644</v>
      </c>
      <c r="D37" s="161" t="s">
        <v>9</v>
      </c>
      <c r="E37" s="161" t="s">
        <v>586</v>
      </c>
      <c r="F37" s="222">
        <v>1598</v>
      </c>
      <c r="G37" s="222">
        <v>1583</v>
      </c>
      <c r="H37" s="222">
        <v>-15</v>
      </c>
      <c r="I37" s="207">
        <f t="shared" si="9"/>
        <v>187.73466833541929</v>
      </c>
      <c r="J37" s="161">
        <f t="shared" si="10"/>
        <v>-2816.0200250312892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44645</v>
      </c>
      <c r="D38" s="161" t="s">
        <v>9</v>
      </c>
      <c r="E38" s="161" t="s">
        <v>25</v>
      </c>
      <c r="F38" s="222">
        <v>1360</v>
      </c>
      <c r="G38" s="222">
        <v>1345</v>
      </c>
      <c r="H38" s="222">
        <v>-15</v>
      </c>
      <c r="I38" s="207">
        <f t="shared" si="9"/>
        <v>220.58823529411765</v>
      </c>
      <c r="J38" s="161">
        <f t="shared" si="10"/>
        <v>-3308.8235294117649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44645</v>
      </c>
      <c r="D39" s="161" t="s">
        <v>9</v>
      </c>
      <c r="E39" s="161" t="s">
        <v>31</v>
      </c>
      <c r="F39" s="222">
        <v>2600</v>
      </c>
      <c r="G39" s="222">
        <v>2615</v>
      </c>
      <c r="H39" s="222">
        <v>15</v>
      </c>
      <c r="I39" s="207">
        <f t="shared" si="9"/>
        <v>115.38461538461539</v>
      </c>
      <c r="J39" s="161">
        <f t="shared" si="10"/>
        <v>1730.7692307692307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44648</v>
      </c>
      <c r="D40" s="161" t="s">
        <v>9</v>
      </c>
      <c r="E40" s="161" t="s">
        <v>31</v>
      </c>
      <c r="F40" s="222">
        <v>2600</v>
      </c>
      <c r="G40" s="222">
        <v>2619</v>
      </c>
      <c r="H40" s="222">
        <v>19</v>
      </c>
      <c r="I40" s="207">
        <f t="shared" si="9"/>
        <v>115.38461538461539</v>
      </c>
      <c r="J40" s="161">
        <f t="shared" si="10"/>
        <v>2192.3076923076924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44648</v>
      </c>
      <c r="D41" s="161" t="s">
        <v>9</v>
      </c>
      <c r="E41" s="161" t="s">
        <v>3746</v>
      </c>
      <c r="F41" s="222">
        <v>328</v>
      </c>
      <c r="G41" s="223">
        <v>329.5</v>
      </c>
      <c r="H41" s="222">
        <v>1.5</v>
      </c>
      <c r="I41" s="207">
        <f t="shared" si="9"/>
        <v>914.63414634146341</v>
      </c>
      <c r="J41" s="161">
        <f t="shared" si="10"/>
        <v>1371.9512195121952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44649</v>
      </c>
      <c r="D42" s="161" t="s">
        <v>9</v>
      </c>
      <c r="E42" s="161" t="s">
        <v>3747</v>
      </c>
      <c r="F42" s="222">
        <v>749</v>
      </c>
      <c r="G42" s="222">
        <v>763</v>
      </c>
      <c r="H42" s="222">
        <v>14</v>
      </c>
      <c r="I42" s="207">
        <f t="shared" si="9"/>
        <v>400.53404539385849</v>
      </c>
      <c r="J42" s="161">
        <f t="shared" si="10"/>
        <v>5607.4766355140191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44649</v>
      </c>
      <c r="D43" s="161" t="s">
        <v>9</v>
      </c>
      <c r="E43" s="161" t="s">
        <v>129</v>
      </c>
      <c r="F43" s="222">
        <v>2320</v>
      </c>
      <c r="G43" s="222">
        <v>2333</v>
      </c>
      <c r="H43" s="222">
        <v>13</v>
      </c>
      <c r="I43" s="207">
        <f t="shared" si="9"/>
        <v>129.31034482758622</v>
      </c>
      <c r="J43" s="161">
        <f t="shared" si="10"/>
        <v>1681.0344827586209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44650</v>
      </c>
      <c r="D44" s="161" t="s">
        <v>9</v>
      </c>
      <c r="E44" s="161" t="s">
        <v>129</v>
      </c>
      <c r="F44" s="222">
        <v>2370</v>
      </c>
      <c r="G44" s="222">
        <v>2385</v>
      </c>
      <c r="H44" s="222">
        <f>2385-2370</f>
        <v>15</v>
      </c>
      <c r="I44" s="207">
        <f t="shared" si="9"/>
        <v>126.58227848101266</v>
      </c>
      <c r="J44" s="161">
        <f t="shared" si="10"/>
        <v>1898.7341772151899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44650</v>
      </c>
      <c r="D45" s="161" t="s">
        <v>9</v>
      </c>
      <c r="E45" s="161" t="s">
        <v>3747</v>
      </c>
      <c r="F45" s="222">
        <v>767</v>
      </c>
      <c r="G45" s="222">
        <v>769.8</v>
      </c>
      <c r="H45" s="222">
        <f>769.8-767</f>
        <v>2.7999999999999545</v>
      </c>
      <c r="I45" s="207">
        <f t="shared" si="9"/>
        <v>391.13428943937419</v>
      </c>
      <c r="J45" s="161">
        <f t="shared" si="10"/>
        <v>1095.17601043023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44651</v>
      </c>
      <c r="D46" s="161" t="s">
        <v>9</v>
      </c>
      <c r="E46" s="161" t="s">
        <v>982</v>
      </c>
      <c r="F46" s="222">
        <v>774</v>
      </c>
      <c r="G46" s="222">
        <v>779.7</v>
      </c>
      <c r="H46" s="222">
        <f>779.7-774</f>
        <v>5.7000000000000455</v>
      </c>
      <c r="I46" s="207">
        <f t="shared" si="9"/>
        <v>387.59689922480618</v>
      </c>
      <c r="J46" s="161">
        <f t="shared" si="10"/>
        <v>2209.3023255814128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44651</v>
      </c>
      <c r="D47" s="161" t="s">
        <v>8</v>
      </c>
      <c r="E47" s="161" t="s">
        <v>31</v>
      </c>
      <c r="F47" s="222">
        <v>2650</v>
      </c>
      <c r="G47" s="222">
        <v>2630</v>
      </c>
      <c r="H47" s="222">
        <v>20</v>
      </c>
      <c r="I47" s="207">
        <f t="shared" si="9"/>
        <v>113.20754716981132</v>
      </c>
      <c r="J47" s="161">
        <f t="shared" si="10"/>
        <v>2264.1509433962265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87518.930014778467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3714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44622</v>
      </c>
      <c r="D60" s="161" t="s">
        <v>9</v>
      </c>
      <c r="E60" s="161" t="s">
        <v>550</v>
      </c>
      <c r="F60" s="222">
        <v>446</v>
      </c>
      <c r="G60" s="222">
        <v>452</v>
      </c>
      <c r="H60" s="222">
        <f>452-446</f>
        <v>6</v>
      </c>
      <c r="I60" s="207">
        <v>2500</v>
      </c>
      <c r="J60" s="241">
        <f t="shared" ref="J60:J83" si="16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44623</v>
      </c>
      <c r="D61" s="161" t="s">
        <v>8</v>
      </c>
      <c r="E61" s="161" t="s">
        <v>800</v>
      </c>
      <c r="F61" s="222">
        <v>1470</v>
      </c>
      <c r="G61" s="222">
        <v>1440.65</v>
      </c>
      <c r="H61" s="222">
        <f>1470-1440.65</f>
        <v>29.349999999999909</v>
      </c>
      <c r="I61" s="207">
        <v>350</v>
      </c>
      <c r="J61" s="242">
        <f t="shared" si="16"/>
        <v>10272.499999999967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44624</v>
      </c>
      <c r="D62" s="161" t="s">
        <v>8</v>
      </c>
      <c r="E62" s="161" t="s">
        <v>3720</v>
      </c>
      <c r="F62" s="222">
        <v>1990</v>
      </c>
      <c r="G62" s="222">
        <v>1981.5</v>
      </c>
      <c r="H62" s="222">
        <f>1990-1981.5</f>
        <v>8.5</v>
      </c>
      <c r="I62" s="207">
        <v>300</v>
      </c>
      <c r="J62" s="242">
        <f t="shared" si="16"/>
        <v>2550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44627</v>
      </c>
      <c r="D63" s="161" t="s">
        <v>9</v>
      </c>
      <c r="E63" s="161" t="s">
        <v>578</v>
      </c>
      <c r="F63" s="222">
        <v>1738</v>
      </c>
      <c r="G63" s="222">
        <v>1748</v>
      </c>
      <c r="H63" s="222">
        <v>10</v>
      </c>
      <c r="I63" s="207">
        <v>300</v>
      </c>
      <c r="J63" s="242">
        <f t="shared" si="16"/>
        <v>3000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44628</v>
      </c>
      <c r="D64" s="161" t="s">
        <v>8</v>
      </c>
      <c r="E64" s="161" t="s">
        <v>58</v>
      </c>
      <c r="F64" s="222">
        <v>658</v>
      </c>
      <c r="G64" s="222">
        <v>664</v>
      </c>
      <c r="H64" s="222">
        <v>-6</v>
      </c>
      <c r="I64" s="207">
        <v>1200</v>
      </c>
      <c r="J64" s="242">
        <f t="shared" si="16"/>
        <v>-7200</v>
      </c>
      <c r="K64" s="153"/>
      <c r="V64" s="25">
        <f t="shared" si="17"/>
        <v>0</v>
      </c>
      <c r="W64" s="25">
        <f t="shared" si="18"/>
        <v>1</v>
      </c>
    </row>
    <row r="65" spans="1:23" x14ac:dyDescent="0.3">
      <c r="A65" s="147"/>
      <c r="B65" s="205">
        <f t="shared" si="19"/>
        <v>6</v>
      </c>
      <c r="C65" s="206">
        <v>44629</v>
      </c>
      <c r="D65" s="161" t="s">
        <v>8</v>
      </c>
      <c r="E65" s="161" t="s">
        <v>173</v>
      </c>
      <c r="F65" s="222">
        <v>2685</v>
      </c>
      <c r="G65" s="222">
        <v>2674</v>
      </c>
      <c r="H65" s="222">
        <f>2685-2674</f>
        <v>11</v>
      </c>
      <c r="I65" s="207">
        <v>150</v>
      </c>
      <c r="J65" s="242">
        <f t="shared" si="16"/>
        <v>1650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44630</v>
      </c>
      <c r="D66" s="161" t="s">
        <v>9</v>
      </c>
      <c r="E66" s="161" t="s">
        <v>299</v>
      </c>
      <c r="F66" s="222">
        <v>1727</v>
      </c>
      <c r="G66" s="222">
        <v>1757</v>
      </c>
      <c r="H66" s="222">
        <v>50</v>
      </c>
      <c r="I66" s="207">
        <v>500</v>
      </c>
      <c r="J66" s="242">
        <f t="shared" si="16"/>
        <v>25000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44631</v>
      </c>
      <c r="D67" s="161" t="s">
        <v>9</v>
      </c>
      <c r="E67" s="161" t="s">
        <v>2563</v>
      </c>
      <c r="F67" s="222">
        <v>1815</v>
      </c>
      <c r="G67" s="222">
        <v>1835</v>
      </c>
      <c r="H67" s="222">
        <v>20</v>
      </c>
      <c r="I67" s="207">
        <v>250</v>
      </c>
      <c r="J67" s="242">
        <f t="shared" si="16"/>
        <v>5000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44634</v>
      </c>
      <c r="D68" s="161" t="s">
        <v>9</v>
      </c>
      <c r="E68" s="161" t="s">
        <v>578</v>
      </c>
      <c r="F68" s="222">
        <v>1870</v>
      </c>
      <c r="G68" s="222">
        <v>1890</v>
      </c>
      <c r="H68" s="222">
        <v>20</v>
      </c>
      <c r="I68" s="207">
        <v>300</v>
      </c>
      <c r="J68" s="242">
        <f t="shared" si="16"/>
        <v>6000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44635</v>
      </c>
      <c r="D69" s="161" t="s">
        <v>8</v>
      </c>
      <c r="E69" s="161" t="s">
        <v>3563</v>
      </c>
      <c r="F69" s="222">
        <v>1385</v>
      </c>
      <c r="G69" s="222">
        <v>1372.65</v>
      </c>
      <c r="H69" s="222">
        <f>1385-1372.65</f>
        <v>12.349999999999909</v>
      </c>
      <c r="I69" s="207">
        <v>350</v>
      </c>
      <c r="J69" s="242">
        <f t="shared" si="16"/>
        <v>4322.4999999999682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44636</v>
      </c>
      <c r="D70" s="161" t="s">
        <v>8</v>
      </c>
      <c r="E70" s="161" t="s">
        <v>795</v>
      </c>
      <c r="F70" s="161">
        <v>1498</v>
      </c>
      <c r="G70" s="222">
        <v>1513</v>
      </c>
      <c r="H70" s="222">
        <f>1513-1498</f>
        <v>15</v>
      </c>
      <c r="I70" s="207">
        <v>350</v>
      </c>
      <c r="J70" s="242">
        <f t="shared" si="16"/>
        <v>5250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44637</v>
      </c>
      <c r="D71" s="161" t="s">
        <v>8</v>
      </c>
      <c r="E71" s="161" t="s">
        <v>796</v>
      </c>
      <c r="F71" s="222">
        <v>4900</v>
      </c>
      <c r="G71" s="222">
        <v>4845</v>
      </c>
      <c r="H71" s="222">
        <f>4900-4845</f>
        <v>55</v>
      </c>
      <c r="I71" s="207">
        <v>125</v>
      </c>
      <c r="J71" s="242">
        <f t="shared" si="16"/>
        <v>6875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44641</v>
      </c>
      <c r="D72" s="161" t="s">
        <v>9</v>
      </c>
      <c r="E72" s="161" t="s">
        <v>107</v>
      </c>
      <c r="F72" s="222">
        <v>3680</v>
      </c>
      <c r="G72" s="222">
        <v>3650</v>
      </c>
      <c r="H72" s="222">
        <v>-30</v>
      </c>
      <c r="I72" s="207">
        <v>250</v>
      </c>
      <c r="J72" s="242">
        <f t="shared" si="16"/>
        <v>-7500</v>
      </c>
      <c r="K72" s="153"/>
      <c r="V72" s="25">
        <f t="shared" si="17"/>
        <v>0</v>
      </c>
      <c r="W72" s="25">
        <f t="shared" si="18"/>
        <v>1</v>
      </c>
    </row>
    <row r="73" spans="1:23" x14ac:dyDescent="0.3">
      <c r="A73" s="147"/>
      <c r="B73" s="205">
        <f t="shared" si="19"/>
        <v>14</v>
      </c>
      <c r="C73" s="206">
        <v>44642</v>
      </c>
      <c r="D73" s="161" t="s">
        <v>9</v>
      </c>
      <c r="E73" s="161" t="s">
        <v>58</v>
      </c>
      <c r="F73" s="223">
        <v>718</v>
      </c>
      <c r="G73" s="222">
        <v>709</v>
      </c>
      <c r="H73" s="255">
        <v>9</v>
      </c>
      <c r="I73" s="207">
        <v>1200</v>
      </c>
      <c r="J73" s="242">
        <f t="shared" si="16"/>
        <v>10800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44643</v>
      </c>
      <c r="D74" s="161" t="s">
        <v>8</v>
      </c>
      <c r="E74" s="161" t="s">
        <v>58</v>
      </c>
      <c r="F74" s="222">
        <v>735</v>
      </c>
      <c r="G74" s="222">
        <v>728</v>
      </c>
      <c r="H74" s="255">
        <f>735-728</f>
        <v>7</v>
      </c>
      <c r="I74" s="207">
        <v>1200</v>
      </c>
      <c r="J74" s="242">
        <f t="shared" si="16"/>
        <v>8400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44644</v>
      </c>
      <c r="D75" s="161" t="s">
        <v>9</v>
      </c>
      <c r="E75" s="161" t="s">
        <v>3343</v>
      </c>
      <c r="F75" s="222">
        <v>1252</v>
      </c>
      <c r="G75" s="222">
        <v>1259</v>
      </c>
      <c r="H75" s="255">
        <v>7</v>
      </c>
      <c r="I75" s="207">
        <v>500</v>
      </c>
      <c r="J75" s="242">
        <f t="shared" si="16"/>
        <v>3500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44645</v>
      </c>
      <c r="D76" s="161" t="s">
        <v>9</v>
      </c>
      <c r="E76" s="161" t="s">
        <v>119</v>
      </c>
      <c r="F76" s="222">
        <v>1728</v>
      </c>
      <c r="G76" s="222">
        <v>1734</v>
      </c>
      <c r="H76" s="222">
        <f>1734-1728</f>
        <v>6</v>
      </c>
      <c r="I76" s="207">
        <v>400</v>
      </c>
      <c r="J76" s="242">
        <f t="shared" si="16"/>
        <v>2400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44648</v>
      </c>
      <c r="D77" s="161" t="s">
        <v>8</v>
      </c>
      <c r="E77" s="161" t="s">
        <v>1064</v>
      </c>
      <c r="F77" s="222">
        <v>2430</v>
      </c>
      <c r="G77" s="222">
        <v>2392.6999999999998</v>
      </c>
      <c r="H77" s="222">
        <f>2430-2392.7</f>
        <v>37.300000000000182</v>
      </c>
      <c r="I77" s="207">
        <v>250</v>
      </c>
      <c r="J77" s="242">
        <f t="shared" si="16"/>
        <v>9325.0000000000455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44649</v>
      </c>
      <c r="D78" s="161" t="s">
        <v>9</v>
      </c>
      <c r="E78" s="161" t="s">
        <v>982</v>
      </c>
      <c r="F78" s="222">
        <v>756</v>
      </c>
      <c r="G78" s="222">
        <v>759</v>
      </c>
      <c r="H78" s="222">
        <v>3</v>
      </c>
      <c r="I78" s="207">
        <v>1250</v>
      </c>
      <c r="J78" s="242">
        <f t="shared" si="16"/>
        <v>3750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44650</v>
      </c>
      <c r="D79" s="161" t="s">
        <v>9</v>
      </c>
      <c r="E79" s="161" t="s">
        <v>3651</v>
      </c>
      <c r="F79" s="222">
        <v>1472</v>
      </c>
      <c r="G79" s="222">
        <v>1502</v>
      </c>
      <c r="H79" s="222">
        <f>1502-1472</f>
        <v>30</v>
      </c>
      <c r="I79" s="207">
        <v>250</v>
      </c>
      <c r="J79" s="242">
        <f t="shared" si="16"/>
        <v>7500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44651</v>
      </c>
      <c r="D80" s="161" t="s">
        <v>9</v>
      </c>
      <c r="E80" s="161" t="s">
        <v>422</v>
      </c>
      <c r="F80" s="222">
        <v>1210</v>
      </c>
      <c r="G80" s="222">
        <v>1231.5</v>
      </c>
      <c r="H80" s="222">
        <f>1231.5-1210</f>
        <v>21.5</v>
      </c>
      <c r="I80" s="207">
        <v>400</v>
      </c>
      <c r="J80" s="242">
        <f t="shared" si="16"/>
        <v>8600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/>
      <c r="D83" s="166"/>
      <c r="E83" s="166"/>
      <c r="F83" s="210"/>
      <c r="G83" s="210"/>
      <c r="H83" s="166"/>
      <c r="I83" s="210"/>
      <c r="J83" s="244">
        <f t="shared" si="16"/>
        <v>0</v>
      </c>
      <c r="K83" s="153"/>
      <c r="V83" s="25">
        <f t="shared" si="17"/>
        <v>0</v>
      </c>
      <c r="W83" s="25">
        <f t="shared" si="18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124494.99999999999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3713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44622</v>
      </c>
      <c r="D92" s="185" t="s">
        <v>8</v>
      </c>
      <c r="E92" s="185" t="s">
        <v>39</v>
      </c>
      <c r="F92" s="219">
        <v>16590</v>
      </c>
      <c r="G92" s="219">
        <v>16565</v>
      </c>
      <c r="H92" s="185">
        <v>25</v>
      </c>
      <c r="I92" s="219">
        <v>150</v>
      </c>
      <c r="J92" s="246">
        <f t="shared" ref="J92:J114" si="20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44623</v>
      </c>
      <c r="D93" s="185" t="s">
        <v>8</v>
      </c>
      <c r="E93" s="185" t="s">
        <v>39</v>
      </c>
      <c r="F93" s="219">
        <v>16670</v>
      </c>
      <c r="G93" s="219">
        <v>16590</v>
      </c>
      <c r="H93" s="185">
        <v>80</v>
      </c>
      <c r="I93" s="219">
        <v>150</v>
      </c>
      <c r="J93" s="242">
        <f t="shared" si="20"/>
        <v>12000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44624</v>
      </c>
      <c r="D94" s="161" t="s">
        <v>8</v>
      </c>
      <c r="E94" s="161" t="s">
        <v>39</v>
      </c>
      <c r="F94" s="207">
        <v>16270</v>
      </c>
      <c r="G94" s="207">
        <v>16190</v>
      </c>
      <c r="H94" s="161">
        <v>80</v>
      </c>
      <c r="I94" s="207">
        <v>150</v>
      </c>
      <c r="J94" s="242">
        <f t="shared" si="20"/>
        <v>12000</v>
      </c>
      <c r="K94" s="153"/>
      <c r="V94" s="25">
        <f t="shared" si="21"/>
        <v>1</v>
      </c>
      <c r="W94" s="25">
        <f t="shared" si="22"/>
        <v>0</v>
      </c>
    </row>
    <row r="95" spans="1:23" x14ac:dyDescent="0.3">
      <c r="A95" s="147"/>
      <c r="B95" s="205">
        <f t="shared" si="23"/>
        <v>4</v>
      </c>
      <c r="C95" s="206">
        <v>44627</v>
      </c>
      <c r="D95" s="161" t="s">
        <v>8</v>
      </c>
      <c r="E95" s="161" t="s">
        <v>39</v>
      </c>
      <c r="F95" s="207">
        <v>15820</v>
      </c>
      <c r="G95" s="207">
        <v>15760</v>
      </c>
      <c r="H95" s="161">
        <f>15820-15760</f>
        <v>60</v>
      </c>
      <c r="I95" s="207">
        <v>150</v>
      </c>
      <c r="J95" s="242">
        <f t="shared" si="20"/>
        <v>9000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44628</v>
      </c>
      <c r="D96" s="161" t="s">
        <v>9</v>
      </c>
      <c r="E96" s="161" t="s">
        <v>39</v>
      </c>
      <c r="F96" s="207">
        <v>15900</v>
      </c>
      <c r="G96" s="207">
        <v>15920</v>
      </c>
      <c r="H96" s="161">
        <v>20</v>
      </c>
      <c r="I96" s="207">
        <v>150</v>
      </c>
      <c r="J96" s="242">
        <f t="shared" si="20"/>
        <v>3000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44629</v>
      </c>
      <c r="D97" s="161" t="s">
        <v>8</v>
      </c>
      <c r="E97" s="161" t="s">
        <v>39</v>
      </c>
      <c r="F97" s="207">
        <v>16140</v>
      </c>
      <c r="G97" s="207">
        <v>16100</v>
      </c>
      <c r="H97" s="161">
        <v>40</v>
      </c>
      <c r="I97" s="207">
        <v>150</v>
      </c>
      <c r="J97" s="242">
        <f t="shared" si="20"/>
        <v>6000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44630</v>
      </c>
      <c r="D98" s="161" t="s">
        <v>9</v>
      </c>
      <c r="E98" s="161" t="s">
        <v>39</v>
      </c>
      <c r="F98" s="207">
        <v>16730</v>
      </c>
      <c r="G98" s="207">
        <v>16690</v>
      </c>
      <c r="H98" s="161">
        <v>-40</v>
      </c>
      <c r="I98" s="207">
        <v>150</v>
      </c>
      <c r="J98" s="242">
        <f t="shared" si="20"/>
        <v>-6000</v>
      </c>
      <c r="K98" s="153"/>
      <c r="V98" s="25">
        <f t="shared" si="21"/>
        <v>0</v>
      </c>
      <c r="W98" s="25">
        <f t="shared" si="22"/>
        <v>1</v>
      </c>
    </row>
    <row r="99" spans="1:23" x14ac:dyDescent="0.3">
      <c r="A99" s="147"/>
      <c r="B99" s="205">
        <f t="shared" si="23"/>
        <v>8</v>
      </c>
      <c r="C99" s="206">
        <v>44631</v>
      </c>
      <c r="D99" s="161" t="s">
        <v>8</v>
      </c>
      <c r="E99" s="161" t="s">
        <v>39</v>
      </c>
      <c r="F99" s="207">
        <v>16590</v>
      </c>
      <c r="G99" s="207">
        <v>16570</v>
      </c>
      <c r="H99" s="161">
        <v>20</v>
      </c>
      <c r="I99" s="207">
        <v>150</v>
      </c>
      <c r="J99" s="242">
        <f t="shared" si="20"/>
        <v>3000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44634</v>
      </c>
      <c r="D100" s="161" t="s">
        <v>9</v>
      </c>
      <c r="E100" s="161" t="s">
        <v>39</v>
      </c>
      <c r="F100" s="207">
        <v>16650</v>
      </c>
      <c r="G100" s="207">
        <v>16730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44635</v>
      </c>
      <c r="D101" s="161" t="s">
        <v>8</v>
      </c>
      <c r="E101" s="161" t="s">
        <v>39</v>
      </c>
      <c r="F101" s="207">
        <v>16840</v>
      </c>
      <c r="G101" s="207">
        <v>16818</v>
      </c>
      <c r="H101" s="161">
        <f>16840-16818</f>
        <v>22</v>
      </c>
      <c r="I101" s="207">
        <v>150</v>
      </c>
      <c r="J101" s="242">
        <f t="shared" si="20"/>
        <v>3300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44636</v>
      </c>
      <c r="D102" s="161" t="s">
        <v>8</v>
      </c>
      <c r="E102" s="161" t="s">
        <v>39</v>
      </c>
      <c r="F102" s="207">
        <v>16880</v>
      </c>
      <c r="G102" s="207">
        <v>16920</v>
      </c>
      <c r="H102" s="161">
        <v>-40</v>
      </c>
      <c r="I102" s="207">
        <v>150</v>
      </c>
      <c r="J102" s="242">
        <f t="shared" si="20"/>
        <v>-6000</v>
      </c>
      <c r="K102" s="153"/>
      <c r="V102" s="25">
        <f t="shared" si="21"/>
        <v>0</v>
      </c>
      <c r="W102" s="25">
        <f t="shared" si="22"/>
        <v>1</v>
      </c>
    </row>
    <row r="103" spans="1:23" x14ac:dyDescent="0.3">
      <c r="A103" s="147"/>
      <c r="B103" s="205">
        <f t="shared" si="23"/>
        <v>12</v>
      </c>
      <c r="C103" s="206">
        <v>44637</v>
      </c>
      <c r="D103" s="161" t="s">
        <v>9</v>
      </c>
      <c r="E103" s="161" t="s">
        <v>39</v>
      </c>
      <c r="F103" s="207">
        <v>17280</v>
      </c>
      <c r="G103" s="207">
        <v>17357</v>
      </c>
      <c r="H103" s="161">
        <f>17357-17280</f>
        <v>77</v>
      </c>
      <c r="I103" s="207">
        <v>150</v>
      </c>
      <c r="J103" s="242">
        <f t="shared" si="20"/>
        <v>11550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44641</v>
      </c>
      <c r="D104" s="161" t="s">
        <v>8</v>
      </c>
      <c r="E104" s="161" t="s">
        <v>39</v>
      </c>
      <c r="F104" s="207">
        <v>17300</v>
      </c>
      <c r="G104" s="207">
        <v>17220</v>
      </c>
      <c r="H104" s="161">
        <v>80</v>
      </c>
      <c r="I104" s="207">
        <v>150</v>
      </c>
      <c r="J104" s="242">
        <f t="shared" si="20"/>
        <v>12000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44642</v>
      </c>
      <c r="D105" s="161" t="s">
        <v>8</v>
      </c>
      <c r="E105" s="161" t="s">
        <v>39</v>
      </c>
      <c r="F105" s="207">
        <v>17090</v>
      </c>
      <c r="G105" s="207">
        <v>17055</v>
      </c>
      <c r="H105" s="161">
        <f>17090-17055</f>
        <v>35</v>
      </c>
      <c r="I105" s="207">
        <v>150</v>
      </c>
      <c r="J105" s="242">
        <f t="shared" si="20"/>
        <v>5250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44643</v>
      </c>
      <c r="D106" s="161" t="s">
        <v>8</v>
      </c>
      <c r="E106" s="161" t="s">
        <v>39</v>
      </c>
      <c r="F106" s="207">
        <v>17380</v>
      </c>
      <c r="G106" s="207">
        <v>17300</v>
      </c>
      <c r="H106" s="161">
        <v>80</v>
      </c>
      <c r="I106" s="207">
        <v>150</v>
      </c>
      <c r="J106" s="242">
        <f t="shared" si="20"/>
        <v>12000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44644</v>
      </c>
      <c r="D107" s="161" t="s">
        <v>9</v>
      </c>
      <c r="E107" s="161" t="s">
        <v>39</v>
      </c>
      <c r="F107" s="207">
        <v>17280</v>
      </c>
      <c r="G107" s="207">
        <v>17338</v>
      </c>
      <c r="H107" s="161">
        <f>17338-17280</f>
        <v>58</v>
      </c>
      <c r="I107" s="207">
        <v>150</v>
      </c>
      <c r="J107" s="242">
        <f t="shared" si="20"/>
        <v>8700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44645</v>
      </c>
      <c r="D108" s="161" t="s">
        <v>8</v>
      </c>
      <c r="E108" s="161" t="s">
        <v>39</v>
      </c>
      <c r="F108" s="207">
        <v>17210</v>
      </c>
      <c r="G108" s="207">
        <v>17130</v>
      </c>
      <c r="H108" s="161">
        <v>80</v>
      </c>
      <c r="I108" s="207">
        <v>150</v>
      </c>
      <c r="J108" s="242">
        <f t="shared" si="20"/>
        <v>12000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18</v>
      </c>
      <c r="C109" s="206">
        <v>44648</v>
      </c>
      <c r="D109" s="161" t="s">
        <v>8</v>
      </c>
      <c r="E109" s="161" t="s">
        <v>39</v>
      </c>
      <c r="F109" s="207">
        <v>17100</v>
      </c>
      <c r="G109" s="207">
        <v>17045</v>
      </c>
      <c r="H109" s="161">
        <v>45</v>
      </c>
      <c r="I109" s="207">
        <v>150</v>
      </c>
      <c r="J109" s="242">
        <f t="shared" si="20"/>
        <v>6750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>
        <v>44649</v>
      </c>
      <c r="D110" s="161" t="s">
        <v>8</v>
      </c>
      <c r="E110" s="161" t="s">
        <v>39</v>
      </c>
      <c r="F110" s="207">
        <v>17310</v>
      </c>
      <c r="G110" s="207">
        <v>17270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>
        <v>44650</v>
      </c>
      <c r="D111" s="161" t="s">
        <v>9</v>
      </c>
      <c r="E111" s="161" t="s">
        <v>39</v>
      </c>
      <c r="F111" s="207">
        <v>17500</v>
      </c>
      <c r="G111" s="207">
        <v>17529</v>
      </c>
      <c r="H111" s="161">
        <v>29</v>
      </c>
      <c r="I111" s="207">
        <v>150</v>
      </c>
      <c r="J111" s="242">
        <f t="shared" si="20"/>
        <v>4350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>
        <v>44651</v>
      </c>
      <c r="D112" s="161" t="s">
        <v>8</v>
      </c>
      <c r="E112" s="161" t="s">
        <v>39</v>
      </c>
      <c r="F112" s="207">
        <v>17520</v>
      </c>
      <c r="G112" s="207">
        <v>17440</v>
      </c>
      <c r="H112" s="161">
        <v>80</v>
      </c>
      <c r="I112" s="207">
        <v>150</v>
      </c>
      <c r="J112" s="242">
        <f t="shared" si="20"/>
        <v>12000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142650</v>
      </c>
      <c r="K115" s="153"/>
      <c r="V115" s="25">
        <f>SUM(V92:V114)</f>
        <v>19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3715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44622</v>
      </c>
      <c r="D123" s="185" t="s">
        <v>9</v>
      </c>
      <c r="E123" s="185" t="s">
        <v>1415</v>
      </c>
      <c r="F123" s="219">
        <v>150</v>
      </c>
      <c r="G123" s="231">
        <v>163</v>
      </c>
      <c r="H123" s="231">
        <v>13</v>
      </c>
      <c r="I123" s="219">
        <v>300</v>
      </c>
      <c r="J123" s="246">
        <f t="shared" ref="J123:J146" si="24">I123*H123</f>
        <v>3900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44623</v>
      </c>
      <c r="D124" s="185" t="s">
        <v>9</v>
      </c>
      <c r="E124" s="185" t="s">
        <v>3721</v>
      </c>
      <c r="F124" s="219">
        <v>120</v>
      </c>
      <c r="G124" s="219">
        <v>170</v>
      </c>
      <c r="H124" s="185">
        <v>50</v>
      </c>
      <c r="I124" s="219">
        <v>300</v>
      </c>
      <c r="J124" s="242">
        <f t="shared" si="24"/>
        <v>15000</v>
      </c>
      <c r="K124" s="153"/>
      <c r="V124" s="25">
        <f t="shared" ref="V124:V146" si="25">IF($J124&gt;0,1,0)</f>
        <v>1</v>
      </c>
      <c r="W124" s="25">
        <f t="shared" ref="W124:W146" si="26">IF($J124&lt;0,1,0)</f>
        <v>0</v>
      </c>
    </row>
    <row r="125" spans="1:23" x14ac:dyDescent="0.3">
      <c r="A125" s="147"/>
      <c r="B125" s="205">
        <f>B124+1</f>
        <v>3</v>
      </c>
      <c r="C125" s="206">
        <v>44624</v>
      </c>
      <c r="D125" s="161" t="s">
        <v>9</v>
      </c>
      <c r="E125" s="161" t="s">
        <v>3722</v>
      </c>
      <c r="F125" s="207">
        <v>220</v>
      </c>
      <c r="G125" s="207">
        <v>254</v>
      </c>
      <c r="H125" s="161">
        <f>254-220</f>
        <v>34</v>
      </c>
      <c r="I125" s="207">
        <v>300</v>
      </c>
      <c r="J125" s="242">
        <f t="shared" si="24"/>
        <v>10200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ref="B126:B146" si="27">B125+1</f>
        <v>4</v>
      </c>
      <c r="C126" s="206">
        <v>44627</v>
      </c>
      <c r="D126" s="161" t="s">
        <v>9</v>
      </c>
      <c r="E126" s="161" t="s">
        <v>1359</v>
      </c>
      <c r="F126" s="207">
        <v>200</v>
      </c>
      <c r="G126" s="207">
        <v>212</v>
      </c>
      <c r="H126" s="161">
        <v>12</v>
      </c>
      <c r="I126" s="207">
        <v>300</v>
      </c>
      <c r="J126" s="242">
        <f t="shared" si="24"/>
        <v>3600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44627</v>
      </c>
      <c r="D127" s="161" t="s">
        <v>9</v>
      </c>
      <c r="E127" s="161" t="s">
        <v>1359</v>
      </c>
      <c r="F127" s="207">
        <v>155</v>
      </c>
      <c r="G127" s="207">
        <v>205</v>
      </c>
      <c r="H127" s="161">
        <v>50</v>
      </c>
      <c r="I127" s="207">
        <v>300</v>
      </c>
      <c r="J127" s="242">
        <f t="shared" si="24"/>
        <v>15000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44628</v>
      </c>
      <c r="D128" s="161" t="s">
        <v>9</v>
      </c>
      <c r="E128" s="161" t="s">
        <v>3385</v>
      </c>
      <c r="F128" s="207">
        <v>180</v>
      </c>
      <c r="G128" s="222">
        <v>230</v>
      </c>
      <c r="H128" s="222">
        <f>230-180</f>
        <v>50</v>
      </c>
      <c r="I128" s="207">
        <v>300</v>
      </c>
      <c r="J128" s="242">
        <f t="shared" si="24"/>
        <v>15000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44629</v>
      </c>
      <c r="D129" s="161" t="s">
        <v>9</v>
      </c>
      <c r="E129" s="161" t="s">
        <v>3722</v>
      </c>
      <c r="F129" s="207">
        <v>140</v>
      </c>
      <c r="G129" s="207">
        <v>165</v>
      </c>
      <c r="H129" s="161">
        <v>25</v>
      </c>
      <c r="I129" s="207">
        <v>300</v>
      </c>
      <c r="J129" s="242">
        <f t="shared" si="24"/>
        <v>7500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44630</v>
      </c>
      <c r="D130" s="161" t="s">
        <v>9</v>
      </c>
      <c r="E130" s="161" t="s">
        <v>3723</v>
      </c>
      <c r="F130" s="207">
        <v>105</v>
      </c>
      <c r="G130" s="207">
        <v>115</v>
      </c>
      <c r="H130" s="161">
        <v>10</v>
      </c>
      <c r="I130" s="207">
        <v>300</v>
      </c>
      <c r="J130" s="242">
        <f t="shared" si="24"/>
        <v>3000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44631</v>
      </c>
      <c r="D131" s="161" t="s">
        <v>9</v>
      </c>
      <c r="E131" s="161" t="s">
        <v>1415</v>
      </c>
      <c r="F131" s="207">
        <v>195</v>
      </c>
      <c r="G131" s="207">
        <v>210</v>
      </c>
      <c r="H131" s="161">
        <f>210-195</f>
        <v>15</v>
      </c>
      <c r="I131" s="207">
        <v>300</v>
      </c>
      <c r="J131" s="242">
        <f t="shared" si="24"/>
        <v>4500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44634</v>
      </c>
      <c r="D132" s="161" t="s">
        <v>9</v>
      </c>
      <c r="E132" s="161" t="s">
        <v>1444</v>
      </c>
      <c r="F132" s="207">
        <v>190</v>
      </c>
      <c r="G132" s="222">
        <v>240</v>
      </c>
      <c r="H132" s="222">
        <v>50</v>
      </c>
      <c r="I132" s="207">
        <v>300</v>
      </c>
      <c r="J132" s="242">
        <f t="shared" si="24"/>
        <v>15000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44635</v>
      </c>
      <c r="D133" s="161" t="s">
        <v>9</v>
      </c>
      <c r="E133" s="161" t="s">
        <v>3738</v>
      </c>
      <c r="F133" s="207">
        <v>160</v>
      </c>
      <c r="G133" s="222">
        <v>175</v>
      </c>
      <c r="H133" s="222">
        <v>15</v>
      </c>
      <c r="I133" s="207">
        <v>300</v>
      </c>
      <c r="J133" s="242">
        <f t="shared" si="24"/>
        <v>4500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44636</v>
      </c>
      <c r="D134" s="161" t="s">
        <v>9</v>
      </c>
      <c r="E134" s="161" t="s">
        <v>1177</v>
      </c>
      <c r="F134" s="207">
        <v>115</v>
      </c>
      <c r="G134" s="222">
        <v>135</v>
      </c>
      <c r="H134" s="222">
        <f>135-115</f>
        <v>20</v>
      </c>
      <c r="I134" s="207">
        <v>300</v>
      </c>
      <c r="J134" s="242">
        <f t="shared" si="24"/>
        <v>6000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13</v>
      </c>
      <c r="C135" s="206">
        <v>44637</v>
      </c>
      <c r="D135" s="161" t="s">
        <v>9</v>
      </c>
      <c r="E135" s="161" t="s">
        <v>3454</v>
      </c>
      <c r="F135" s="207">
        <v>125</v>
      </c>
      <c r="G135" s="222">
        <v>175</v>
      </c>
      <c r="H135" s="222">
        <f>175-125</f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44641</v>
      </c>
      <c r="D136" s="161" t="s">
        <v>9</v>
      </c>
      <c r="E136" s="161" t="s">
        <v>3623</v>
      </c>
      <c r="F136" s="207">
        <v>180</v>
      </c>
      <c r="G136" s="207">
        <v>230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44642</v>
      </c>
      <c r="D137" s="161" t="s">
        <v>9</v>
      </c>
      <c r="E137" s="161" t="s">
        <v>3744</v>
      </c>
      <c r="F137" s="207">
        <v>180</v>
      </c>
      <c r="G137" s="207">
        <v>196</v>
      </c>
      <c r="H137" s="161">
        <v>16</v>
      </c>
      <c r="I137" s="207">
        <v>300</v>
      </c>
      <c r="J137" s="242">
        <f t="shared" si="24"/>
        <v>4800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44643</v>
      </c>
      <c r="D138" s="161" t="s">
        <v>9</v>
      </c>
      <c r="E138" s="161" t="s">
        <v>1516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44644</v>
      </c>
      <c r="D139" s="161" t="s">
        <v>9</v>
      </c>
      <c r="E139" s="161" t="s">
        <v>3608</v>
      </c>
      <c r="F139" s="207">
        <v>70</v>
      </c>
      <c r="G139" s="207">
        <v>120</v>
      </c>
      <c r="H139" s="161">
        <v>50</v>
      </c>
      <c r="I139" s="207">
        <v>300</v>
      </c>
      <c r="J139" s="242">
        <f t="shared" si="24"/>
        <v>15000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44645</v>
      </c>
      <c r="D140" s="161" t="s">
        <v>9</v>
      </c>
      <c r="E140" s="161" t="s">
        <v>2989</v>
      </c>
      <c r="F140" s="207">
        <v>185</v>
      </c>
      <c r="G140" s="222">
        <v>235</v>
      </c>
      <c r="H140" s="222">
        <f>235-185</f>
        <v>50</v>
      </c>
      <c r="I140" s="207">
        <v>300</v>
      </c>
      <c r="J140" s="242">
        <f t="shared" si="24"/>
        <v>15000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>
        <v>44648</v>
      </c>
      <c r="D141" s="161" t="s">
        <v>9</v>
      </c>
      <c r="E141" s="161" t="s">
        <v>3609</v>
      </c>
      <c r="F141" s="207">
        <v>145</v>
      </c>
      <c r="G141" s="222">
        <v>170</v>
      </c>
      <c r="H141" s="222">
        <f>170-145</f>
        <v>25</v>
      </c>
      <c r="I141" s="207">
        <v>300</v>
      </c>
      <c r="J141" s="242">
        <f t="shared" si="24"/>
        <v>7500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44649</v>
      </c>
      <c r="D142" s="161" t="s">
        <v>9</v>
      </c>
      <c r="E142" s="161" t="s">
        <v>1492</v>
      </c>
      <c r="F142" s="207">
        <v>100</v>
      </c>
      <c r="G142" s="222">
        <v>111.5</v>
      </c>
      <c r="H142" s="222">
        <v>11.5</v>
      </c>
      <c r="I142" s="207">
        <v>300</v>
      </c>
      <c r="J142" s="242">
        <f t="shared" si="24"/>
        <v>3450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>
        <v>44650</v>
      </c>
      <c r="D143" s="161" t="s">
        <v>9</v>
      </c>
      <c r="E143" s="161" t="s">
        <v>3486</v>
      </c>
      <c r="F143" s="207">
        <v>110</v>
      </c>
      <c r="G143" s="222">
        <v>125.5</v>
      </c>
      <c r="H143" s="222">
        <v>15.5</v>
      </c>
      <c r="I143" s="207">
        <v>300</v>
      </c>
      <c r="J143" s="242">
        <f t="shared" si="24"/>
        <v>4650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>
        <v>44651</v>
      </c>
      <c r="D144" s="161" t="s">
        <v>9</v>
      </c>
      <c r="E144" s="161" t="s">
        <v>1540</v>
      </c>
      <c r="F144" s="207">
        <v>90</v>
      </c>
      <c r="G144" s="222">
        <v>140</v>
      </c>
      <c r="H144" s="161">
        <f>140-90</f>
        <v>50</v>
      </c>
      <c r="I144" s="207">
        <v>300</v>
      </c>
      <c r="J144" s="242">
        <f t="shared" si="24"/>
        <v>15000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15" thickBot="1" x14ac:dyDescent="0.35">
      <c r="A146" s="147"/>
      <c r="B146" s="205">
        <f t="shared" si="27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4"/>
        <v>0</v>
      </c>
      <c r="K146" s="153"/>
      <c r="V146" s="25">
        <f t="shared" si="25"/>
        <v>0</v>
      </c>
      <c r="W146" s="25">
        <f t="shared" si="26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213600</v>
      </c>
      <c r="K147" s="153"/>
      <c r="V147" s="25">
        <f>SUM(V123:V146)</f>
        <v>22</v>
      </c>
      <c r="W147" s="25">
        <f>SUM(W123:W146)</f>
        <v>0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3713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44622</v>
      </c>
      <c r="D155" s="185" t="s">
        <v>8</v>
      </c>
      <c r="E155" s="185" t="s">
        <v>301</v>
      </c>
      <c r="F155" s="219">
        <v>35400</v>
      </c>
      <c r="G155" s="231">
        <v>35100</v>
      </c>
      <c r="H155" s="185">
        <v>300</v>
      </c>
      <c r="I155" s="219">
        <v>50</v>
      </c>
      <c r="J155" s="246">
        <f t="shared" ref="J155:J177" si="28">I155*H155</f>
        <v>15000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44623</v>
      </c>
      <c r="D156" s="185" t="s">
        <v>8</v>
      </c>
      <c r="E156" s="185" t="s">
        <v>301</v>
      </c>
      <c r="F156" s="219">
        <v>35400</v>
      </c>
      <c r="G156" s="219">
        <v>35100</v>
      </c>
      <c r="H156" s="185">
        <v>300</v>
      </c>
      <c r="I156" s="219">
        <v>50</v>
      </c>
      <c r="J156" s="242">
        <f t="shared" si="28"/>
        <v>15000</v>
      </c>
      <c r="K156" s="153"/>
      <c r="V156" s="25">
        <f t="shared" ref="V156:V177" si="29">IF($J156&gt;0,1,0)</f>
        <v>1</v>
      </c>
      <c r="W156" s="25">
        <f t="shared" ref="W156:W177" si="30">IF($J156&lt;0,1,0)</f>
        <v>0</v>
      </c>
    </row>
    <row r="157" spans="1:23" x14ac:dyDescent="0.3">
      <c r="A157" s="147"/>
      <c r="B157" s="205">
        <f t="shared" ref="B157:B177" si="31">B156+1</f>
        <v>3</v>
      </c>
      <c r="C157" s="206">
        <v>44624</v>
      </c>
      <c r="D157" s="161" t="s">
        <v>8</v>
      </c>
      <c r="E157" s="161" t="s">
        <v>301</v>
      </c>
      <c r="F157" s="207">
        <v>34500</v>
      </c>
      <c r="G157" s="207">
        <v>34200</v>
      </c>
      <c r="H157" s="161">
        <v>300</v>
      </c>
      <c r="I157" s="207">
        <v>50</v>
      </c>
      <c r="J157" s="242">
        <f t="shared" si="28"/>
        <v>15000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4</v>
      </c>
      <c r="C158" s="206">
        <v>44627</v>
      </c>
      <c r="D158" s="161" t="s">
        <v>8</v>
      </c>
      <c r="E158" s="161" t="s">
        <v>301</v>
      </c>
      <c r="F158" s="207">
        <v>32850</v>
      </c>
      <c r="G158" s="207">
        <v>32720</v>
      </c>
      <c r="H158" s="161">
        <f>32850-32720</f>
        <v>130</v>
      </c>
      <c r="I158" s="207">
        <v>50</v>
      </c>
      <c r="J158" s="242">
        <f t="shared" si="28"/>
        <v>6500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5</v>
      </c>
      <c r="C159" s="206">
        <v>44628</v>
      </c>
      <c r="D159" s="161" t="s">
        <v>9</v>
      </c>
      <c r="E159" s="161" t="s">
        <v>301</v>
      </c>
      <c r="F159" s="207">
        <v>32900</v>
      </c>
      <c r="G159" s="207">
        <v>32995</v>
      </c>
      <c r="H159" s="161">
        <v>95</v>
      </c>
      <c r="I159" s="207">
        <v>50</v>
      </c>
      <c r="J159" s="242">
        <f t="shared" si="28"/>
        <v>4750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6</v>
      </c>
      <c r="C160" s="206">
        <v>44629</v>
      </c>
      <c r="D160" s="161" t="s">
        <v>8</v>
      </c>
      <c r="E160" s="161" t="s">
        <v>301</v>
      </c>
      <c r="F160" s="207">
        <v>33250</v>
      </c>
      <c r="G160" s="207">
        <v>33100</v>
      </c>
      <c r="H160" s="161">
        <v>150</v>
      </c>
      <c r="I160" s="207">
        <v>50</v>
      </c>
      <c r="J160" s="242">
        <f t="shared" si="28"/>
        <v>7500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7</v>
      </c>
      <c r="C161" s="206">
        <v>44630</v>
      </c>
      <c r="D161" s="161" t="s">
        <v>9</v>
      </c>
      <c r="E161" s="161" t="s">
        <v>301</v>
      </c>
      <c r="F161" s="207">
        <v>35300</v>
      </c>
      <c r="G161" s="207">
        <v>35390</v>
      </c>
      <c r="H161" s="161">
        <v>90</v>
      </c>
      <c r="I161" s="207">
        <v>50</v>
      </c>
      <c r="J161" s="242">
        <f t="shared" si="28"/>
        <v>4500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8</v>
      </c>
      <c r="C162" s="206">
        <v>44631</v>
      </c>
      <c r="D162" s="161" t="s">
        <v>9</v>
      </c>
      <c r="E162" s="161" t="s">
        <v>301</v>
      </c>
      <c r="F162" s="207">
        <v>34850</v>
      </c>
      <c r="G162" s="207">
        <v>34930</v>
      </c>
      <c r="H162" s="161">
        <f>34930-34850</f>
        <v>80</v>
      </c>
      <c r="I162" s="207">
        <v>50</v>
      </c>
      <c r="J162" s="242">
        <f t="shared" si="28"/>
        <v>4000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9</v>
      </c>
      <c r="C163" s="206">
        <v>44631</v>
      </c>
      <c r="D163" s="161" t="s">
        <v>8</v>
      </c>
      <c r="E163" s="161" t="s">
        <v>301</v>
      </c>
      <c r="F163" s="207">
        <v>34500</v>
      </c>
      <c r="G163" s="207">
        <v>34400</v>
      </c>
      <c r="H163" s="161">
        <v>100</v>
      </c>
      <c r="I163" s="207">
        <v>50</v>
      </c>
      <c r="J163" s="242">
        <f t="shared" si="28"/>
        <v>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10</v>
      </c>
      <c r="C164" s="206">
        <v>44634</v>
      </c>
      <c r="D164" s="161" t="s">
        <v>9</v>
      </c>
      <c r="E164" s="161" t="s">
        <v>301</v>
      </c>
      <c r="F164" s="207">
        <v>34800</v>
      </c>
      <c r="G164" s="207">
        <v>35100</v>
      </c>
      <c r="H164" s="161">
        <v>300</v>
      </c>
      <c r="I164" s="207">
        <v>50</v>
      </c>
      <c r="J164" s="242">
        <f t="shared" si="28"/>
        <v>15000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11</v>
      </c>
      <c r="C165" s="206">
        <v>44635</v>
      </c>
      <c r="D165" s="161" t="s">
        <v>8</v>
      </c>
      <c r="E165" s="161" t="s">
        <v>301</v>
      </c>
      <c r="F165" s="207">
        <v>35100</v>
      </c>
      <c r="G165" s="207">
        <v>34800</v>
      </c>
      <c r="H165" s="161">
        <v>300</v>
      </c>
      <c r="I165" s="207">
        <v>50</v>
      </c>
      <c r="J165" s="242">
        <f t="shared" si="28"/>
        <v>15000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12</v>
      </c>
      <c r="C166" s="206">
        <v>44636</v>
      </c>
      <c r="D166" s="161" t="s">
        <v>9</v>
      </c>
      <c r="E166" s="161" t="s">
        <v>301</v>
      </c>
      <c r="F166" s="207">
        <v>35750</v>
      </c>
      <c r="G166" s="207">
        <v>35600</v>
      </c>
      <c r="H166" s="161">
        <v>-150</v>
      </c>
      <c r="I166" s="207">
        <v>50</v>
      </c>
      <c r="J166" s="242">
        <f t="shared" si="28"/>
        <v>-7500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13</v>
      </c>
      <c r="C167" s="206">
        <v>44637</v>
      </c>
      <c r="D167" s="161" t="s">
        <v>9</v>
      </c>
      <c r="E167" s="161" t="s">
        <v>301</v>
      </c>
      <c r="F167" s="207">
        <v>36500</v>
      </c>
      <c r="G167" s="207">
        <v>36595</v>
      </c>
      <c r="H167" s="161">
        <v>95</v>
      </c>
      <c r="I167" s="207">
        <v>50</v>
      </c>
      <c r="J167" s="242">
        <f t="shared" si="28"/>
        <v>4750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14</v>
      </c>
      <c r="C168" s="206">
        <v>44641</v>
      </c>
      <c r="D168" s="161" t="s">
        <v>8</v>
      </c>
      <c r="E168" s="161" t="s">
        <v>301</v>
      </c>
      <c r="F168" s="207">
        <v>36200</v>
      </c>
      <c r="G168" s="207">
        <v>36005</v>
      </c>
      <c r="H168" s="161">
        <f>36200-36005</f>
        <v>195</v>
      </c>
      <c r="I168" s="207">
        <v>50</v>
      </c>
      <c r="J168" s="242">
        <f t="shared" si="28"/>
        <v>9750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15</v>
      </c>
      <c r="C169" s="206">
        <v>44642</v>
      </c>
      <c r="D169" s="161" t="s">
        <v>8</v>
      </c>
      <c r="E169" s="161" t="s">
        <v>301</v>
      </c>
      <c r="F169" s="207">
        <v>35700</v>
      </c>
      <c r="G169" s="207">
        <v>35480</v>
      </c>
      <c r="H169" s="161">
        <f>35700-35480</f>
        <v>220</v>
      </c>
      <c r="I169" s="207">
        <v>50</v>
      </c>
      <c r="J169" s="242">
        <f t="shared" si="28"/>
        <v>11000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16</v>
      </c>
      <c r="C170" s="206">
        <v>44643</v>
      </c>
      <c r="D170" s="161" t="s">
        <v>8</v>
      </c>
      <c r="E170" s="161" t="s">
        <v>301</v>
      </c>
      <c r="F170" s="207">
        <v>36600</v>
      </c>
      <c r="G170" s="207">
        <v>36315</v>
      </c>
      <c r="H170" s="161">
        <f>36600-36315</f>
        <v>285</v>
      </c>
      <c r="I170" s="207">
        <v>50</v>
      </c>
      <c r="J170" s="242">
        <f t="shared" si="28"/>
        <v>14250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17</v>
      </c>
      <c r="C171" s="206">
        <v>44644</v>
      </c>
      <c r="D171" s="161" t="s">
        <v>9</v>
      </c>
      <c r="E171" s="161" t="s">
        <v>301</v>
      </c>
      <c r="F171" s="207">
        <v>35850</v>
      </c>
      <c r="G171" s="207">
        <v>36050</v>
      </c>
      <c r="H171" s="161">
        <f>36050-35850</f>
        <v>200</v>
      </c>
      <c r="I171" s="207">
        <v>50</v>
      </c>
      <c r="J171" s="242">
        <f t="shared" si="28"/>
        <v>10000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18</v>
      </c>
      <c r="C172" s="206">
        <v>44645</v>
      </c>
      <c r="D172" s="161" t="s">
        <v>8</v>
      </c>
      <c r="E172" s="161" t="s">
        <v>301</v>
      </c>
      <c r="F172" s="207">
        <v>35450</v>
      </c>
      <c r="G172" s="207">
        <v>35260</v>
      </c>
      <c r="H172" s="161">
        <f>35450-35260</f>
        <v>190</v>
      </c>
      <c r="I172" s="207">
        <v>50</v>
      </c>
      <c r="J172" s="242">
        <f t="shared" si="28"/>
        <v>9500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19</v>
      </c>
      <c r="C173" s="206">
        <v>44648</v>
      </c>
      <c r="D173" s="161" t="s">
        <v>8</v>
      </c>
      <c r="E173" s="161" t="s">
        <v>301</v>
      </c>
      <c r="F173" s="207">
        <v>35200</v>
      </c>
      <c r="G173" s="207">
        <v>35100</v>
      </c>
      <c r="H173" s="161">
        <v>100</v>
      </c>
      <c r="I173" s="207">
        <v>50</v>
      </c>
      <c r="J173" s="242">
        <f t="shared" si="28"/>
        <v>5000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20</v>
      </c>
      <c r="C174" s="206">
        <v>44649</v>
      </c>
      <c r="D174" s="161" t="s">
        <v>8</v>
      </c>
      <c r="E174" s="161" t="s">
        <v>301</v>
      </c>
      <c r="F174" s="207">
        <v>35850</v>
      </c>
      <c r="G174" s="207">
        <v>35550</v>
      </c>
      <c r="H174" s="161">
        <v>300</v>
      </c>
      <c r="I174" s="207">
        <v>50</v>
      </c>
      <c r="J174" s="242">
        <f t="shared" si="28"/>
        <v>15000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21</v>
      </c>
      <c r="C175" s="206">
        <v>44650</v>
      </c>
      <c r="D175" s="161" t="s">
        <v>9</v>
      </c>
      <c r="E175" s="161" t="s">
        <v>301</v>
      </c>
      <c r="F175" s="207">
        <v>36400</v>
      </c>
      <c r="G175" s="207">
        <v>36250</v>
      </c>
      <c r="H175" s="161">
        <v>-150</v>
      </c>
      <c r="I175" s="207">
        <v>50</v>
      </c>
      <c r="J175" s="242">
        <f t="shared" si="28"/>
        <v>-7500</v>
      </c>
      <c r="K175" s="153"/>
      <c r="V175" s="25">
        <f t="shared" si="29"/>
        <v>0</v>
      </c>
      <c r="W175" s="25">
        <f t="shared" si="30"/>
        <v>1</v>
      </c>
    </row>
    <row r="176" spans="1:23" x14ac:dyDescent="0.3">
      <c r="A176" s="147"/>
      <c r="B176" s="205">
        <f t="shared" si="31"/>
        <v>22</v>
      </c>
      <c r="C176" s="206">
        <v>44651</v>
      </c>
      <c r="D176" s="161" t="s">
        <v>8</v>
      </c>
      <c r="E176" s="161" t="s">
        <v>301</v>
      </c>
      <c r="F176" s="207">
        <v>36450</v>
      </c>
      <c r="G176" s="207">
        <v>36300</v>
      </c>
      <c r="H176" s="161">
        <v>150</v>
      </c>
      <c r="I176" s="207">
        <v>50</v>
      </c>
      <c r="J176" s="242">
        <f t="shared" si="28"/>
        <v>7500</v>
      </c>
      <c r="K176" s="153"/>
      <c r="V176" s="25">
        <f t="shared" si="29"/>
        <v>1</v>
      </c>
      <c r="W176" s="25">
        <f t="shared" si="30"/>
        <v>0</v>
      </c>
    </row>
    <row r="177" spans="1:23" ht="15" thickBot="1" x14ac:dyDescent="0.35">
      <c r="A177" s="147"/>
      <c r="B177" s="208">
        <f t="shared" si="31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8"/>
        <v>0</v>
      </c>
      <c r="K177" s="153"/>
      <c r="V177" s="25">
        <f t="shared" si="29"/>
        <v>0</v>
      </c>
      <c r="W177" s="25">
        <f t="shared" si="30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179000</v>
      </c>
      <c r="K178" s="153"/>
      <c r="V178" s="25">
        <f>SUM(V155:V177)</f>
        <v>20</v>
      </c>
      <c r="W178" s="25">
        <f>SUM(W155:W177)</f>
        <v>2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3716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44622</v>
      </c>
      <c r="D186" s="185" t="s">
        <v>9</v>
      </c>
      <c r="E186" s="185" t="s">
        <v>3375</v>
      </c>
      <c r="F186" s="219">
        <v>450</v>
      </c>
      <c r="G186" s="219">
        <v>650</v>
      </c>
      <c r="H186" s="185">
        <v>200</v>
      </c>
      <c r="I186" s="219">
        <v>100</v>
      </c>
      <c r="J186" s="246">
        <f t="shared" ref="J186:J208" si="32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44623</v>
      </c>
      <c r="D187" s="185" t="s">
        <v>9</v>
      </c>
      <c r="E187" s="185" t="s">
        <v>3374</v>
      </c>
      <c r="F187" s="219">
        <v>250</v>
      </c>
      <c r="G187" s="219">
        <v>450</v>
      </c>
      <c r="H187" s="185">
        <v>200</v>
      </c>
      <c r="I187" s="219">
        <v>100</v>
      </c>
      <c r="J187" s="242">
        <f t="shared" si="32"/>
        <v>20000</v>
      </c>
      <c r="K187" s="153"/>
      <c r="V187" s="25">
        <f t="shared" ref="V187:V208" si="33">IF($J187&gt;0,1,0)</f>
        <v>1</v>
      </c>
      <c r="W187" s="25">
        <f t="shared" ref="W187:W208" si="34">IF($J187&lt;0,1,0)</f>
        <v>0</v>
      </c>
    </row>
    <row r="188" spans="1:23" x14ac:dyDescent="0.3">
      <c r="A188" s="147"/>
      <c r="B188" s="205">
        <f t="shared" ref="B188:B208" si="35">B187+1</f>
        <v>3</v>
      </c>
      <c r="C188" s="206">
        <v>44624</v>
      </c>
      <c r="D188" s="161" t="s">
        <v>9</v>
      </c>
      <c r="E188" s="161" t="s">
        <v>3727</v>
      </c>
      <c r="F188" s="207">
        <v>620</v>
      </c>
      <c r="G188" s="207">
        <v>720</v>
      </c>
      <c r="H188" s="161">
        <v>100</v>
      </c>
      <c r="I188" s="207">
        <v>100</v>
      </c>
      <c r="J188" s="242">
        <f t="shared" si="32"/>
        <v>10000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4</v>
      </c>
      <c r="C189" s="206">
        <v>44627</v>
      </c>
      <c r="D189" s="161" t="s">
        <v>9</v>
      </c>
      <c r="E189" s="161" t="s">
        <v>3728</v>
      </c>
      <c r="F189" s="207">
        <v>670</v>
      </c>
      <c r="G189" s="207">
        <v>870</v>
      </c>
      <c r="H189" s="161">
        <v>200</v>
      </c>
      <c r="I189" s="207">
        <v>100</v>
      </c>
      <c r="J189" s="242">
        <f t="shared" si="32"/>
        <v>20000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5</v>
      </c>
      <c r="C190" s="206">
        <v>44628</v>
      </c>
      <c r="D190" s="161" t="s">
        <v>9</v>
      </c>
      <c r="E190" s="161" t="s">
        <v>3731</v>
      </c>
      <c r="F190" s="207">
        <v>580</v>
      </c>
      <c r="G190" s="207">
        <v>620</v>
      </c>
      <c r="H190" s="161">
        <f>620-580</f>
        <v>40</v>
      </c>
      <c r="I190" s="207">
        <v>100</v>
      </c>
      <c r="J190" s="242">
        <f t="shared" si="32"/>
        <v>4000</v>
      </c>
      <c r="K190" s="153"/>
      <c r="O190" s="25" t="s">
        <v>2008</v>
      </c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6</v>
      </c>
      <c r="C191" s="206">
        <v>44629</v>
      </c>
      <c r="D191" s="161" t="s">
        <v>9</v>
      </c>
      <c r="E191" s="161" t="s">
        <v>3732</v>
      </c>
      <c r="F191" s="207">
        <v>440</v>
      </c>
      <c r="G191" s="207">
        <v>495</v>
      </c>
      <c r="H191" s="161">
        <f>495-440</f>
        <v>55</v>
      </c>
      <c r="I191" s="207">
        <v>100</v>
      </c>
      <c r="J191" s="242">
        <f t="shared" si="32"/>
        <v>5500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7</v>
      </c>
      <c r="C192" s="206">
        <v>44630</v>
      </c>
      <c r="D192" s="161" t="s">
        <v>9</v>
      </c>
      <c r="E192" s="161" t="s">
        <v>3280</v>
      </c>
      <c r="F192" s="207">
        <v>180</v>
      </c>
      <c r="G192" s="207">
        <v>80</v>
      </c>
      <c r="H192" s="161">
        <v>-100</v>
      </c>
      <c r="I192" s="207">
        <v>100</v>
      </c>
      <c r="J192" s="242">
        <f t="shared" si="32"/>
        <v>-10000</v>
      </c>
      <c r="K192" s="153"/>
      <c r="V192" s="25">
        <f t="shared" si="33"/>
        <v>0</v>
      </c>
      <c r="W192" s="25">
        <f t="shared" si="34"/>
        <v>1</v>
      </c>
    </row>
    <row r="193" spans="1:23" x14ac:dyDescent="0.3">
      <c r="A193" s="147"/>
      <c r="B193" s="205">
        <f t="shared" si="35"/>
        <v>8</v>
      </c>
      <c r="C193" s="206">
        <v>44631</v>
      </c>
      <c r="D193" s="161" t="s">
        <v>9</v>
      </c>
      <c r="E193" s="161" t="s">
        <v>3735</v>
      </c>
      <c r="F193" s="207">
        <v>690</v>
      </c>
      <c r="G193" s="207">
        <v>737</v>
      </c>
      <c r="H193" s="161">
        <f>737-690</f>
        <v>47</v>
      </c>
      <c r="I193" s="207">
        <v>100</v>
      </c>
      <c r="J193" s="242">
        <f t="shared" si="32"/>
        <v>4700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9</v>
      </c>
      <c r="C194" s="206">
        <v>44631</v>
      </c>
      <c r="D194" s="161" t="s">
        <v>9</v>
      </c>
      <c r="E194" s="161" t="s">
        <v>3735</v>
      </c>
      <c r="F194" s="207">
        <v>700</v>
      </c>
      <c r="G194" s="207">
        <v>793</v>
      </c>
      <c r="H194" s="161">
        <v>93</v>
      </c>
      <c r="I194" s="207">
        <v>100</v>
      </c>
      <c r="J194" s="242">
        <f t="shared" si="32"/>
        <v>9300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10</v>
      </c>
      <c r="C195" s="206">
        <v>44634</v>
      </c>
      <c r="D195" s="161" t="s">
        <v>9</v>
      </c>
      <c r="E195" s="161" t="s">
        <v>3415</v>
      </c>
      <c r="F195" s="207">
        <v>590</v>
      </c>
      <c r="G195" s="207">
        <v>790</v>
      </c>
      <c r="H195" s="161">
        <v>200</v>
      </c>
      <c r="I195" s="207">
        <v>100</v>
      </c>
      <c r="J195" s="242">
        <f t="shared" si="32"/>
        <v>20000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11</v>
      </c>
      <c r="C196" s="206">
        <v>44635</v>
      </c>
      <c r="D196" s="161" t="s">
        <v>9</v>
      </c>
      <c r="E196" s="161" t="s">
        <v>3376</v>
      </c>
      <c r="F196" s="207">
        <v>530</v>
      </c>
      <c r="G196" s="207">
        <v>730</v>
      </c>
      <c r="H196" s="161">
        <v>200</v>
      </c>
      <c r="I196" s="207">
        <v>100</v>
      </c>
      <c r="J196" s="242">
        <f t="shared" si="32"/>
        <v>20000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12</v>
      </c>
      <c r="C197" s="206">
        <v>44636</v>
      </c>
      <c r="D197" s="161" t="s">
        <v>9</v>
      </c>
      <c r="E197" s="161" t="s">
        <v>3423</v>
      </c>
      <c r="F197" s="207">
        <v>360</v>
      </c>
      <c r="G197" s="207">
        <v>440</v>
      </c>
      <c r="H197" s="161">
        <f>440-360</f>
        <v>80</v>
      </c>
      <c r="I197" s="207">
        <v>100</v>
      </c>
      <c r="J197" s="242">
        <f t="shared" si="32"/>
        <v>8000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13</v>
      </c>
      <c r="C198" s="206">
        <v>44637</v>
      </c>
      <c r="D198" s="161" t="s">
        <v>9</v>
      </c>
      <c r="E198" s="161" t="s">
        <v>3447</v>
      </c>
      <c r="F198" s="207">
        <v>180</v>
      </c>
      <c r="G198" s="207">
        <v>80</v>
      </c>
      <c r="H198" s="161">
        <v>-100</v>
      </c>
      <c r="I198" s="207">
        <v>100</v>
      </c>
      <c r="J198" s="242">
        <f t="shared" si="32"/>
        <v>-10000</v>
      </c>
      <c r="K198" s="153"/>
      <c r="V198" s="25">
        <f t="shared" si="33"/>
        <v>0</v>
      </c>
      <c r="W198" s="25">
        <f t="shared" si="34"/>
        <v>1</v>
      </c>
    </row>
    <row r="199" spans="1:23" x14ac:dyDescent="0.3">
      <c r="A199" s="147"/>
      <c r="B199" s="205">
        <f t="shared" si="35"/>
        <v>14</v>
      </c>
      <c r="C199" s="206">
        <v>44641</v>
      </c>
      <c r="D199" s="161" t="s">
        <v>9</v>
      </c>
      <c r="E199" s="161" t="s">
        <v>3741</v>
      </c>
      <c r="F199" s="207">
        <v>540</v>
      </c>
      <c r="G199" s="207">
        <v>628</v>
      </c>
      <c r="H199" s="161">
        <f>628-540</f>
        <v>88</v>
      </c>
      <c r="I199" s="207">
        <v>100</v>
      </c>
      <c r="J199" s="242">
        <f t="shared" si="32"/>
        <v>8800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15</v>
      </c>
      <c r="C200" s="206">
        <v>44642</v>
      </c>
      <c r="D200" s="161" t="s">
        <v>9</v>
      </c>
      <c r="E200" s="161" t="s">
        <v>3423</v>
      </c>
      <c r="F200" s="207">
        <v>430</v>
      </c>
      <c r="G200" s="207">
        <v>530</v>
      </c>
      <c r="H200" s="161">
        <v>100</v>
      </c>
      <c r="I200" s="207">
        <v>100</v>
      </c>
      <c r="J200" s="242">
        <f t="shared" si="32"/>
        <v>10000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16</v>
      </c>
      <c r="C201" s="206">
        <v>44643</v>
      </c>
      <c r="D201" s="161" t="s">
        <v>9</v>
      </c>
      <c r="E201" s="161" t="s">
        <v>3481</v>
      </c>
      <c r="F201" s="207">
        <v>370</v>
      </c>
      <c r="G201" s="207">
        <v>570</v>
      </c>
      <c r="H201" s="161">
        <v>200</v>
      </c>
      <c r="I201" s="207">
        <v>100</v>
      </c>
      <c r="J201" s="242">
        <f t="shared" si="32"/>
        <v>20000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17</v>
      </c>
      <c r="C202" s="206">
        <v>44644</v>
      </c>
      <c r="D202" s="161" t="s">
        <v>9</v>
      </c>
      <c r="E202" s="161" t="s">
        <v>3236</v>
      </c>
      <c r="F202" s="207">
        <v>130</v>
      </c>
      <c r="G202" s="207">
        <v>205</v>
      </c>
      <c r="H202" s="161">
        <f>205-130</f>
        <v>75</v>
      </c>
      <c r="I202" s="207">
        <v>100</v>
      </c>
      <c r="J202" s="242">
        <f t="shared" si="32"/>
        <v>7500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18</v>
      </c>
      <c r="C203" s="206">
        <v>44645</v>
      </c>
      <c r="D203" s="161" t="s">
        <v>9</v>
      </c>
      <c r="E203" s="161" t="s">
        <v>3376</v>
      </c>
      <c r="F203" s="207">
        <v>550</v>
      </c>
      <c r="G203" s="207">
        <v>700</v>
      </c>
      <c r="H203" s="161">
        <f>700-550</f>
        <v>150</v>
      </c>
      <c r="I203" s="207">
        <v>100</v>
      </c>
      <c r="J203" s="242">
        <f t="shared" si="32"/>
        <v>15000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19</v>
      </c>
      <c r="C204" s="206">
        <v>44648</v>
      </c>
      <c r="D204" s="161" t="s">
        <v>9</v>
      </c>
      <c r="E204" s="161" t="s">
        <v>3359</v>
      </c>
      <c r="F204" s="207">
        <v>480</v>
      </c>
      <c r="G204" s="207">
        <v>549</v>
      </c>
      <c r="H204" s="161">
        <f>549-480</f>
        <v>69</v>
      </c>
      <c r="I204" s="207">
        <v>100</v>
      </c>
      <c r="J204" s="242">
        <f t="shared" si="32"/>
        <v>6900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20</v>
      </c>
      <c r="C205" s="206">
        <v>44649</v>
      </c>
      <c r="D205" s="161" t="s">
        <v>9</v>
      </c>
      <c r="E205" s="161" t="s">
        <v>3233</v>
      </c>
      <c r="F205" s="207">
        <v>380</v>
      </c>
      <c r="G205" s="207">
        <v>550</v>
      </c>
      <c r="H205" s="161">
        <f>550-380</f>
        <v>170</v>
      </c>
      <c r="I205" s="207">
        <v>100</v>
      </c>
      <c r="J205" s="242">
        <f t="shared" si="32"/>
        <v>17000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21</v>
      </c>
      <c r="C206" s="206">
        <v>44650</v>
      </c>
      <c r="D206" s="161" t="s">
        <v>9</v>
      </c>
      <c r="E206" s="161" t="s">
        <v>3278</v>
      </c>
      <c r="F206" s="207">
        <v>260</v>
      </c>
      <c r="G206" s="207">
        <v>160</v>
      </c>
      <c r="H206" s="161">
        <v>-100</v>
      </c>
      <c r="I206" s="207">
        <v>100</v>
      </c>
      <c r="J206" s="242">
        <f t="shared" si="32"/>
        <v>-10000</v>
      </c>
      <c r="K206" s="153"/>
      <c r="V206" s="25">
        <f t="shared" si="33"/>
        <v>0</v>
      </c>
      <c r="W206" s="25">
        <f t="shared" si="34"/>
        <v>1</v>
      </c>
    </row>
    <row r="207" spans="1:23" x14ac:dyDescent="0.3">
      <c r="A207" s="147"/>
      <c r="B207" s="205">
        <f t="shared" si="35"/>
        <v>22</v>
      </c>
      <c r="C207" s="206">
        <v>44651</v>
      </c>
      <c r="D207" s="161" t="s">
        <v>9</v>
      </c>
      <c r="E207" s="161" t="s">
        <v>3481</v>
      </c>
      <c r="F207" s="207">
        <v>150</v>
      </c>
      <c r="G207" s="207">
        <v>216</v>
      </c>
      <c r="H207" s="161">
        <f>216-150</f>
        <v>66</v>
      </c>
      <c r="I207" s="207">
        <v>100</v>
      </c>
      <c r="J207" s="242">
        <f t="shared" si="32"/>
        <v>6600</v>
      </c>
      <c r="K207" s="153"/>
      <c r="V207" s="25">
        <f t="shared" si="33"/>
        <v>1</v>
      </c>
      <c r="W207" s="25">
        <f t="shared" si="34"/>
        <v>0</v>
      </c>
    </row>
    <row r="208" spans="1:23" ht="15" thickBot="1" x14ac:dyDescent="0.35">
      <c r="A208" s="147"/>
      <c r="B208" s="208">
        <f t="shared" si="35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2"/>
        <v>0</v>
      </c>
      <c r="K208" s="153"/>
      <c r="V208" s="25">
        <f t="shared" si="33"/>
        <v>0</v>
      </c>
      <c r="W208" s="25">
        <f t="shared" si="34"/>
        <v>0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203300</v>
      </c>
      <c r="K209" s="153"/>
      <c r="V209" s="25">
        <f>SUM(V186:V208)</f>
        <v>19</v>
      </c>
      <c r="W209" s="25">
        <f>SUM(W186:W208)</f>
        <v>3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3715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44622</v>
      </c>
      <c r="D217" s="185" t="s">
        <v>9</v>
      </c>
      <c r="E217" s="185" t="s">
        <v>3724</v>
      </c>
      <c r="F217" s="231">
        <v>180</v>
      </c>
      <c r="G217" s="231">
        <v>203</v>
      </c>
      <c r="H217" s="231">
        <f>203-180</f>
        <v>23</v>
      </c>
      <c r="I217" s="219">
        <v>200</v>
      </c>
      <c r="J217" s="246">
        <f t="shared" ref="J217:J240" si="36">I217*H217</f>
        <v>4600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44623</v>
      </c>
      <c r="D218" s="185" t="s">
        <v>9</v>
      </c>
      <c r="E218" s="185" t="s">
        <v>3725</v>
      </c>
      <c r="F218" s="231">
        <v>22</v>
      </c>
      <c r="G218" s="231">
        <v>24.3</v>
      </c>
      <c r="H218" s="231">
        <v>2.2999999999999998</v>
      </c>
      <c r="I218" s="219">
        <v>1600</v>
      </c>
      <c r="J218" s="242">
        <f>I218*H218</f>
        <v>3679.9999999999995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 t="shared" ref="B219:B240" si="37">B218+1</f>
        <v>3</v>
      </c>
      <c r="C219" s="206">
        <v>44624</v>
      </c>
      <c r="D219" s="161" t="s">
        <v>9</v>
      </c>
      <c r="E219" s="161" t="s">
        <v>3726</v>
      </c>
      <c r="F219" s="222">
        <v>31</v>
      </c>
      <c r="G219" s="222">
        <v>35.25</v>
      </c>
      <c r="H219" s="222">
        <v>4.25</v>
      </c>
      <c r="I219" s="207">
        <v>1300</v>
      </c>
      <c r="J219" s="242">
        <f t="shared" si="36"/>
        <v>5525</v>
      </c>
      <c r="K219" s="153"/>
      <c r="V219" s="25">
        <f t="shared" ref="V219:V240" si="38">IF($J219&gt;0,1,0)</f>
        <v>1</v>
      </c>
      <c r="W219" s="25">
        <f t="shared" ref="W219:W240" si="39">IF($J219&lt;0,1,0)</f>
        <v>0</v>
      </c>
    </row>
    <row r="220" spans="1:23" x14ac:dyDescent="0.3">
      <c r="A220" s="147"/>
      <c r="B220" s="205">
        <f t="shared" si="37"/>
        <v>4</v>
      </c>
      <c r="C220" s="206">
        <v>44627</v>
      </c>
      <c r="D220" s="161" t="s">
        <v>9</v>
      </c>
      <c r="E220" s="161" t="s">
        <v>3729</v>
      </c>
      <c r="F220" s="222">
        <v>55</v>
      </c>
      <c r="G220" s="222">
        <v>60</v>
      </c>
      <c r="H220" s="222">
        <v>6</v>
      </c>
      <c r="I220" s="207">
        <v>300</v>
      </c>
      <c r="J220" s="242">
        <f t="shared" si="36"/>
        <v>1800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5</v>
      </c>
      <c r="C221" s="206">
        <v>44628</v>
      </c>
      <c r="D221" s="161" t="s">
        <v>9</v>
      </c>
      <c r="E221" s="161" t="s">
        <v>3730</v>
      </c>
      <c r="F221" s="222">
        <v>31</v>
      </c>
      <c r="G221" s="222">
        <v>37.75</v>
      </c>
      <c r="H221" s="222">
        <v>6.75</v>
      </c>
      <c r="I221" s="207">
        <v>1350</v>
      </c>
      <c r="J221" s="242">
        <f t="shared" si="36"/>
        <v>9112.5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6</v>
      </c>
      <c r="C222" s="206">
        <v>44629</v>
      </c>
      <c r="D222" s="161" t="s">
        <v>9</v>
      </c>
      <c r="E222" s="161" t="s">
        <v>3733</v>
      </c>
      <c r="F222" s="222">
        <v>46</v>
      </c>
      <c r="G222" s="222">
        <v>50</v>
      </c>
      <c r="H222" s="222">
        <f>50-46</f>
        <v>4</v>
      </c>
      <c r="I222" s="207">
        <v>300</v>
      </c>
      <c r="J222" s="242">
        <f t="shared" si="36"/>
        <v>1200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7</v>
      </c>
      <c r="C223" s="206">
        <v>44630</v>
      </c>
      <c r="D223" s="161" t="s">
        <v>9</v>
      </c>
      <c r="E223" s="161" t="s">
        <v>3734</v>
      </c>
      <c r="F223" s="222">
        <v>1727</v>
      </c>
      <c r="G223" s="222">
        <v>1757</v>
      </c>
      <c r="H223" s="222">
        <f>1757-1727</f>
        <v>30</v>
      </c>
      <c r="I223" s="207">
        <v>500</v>
      </c>
      <c r="J223" s="242">
        <f t="shared" si="36"/>
        <v>15000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8</v>
      </c>
      <c r="C224" s="206">
        <v>44631</v>
      </c>
      <c r="D224" s="161" t="s">
        <v>9</v>
      </c>
      <c r="E224" s="161" t="s">
        <v>3712</v>
      </c>
      <c r="F224" s="222">
        <v>220</v>
      </c>
      <c r="G224" s="222">
        <v>190</v>
      </c>
      <c r="H224" s="222">
        <f>220-190</f>
        <v>30</v>
      </c>
      <c r="I224" s="207">
        <v>125</v>
      </c>
      <c r="J224" s="242">
        <f t="shared" si="36"/>
        <v>3750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9</v>
      </c>
      <c r="C225" s="206">
        <v>44634</v>
      </c>
      <c r="D225" s="161" t="s">
        <v>9</v>
      </c>
      <c r="E225" s="161" t="s">
        <v>3736</v>
      </c>
      <c r="F225" s="222">
        <v>60</v>
      </c>
      <c r="G225" s="222">
        <v>52.5</v>
      </c>
      <c r="H225" s="255">
        <f>60-52.5</f>
        <v>7.5</v>
      </c>
      <c r="I225" s="207">
        <v>350</v>
      </c>
      <c r="J225" s="242">
        <f t="shared" si="36"/>
        <v>2625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10</v>
      </c>
      <c r="C226" s="206">
        <v>44635</v>
      </c>
      <c r="D226" s="161" t="s">
        <v>9</v>
      </c>
      <c r="E226" s="161" t="s">
        <v>3737</v>
      </c>
      <c r="F226" s="222">
        <v>24</v>
      </c>
      <c r="G226" s="222">
        <v>30</v>
      </c>
      <c r="H226" s="255">
        <f>30-24</f>
        <v>6</v>
      </c>
      <c r="I226" s="207">
        <v>1200</v>
      </c>
      <c r="J226" s="242">
        <f t="shared" si="36"/>
        <v>7200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11</v>
      </c>
      <c r="C227" s="206">
        <v>44636</v>
      </c>
      <c r="D227" s="161" t="s">
        <v>9</v>
      </c>
      <c r="E227" s="161" t="s">
        <v>3739</v>
      </c>
      <c r="F227" s="222">
        <v>27</v>
      </c>
      <c r="G227" s="222">
        <v>22</v>
      </c>
      <c r="H227" s="255">
        <v>-5</v>
      </c>
      <c r="I227" s="207">
        <v>1250</v>
      </c>
      <c r="J227" s="242">
        <f t="shared" si="36"/>
        <v>-6250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12</v>
      </c>
      <c r="C228" s="206">
        <v>44637</v>
      </c>
      <c r="D228" s="161" t="s">
        <v>9</v>
      </c>
      <c r="E228" s="161" t="s">
        <v>3740</v>
      </c>
      <c r="F228" s="222">
        <v>165</v>
      </c>
      <c r="G228" s="222">
        <v>195</v>
      </c>
      <c r="H228" s="255">
        <v>30</v>
      </c>
      <c r="I228" s="207">
        <v>125</v>
      </c>
      <c r="J228" s="242">
        <f t="shared" si="36"/>
        <v>3750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13</v>
      </c>
      <c r="C229" s="206">
        <v>44641</v>
      </c>
      <c r="D229" s="161" t="s">
        <v>9</v>
      </c>
      <c r="E229" s="161" t="s">
        <v>3742</v>
      </c>
      <c r="F229" s="222">
        <v>55</v>
      </c>
      <c r="G229" s="222">
        <v>60.5</v>
      </c>
      <c r="H229" s="255">
        <v>5.5</v>
      </c>
      <c r="I229" s="207">
        <v>250</v>
      </c>
      <c r="J229" s="242">
        <f t="shared" si="36"/>
        <v>1375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14</v>
      </c>
      <c r="C230" s="206">
        <v>44642</v>
      </c>
      <c r="D230" s="161" t="s">
        <v>9</v>
      </c>
      <c r="E230" s="161" t="s">
        <v>3743</v>
      </c>
      <c r="F230" s="222">
        <v>43</v>
      </c>
      <c r="G230" s="222">
        <v>63</v>
      </c>
      <c r="H230" s="255">
        <v>20</v>
      </c>
      <c r="I230" s="207">
        <v>250</v>
      </c>
      <c r="J230" s="242">
        <f>I230*H230</f>
        <v>5000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15</v>
      </c>
      <c r="C231" s="206">
        <v>44643</v>
      </c>
      <c r="D231" s="161" t="s">
        <v>9</v>
      </c>
      <c r="E231" s="161" t="s">
        <v>2710</v>
      </c>
      <c r="F231" s="222">
        <v>13.5</v>
      </c>
      <c r="G231" s="222">
        <v>16.5</v>
      </c>
      <c r="H231" s="255">
        <v>3</v>
      </c>
      <c r="I231" s="207">
        <v>1200</v>
      </c>
      <c r="J231" s="242">
        <f t="shared" si="36"/>
        <v>3600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16</v>
      </c>
      <c r="C232" s="206">
        <v>44644</v>
      </c>
      <c r="D232" s="161" t="s">
        <v>9</v>
      </c>
      <c r="E232" s="161" t="s">
        <v>3641</v>
      </c>
      <c r="F232" s="222">
        <v>75</v>
      </c>
      <c r="G232" s="222">
        <v>84</v>
      </c>
      <c r="H232" s="222">
        <f>84-75</f>
        <v>9</v>
      </c>
      <c r="I232" s="207">
        <v>150</v>
      </c>
      <c r="J232" s="242">
        <f t="shared" si="36"/>
        <v>1350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17</v>
      </c>
      <c r="C233" s="206">
        <v>44645</v>
      </c>
      <c r="D233" s="161" t="s">
        <v>9</v>
      </c>
      <c r="E233" s="161" t="s">
        <v>3745</v>
      </c>
      <c r="F233" s="222">
        <v>34</v>
      </c>
      <c r="G233" s="222">
        <v>28</v>
      </c>
      <c r="H233" s="222">
        <f>34-28</f>
        <v>6</v>
      </c>
      <c r="I233" s="207">
        <v>425</v>
      </c>
      <c r="J233" s="242">
        <f t="shared" si="36"/>
        <v>2550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18</v>
      </c>
      <c r="C234" s="206">
        <v>44648</v>
      </c>
      <c r="D234" s="161" t="s">
        <v>9</v>
      </c>
      <c r="E234" s="161" t="s">
        <v>3748</v>
      </c>
      <c r="F234" s="222">
        <v>32</v>
      </c>
      <c r="G234" s="222">
        <v>44</v>
      </c>
      <c r="H234" s="222">
        <f>44-32</f>
        <v>12</v>
      </c>
      <c r="I234" s="207">
        <v>250</v>
      </c>
      <c r="J234" s="242">
        <f t="shared" si="36"/>
        <v>3000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19</v>
      </c>
      <c r="C235" s="206">
        <v>44649</v>
      </c>
      <c r="D235" s="161" t="s">
        <v>9</v>
      </c>
      <c r="E235" s="161" t="s">
        <v>3749</v>
      </c>
      <c r="F235" s="222">
        <v>22</v>
      </c>
      <c r="G235" s="222">
        <v>28</v>
      </c>
      <c r="H235" s="222">
        <f>28-22</f>
        <v>6</v>
      </c>
      <c r="I235" s="207">
        <v>250</v>
      </c>
      <c r="J235" s="242">
        <f t="shared" si="36"/>
        <v>1500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20</v>
      </c>
      <c r="C236" s="206">
        <v>44650</v>
      </c>
      <c r="D236" s="161" t="s">
        <v>9</v>
      </c>
      <c r="E236" s="161" t="s">
        <v>3750</v>
      </c>
      <c r="F236" s="222">
        <v>5</v>
      </c>
      <c r="G236" s="222">
        <v>6.25</v>
      </c>
      <c r="H236" s="222">
        <v>1.25</v>
      </c>
      <c r="I236" s="207">
        <v>950</v>
      </c>
      <c r="J236" s="242">
        <f t="shared" si="36"/>
        <v>1187.5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21</v>
      </c>
      <c r="C237" s="206">
        <v>44651</v>
      </c>
      <c r="D237" s="161" t="s">
        <v>9</v>
      </c>
      <c r="E237" s="161" t="s">
        <v>3751</v>
      </c>
      <c r="F237" s="222">
        <v>5</v>
      </c>
      <c r="G237" s="222">
        <v>12.25</v>
      </c>
      <c r="H237" s="222">
        <f>12.25-5</f>
        <v>7.25</v>
      </c>
      <c r="I237" s="207">
        <v>250</v>
      </c>
      <c r="J237" s="242">
        <f t="shared" si="36"/>
        <v>1812.5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x14ac:dyDescent="0.3">
      <c r="A239" s="147"/>
      <c r="B239" s="205">
        <f t="shared" si="37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15" thickBot="1" x14ac:dyDescent="0.35">
      <c r="A240" s="147"/>
      <c r="B240" s="208">
        <f t="shared" si="37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6"/>
        <v>0</v>
      </c>
      <c r="K240" s="153"/>
      <c r="V240" s="25">
        <f t="shared" si="38"/>
        <v>0</v>
      </c>
      <c r="W240" s="25">
        <f t="shared" si="39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73367.5</v>
      </c>
      <c r="K241" s="153"/>
      <c r="V241" s="25">
        <f>SUM(V217:V240)</f>
        <v>20</v>
      </c>
      <c r="W241" s="25">
        <f>SUM(W217:W240)</f>
        <v>1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B00-000000000000}"/>
    <hyperlink ref="B115" r:id="rId2" xr:uid="{00000000-0004-0000-6B00-000001000000}"/>
    <hyperlink ref="B147" r:id="rId3" xr:uid="{00000000-0004-0000-6B00-000002000000}"/>
    <hyperlink ref="B178" r:id="rId4" xr:uid="{00000000-0004-0000-6B00-000003000000}"/>
    <hyperlink ref="B209" r:id="rId5" xr:uid="{00000000-0004-0000-6B00-000004000000}"/>
    <hyperlink ref="B241" r:id="rId6" xr:uid="{00000000-0004-0000-6B00-000005000000}"/>
    <hyperlink ref="M1" location="'MASTER '!A1" display="Back" xr:uid="{00000000-0004-0000-6B00-000006000000}"/>
    <hyperlink ref="M6:M7" location="'MARCH 2022'!A77" display="STOCK FUTURE" xr:uid="{00000000-0004-0000-6B00-000007000000}"/>
    <hyperlink ref="M12:M13" location="'MARCH 2022'!A170" display="BANK NIFTY" xr:uid="{00000000-0004-0000-6B00-000008000000}"/>
    <hyperlink ref="M10:M11" location="'MARCH 2022'!A139" display="NF. OPTION" xr:uid="{00000000-0004-0000-6B00-000009000000}"/>
    <hyperlink ref="M8:M9" location="'MARCH 2022'!A108" display="NIFTY FUTURE" xr:uid="{00000000-0004-0000-6B00-00000A000000}"/>
    <hyperlink ref="M4:M5" location="'MARCH 2022'!A1" display="CASH" xr:uid="{00000000-0004-0000-6B00-00000B000000}"/>
    <hyperlink ref="M14:M15" location="'MARCH 2022'!A201" display="B.NIFTY OPTION" xr:uid="{00000000-0004-0000-6B00-00000C000000}"/>
    <hyperlink ref="M16:M17" location="'MARCH 2022'!A216" display="STOCK OPTION" xr:uid="{00000000-0004-0000-6B00-00000D000000}"/>
    <hyperlink ref="B52" r:id="rId7" xr:uid="{00000000-0004-0000-6B00-00000E000000}"/>
  </hyperlinks>
  <pageMargins left="0" right="0" top="0" bottom="0" header="0" footer="0"/>
  <pageSetup scale="95" orientation="portrait" r:id="rId8"/>
  <drawing r:id="rId9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W242"/>
  <sheetViews>
    <sheetView topLeftCell="A106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3752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31</v>
      </c>
      <c r="P4" s="386">
        <f>W52</f>
        <v>6</v>
      </c>
      <c r="Q4" s="387">
        <f>N4-O4-P4</f>
        <v>1</v>
      </c>
      <c r="R4" s="380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44652</v>
      </c>
      <c r="D6" s="158" t="s">
        <v>9</v>
      </c>
      <c r="E6" s="158" t="s">
        <v>129</v>
      </c>
      <c r="F6" s="230">
        <v>2388</v>
      </c>
      <c r="G6" s="222">
        <v>2428</v>
      </c>
      <c r="H6" s="222">
        <f>2428-2388</f>
        <v>40</v>
      </c>
      <c r="I6" s="207">
        <f t="shared" ref="I6:I7" si="0">300000/F6</f>
        <v>125.62814070351759</v>
      </c>
      <c r="J6" s="161">
        <f t="shared" ref="J6:J7" si="1">H6*I6</f>
        <v>5025.1256281407032</v>
      </c>
      <c r="K6" s="153"/>
      <c r="M6" s="394" t="s">
        <v>450</v>
      </c>
      <c r="N6" s="344">
        <f>COUNT(C60:C83)</f>
        <v>20</v>
      </c>
      <c r="O6" s="346">
        <f>V84</f>
        <v>17</v>
      </c>
      <c r="P6" s="346">
        <f>W84</f>
        <v>3</v>
      </c>
      <c r="Q6" s="374">
        <f>N6-O6-P6</f>
        <v>0</v>
      </c>
      <c r="R6" s="376">
        <f t="shared" ref="R6" si="2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44652</v>
      </c>
      <c r="D7" s="161" t="s">
        <v>8</v>
      </c>
      <c r="E7" s="161" t="s">
        <v>31</v>
      </c>
      <c r="F7" s="222">
        <v>2630</v>
      </c>
      <c r="G7" s="231">
        <v>2650</v>
      </c>
      <c r="H7" s="255">
        <v>-20</v>
      </c>
      <c r="I7" s="207">
        <f t="shared" si="0"/>
        <v>114.06844106463879</v>
      </c>
      <c r="J7" s="161">
        <f t="shared" si="1"/>
        <v>-2281.3688212927759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44655</v>
      </c>
      <c r="D8" s="161" t="s">
        <v>9</v>
      </c>
      <c r="E8" s="161" t="s">
        <v>2093</v>
      </c>
      <c r="F8" s="222">
        <v>785</v>
      </c>
      <c r="G8" s="222">
        <v>792</v>
      </c>
      <c r="H8" s="222">
        <f>792-785</f>
        <v>7</v>
      </c>
      <c r="I8" s="207">
        <f t="shared" ref="I8:I43" si="6">300000/F8</f>
        <v>382.16560509554142</v>
      </c>
      <c r="J8" s="161">
        <f t="shared" ref="J8:J43" si="7">H8*I8</f>
        <v>2675.1592356687897</v>
      </c>
      <c r="K8" s="153"/>
      <c r="M8" s="394" t="s">
        <v>451</v>
      </c>
      <c r="N8" s="344">
        <f>COUNT(C92:C114)</f>
        <v>19</v>
      </c>
      <c r="O8" s="346">
        <f>V115</f>
        <v>17</v>
      </c>
      <c r="P8" s="346">
        <f>W115</f>
        <v>2</v>
      </c>
      <c r="Q8" s="374">
        <f>N8-O8-P8</f>
        <v>0</v>
      </c>
      <c r="R8" s="376">
        <f t="shared" ref="R8" si="8">O8/N8</f>
        <v>0.89473684210526316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44655</v>
      </c>
      <c r="D9" s="161" t="s">
        <v>8</v>
      </c>
      <c r="E9" s="161" t="s">
        <v>31</v>
      </c>
      <c r="F9" s="222">
        <v>2645</v>
      </c>
      <c r="G9" s="231">
        <v>2665</v>
      </c>
      <c r="H9" s="255">
        <v>-20</v>
      </c>
      <c r="I9" s="207">
        <f t="shared" si="6"/>
        <v>113.42155009451795</v>
      </c>
      <c r="J9" s="161">
        <f t="shared" si="7"/>
        <v>-2268.4310018903589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44656</v>
      </c>
      <c r="D10" s="161" t="s">
        <v>9</v>
      </c>
      <c r="E10" s="161" t="s">
        <v>29</v>
      </c>
      <c r="F10" s="222">
        <v>1195</v>
      </c>
      <c r="G10" s="222">
        <v>1203</v>
      </c>
      <c r="H10" s="222">
        <f>1203-1195</f>
        <v>8</v>
      </c>
      <c r="I10" s="207">
        <f t="shared" si="6"/>
        <v>251.04602510460251</v>
      </c>
      <c r="J10" s="161">
        <f t="shared" si="7"/>
        <v>2008.3682008368201</v>
      </c>
      <c r="K10" s="153"/>
      <c r="M10" s="394" t="s">
        <v>1176</v>
      </c>
      <c r="N10" s="344">
        <f>COUNT(C123:C146)</f>
        <v>19</v>
      </c>
      <c r="O10" s="346">
        <f>V147</f>
        <v>18</v>
      </c>
      <c r="P10" s="346">
        <f>W147</f>
        <v>1</v>
      </c>
      <c r="Q10" s="374">
        <f>N10-O10-P10</f>
        <v>0</v>
      </c>
      <c r="R10" s="376">
        <f t="shared" ref="R10:R16" si="9">O10/N10</f>
        <v>0.94736842105263153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44656</v>
      </c>
      <c r="D11" s="161" t="s">
        <v>8</v>
      </c>
      <c r="E11" s="161" t="s">
        <v>365</v>
      </c>
      <c r="F11" s="222">
        <v>732</v>
      </c>
      <c r="G11" s="222">
        <v>740</v>
      </c>
      <c r="H11" s="255">
        <v>-8</v>
      </c>
      <c r="I11" s="207">
        <f t="shared" si="6"/>
        <v>409.8360655737705</v>
      </c>
      <c r="J11" s="161">
        <f t="shared" si="7"/>
        <v>-3278.688524590164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44657</v>
      </c>
      <c r="D12" s="161" t="s">
        <v>9</v>
      </c>
      <c r="E12" s="161" t="s">
        <v>3546</v>
      </c>
      <c r="F12" s="222">
        <v>313</v>
      </c>
      <c r="G12" s="222">
        <v>319</v>
      </c>
      <c r="H12" s="222">
        <v>6</v>
      </c>
      <c r="I12" s="207">
        <f t="shared" si="6"/>
        <v>958.46645367412145</v>
      </c>
      <c r="J12" s="161">
        <f t="shared" si="7"/>
        <v>5750.7987220447285</v>
      </c>
      <c r="K12" s="153"/>
      <c r="M12" s="394" t="s">
        <v>41</v>
      </c>
      <c r="N12" s="344">
        <f>COUNT(C155:C177)</f>
        <v>19</v>
      </c>
      <c r="O12" s="346">
        <f>V178</f>
        <v>18</v>
      </c>
      <c r="P12" s="346">
        <f>W178</f>
        <v>1</v>
      </c>
      <c r="Q12" s="374">
        <f t="shared" ref="Q12" si="10">N12-O12-P12</f>
        <v>0</v>
      </c>
      <c r="R12" s="376">
        <f t="shared" si="9"/>
        <v>0.94736842105263153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44657</v>
      </c>
      <c r="D13" s="161" t="s">
        <v>8</v>
      </c>
      <c r="E13" s="161" t="s">
        <v>126</v>
      </c>
      <c r="F13" s="222">
        <v>3760</v>
      </c>
      <c r="G13" s="222">
        <v>3731.2</v>
      </c>
      <c r="H13" s="255">
        <f>3760-3731.2</f>
        <v>28.800000000000182</v>
      </c>
      <c r="I13" s="207">
        <f t="shared" si="6"/>
        <v>79.787234042553195</v>
      </c>
      <c r="J13" s="161">
        <f t="shared" si="7"/>
        <v>2297.8723404255466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44658</v>
      </c>
      <c r="D14" s="161" t="s">
        <v>9</v>
      </c>
      <c r="E14" s="161" t="s">
        <v>3444</v>
      </c>
      <c r="F14" s="222">
        <v>218</v>
      </c>
      <c r="G14" s="222">
        <v>220</v>
      </c>
      <c r="H14" s="222">
        <v>2</v>
      </c>
      <c r="I14" s="207">
        <f t="shared" si="6"/>
        <v>1376.1467889908256</v>
      </c>
      <c r="J14" s="161">
        <f t="shared" si="7"/>
        <v>2752.2935779816512</v>
      </c>
      <c r="K14" s="153"/>
      <c r="M14" s="394" t="s">
        <v>1175</v>
      </c>
      <c r="N14" s="344">
        <f>COUNT(C186:C208)</f>
        <v>19</v>
      </c>
      <c r="O14" s="346">
        <f>V209</f>
        <v>18</v>
      </c>
      <c r="P14" s="346">
        <f>W209</f>
        <v>1</v>
      </c>
      <c r="Q14" s="374">
        <f t="shared" ref="Q14" si="11">N14-O14-P14</f>
        <v>0</v>
      </c>
      <c r="R14" s="376">
        <f t="shared" si="9"/>
        <v>0.94736842105263153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44658</v>
      </c>
      <c r="D15" s="161" t="s">
        <v>8</v>
      </c>
      <c r="E15" s="161" t="s">
        <v>157</v>
      </c>
      <c r="F15" s="222">
        <v>722</v>
      </c>
      <c r="G15" s="222">
        <v>730</v>
      </c>
      <c r="H15" s="222">
        <v>-8</v>
      </c>
      <c r="I15" s="207">
        <f t="shared" si="6"/>
        <v>415.51246537396122</v>
      </c>
      <c r="J15" s="161">
        <f t="shared" si="7"/>
        <v>-3324.0997229916898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44659</v>
      </c>
      <c r="D16" s="161" t="s">
        <v>9</v>
      </c>
      <c r="E16" s="161" t="s">
        <v>371</v>
      </c>
      <c r="F16" s="222">
        <v>173.5</v>
      </c>
      <c r="G16" s="222">
        <v>175.5</v>
      </c>
      <c r="H16" s="222">
        <v>2</v>
      </c>
      <c r="I16" s="207">
        <f t="shared" si="6"/>
        <v>1729.106628242075</v>
      </c>
      <c r="J16" s="161">
        <f t="shared" si="7"/>
        <v>3458.21325648415</v>
      </c>
      <c r="K16" s="153"/>
      <c r="L16" s="25" t="s">
        <v>2008</v>
      </c>
      <c r="M16" s="394" t="s">
        <v>1090</v>
      </c>
      <c r="N16" s="344">
        <f>COUNT(C217:C240)</f>
        <v>19</v>
      </c>
      <c r="O16" s="346">
        <f>V241</f>
        <v>13</v>
      </c>
      <c r="P16" s="346">
        <f>W241</f>
        <v>5</v>
      </c>
      <c r="Q16" s="374">
        <v>0</v>
      </c>
      <c r="R16" s="376">
        <f t="shared" si="9"/>
        <v>0.68421052631578949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44659</v>
      </c>
      <c r="D17" s="161" t="s">
        <v>9</v>
      </c>
      <c r="E17" s="161" t="s">
        <v>3474</v>
      </c>
      <c r="F17" s="222">
        <v>835</v>
      </c>
      <c r="G17" s="222">
        <v>845</v>
      </c>
      <c r="H17" s="222">
        <v>10</v>
      </c>
      <c r="I17" s="207">
        <f t="shared" si="6"/>
        <v>359.28143712574848</v>
      </c>
      <c r="J17" s="161">
        <f t="shared" si="7"/>
        <v>3592.8143712574847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44662</v>
      </c>
      <c r="D18" s="161" t="s">
        <v>9</v>
      </c>
      <c r="E18" s="161" t="s">
        <v>2470</v>
      </c>
      <c r="F18" s="222">
        <v>753</v>
      </c>
      <c r="G18" s="222">
        <v>745</v>
      </c>
      <c r="H18" s="222">
        <v>-8</v>
      </c>
      <c r="I18" s="207">
        <f t="shared" si="6"/>
        <v>398.40637450199205</v>
      </c>
      <c r="J18" s="161">
        <f t="shared" si="7"/>
        <v>-3187.2509960159364</v>
      </c>
      <c r="K18" s="153"/>
      <c r="M18" s="392" t="s">
        <v>946</v>
      </c>
      <c r="N18" s="378">
        <f>SUM(N4:N17)</f>
        <v>153</v>
      </c>
      <c r="O18" s="378">
        <f t="shared" ref="O18:Q18" si="12">SUM(O4:O17)</f>
        <v>132</v>
      </c>
      <c r="P18" s="378">
        <f t="shared" si="12"/>
        <v>19</v>
      </c>
      <c r="Q18" s="378">
        <f t="shared" si="12"/>
        <v>1</v>
      </c>
      <c r="R18" s="380">
        <f t="shared" ref="R18" si="13">O18/N18</f>
        <v>0.86274509803921573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44662</v>
      </c>
      <c r="D19" s="161" t="s">
        <v>9</v>
      </c>
      <c r="E19" s="161" t="s">
        <v>111</v>
      </c>
      <c r="F19" s="222">
        <v>360</v>
      </c>
      <c r="G19" s="222">
        <v>361.8</v>
      </c>
      <c r="H19" s="222">
        <v>1.8</v>
      </c>
      <c r="I19" s="207">
        <f t="shared" si="6"/>
        <v>833.33333333333337</v>
      </c>
      <c r="J19" s="161">
        <f t="shared" si="7"/>
        <v>1500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44663</v>
      </c>
      <c r="D20" s="161" t="s">
        <v>9</v>
      </c>
      <c r="E20" s="161" t="s">
        <v>3589</v>
      </c>
      <c r="F20" s="222">
        <v>490</v>
      </c>
      <c r="G20" s="222">
        <v>493.5</v>
      </c>
      <c r="H20" s="222">
        <v>3.5</v>
      </c>
      <c r="I20" s="207">
        <f t="shared" si="6"/>
        <v>612.24489795918362</v>
      </c>
      <c r="J20" s="161">
        <f t="shared" si="7"/>
        <v>2142.8571428571427</v>
      </c>
      <c r="K20" s="153"/>
      <c r="M20" s="316" t="s">
        <v>2253</v>
      </c>
      <c r="N20" s="317"/>
      <c r="O20" s="318"/>
      <c r="P20" s="325">
        <f>R18</f>
        <v>0.86274509803921573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44663</v>
      </c>
      <c r="D21" s="161" t="s">
        <v>8</v>
      </c>
      <c r="E21" s="161" t="s">
        <v>31</v>
      </c>
      <c r="F21" s="222">
        <v>2575</v>
      </c>
      <c r="G21" s="222">
        <v>2560</v>
      </c>
      <c r="H21" s="222">
        <v>15</v>
      </c>
      <c r="I21" s="207">
        <f t="shared" si="6"/>
        <v>116.50485436893204</v>
      </c>
      <c r="J21" s="161">
        <f t="shared" si="7"/>
        <v>1747.5728155339807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44664</v>
      </c>
      <c r="D22" s="161" t="s">
        <v>9</v>
      </c>
      <c r="E22" s="161" t="s">
        <v>3473</v>
      </c>
      <c r="F22" s="222">
        <v>253</v>
      </c>
      <c r="G22" s="222">
        <v>260</v>
      </c>
      <c r="H22" s="222">
        <f>260-253</f>
        <v>7</v>
      </c>
      <c r="I22" s="207">
        <f t="shared" si="6"/>
        <v>1185.7707509881423</v>
      </c>
      <c r="J22" s="161">
        <f t="shared" si="7"/>
        <v>8300.395256916996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44664</v>
      </c>
      <c r="D23" s="161" t="s">
        <v>9</v>
      </c>
      <c r="E23" s="161" t="s">
        <v>19</v>
      </c>
      <c r="F23" s="222">
        <v>516</v>
      </c>
      <c r="G23" s="222">
        <v>520</v>
      </c>
      <c r="H23" s="222">
        <v>4</v>
      </c>
      <c r="I23" s="207">
        <f t="shared" si="6"/>
        <v>581.39534883720933</v>
      </c>
      <c r="J23" s="161">
        <f t="shared" si="7"/>
        <v>2325.5813953488373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44669</v>
      </c>
      <c r="D24" s="161" t="s">
        <v>9</v>
      </c>
      <c r="E24" s="161" t="s">
        <v>133</v>
      </c>
      <c r="F24" s="222">
        <v>776</v>
      </c>
      <c r="G24" s="222">
        <v>782.5</v>
      </c>
      <c r="H24" s="222">
        <f>782.5-776</f>
        <v>6.5</v>
      </c>
      <c r="I24" s="207">
        <f t="shared" si="6"/>
        <v>386.59793814432987</v>
      </c>
      <c r="J24" s="161">
        <f t="shared" si="7"/>
        <v>2512.8865979381444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44669</v>
      </c>
      <c r="D25" s="161" t="s">
        <v>9</v>
      </c>
      <c r="E25" s="161" t="s">
        <v>3188</v>
      </c>
      <c r="F25" s="222">
        <v>1370</v>
      </c>
      <c r="G25" s="222">
        <v>1360</v>
      </c>
      <c r="H25" s="222">
        <v>-10</v>
      </c>
      <c r="I25" s="207">
        <f t="shared" si="6"/>
        <v>218.97810218978103</v>
      </c>
      <c r="J25" s="161">
        <f t="shared" si="7"/>
        <v>-2189.7810218978102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44670</v>
      </c>
      <c r="D26" s="161" t="s">
        <v>9</v>
      </c>
      <c r="E26" s="161" t="s">
        <v>3767</v>
      </c>
      <c r="F26" s="222">
        <v>127.5</v>
      </c>
      <c r="G26" s="222">
        <v>129.5</v>
      </c>
      <c r="H26" s="222">
        <v>2</v>
      </c>
      <c r="I26" s="207">
        <f t="shared" si="6"/>
        <v>2352.9411764705883</v>
      </c>
      <c r="J26" s="161">
        <f t="shared" si="7"/>
        <v>4705.8823529411766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44670</v>
      </c>
      <c r="D27" s="161" t="s">
        <v>9</v>
      </c>
      <c r="E27" s="161" t="s">
        <v>3706</v>
      </c>
      <c r="F27" s="222">
        <v>898</v>
      </c>
      <c r="G27" s="222">
        <v>903</v>
      </c>
      <c r="H27" s="222">
        <f>903-898</f>
        <v>5</v>
      </c>
      <c r="I27" s="207">
        <f t="shared" si="6"/>
        <v>334.07572383073494</v>
      </c>
      <c r="J27" s="161">
        <f t="shared" si="7"/>
        <v>1670.3786191536747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44671</v>
      </c>
      <c r="D28" s="161" t="s">
        <v>9</v>
      </c>
      <c r="E28" s="161" t="s">
        <v>3063</v>
      </c>
      <c r="F28" s="222">
        <v>1132</v>
      </c>
      <c r="G28" s="222">
        <v>1135.7</v>
      </c>
      <c r="H28" s="222">
        <f>1135.7-1132</f>
        <v>3.7000000000000455</v>
      </c>
      <c r="I28" s="207">
        <f t="shared" si="6"/>
        <v>265.01766784452298</v>
      </c>
      <c r="J28" s="161">
        <f t="shared" si="7"/>
        <v>980.56537102474704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44671</v>
      </c>
      <c r="D29" s="161" t="s">
        <v>9</v>
      </c>
      <c r="E29" s="161" t="s">
        <v>3457</v>
      </c>
      <c r="F29" s="222">
        <v>624</v>
      </c>
      <c r="G29" s="222">
        <v>630</v>
      </c>
      <c r="H29" s="222">
        <f>630-624</f>
        <v>6</v>
      </c>
      <c r="I29" s="207">
        <f t="shared" si="6"/>
        <v>480.76923076923077</v>
      </c>
      <c r="J29" s="161">
        <f t="shared" si="7"/>
        <v>2884.6153846153848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44672</v>
      </c>
      <c r="D30" s="161" t="s">
        <v>9</v>
      </c>
      <c r="E30" s="161" t="s">
        <v>19</v>
      </c>
      <c r="F30" s="222">
        <v>516</v>
      </c>
      <c r="G30" s="222">
        <v>518</v>
      </c>
      <c r="H30" s="222">
        <v>2</v>
      </c>
      <c r="I30" s="207">
        <f t="shared" si="6"/>
        <v>581.39534883720933</v>
      </c>
      <c r="J30" s="161">
        <f t="shared" si="7"/>
        <v>1162.7906976744187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44672</v>
      </c>
      <c r="D31" s="161" t="s">
        <v>9</v>
      </c>
      <c r="E31" s="161" t="s">
        <v>834</v>
      </c>
      <c r="F31" s="222">
        <v>425</v>
      </c>
      <c r="G31" s="222">
        <v>426.7</v>
      </c>
      <c r="H31" s="222">
        <v>1.7</v>
      </c>
      <c r="I31" s="207">
        <f t="shared" si="6"/>
        <v>705.88235294117646</v>
      </c>
      <c r="J31" s="161">
        <f t="shared" si="7"/>
        <v>1200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44673</v>
      </c>
      <c r="D32" s="161" t="s">
        <v>9</v>
      </c>
      <c r="E32" s="161" t="s">
        <v>31</v>
      </c>
      <c r="F32" s="222">
        <v>2760</v>
      </c>
      <c r="G32" s="222">
        <v>2800</v>
      </c>
      <c r="H32" s="222">
        <f>2800-2760</f>
        <v>40</v>
      </c>
      <c r="I32" s="207">
        <f t="shared" si="6"/>
        <v>108.69565217391305</v>
      </c>
      <c r="J32" s="161">
        <f t="shared" si="7"/>
        <v>4347.826086956522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44673</v>
      </c>
      <c r="D33" s="161" t="s">
        <v>9</v>
      </c>
      <c r="E33" s="161" t="s">
        <v>3773</v>
      </c>
      <c r="F33" s="222">
        <v>436</v>
      </c>
      <c r="G33" s="222">
        <v>439.3</v>
      </c>
      <c r="H33" s="222">
        <f>439.3-436</f>
        <v>3.3000000000000114</v>
      </c>
      <c r="I33" s="207">
        <f t="shared" si="6"/>
        <v>688.0733944954128</v>
      </c>
      <c r="J33" s="161">
        <f t="shared" si="7"/>
        <v>2270.6422018348699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44676</v>
      </c>
      <c r="D34" s="161" t="s">
        <v>9</v>
      </c>
      <c r="E34" s="161" t="s">
        <v>95</v>
      </c>
      <c r="F34" s="222">
        <v>758</v>
      </c>
      <c r="G34" s="222">
        <v>762</v>
      </c>
      <c r="H34" s="222">
        <f>762-758</f>
        <v>4</v>
      </c>
      <c r="I34" s="207">
        <f t="shared" si="6"/>
        <v>395.77836411609496</v>
      </c>
      <c r="J34" s="161">
        <f t="shared" si="7"/>
        <v>1583.1134564643799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44676</v>
      </c>
      <c r="D35" s="161" t="s">
        <v>9</v>
      </c>
      <c r="E35" s="161" t="s">
        <v>117</v>
      </c>
      <c r="F35" s="222">
        <v>377</v>
      </c>
      <c r="G35" s="222">
        <v>384</v>
      </c>
      <c r="H35" s="222">
        <f>384-377</f>
        <v>7</v>
      </c>
      <c r="I35" s="207">
        <f t="shared" si="6"/>
        <v>795.75596816976122</v>
      </c>
      <c r="J35" s="161">
        <f t="shared" si="7"/>
        <v>5570.2917771883285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44677</v>
      </c>
      <c r="D36" s="161" t="s">
        <v>9</v>
      </c>
      <c r="E36" s="161" t="s">
        <v>3774</v>
      </c>
      <c r="F36" s="222">
        <v>138</v>
      </c>
      <c r="G36" s="222">
        <v>139</v>
      </c>
      <c r="H36" s="222">
        <v>1</v>
      </c>
      <c r="I36" s="207">
        <f t="shared" si="6"/>
        <v>2173.913043478261</v>
      </c>
      <c r="J36" s="161">
        <f t="shared" si="7"/>
        <v>2173.913043478261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44677</v>
      </c>
      <c r="D37" s="161" t="s">
        <v>9</v>
      </c>
      <c r="E37" s="161" t="s">
        <v>3775</v>
      </c>
      <c r="F37" s="222">
        <v>158</v>
      </c>
      <c r="G37" s="222">
        <v>160</v>
      </c>
      <c r="H37" s="222">
        <v>2</v>
      </c>
      <c r="I37" s="207">
        <f t="shared" si="6"/>
        <v>1898.7341772151899</v>
      </c>
      <c r="J37" s="161">
        <f t="shared" si="7"/>
        <v>3797.4683544303798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44678</v>
      </c>
      <c r="D38" s="161" t="s">
        <v>9</v>
      </c>
      <c r="E38" s="161" t="s">
        <v>2203</v>
      </c>
      <c r="F38" s="222">
        <v>840</v>
      </c>
      <c r="G38" s="222">
        <v>847.2</v>
      </c>
      <c r="H38" s="222">
        <v>7.2</v>
      </c>
      <c r="I38" s="207">
        <f t="shared" si="6"/>
        <v>357.14285714285717</v>
      </c>
      <c r="J38" s="161">
        <f t="shared" si="7"/>
        <v>2571.4285714285716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44678</v>
      </c>
      <c r="D39" s="161" t="s">
        <v>8</v>
      </c>
      <c r="E39" s="161" t="s">
        <v>95</v>
      </c>
      <c r="F39" s="222">
        <v>745</v>
      </c>
      <c r="G39" s="222">
        <v>734.7</v>
      </c>
      <c r="H39" s="222">
        <f>745-734.7</f>
        <v>10.299999999999955</v>
      </c>
      <c r="I39" s="207">
        <f t="shared" si="6"/>
        <v>402.68456375838929</v>
      </c>
      <c r="J39" s="161">
        <f t="shared" si="7"/>
        <v>4147.6510067113913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44679</v>
      </c>
      <c r="D40" s="161" t="s">
        <v>9</v>
      </c>
      <c r="E40" s="161" t="s">
        <v>3474</v>
      </c>
      <c r="F40" s="222">
        <v>880</v>
      </c>
      <c r="G40" s="222">
        <v>885</v>
      </c>
      <c r="H40" s="222">
        <v>5</v>
      </c>
      <c r="I40" s="207">
        <f t="shared" si="6"/>
        <v>340.90909090909093</v>
      </c>
      <c r="J40" s="161">
        <f t="shared" si="7"/>
        <v>1704.5454545454547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44679</v>
      </c>
      <c r="D41" s="161" t="s">
        <v>9</v>
      </c>
      <c r="E41" s="161" t="s">
        <v>3776</v>
      </c>
      <c r="F41" s="222">
        <v>182</v>
      </c>
      <c r="G41" s="223"/>
      <c r="H41" s="222"/>
      <c r="I41" s="207">
        <f t="shared" si="6"/>
        <v>1648.3516483516485</v>
      </c>
      <c r="J41" s="161">
        <f t="shared" si="7"/>
        <v>0</v>
      </c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44680</v>
      </c>
      <c r="D42" s="161" t="s">
        <v>9</v>
      </c>
      <c r="E42" s="161" t="s">
        <v>2999</v>
      </c>
      <c r="F42" s="222">
        <v>583</v>
      </c>
      <c r="G42" s="222">
        <v>591</v>
      </c>
      <c r="H42" s="222">
        <f>591-583</f>
        <v>8</v>
      </c>
      <c r="I42" s="207">
        <f t="shared" si="6"/>
        <v>514.5797598627787</v>
      </c>
      <c r="J42" s="161">
        <f t="shared" si="7"/>
        <v>4116.6380789022296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44680</v>
      </c>
      <c r="D43" s="161" t="s">
        <v>9</v>
      </c>
      <c r="E43" s="161" t="s">
        <v>502</v>
      </c>
      <c r="F43" s="222">
        <v>1230</v>
      </c>
      <c r="G43" s="222">
        <v>1240</v>
      </c>
      <c r="H43" s="222">
        <v>10</v>
      </c>
      <c r="I43" s="207">
        <f t="shared" si="6"/>
        <v>243.90243902439025</v>
      </c>
      <c r="J43" s="161">
        <f t="shared" si="7"/>
        <v>2439.0243902439024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76887.093300349923</v>
      </c>
      <c r="K52" s="153"/>
      <c r="V52" s="25">
        <f>SUM(V6:V51)</f>
        <v>31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3753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44652</v>
      </c>
      <c r="D60" s="161" t="s">
        <v>8</v>
      </c>
      <c r="E60" s="161" t="s">
        <v>31</v>
      </c>
      <c r="F60" s="222">
        <v>2640</v>
      </c>
      <c r="G60" s="222">
        <v>2655</v>
      </c>
      <c r="H60" s="222">
        <v>-15</v>
      </c>
      <c r="I60" s="207">
        <v>250</v>
      </c>
      <c r="J60" s="241">
        <f t="shared" ref="J60:J83" si="14">I60*H60</f>
        <v>-3750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44655</v>
      </c>
      <c r="D61" s="161" t="s">
        <v>9</v>
      </c>
      <c r="E61" s="161" t="s">
        <v>2023</v>
      </c>
      <c r="F61" s="222">
        <v>7600</v>
      </c>
      <c r="G61" s="222">
        <v>7615</v>
      </c>
      <c r="H61" s="222">
        <v>15</v>
      </c>
      <c r="I61" s="207">
        <v>125</v>
      </c>
      <c r="J61" s="242">
        <f t="shared" si="14"/>
        <v>1875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44656</v>
      </c>
      <c r="D62" s="161" t="s">
        <v>8</v>
      </c>
      <c r="E62" s="161" t="s">
        <v>58</v>
      </c>
      <c r="F62" s="222">
        <v>782</v>
      </c>
      <c r="G62" s="222">
        <v>788</v>
      </c>
      <c r="H62" s="222">
        <v>-6</v>
      </c>
      <c r="I62" s="207">
        <v>1200</v>
      </c>
      <c r="J62" s="242">
        <f t="shared" si="14"/>
        <v>-7200</v>
      </c>
      <c r="K62" s="153"/>
      <c r="V62" s="25">
        <f t="shared" si="15"/>
        <v>0</v>
      </c>
      <c r="W62" s="25">
        <f t="shared" si="16"/>
        <v>1</v>
      </c>
    </row>
    <row r="63" spans="1:23" x14ac:dyDescent="0.3">
      <c r="A63" s="147"/>
      <c r="B63" s="205">
        <f t="shared" si="17"/>
        <v>4</v>
      </c>
      <c r="C63" s="206">
        <v>44656</v>
      </c>
      <c r="D63" s="161" t="s">
        <v>9</v>
      </c>
      <c r="E63" s="161" t="s">
        <v>586</v>
      </c>
      <c r="F63" s="222">
        <v>1700</v>
      </c>
      <c r="G63" s="222">
        <v>1718.5</v>
      </c>
      <c r="H63" s="222">
        <v>18.5</v>
      </c>
      <c r="I63" s="207">
        <v>475</v>
      </c>
      <c r="J63" s="242">
        <f>I63*H63</f>
        <v>8787.5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44657</v>
      </c>
      <c r="D64" s="161" t="s">
        <v>9</v>
      </c>
      <c r="E64" s="161" t="s">
        <v>2004</v>
      </c>
      <c r="F64" s="222">
        <v>693</v>
      </c>
      <c r="G64" s="222">
        <v>708</v>
      </c>
      <c r="H64" s="222">
        <v>15</v>
      </c>
      <c r="I64" s="207">
        <v>800</v>
      </c>
      <c r="J64" s="242">
        <f>I64*H64</f>
        <v>12000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44658</v>
      </c>
      <c r="D65" s="161" t="s">
        <v>9</v>
      </c>
      <c r="E65" s="161" t="s">
        <v>2204</v>
      </c>
      <c r="F65" s="222">
        <v>1353</v>
      </c>
      <c r="G65" s="222">
        <v>1369</v>
      </c>
      <c r="H65" s="222">
        <v>16</v>
      </c>
      <c r="I65" s="207">
        <v>375</v>
      </c>
      <c r="J65" s="242">
        <f>I65*H65</f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44659</v>
      </c>
      <c r="D66" s="161" t="s">
        <v>9</v>
      </c>
      <c r="E66" s="161" t="s">
        <v>2563</v>
      </c>
      <c r="F66" s="222">
        <v>2010</v>
      </c>
      <c r="G66" s="222">
        <v>2040</v>
      </c>
      <c r="H66" s="222">
        <v>30</v>
      </c>
      <c r="I66" s="207">
        <v>250</v>
      </c>
      <c r="J66" s="242">
        <f t="shared" si="14"/>
        <v>7500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44662</v>
      </c>
      <c r="D67" s="161" t="s">
        <v>9</v>
      </c>
      <c r="E67" s="161" t="s">
        <v>3515</v>
      </c>
      <c r="F67" s="222">
        <v>1675</v>
      </c>
      <c r="G67" s="222">
        <v>1695</v>
      </c>
      <c r="H67" s="222">
        <v>20</v>
      </c>
      <c r="I67" s="207">
        <v>475</v>
      </c>
      <c r="J67" s="242">
        <f>I67*H67</f>
        <v>9500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44663</v>
      </c>
      <c r="D68" s="161" t="s">
        <v>9</v>
      </c>
      <c r="E68" s="161" t="s">
        <v>58</v>
      </c>
      <c r="F68" s="222">
        <v>786</v>
      </c>
      <c r="G68" s="222">
        <v>798</v>
      </c>
      <c r="H68" s="222">
        <f>798-786</f>
        <v>12</v>
      </c>
      <c r="I68" s="207">
        <v>1200</v>
      </c>
      <c r="J68" s="242">
        <f>I68*H68</f>
        <v>14400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44664</v>
      </c>
      <c r="D69" s="161" t="s">
        <v>9</v>
      </c>
      <c r="E69" s="161" t="s">
        <v>3562</v>
      </c>
      <c r="F69" s="222">
        <v>4400</v>
      </c>
      <c r="G69" s="222">
        <v>4454</v>
      </c>
      <c r="H69" s="222">
        <v>54</v>
      </c>
      <c r="I69" s="207">
        <v>125</v>
      </c>
      <c r="J69" s="242">
        <f>I69*H69</f>
        <v>6750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44669</v>
      </c>
      <c r="D70" s="161" t="s">
        <v>9</v>
      </c>
      <c r="E70" s="161" t="s">
        <v>403</v>
      </c>
      <c r="F70" s="161">
        <v>4550</v>
      </c>
      <c r="G70" s="222">
        <v>4567</v>
      </c>
      <c r="H70" s="222">
        <v>17</v>
      </c>
      <c r="I70" s="207">
        <v>100</v>
      </c>
      <c r="J70" s="242">
        <f t="shared" si="14"/>
        <v>1700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44670</v>
      </c>
      <c r="D71" s="161" t="s">
        <v>9</v>
      </c>
      <c r="E71" s="161" t="s">
        <v>31</v>
      </c>
      <c r="F71" s="222">
        <v>2590</v>
      </c>
      <c r="G71" s="222">
        <v>2630</v>
      </c>
      <c r="H71" s="222">
        <f>2630-2590</f>
        <v>40</v>
      </c>
      <c r="I71" s="207">
        <v>250</v>
      </c>
      <c r="J71" s="242">
        <f t="shared" si="14"/>
        <v>10000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44671</v>
      </c>
      <c r="D72" s="161" t="s">
        <v>9</v>
      </c>
      <c r="E72" s="161" t="s">
        <v>31</v>
      </c>
      <c r="F72" s="222">
        <v>2725</v>
      </c>
      <c r="G72" s="222">
        <v>2732</v>
      </c>
      <c r="H72" s="222">
        <f>2732-2725</f>
        <v>7</v>
      </c>
      <c r="I72" s="207">
        <v>250</v>
      </c>
      <c r="J72" s="242">
        <f t="shared" si="14"/>
        <v>1750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44672</v>
      </c>
      <c r="D73" s="161" t="s">
        <v>9</v>
      </c>
      <c r="E73" s="161" t="s">
        <v>31</v>
      </c>
      <c r="F73" s="223">
        <v>2770</v>
      </c>
      <c r="G73" s="222">
        <v>2780</v>
      </c>
      <c r="H73" s="255">
        <v>10</v>
      </c>
      <c r="I73" s="207">
        <v>250</v>
      </c>
      <c r="J73" s="242">
        <f t="shared" si="14"/>
        <v>2500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44673</v>
      </c>
      <c r="D74" s="161" t="s">
        <v>9</v>
      </c>
      <c r="E74" s="161" t="s">
        <v>90</v>
      </c>
      <c r="F74" s="222">
        <v>1320</v>
      </c>
      <c r="G74" s="222">
        <v>1310</v>
      </c>
      <c r="H74" s="255">
        <v>-10</v>
      </c>
      <c r="I74" s="207">
        <v>600</v>
      </c>
      <c r="J74" s="242">
        <f t="shared" si="14"/>
        <v>-6000</v>
      </c>
      <c r="K74" s="153"/>
      <c r="V74" s="25">
        <f t="shared" si="15"/>
        <v>0</v>
      </c>
      <c r="W74" s="25">
        <f t="shared" si="16"/>
        <v>1</v>
      </c>
    </row>
    <row r="75" spans="1:23" x14ac:dyDescent="0.3">
      <c r="A75" s="147"/>
      <c r="B75" s="205">
        <f t="shared" si="17"/>
        <v>16</v>
      </c>
      <c r="C75" s="206">
        <v>44676</v>
      </c>
      <c r="D75" s="161" t="s">
        <v>9</v>
      </c>
      <c r="E75" s="161" t="s">
        <v>58</v>
      </c>
      <c r="F75" s="222">
        <v>784</v>
      </c>
      <c r="G75" s="222">
        <v>789.5</v>
      </c>
      <c r="H75" s="255">
        <f>789.5-784</f>
        <v>5.5</v>
      </c>
      <c r="I75" s="207">
        <v>1200</v>
      </c>
      <c r="J75" s="242">
        <f t="shared" si="14"/>
        <v>6600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44677</v>
      </c>
      <c r="D76" s="161" t="s">
        <v>9</v>
      </c>
      <c r="E76" s="161" t="s">
        <v>3436</v>
      </c>
      <c r="F76" s="222">
        <v>758</v>
      </c>
      <c r="G76" s="222">
        <v>763</v>
      </c>
      <c r="H76" s="222">
        <f>763-758</f>
        <v>5</v>
      </c>
      <c r="I76" s="207">
        <v>875</v>
      </c>
      <c r="J76" s="242">
        <f t="shared" si="14"/>
        <v>4375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44678</v>
      </c>
      <c r="D77" s="161" t="s">
        <v>9</v>
      </c>
      <c r="E77" s="161" t="s">
        <v>119</v>
      </c>
      <c r="F77" s="222">
        <v>1745</v>
      </c>
      <c r="G77" s="222">
        <v>1750</v>
      </c>
      <c r="H77" s="222">
        <v>5</v>
      </c>
      <c r="I77" s="207">
        <v>400</v>
      </c>
      <c r="J77" s="242">
        <f t="shared" si="14"/>
        <v>2000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44679</v>
      </c>
      <c r="D78" s="161" t="s">
        <v>9</v>
      </c>
      <c r="E78" s="161" t="s">
        <v>3443</v>
      </c>
      <c r="F78" s="222">
        <v>2315</v>
      </c>
      <c r="G78" s="222">
        <v>2333</v>
      </c>
      <c r="H78" s="222">
        <f>2333-2315</f>
        <v>18</v>
      </c>
      <c r="I78" s="207">
        <v>250</v>
      </c>
      <c r="J78" s="242">
        <f t="shared" si="14"/>
        <v>4500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44680</v>
      </c>
      <c r="D79" s="161" t="s">
        <v>9</v>
      </c>
      <c r="E79" s="161" t="s">
        <v>502</v>
      </c>
      <c r="F79" s="222">
        <v>1230</v>
      </c>
      <c r="G79" s="222">
        <v>1240</v>
      </c>
      <c r="H79" s="222">
        <v>10</v>
      </c>
      <c r="I79" s="207">
        <v>400</v>
      </c>
      <c r="J79" s="242">
        <f t="shared" si="14"/>
        <v>4000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87287.5</v>
      </c>
      <c r="K84" s="153"/>
      <c r="V84" s="25">
        <f>SUM(V60:V83)</f>
        <v>17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3752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44652</v>
      </c>
      <c r="D92" s="185" t="s">
        <v>9</v>
      </c>
      <c r="E92" s="185" t="s">
        <v>39</v>
      </c>
      <c r="F92" s="219">
        <v>17570</v>
      </c>
      <c r="G92" s="219">
        <v>17650</v>
      </c>
      <c r="H92" s="185">
        <f>17650-17570</f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44655</v>
      </c>
      <c r="D93" s="185" t="s">
        <v>9</v>
      </c>
      <c r="E93" s="185" t="s">
        <v>39</v>
      </c>
      <c r="F93" s="219">
        <v>18010</v>
      </c>
      <c r="G93" s="219">
        <v>18090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44656</v>
      </c>
      <c r="D94" s="161" t="s">
        <v>8</v>
      </c>
      <c r="E94" s="161" t="s">
        <v>39</v>
      </c>
      <c r="F94" s="207">
        <v>18060</v>
      </c>
      <c r="G94" s="207">
        <v>18025</v>
      </c>
      <c r="H94" s="161">
        <f>18060-18025</f>
        <v>35</v>
      </c>
      <c r="I94" s="207">
        <v>150</v>
      </c>
      <c r="J94" s="242">
        <f t="shared" si="18"/>
        <v>5250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44657</v>
      </c>
      <c r="D95" s="161" t="s">
        <v>8</v>
      </c>
      <c r="E95" s="161" t="s">
        <v>39</v>
      </c>
      <c r="F95" s="207">
        <v>17890</v>
      </c>
      <c r="G95" s="207">
        <v>17850</v>
      </c>
      <c r="H95" s="161">
        <v>40</v>
      </c>
      <c r="I95" s="207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44658</v>
      </c>
      <c r="D96" s="161" t="s">
        <v>8</v>
      </c>
      <c r="E96" s="161" t="s">
        <v>39</v>
      </c>
      <c r="F96" s="207">
        <v>17750</v>
      </c>
      <c r="G96" s="207">
        <v>17735</v>
      </c>
      <c r="H96" s="161">
        <f>17750-17735</f>
        <v>15</v>
      </c>
      <c r="I96" s="207">
        <v>150</v>
      </c>
      <c r="J96" s="242">
        <f t="shared" si="18"/>
        <v>2250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44659</v>
      </c>
      <c r="D97" s="161" t="s">
        <v>8</v>
      </c>
      <c r="E97" s="161" t="s">
        <v>39</v>
      </c>
      <c r="F97" s="207">
        <v>17700</v>
      </c>
      <c r="G97" s="207">
        <v>17740</v>
      </c>
      <c r="H97" s="161">
        <v>-40</v>
      </c>
      <c r="I97" s="207">
        <v>150</v>
      </c>
      <c r="J97" s="242">
        <f t="shared" si="18"/>
        <v>-6000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7</v>
      </c>
      <c r="C98" s="206">
        <v>44662</v>
      </c>
      <c r="D98" s="161" t="s">
        <v>9</v>
      </c>
      <c r="E98" s="161" t="s">
        <v>39</v>
      </c>
      <c r="F98" s="207">
        <v>17750</v>
      </c>
      <c r="G98" s="207">
        <v>17810</v>
      </c>
      <c r="H98" s="161">
        <f>17810-17750</f>
        <v>60</v>
      </c>
      <c r="I98" s="207">
        <v>150</v>
      </c>
      <c r="J98" s="242">
        <f t="shared" si="18"/>
        <v>9000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44663</v>
      </c>
      <c r="D99" s="161" t="s">
        <v>8</v>
      </c>
      <c r="E99" s="161" t="s">
        <v>39</v>
      </c>
      <c r="F99" s="207">
        <v>17540</v>
      </c>
      <c r="G99" s="207">
        <v>17482</v>
      </c>
      <c r="H99" s="161">
        <f>17540-17482</f>
        <v>58</v>
      </c>
      <c r="I99" s="207">
        <v>150</v>
      </c>
      <c r="J99" s="242">
        <f t="shared" si="18"/>
        <v>8700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44664</v>
      </c>
      <c r="D100" s="161" t="s">
        <v>8</v>
      </c>
      <c r="E100" s="161" t="s">
        <v>39</v>
      </c>
      <c r="F100" s="207">
        <v>17610</v>
      </c>
      <c r="G100" s="207">
        <v>17530</v>
      </c>
      <c r="H100" s="161"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44669</v>
      </c>
      <c r="D101" s="161" t="s">
        <v>8</v>
      </c>
      <c r="E101" s="161" t="s">
        <v>39</v>
      </c>
      <c r="F101" s="207">
        <v>17230</v>
      </c>
      <c r="G101" s="207">
        <v>17150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44670</v>
      </c>
      <c r="D102" s="161" t="s">
        <v>8</v>
      </c>
      <c r="E102" s="161" t="s">
        <v>39</v>
      </c>
      <c r="F102" s="207">
        <v>17230</v>
      </c>
      <c r="G102" s="207">
        <v>17210</v>
      </c>
      <c r="H102" s="161">
        <f>17230-17210</f>
        <v>20</v>
      </c>
      <c r="I102" s="207">
        <v>150</v>
      </c>
      <c r="J102" s="242">
        <f t="shared" si="18"/>
        <v>3000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44671</v>
      </c>
      <c r="D103" s="161" t="s">
        <v>8</v>
      </c>
      <c r="E103" s="161" t="s">
        <v>39</v>
      </c>
      <c r="F103" s="207">
        <v>17140</v>
      </c>
      <c r="G103" s="207">
        <v>17100</v>
      </c>
      <c r="H103" s="161">
        <v>40</v>
      </c>
      <c r="I103" s="207">
        <v>150</v>
      </c>
      <c r="J103" s="242">
        <f t="shared" si="18"/>
        <v>6000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44672</v>
      </c>
      <c r="D104" s="161" t="s">
        <v>8</v>
      </c>
      <c r="E104" s="161" t="s">
        <v>39</v>
      </c>
      <c r="F104" s="207">
        <v>17270</v>
      </c>
      <c r="G104" s="207">
        <v>17310</v>
      </c>
      <c r="H104" s="161">
        <v>-40</v>
      </c>
      <c r="I104" s="207">
        <v>150</v>
      </c>
      <c r="J104" s="242">
        <f t="shared" si="18"/>
        <v>-6000</v>
      </c>
      <c r="K104" s="153"/>
      <c r="V104" s="25">
        <f t="shared" si="19"/>
        <v>0</v>
      </c>
      <c r="W104" s="25">
        <f t="shared" si="20"/>
        <v>1</v>
      </c>
    </row>
    <row r="105" spans="1:23" x14ac:dyDescent="0.3">
      <c r="A105" s="147"/>
      <c r="B105" s="205">
        <f t="shared" si="21"/>
        <v>14</v>
      </c>
      <c r="C105" s="206">
        <v>44673</v>
      </c>
      <c r="D105" s="161" t="s">
        <v>8</v>
      </c>
      <c r="E105" s="161" t="s">
        <v>39</v>
      </c>
      <c r="F105" s="207">
        <v>17270</v>
      </c>
      <c r="G105" s="207">
        <v>17190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44676</v>
      </c>
      <c r="D106" s="161" t="s">
        <v>8</v>
      </c>
      <c r="E106" s="161" t="s">
        <v>39</v>
      </c>
      <c r="F106" s="207">
        <v>16980</v>
      </c>
      <c r="G106" s="207">
        <v>16960</v>
      </c>
      <c r="H106" s="161">
        <v>20</v>
      </c>
      <c r="I106" s="207">
        <v>150</v>
      </c>
      <c r="J106" s="242">
        <f t="shared" si="18"/>
        <v>3000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44677</v>
      </c>
      <c r="D107" s="161" t="s">
        <v>9</v>
      </c>
      <c r="E107" s="161" t="s">
        <v>39</v>
      </c>
      <c r="F107" s="207">
        <v>17160</v>
      </c>
      <c r="G107" s="207">
        <v>17175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44678</v>
      </c>
      <c r="D108" s="161" t="s">
        <v>8</v>
      </c>
      <c r="E108" s="161" t="s">
        <v>39</v>
      </c>
      <c r="F108" s="207">
        <v>17060</v>
      </c>
      <c r="G108" s="207">
        <v>16980</v>
      </c>
      <c r="H108" s="161"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44679</v>
      </c>
      <c r="D109" s="161" t="s">
        <v>8</v>
      </c>
      <c r="E109" s="161" t="s">
        <v>39</v>
      </c>
      <c r="F109" s="207">
        <v>17100</v>
      </c>
      <c r="G109" s="207">
        <v>17072</v>
      </c>
      <c r="H109" s="161">
        <f>17100-17072</f>
        <v>28</v>
      </c>
      <c r="I109" s="207">
        <v>150</v>
      </c>
      <c r="J109" s="242">
        <f t="shared" si="18"/>
        <v>4200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44680</v>
      </c>
      <c r="D110" s="161" t="s">
        <v>9</v>
      </c>
      <c r="E110" s="161" t="s">
        <v>39</v>
      </c>
      <c r="F110" s="207">
        <v>17340</v>
      </c>
      <c r="G110" s="207">
        <v>17397</v>
      </c>
      <c r="H110" s="161">
        <f>17397-17340</f>
        <v>57</v>
      </c>
      <c r="I110" s="207">
        <v>150</v>
      </c>
      <c r="J110" s="242">
        <f>I110*H110</f>
        <v>8550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118200</v>
      </c>
      <c r="K115" s="153"/>
      <c r="V115" s="25">
        <f>SUM(V92:V114)</f>
        <v>17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3754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44652</v>
      </c>
      <c r="D123" s="185" t="s">
        <v>9</v>
      </c>
      <c r="E123" s="185" t="s">
        <v>1586</v>
      </c>
      <c r="F123" s="219">
        <v>115</v>
      </c>
      <c r="G123" s="231">
        <v>165</v>
      </c>
      <c r="H123" s="231">
        <v>50</v>
      </c>
      <c r="I123" s="219">
        <v>300</v>
      </c>
      <c r="J123" s="246">
        <f t="shared" ref="J123:J146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44655</v>
      </c>
      <c r="D124" s="185" t="s">
        <v>9</v>
      </c>
      <c r="E124" s="185" t="s">
        <v>3529</v>
      </c>
      <c r="F124" s="219">
        <v>105</v>
      </c>
      <c r="G124" s="219">
        <v>155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44656</v>
      </c>
      <c r="D125" s="161" t="s">
        <v>9</v>
      </c>
      <c r="E125" s="161" t="s">
        <v>3756</v>
      </c>
      <c r="F125" s="207">
        <v>125</v>
      </c>
      <c r="G125" s="207">
        <v>143</v>
      </c>
      <c r="H125" s="161">
        <f>143-125</f>
        <v>18</v>
      </c>
      <c r="I125" s="207">
        <v>300</v>
      </c>
      <c r="J125" s="242">
        <f t="shared" si="22"/>
        <v>5400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6" si="25">B125+1</f>
        <v>4</v>
      </c>
      <c r="C126" s="206">
        <v>44657</v>
      </c>
      <c r="D126" s="161" t="s">
        <v>9</v>
      </c>
      <c r="E126" s="161" t="s">
        <v>3757</v>
      </c>
      <c r="F126" s="207">
        <v>110</v>
      </c>
      <c r="G126" s="207">
        <v>135</v>
      </c>
      <c r="H126" s="161">
        <f>135-110</f>
        <v>25</v>
      </c>
      <c r="I126" s="207">
        <v>300</v>
      </c>
      <c r="J126" s="242">
        <f t="shared" si="22"/>
        <v>7500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44658</v>
      </c>
      <c r="D127" s="161" t="s">
        <v>9</v>
      </c>
      <c r="E127" s="161" t="s">
        <v>1604</v>
      </c>
      <c r="F127" s="207">
        <v>110</v>
      </c>
      <c r="G127" s="207">
        <v>130</v>
      </c>
      <c r="H127" s="161">
        <v>20</v>
      </c>
      <c r="I127" s="207">
        <v>300</v>
      </c>
      <c r="J127" s="242">
        <f t="shared" si="22"/>
        <v>6000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44659</v>
      </c>
      <c r="D128" s="161" t="s">
        <v>9</v>
      </c>
      <c r="E128" s="161" t="s">
        <v>3503</v>
      </c>
      <c r="F128" s="207">
        <v>130</v>
      </c>
      <c r="G128" s="222">
        <v>105</v>
      </c>
      <c r="H128" s="222">
        <v>-25</v>
      </c>
      <c r="I128" s="207">
        <v>300</v>
      </c>
      <c r="J128" s="242">
        <f t="shared" si="22"/>
        <v>-7500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7</v>
      </c>
      <c r="C129" s="206">
        <v>44662</v>
      </c>
      <c r="D129" s="161" t="s">
        <v>9</v>
      </c>
      <c r="E129" s="161" t="s">
        <v>1584</v>
      </c>
      <c r="F129" s="207">
        <v>115</v>
      </c>
      <c r="G129" s="207">
        <v>150</v>
      </c>
      <c r="H129" s="161">
        <f>150-115</f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44663</v>
      </c>
      <c r="D130" s="161" t="s">
        <v>9</v>
      </c>
      <c r="E130" s="161" t="s">
        <v>3692</v>
      </c>
      <c r="F130" s="207">
        <v>100</v>
      </c>
      <c r="G130" s="207">
        <v>125</v>
      </c>
      <c r="H130" s="161"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44664</v>
      </c>
      <c r="D131" s="161" t="s">
        <v>9</v>
      </c>
      <c r="E131" s="161" t="s">
        <v>3503</v>
      </c>
      <c r="F131" s="207">
        <v>90</v>
      </c>
      <c r="G131" s="207">
        <v>140</v>
      </c>
      <c r="H131" s="161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44669</v>
      </c>
      <c r="D132" s="161" t="s">
        <v>9</v>
      </c>
      <c r="E132" s="161" t="s">
        <v>3768</v>
      </c>
      <c r="F132" s="207">
        <v>125</v>
      </c>
      <c r="G132" s="222">
        <v>174.5</v>
      </c>
      <c r="H132" s="222">
        <f>174.5-125</f>
        <v>49.5</v>
      </c>
      <c r="I132" s="207">
        <v>300</v>
      </c>
      <c r="J132" s="242">
        <f t="shared" si="22"/>
        <v>14850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44670</v>
      </c>
      <c r="D133" s="161" t="s">
        <v>9</v>
      </c>
      <c r="E133" s="161" t="s">
        <v>2989</v>
      </c>
      <c r="F133" s="207">
        <v>100</v>
      </c>
      <c r="G133" s="222">
        <v>110</v>
      </c>
      <c r="H133" s="222">
        <v>10</v>
      </c>
      <c r="I133" s="207">
        <v>300</v>
      </c>
      <c r="J133" s="242">
        <f t="shared" si="22"/>
        <v>3000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44671</v>
      </c>
      <c r="D134" s="161" t="s">
        <v>9</v>
      </c>
      <c r="E134" s="161" t="s">
        <v>3768</v>
      </c>
      <c r="F134" s="207">
        <v>100</v>
      </c>
      <c r="G134" s="222">
        <v>125</v>
      </c>
      <c r="H134" s="222"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44672</v>
      </c>
      <c r="D135" s="161" t="s">
        <v>9</v>
      </c>
      <c r="E135" s="161" t="s">
        <v>3608</v>
      </c>
      <c r="F135" s="207">
        <v>90</v>
      </c>
      <c r="G135" s="207">
        <v>140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44673</v>
      </c>
      <c r="D136" s="161" t="s">
        <v>9</v>
      </c>
      <c r="E136" s="161" t="s">
        <v>3462</v>
      </c>
      <c r="F136" s="207">
        <v>125</v>
      </c>
      <c r="G136" s="207">
        <v>150</v>
      </c>
      <c r="H136" s="161">
        <v>25</v>
      </c>
      <c r="I136" s="207">
        <v>300</v>
      </c>
      <c r="J136" s="242">
        <f t="shared" si="22"/>
        <v>7500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44676</v>
      </c>
      <c r="D137" s="161" t="s">
        <v>9</v>
      </c>
      <c r="E137" s="161" t="s">
        <v>1177</v>
      </c>
      <c r="F137" s="207">
        <v>115</v>
      </c>
      <c r="G137" s="207">
        <v>150</v>
      </c>
      <c r="H137" s="161">
        <f>150-115</f>
        <v>35</v>
      </c>
      <c r="I137" s="207">
        <v>300</v>
      </c>
      <c r="J137" s="242">
        <f t="shared" si="22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44677</v>
      </c>
      <c r="D138" s="161" t="s">
        <v>9</v>
      </c>
      <c r="E138" s="161" t="s">
        <v>3454</v>
      </c>
      <c r="F138" s="207">
        <v>100</v>
      </c>
      <c r="G138" s="207">
        <v>118.4</v>
      </c>
      <c r="H138" s="161">
        <v>18</v>
      </c>
      <c r="I138" s="207">
        <v>300</v>
      </c>
      <c r="J138" s="242">
        <f t="shared" si="22"/>
        <v>5400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44678</v>
      </c>
      <c r="D139" s="161" t="s">
        <v>9</v>
      </c>
      <c r="E139" s="161" t="s">
        <v>3744</v>
      </c>
      <c r="F139" s="207">
        <v>110</v>
      </c>
      <c r="G139" s="207">
        <v>160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44679</v>
      </c>
      <c r="D140" s="161" t="s">
        <v>9</v>
      </c>
      <c r="E140" s="161" t="s">
        <v>2989</v>
      </c>
      <c r="F140" s="207">
        <v>110</v>
      </c>
      <c r="G140" s="222">
        <v>134</v>
      </c>
      <c r="H140" s="222">
        <v>34</v>
      </c>
      <c r="I140" s="207">
        <v>300</v>
      </c>
      <c r="J140" s="242">
        <f t="shared" si="22"/>
        <v>10200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37375</v>
      </c>
      <c r="D141" s="161" t="s">
        <v>9</v>
      </c>
      <c r="E141" s="161" t="s">
        <v>3480</v>
      </c>
      <c r="F141" s="207">
        <v>135</v>
      </c>
      <c r="G141" s="222">
        <v>160</v>
      </c>
      <c r="H141" s="222">
        <f>160-135</f>
        <v>25</v>
      </c>
      <c r="I141" s="207">
        <v>300</v>
      </c>
      <c r="J141" s="242">
        <f t="shared" si="22"/>
        <v>7500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/>
      <c r="D142" s="161"/>
      <c r="E142" s="161"/>
      <c r="F142" s="207"/>
      <c r="G142" s="222"/>
      <c r="H142" s="222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22"/>
      <c r="H143" s="222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22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170850</v>
      </c>
      <c r="K147" s="153"/>
      <c r="V147" s="25">
        <f>SUM(V123:V146)</f>
        <v>18</v>
      </c>
      <c r="W147" s="25">
        <f>SUM(W123:W146)</f>
        <v>1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3752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44652</v>
      </c>
      <c r="D155" s="185" t="s">
        <v>9</v>
      </c>
      <c r="E155" s="185" t="s">
        <v>301</v>
      </c>
      <c r="F155" s="219">
        <v>36750</v>
      </c>
      <c r="G155" s="231">
        <v>37050</v>
      </c>
      <c r="H155" s="185">
        <v>300</v>
      </c>
      <c r="I155" s="219">
        <v>50</v>
      </c>
      <c r="J155" s="246">
        <f t="shared" ref="J155:J177" si="26">I155*H155</f>
        <v>15000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44655</v>
      </c>
      <c r="D156" s="185" t="s">
        <v>9</v>
      </c>
      <c r="E156" s="185" t="s">
        <v>301</v>
      </c>
      <c r="F156" s="219">
        <v>38600</v>
      </c>
      <c r="G156" s="219">
        <v>38744</v>
      </c>
      <c r="H156" s="185">
        <f>38744-38600</f>
        <v>144</v>
      </c>
      <c r="I156" s="219">
        <v>50</v>
      </c>
      <c r="J156" s="242">
        <f t="shared" si="26"/>
        <v>7200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44656</v>
      </c>
      <c r="D157" s="161" t="s">
        <v>8</v>
      </c>
      <c r="E157" s="161" t="s">
        <v>301</v>
      </c>
      <c r="F157" s="207">
        <v>38400</v>
      </c>
      <c r="G157" s="207">
        <v>38550</v>
      </c>
      <c r="H157" s="161">
        <v>-150</v>
      </c>
      <c r="I157" s="207">
        <v>50</v>
      </c>
      <c r="J157" s="242">
        <f t="shared" si="26"/>
        <v>-7500</v>
      </c>
      <c r="K157" s="153"/>
      <c r="V157" s="25">
        <f t="shared" si="27"/>
        <v>0</v>
      </c>
      <c r="W157" s="25">
        <f t="shared" si="28"/>
        <v>1</v>
      </c>
    </row>
    <row r="158" spans="1:23" x14ac:dyDescent="0.3">
      <c r="A158" s="147"/>
      <c r="B158" s="205">
        <f t="shared" si="29"/>
        <v>4</v>
      </c>
      <c r="C158" s="206">
        <v>44657</v>
      </c>
      <c r="D158" s="161" t="s">
        <v>8</v>
      </c>
      <c r="E158" s="161" t="s">
        <v>301</v>
      </c>
      <c r="F158" s="207">
        <v>37750</v>
      </c>
      <c r="G158" s="207">
        <v>37690</v>
      </c>
      <c r="H158" s="161">
        <f>37750-37690</f>
        <v>60</v>
      </c>
      <c r="I158" s="207">
        <v>50</v>
      </c>
      <c r="J158" s="242">
        <f t="shared" si="26"/>
        <v>3000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44658</v>
      </c>
      <c r="D159" s="161" t="s">
        <v>8</v>
      </c>
      <c r="E159" s="161" t="s">
        <v>301</v>
      </c>
      <c r="F159" s="207">
        <v>37650</v>
      </c>
      <c r="G159" s="207">
        <v>37610</v>
      </c>
      <c r="H159" s="161">
        <v>40</v>
      </c>
      <c r="I159" s="207">
        <v>50</v>
      </c>
      <c r="J159" s="242">
        <f t="shared" si="26"/>
        <v>2000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44659</v>
      </c>
      <c r="D160" s="161" t="s">
        <v>8</v>
      </c>
      <c r="E160" s="161" t="s">
        <v>301</v>
      </c>
      <c r="F160" s="207">
        <v>37750</v>
      </c>
      <c r="G160" s="207">
        <v>37600</v>
      </c>
      <c r="H160" s="161">
        <v>150</v>
      </c>
      <c r="I160" s="207">
        <v>50</v>
      </c>
      <c r="J160" s="242">
        <f t="shared" si="26"/>
        <v>7500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44662</v>
      </c>
      <c r="D161" s="161" t="s">
        <v>9</v>
      </c>
      <c r="E161" s="161" t="s">
        <v>301</v>
      </c>
      <c r="F161" s="207">
        <v>37950</v>
      </c>
      <c r="G161" s="207">
        <v>38096</v>
      </c>
      <c r="H161" s="161">
        <f>38096-37950</f>
        <v>146</v>
      </c>
      <c r="I161" s="207">
        <v>50</v>
      </c>
      <c r="J161" s="242">
        <f t="shared" si="26"/>
        <v>7300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44663</v>
      </c>
      <c r="D162" s="161" t="s">
        <v>9</v>
      </c>
      <c r="E162" s="161" t="s">
        <v>301</v>
      </c>
      <c r="F162" s="207">
        <v>37500</v>
      </c>
      <c r="G162" s="207">
        <v>37800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44664</v>
      </c>
      <c r="D163" s="161" t="s">
        <v>8</v>
      </c>
      <c r="E163" s="161" t="s">
        <v>301</v>
      </c>
      <c r="F163" s="207">
        <v>37950</v>
      </c>
      <c r="G163" s="207">
        <v>37650</v>
      </c>
      <c r="H163" s="161">
        <v>300</v>
      </c>
      <c r="I163" s="207">
        <v>50</v>
      </c>
      <c r="J163" s="242">
        <f t="shared" si="26"/>
        <v>15000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44669</v>
      </c>
      <c r="D164" s="161" t="s">
        <v>8</v>
      </c>
      <c r="E164" s="161" t="s">
        <v>301</v>
      </c>
      <c r="F164" s="207">
        <v>36900</v>
      </c>
      <c r="G164" s="207">
        <v>36600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44670</v>
      </c>
      <c r="D165" s="161" t="s">
        <v>8</v>
      </c>
      <c r="E165" s="161" t="s">
        <v>301</v>
      </c>
      <c r="F165" s="207">
        <v>36800</v>
      </c>
      <c r="G165" s="207">
        <v>36750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44671</v>
      </c>
      <c r="D166" s="161" t="s">
        <v>8</v>
      </c>
      <c r="E166" s="161" t="s">
        <v>301</v>
      </c>
      <c r="F166" s="207">
        <v>36450</v>
      </c>
      <c r="G166" s="207">
        <v>36310</v>
      </c>
      <c r="H166" s="161">
        <v>140</v>
      </c>
      <c r="I166" s="207">
        <v>50</v>
      </c>
      <c r="J166" s="242">
        <f t="shared" si="26"/>
        <v>7000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44672</v>
      </c>
      <c r="D167" s="161" t="s">
        <v>8</v>
      </c>
      <c r="E167" s="161" t="s">
        <v>301</v>
      </c>
      <c r="F167" s="207">
        <v>36550</v>
      </c>
      <c r="G167" s="207">
        <v>36480</v>
      </c>
      <c r="H167" s="161">
        <v>70</v>
      </c>
      <c r="I167" s="207">
        <v>50</v>
      </c>
      <c r="J167" s="242">
        <f t="shared" si="26"/>
        <v>3500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44673</v>
      </c>
      <c r="D168" s="161" t="s">
        <v>8</v>
      </c>
      <c r="E168" s="161" t="s">
        <v>301</v>
      </c>
      <c r="F168" s="207">
        <v>36350</v>
      </c>
      <c r="G168" s="207">
        <v>36050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44676</v>
      </c>
      <c r="D169" s="161" t="s">
        <v>9</v>
      </c>
      <c r="E169" s="161" t="s">
        <v>301</v>
      </c>
      <c r="F169" s="207">
        <v>36100</v>
      </c>
      <c r="G169" s="207">
        <v>36250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44677</v>
      </c>
      <c r="D170" s="161" t="s">
        <v>9</v>
      </c>
      <c r="E170" s="161" t="s">
        <v>301</v>
      </c>
      <c r="F170" s="207">
        <v>36500</v>
      </c>
      <c r="G170" s="207">
        <v>36600</v>
      </c>
      <c r="H170" s="161">
        <v>100</v>
      </c>
      <c r="I170" s="207">
        <v>50</v>
      </c>
      <c r="J170" s="242">
        <f t="shared" si="26"/>
        <v>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44678</v>
      </c>
      <c r="D171" s="161" t="s">
        <v>8</v>
      </c>
      <c r="E171" s="161" t="s">
        <v>301</v>
      </c>
      <c r="F171" s="207">
        <v>36100</v>
      </c>
      <c r="G171" s="207">
        <v>35800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44679</v>
      </c>
      <c r="D172" s="161" t="s">
        <v>8</v>
      </c>
      <c r="E172" s="161" t="s">
        <v>301</v>
      </c>
      <c r="F172" s="207">
        <v>36050</v>
      </c>
      <c r="G172" s="207">
        <v>35940</v>
      </c>
      <c r="H172" s="161">
        <f>36050-35940</f>
        <v>110</v>
      </c>
      <c r="I172" s="207">
        <v>50</v>
      </c>
      <c r="J172" s="242">
        <f t="shared" si="26"/>
        <v>5500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44680</v>
      </c>
      <c r="D173" s="161" t="s">
        <v>9</v>
      </c>
      <c r="E173" s="161" t="s">
        <v>301</v>
      </c>
      <c r="F173" s="207">
        <v>36550</v>
      </c>
      <c r="G173" s="207">
        <v>36770</v>
      </c>
      <c r="H173" s="161">
        <f>36770-36550</f>
        <v>220</v>
      </c>
      <c r="I173" s="207">
        <v>50</v>
      </c>
      <c r="J173" s="242">
        <f t="shared" si="26"/>
        <v>11000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151500</v>
      </c>
      <c r="K178" s="153"/>
      <c r="V178" s="25">
        <f>SUM(V155:V177)</f>
        <v>18</v>
      </c>
      <c r="W178" s="25">
        <f>SUM(W155:W177)</f>
        <v>1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3755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44652</v>
      </c>
      <c r="D186" s="185" t="s">
        <v>9</v>
      </c>
      <c r="E186" s="185" t="s">
        <v>3472</v>
      </c>
      <c r="F186" s="219">
        <v>440</v>
      </c>
      <c r="G186" s="219">
        <v>640</v>
      </c>
      <c r="H186" s="185">
        <v>200</v>
      </c>
      <c r="I186" s="219">
        <v>100</v>
      </c>
      <c r="J186" s="246">
        <f t="shared" ref="J186:J208" si="30">I186*H186</f>
        <v>20000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44655</v>
      </c>
      <c r="D187" s="185" t="s">
        <v>9</v>
      </c>
      <c r="E187" s="185" t="s">
        <v>3506</v>
      </c>
      <c r="F187" s="219">
        <v>370</v>
      </c>
      <c r="G187" s="219">
        <v>510</v>
      </c>
      <c r="H187" s="185">
        <f>510-370</f>
        <v>140</v>
      </c>
      <c r="I187" s="219">
        <v>100</v>
      </c>
      <c r="J187" s="242">
        <f t="shared" si="30"/>
        <v>14000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44656</v>
      </c>
      <c r="D188" s="161" t="s">
        <v>9</v>
      </c>
      <c r="E188" s="161" t="s">
        <v>3758</v>
      </c>
      <c r="F188" s="207">
        <v>360</v>
      </c>
      <c r="G188" s="207">
        <v>260</v>
      </c>
      <c r="H188" s="161">
        <v>-100</v>
      </c>
      <c r="I188" s="207">
        <v>100</v>
      </c>
      <c r="J188" s="242">
        <f t="shared" si="30"/>
        <v>-10000</v>
      </c>
      <c r="K188" s="153"/>
      <c r="V188" s="25">
        <f t="shared" si="31"/>
        <v>0</v>
      </c>
      <c r="W188" s="25">
        <f t="shared" si="32"/>
        <v>1</v>
      </c>
    </row>
    <row r="189" spans="1:23" x14ac:dyDescent="0.3">
      <c r="A189" s="147"/>
      <c r="B189" s="205">
        <f t="shared" si="33"/>
        <v>4</v>
      </c>
      <c r="C189" s="206">
        <v>44657</v>
      </c>
      <c r="D189" s="161" t="s">
        <v>9</v>
      </c>
      <c r="E189" s="161" t="s">
        <v>3588</v>
      </c>
      <c r="F189" s="207">
        <v>230</v>
      </c>
      <c r="G189" s="207">
        <v>287</v>
      </c>
      <c r="H189" s="161">
        <f>287-230</f>
        <v>57</v>
      </c>
      <c r="I189" s="207">
        <v>100</v>
      </c>
      <c r="J189" s="242">
        <f t="shared" si="30"/>
        <v>5700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44658</v>
      </c>
      <c r="D190" s="161" t="s">
        <v>9</v>
      </c>
      <c r="E190" s="161" t="s">
        <v>3585</v>
      </c>
      <c r="F190" s="207">
        <v>160</v>
      </c>
      <c r="G190" s="207">
        <v>360</v>
      </c>
      <c r="H190" s="161">
        <v>200</v>
      </c>
      <c r="I190" s="207">
        <v>100</v>
      </c>
      <c r="J190" s="242">
        <f t="shared" si="30"/>
        <v>20000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44659</v>
      </c>
      <c r="D191" s="161" t="s">
        <v>9</v>
      </c>
      <c r="E191" s="161" t="s">
        <v>3588</v>
      </c>
      <c r="F191" s="207">
        <v>500</v>
      </c>
      <c r="G191" s="207">
        <v>563</v>
      </c>
      <c r="H191" s="161">
        <v>63</v>
      </c>
      <c r="I191" s="207">
        <v>100</v>
      </c>
      <c r="J191" s="242">
        <f t="shared" si="30"/>
        <v>6300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44662</v>
      </c>
      <c r="D192" s="161" t="s">
        <v>9</v>
      </c>
      <c r="E192" s="161" t="s">
        <v>3488</v>
      </c>
      <c r="F192" s="207">
        <v>300</v>
      </c>
      <c r="G192" s="207">
        <v>370</v>
      </c>
      <c r="H192" s="161">
        <v>70</v>
      </c>
      <c r="I192" s="207">
        <v>100</v>
      </c>
      <c r="J192" s="242">
        <f t="shared" si="30"/>
        <v>7000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44663</v>
      </c>
      <c r="D193" s="161" t="s">
        <v>9</v>
      </c>
      <c r="E193" s="161" t="s">
        <v>3241</v>
      </c>
      <c r="F193" s="207">
        <v>200</v>
      </c>
      <c r="G193" s="207">
        <v>400</v>
      </c>
      <c r="H193" s="161">
        <v>200</v>
      </c>
      <c r="I193" s="207">
        <v>100</v>
      </c>
      <c r="J193" s="242">
        <f t="shared" si="30"/>
        <v>20000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44664</v>
      </c>
      <c r="D194" s="161" t="s">
        <v>9</v>
      </c>
      <c r="E194" s="161" t="s">
        <v>3764</v>
      </c>
      <c r="F194" s="207">
        <v>200</v>
      </c>
      <c r="G194" s="207">
        <v>400</v>
      </c>
      <c r="H194" s="161">
        <v>200</v>
      </c>
      <c r="I194" s="207">
        <v>100</v>
      </c>
      <c r="J194" s="242">
        <f t="shared" si="30"/>
        <v>20000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44669</v>
      </c>
      <c r="D195" s="161" t="s">
        <v>9</v>
      </c>
      <c r="E195" s="161" t="s">
        <v>3250</v>
      </c>
      <c r="F195" s="207">
        <v>400</v>
      </c>
      <c r="G195" s="207">
        <v>550</v>
      </c>
      <c r="H195" s="161"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44670</v>
      </c>
      <c r="D196" s="161" t="s">
        <v>9</v>
      </c>
      <c r="E196" s="161" t="s">
        <v>3250</v>
      </c>
      <c r="F196" s="207">
        <v>330</v>
      </c>
      <c r="G196" s="207">
        <v>360</v>
      </c>
      <c r="H196" s="161">
        <v>30</v>
      </c>
      <c r="I196" s="207">
        <v>100</v>
      </c>
      <c r="J196" s="242">
        <f t="shared" si="30"/>
        <v>3000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44671</v>
      </c>
      <c r="D197" s="161" t="s">
        <v>9</v>
      </c>
      <c r="E197" s="161" t="s">
        <v>3467</v>
      </c>
      <c r="F197" s="207">
        <v>300</v>
      </c>
      <c r="G197" s="207">
        <v>340</v>
      </c>
      <c r="H197" s="161">
        <v>40</v>
      </c>
      <c r="I197" s="207">
        <v>100</v>
      </c>
      <c r="J197" s="242">
        <f t="shared" si="30"/>
        <v>4000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44672</v>
      </c>
      <c r="D198" s="161" t="s">
        <v>9</v>
      </c>
      <c r="E198" s="161" t="s">
        <v>3597</v>
      </c>
      <c r="F198" s="207">
        <v>170</v>
      </c>
      <c r="G198" s="207">
        <v>230</v>
      </c>
      <c r="H198" s="161">
        <f>230-170</f>
        <v>60</v>
      </c>
      <c r="I198" s="207">
        <v>100</v>
      </c>
      <c r="J198" s="242">
        <f t="shared" si="30"/>
        <v>6000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44673</v>
      </c>
      <c r="D199" s="161" t="s">
        <v>9</v>
      </c>
      <c r="E199" s="161" t="s">
        <v>3611</v>
      </c>
      <c r="F199" s="207">
        <v>370</v>
      </c>
      <c r="G199" s="207">
        <v>570</v>
      </c>
      <c r="H199" s="161">
        <v>200</v>
      </c>
      <c r="I199" s="207">
        <v>100</v>
      </c>
      <c r="J199" s="242">
        <f t="shared" si="30"/>
        <v>20000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44676</v>
      </c>
      <c r="D200" s="161" t="s">
        <v>9</v>
      </c>
      <c r="E200" s="161" t="s">
        <v>3711</v>
      </c>
      <c r="F200" s="207">
        <v>420</v>
      </c>
      <c r="G200" s="207">
        <v>520</v>
      </c>
      <c r="H200" s="161">
        <v>100</v>
      </c>
      <c r="I200" s="207">
        <v>100</v>
      </c>
      <c r="J200" s="242">
        <f t="shared" si="30"/>
        <v>10000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44677</v>
      </c>
      <c r="D201" s="161" t="s">
        <v>9</v>
      </c>
      <c r="E201" s="161" t="s">
        <v>3447</v>
      </c>
      <c r="F201" s="207">
        <v>300</v>
      </c>
      <c r="G201" s="207">
        <v>358</v>
      </c>
      <c r="H201" s="161">
        <v>58</v>
      </c>
      <c r="I201" s="207">
        <v>100</v>
      </c>
      <c r="J201" s="242">
        <f t="shared" si="30"/>
        <v>5800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44678</v>
      </c>
      <c r="D202" s="161" t="s">
        <v>9</v>
      </c>
      <c r="E202" s="161" t="s">
        <v>3781</v>
      </c>
      <c r="F202" s="207">
        <v>240</v>
      </c>
      <c r="G202" s="207">
        <v>440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44679</v>
      </c>
      <c r="D203" s="161" t="s">
        <v>9</v>
      </c>
      <c r="E203" s="161" t="s">
        <v>3781</v>
      </c>
      <c r="F203" s="207">
        <v>160</v>
      </c>
      <c r="G203" s="207">
        <v>200</v>
      </c>
      <c r="H203" s="161">
        <v>40</v>
      </c>
      <c r="I203" s="207">
        <v>100</v>
      </c>
      <c r="J203" s="242">
        <f t="shared" si="30"/>
        <v>4000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44680</v>
      </c>
      <c r="D204" s="161" t="s">
        <v>9</v>
      </c>
      <c r="E204" s="161" t="s">
        <v>3447</v>
      </c>
      <c r="F204" s="207">
        <v>420</v>
      </c>
      <c r="G204" s="207">
        <v>520</v>
      </c>
      <c r="H204" s="161">
        <v>100</v>
      </c>
      <c r="I204" s="207">
        <v>100</v>
      </c>
      <c r="J204" s="242">
        <f t="shared" si="30"/>
        <v>10000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200800</v>
      </c>
      <c r="K209" s="153"/>
      <c r="V209" s="25">
        <f>SUM(V186:V208)</f>
        <v>18</v>
      </c>
      <c r="W209" s="25">
        <f>SUM(W186:W208)</f>
        <v>1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3754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44652</v>
      </c>
      <c r="D217" s="185" t="s">
        <v>9</v>
      </c>
      <c r="E217" s="185" t="s">
        <v>3749</v>
      </c>
      <c r="F217" s="231">
        <v>68</v>
      </c>
      <c r="G217" s="231">
        <v>58</v>
      </c>
      <c r="H217" s="231">
        <v>-10</v>
      </c>
      <c r="I217" s="219">
        <v>250</v>
      </c>
      <c r="J217" s="246">
        <f t="shared" ref="J217:J240" si="34">I217*H217</f>
        <v>-2500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>B217+1</f>
        <v>2</v>
      </c>
      <c r="C218" s="218">
        <v>44655</v>
      </c>
      <c r="D218" s="185" t="s">
        <v>9</v>
      </c>
      <c r="E218" s="185" t="s">
        <v>3759</v>
      </c>
      <c r="F218" s="231">
        <v>270</v>
      </c>
      <c r="G218" s="231">
        <v>220</v>
      </c>
      <c r="H218" s="231">
        <v>-50</v>
      </c>
      <c r="I218" s="219">
        <v>125</v>
      </c>
      <c r="J218" s="242">
        <f>I218*H218</f>
        <v>-6250</v>
      </c>
      <c r="K218" s="153"/>
      <c r="V218" s="25">
        <f>IF($J218&gt;0,1,0)</f>
        <v>0</v>
      </c>
      <c r="W218" s="25">
        <f>IF($J218&lt;0,1,0)</f>
        <v>1</v>
      </c>
    </row>
    <row r="219" spans="1:23" x14ac:dyDescent="0.3">
      <c r="A219" s="147"/>
      <c r="B219" s="205">
        <f t="shared" ref="B219:B240" si="35">B218+1</f>
        <v>3</v>
      </c>
      <c r="C219" s="206">
        <v>44656</v>
      </c>
      <c r="D219" s="161" t="s">
        <v>9</v>
      </c>
      <c r="E219" s="161" t="s">
        <v>3760</v>
      </c>
      <c r="F219" s="222">
        <v>210</v>
      </c>
      <c r="G219" s="222">
        <v>268</v>
      </c>
      <c r="H219" s="222">
        <f>268-210</f>
        <v>58</v>
      </c>
      <c r="I219" s="207">
        <v>125</v>
      </c>
      <c r="J219" s="242">
        <f t="shared" si="34"/>
        <v>7250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44657</v>
      </c>
      <c r="D220" s="161" t="s">
        <v>9</v>
      </c>
      <c r="E220" s="161" t="s">
        <v>3761</v>
      </c>
      <c r="F220" s="222">
        <v>50</v>
      </c>
      <c r="G220" s="222">
        <v>54</v>
      </c>
      <c r="H220" s="222">
        <v>4</v>
      </c>
      <c r="I220" s="207">
        <v>575</v>
      </c>
      <c r="J220" s="242">
        <f t="shared" si="34"/>
        <v>2300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44658</v>
      </c>
      <c r="D221" s="161" t="s">
        <v>9</v>
      </c>
      <c r="E221" s="161" t="s">
        <v>3762</v>
      </c>
      <c r="F221" s="222">
        <v>36</v>
      </c>
      <c r="G221" s="222">
        <v>30</v>
      </c>
      <c r="H221" s="222">
        <v>-6</v>
      </c>
      <c r="I221" s="207">
        <v>1250</v>
      </c>
      <c r="J221" s="242">
        <f t="shared" si="34"/>
        <v>-7500</v>
      </c>
      <c r="K221" s="153"/>
      <c r="V221" s="25">
        <f t="shared" si="36"/>
        <v>0</v>
      </c>
      <c r="W221" s="25">
        <f t="shared" si="37"/>
        <v>1</v>
      </c>
    </row>
    <row r="222" spans="1:23" x14ac:dyDescent="0.3">
      <c r="A222" s="147"/>
      <c r="B222" s="205">
        <f t="shared" si="35"/>
        <v>6</v>
      </c>
      <c r="C222" s="206">
        <v>44659</v>
      </c>
      <c r="D222" s="161" t="s">
        <v>9</v>
      </c>
      <c r="E222" s="161" t="s">
        <v>3763</v>
      </c>
      <c r="F222" s="222">
        <v>65</v>
      </c>
      <c r="G222" s="222">
        <v>75</v>
      </c>
      <c r="H222" s="222">
        <v>10</v>
      </c>
      <c r="I222" s="207">
        <v>250</v>
      </c>
      <c r="J222" s="242">
        <f t="shared" si="34"/>
        <v>2500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44662</v>
      </c>
      <c r="D223" s="161" t="s">
        <v>9</v>
      </c>
      <c r="E223" s="161" t="s">
        <v>3765</v>
      </c>
      <c r="F223" s="222">
        <v>60</v>
      </c>
      <c r="G223" s="222">
        <v>67</v>
      </c>
      <c r="H223" s="222">
        <v>7</v>
      </c>
      <c r="I223" s="207">
        <v>500</v>
      </c>
      <c r="J223" s="242">
        <f t="shared" si="34"/>
        <v>3500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44663</v>
      </c>
      <c r="D224" s="161" t="s">
        <v>9</v>
      </c>
      <c r="E224" s="161" t="s">
        <v>3432</v>
      </c>
      <c r="F224" s="222">
        <v>40</v>
      </c>
      <c r="G224" s="222">
        <v>54</v>
      </c>
      <c r="H224" s="222">
        <v>14</v>
      </c>
      <c r="I224" s="207">
        <v>400</v>
      </c>
      <c r="J224" s="242">
        <f t="shared" si="34"/>
        <v>5600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44664</v>
      </c>
      <c r="D225" s="161" t="s">
        <v>9</v>
      </c>
      <c r="E225" s="161" t="s">
        <v>3766</v>
      </c>
      <c r="F225" s="222">
        <v>185</v>
      </c>
      <c r="G225" s="222">
        <v>205</v>
      </c>
      <c r="H225" s="255">
        <f>205-185</f>
        <v>20</v>
      </c>
      <c r="I225" s="207">
        <v>125</v>
      </c>
      <c r="J225" s="242">
        <f t="shared" si="34"/>
        <v>2500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10</v>
      </c>
      <c r="C226" s="206">
        <v>44669</v>
      </c>
      <c r="D226" s="161" t="s">
        <v>9</v>
      </c>
      <c r="E226" s="161" t="s">
        <v>3769</v>
      </c>
      <c r="F226" s="222">
        <v>17</v>
      </c>
      <c r="G226" s="222">
        <v>22</v>
      </c>
      <c r="H226" s="255">
        <f>22-17</f>
        <v>5</v>
      </c>
      <c r="I226" s="207">
        <v>750</v>
      </c>
      <c r="J226" s="242">
        <f t="shared" si="34"/>
        <v>3750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44670</v>
      </c>
      <c r="D227" s="161" t="s">
        <v>9</v>
      </c>
      <c r="E227" s="161" t="s">
        <v>3770</v>
      </c>
      <c r="F227" s="222">
        <v>30</v>
      </c>
      <c r="G227" s="222">
        <v>32.5</v>
      </c>
      <c r="H227" s="255">
        <v>2.5</v>
      </c>
      <c r="I227" s="207">
        <v>1300</v>
      </c>
      <c r="J227" s="242">
        <f t="shared" si="34"/>
        <v>3250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44671</v>
      </c>
      <c r="D228" s="161" t="s">
        <v>9</v>
      </c>
      <c r="E228" s="161" t="s">
        <v>2718</v>
      </c>
      <c r="F228" s="222">
        <v>15</v>
      </c>
      <c r="G228" s="222">
        <v>19</v>
      </c>
      <c r="H228" s="255">
        <v>4</v>
      </c>
      <c r="I228" s="207">
        <v>1200</v>
      </c>
      <c r="J228" s="242">
        <f t="shared" si="34"/>
        <v>4800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44672</v>
      </c>
      <c r="D229" s="161" t="s">
        <v>9</v>
      </c>
      <c r="E229" s="161" t="s">
        <v>3771</v>
      </c>
      <c r="F229" s="222">
        <v>48</v>
      </c>
      <c r="G229" s="222">
        <v>58.8</v>
      </c>
      <c r="H229" s="255">
        <v>10.8</v>
      </c>
      <c r="I229" s="207">
        <v>250</v>
      </c>
      <c r="J229" s="242">
        <f t="shared" si="34"/>
        <v>2700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14</v>
      </c>
      <c r="C230" s="206">
        <v>44673</v>
      </c>
      <c r="D230" s="161" t="s">
        <v>9</v>
      </c>
      <c r="E230" s="161" t="s">
        <v>3772</v>
      </c>
      <c r="F230" s="222">
        <v>10</v>
      </c>
      <c r="G230" s="222">
        <v>6</v>
      </c>
      <c r="H230" s="255">
        <v>-4</v>
      </c>
      <c r="I230" s="207">
        <v>1300</v>
      </c>
      <c r="J230" s="242">
        <f>I230*H230</f>
        <v>-5200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15</v>
      </c>
      <c r="C231" s="206">
        <v>44676</v>
      </c>
      <c r="D231" s="161" t="s">
        <v>9</v>
      </c>
      <c r="E231" s="161" t="s">
        <v>3777</v>
      </c>
      <c r="F231" s="222">
        <v>38</v>
      </c>
      <c r="G231" s="222">
        <v>42</v>
      </c>
      <c r="H231" s="255">
        <f>42-38</f>
        <v>4</v>
      </c>
      <c r="I231" s="207">
        <v>250</v>
      </c>
      <c r="J231" s="242">
        <f t="shared" si="34"/>
        <v>1000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44677</v>
      </c>
      <c r="D232" s="161" t="s">
        <v>9</v>
      </c>
      <c r="E232" s="161" t="s">
        <v>3778</v>
      </c>
      <c r="F232" s="222">
        <v>6</v>
      </c>
      <c r="G232" s="222">
        <v>10</v>
      </c>
      <c r="H232" s="222">
        <v>4</v>
      </c>
      <c r="I232" s="207">
        <v>1500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44678</v>
      </c>
      <c r="D233" s="161" t="s">
        <v>9</v>
      </c>
      <c r="E233" s="161" t="s">
        <v>3779</v>
      </c>
      <c r="F233" s="222">
        <v>24</v>
      </c>
      <c r="G233" s="222">
        <v>34</v>
      </c>
      <c r="H233" s="222">
        <v>10</v>
      </c>
      <c r="I233" s="207">
        <v>250</v>
      </c>
      <c r="J233" s="242">
        <f t="shared" si="34"/>
        <v>2500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44679</v>
      </c>
      <c r="D234" s="161" t="s">
        <v>9</v>
      </c>
      <c r="E234" s="161" t="s">
        <v>3780</v>
      </c>
      <c r="F234" s="222">
        <v>18</v>
      </c>
      <c r="G234" s="222">
        <v>10</v>
      </c>
      <c r="H234" s="222">
        <v>-8</v>
      </c>
      <c r="I234" s="207">
        <v>250</v>
      </c>
      <c r="J234" s="242">
        <f t="shared" si="34"/>
        <v>-2000</v>
      </c>
      <c r="K234" s="153"/>
      <c r="V234" s="25">
        <f t="shared" si="36"/>
        <v>0</v>
      </c>
      <c r="W234" s="25">
        <f t="shared" si="37"/>
        <v>1</v>
      </c>
    </row>
    <row r="235" spans="1:23" x14ac:dyDescent="0.3">
      <c r="A235" s="147"/>
      <c r="B235" s="205">
        <f t="shared" si="35"/>
        <v>19</v>
      </c>
      <c r="C235" s="206">
        <v>44680</v>
      </c>
      <c r="D235" s="161" t="s">
        <v>9</v>
      </c>
      <c r="E235" s="161"/>
      <c r="F235" s="222"/>
      <c r="G235" s="222"/>
      <c r="H235" s="222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20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24200</v>
      </c>
      <c r="K241" s="153"/>
      <c r="V241" s="25">
        <f>SUM(V217:V240)</f>
        <v>13</v>
      </c>
      <c r="W241" s="25">
        <f>SUM(W217:W240)</f>
        <v>5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C00-000000000000}"/>
    <hyperlink ref="B115" r:id="rId2" xr:uid="{00000000-0004-0000-6C00-000001000000}"/>
    <hyperlink ref="B147" r:id="rId3" xr:uid="{00000000-0004-0000-6C00-000002000000}"/>
    <hyperlink ref="B178" r:id="rId4" xr:uid="{00000000-0004-0000-6C00-000003000000}"/>
    <hyperlink ref="B209" r:id="rId5" xr:uid="{00000000-0004-0000-6C00-000004000000}"/>
    <hyperlink ref="B241" r:id="rId6" xr:uid="{00000000-0004-0000-6C00-000005000000}"/>
    <hyperlink ref="M1" location="'MASTER '!A1" display="Back" xr:uid="{00000000-0004-0000-6C00-000006000000}"/>
    <hyperlink ref="M6:M7" location="'APRIL 2022'!A77" display="STOCK FUTURE" xr:uid="{00000000-0004-0000-6C00-000007000000}"/>
    <hyperlink ref="M12:M13" location="'APRIL 2022'!A170" display="BANK NIFTY" xr:uid="{00000000-0004-0000-6C00-000008000000}"/>
    <hyperlink ref="M10:M11" location="'APRIL 2022'!A139" display="NF. OPTION" xr:uid="{00000000-0004-0000-6C00-000009000000}"/>
    <hyperlink ref="M8:M9" location="'APRIL 2022'!A108" display="NIFTY FUTURE" xr:uid="{00000000-0004-0000-6C00-00000A000000}"/>
    <hyperlink ref="M4:M5" location="'APRIL 2022'!A1" display="CASH" xr:uid="{00000000-0004-0000-6C00-00000B000000}"/>
    <hyperlink ref="M14:M15" location="'APRIL 2022'!A201" display="B.NIFTY OPTION" xr:uid="{00000000-0004-0000-6C00-00000C000000}"/>
    <hyperlink ref="M16:M17" location="'APRIL 2022'!A216" display="STOCK OPTION" xr:uid="{00000000-0004-0000-6C00-00000D000000}"/>
    <hyperlink ref="B52" r:id="rId7" xr:uid="{00000000-0004-0000-6C00-00000E000000}"/>
  </hyperlinks>
  <pageMargins left="0" right="0" top="0" bottom="0" header="0" footer="0"/>
  <pageSetup scale="95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2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246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41673</v>
      </c>
      <c r="C6" s="2" t="s">
        <v>8</v>
      </c>
      <c r="D6" s="2" t="s">
        <v>25</v>
      </c>
      <c r="E6" s="41">
        <v>351</v>
      </c>
      <c r="F6" s="40">
        <v>343</v>
      </c>
      <c r="G6" s="5">
        <f>300000/E6</f>
        <v>854.70085470085473</v>
      </c>
      <c r="H6" s="4">
        <v>6840</v>
      </c>
      <c r="K6" s="16"/>
    </row>
    <row r="7" spans="1:11" x14ac:dyDescent="0.3">
      <c r="B7" s="43">
        <v>41674</v>
      </c>
      <c r="C7" s="2" t="s">
        <v>8</v>
      </c>
      <c r="D7" s="2" t="s">
        <v>37</v>
      </c>
      <c r="E7" s="41">
        <v>102</v>
      </c>
      <c r="F7" s="40">
        <v>101</v>
      </c>
      <c r="G7" s="5">
        <f t="shared" ref="G7:G11" si="0">300000/E7</f>
        <v>2941.1764705882351</v>
      </c>
      <c r="H7" s="4">
        <v>2941</v>
      </c>
      <c r="K7" s="16"/>
    </row>
    <row r="8" spans="1:11" x14ac:dyDescent="0.3">
      <c r="B8" s="43">
        <v>41675</v>
      </c>
      <c r="C8" s="2" t="s">
        <v>8</v>
      </c>
      <c r="D8" s="2" t="s">
        <v>83</v>
      </c>
      <c r="E8" s="41">
        <v>662</v>
      </c>
      <c r="F8" s="40">
        <v>652</v>
      </c>
      <c r="G8" s="5">
        <f t="shared" si="0"/>
        <v>453.17220543806644</v>
      </c>
      <c r="H8" s="4">
        <v>4530</v>
      </c>
      <c r="K8" s="16"/>
    </row>
    <row r="9" spans="1:11" x14ac:dyDescent="0.3">
      <c r="B9" s="43">
        <v>41676</v>
      </c>
      <c r="C9" s="2" t="s">
        <v>9</v>
      </c>
      <c r="D9" s="2" t="s">
        <v>37</v>
      </c>
      <c r="E9" s="41">
        <v>104</v>
      </c>
      <c r="F9" s="40">
        <v>106</v>
      </c>
      <c r="G9" s="5">
        <f t="shared" si="0"/>
        <v>2884.6153846153848</v>
      </c>
      <c r="H9" s="4">
        <v>5770</v>
      </c>
      <c r="K9" s="16"/>
    </row>
    <row r="10" spans="1:11" x14ac:dyDescent="0.3">
      <c r="B10" s="43">
        <v>41677</v>
      </c>
      <c r="C10" s="2" t="s">
        <v>8</v>
      </c>
      <c r="D10" s="2" t="s">
        <v>19</v>
      </c>
      <c r="E10" s="41">
        <v>1518</v>
      </c>
      <c r="F10" s="40">
        <v>1503</v>
      </c>
      <c r="G10" s="5">
        <f t="shared" si="0"/>
        <v>197.62845849802372</v>
      </c>
      <c r="H10" s="4">
        <v>2970</v>
      </c>
      <c r="K10" s="16"/>
    </row>
    <row r="11" spans="1:11" x14ac:dyDescent="0.3">
      <c r="B11" s="43">
        <v>41680</v>
      </c>
      <c r="C11" s="2" t="s">
        <v>8</v>
      </c>
      <c r="D11" s="59" t="s">
        <v>126</v>
      </c>
      <c r="E11" s="42">
        <v>2142</v>
      </c>
      <c r="F11" s="42">
        <v>2090</v>
      </c>
      <c r="G11" s="5">
        <f t="shared" si="0"/>
        <v>140.0560224089636</v>
      </c>
      <c r="H11" s="4">
        <v>7280</v>
      </c>
      <c r="K11" s="16"/>
    </row>
    <row r="12" spans="1:11" x14ac:dyDescent="0.3">
      <c r="B12" s="43">
        <v>41681</v>
      </c>
      <c r="C12" s="2" t="s">
        <v>11</v>
      </c>
      <c r="D12" s="2" t="s">
        <v>122</v>
      </c>
      <c r="E12" s="41">
        <v>1000</v>
      </c>
      <c r="F12" s="40">
        <v>1008</v>
      </c>
      <c r="G12" s="5">
        <v>300</v>
      </c>
      <c r="H12" s="4">
        <v>2400</v>
      </c>
      <c r="K12" s="16"/>
    </row>
    <row r="13" spans="1:11" x14ac:dyDescent="0.3">
      <c r="B13" s="43">
        <v>41682</v>
      </c>
      <c r="C13" s="2" t="s">
        <v>8</v>
      </c>
      <c r="D13" s="2" t="s">
        <v>25</v>
      </c>
      <c r="E13" s="41">
        <v>380</v>
      </c>
      <c r="F13" s="40">
        <v>375</v>
      </c>
      <c r="G13" s="5">
        <v>789</v>
      </c>
      <c r="H13" s="4">
        <v>3945</v>
      </c>
      <c r="K13" s="16"/>
    </row>
    <row r="14" spans="1:11" x14ac:dyDescent="0.3">
      <c r="B14" s="43">
        <v>41683</v>
      </c>
      <c r="C14" s="2" t="s">
        <v>8</v>
      </c>
      <c r="D14" s="2" t="s">
        <v>115</v>
      </c>
      <c r="E14" s="41">
        <v>265</v>
      </c>
      <c r="F14" s="40">
        <v>262</v>
      </c>
      <c r="G14" s="5">
        <v>1132</v>
      </c>
      <c r="H14" s="4">
        <v>3396</v>
      </c>
      <c r="K14" s="16"/>
    </row>
    <row r="15" spans="1:11" x14ac:dyDescent="0.3">
      <c r="B15" s="43">
        <v>41684</v>
      </c>
      <c r="C15" s="2" t="s">
        <v>8</v>
      </c>
      <c r="D15" s="2" t="s">
        <v>98</v>
      </c>
      <c r="E15" s="41">
        <v>1950</v>
      </c>
      <c r="F15" s="40">
        <v>1920</v>
      </c>
      <c r="G15" s="5">
        <v>153</v>
      </c>
      <c r="H15" s="4">
        <v>4590</v>
      </c>
      <c r="K15" s="16"/>
    </row>
    <row r="16" spans="1:11" x14ac:dyDescent="0.3">
      <c r="B16" s="43">
        <v>41687</v>
      </c>
      <c r="C16" s="2" t="s">
        <v>8</v>
      </c>
      <c r="D16" s="2" t="s">
        <v>49</v>
      </c>
      <c r="E16" s="41">
        <v>1010</v>
      </c>
      <c r="F16" s="40">
        <v>1025</v>
      </c>
      <c r="G16" s="5">
        <v>297</v>
      </c>
      <c r="H16" s="4">
        <v>-4455</v>
      </c>
      <c r="K16" s="16"/>
    </row>
    <row r="17" spans="2:11" x14ac:dyDescent="0.3">
      <c r="B17" s="43">
        <v>41688</v>
      </c>
      <c r="C17" s="2" t="s">
        <v>8</v>
      </c>
      <c r="D17" s="2" t="s">
        <v>19</v>
      </c>
      <c r="E17" s="41">
        <v>1505</v>
      </c>
      <c r="F17" s="40">
        <v>1506</v>
      </c>
      <c r="G17" s="5">
        <v>199</v>
      </c>
      <c r="H17" s="4">
        <v>-199</v>
      </c>
      <c r="K17" s="16"/>
    </row>
    <row r="18" spans="2:11" x14ac:dyDescent="0.3">
      <c r="B18" s="43">
        <v>41689</v>
      </c>
      <c r="C18" s="2" t="s">
        <v>8</v>
      </c>
      <c r="D18" s="2" t="s">
        <v>25</v>
      </c>
      <c r="E18" s="41">
        <v>373</v>
      </c>
      <c r="F18" s="40">
        <v>372</v>
      </c>
      <c r="G18" s="5">
        <v>804</v>
      </c>
      <c r="H18" s="4">
        <v>804</v>
      </c>
      <c r="K18" s="16"/>
    </row>
    <row r="19" spans="2:11" x14ac:dyDescent="0.3">
      <c r="B19" s="43">
        <v>41690</v>
      </c>
      <c r="C19" s="2" t="s">
        <v>9</v>
      </c>
      <c r="D19" s="2" t="s">
        <v>129</v>
      </c>
      <c r="E19" s="41">
        <v>663</v>
      </c>
      <c r="F19" s="40">
        <v>670</v>
      </c>
      <c r="G19" s="5">
        <f>300000/E19</f>
        <v>452.48868778280541</v>
      </c>
      <c r="H19" s="4">
        <v>3164</v>
      </c>
      <c r="K19" s="16"/>
    </row>
    <row r="20" spans="2:11" x14ac:dyDescent="0.3">
      <c r="B20" s="43">
        <v>41694</v>
      </c>
      <c r="C20" s="2" t="s">
        <v>9</v>
      </c>
      <c r="D20" s="2" t="s">
        <v>50</v>
      </c>
      <c r="E20" s="41">
        <v>622</v>
      </c>
      <c r="F20" s="40">
        <v>621</v>
      </c>
      <c r="G20" s="5">
        <f t="shared" ref="G20:G22" si="1">300000/E20</f>
        <v>482.3151125401929</v>
      </c>
      <c r="H20" s="4">
        <v>-482</v>
      </c>
      <c r="K20" s="16"/>
    </row>
    <row r="21" spans="2:11" x14ac:dyDescent="0.3">
      <c r="B21" s="43">
        <v>41695</v>
      </c>
      <c r="C21" s="2" t="s">
        <v>8</v>
      </c>
      <c r="D21" s="2" t="s">
        <v>19</v>
      </c>
      <c r="E21" s="41">
        <v>1505</v>
      </c>
      <c r="F21" s="40">
        <v>1500</v>
      </c>
      <c r="G21" s="5">
        <v>200</v>
      </c>
      <c r="H21" s="4">
        <v>1000</v>
      </c>
      <c r="K21" s="16"/>
    </row>
    <row r="22" spans="2:11" x14ac:dyDescent="0.3">
      <c r="B22" s="43">
        <v>41696</v>
      </c>
      <c r="C22" s="2" t="s">
        <v>9</v>
      </c>
      <c r="D22" s="2" t="s">
        <v>124</v>
      </c>
      <c r="E22" s="41">
        <v>398</v>
      </c>
      <c r="F22" s="40">
        <v>402</v>
      </c>
      <c r="G22" s="5">
        <f t="shared" si="1"/>
        <v>753.7688442211055</v>
      </c>
      <c r="H22" s="4">
        <v>3016</v>
      </c>
      <c r="K22" s="16"/>
    </row>
    <row r="23" spans="2:11" x14ac:dyDescent="0.3">
      <c r="B23" s="43">
        <v>41698</v>
      </c>
      <c r="C23" s="30" t="s">
        <v>8</v>
      </c>
      <c r="D23" s="30" t="s">
        <v>146</v>
      </c>
      <c r="E23" s="49">
        <v>113.5</v>
      </c>
      <c r="F23" s="49">
        <v>112.2</v>
      </c>
      <c r="G23" s="49" t="s">
        <v>274</v>
      </c>
      <c r="H23" s="28">
        <v>3435</v>
      </c>
      <c r="K23" s="16"/>
    </row>
    <row r="24" spans="2:11" ht="15.6" x14ac:dyDescent="0.3">
      <c r="B24" s="1"/>
      <c r="C24" s="28"/>
      <c r="D24" s="28"/>
      <c r="E24" s="28"/>
      <c r="F24" s="28"/>
      <c r="G24" s="49"/>
      <c r="H24" s="34">
        <v>50945</v>
      </c>
      <c r="K24" s="16"/>
    </row>
    <row r="25" spans="2:11" x14ac:dyDescent="0.3">
      <c r="B25" s="1"/>
      <c r="C25" s="28"/>
      <c r="D25" s="28"/>
      <c r="E25" s="28"/>
      <c r="F25" s="28"/>
      <c r="G25" s="49"/>
      <c r="H25" s="28"/>
    </row>
    <row r="26" spans="2:11" x14ac:dyDescent="0.3">
      <c r="B26" s="1"/>
      <c r="C26" s="28"/>
      <c r="D26" s="28"/>
      <c r="E26" s="28"/>
      <c r="F26" s="28"/>
      <c r="G26" s="28"/>
      <c r="H26" s="29"/>
    </row>
    <row r="27" spans="2:11" ht="15.6" x14ac:dyDescent="0.3">
      <c r="C27" s="28"/>
      <c r="D27" s="28"/>
      <c r="E27" s="28"/>
      <c r="F27" s="28"/>
      <c r="G27" s="28"/>
      <c r="H27" s="34"/>
    </row>
    <row r="28" spans="2:11" x14ac:dyDescent="0.3">
      <c r="B28" s="1"/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43">
        <v>41673</v>
      </c>
      <c r="C30" s="2" t="s">
        <v>8</v>
      </c>
      <c r="D30" s="2" t="s">
        <v>113</v>
      </c>
      <c r="E30" s="41">
        <v>108</v>
      </c>
      <c r="F30" s="40">
        <v>105</v>
      </c>
      <c r="G30" s="5">
        <v>2000</v>
      </c>
      <c r="H30" s="7" t="s">
        <v>280</v>
      </c>
    </row>
    <row r="31" spans="2:11" x14ac:dyDescent="0.3">
      <c r="B31" s="43">
        <v>41674</v>
      </c>
      <c r="C31" s="2" t="s">
        <v>8</v>
      </c>
      <c r="D31" s="2" t="s">
        <v>109</v>
      </c>
      <c r="E31" s="41">
        <v>871</v>
      </c>
      <c r="F31" s="40">
        <v>855</v>
      </c>
      <c r="G31" s="5">
        <v>250</v>
      </c>
      <c r="H31" s="28">
        <v>4000</v>
      </c>
    </row>
    <row r="32" spans="2:11" x14ac:dyDescent="0.3">
      <c r="B32" s="43">
        <v>41675</v>
      </c>
      <c r="C32" s="2" t="s">
        <v>8</v>
      </c>
      <c r="D32" s="2" t="s">
        <v>37</v>
      </c>
      <c r="E32" s="41">
        <v>103</v>
      </c>
      <c r="F32" s="40">
        <v>102</v>
      </c>
      <c r="G32" s="5">
        <v>2000</v>
      </c>
      <c r="H32" s="28">
        <v>2000</v>
      </c>
    </row>
    <row r="33" spans="2:8" x14ac:dyDescent="0.3">
      <c r="B33" s="43">
        <v>41676</v>
      </c>
      <c r="C33" s="2" t="s">
        <v>9</v>
      </c>
      <c r="D33" s="2" t="s">
        <v>26</v>
      </c>
      <c r="E33" s="41">
        <v>138</v>
      </c>
      <c r="F33" s="40">
        <v>139.5</v>
      </c>
      <c r="G33" s="5">
        <v>2000</v>
      </c>
      <c r="H33" s="28">
        <v>3000</v>
      </c>
    </row>
    <row r="34" spans="2:8" x14ac:dyDescent="0.3">
      <c r="B34" s="43">
        <v>41677</v>
      </c>
      <c r="C34" s="2" t="s">
        <v>8</v>
      </c>
      <c r="D34" s="2" t="s">
        <v>25</v>
      </c>
      <c r="E34" s="41">
        <v>370</v>
      </c>
      <c r="F34" s="40">
        <v>376</v>
      </c>
      <c r="G34" s="5">
        <v>1000</v>
      </c>
      <c r="H34" s="28">
        <v>6000</v>
      </c>
    </row>
    <row r="35" spans="2:8" x14ac:dyDescent="0.3">
      <c r="B35" s="43">
        <v>41680</v>
      </c>
      <c r="C35" s="2" t="s">
        <v>8</v>
      </c>
      <c r="D35" s="2" t="s">
        <v>58</v>
      </c>
      <c r="E35" s="42">
        <v>1129</v>
      </c>
      <c r="F35" s="42">
        <v>1118.5999999999999</v>
      </c>
      <c r="G35" s="5">
        <v>250</v>
      </c>
      <c r="H35" s="28">
        <v>2500</v>
      </c>
    </row>
    <row r="36" spans="2:8" x14ac:dyDescent="0.3">
      <c r="B36" s="43">
        <v>41681</v>
      </c>
      <c r="C36" s="2" t="s">
        <v>8</v>
      </c>
      <c r="D36" s="2" t="s">
        <v>275</v>
      </c>
      <c r="E36" s="42">
        <v>356</v>
      </c>
      <c r="F36" s="42">
        <v>361</v>
      </c>
      <c r="G36" s="5">
        <v>1000</v>
      </c>
      <c r="H36" s="28">
        <v>5000</v>
      </c>
    </row>
    <row r="37" spans="2:8" x14ac:dyDescent="0.3">
      <c r="B37" s="43">
        <v>41682</v>
      </c>
      <c r="C37" s="2" t="s">
        <v>8</v>
      </c>
      <c r="D37" s="2" t="s">
        <v>25</v>
      </c>
      <c r="E37" s="41" t="s">
        <v>247</v>
      </c>
      <c r="F37" s="40" t="s">
        <v>248</v>
      </c>
      <c r="G37" s="5">
        <v>1000</v>
      </c>
      <c r="H37" s="28">
        <v>5000</v>
      </c>
    </row>
    <row r="38" spans="2:8" x14ac:dyDescent="0.3">
      <c r="B38" s="43">
        <v>41683</v>
      </c>
      <c r="C38" s="2" t="s">
        <v>8</v>
      </c>
      <c r="D38" s="2" t="s">
        <v>250</v>
      </c>
      <c r="E38" s="41" t="s">
        <v>251</v>
      </c>
      <c r="F38" s="40" t="s">
        <v>252</v>
      </c>
      <c r="G38" s="5">
        <v>250</v>
      </c>
      <c r="H38" s="28">
        <v>1250</v>
      </c>
    </row>
    <row r="39" spans="2:8" x14ac:dyDescent="0.3">
      <c r="B39" s="43">
        <v>41684</v>
      </c>
      <c r="C39" s="2" t="s">
        <v>8</v>
      </c>
      <c r="D39" s="2" t="s">
        <v>98</v>
      </c>
      <c r="E39" s="41" t="s">
        <v>259</v>
      </c>
      <c r="F39" s="40" t="s">
        <v>260</v>
      </c>
      <c r="G39" s="5">
        <v>125</v>
      </c>
      <c r="H39" s="28">
        <v>2500</v>
      </c>
    </row>
    <row r="40" spans="2:8" x14ac:dyDescent="0.3">
      <c r="B40" s="43">
        <v>41687</v>
      </c>
      <c r="C40" s="2" t="s">
        <v>8</v>
      </c>
      <c r="D40" s="2" t="s">
        <v>255</v>
      </c>
      <c r="E40" s="41" t="s">
        <v>256</v>
      </c>
      <c r="F40" s="40" t="s">
        <v>257</v>
      </c>
      <c r="G40" s="5">
        <v>2000</v>
      </c>
      <c r="H40" s="28">
        <v>3000</v>
      </c>
    </row>
    <row r="41" spans="2:8" x14ac:dyDescent="0.3">
      <c r="B41" s="43">
        <v>41688</v>
      </c>
      <c r="C41" s="2" t="s">
        <v>8</v>
      </c>
      <c r="D41" s="2" t="s">
        <v>85</v>
      </c>
      <c r="E41" s="41" t="s">
        <v>261</v>
      </c>
      <c r="F41" s="40" t="s">
        <v>262</v>
      </c>
      <c r="G41" s="5">
        <v>1000</v>
      </c>
      <c r="H41" s="28">
        <v>-500</v>
      </c>
    </row>
    <row r="42" spans="2:8" x14ac:dyDescent="0.3">
      <c r="B42" s="43">
        <v>41689</v>
      </c>
      <c r="C42" s="2" t="s">
        <v>9</v>
      </c>
      <c r="D42" s="2" t="s">
        <v>50</v>
      </c>
      <c r="E42" s="41" t="s">
        <v>263</v>
      </c>
      <c r="F42" s="40" t="s">
        <v>264</v>
      </c>
      <c r="G42" s="5">
        <v>500</v>
      </c>
      <c r="H42" s="28">
        <v>3500</v>
      </c>
    </row>
    <row r="43" spans="2:8" x14ac:dyDescent="0.3">
      <c r="B43" s="43">
        <v>41690</v>
      </c>
      <c r="C43" s="2" t="s">
        <v>9</v>
      </c>
      <c r="D43" s="2" t="s">
        <v>48</v>
      </c>
      <c r="E43" s="41" t="s">
        <v>277</v>
      </c>
      <c r="F43" s="40" t="s">
        <v>276</v>
      </c>
      <c r="G43" s="5">
        <v>500</v>
      </c>
      <c r="H43" s="28">
        <v>2500</v>
      </c>
    </row>
    <row r="44" spans="2:8" x14ac:dyDescent="0.3">
      <c r="B44" s="43">
        <v>41691</v>
      </c>
      <c r="C44" s="2" t="s">
        <v>8</v>
      </c>
      <c r="D44" s="2" t="s">
        <v>22</v>
      </c>
      <c r="E44" s="41" t="s">
        <v>227</v>
      </c>
      <c r="F44" s="40" t="s">
        <v>230</v>
      </c>
      <c r="G44" s="5">
        <v>4000</v>
      </c>
      <c r="H44" s="28">
        <v>4000</v>
      </c>
    </row>
    <row r="45" spans="2:8" x14ac:dyDescent="0.3">
      <c r="B45" s="43">
        <v>41694</v>
      </c>
      <c r="C45" s="2" t="s">
        <v>9</v>
      </c>
      <c r="D45" s="2" t="s">
        <v>90</v>
      </c>
      <c r="E45" s="41" t="s">
        <v>266</v>
      </c>
      <c r="F45" s="40" t="s">
        <v>267</v>
      </c>
      <c r="G45" s="5">
        <v>250</v>
      </c>
      <c r="H45" s="28">
        <v>-1250</v>
      </c>
    </row>
    <row r="46" spans="2:8" x14ac:dyDescent="0.3">
      <c r="B46" s="43">
        <v>41695</v>
      </c>
      <c r="C46" s="2" t="s">
        <v>8</v>
      </c>
      <c r="D46" s="2" t="s">
        <v>157</v>
      </c>
      <c r="E46" s="41" t="s">
        <v>268</v>
      </c>
      <c r="F46" s="40" t="s">
        <v>269</v>
      </c>
      <c r="G46" s="5">
        <v>1000</v>
      </c>
      <c r="H46" s="28">
        <v>5000</v>
      </c>
    </row>
    <row r="47" spans="2:8" x14ac:dyDescent="0.3">
      <c r="B47" s="43">
        <v>41696</v>
      </c>
      <c r="C47" s="28" t="s">
        <v>9</v>
      </c>
      <c r="D47" s="28" t="s">
        <v>188</v>
      </c>
      <c r="E47" s="49" t="s">
        <v>278</v>
      </c>
      <c r="F47" s="49" t="s">
        <v>279</v>
      </c>
      <c r="G47" s="30">
        <v>4000</v>
      </c>
      <c r="H47" s="28">
        <v>4000</v>
      </c>
    </row>
    <row r="48" spans="2:8" x14ac:dyDescent="0.3">
      <c r="B48" s="43">
        <v>41698</v>
      </c>
      <c r="C48" s="4" t="s">
        <v>8</v>
      </c>
      <c r="D48" s="4" t="s">
        <v>25</v>
      </c>
      <c r="E48" s="41" t="s">
        <v>271</v>
      </c>
      <c r="F48" s="41" t="s">
        <v>272</v>
      </c>
      <c r="G48" s="49" t="s">
        <v>273</v>
      </c>
      <c r="H48" s="28">
        <v>-4000</v>
      </c>
    </row>
    <row r="49" spans="2:10" ht="15.6" x14ac:dyDescent="0.3">
      <c r="B49" s="1"/>
      <c r="C49" s="28"/>
      <c r="D49" s="28"/>
      <c r="E49" s="49"/>
      <c r="F49" s="49"/>
      <c r="G49" s="28"/>
      <c r="H49" s="34">
        <v>47500</v>
      </c>
    </row>
    <row r="50" spans="2:10" ht="15.6" x14ac:dyDescent="0.3">
      <c r="B50" s="1"/>
      <c r="C50" s="28"/>
      <c r="D50" s="28"/>
      <c r="E50" s="28"/>
      <c r="F50" s="28"/>
      <c r="G50" s="28"/>
      <c r="H50" s="34"/>
    </row>
    <row r="51" spans="2:10" x14ac:dyDescent="0.3">
      <c r="B51" s="1"/>
    </row>
    <row r="52" spans="2:10" x14ac:dyDescent="0.3">
      <c r="B52" s="1"/>
    </row>
    <row r="53" spans="2:10" ht="15.6" x14ac:dyDescent="0.3">
      <c r="B53" s="48" t="s">
        <v>63</v>
      </c>
      <c r="C53" s="48"/>
      <c r="D53" s="48"/>
      <c r="E53" s="48"/>
      <c r="F53" s="48"/>
      <c r="G53" s="48"/>
      <c r="H53" s="48"/>
    </row>
    <row r="54" spans="2:10" x14ac:dyDescent="0.3">
      <c r="B54" s="43">
        <v>41673</v>
      </c>
      <c r="C54" s="2" t="s">
        <v>8</v>
      </c>
      <c r="D54" s="2" t="s">
        <v>41</v>
      </c>
      <c r="E54" s="41">
        <v>10200</v>
      </c>
      <c r="F54" s="40">
        <v>10150</v>
      </c>
      <c r="G54" s="4">
        <v>50</v>
      </c>
      <c r="H54" s="4">
        <v>2500</v>
      </c>
    </row>
    <row r="55" spans="2:10" x14ac:dyDescent="0.3">
      <c r="B55" s="43">
        <v>41674</v>
      </c>
      <c r="C55" s="2" t="s">
        <v>9</v>
      </c>
      <c r="D55" s="2" t="s">
        <v>39</v>
      </c>
      <c r="E55" s="41">
        <v>5975</v>
      </c>
      <c r="F55" s="40">
        <v>6000</v>
      </c>
      <c r="G55" s="4">
        <v>100</v>
      </c>
      <c r="H55" s="4">
        <v>2500</v>
      </c>
    </row>
    <row r="56" spans="2:10" x14ac:dyDescent="0.3">
      <c r="B56" s="43">
        <v>41675</v>
      </c>
      <c r="C56" s="2" t="s">
        <v>8</v>
      </c>
      <c r="D56" s="2" t="s">
        <v>39</v>
      </c>
      <c r="E56" s="41">
        <v>6015</v>
      </c>
      <c r="F56" s="40">
        <v>5995</v>
      </c>
      <c r="G56" s="4">
        <v>100</v>
      </c>
      <c r="H56" s="28">
        <v>2000</v>
      </c>
    </row>
    <row r="57" spans="2:10" x14ac:dyDescent="0.3">
      <c r="B57" s="43">
        <v>41676</v>
      </c>
      <c r="C57" s="2" t="s">
        <v>8</v>
      </c>
      <c r="D57" s="2" t="s">
        <v>39</v>
      </c>
      <c r="E57" s="41">
        <v>6050</v>
      </c>
      <c r="F57" s="40">
        <v>6020</v>
      </c>
      <c r="G57" s="4">
        <v>100</v>
      </c>
      <c r="H57" s="4">
        <v>3000</v>
      </c>
    </row>
    <row r="58" spans="2:10" x14ac:dyDescent="0.3">
      <c r="B58" s="43">
        <v>41677</v>
      </c>
      <c r="C58" s="2" t="s">
        <v>8</v>
      </c>
      <c r="D58" s="2" t="s">
        <v>41</v>
      </c>
      <c r="E58" s="41">
        <v>10300</v>
      </c>
      <c r="F58" s="40">
        <v>10270</v>
      </c>
      <c r="G58" s="4">
        <v>50</v>
      </c>
      <c r="H58" s="4">
        <v>1500</v>
      </c>
      <c r="J58" s="1"/>
    </row>
    <row r="59" spans="2:10" x14ac:dyDescent="0.3">
      <c r="B59" s="43">
        <v>41680</v>
      </c>
      <c r="C59" s="2" t="s">
        <v>8</v>
      </c>
      <c r="D59" s="2" t="s">
        <v>41</v>
      </c>
      <c r="E59" s="42">
        <v>10270</v>
      </c>
      <c r="F59" s="42">
        <v>10230</v>
      </c>
      <c r="G59" s="4">
        <v>50</v>
      </c>
      <c r="H59" s="4">
        <v>2000</v>
      </c>
      <c r="J59" s="1"/>
    </row>
    <row r="60" spans="2:10" x14ac:dyDescent="0.3">
      <c r="B60" s="43">
        <v>41681</v>
      </c>
      <c r="C60" s="2" t="s">
        <v>8</v>
      </c>
      <c r="D60" s="2" t="s">
        <v>39</v>
      </c>
      <c r="E60" s="42">
        <v>6085</v>
      </c>
      <c r="F60" s="42">
        <v>6065</v>
      </c>
      <c r="G60" s="4">
        <v>100</v>
      </c>
      <c r="H60" s="28">
        <v>2000</v>
      </c>
      <c r="J60" s="1"/>
    </row>
    <row r="61" spans="2:10" x14ac:dyDescent="0.3">
      <c r="B61" s="43">
        <v>41682</v>
      </c>
      <c r="C61" s="7" t="s">
        <v>9</v>
      </c>
      <c r="D61" s="30" t="s">
        <v>39</v>
      </c>
      <c r="E61" s="40">
        <v>6110</v>
      </c>
      <c r="F61" s="40">
        <v>6125</v>
      </c>
      <c r="G61" s="4">
        <v>100</v>
      </c>
      <c r="H61" s="4">
        <v>-1500</v>
      </c>
      <c r="J61" s="1"/>
    </row>
    <row r="62" spans="2:10" x14ac:dyDescent="0.3">
      <c r="B62" s="43">
        <v>41683</v>
      </c>
      <c r="C62" s="7" t="s">
        <v>8</v>
      </c>
      <c r="D62" s="7" t="s">
        <v>39</v>
      </c>
      <c r="E62" s="41">
        <v>6060</v>
      </c>
      <c r="F62" s="40">
        <v>6025</v>
      </c>
      <c r="G62" s="4">
        <v>100</v>
      </c>
      <c r="H62" s="4">
        <v>3500</v>
      </c>
      <c r="J62" s="1"/>
    </row>
    <row r="63" spans="2:10" x14ac:dyDescent="0.3">
      <c r="B63" s="43">
        <v>41684</v>
      </c>
      <c r="C63" s="7" t="s">
        <v>8</v>
      </c>
      <c r="D63" s="7" t="s">
        <v>39</v>
      </c>
      <c r="E63" s="41">
        <v>6020</v>
      </c>
      <c r="F63" s="40">
        <v>6003</v>
      </c>
      <c r="G63" s="4">
        <v>100</v>
      </c>
      <c r="H63" s="4">
        <v>1700</v>
      </c>
      <c r="J63" s="1"/>
    </row>
    <row r="64" spans="2:10" x14ac:dyDescent="0.3">
      <c r="B64" s="43">
        <v>41687</v>
      </c>
      <c r="C64" s="7" t="s">
        <v>8</v>
      </c>
      <c r="D64" s="7" t="s">
        <v>39</v>
      </c>
      <c r="E64" s="41">
        <v>6060</v>
      </c>
      <c r="F64" s="41">
        <v>6080</v>
      </c>
      <c r="G64" s="4">
        <v>100</v>
      </c>
      <c r="H64" s="4">
        <v>-2000</v>
      </c>
      <c r="J64" s="46"/>
    </row>
    <row r="65" spans="2:10" x14ac:dyDescent="0.3">
      <c r="B65" s="43">
        <v>41688</v>
      </c>
      <c r="C65" s="7" t="s">
        <v>9</v>
      </c>
      <c r="D65" s="7" t="s">
        <v>39</v>
      </c>
      <c r="E65" s="41">
        <v>6105</v>
      </c>
      <c r="F65" s="40">
        <v>6140</v>
      </c>
      <c r="G65" s="4">
        <v>100</v>
      </c>
      <c r="H65" s="4">
        <v>3500</v>
      </c>
      <c r="J65" s="46"/>
    </row>
    <row r="66" spans="2:10" x14ac:dyDescent="0.3">
      <c r="B66" s="43">
        <v>41689</v>
      </c>
      <c r="C66" s="4" t="s">
        <v>8</v>
      </c>
      <c r="D66" s="7" t="s">
        <v>39</v>
      </c>
      <c r="E66" s="41">
        <v>6140</v>
      </c>
      <c r="F66" s="41">
        <v>6145</v>
      </c>
      <c r="G66" s="4">
        <v>100</v>
      </c>
      <c r="H66" s="4">
        <v>-500</v>
      </c>
      <c r="J66" s="46"/>
    </row>
    <row r="67" spans="2:10" x14ac:dyDescent="0.3">
      <c r="B67" s="43">
        <v>41690</v>
      </c>
      <c r="C67" s="7" t="s">
        <v>8</v>
      </c>
      <c r="D67" s="7" t="s">
        <v>39</v>
      </c>
      <c r="E67" s="41">
        <v>6130</v>
      </c>
      <c r="F67" s="40">
        <v>6110</v>
      </c>
      <c r="G67" s="4">
        <v>100</v>
      </c>
      <c r="H67" s="4">
        <v>2000</v>
      </c>
      <c r="J67" s="46"/>
    </row>
    <row r="68" spans="2:10" x14ac:dyDescent="0.3">
      <c r="B68" s="43">
        <v>41694</v>
      </c>
      <c r="C68" s="7" t="s">
        <v>8</v>
      </c>
      <c r="D68" s="7" t="s">
        <v>39</v>
      </c>
      <c r="E68" s="41">
        <v>6150</v>
      </c>
      <c r="F68" s="40">
        <v>6170</v>
      </c>
      <c r="G68" s="4">
        <v>100</v>
      </c>
      <c r="H68" s="4">
        <v>-2000</v>
      </c>
      <c r="J68" s="46"/>
    </row>
    <row r="69" spans="2:10" x14ac:dyDescent="0.3">
      <c r="B69" s="43">
        <v>41695</v>
      </c>
      <c r="C69" s="7" t="s">
        <v>8</v>
      </c>
      <c r="D69" s="7" t="s">
        <v>39</v>
      </c>
      <c r="E69" s="41">
        <v>6205</v>
      </c>
      <c r="F69" s="40">
        <v>6185</v>
      </c>
      <c r="G69" s="4">
        <v>100</v>
      </c>
      <c r="H69" s="4">
        <v>2000</v>
      </c>
      <c r="J69" s="46"/>
    </row>
    <row r="70" spans="2:10" x14ac:dyDescent="0.3">
      <c r="B70" s="43">
        <v>41696</v>
      </c>
      <c r="C70" s="28" t="s">
        <v>9</v>
      </c>
      <c r="D70" s="7" t="s">
        <v>41</v>
      </c>
      <c r="E70" s="49">
        <v>10670</v>
      </c>
      <c r="F70" s="49">
        <v>10710</v>
      </c>
      <c r="G70" s="4">
        <v>50</v>
      </c>
      <c r="H70" s="28">
        <v>2000</v>
      </c>
      <c r="J70" s="46"/>
    </row>
    <row r="71" spans="2:10" x14ac:dyDescent="0.3">
      <c r="B71" s="43">
        <v>41698</v>
      </c>
      <c r="C71" s="3" t="s">
        <v>9</v>
      </c>
      <c r="D71" s="7" t="s">
        <v>39</v>
      </c>
      <c r="E71" s="41">
        <v>6280</v>
      </c>
      <c r="F71" s="41">
        <v>6285</v>
      </c>
      <c r="G71" s="4">
        <v>100</v>
      </c>
      <c r="H71" s="4">
        <v>500</v>
      </c>
      <c r="J71" s="47"/>
    </row>
    <row r="72" spans="2:10" ht="15.6" x14ac:dyDescent="0.3">
      <c r="B72" s="43"/>
      <c r="C72" s="3"/>
      <c r="D72" s="2"/>
      <c r="E72" s="4"/>
      <c r="F72" s="4"/>
      <c r="G72" s="4"/>
      <c r="H72" s="35">
        <v>24700</v>
      </c>
      <c r="J72" s="46"/>
    </row>
    <row r="73" spans="2:10" x14ac:dyDescent="0.3">
      <c r="B73" s="43"/>
      <c r="C73" s="3"/>
      <c r="D73" s="2"/>
      <c r="E73" s="4"/>
      <c r="F73" s="4"/>
      <c r="G73" s="4"/>
      <c r="H73" s="38"/>
      <c r="J73" s="46"/>
    </row>
    <row r="74" spans="2:10" x14ac:dyDescent="0.3">
      <c r="B74" s="43"/>
      <c r="C74" s="3"/>
      <c r="D74" s="2"/>
      <c r="E74" s="4"/>
      <c r="F74" s="4"/>
      <c r="G74" s="4"/>
      <c r="H74" s="38"/>
      <c r="J74" s="46"/>
    </row>
    <row r="75" spans="2:10" x14ac:dyDescent="0.3">
      <c r="B75" s="43"/>
      <c r="C75" s="3"/>
      <c r="D75" s="2"/>
      <c r="E75" s="4"/>
      <c r="F75" s="4"/>
      <c r="G75" s="4"/>
      <c r="H75" s="38"/>
    </row>
    <row r="76" spans="2:10" x14ac:dyDescent="0.3">
      <c r="B76" s="43"/>
      <c r="C76" s="28"/>
      <c r="D76" s="30"/>
      <c r="E76" s="28"/>
      <c r="F76" s="28"/>
      <c r="G76" s="28"/>
      <c r="H76" s="28"/>
    </row>
    <row r="77" spans="2:10" ht="15.6" x14ac:dyDescent="0.3">
      <c r="B77" s="48" t="s">
        <v>64</v>
      </c>
      <c r="C77" s="48"/>
      <c r="D77" s="48"/>
      <c r="E77" s="48"/>
      <c r="F77" s="48"/>
      <c r="G77" s="48"/>
      <c r="H77" s="48"/>
    </row>
    <row r="78" spans="2:10" x14ac:dyDescent="0.3">
      <c r="B78" s="43">
        <v>41673</v>
      </c>
      <c r="C78" s="3" t="s">
        <v>9</v>
      </c>
      <c r="D78" s="3" t="s">
        <v>281</v>
      </c>
      <c r="E78" s="40">
        <v>105</v>
      </c>
      <c r="F78" s="40">
        <v>125</v>
      </c>
      <c r="G78" s="30">
        <v>200</v>
      </c>
      <c r="H78" s="8">
        <v>4000</v>
      </c>
    </row>
    <row r="79" spans="2:10" x14ac:dyDescent="0.3">
      <c r="B79" s="43">
        <v>41675</v>
      </c>
      <c r="C79" s="3" t="s">
        <v>9</v>
      </c>
      <c r="D79" s="3" t="s">
        <v>281</v>
      </c>
      <c r="E79" s="40">
        <v>105</v>
      </c>
      <c r="F79" s="40">
        <v>120</v>
      </c>
      <c r="G79" s="30">
        <v>200</v>
      </c>
      <c r="H79" s="5">
        <v>3000</v>
      </c>
    </row>
    <row r="80" spans="2:10" x14ac:dyDescent="0.3">
      <c r="B80" s="43">
        <v>41677</v>
      </c>
      <c r="C80" s="5" t="s">
        <v>9</v>
      </c>
      <c r="D80" s="3" t="s">
        <v>281</v>
      </c>
      <c r="E80" s="40">
        <v>102</v>
      </c>
      <c r="F80" s="40">
        <v>112</v>
      </c>
      <c r="G80" s="30">
        <v>200</v>
      </c>
      <c r="H80" s="5">
        <v>2000</v>
      </c>
    </row>
    <row r="81" spans="2:8" x14ac:dyDescent="0.3">
      <c r="B81" s="43">
        <v>41680</v>
      </c>
      <c r="C81" s="3" t="s">
        <v>9</v>
      </c>
      <c r="D81" s="3" t="s">
        <v>281</v>
      </c>
      <c r="E81" s="40">
        <v>100</v>
      </c>
      <c r="F81" s="40">
        <v>115</v>
      </c>
      <c r="G81" s="30">
        <v>200</v>
      </c>
      <c r="H81" s="8">
        <v>3000</v>
      </c>
    </row>
    <row r="82" spans="2:8" x14ac:dyDescent="0.3">
      <c r="B82" s="43">
        <v>41681</v>
      </c>
      <c r="C82" s="3" t="s">
        <v>9</v>
      </c>
      <c r="D82" s="3" t="s">
        <v>281</v>
      </c>
      <c r="E82" s="40">
        <v>100</v>
      </c>
      <c r="F82" s="40">
        <v>108</v>
      </c>
      <c r="G82" s="30">
        <v>200</v>
      </c>
      <c r="H82" s="5">
        <v>1600</v>
      </c>
    </row>
    <row r="83" spans="2:8" x14ac:dyDescent="0.3">
      <c r="B83" s="43">
        <v>41682</v>
      </c>
      <c r="C83" s="5" t="s">
        <v>9</v>
      </c>
      <c r="D83" s="5" t="s">
        <v>249</v>
      </c>
      <c r="E83" s="41">
        <v>87</v>
      </c>
      <c r="F83" s="40">
        <v>73</v>
      </c>
      <c r="G83" s="30">
        <v>200</v>
      </c>
      <c r="H83" s="5">
        <v>-2800</v>
      </c>
    </row>
    <row r="84" spans="2:8" x14ac:dyDescent="0.3">
      <c r="B84" s="43">
        <v>41683</v>
      </c>
      <c r="C84" s="5" t="s">
        <v>9</v>
      </c>
      <c r="D84" s="5" t="s">
        <v>253</v>
      </c>
      <c r="E84" s="41">
        <v>40</v>
      </c>
      <c r="F84" s="40">
        <v>60</v>
      </c>
      <c r="G84" s="30">
        <v>200</v>
      </c>
      <c r="H84" s="8">
        <v>4000</v>
      </c>
    </row>
    <row r="85" spans="2:8" x14ac:dyDescent="0.3">
      <c r="B85" s="43">
        <v>41684</v>
      </c>
      <c r="C85" s="5" t="s">
        <v>9</v>
      </c>
      <c r="D85" s="5" t="s">
        <v>254</v>
      </c>
      <c r="E85" s="41">
        <v>85</v>
      </c>
      <c r="F85" s="40">
        <v>100</v>
      </c>
      <c r="G85" s="30">
        <v>200</v>
      </c>
      <c r="H85" s="8">
        <v>3000</v>
      </c>
    </row>
    <row r="86" spans="2:8" x14ac:dyDescent="0.3">
      <c r="B86" s="43">
        <v>41687</v>
      </c>
      <c r="C86" s="3" t="s">
        <v>9</v>
      </c>
      <c r="D86" s="3" t="s">
        <v>258</v>
      </c>
      <c r="E86" s="41">
        <v>80</v>
      </c>
      <c r="F86" s="40">
        <v>65</v>
      </c>
      <c r="G86" s="30">
        <v>200</v>
      </c>
      <c r="H86" s="8">
        <v>-3000</v>
      </c>
    </row>
    <row r="87" spans="2:8" x14ac:dyDescent="0.3">
      <c r="B87" s="43">
        <v>41688</v>
      </c>
      <c r="C87" s="5" t="s">
        <v>9</v>
      </c>
      <c r="D87" s="3" t="s">
        <v>249</v>
      </c>
      <c r="E87" s="41">
        <v>55</v>
      </c>
      <c r="F87" s="40">
        <v>75</v>
      </c>
      <c r="G87" s="30">
        <v>200</v>
      </c>
      <c r="H87" s="8">
        <v>4000</v>
      </c>
    </row>
    <row r="88" spans="2:8" x14ac:dyDescent="0.3">
      <c r="B88" s="43">
        <v>41690</v>
      </c>
      <c r="C88" s="5" t="s">
        <v>9</v>
      </c>
      <c r="D88" s="3" t="s">
        <v>265</v>
      </c>
      <c r="E88" s="40">
        <v>120</v>
      </c>
      <c r="F88" s="40">
        <v>130</v>
      </c>
      <c r="G88" s="30">
        <v>200</v>
      </c>
      <c r="H88" s="8">
        <v>2000</v>
      </c>
    </row>
    <row r="89" spans="2:8" x14ac:dyDescent="0.3">
      <c r="B89" s="43">
        <v>41694</v>
      </c>
      <c r="C89" s="1" t="s">
        <v>9</v>
      </c>
      <c r="D89" s="3" t="s">
        <v>265</v>
      </c>
      <c r="E89" s="40">
        <v>56</v>
      </c>
      <c r="F89" s="40">
        <v>45</v>
      </c>
      <c r="G89" s="30">
        <v>200</v>
      </c>
      <c r="H89" s="8">
        <v>-1800</v>
      </c>
    </row>
    <row r="90" spans="2:8" x14ac:dyDescent="0.3">
      <c r="B90" s="43">
        <v>41695</v>
      </c>
      <c r="C90" s="1" t="s">
        <v>9</v>
      </c>
      <c r="D90" s="3" t="s">
        <v>265</v>
      </c>
      <c r="E90" s="40">
        <v>18</v>
      </c>
      <c r="F90" s="40">
        <v>28</v>
      </c>
      <c r="G90" s="30">
        <v>200</v>
      </c>
      <c r="H90" s="5">
        <v>2000</v>
      </c>
    </row>
    <row r="91" spans="2:8" x14ac:dyDescent="0.3">
      <c r="B91" s="43">
        <v>41698</v>
      </c>
      <c r="C91" s="1" t="s">
        <v>9</v>
      </c>
      <c r="D91" s="3" t="s">
        <v>270</v>
      </c>
      <c r="E91" s="40">
        <v>100</v>
      </c>
      <c r="F91" s="40">
        <v>104</v>
      </c>
      <c r="G91" s="30">
        <v>200</v>
      </c>
      <c r="H91" s="8">
        <v>800</v>
      </c>
    </row>
    <row r="92" spans="2:8" ht="15.6" x14ac:dyDescent="0.3">
      <c r="B92" s="1"/>
      <c r="C92" s="1"/>
      <c r="D92" s="3"/>
      <c r="E92" s="40"/>
      <c r="F92" s="40"/>
      <c r="G92" s="2"/>
      <c r="H92" s="60">
        <v>21800</v>
      </c>
    </row>
    <row r="93" spans="2:8" ht="15.6" x14ac:dyDescent="0.3">
      <c r="B93" s="1"/>
      <c r="C93" s="28"/>
      <c r="D93" s="28"/>
      <c r="E93" s="28"/>
      <c r="F93" s="28"/>
      <c r="G93" s="28"/>
      <c r="H93" s="34"/>
    </row>
    <row r="94" spans="2:8" ht="15.6" x14ac:dyDescent="0.3">
      <c r="B94" s="1"/>
      <c r="C94" s="28"/>
      <c r="D94" s="28"/>
      <c r="E94" s="28"/>
      <c r="F94" s="28"/>
      <c r="G94" s="28"/>
      <c r="H94" s="34"/>
    </row>
    <row r="95" spans="2:8" ht="15.6" x14ac:dyDescent="0.3">
      <c r="B95" s="1"/>
      <c r="C95" s="28"/>
      <c r="D95" s="28"/>
      <c r="E95" s="28"/>
      <c r="F95" s="28"/>
      <c r="G95" s="28"/>
      <c r="H95" s="34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ht="15.6" x14ac:dyDescent="0.3">
      <c r="B97" s="44"/>
      <c r="C97" s="44"/>
      <c r="D97" s="44"/>
      <c r="E97" s="44"/>
      <c r="F97" s="44"/>
      <c r="G97" s="44"/>
      <c r="H97" s="44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9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</sheetData>
  <mergeCells count="3">
    <mergeCell ref="B1:H1"/>
    <mergeCell ref="B2:H2"/>
    <mergeCell ref="B3:H3"/>
  </mergeCells>
  <hyperlinks>
    <hyperlink ref="J2" location="'MASTER '!A1" display="Back" xr:uid="{00000000-0004-0000-0A00-000000000000}"/>
  </hyperlinks>
  <pageMargins left="0.7" right="0.7" top="0.75" bottom="0.75" header="0.3" footer="0.3"/>
  <pageSetup orientation="portrait" horizontalDpi="300" verticalDpi="0" r:id="rId1"/>
  <ignoredErrors>
    <ignoredError sqref="E37:E44 F37:F44 E45:E47 G23 F45:F47 E48:G48 H30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242"/>
  <sheetViews>
    <sheetView topLeftCell="A83" zoomScaleNormal="100" workbookViewId="0">
      <selection activeCell="C43" sqref="C43:J4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3782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41</v>
      </c>
      <c r="O4" s="386">
        <f>V52</f>
        <v>36</v>
      </c>
      <c r="P4" s="386">
        <f>W52</f>
        <v>5</v>
      </c>
      <c r="Q4" s="387">
        <f>N4-O4-P4</f>
        <v>0</v>
      </c>
      <c r="R4" s="380">
        <f>O4/N4</f>
        <v>0.87804878048780488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44683</v>
      </c>
      <c r="D6" s="158" t="s">
        <v>9</v>
      </c>
      <c r="E6" s="158" t="s">
        <v>160</v>
      </c>
      <c r="F6" s="230">
        <v>980</v>
      </c>
      <c r="G6" s="222">
        <v>989</v>
      </c>
      <c r="H6" s="222">
        <v>9</v>
      </c>
      <c r="I6" s="207">
        <f t="shared" ref="I6:I7" si="0">300000/F6</f>
        <v>306.12244897959181</v>
      </c>
      <c r="J6" s="161">
        <f t="shared" ref="J6:J7" si="1">H6*I6</f>
        <v>2755.1020408163263</v>
      </c>
      <c r="K6" s="153"/>
      <c r="M6" s="394" t="s">
        <v>450</v>
      </c>
      <c r="N6" s="344">
        <f>COUNT(C60:C83)</f>
        <v>21</v>
      </c>
      <c r="O6" s="346">
        <f>V84</f>
        <v>21</v>
      </c>
      <c r="P6" s="346">
        <f>W84</f>
        <v>0</v>
      </c>
      <c r="Q6" s="374">
        <f>N6-O6-P6</f>
        <v>0</v>
      </c>
      <c r="R6" s="376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44683</v>
      </c>
      <c r="D7" s="161" t="s">
        <v>9</v>
      </c>
      <c r="E7" s="161" t="s">
        <v>371</v>
      </c>
      <c r="F7" s="222">
        <v>184</v>
      </c>
      <c r="G7" s="231">
        <v>181</v>
      </c>
      <c r="H7" s="255">
        <v>-3</v>
      </c>
      <c r="I7" s="207">
        <f t="shared" si="0"/>
        <v>1630.4347826086957</v>
      </c>
      <c r="J7" s="161">
        <f t="shared" si="1"/>
        <v>-4891.304347826087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44685</v>
      </c>
      <c r="D8" s="161" t="s">
        <v>9</v>
      </c>
      <c r="E8" s="161" t="s">
        <v>14</v>
      </c>
      <c r="F8" s="222">
        <v>1030</v>
      </c>
      <c r="G8" s="222">
        <v>1020</v>
      </c>
      <c r="H8" s="222">
        <v>-10</v>
      </c>
      <c r="I8" s="207">
        <f t="shared" ref="I8:I46" si="6">300000/F8</f>
        <v>291.26213592233012</v>
      </c>
      <c r="J8" s="161">
        <f t="shared" ref="J8:J46" si="7">H8*I8</f>
        <v>-2912.6213592233012</v>
      </c>
      <c r="K8" s="153"/>
      <c r="M8" s="394" t="s">
        <v>451</v>
      </c>
      <c r="N8" s="344">
        <f>COUNT(C92:C114)</f>
        <v>22</v>
      </c>
      <c r="O8" s="346">
        <f>V115</f>
        <v>20</v>
      </c>
      <c r="P8" s="346">
        <f>W115</f>
        <v>2</v>
      </c>
      <c r="Q8" s="374">
        <f>N8-O8-P8</f>
        <v>0</v>
      </c>
      <c r="R8" s="376">
        <f t="shared" ref="R8" si="8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44685</v>
      </c>
      <c r="D9" s="161" t="s">
        <v>8</v>
      </c>
      <c r="E9" s="161" t="s">
        <v>26</v>
      </c>
      <c r="F9" s="222">
        <v>367</v>
      </c>
      <c r="G9" s="231">
        <v>360</v>
      </c>
      <c r="H9" s="255">
        <v>7</v>
      </c>
      <c r="I9" s="207">
        <f t="shared" si="6"/>
        <v>817.43869209809259</v>
      </c>
      <c r="J9" s="161">
        <f t="shared" si="7"/>
        <v>5722.0708446866483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44686</v>
      </c>
      <c r="D10" s="161" t="s">
        <v>9</v>
      </c>
      <c r="E10" s="161" t="s">
        <v>46</v>
      </c>
      <c r="F10" s="222">
        <v>167.5</v>
      </c>
      <c r="G10" s="222">
        <v>168.4</v>
      </c>
      <c r="H10" s="222">
        <f>168.4-167.5</f>
        <v>0.90000000000000568</v>
      </c>
      <c r="I10" s="207">
        <f t="shared" si="6"/>
        <v>1791.044776119403</v>
      </c>
      <c r="J10" s="161">
        <f t="shared" si="7"/>
        <v>1611.9402985074728</v>
      </c>
      <c r="K10" s="153"/>
      <c r="M10" s="394" t="s">
        <v>1176</v>
      </c>
      <c r="N10" s="344">
        <f>COUNT(C123:C146)</f>
        <v>21</v>
      </c>
      <c r="O10" s="346">
        <f>V147</f>
        <v>18</v>
      </c>
      <c r="P10" s="346">
        <f>W147</f>
        <v>3</v>
      </c>
      <c r="Q10" s="374">
        <f>N10-O10-P10</f>
        <v>0</v>
      </c>
      <c r="R10" s="376">
        <f t="shared" ref="R10:R16" si="9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44686</v>
      </c>
      <c r="D11" s="161" t="s">
        <v>9</v>
      </c>
      <c r="E11" s="161" t="s">
        <v>30</v>
      </c>
      <c r="F11" s="222">
        <v>162</v>
      </c>
      <c r="G11" s="222">
        <v>163.5</v>
      </c>
      <c r="H11" s="255">
        <v>1.5</v>
      </c>
      <c r="I11" s="207">
        <f t="shared" si="6"/>
        <v>1851.851851851852</v>
      </c>
      <c r="J11" s="161">
        <f t="shared" si="7"/>
        <v>2777.7777777777778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44687</v>
      </c>
      <c r="D12" s="161" t="s">
        <v>9</v>
      </c>
      <c r="E12" s="161" t="s">
        <v>3474</v>
      </c>
      <c r="F12" s="222">
        <v>910</v>
      </c>
      <c r="G12" s="222">
        <v>926</v>
      </c>
      <c r="H12" s="222">
        <v>16</v>
      </c>
      <c r="I12" s="207">
        <f t="shared" si="6"/>
        <v>329.67032967032969</v>
      </c>
      <c r="J12" s="161">
        <f t="shared" si="7"/>
        <v>5274.7252747252751</v>
      </c>
      <c r="K12" s="153"/>
      <c r="M12" s="394" t="s">
        <v>41</v>
      </c>
      <c r="N12" s="344">
        <f>COUNT(C155:C177)</f>
        <v>21</v>
      </c>
      <c r="O12" s="346">
        <f>V178</f>
        <v>21</v>
      </c>
      <c r="P12" s="346">
        <f>W178</f>
        <v>0</v>
      </c>
      <c r="Q12" s="374">
        <f t="shared" ref="Q12" si="10">N12-O12-P12</f>
        <v>0</v>
      </c>
      <c r="R12" s="376">
        <f t="shared" si="9"/>
        <v>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44687</v>
      </c>
      <c r="D13" s="161" t="s">
        <v>9</v>
      </c>
      <c r="E13" s="161" t="s">
        <v>146</v>
      </c>
      <c r="F13" s="222">
        <v>158.5</v>
      </c>
      <c r="G13" s="222">
        <v>160</v>
      </c>
      <c r="H13" s="255">
        <f>160-158.5</f>
        <v>1.5</v>
      </c>
      <c r="I13" s="207">
        <f t="shared" si="6"/>
        <v>1892.7444794952683</v>
      </c>
      <c r="J13" s="161">
        <f t="shared" si="7"/>
        <v>2839.1167192429025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44690</v>
      </c>
      <c r="D14" s="161" t="s">
        <v>9</v>
      </c>
      <c r="E14" s="161" t="s">
        <v>85</v>
      </c>
      <c r="F14" s="222">
        <v>712</v>
      </c>
      <c r="G14" s="222">
        <v>720.3</v>
      </c>
      <c r="H14" s="222">
        <f>720.3-712</f>
        <v>8.2999999999999545</v>
      </c>
      <c r="I14" s="207">
        <f t="shared" si="6"/>
        <v>421.34831460674155</v>
      </c>
      <c r="J14" s="161">
        <f t="shared" si="7"/>
        <v>3497.1910112359355</v>
      </c>
      <c r="K14" s="153"/>
      <c r="M14" s="394" t="s">
        <v>1175</v>
      </c>
      <c r="N14" s="344">
        <f>COUNT(C186:C208)</f>
        <v>21</v>
      </c>
      <c r="O14" s="346">
        <f>V209</f>
        <v>21</v>
      </c>
      <c r="P14" s="346">
        <f>W209</f>
        <v>0</v>
      </c>
      <c r="Q14" s="374">
        <f t="shared" ref="Q14" si="11">N14-O14-P14</f>
        <v>0</v>
      </c>
      <c r="R14" s="376">
        <f t="shared" si="9"/>
        <v>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44690</v>
      </c>
      <c r="D15" s="161" t="s">
        <v>9</v>
      </c>
      <c r="E15" s="161" t="s">
        <v>3248</v>
      </c>
      <c r="F15" s="222">
        <v>1423</v>
      </c>
      <c r="G15" s="222">
        <v>1430</v>
      </c>
      <c r="H15" s="222">
        <v>7</v>
      </c>
      <c r="I15" s="207">
        <f t="shared" si="6"/>
        <v>210.82220660576246</v>
      </c>
      <c r="J15" s="161">
        <f t="shared" si="7"/>
        <v>1475.7554462403373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44691</v>
      </c>
      <c r="D16" s="161" t="s">
        <v>9</v>
      </c>
      <c r="E16" s="161" t="s">
        <v>146</v>
      </c>
      <c r="F16" s="222">
        <v>160.5</v>
      </c>
      <c r="G16" s="222">
        <v>158.5</v>
      </c>
      <c r="H16" s="222">
        <v>-2</v>
      </c>
      <c r="I16" s="207">
        <f t="shared" si="6"/>
        <v>1869.1588785046729</v>
      </c>
      <c r="J16" s="161">
        <f t="shared" si="7"/>
        <v>-3738.3177570093458</v>
      </c>
      <c r="K16" s="153"/>
      <c r="L16" s="25" t="s">
        <v>2008</v>
      </c>
      <c r="M16" s="394" t="s">
        <v>1090</v>
      </c>
      <c r="N16" s="344">
        <f>COUNT(C217:C240)</f>
        <v>21</v>
      </c>
      <c r="O16" s="346">
        <f>V241</f>
        <v>17</v>
      </c>
      <c r="P16" s="346">
        <f>W241</f>
        <v>4</v>
      </c>
      <c r="Q16" s="374">
        <v>0</v>
      </c>
      <c r="R16" s="376">
        <f t="shared" si="9"/>
        <v>0.80952380952380953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44691</v>
      </c>
      <c r="D17" s="161" t="s">
        <v>9</v>
      </c>
      <c r="E17" s="161" t="s">
        <v>2944</v>
      </c>
      <c r="F17" s="222">
        <v>1600</v>
      </c>
      <c r="G17" s="222" t="s">
        <v>3789</v>
      </c>
      <c r="H17" s="222">
        <v>9.8000000000000007</v>
      </c>
      <c r="I17" s="207">
        <f t="shared" si="6"/>
        <v>187.5</v>
      </c>
      <c r="J17" s="161">
        <f t="shared" si="7"/>
        <v>1837.5000000000002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44692</v>
      </c>
      <c r="D18" s="161" t="s">
        <v>9</v>
      </c>
      <c r="E18" s="161" t="s">
        <v>2999</v>
      </c>
      <c r="F18" s="222">
        <v>569</v>
      </c>
      <c r="G18" s="222">
        <v>573</v>
      </c>
      <c r="H18" s="222">
        <v>4</v>
      </c>
      <c r="I18" s="207">
        <f t="shared" si="6"/>
        <v>527.24077328646752</v>
      </c>
      <c r="J18" s="161">
        <f t="shared" si="7"/>
        <v>2108.9630931458701</v>
      </c>
      <c r="K18" s="153"/>
      <c r="M18" s="392" t="s">
        <v>946</v>
      </c>
      <c r="N18" s="378">
        <f>SUM(N4:N17)</f>
        <v>168</v>
      </c>
      <c r="O18" s="378">
        <f t="shared" ref="O18:Q18" si="12">SUM(O4:O17)</f>
        <v>154</v>
      </c>
      <c r="P18" s="378">
        <f t="shared" si="12"/>
        <v>14</v>
      </c>
      <c r="Q18" s="378">
        <f t="shared" si="12"/>
        <v>0</v>
      </c>
      <c r="R18" s="380">
        <f t="shared" ref="R18" si="13">O18/N18</f>
        <v>0.91666666666666663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44693</v>
      </c>
      <c r="D19" s="161" t="s">
        <v>9</v>
      </c>
      <c r="E19" s="161" t="s">
        <v>815</v>
      </c>
      <c r="F19" s="222">
        <v>281</v>
      </c>
      <c r="G19" s="222">
        <v>284</v>
      </c>
      <c r="H19" s="222">
        <v>3</v>
      </c>
      <c r="I19" s="207">
        <f t="shared" si="6"/>
        <v>1067.6156583629893</v>
      </c>
      <c r="J19" s="161">
        <f t="shared" si="7"/>
        <v>3202.8469750889681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44693</v>
      </c>
      <c r="D20" s="161" t="s">
        <v>8</v>
      </c>
      <c r="E20" s="161" t="s">
        <v>19</v>
      </c>
      <c r="F20" s="222">
        <v>467</v>
      </c>
      <c r="G20" s="222">
        <v>458.5</v>
      </c>
      <c r="H20" s="222">
        <f>467-458.5</f>
        <v>8.5</v>
      </c>
      <c r="I20" s="207">
        <f t="shared" si="6"/>
        <v>642.3982869379015</v>
      </c>
      <c r="J20" s="161">
        <f t="shared" si="7"/>
        <v>5460.3854389721628</v>
      </c>
      <c r="K20" s="153"/>
      <c r="M20" s="316" t="s">
        <v>2253</v>
      </c>
      <c r="N20" s="317"/>
      <c r="O20" s="318"/>
      <c r="P20" s="325">
        <f>R18</f>
        <v>0.91666666666666663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44694</v>
      </c>
      <c r="D21" s="161" t="s">
        <v>9</v>
      </c>
      <c r="E21" s="161" t="s">
        <v>3474</v>
      </c>
      <c r="F21" s="222">
        <v>895</v>
      </c>
      <c r="G21" s="222">
        <v>905</v>
      </c>
      <c r="H21" s="222">
        <f>905-895</f>
        <v>10</v>
      </c>
      <c r="I21" s="207">
        <f t="shared" si="6"/>
        <v>335.195530726257</v>
      </c>
      <c r="J21" s="161">
        <f t="shared" si="7"/>
        <v>3351.9553072625699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44694</v>
      </c>
      <c r="D22" s="161" t="s">
        <v>8</v>
      </c>
      <c r="E22" s="161" t="s">
        <v>3456</v>
      </c>
      <c r="F22" s="222">
        <v>690</v>
      </c>
      <c r="G22" s="222">
        <v>683</v>
      </c>
      <c r="H22" s="222">
        <f>690-683</f>
        <v>7</v>
      </c>
      <c r="I22" s="207">
        <f t="shared" si="6"/>
        <v>434.78260869565219</v>
      </c>
      <c r="J22" s="161">
        <f t="shared" si="7"/>
        <v>3043.4782608695655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44697</v>
      </c>
      <c r="D23" s="161" t="s">
        <v>9</v>
      </c>
      <c r="E23" s="161" t="s">
        <v>250</v>
      </c>
      <c r="F23" s="222">
        <v>2275</v>
      </c>
      <c r="G23" s="222">
        <v>2285</v>
      </c>
      <c r="H23" s="222">
        <v>10</v>
      </c>
      <c r="I23" s="207">
        <f t="shared" si="6"/>
        <v>131.86813186813185</v>
      </c>
      <c r="J23" s="161">
        <f t="shared" si="7"/>
        <v>1318.6813186813185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44697</v>
      </c>
      <c r="D24" s="161" t="s">
        <v>9</v>
      </c>
      <c r="E24" s="161" t="s">
        <v>3479</v>
      </c>
      <c r="F24" s="222">
        <v>339</v>
      </c>
      <c r="G24" s="222">
        <v>341</v>
      </c>
      <c r="H24" s="222">
        <v>2</v>
      </c>
      <c r="I24" s="207">
        <f t="shared" si="6"/>
        <v>884.95575221238937</v>
      </c>
      <c r="J24" s="161">
        <f t="shared" si="7"/>
        <v>1769.9115044247787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44698</v>
      </c>
      <c r="D25" s="161" t="s">
        <v>9</v>
      </c>
      <c r="E25" s="161" t="s">
        <v>15</v>
      </c>
      <c r="F25" s="222">
        <v>2325</v>
      </c>
      <c r="G25" s="222">
        <v>2333</v>
      </c>
      <c r="H25" s="222">
        <f>2333-2325</f>
        <v>8</v>
      </c>
      <c r="I25" s="207">
        <f t="shared" si="6"/>
        <v>129.03225806451613</v>
      </c>
      <c r="J25" s="161">
        <f t="shared" si="7"/>
        <v>1032.258064516129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44698</v>
      </c>
      <c r="D26" s="161" t="s">
        <v>9</v>
      </c>
      <c r="E26" s="161" t="s">
        <v>2107</v>
      </c>
      <c r="F26" s="222">
        <v>1930</v>
      </c>
      <c r="G26" s="222">
        <v>1970</v>
      </c>
      <c r="H26" s="222">
        <v>40</v>
      </c>
      <c r="I26" s="207">
        <f t="shared" si="6"/>
        <v>155.44041450777203</v>
      </c>
      <c r="J26" s="161">
        <f t="shared" si="7"/>
        <v>6217.6165803108815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44699</v>
      </c>
      <c r="D27" s="161" t="s">
        <v>9</v>
      </c>
      <c r="E27" s="161" t="s">
        <v>3801</v>
      </c>
      <c r="F27" s="222">
        <v>575</v>
      </c>
      <c r="G27" s="222">
        <v>582</v>
      </c>
      <c r="H27" s="222">
        <f>582-575</f>
        <v>7</v>
      </c>
      <c r="I27" s="207">
        <f t="shared" si="6"/>
        <v>521.73913043478262</v>
      </c>
      <c r="J27" s="161">
        <f t="shared" si="7"/>
        <v>3652.1739130434785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44699</v>
      </c>
      <c r="D28" s="161" t="s">
        <v>8</v>
      </c>
      <c r="E28" s="161" t="s">
        <v>3445</v>
      </c>
      <c r="F28" s="222">
        <v>2570</v>
      </c>
      <c r="G28" s="222">
        <v>2562</v>
      </c>
      <c r="H28" s="222">
        <f>2570-2562</f>
        <v>8</v>
      </c>
      <c r="I28" s="207">
        <f t="shared" si="6"/>
        <v>116.73151750972762</v>
      </c>
      <c r="J28" s="161">
        <f t="shared" si="7"/>
        <v>933.85214007782099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44700</v>
      </c>
      <c r="D29" s="161" t="s">
        <v>9</v>
      </c>
      <c r="E29" s="161" t="s">
        <v>99</v>
      </c>
      <c r="F29" s="222">
        <v>274</v>
      </c>
      <c r="G29" s="222">
        <v>278</v>
      </c>
      <c r="H29" s="222">
        <v>4</v>
      </c>
      <c r="I29" s="207">
        <f t="shared" si="6"/>
        <v>1094.8905109489051</v>
      </c>
      <c r="J29" s="161">
        <f t="shared" si="7"/>
        <v>4379.5620437956204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44700</v>
      </c>
      <c r="D30" s="161" t="s">
        <v>8</v>
      </c>
      <c r="E30" s="161" t="s">
        <v>578</v>
      </c>
      <c r="F30" s="222">
        <v>1430</v>
      </c>
      <c r="G30" s="222">
        <v>1420.1</v>
      </c>
      <c r="H30" s="222">
        <f>1430-1420.1</f>
        <v>9.9000000000000909</v>
      </c>
      <c r="I30" s="207">
        <f t="shared" si="6"/>
        <v>209.79020979020979</v>
      </c>
      <c r="J30" s="161">
        <f t="shared" si="7"/>
        <v>2076.9230769230958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44701</v>
      </c>
      <c r="D31" s="161" t="s">
        <v>9</v>
      </c>
      <c r="E31" s="161" t="s">
        <v>3806</v>
      </c>
      <c r="F31" s="222">
        <v>1775</v>
      </c>
      <c r="G31" s="222">
        <v>1786</v>
      </c>
      <c r="H31" s="222">
        <f>1786-1775</f>
        <v>11</v>
      </c>
      <c r="I31" s="207">
        <f t="shared" si="6"/>
        <v>169.01408450704224</v>
      </c>
      <c r="J31" s="161">
        <f t="shared" si="7"/>
        <v>1859.1549295774646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44701</v>
      </c>
      <c r="D32" s="161" t="s">
        <v>9</v>
      </c>
      <c r="E32" s="161" t="s">
        <v>160</v>
      </c>
      <c r="F32" s="222">
        <v>960</v>
      </c>
      <c r="G32" s="222">
        <v>980</v>
      </c>
      <c r="H32" s="222">
        <v>20</v>
      </c>
      <c r="I32" s="207">
        <f t="shared" si="6"/>
        <v>312.5</v>
      </c>
      <c r="J32" s="161">
        <f t="shared" si="7"/>
        <v>6250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44704</v>
      </c>
      <c r="D33" s="161" t="s">
        <v>9</v>
      </c>
      <c r="E33" s="161" t="s">
        <v>133</v>
      </c>
      <c r="F33" s="222">
        <v>640</v>
      </c>
      <c r="G33" s="222">
        <v>650</v>
      </c>
      <c r="H33" s="222">
        <v>10</v>
      </c>
      <c r="I33" s="207">
        <f t="shared" si="6"/>
        <v>468.75</v>
      </c>
      <c r="J33" s="161">
        <f t="shared" si="7"/>
        <v>4687.5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37399</v>
      </c>
      <c r="D34" s="161" t="s">
        <v>9</v>
      </c>
      <c r="E34" s="161" t="s">
        <v>58</v>
      </c>
      <c r="F34" s="222">
        <v>677</v>
      </c>
      <c r="G34" s="222">
        <v>683.45</v>
      </c>
      <c r="H34" s="222">
        <f>683.45-677</f>
        <v>6.4500000000000455</v>
      </c>
      <c r="I34" s="207">
        <f t="shared" si="6"/>
        <v>443.13146233382571</v>
      </c>
      <c r="J34" s="161">
        <f t="shared" si="7"/>
        <v>2858.1979320531959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44705</v>
      </c>
      <c r="D35" s="161" t="s">
        <v>9</v>
      </c>
      <c r="E35" s="161" t="s">
        <v>3808</v>
      </c>
      <c r="F35" s="222">
        <v>180</v>
      </c>
      <c r="G35" s="222">
        <v>184</v>
      </c>
      <c r="H35" s="222">
        <v>-4</v>
      </c>
      <c r="I35" s="207">
        <f t="shared" si="6"/>
        <v>1666.6666666666667</v>
      </c>
      <c r="J35" s="161">
        <f t="shared" si="7"/>
        <v>-6666.666666666667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44705</v>
      </c>
      <c r="D36" s="161" t="s">
        <v>8</v>
      </c>
      <c r="E36" s="161" t="s">
        <v>173</v>
      </c>
      <c r="F36" s="222">
        <v>3145</v>
      </c>
      <c r="G36" s="222">
        <v>3105</v>
      </c>
      <c r="H36" s="222">
        <f>3145-3105</f>
        <v>40</v>
      </c>
      <c r="I36" s="207">
        <f t="shared" si="6"/>
        <v>95.389507154213035</v>
      </c>
      <c r="J36" s="161">
        <f t="shared" si="7"/>
        <v>3815.5802861685215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44706</v>
      </c>
      <c r="D37" s="161" t="s">
        <v>9</v>
      </c>
      <c r="E37" s="161" t="s">
        <v>2999</v>
      </c>
      <c r="F37" s="222">
        <v>562</v>
      </c>
      <c r="G37" s="222">
        <v>570</v>
      </c>
      <c r="H37" s="222">
        <f>570-562</f>
        <v>8</v>
      </c>
      <c r="I37" s="207">
        <f t="shared" si="6"/>
        <v>533.80782918149464</v>
      </c>
      <c r="J37" s="161">
        <f t="shared" si="7"/>
        <v>4270.4626334519571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44706</v>
      </c>
      <c r="D38" s="161" t="s">
        <v>8</v>
      </c>
      <c r="E38" s="161" t="s">
        <v>3809</v>
      </c>
      <c r="F38" s="222">
        <v>583</v>
      </c>
      <c r="G38" s="222">
        <v>570</v>
      </c>
      <c r="H38" s="222">
        <f>580-570</f>
        <v>10</v>
      </c>
      <c r="I38" s="207">
        <f t="shared" si="6"/>
        <v>514.5797598627787</v>
      </c>
      <c r="J38" s="161">
        <f t="shared" si="7"/>
        <v>5145.797598627787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44707</v>
      </c>
      <c r="D39" s="161" t="s">
        <v>9</v>
      </c>
      <c r="E39" s="161" t="s">
        <v>94</v>
      </c>
      <c r="F39" s="222">
        <v>1345</v>
      </c>
      <c r="G39" s="222">
        <v>1365</v>
      </c>
      <c r="H39" s="222">
        <v>20</v>
      </c>
      <c r="I39" s="207">
        <f t="shared" si="6"/>
        <v>223.04832713754647</v>
      </c>
      <c r="J39" s="161">
        <f t="shared" si="7"/>
        <v>4460.966542750929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44707</v>
      </c>
      <c r="D40" s="161" t="s">
        <v>8</v>
      </c>
      <c r="E40" s="161" t="s">
        <v>19</v>
      </c>
      <c r="F40" s="222">
        <v>455</v>
      </c>
      <c r="G40" s="222">
        <v>452.5</v>
      </c>
      <c r="H40" s="222">
        <f>455-452.5</f>
        <v>2.5</v>
      </c>
      <c r="I40" s="207">
        <f t="shared" si="6"/>
        <v>659.34065934065939</v>
      </c>
      <c r="J40" s="161">
        <f t="shared" si="7"/>
        <v>1648.3516483516485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44708</v>
      </c>
      <c r="D41" s="161" t="s">
        <v>9</v>
      </c>
      <c r="E41" s="161" t="s">
        <v>19</v>
      </c>
      <c r="F41" s="222">
        <v>474</v>
      </c>
      <c r="G41" s="223">
        <v>470</v>
      </c>
      <c r="H41" s="222">
        <v>-4</v>
      </c>
      <c r="I41" s="207">
        <f t="shared" si="6"/>
        <v>632.91139240506334</v>
      </c>
      <c r="J41" s="161">
        <f t="shared" si="7"/>
        <v>-2531.6455696202534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44708</v>
      </c>
      <c r="D42" s="161" t="s">
        <v>9</v>
      </c>
      <c r="E42" s="161" t="s">
        <v>2999</v>
      </c>
      <c r="F42" s="222">
        <v>592</v>
      </c>
      <c r="G42" s="222">
        <v>604</v>
      </c>
      <c r="H42" s="222">
        <f>604-592</f>
        <v>12</v>
      </c>
      <c r="I42" s="207">
        <f t="shared" si="6"/>
        <v>506.75675675675677</v>
      </c>
      <c r="J42" s="161">
        <f t="shared" si="7"/>
        <v>6081.0810810810817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44711</v>
      </c>
      <c r="D43" s="161" t="s">
        <v>9</v>
      </c>
      <c r="E43" s="161" t="s">
        <v>310</v>
      </c>
      <c r="F43" s="222">
        <v>805</v>
      </c>
      <c r="G43" s="222">
        <v>825</v>
      </c>
      <c r="H43" s="222">
        <v>20</v>
      </c>
      <c r="I43" s="207">
        <f t="shared" si="6"/>
        <v>372.67080745341616</v>
      </c>
      <c r="J43" s="161">
        <f t="shared" si="7"/>
        <v>7453.4161490683236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44711</v>
      </c>
      <c r="D44" s="161" t="s">
        <v>9</v>
      </c>
      <c r="E44" s="161" t="s">
        <v>552</v>
      </c>
      <c r="F44" s="222">
        <v>940</v>
      </c>
      <c r="G44" s="222">
        <v>944</v>
      </c>
      <c r="H44" s="222">
        <v>4</v>
      </c>
      <c r="I44" s="207">
        <f t="shared" si="6"/>
        <v>319.14893617021278</v>
      </c>
      <c r="J44" s="161">
        <f t="shared" si="7"/>
        <v>1276.5957446808511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44712</v>
      </c>
      <c r="D45" s="161" t="s">
        <v>9</v>
      </c>
      <c r="E45" s="161" t="s">
        <v>795</v>
      </c>
      <c r="F45" s="222">
        <v>1625</v>
      </c>
      <c r="G45" s="222">
        <v>1640</v>
      </c>
      <c r="H45" s="222">
        <f>1640-1625</f>
        <v>15</v>
      </c>
      <c r="I45" s="207">
        <f t="shared" si="6"/>
        <v>184.61538461538461</v>
      </c>
      <c r="J45" s="161">
        <f t="shared" si="7"/>
        <v>2769.2307692307691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44712</v>
      </c>
      <c r="D46" s="161" t="s">
        <v>9</v>
      </c>
      <c r="E46" s="161" t="s">
        <v>476</v>
      </c>
      <c r="F46" s="222">
        <v>952</v>
      </c>
      <c r="G46" s="222">
        <v>955</v>
      </c>
      <c r="H46" s="222">
        <v>3</v>
      </c>
      <c r="I46" s="207">
        <f t="shared" si="6"/>
        <v>315.12605042016804</v>
      </c>
      <c r="J46" s="161">
        <f t="shared" si="7"/>
        <v>945.37815126050418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99120.944896302317</v>
      </c>
      <c r="K52" s="153"/>
      <c r="V52" s="25">
        <f>SUM(V6:V51)</f>
        <v>36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3783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44683</v>
      </c>
      <c r="D60" s="161" t="s">
        <v>9</v>
      </c>
      <c r="E60" s="161" t="s">
        <v>129</v>
      </c>
      <c r="F60" s="222">
        <v>2245</v>
      </c>
      <c r="G60" s="222">
        <v>2265</v>
      </c>
      <c r="H60" s="222">
        <v>20</v>
      </c>
      <c r="I60" s="207">
        <v>300</v>
      </c>
      <c r="J60" s="241">
        <f t="shared" ref="J60:J83" si="1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44685</v>
      </c>
      <c r="D61" s="161" t="s">
        <v>9</v>
      </c>
      <c r="E61" s="161" t="s">
        <v>129</v>
      </c>
      <c r="F61" s="222">
        <v>2270</v>
      </c>
      <c r="G61" s="222">
        <v>2276</v>
      </c>
      <c r="H61" s="222">
        <v>6</v>
      </c>
      <c r="I61" s="207">
        <v>300</v>
      </c>
      <c r="J61" s="242">
        <f t="shared" si="14"/>
        <v>1800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44686</v>
      </c>
      <c r="D62" s="161" t="s">
        <v>8</v>
      </c>
      <c r="E62" s="161" t="s">
        <v>299</v>
      </c>
      <c r="F62" s="222">
        <v>2275</v>
      </c>
      <c r="G62" s="222">
        <v>2265</v>
      </c>
      <c r="H62" s="222">
        <v>10</v>
      </c>
      <c r="I62" s="207">
        <v>500</v>
      </c>
      <c r="J62" s="242">
        <f t="shared" si="14"/>
        <v>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44687</v>
      </c>
      <c r="D63" s="161" t="s">
        <v>9</v>
      </c>
      <c r="E63" s="161" t="s">
        <v>31</v>
      </c>
      <c r="F63" s="222">
        <v>2655</v>
      </c>
      <c r="G63" s="222">
        <v>2666</v>
      </c>
      <c r="H63" s="222">
        <f>2666-2655</f>
        <v>11</v>
      </c>
      <c r="I63" s="207">
        <v>250</v>
      </c>
      <c r="J63" s="242">
        <f>I63*H63</f>
        <v>2750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44690</v>
      </c>
      <c r="D64" s="161" t="s">
        <v>9</v>
      </c>
      <c r="E64" s="161" t="s">
        <v>578</v>
      </c>
      <c r="F64" s="222">
        <v>1562</v>
      </c>
      <c r="G64" s="222">
        <v>1580.5</v>
      </c>
      <c r="H64" s="222">
        <f>1580.5-1562</f>
        <v>18.5</v>
      </c>
      <c r="I64" s="207">
        <v>300</v>
      </c>
      <c r="J64" s="242">
        <f>I64*H64</f>
        <v>5550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44691</v>
      </c>
      <c r="D65" s="161" t="s">
        <v>8</v>
      </c>
      <c r="E65" s="161" t="s">
        <v>2204</v>
      </c>
      <c r="F65" s="222">
        <v>1190</v>
      </c>
      <c r="G65" s="222">
        <v>1169</v>
      </c>
      <c r="H65" s="222">
        <f>1190-1169</f>
        <v>21</v>
      </c>
      <c r="I65" s="207">
        <v>375</v>
      </c>
      <c r="J65" s="242">
        <f>I65*H65</f>
        <v>7875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44692</v>
      </c>
      <c r="D66" s="161" t="s">
        <v>9</v>
      </c>
      <c r="E66" s="161" t="s">
        <v>2814</v>
      </c>
      <c r="F66" s="222">
        <v>1825</v>
      </c>
      <c r="G66" s="222">
        <v>1845.5</v>
      </c>
      <c r="H66" s="222">
        <f>1845.5-1825</f>
        <v>20.5</v>
      </c>
      <c r="I66" s="207">
        <v>407</v>
      </c>
      <c r="J66" s="242">
        <f t="shared" si="14"/>
        <v>8343.5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44693</v>
      </c>
      <c r="D67" s="161" t="s">
        <v>8</v>
      </c>
      <c r="E67" s="161" t="s">
        <v>95</v>
      </c>
      <c r="F67" s="222">
        <v>706</v>
      </c>
      <c r="G67" s="222">
        <v>694</v>
      </c>
      <c r="H67" s="222">
        <f>706-694</f>
        <v>12</v>
      </c>
      <c r="I67" s="207">
        <v>1375</v>
      </c>
      <c r="J67" s="242">
        <f>I67*H67</f>
        <v>16500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44694</v>
      </c>
      <c r="D68" s="161" t="s">
        <v>8</v>
      </c>
      <c r="E68" s="161" t="s">
        <v>95</v>
      </c>
      <c r="F68" s="222">
        <v>695</v>
      </c>
      <c r="G68" s="222">
        <v>680</v>
      </c>
      <c r="H68" s="222">
        <f>695-680</f>
        <v>15</v>
      </c>
      <c r="I68" s="207">
        <v>1375</v>
      </c>
      <c r="J68" s="242">
        <f>I68*H68</f>
        <v>20625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44697</v>
      </c>
      <c r="D69" s="161" t="s">
        <v>8</v>
      </c>
      <c r="E69" s="161" t="s">
        <v>173</v>
      </c>
      <c r="F69" s="222">
        <v>3055</v>
      </c>
      <c r="G69" s="222">
        <v>2995</v>
      </c>
      <c r="H69" s="222">
        <f>3055-2995</f>
        <v>60</v>
      </c>
      <c r="I69" s="207">
        <v>150</v>
      </c>
      <c r="J69" s="242">
        <f>I69*H69</f>
        <v>9000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44698</v>
      </c>
      <c r="D70" s="161" t="s">
        <v>9</v>
      </c>
      <c r="E70" s="161" t="s">
        <v>796</v>
      </c>
      <c r="F70" s="161">
        <v>3725</v>
      </c>
      <c r="G70" s="222">
        <v>3775</v>
      </c>
      <c r="H70" s="222">
        <f>3775-3725</f>
        <v>50</v>
      </c>
      <c r="I70" s="207">
        <v>125</v>
      </c>
      <c r="J70" s="242">
        <f t="shared" si="14"/>
        <v>6250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44699</v>
      </c>
      <c r="D71" s="161" t="s">
        <v>9</v>
      </c>
      <c r="E71" s="161" t="s">
        <v>531</v>
      </c>
      <c r="F71" s="222">
        <v>3150</v>
      </c>
      <c r="G71" s="222">
        <v>3177</v>
      </c>
      <c r="H71" s="222">
        <f>3177-3150</f>
        <v>27</v>
      </c>
      <c r="I71" s="207">
        <v>200</v>
      </c>
      <c r="J71" s="242">
        <f t="shared" si="14"/>
        <v>5400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44700</v>
      </c>
      <c r="D72" s="161" t="s">
        <v>9</v>
      </c>
      <c r="E72" s="161" t="s">
        <v>3802</v>
      </c>
      <c r="F72" s="222">
        <v>2700</v>
      </c>
      <c r="G72" s="222">
        <v>2725</v>
      </c>
      <c r="H72" s="222">
        <v>25</v>
      </c>
      <c r="I72" s="207">
        <v>350</v>
      </c>
      <c r="J72" s="242">
        <f t="shared" si="14"/>
        <v>8750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44701</v>
      </c>
      <c r="D73" s="161" t="s">
        <v>9</v>
      </c>
      <c r="E73" s="161" t="s">
        <v>299</v>
      </c>
      <c r="F73" s="223">
        <v>2170</v>
      </c>
      <c r="G73" s="222">
        <v>2197</v>
      </c>
      <c r="H73" s="255">
        <f>2197-2170</f>
        <v>27</v>
      </c>
      <c r="I73" s="207">
        <v>500</v>
      </c>
      <c r="J73" s="242">
        <f t="shared" si="14"/>
        <v>13500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44704</v>
      </c>
      <c r="D74" s="161" t="s">
        <v>9</v>
      </c>
      <c r="E74" s="161" t="s">
        <v>133</v>
      </c>
      <c r="F74" s="222">
        <v>640</v>
      </c>
      <c r="G74" s="222">
        <v>648</v>
      </c>
      <c r="H74" s="255">
        <v>8</v>
      </c>
      <c r="I74" s="207">
        <v>850</v>
      </c>
      <c r="J74" s="242">
        <f t="shared" si="14"/>
        <v>6800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44705</v>
      </c>
      <c r="D75" s="161" t="s">
        <v>9</v>
      </c>
      <c r="E75" s="161" t="s">
        <v>2004</v>
      </c>
      <c r="F75" s="222">
        <v>603</v>
      </c>
      <c r="G75" s="222">
        <v>608.15</v>
      </c>
      <c r="H75" s="255">
        <f>608.15-603</f>
        <v>5.1499999999999773</v>
      </c>
      <c r="I75" s="207">
        <v>800</v>
      </c>
      <c r="J75" s="242">
        <f t="shared" si="14"/>
        <v>4119.9999999999818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44706</v>
      </c>
      <c r="D76" s="161" t="s">
        <v>9</v>
      </c>
      <c r="E76" s="161" t="s">
        <v>2023</v>
      </c>
      <c r="F76" s="222">
        <v>5820</v>
      </c>
      <c r="G76" s="222">
        <v>5860</v>
      </c>
      <c r="H76" s="222">
        <v>40</v>
      </c>
      <c r="I76" s="207">
        <v>125</v>
      </c>
      <c r="J76" s="242">
        <f t="shared" si="14"/>
        <v>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44707</v>
      </c>
      <c r="D77" s="161" t="s">
        <v>9</v>
      </c>
      <c r="E77" s="161" t="s">
        <v>129</v>
      </c>
      <c r="F77" s="222">
        <v>2270</v>
      </c>
      <c r="G77" s="222">
        <v>2290</v>
      </c>
      <c r="H77" s="222">
        <v>20</v>
      </c>
      <c r="I77" s="207">
        <v>300</v>
      </c>
      <c r="J77" s="242">
        <f t="shared" si="14"/>
        <v>6000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44708</v>
      </c>
      <c r="D78" s="161" t="s">
        <v>8</v>
      </c>
      <c r="E78" s="161" t="s">
        <v>1439</v>
      </c>
      <c r="F78" s="222">
        <v>2580</v>
      </c>
      <c r="G78" s="222">
        <v>2551</v>
      </c>
      <c r="H78" s="222">
        <f>2580-2551</f>
        <v>29</v>
      </c>
      <c r="I78" s="207">
        <v>125</v>
      </c>
      <c r="J78" s="242">
        <f t="shared" si="14"/>
        <v>3625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44711</v>
      </c>
      <c r="D79" s="161" t="s">
        <v>9</v>
      </c>
      <c r="E79" s="161" t="s">
        <v>16</v>
      </c>
      <c r="F79" s="222">
        <v>2225</v>
      </c>
      <c r="G79" s="222">
        <v>2240.5</v>
      </c>
      <c r="H79" s="222">
        <f>2240.5-2225</f>
        <v>15.5</v>
      </c>
      <c r="I79" s="207">
        <v>325</v>
      </c>
      <c r="J79" s="242">
        <f t="shared" si="14"/>
        <v>5037.5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44712</v>
      </c>
      <c r="D80" s="161" t="s">
        <v>9</v>
      </c>
      <c r="E80" s="161" t="s">
        <v>2479</v>
      </c>
      <c r="F80" s="222">
        <v>2170</v>
      </c>
      <c r="G80" s="222">
        <v>2210</v>
      </c>
      <c r="H80" s="222">
        <f>2210-2170</f>
        <v>40</v>
      </c>
      <c r="I80" s="207">
        <v>500</v>
      </c>
      <c r="J80" s="242">
        <f t="shared" si="14"/>
        <v>20000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167926</v>
      </c>
      <c r="K84" s="153"/>
      <c r="V84" s="25">
        <f>SUM(V60:V83)</f>
        <v>21</v>
      </c>
      <c r="W84" s="25">
        <f>SUM(W60:W83)</f>
        <v>0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3782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44683</v>
      </c>
      <c r="D92" s="185" t="s">
        <v>9</v>
      </c>
      <c r="E92" s="185" t="s">
        <v>39</v>
      </c>
      <c r="F92" s="219">
        <v>17010</v>
      </c>
      <c r="G92" s="219">
        <v>17040</v>
      </c>
      <c r="H92" s="185">
        <v>30</v>
      </c>
      <c r="I92" s="219">
        <v>150</v>
      </c>
      <c r="J92" s="246">
        <f t="shared" ref="J92:J114" si="18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44685</v>
      </c>
      <c r="D93" s="185" t="s">
        <v>8</v>
      </c>
      <c r="E93" s="185" t="s">
        <v>39</v>
      </c>
      <c r="F93" s="219">
        <v>17040</v>
      </c>
      <c r="G93" s="219">
        <v>16960</v>
      </c>
      <c r="H93" s="185">
        <v>80</v>
      </c>
      <c r="I93" s="219">
        <v>150</v>
      </c>
      <c r="J93" s="242">
        <f t="shared" si="18"/>
        <v>12000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44686</v>
      </c>
      <c r="D94" s="161" t="s">
        <v>9</v>
      </c>
      <c r="E94" s="161" t="s">
        <v>39</v>
      </c>
      <c r="F94" s="207">
        <v>16930</v>
      </c>
      <c r="G94" s="207">
        <v>16970</v>
      </c>
      <c r="H94" s="161">
        <v>40</v>
      </c>
      <c r="I94" s="207">
        <v>150</v>
      </c>
      <c r="J94" s="242">
        <f t="shared" si="18"/>
        <v>6000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44687</v>
      </c>
      <c r="D95" s="161" t="s">
        <v>9</v>
      </c>
      <c r="E95" s="161" t="s">
        <v>39</v>
      </c>
      <c r="F95" s="207">
        <v>16460</v>
      </c>
      <c r="G95" s="207">
        <v>16477</v>
      </c>
      <c r="H95" s="161">
        <v>17</v>
      </c>
      <c r="I95" s="207">
        <v>150</v>
      </c>
      <c r="J95" s="242">
        <f t="shared" si="18"/>
        <v>2550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44687</v>
      </c>
      <c r="D96" s="161" t="s">
        <v>8</v>
      </c>
      <c r="E96" s="161" t="s">
        <v>39</v>
      </c>
      <c r="F96" s="207">
        <v>16370</v>
      </c>
      <c r="G96" s="207">
        <v>16355</v>
      </c>
      <c r="H96" s="161">
        <f>16370-16355</f>
        <v>15</v>
      </c>
      <c r="I96" s="207">
        <v>150</v>
      </c>
      <c r="J96" s="242">
        <f t="shared" si="18"/>
        <v>2250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44690</v>
      </c>
      <c r="D97" s="161" t="s">
        <v>9</v>
      </c>
      <c r="E97" s="161" t="s">
        <v>39</v>
      </c>
      <c r="F97" s="207">
        <v>16230</v>
      </c>
      <c r="G97" s="207">
        <v>16310</v>
      </c>
      <c r="H97" s="161">
        <f>16310-16230</f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44691</v>
      </c>
      <c r="D98" s="161" t="s">
        <v>9</v>
      </c>
      <c r="E98" s="161" t="s">
        <v>39</v>
      </c>
      <c r="F98" s="207">
        <v>16300</v>
      </c>
      <c r="G98" s="207">
        <v>16380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44692</v>
      </c>
      <c r="D99" s="161" t="s">
        <v>8</v>
      </c>
      <c r="E99" s="161" t="s">
        <v>39</v>
      </c>
      <c r="F99" s="207">
        <v>16170</v>
      </c>
      <c r="G99" s="207">
        <v>16090</v>
      </c>
      <c r="H99" s="161">
        <f>16170-16090</f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44693</v>
      </c>
      <c r="D100" s="161" t="s">
        <v>8</v>
      </c>
      <c r="E100" s="161" t="s">
        <v>39</v>
      </c>
      <c r="F100" s="207">
        <v>15880</v>
      </c>
      <c r="G100" s="207">
        <v>15920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44694</v>
      </c>
      <c r="D101" s="161" t="s">
        <v>9</v>
      </c>
      <c r="E101" s="161" t="s">
        <v>39</v>
      </c>
      <c r="F101" s="207">
        <v>15980</v>
      </c>
      <c r="G101" s="207">
        <v>16060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44697</v>
      </c>
      <c r="D102" s="161" t="s">
        <v>9</v>
      </c>
      <c r="E102" s="161" t="s">
        <v>39</v>
      </c>
      <c r="F102" s="207">
        <v>15890</v>
      </c>
      <c r="G102" s="207">
        <v>15970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44698</v>
      </c>
      <c r="D103" s="161" t="s">
        <v>9</v>
      </c>
      <c r="E103" s="161" t="s">
        <v>39</v>
      </c>
      <c r="F103" s="207">
        <v>15950</v>
      </c>
      <c r="G103" s="207">
        <v>16030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44699</v>
      </c>
      <c r="D104" s="161" t="s">
        <v>9</v>
      </c>
      <c r="E104" s="161" t="s">
        <v>39</v>
      </c>
      <c r="F104" s="207">
        <v>16300</v>
      </c>
      <c r="G104" s="207">
        <v>16220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44700</v>
      </c>
      <c r="D105" s="161" t="s">
        <v>8</v>
      </c>
      <c r="E105" s="161" t="s">
        <v>39</v>
      </c>
      <c r="F105" s="207">
        <v>15910</v>
      </c>
      <c r="G105" s="207">
        <v>15830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44701</v>
      </c>
      <c r="D106" s="161" t="s">
        <v>9</v>
      </c>
      <c r="E106" s="161" t="s">
        <v>39</v>
      </c>
      <c r="F106" s="207">
        <v>16150</v>
      </c>
      <c r="G106" s="207">
        <v>16190</v>
      </c>
      <c r="H106" s="161">
        <v>40</v>
      </c>
      <c r="I106" s="207">
        <v>150</v>
      </c>
      <c r="J106" s="242">
        <f t="shared" si="18"/>
        <v>6000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44704</v>
      </c>
      <c r="D107" s="161" t="s">
        <v>9</v>
      </c>
      <c r="E107" s="161" t="s">
        <v>39</v>
      </c>
      <c r="F107" s="207">
        <v>16280</v>
      </c>
      <c r="G107" s="207">
        <v>16360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44705</v>
      </c>
      <c r="D108" s="161" t="s">
        <v>8</v>
      </c>
      <c r="E108" s="161" t="s">
        <v>39</v>
      </c>
      <c r="F108" s="207">
        <v>16150</v>
      </c>
      <c r="G108" s="207">
        <v>16190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44706</v>
      </c>
      <c r="D109" s="161" t="s">
        <v>8</v>
      </c>
      <c r="E109" s="161" t="s">
        <v>39</v>
      </c>
      <c r="F109" s="207">
        <v>16130</v>
      </c>
      <c r="G109" s="207">
        <v>16050</v>
      </c>
      <c r="H109" s="161"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44707</v>
      </c>
      <c r="D110" s="161" t="s">
        <v>8</v>
      </c>
      <c r="E110" s="161" t="s">
        <v>39</v>
      </c>
      <c r="F110" s="207">
        <v>15910</v>
      </c>
      <c r="G110" s="207">
        <v>15950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9"/>
        <v>0</v>
      </c>
      <c r="W110" s="25">
        <f t="shared" si="20"/>
        <v>1</v>
      </c>
    </row>
    <row r="111" spans="1:23" x14ac:dyDescent="0.3">
      <c r="A111" s="147"/>
      <c r="B111" s="205">
        <f t="shared" si="21"/>
        <v>20</v>
      </c>
      <c r="C111" s="206">
        <v>44708</v>
      </c>
      <c r="D111" s="161" t="s">
        <v>9</v>
      </c>
      <c r="E111" s="161" t="s">
        <v>39</v>
      </c>
      <c r="F111" s="207">
        <v>16290</v>
      </c>
      <c r="G111" s="207">
        <v>16310</v>
      </c>
      <c r="H111" s="161">
        <f>16310-16290</f>
        <v>20</v>
      </c>
      <c r="I111" s="207">
        <v>150</v>
      </c>
      <c r="J111" s="242">
        <f t="shared" si="18"/>
        <v>3000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44711</v>
      </c>
      <c r="D112" s="161" t="s">
        <v>9</v>
      </c>
      <c r="E112" s="161" t="s">
        <v>39</v>
      </c>
      <c r="F112" s="207">
        <v>16600</v>
      </c>
      <c r="G112" s="207">
        <v>16665</v>
      </c>
      <c r="H112" s="161">
        <v>65</v>
      </c>
      <c r="I112" s="207">
        <v>150</v>
      </c>
      <c r="J112" s="242">
        <f t="shared" si="18"/>
        <v>9750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>
        <v>44712</v>
      </c>
      <c r="D113" s="161" t="s">
        <v>9</v>
      </c>
      <c r="E113" s="161" t="s">
        <v>39</v>
      </c>
      <c r="F113" s="207">
        <v>16580</v>
      </c>
      <c r="G113" s="207">
        <v>16660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172050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3784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44683</v>
      </c>
      <c r="D123" s="185" t="s">
        <v>9</v>
      </c>
      <c r="E123" s="185" t="s">
        <v>3458</v>
      </c>
      <c r="F123" s="219">
        <v>130</v>
      </c>
      <c r="G123" s="231">
        <v>105</v>
      </c>
      <c r="H123" s="231">
        <v>-25</v>
      </c>
      <c r="I123" s="219">
        <v>300</v>
      </c>
      <c r="J123" s="246">
        <f t="shared" ref="J123:J146" si="22">I123*H123</f>
        <v>-7500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44685</v>
      </c>
      <c r="D124" s="185" t="s">
        <v>9</v>
      </c>
      <c r="E124" s="185" t="s">
        <v>3609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2"/>
        <v>15000</v>
      </c>
      <c r="K124" s="153"/>
      <c r="V124" s="25">
        <f t="shared" ref="V124:V146" si="23">IF($J124&gt;0,1,0)</f>
        <v>1</v>
      </c>
      <c r="W124" s="25">
        <f t="shared" ref="W124:W146" si="24">IF($J124&lt;0,1,0)</f>
        <v>0</v>
      </c>
    </row>
    <row r="125" spans="1:23" x14ac:dyDescent="0.3">
      <c r="A125" s="147"/>
      <c r="B125" s="205">
        <f>B124+1</f>
        <v>3</v>
      </c>
      <c r="C125" s="206">
        <v>44686</v>
      </c>
      <c r="D125" s="161" t="s">
        <v>9</v>
      </c>
      <c r="E125" s="161" t="s">
        <v>3632</v>
      </c>
      <c r="F125" s="207">
        <v>110</v>
      </c>
      <c r="G125" s="207">
        <v>85</v>
      </c>
      <c r="H125" s="161">
        <v>-25</v>
      </c>
      <c r="I125" s="207">
        <v>300</v>
      </c>
      <c r="J125" s="242">
        <f t="shared" si="22"/>
        <v>-7500</v>
      </c>
      <c r="K125" s="153"/>
      <c r="V125" s="25">
        <f t="shared" si="23"/>
        <v>0</v>
      </c>
      <c r="W125" s="25">
        <f t="shared" si="24"/>
        <v>1</v>
      </c>
    </row>
    <row r="126" spans="1:23" x14ac:dyDescent="0.3">
      <c r="A126" s="147"/>
      <c r="B126" s="205">
        <f t="shared" ref="B126:B146" si="25">B125+1</f>
        <v>4</v>
      </c>
      <c r="C126" s="206">
        <v>44687</v>
      </c>
      <c r="D126" s="161" t="s">
        <v>9</v>
      </c>
      <c r="E126" s="161" t="s">
        <v>3418</v>
      </c>
      <c r="F126" s="207">
        <v>160</v>
      </c>
      <c r="G126" s="207">
        <v>175</v>
      </c>
      <c r="H126" s="161">
        <v>15</v>
      </c>
      <c r="I126" s="207">
        <v>300</v>
      </c>
      <c r="J126" s="242">
        <f t="shared" si="22"/>
        <v>4500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44690</v>
      </c>
      <c r="D127" s="161" t="s">
        <v>9</v>
      </c>
      <c r="E127" s="161" t="s">
        <v>1375</v>
      </c>
      <c r="F127" s="207">
        <v>125</v>
      </c>
      <c r="G127" s="207">
        <v>175</v>
      </c>
      <c r="H127" s="161">
        <v>50</v>
      </c>
      <c r="I127" s="207">
        <v>300</v>
      </c>
      <c r="J127" s="242">
        <f t="shared" si="22"/>
        <v>15000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44691</v>
      </c>
      <c r="D128" s="161" t="s">
        <v>9</v>
      </c>
      <c r="E128" s="161" t="s">
        <v>1375</v>
      </c>
      <c r="F128" s="207">
        <v>145</v>
      </c>
      <c r="G128" s="222">
        <v>188</v>
      </c>
      <c r="H128" s="222">
        <f>188-145</f>
        <v>43</v>
      </c>
      <c r="I128" s="207">
        <v>300</v>
      </c>
      <c r="J128" s="242">
        <f t="shared" si="22"/>
        <v>12900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44692</v>
      </c>
      <c r="D129" s="161" t="s">
        <v>9</v>
      </c>
      <c r="E129" s="161" t="s">
        <v>1357</v>
      </c>
      <c r="F129" s="207">
        <v>100</v>
      </c>
      <c r="G129" s="207">
        <v>150</v>
      </c>
      <c r="H129" s="161">
        <v>50</v>
      </c>
      <c r="I129" s="207">
        <v>300</v>
      </c>
      <c r="J129" s="242">
        <f t="shared" si="22"/>
        <v>15000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44693</v>
      </c>
      <c r="D130" s="161" t="s">
        <v>9</v>
      </c>
      <c r="E130" s="161" t="s">
        <v>3399</v>
      </c>
      <c r="F130" s="207">
        <v>90</v>
      </c>
      <c r="G130" s="207">
        <v>140</v>
      </c>
      <c r="H130" s="161">
        <f>140-90</f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44694</v>
      </c>
      <c r="D131" s="161" t="s">
        <v>9</v>
      </c>
      <c r="E131" s="161" t="s">
        <v>1321</v>
      </c>
      <c r="F131" s="207">
        <v>175</v>
      </c>
      <c r="G131" s="207">
        <v>225</v>
      </c>
      <c r="H131" s="161">
        <f>225-175</f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44697</v>
      </c>
      <c r="D132" s="161" t="s">
        <v>9</v>
      </c>
      <c r="E132" s="161" t="s">
        <v>1321</v>
      </c>
      <c r="F132" s="207">
        <v>125</v>
      </c>
      <c r="G132" s="222">
        <v>141.5</v>
      </c>
      <c r="H132" s="222">
        <f>141.5-125</f>
        <v>16.5</v>
      </c>
      <c r="I132" s="207">
        <v>300</v>
      </c>
      <c r="J132" s="242">
        <f t="shared" si="22"/>
        <v>4950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44698</v>
      </c>
      <c r="D133" s="161" t="s">
        <v>9</v>
      </c>
      <c r="E133" s="161" t="s">
        <v>3803</v>
      </c>
      <c r="F133" s="207">
        <v>110</v>
      </c>
      <c r="G133" s="222">
        <v>160</v>
      </c>
      <c r="H133" s="222">
        <v>50</v>
      </c>
      <c r="I133" s="207">
        <v>300</v>
      </c>
      <c r="J133" s="242">
        <f t="shared" si="22"/>
        <v>15000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44699</v>
      </c>
      <c r="D134" s="161" t="s">
        <v>9</v>
      </c>
      <c r="E134" s="161" t="s">
        <v>3418</v>
      </c>
      <c r="F134" s="207">
        <v>90</v>
      </c>
      <c r="G134" s="222">
        <v>140</v>
      </c>
      <c r="H134" s="222">
        <f>140-90</f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44700</v>
      </c>
      <c r="D135" s="161" t="s">
        <v>9</v>
      </c>
      <c r="E135" s="161" t="s">
        <v>1320</v>
      </c>
      <c r="F135" s="207">
        <v>100</v>
      </c>
      <c r="G135" s="207">
        <v>150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44701</v>
      </c>
      <c r="D136" s="161" t="s">
        <v>9</v>
      </c>
      <c r="E136" s="161" t="s">
        <v>1366</v>
      </c>
      <c r="F136" s="207">
        <v>160</v>
      </c>
      <c r="G136" s="207">
        <v>210</v>
      </c>
      <c r="H136" s="161">
        <v>50</v>
      </c>
      <c r="I136" s="207">
        <v>300</v>
      </c>
      <c r="J136" s="242">
        <f t="shared" si="22"/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44704</v>
      </c>
      <c r="D137" s="161" t="s">
        <v>9</v>
      </c>
      <c r="E137" s="161" t="s">
        <v>3810</v>
      </c>
      <c r="F137" s="207">
        <v>135</v>
      </c>
      <c r="G137" s="207">
        <v>180</v>
      </c>
      <c r="H137" s="161">
        <f>180-135</f>
        <v>45</v>
      </c>
      <c r="I137" s="207">
        <v>300</v>
      </c>
      <c r="J137" s="242">
        <f t="shared" si="22"/>
        <v>13500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44705</v>
      </c>
      <c r="D138" s="161" t="s">
        <v>9</v>
      </c>
      <c r="E138" s="161" t="s">
        <v>1357</v>
      </c>
      <c r="F138" s="207">
        <v>125</v>
      </c>
      <c r="G138" s="207">
        <v>147</v>
      </c>
      <c r="H138" s="161">
        <f>147-125</f>
        <v>22</v>
      </c>
      <c r="I138" s="207">
        <v>300</v>
      </c>
      <c r="J138" s="242">
        <f t="shared" si="22"/>
        <v>6600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44706</v>
      </c>
      <c r="D139" s="161" t="s">
        <v>9</v>
      </c>
      <c r="E139" s="161" t="s">
        <v>1358</v>
      </c>
      <c r="F139" s="207">
        <v>140</v>
      </c>
      <c r="G139" s="207">
        <v>190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44707</v>
      </c>
      <c r="D140" s="161" t="s">
        <v>9</v>
      </c>
      <c r="E140" s="161" t="s">
        <v>1320</v>
      </c>
      <c r="F140" s="207">
        <v>110</v>
      </c>
      <c r="G140" s="222">
        <v>85</v>
      </c>
      <c r="H140" s="222">
        <v>-25</v>
      </c>
      <c r="I140" s="207">
        <v>300</v>
      </c>
      <c r="J140" s="242">
        <f t="shared" si="22"/>
        <v>-7500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44708</v>
      </c>
      <c r="D141" s="161" t="s">
        <v>9</v>
      </c>
      <c r="E141" s="161" t="s">
        <v>1375</v>
      </c>
      <c r="F141" s="207">
        <v>175</v>
      </c>
      <c r="G141" s="222">
        <v>200</v>
      </c>
      <c r="H141" s="222">
        <v>25</v>
      </c>
      <c r="I141" s="207">
        <v>300</v>
      </c>
      <c r="J141" s="242">
        <f t="shared" si="22"/>
        <v>7500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44711</v>
      </c>
      <c r="D142" s="161" t="s">
        <v>9</v>
      </c>
      <c r="E142" s="161" t="s">
        <v>1376</v>
      </c>
      <c r="F142" s="207">
        <v>140</v>
      </c>
      <c r="G142" s="222">
        <v>177</v>
      </c>
      <c r="H142" s="222">
        <f>177-140</f>
        <v>37</v>
      </c>
      <c r="I142" s="207">
        <v>300</v>
      </c>
      <c r="J142" s="242">
        <f t="shared" si="22"/>
        <v>11100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44712</v>
      </c>
      <c r="D143" s="161" t="s">
        <v>9</v>
      </c>
      <c r="E143" s="161" t="s">
        <v>3439</v>
      </c>
      <c r="F143" s="207">
        <v>140</v>
      </c>
      <c r="G143" s="222">
        <v>178</v>
      </c>
      <c r="H143" s="222">
        <f>178-140</f>
        <v>38</v>
      </c>
      <c r="I143" s="207">
        <v>300</v>
      </c>
      <c r="J143" s="242">
        <f t="shared" si="22"/>
        <v>11400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22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64"/>
      <c r="D145" s="265"/>
      <c r="E145" s="265"/>
      <c r="F145" s="266"/>
      <c r="G145" s="267"/>
      <c r="H145" s="265"/>
      <c r="I145" s="266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15" thickBot="1" x14ac:dyDescent="0.35">
      <c r="A146" s="147"/>
      <c r="B146" s="205">
        <f t="shared" si="25"/>
        <v>24</v>
      </c>
      <c r="C146" s="209"/>
      <c r="D146" s="166"/>
      <c r="E146" s="166"/>
      <c r="F146" s="210"/>
      <c r="G146" s="210"/>
      <c r="H146" s="166"/>
      <c r="I146" s="210"/>
      <c r="J146" s="244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24" thickBot="1" x14ac:dyDescent="0.5">
      <c r="A147" s="147"/>
      <c r="B147" s="370" t="s">
        <v>2254</v>
      </c>
      <c r="C147" s="371"/>
      <c r="D147" s="371"/>
      <c r="E147" s="371"/>
      <c r="F147" s="371"/>
      <c r="G147" s="371"/>
      <c r="H147" s="372"/>
      <c r="I147" s="211" t="s">
        <v>2255</v>
      </c>
      <c r="J147" s="212">
        <f>SUM(J123:J146)</f>
        <v>199950</v>
      </c>
      <c r="K147" s="153"/>
      <c r="V147" s="25">
        <f>SUM(V123:V146)</f>
        <v>18</v>
      </c>
      <c r="W147" s="25">
        <f>SUM(W123:W146)</f>
        <v>3</v>
      </c>
    </row>
    <row r="148" spans="1:23" ht="30" customHeight="1" thickBot="1" x14ac:dyDescent="0.35">
      <c r="A148" s="213"/>
      <c r="B148" s="172"/>
      <c r="C148" s="172"/>
      <c r="D148" s="172"/>
      <c r="E148" s="172"/>
      <c r="F148" s="172"/>
      <c r="G148" s="172"/>
      <c r="H148" s="235"/>
      <c r="I148" s="172"/>
      <c r="J148" s="235"/>
      <c r="K148" s="214"/>
    </row>
    <row r="149" spans="1:23" ht="15" thickBot="1" x14ac:dyDescent="0.35"/>
    <row r="150" spans="1:23" ht="30" customHeight="1" thickBot="1" x14ac:dyDescent="0.35">
      <c r="A150" s="198"/>
      <c r="B150" s="143"/>
      <c r="C150" s="143"/>
      <c r="D150" s="143"/>
      <c r="E150" s="143"/>
      <c r="F150" s="143"/>
      <c r="G150" s="143"/>
      <c r="H150" s="232"/>
      <c r="I150" s="143"/>
      <c r="J150" s="232"/>
      <c r="K150" s="199"/>
    </row>
    <row r="151" spans="1:23" ht="25.2" thickBot="1" x14ac:dyDescent="0.35">
      <c r="A151" s="147" t="s">
        <v>0</v>
      </c>
      <c r="B151" s="361" t="s">
        <v>2244</v>
      </c>
      <c r="C151" s="362"/>
      <c r="D151" s="362"/>
      <c r="E151" s="362"/>
      <c r="F151" s="362"/>
      <c r="G151" s="362"/>
      <c r="H151" s="362"/>
      <c r="I151" s="362"/>
      <c r="J151" s="363"/>
      <c r="K151" s="153"/>
    </row>
    <row r="152" spans="1:23" ht="16.2" thickBot="1" x14ac:dyDescent="0.35">
      <c r="A152" s="147"/>
      <c r="B152" s="364" t="s">
        <v>3782</v>
      </c>
      <c r="C152" s="365"/>
      <c r="D152" s="365"/>
      <c r="E152" s="365"/>
      <c r="F152" s="365"/>
      <c r="G152" s="365"/>
      <c r="H152" s="365"/>
      <c r="I152" s="365"/>
      <c r="J152" s="366"/>
      <c r="K152" s="153"/>
    </row>
    <row r="153" spans="1:23" ht="16.2" thickBot="1" x14ac:dyDescent="0.35">
      <c r="A153" s="147"/>
      <c r="B153" s="367" t="s">
        <v>2367</v>
      </c>
      <c r="C153" s="368"/>
      <c r="D153" s="368"/>
      <c r="E153" s="368"/>
      <c r="F153" s="368"/>
      <c r="G153" s="368"/>
      <c r="H153" s="368"/>
      <c r="I153" s="368"/>
      <c r="J153" s="369"/>
      <c r="K153" s="153"/>
    </row>
    <row r="154" spans="1:23" ht="15" thickBot="1" x14ac:dyDescent="0.35">
      <c r="A154" s="175"/>
      <c r="B154" s="178" t="s">
        <v>2248</v>
      </c>
      <c r="C154" s="179" t="s">
        <v>1</v>
      </c>
      <c r="D154" s="180" t="s">
        <v>5</v>
      </c>
      <c r="E154" s="180" t="s">
        <v>6</v>
      </c>
      <c r="F154" s="181" t="s">
        <v>2249</v>
      </c>
      <c r="G154" s="181" t="s">
        <v>2250</v>
      </c>
      <c r="H154" s="239" t="s">
        <v>2251</v>
      </c>
      <c r="I154" s="181" t="s">
        <v>2257</v>
      </c>
      <c r="J154" s="245" t="s">
        <v>4</v>
      </c>
      <c r="K154" s="176"/>
      <c r="L154" s="215"/>
      <c r="V154" s="201" t="s">
        <v>454</v>
      </c>
      <c r="W154" s="201" t="s">
        <v>455</v>
      </c>
    </row>
    <row r="155" spans="1:23" x14ac:dyDescent="0.3">
      <c r="A155" s="147"/>
      <c r="B155" s="217">
        <v>1</v>
      </c>
      <c r="C155" s="218">
        <v>44683</v>
      </c>
      <c r="D155" s="185" t="s">
        <v>8</v>
      </c>
      <c r="E155" s="185" t="s">
        <v>301</v>
      </c>
      <c r="F155" s="219">
        <v>35950</v>
      </c>
      <c r="G155" s="231">
        <v>35860</v>
      </c>
      <c r="H155" s="185">
        <f>35950-35860</f>
        <v>90</v>
      </c>
      <c r="I155" s="219">
        <v>50</v>
      </c>
      <c r="J155" s="246">
        <f t="shared" ref="J155:J177" si="26">I155*H155</f>
        <v>4500</v>
      </c>
      <c r="K155" s="153"/>
      <c r="V155" s="25">
        <f>IF($J155&gt;0,1,0)</f>
        <v>1</v>
      </c>
      <c r="W155" s="25">
        <f>IF($J155&lt;0,1,0)</f>
        <v>0</v>
      </c>
    </row>
    <row r="156" spans="1:23" x14ac:dyDescent="0.3">
      <c r="A156" s="147"/>
      <c r="B156" s="205">
        <f>B155+1</f>
        <v>2</v>
      </c>
      <c r="C156" s="218">
        <v>44685</v>
      </c>
      <c r="D156" s="185" t="s">
        <v>8</v>
      </c>
      <c r="E156" s="185" t="s">
        <v>301</v>
      </c>
      <c r="F156" s="219">
        <v>36150</v>
      </c>
      <c r="G156" s="219">
        <v>35920</v>
      </c>
      <c r="H156" s="185">
        <v>230</v>
      </c>
      <c r="I156" s="219">
        <v>50</v>
      </c>
      <c r="J156" s="242">
        <f t="shared" si="26"/>
        <v>11500</v>
      </c>
      <c r="K156" s="153"/>
      <c r="V156" s="25">
        <f t="shared" ref="V156:V177" si="27">IF($J156&gt;0,1,0)</f>
        <v>1</v>
      </c>
      <c r="W156" s="25">
        <f t="shared" ref="W156:W177" si="28">IF($J156&lt;0,1,0)</f>
        <v>0</v>
      </c>
    </row>
    <row r="157" spans="1:23" x14ac:dyDescent="0.3">
      <c r="A157" s="147"/>
      <c r="B157" s="205">
        <f t="shared" ref="B157:B177" si="29">B156+1</f>
        <v>3</v>
      </c>
      <c r="C157" s="206">
        <v>44686</v>
      </c>
      <c r="D157" s="161" t="s">
        <v>9</v>
      </c>
      <c r="E157" s="161" t="s">
        <v>301</v>
      </c>
      <c r="F157" s="207">
        <v>35900</v>
      </c>
      <c r="G157" s="207">
        <v>35950</v>
      </c>
      <c r="H157" s="161">
        <v>50</v>
      </c>
      <c r="I157" s="207">
        <v>50</v>
      </c>
      <c r="J157" s="242">
        <f t="shared" si="26"/>
        <v>2500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4</v>
      </c>
      <c r="C158" s="206">
        <v>44687</v>
      </c>
      <c r="D158" s="161" t="s">
        <v>8</v>
      </c>
      <c r="E158" s="161" t="s">
        <v>301</v>
      </c>
      <c r="F158" s="207">
        <v>34450</v>
      </c>
      <c r="G158" s="207">
        <v>34400</v>
      </c>
      <c r="H158" s="161">
        <v>50</v>
      </c>
      <c r="I158" s="207">
        <v>50</v>
      </c>
      <c r="J158" s="242">
        <f t="shared" si="26"/>
        <v>2500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5</v>
      </c>
      <c r="C159" s="206">
        <v>44690</v>
      </c>
      <c r="D159" s="161" t="s">
        <v>9</v>
      </c>
      <c r="E159" s="161" t="s">
        <v>301</v>
      </c>
      <c r="F159" s="207">
        <v>34150</v>
      </c>
      <c r="G159" s="207">
        <v>34450</v>
      </c>
      <c r="H159" s="161">
        <v>300</v>
      </c>
      <c r="I159" s="207">
        <v>50</v>
      </c>
      <c r="J159" s="242">
        <f t="shared" si="26"/>
        <v>15000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6</v>
      </c>
      <c r="C160" s="206">
        <v>44691</v>
      </c>
      <c r="D160" s="161" t="s">
        <v>9</v>
      </c>
      <c r="E160" s="161" t="s">
        <v>301</v>
      </c>
      <c r="F160" s="207">
        <v>34400</v>
      </c>
      <c r="G160" s="207">
        <v>34600</v>
      </c>
      <c r="H160" s="161">
        <v>200</v>
      </c>
      <c r="I160" s="207">
        <v>50</v>
      </c>
      <c r="J160" s="242">
        <f t="shared" si="26"/>
        <v>10000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7</v>
      </c>
      <c r="C161" s="206">
        <v>44692</v>
      </c>
      <c r="D161" s="161" t="s">
        <v>8</v>
      </c>
      <c r="E161" s="161" t="s">
        <v>301</v>
      </c>
      <c r="F161" s="207">
        <v>34550</v>
      </c>
      <c r="G161" s="207">
        <v>34250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8</v>
      </c>
      <c r="C162" s="206">
        <v>44693</v>
      </c>
      <c r="D162" s="161" t="s">
        <v>8</v>
      </c>
      <c r="E162" s="161" t="s">
        <v>301</v>
      </c>
      <c r="F162" s="207">
        <v>34000</v>
      </c>
      <c r="G162" s="207">
        <v>33700</v>
      </c>
      <c r="H162" s="161">
        <f>34000-33700</f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9</v>
      </c>
      <c r="C163" s="206">
        <v>44694</v>
      </c>
      <c r="D163" s="161" t="s">
        <v>9</v>
      </c>
      <c r="E163" s="161" t="s">
        <v>301</v>
      </c>
      <c r="F163" s="207">
        <v>33800</v>
      </c>
      <c r="G163" s="207">
        <v>34020</v>
      </c>
      <c r="H163" s="161">
        <v>220</v>
      </c>
      <c r="I163" s="207">
        <v>50</v>
      </c>
      <c r="J163" s="242">
        <f t="shared" si="26"/>
        <v>11000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10</v>
      </c>
      <c r="C164" s="206">
        <v>44697</v>
      </c>
      <c r="D164" s="161" t="s">
        <v>9</v>
      </c>
      <c r="E164" s="161" t="s">
        <v>301</v>
      </c>
      <c r="F164" s="207">
        <v>33500</v>
      </c>
      <c r="G164" s="207">
        <v>33800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11</v>
      </c>
      <c r="C165" s="206">
        <v>44698</v>
      </c>
      <c r="D165" s="161" t="s">
        <v>9</v>
      </c>
      <c r="E165" s="161" t="s">
        <v>301</v>
      </c>
      <c r="F165" s="207">
        <v>33800</v>
      </c>
      <c r="G165" s="207">
        <v>34100</v>
      </c>
      <c r="H165" s="161">
        <f>34100-33800</f>
        <v>300</v>
      </c>
      <c r="I165" s="207">
        <v>50</v>
      </c>
      <c r="J165" s="242">
        <f t="shared" si="26"/>
        <v>15000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12</v>
      </c>
      <c r="C166" s="206">
        <v>44699</v>
      </c>
      <c r="D166" s="161" t="s">
        <v>8</v>
      </c>
      <c r="E166" s="161" t="s">
        <v>301</v>
      </c>
      <c r="F166" s="207">
        <v>34500</v>
      </c>
      <c r="G166" s="207">
        <v>34200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13</v>
      </c>
      <c r="C167" s="206">
        <v>44700</v>
      </c>
      <c r="D167" s="161" t="s">
        <v>8</v>
      </c>
      <c r="E167" s="161" t="s">
        <v>301</v>
      </c>
      <c r="F167" s="207">
        <v>33500</v>
      </c>
      <c r="G167" s="207">
        <v>33200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14</v>
      </c>
      <c r="C168" s="206">
        <v>44701</v>
      </c>
      <c r="D168" s="161" t="s">
        <v>9</v>
      </c>
      <c r="E168" s="161" t="s">
        <v>301</v>
      </c>
      <c r="F168" s="207">
        <v>34050</v>
      </c>
      <c r="G168" s="207">
        <v>34340</v>
      </c>
      <c r="H168" s="161">
        <v>290</v>
      </c>
      <c r="I168" s="207">
        <v>50</v>
      </c>
      <c r="J168" s="242">
        <f t="shared" si="26"/>
        <v>14500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15</v>
      </c>
      <c r="C169" s="206">
        <v>44704</v>
      </c>
      <c r="D169" s="161" t="s">
        <v>9</v>
      </c>
      <c r="E169" s="161" t="s">
        <v>301</v>
      </c>
      <c r="F169" s="207">
        <v>34500</v>
      </c>
      <c r="G169" s="207">
        <v>34800</v>
      </c>
      <c r="H169" s="161">
        <v>300</v>
      </c>
      <c r="I169" s="207">
        <v>50</v>
      </c>
      <c r="J169" s="242">
        <f t="shared" si="26"/>
        <v>15000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16</v>
      </c>
      <c r="C170" s="206">
        <v>44705</v>
      </c>
      <c r="D170" s="161" t="s">
        <v>8</v>
      </c>
      <c r="E170" s="161" t="s">
        <v>301</v>
      </c>
      <c r="F170" s="207">
        <v>34250</v>
      </c>
      <c r="G170" s="207">
        <v>34210</v>
      </c>
      <c r="H170" s="161">
        <f>34250-34210</f>
        <v>40</v>
      </c>
      <c r="I170" s="207">
        <v>50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17</v>
      </c>
      <c r="C171" s="206">
        <v>44706</v>
      </c>
      <c r="D171" s="161" t="s">
        <v>8</v>
      </c>
      <c r="E171" s="161" t="s">
        <v>301</v>
      </c>
      <c r="F171" s="207">
        <v>34600</v>
      </c>
      <c r="G171" s="207">
        <v>34301</v>
      </c>
      <c r="H171" s="161">
        <f>34600-34301</f>
        <v>299</v>
      </c>
      <c r="I171" s="207">
        <v>50</v>
      </c>
      <c r="J171" s="242">
        <f t="shared" si="26"/>
        <v>14950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18</v>
      </c>
      <c r="C172" s="206">
        <v>44707</v>
      </c>
      <c r="D172" s="161" t="s">
        <v>9</v>
      </c>
      <c r="E172" s="161" t="s">
        <v>301</v>
      </c>
      <c r="F172" s="207">
        <v>34550</v>
      </c>
      <c r="G172" s="207">
        <v>34850</v>
      </c>
      <c r="H172" s="161">
        <v>300</v>
      </c>
      <c r="I172" s="207">
        <v>50</v>
      </c>
      <c r="J172" s="242">
        <f t="shared" si="26"/>
        <v>15000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19</v>
      </c>
      <c r="C173" s="206">
        <v>44708</v>
      </c>
      <c r="D173" s="161" t="s">
        <v>9</v>
      </c>
      <c r="E173" s="161" t="s">
        <v>301</v>
      </c>
      <c r="F173" s="207">
        <v>35550</v>
      </c>
      <c r="G173" s="207">
        <v>35700</v>
      </c>
      <c r="H173" s="161">
        <v>150</v>
      </c>
      <c r="I173" s="207">
        <v>50</v>
      </c>
      <c r="J173" s="242">
        <f t="shared" si="26"/>
        <v>7500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20</v>
      </c>
      <c r="C174" s="206">
        <v>44711</v>
      </c>
      <c r="D174" s="161" t="s">
        <v>9</v>
      </c>
      <c r="E174" s="161" t="s">
        <v>301</v>
      </c>
      <c r="F174" s="207">
        <v>36050</v>
      </c>
      <c r="G174" s="207">
        <v>36109</v>
      </c>
      <c r="H174" s="161">
        <v>59</v>
      </c>
      <c r="I174" s="207">
        <v>50</v>
      </c>
      <c r="J174" s="242">
        <f t="shared" si="26"/>
        <v>2950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21</v>
      </c>
      <c r="C175" s="206">
        <v>44712</v>
      </c>
      <c r="D175" s="161" t="s">
        <v>9</v>
      </c>
      <c r="E175" s="161" t="s">
        <v>301</v>
      </c>
      <c r="F175" s="207">
        <v>35750</v>
      </c>
      <c r="G175" s="207">
        <v>35900</v>
      </c>
      <c r="H175" s="161">
        <f>35900-35750</f>
        <v>150</v>
      </c>
      <c r="I175" s="207">
        <v>50</v>
      </c>
      <c r="J175" s="242">
        <f t="shared" si="26"/>
        <v>7500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22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15" thickBot="1" x14ac:dyDescent="0.35">
      <c r="A177" s="147"/>
      <c r="B177" s="208">
        <f t="shared" si="29"/>
        <v>23</v>
      </c>
      <c r="C177" s="209"/>
      <c r="D177" s="166"/>
      <c r="E177" s="166"/>
      <c r="F177" s="210"/>
      <c r="G177" s="210"/>
      <c r="H177" s="166"/>
      <c r="I177" s="210"/>
      <c r="J177" s="244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24" thickBot="1" x14ac:dyDescent="0.5">
      <c r="A178" s="147"/>
      <c r="B178" s="370" t="s">
        <v>2254</v>
      </c>
      <c r="C178" s="371"/>
      <c r="D178" s="371"/>
      <c r="E178" s="371"/>
      <c r="F178" s="371"/>
      <c r="G178" s="371"/>
      <c r="H178" s="372"/>
      <c r="I178" s="211" t="s">
        <v>2255</v>
      </c>
      <c r="J178" s="212">
        <f>SUM(J155:J177)</f>
        <v>226400</v>
      </c>
      <c r="K178" s="153"/>
      <c r="V178" s="25">
        <f>SUM(V155:V177)</f>
        <v>21</v>
      </c>
      <c r="W178" s="25">
        <f>SUM(W155:W177)</f>
        <v>0</v>
      </c>
    </row>
    <row r="179" spans="1:23" ht="30" customHeight="1" thickBot="1" x14ac:dyDescent="0.35">
      <c r="A179" s="213"/>
      <c r="B179" s="172"/>
      <c r="C179" s="172"/>
      <c r="D179" s="172"/>
      <c r="E179" s="172"/>
      <c r="F179" s="172"/>
      <c r="G179" s="172"/>
      <c r="H179" s="235"/>
      <c r="I179" s="172"/>
      <c r="J179" s="235"/>
      <c r="K179" s="214"/>
    </row>
    <row r="180" spans="1:23" ht="15" thickBot="1" x14ac:dyDescent="0.35"/>
    <row r="181" spans="1:23" ht="30" customHeight="1" thickBot="1" x14ac:dyDescent="0.35">
      <c r="A181" s="198"/>
      <c r="B181" s="143"/>
      <c r="C181" s="143"/>
      <c r="D181" s="143"/>
      <c r="E181" s="143"/>
      <c r="F181" s="143"/>
      <c r="G181" s="143"/>
      <c r="H181" s="232"/>
      <c r="I181" s="143"/>
      <c r="J181" s="232"/>
      <c r="K181" s="199"/>
    </row>
    <row r="182" spans="1:23" ht="25.2" thickBot="1" x14ac:dyDescent="0.35">
      <c r="A182" s="147" t="s">
        <v>0</v>
      </c>
      <c r="B182" s="361" t="s">
        <v>2244</v>
      </c>
      <c r="C182" s="362"/>
      <c r="D182" s="362"/>
      <c r="E182" s="362"/>
      <c r="F182" s="362"/>
      <c r="G182" s="362"/>
      <c r="H182" s="362"/>
      <c r="I182" s="362"/>
      <c r="J182" s="363"/>
      <c r="K182" s="153"/>
    </row>
    <row r="183" spans="1:23" ht="16.2" thickBot="1" x14ac:dyDescent="0.35">
      <c r="A183" s="147"/>
      <c r="B183" s="364" t="s">
        <v>3785</v>
      </c>
      <c r="C183" s="365"/>
      <c r="D183" s="365"/>
      <c r="E183" s="365"/>
      <c r="F183" s="365"/>
      <c r="G183" s="365"/>
      <c r="H183" s="365"/>
      <c r="I183" s="365"/>
      <c r="J183" s="366"/>
      <c r="K183" s="153"/>
    </row>
    <row r="184" spans="1:23" ht="16.2" thickBot="1" x14ac:dyDescent="0.35">
      <c r="A184" s="147"/>
      <c r="B184" s="367" t="s">
        <v>1152</v>
      </c>
      <c r="C184" s="368"/>
      <c r="D184" s="368"/>
      <c r="E184" s="368"/>
      <c r="F184" s="368"/>
      <c r="G184" s="368"/>
      <c r="H184" s="368"/>
      <c r="I184" s="368"/>
      <c r="J184" s="369"/>
      <c r="K184" s="153"/>
    </row>
    <row r="185" spans="1:23" ht="15" thickBot="1" x14ac:dyDescent="0.35">
      <c r="A185" s="175"/>
      <c r="B185" s="178" t="s">
        <v>2248</v>
      </c>
      <c r="C185" s="179" t="s">
        <v>1</v>
      </c>
      <c r="D185" s="180" t="s">
        <v>5</v>
      </c>
      <c r="E185" s="180" t="s">
        <v>6</v>
      </c>
      <c r="F185" s="181" t="s">
        <v>2249</v>
      </c>
      <c r="G185" s="181" t="s">
        <v>2250</v>
      </c>
      <c r="H185" s="239" t="s">
        <v>2251</v>
      </c>
      <c r="I185" s="181" t="s">
        <v>2257</v>
      </c>
      <c r="J185" s="245" t="s">
        <v>4</v>
      </c>
      <c r="K185" s="176"/>
      <c r="L185" s="215"/>
      <c r="V185" s="201" t="s">
        <v>454</v>
      </c>
      <c r="W185" s="201" t="s">
        <v>455</v>
      </c>
    </row>
    <row r="186" spans="1:23" x14ac:dyDescent="0.3">
      <c r="A186" s="147"/>
      <c r="B186" s="217">
        <v>1</v>
      </c>
      <c r="C186" s="218">
        <v>44683</v>
      </c>
      <c r="D186" s="185" t="s">
        <v>9</v>
      </c>
      <c r="E186" s="185" t="s">
        <v>3230</v>
      </c>
      <c r="F186" s="219">
        <v>370</v>
      </c>
      <c r="G186" s="219">
        <v>409</v>
      </c>
      <c r="H186" s="185">
        <f>409-370</f>
        <v>39</v>
      </c>
      <c r="I186" s="219">
        <v>100</v>
      </c>
      <c r="J186" s="246">
        <f t="shared" ref="J186:J208" si="30">I186*H186</f>
        <v>3900</v>
      </c>
      <c r="K186" s="153"/>
      <c r="V186" s="25">
        <f>IF($J186&gt;0,1,0)</f>
        <v>1</v>
      </c>
      <c r="W186" s="25">
        <f>IF($J186&lt;0,1,0)</f>
        <v>0</v>
      </c>
    </row>
    <row r="187" spans="1:23" x14ac:dyDescent="0.3">
      <c r="A187" s="147"/>
      <c r="B187" s="205">
        <f>B186+1</f>
        <v>2</v>
      </c>
      <c r="C187" s="218">
        <v>44685</v>
      </c>
      <c r="D187" s="185" t="s">
        <v>9</v>
      </c>
      <c r="E187" s="185" t="s">
        <v>3781</v>
      </c>
      <c r="F187" s="219">
        <v>260</v>
      </c>
      <c r="G187" s="219">
        <v>460</v>
      </c>
      <c r="H187" s="185">
        <v>200</v>
      </c>
      <c r="I187" s="219">
        <v>100</v>
      </c>
      <c r="J187" s="242">
        <f t="shared" si="30"/>
        <v>20000</v>
      </c>
      <c r="K187" s="153"/>
      <c r="V187" s="25">
        <f t="shared" ref="V187:V208" si="31">IF($J187&gt;0,1,0)</f>
        <v>1</v>
      </c>
      <c r="W187" s="25">
        <f t="shared" ref="W187:W208" si="32">IF($J187&lt;0,1,0)</f>
        <v>0</v>
      </c>
    </row>
    <row r="188" spans="1:23" x14ac:dyDescent="0.3">
      <c r="A188" s="147"/>
      <c r="B188" s="205">
        <f t="shared" ref="B188:B208" si="33">B187+1</f>
        <v>3</v>
      </c>
      <c r="C188" s="206">
        <v>44686</v>
      </c>
      <c r="D188" s="161" t="s">
        <v>9</v>
      </c>
      <c r="E188" s="161" t="s">
        <v>3640</v>
      </c>
      <c r="F188" s="207">
        <v>200</v>
      </c>
      <c r="G188" s="207">
        <v>270</v>
      </c>
      <c r="H188" s="161">
        <v>70</v>
      </c>
      <c r="I188" s="207">
        <v>100</v>
      </c>
      <c r="J188" s="242">
        <f t="shared" si="30"/>
        <v>7000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4</v>
      </c>
      <c r="C189" s="206">
        <v>44687</v>
      </c>
      <c r="D189" s="161" t="s">
        <v>9</v>
      </c>
      <c r="E189" s="161" t="s">
        <v>3735</v>
      </c>
      <c r="F189" s="207">
        <v>500</v>
      </c>
      <c r="G189" s="207">
        <v>555</v>
      </c>
      <c r="H189" s="161">
        <v>55</v>
      </c>
      <c r="I189" s="207">
        <v>100</v>
      </c>
      <c r="J189" s="242">
        <f t="shared" si="30"/>
        <v>5500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5</v>
      </c>
      <c r="C190" s="206">
        <v>44690</v>
      </c>
      <c r="D190" s="161" t="s">
        <v>9</v>
      </c>
      <c r="E190" s="161" t="s">
        <v>3214</v>
      </c>
      <c r="F190" s="207">
        <v>400</v>
      </c>
      <c r="G190" s="207">
        <v>600</v>
      </c>
      <c r="H190" s="161">
        <v>200</v>
      </c>
      <c r="I190" s="207">
        <v>100</v>
      </c>
      <c r="J190" s="242">
        <f t="shared" si="30"/>
        <v>20000</v>
      </c>
      <c r="K190" s="153"/>
      <c r="O190" s="25" t="s">
        <v>2008</v>
      </c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6</v>
      </c>
      <c r="C191" s="206">
        <v>44691</v>
      </c>
      <c r="D191" s="161" t="s">
        <v>9</v>
      </c>
      <c r="E191" s="161" t="s">
        <v>3790</v>
      </c>
      <c r="F191" s="207">
        <v>330</v>
      </c>
      <c r="G191" s="207">
        <v>460</v>
      </c>
      <c r="H191" s="161">
        <f>460-330</f>
        <v>130</v>
      </c>
      <c r="I191" s="207">
        <v>100</v>
      </c>
      <c r="J191" s="242">
        <f t="shared" si="30"/>
        <v>13000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7</v>
      </c>
      <c r="C192" s="206">
        <v>44692</v>
      </c>
      <c r="D192" s="161" t="s">
        <v>9</v>
      </c>
      <c r="E192" s="161" t="s">
        <v>3791</v>
      </c>
      <c r="F192" s="207">
        <v>230</v>
      </c>
      <c r="G192" s="207">
        <v>400</v>
      </c>
      <c r="H192" s="161">
        <f>400-230</f>
        <v>170</v>
      </c>
      <c r="I192" s="207">
        <v>100</v>
      </c>
      <c r="J192" s="242">
        <f t="shared" si="30"/>
        <v>17000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8</v>
      </c>
      <c r="C193" s="206">
        <v>44693</v>
      </c>
      <c r="D193" s="161" t="s">
        <v>9</v>
      </c>
      <c r="E193" s="161" t="s">
        <v>3792</v>
      </c>
      <c r="F193" s="207">
        <v>250</v>
      </c>
      <c r="G193" s="207">
        <v>400</v>
      </c>
      <c r="H193" s="161">
        <f>400-250</f>
        <v>150</v>
      </c>
      <c r="I193" s="207">
        <v>100</v>
      </c>
      <c r="J193" s="242">
        <f t="shared" si="30"/>
        <v>15000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9</v>
      </c>
      <c r="C194" s="206">
        <v>44694</v>
      </c>
      <c r="D194" s="161" t="s">
        <v>9</v>
      </c>
      <c r="E194" s="161" t="s">
        <v>3793</v>
      </c>
      <c r="F194" s="207">
        <v>450</v>
      </c>
      <c r="G194" s="207">
        <v>549.45000000000005</v>
      </c>
      <c r="H194" s="161">
        <v>99</v>
      </c>
      <c r="I194" s="207">
        <v>100</v>
      </c>
      <c r="J194" s="242">
        <f t="shared" si="30"/>
        <v>9900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10</v>
      </c>
      <c r="C195" s="206">
        <v>44697</v>
      </c>
      <c r="D195" s="161" t="s">
        <v>9</v>
      </c>
      <c r="E195" s="161" t="s">
        <v>3804</v>
      </c>
      <c r="F195" s="207">
        <v>410</v>
      </c>
      <c r="G195" s="207">
        <v>445</v>
      </c>
      <c r="H195" s="161">
        <f>445-410</f>
        <v>35</v>
      </c>
      <c r="I195" s="207">
        <v>100</v>
      </c>
      <c r="J195" s="242">
        <f t="shared" si="30"/>
        <v>3500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11</v>
      </c>
      <c r="C196" s="206">
        <v>44698</v>
      </c>
      <c r="D196" s="161" t="s">
        <v>9</v>
      </c>
      <c r="E196" s="161" t="s">
        <v>3286</v>
      </c>
      <c r="F196" s="207">
        <v>300</v>
      </c>
      <c r="G196" s="207">
        <v>500</v>
      </c>
      <c r="H196" s="161">
        <v>200</v>
      </c>
      <c r="I196" s="207">
        <v>100</v>
      </c>
      <c r="J196" s="242">
        <f t="shared" si="30"/>
        <v>20000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12</v>
      </c>
      <c r="C197" s="206">
        <v>44699</v>
      </c>
      <c r="D197" s="161" t="s">
        <v>9</v>
      </c>
      <c r="E197" s="161" t="s">
        <v>3735</v>
      </c>
      <c r="F197" s="207">
        <v>240</v>
      </c>
      <c r="G197" s="207">
        <v>380</v>
      </c>
      <c r="H197" s="161">
        <f>380-240</f>
        <v>140</v>
      </c>
      <c r="I197" s="207">
        <v>100</v>
      </c>
      <c r="J197" s="242">
        <f t="shared" si="30"/>
        <v>14000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13</v>
      </c>
      <c r="C198" s="206">
        <v>44700</v>
      </c>
      <c r="D198" s="161" t="s">
        <v>9</v>
      </c>
      <c r="E198" s="161" t="s">
        <v>3805</v>
      </c>
      <c r="F198" s="207">
        <v>180</v>
      </c>
      <c r="G198" s="207">
        <v>380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14</v>
      </c>
      <c r="C199" s="206">
        <v>44701</v>
      </c>
      <c r="D199" s="161" t="s">
        <v>9</v>
      </c>
      <c r="E199" s="161" t="s">
        <v>3214</v>
      </c>
      <c r="F199" s="207">
        <v>420</v>
      </c>
      <c r="G199" s="207">
        <v>555</v>
      </c>
      <c r="H199" s="161">
        <f>555-420</f>
        <v>135</v>
      </c>
      <c r="I199" s="207">
        <v>100</v>
      </c>
      <c r="J199" s="242">
        <f t="shared" si="30"/>
        <v>13500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15</v>
      </c>
      <c r="C200" s="206">
        <v>44704</v>
      </c>
      <c r="D200" s="161" t="s">
        <v>9</v>
      </c>
      <c r="E200" s="161" t="s">
        <v>3811</v>
      </c>
      <c r="F200" s="207">
        <v>430</v>
      </c>
      <c r="G200" s="207">
        <v>530</v>
      </c>
      <c r="H200" s="161">
        <v>100</v>
      </c>
      <c r="I200" s="207">
        <v>100</v>
      </c>
      <c r="J200" s="242">
        <f t="shared" si="30"/>
        <v>10000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16</v>
      </c>
      <c r="C201" s="206">
        <v>44705</v>
      </c>
      <c r="D201" s="161" t="s">
        <v>9</v>
      </c>
      <c r="E201" s="161" t="s">
        <v>3387</v>
      </c>
      <c r="F201" s="207">
        <v>380</v>
      </c>
      <c r="G201" s="207">
        <v>415</v>
      </c>
      <c r="H201" s="161">
        <f>415-380</f>
        <v>35</v>
      </c>
      <c r="I201" s="207">
        <v>100</v>
      </c>
      <c r="J201" s="242">
        <f t="shared" si="30"/>
        <v>3500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17</v>
      </c>
      <c r="C202" s="206">
        <v>44706</v>
      </c>
      <c r="D202" s="161" t="s">
        <v>9</v>
      </c>
      <c r="E202" s="161" t="s">
        <v>3285</v>
      </c>
      <c r="F202" s="207">
        <v>260</v>
      </c>
      <c r="G202" s="207">
        <v>400</v>
      </c>
      <c r="H202" s="161">
        <f>400-260</f>
        <v>140</v>
      </c>
      <c r="I202" s="207">
        <v>100</v>
      </c>
      <c r="J202" s="242">
        <f t="shared" si="30"/>
        <v>14000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18</v>
      </c>
      <c r="C203" s="206">
        <v>44707</v>
      </c>
      <c r="D203" s="161" t="s">
        <v>9</v>
      </c>
      <c r="E203" s="161" t="s">
        <v>3790</v>
      </c>
      <c r="F203" s="207">
        <v>200</v>
      </c>
      <c r="G203" s="207">
        <v>360</v>
      </c>
      <c r="H203" s="161">
        <v>160</v>
      </c>
      <c r="I203" s="207">
        <v>100</v>
      </c>
      <c r="J203" s="242">
        <f t="shared" si="30"/>
        <v>16000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19</v>
      </c>
      <c r="C204" s="206">
        <v>44708</v>
      </c>
      <c r="D204" s="161" t="s">
        <v>9</v>
      </c>
      <c r="E204" s="161" t="s">
        <v>3268</v>
      </c>
      <c r="F204" s="207">
        <v>400</v>
      </c>
      <c r="G204" s="207">
        <v>455</v>
      </c>
      <c r="H204" s="161">
        <v>55</v>
      </c>
      <c r="I204" s="207">
        <v>100</v>
      </c>
      <c r="J204" s="242">
        <f t="shared" si="30"/>
        <v>5500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20</v>
      </c>
      <c r="C205" s="206">
        <v>44711</v>
      </c>
      <c r="D205" s="161" t="s">
        <v>9</v>
      </c>
      <c r="E205" s="161" t="s">
        <v>3271</v>
      </c>
      <c r="F205" s="207">
        <v>350</v>
      </c>
      <c r="G205" s="207">
        <v>405</v>
      </c>
      <c r="H205" s="161">
        <f>405-350</f>
        <v>55</v>
      </c>
      <c r="I205" s="207">
        <v>100</v>
      </c>
      <c r="J205" s="242">
        <f t="shared" si="30"/>
        <v>5500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21</v>
      </c>
      <c r="C206" s="206">
        <v>44712</v>
      </c>
      <c r="D206" s="161" t="s">
        <v>9</v>
      </c>
      <c r="E206" s="161" t="s">
        <v>3640</v>
      </c>
      <c r="F206" s="207">
        <v>330</v>
      </c>
      <c r="G206" s="207">
        <v>384</v>
      </c>
      <c r="H206" s="161">
        <f>384-330</f>
        <v>54</v>
      </c>
      <c r="I206" s="207">
        <v>100</v>
      </c>
      <c r="J206" s="242">
        <f t="shared" si="30"/>
        <v>5400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22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15" thickBot="1" x14ac:dyDescent="0.35">
      <c r="A208" s="147"/>
      <c r="B208" s="208">
        <f t="shared" si="33"/>
        <v>23</v>
      </c>
      <c r="C208" s="209"/>
      <c r="D208" s="166"/>
      <c r="E208" s="166"/>
      <c r="F208" s="210"/>
      <c r="G208" s="210"/>
      <c r="H208" s="166"/>
      <c r="I208" s="210"/>
      <c r="J208" s="244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ht="24" thickBot="1" x14ac:dyDescent="0.5">
      <c r="A209" s="147"/>
      <c r="B209" s="370" t="s">
        <v>2254</v>
      </c>
      <c r="C209" s="371"/>
      <c r="D209" s="371"/>
      <c r="E209" s="371"/>
      <c r="F209" s="371"/>
      <c r="G209" s="371"/>
      <c r="H209" s="372"/>
      <c r="I209" s="211" t="s">
        <v>2255</v>
      </c>
      <c r="J209" s="212">
        <f>SUM(J186:J208)</f>
        <v>242200</v>
      </c>
      <c r="K209" s="153"/>
      <c r="V209" s="25">
        <f>SUM(V186:V208)</f>
        <v>21</v>
      </c>
      <c r="W209" s="25">
        <f>SUM(W186:W208)</f>
        <v>0</v>
      </c>
    </row>
    <row r="210" spans="1:23" ht="30" customHeight="1" thickBot="1" x14ac:dyDescent="0.35">
      <c r="A210" s="213"/>
      <c r="B210" s="172"/>
      <c r="C210" s="172"/>
      <c r="D210" s="172"/>
      <c r="E210" s="172"/>
      <c r="F210" s="172"/>
      <c r="G210" s="172"/>
      <c r="H210" s="235"/>
      <c r="I210" s="172"/>
      <c r="J210" s="235"/>
      <c r="K210" s="214"/>
    </row>
    <row r="211" spans="1:23" ht="15" thickBot="1" x14ac:dyDescent="0.35"/>
    <row r="212" spans="1:23" ht="30" customHeight="1" thickBot="1" x14ac:dyDescent="0.35">
      <c r="A212" s="198"/>
      <c r="B212" s="143"/>
      <c r="C212" s="143"/>
      <c r="D212" s="143"/>
      <c r="E212" s="143"/>
      <c r="F212" s="143"/>
      <c r="G212" s="143"/>
      <c r="H212" s="232"/>
      <c r="I212" s="143"/>
      <c r="J212" s="232"/>
      <c r="K212" s="199"/>
    </row>
    <row r="213" spans="1:23" ht="25.2" thickBot="1" x14ac:dyDescent="0.35">
      <c r="A213" s="147" t="s">
        <v>0</v>
      </c>
      <c r="B213" s="361" t="s">
        <v>2244</v>
      </c>
      <c r="C213" s="362"/>
      <c r="D213" s="362"/>
      <c r="E213" s="362"/>
      <c r="F213" s="362"/>
      <c r="G213" s="362"/>
      <c r="H213" s="362"/>
      <c r="I213" s="362"/>
      <c r="J213" s="363"/>
      <c r="K213" s="153"/>
    </row>
    <row r="214" spans="1:23" ht="16.2" thickBot="1" x14ac:dyDescent="0.35">
      <c r="A214" s="147"/>
      <c r="B214" s="364" t="s">
        <v>3784</v>
      </c>
      <c r="C214" s="365"/>
      <c r="D214" s="365"/>
      <c r="E214" s="365"/>
      <c r="F214" s="365"/>
      <c r="G214" s="365"/>
      <c r="H214" s="365"/>
      <c r="I214" s="365"/>
      <c r="J214" s="366"/>
      <c r="K214" s="153"/>
    </row>
    <row r="215" spans="1:23" ht="16.2" thickBot="1" x14ac:dyDescent="0.35">
      <c r="A215" s="147"/>
      <c r="B215" s="367" t="s">
        <v>1076</v>
      </c>
      <c r="C215" s="368"/>
      <c r="D215" s="368"/>
      <c r="E215" s="368"/>
      <c r="F215" s="368"/>
      <c r="G215" s="368"/>
      <c r="H215" s="368"/>
      <c r="I215" s="368"/>
      <c r="J215" s="369"/>
      <c r="K215" s="153"/>
    </row>
    <row r="216" spans="1:23" ht="15" thickBot="1" x14ac:dyDescent="0.35">
      <c r="A216" s="175"/>
      <c r="B216" s="178" t="s">
        <v>2248</v>
      </c>
      <c r="C216" s="179" t="s">
        <v>1</v>
      </c>
      <c r="D216" s="180" t="s">
        <v>5</v>
      </c>
      <c r="E216" s="180" t="s">
        <v>6</v>
      </c>
      <c r="F216" s="181" t="s">
        <v>2249</v>
      </c>
      <c r="G216" s="181" t="s">
        <v>2250</v>
      </c>
      <c r="H216" s="239" t="s">
        <v>2251</v>
      </c>
      <c r="I216" s="181" t="s">
        <v>2257</v>
      </c>
      <c r="J216" s="245" t="s">
        <v>4</v>
      </c>
      <c r="K216" s="176"/>
      <c r="L216" s="215"/>
      <c r="V216" s="201" t="s">
        <v>454</v>
      </c>
      <c r="W216" s="201" t="s">
        <v>455</v>
      </c>
    </row>
    <row r="217" spans="1:23" x14ac:dyDescent="0.3">
      <c r="A217" s="147"/>
      <c r="B217" s="217">
        <v>1</v>
      </c>
      <c r="C217" s="218">
        <v>44683</v>
      </c>
      <c r="D217" s="185" t="s">
        <v>9</v>
      </c>
      <c r="E217" s="185" t="s">
        <v>3786</v>
      </c>
      <c r="F217" s="231">
        <v>75</v>
      </c>
      <c r="G217" s="231">
        <v>85</v>
      </c>
      <c r="H217" s="231">
        <v>10</v>
      </c>
      <c r="I217" s="219">
        <v>300</v>
      </c>
      <c r="J217" s="246">
        <f t="shared" ref="J217:J240" si="34"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>B217+1</f>
        <v>2</v>
      </c>
      <c r="C218" s="218">
        <v>44685</v>
      </c>
      <c r="D218" s="185" t="s">
        <v>9</v>
      </c>
      <c r="E218" s="185" t="s">
        <v>3787</v>
      </c>
      <c r="F218" s="231">
        <v>57</v>
      </c>
      <c r="G218" s="231">
        <v>47</v>
      </c>
      <c r="H218" s="231">
        <v>-10</v>
      </c>
      <c r="I218" s="219">
        <v>300</v>
      </c>
      <c r="J218" s="242">
        <f>I218*H218</f>
        <v>-3000</v>
      </c>
      <c r="K218" s="153"/>
      <c r="V218" s="25">
        <f>IF($J218&gt;0,1,0)</f>
        <v>0</v>
      </c>
      <c r="W218" s="25">
        <f>IF($J218&lt;0,1,0)</f>
        <v>1</v>
      </c>
    </row>
    <row r="219" spans="1:23" x14ac:dyDescent="0.3">
      <c r="A219" s="147"/>
      <c r="B219" s="205">
        <f t="shared" ref="B219:B240" si="35">B218+1</f>
        <v>3</v>
      </c>
      <c r="C219" s="206">
        <v>44686</v>
      </c>
      <c r="D219" s="161" t="s">
        <v>9</v>
      </c>
      <c r="E219" s="161" t="s">
        <v>3788</v>
      </c>
      <c r="F219" s="222">
        <v>82</v>
      </c>
      <c r="G219" s="222">
        <v>92</v>
      </c>
      <c r="H219" s="222">
        <v>10</v>
      </c>
      <c r="I219" s="207">
        <v>500</v>
      </c>
      <c r="J219" s="242">
        <f t="shared" si="34"/>
        <v>5000</v>
      </c>
      <c r="K219" s="153"/>
      <c r="V219" s="25">
        <f t="shared" ref="V219:V240" si="36">IF($J219&gt;0,1,0)</f>
        <v>1</v>
      </c>
      <c r="W219" s="25">
        <f t="shared" ref="W219:W240" si="37">IF($J219&lt;0,1,0)</f>
        <v>0</v>
      </c>
    </row>
    <row r="220" spans="1:23" x14ac:dyDescent="0.3">
      <c r="A220" s="147"/>
      <c r="B220" s="205">
        <f t="shared" si="35"/>
        <v>4</v>
      </c>
      <c r="C220" s="206">
        <v>44687</v>
      </c>
      <c r="D220" s="161" t="s">
        <v>9</v>
      </c>
      <c r="E220" s="161" t="s">
        <v>3544</v>
      </c>
      <c r="F220" s="222">
        <v>85</v>
      </c>
      <c r="G220" s="222">
        <v>100</v>
      </c>
      <c r="H220" s="222">
        <f>100-85</f>
        <v>15</v>
      </c>
      <c r="I220" s="207">
        <v>250</v>
      </c>
      <c r="J220" s="242">
        <f t="shared" si="34"/>
        <v>3750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5</v>
      </c>
      <c r="C221" s="206">
        <v>44690</v>
      </c>
      <c r="D221" s="161" t="s">
        <v>9</v>
      </c>
      <c r="E221" s="161" t="s">
        <v>3794</v>
      </c>
      <c r="F221" s="222">
        <v>68</v>
      </c>
      <c r="G221" s="222">
        <v>88</v>
      </c>
      <c r="H221" s="222">
        <v>20</v>
      </c>
      <c r="I221" s="207">
        <v>250</v>
      </c>
      <c r="J221" s="242">
        <f t="shared" si="34"/>
        <v>5000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6</v>
      </c>
      <c r="C222" s="206">
        <v>44691</v>
      </c>
      <c r="D222" s="161" t="s">
        <v>9</v>
      </c>
      <c r="E222" s="161" t="s">
        <v>3795</v>
      </c>
      <c r="F222" s="222">
        <v>19</v>
      </c>
      <c r="G222" s="222">
        <v>22.1</v>
      </c>
      <c r="H222" s="222">
        <v>3.1</v>
      </c>
      <c r="I222" s="207">
        <v>950</v>
      </c>
      <c r="J222" s="242">
        <f t="shared" si="34"/>
        <v>2945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7</v>
      </c>
      <c r="C223" s="206">
        <v>44692</v>
      </c>
      <c r="D223" s="161" t="s">
        <v>9</v>
      </c>
      <c r="E223" s="161" t="s">
        <v>3796</v>
      </c>
      <c r="F223" s="222">
        <v>60</v>
      </c>
      <c r="G223" s="222">
        <v>71.5</v>
      </c>
      <c r="H223" s="222">
        <v>11.5</v>
      </c>
      <c r="I223" s="207">
        <v>375</v>
      </c>
      <c r="J223" s="242">
        <f t="shared" si="34"/>
        <v>4312.5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8</v>
      </c>
      <c r="C224" s="206">
        <v>44693</v>
      </c>
      <c r="D224" s="161" t="s">
        <v>9</v>
      </c>
      <c r="E224" s="161" t="s">
        <v>3797</v>
      </c>
      <c r="F224" s="222">
        <v>16</v>
      </c>
      <c r="G224" s="222">
        <v>20.7</v>
      </c>
      <c r="H224" s="222">
        <v>4.7</v>
      </c>
      <c r="I224" s="207">
        <v>1500</v>
      </c>
      <c r="J224" s="242">
        <f t="shared" si="34"/>
        <v>7050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9</v>
      </c>
      <c r="C225" s="206">
        <v>44694</v>
      </c>
      <c r="D225" s="161" t="s">
        <v>9</v>
      </c>
      <c r="E225" s="161" t="s">
        <v>3797</v>
      </c>
      <c r="F225" s="222">
        <v>15.5</v>
      </c>
      <c r="G225" s="222">
        <v>12.5</v>
      </c>
      <c r="H225" s="255">
        <v>-3</v>
      </c>
      <c r="I225" s="207">
        <v>1500</v>
      </c>
      <c r="J225" s="242">
        <f t="shared" si="34"/>
        <v>-4500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10</v>
      </c>
      <c r="C226" s="206">
        <v>44697</v>
      </c>
      <c r="D226" s="161" t="s">
        <v>9</v>
      </c>
      <c r="E226" s="161" t="s">
        <v>3798</v>
      </c>
      <c r="F226" s="222">
        <v>60</v>
      </c>
      <c r="G226" s="222">
        <v>90</v>
      </c>
      <c r="H226" s="255">
        <v>30</v>
      </c>
      <c r="I226" s="207">
        <v>150</v>
      </c>
      <c r="J226" s="242">
        <f t="shared" si="34"/>
        <v>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11</v>
      </c>
      <c r="C227" s="206">
        <v>44698</v>
      </c>
      <c r="D227" s="161" t="s">
        <v>9</v>
      </c>
      <c r="E227" s="161" t="s">
        <v>3799</v>
      </c>
      <c r="F227" s="222">
        <v>110</v>
      </c>
      <c r="G227" s="222">
        <v>170</v>
      </c>
      <c r="H227" s="255">
        <v>60</v>
      </c>
      <c r="I227" s="207">
        <v>125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12</v>
      </c>
      <c r="C228" s="206">
        <v>44699</v>
      </c>
      <c r="D228" s="161" t="s">
        <v>9</v>
      </c>
      <c r="E228" s="161" t="s">
        <v>3800</v>
      </c>
      <c r="F228" s="222">
        <v>90</v>
      </c>
      <c r="G228" s="222">
        <v>123</v>
      </c>
      <c r="H228" s="255">
        <f>123-90</f>
        <v>33</v>
      </c>
      <c r="I228" s="207">
        <v>200</v>
      </c>
      <c r="J228" s="242">
        <f t="shared" si="34"/>
        <v>6600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13</v>
      </c>
      <c r="C229" s="206">
        <v>44700</v>
      </c>
      <c r="D229" s="161" t="s">
        <v>9</v>
      </c>
      <c r="E229" s="161" t="s">
        <v>3743</v>
      </c>
      <c r="F229" s="222">
        <v>48</v>
      </c>
      <c r="G229" s="222">
        <v>38</v>
      </c>
      <c r="H229" s="255">
        <v>-10</v>
      </c>
      <c r="I229" s="207">
        <v>250</v>
      </c>
      <c r="J229" s="242">
        <f t="shared" si="34"/>
        <v>-2500</v>
      </c>
      <c r="K229" s="153"/>
      <c r="V229" s="25">
        <f t="shared" si="36"/>
        <v>0</v>
      </c>
      <c r="W229" s="25">
        <f t="shared" si="37"/>
        <v>1</v>
      </c>
    </row>
    <row r="230" spans="1:23" x14ac:dyDescent="0.3">
      <c r="A230" s="147"/>
      <c r="B230" s="205">
        <f t="shared" si="35"/>
        <v>14</v>
      </c>
      <c r="C230" s="206">
        <v>44701</v>
      </c>
      <c r="D230" s="161" t="s">
        <v>9</v>
      </c>
      <c r="E230" s="161" t="s">
        <v>3807</v>
      </c>
      <c r="F230" s="222">
        <v>45</v>
      </c>
      <c r="G230" s="222">
        <v>65</v>
      </c>
      <c r="H230" s="255">
        <v>20</v>
      </c>
      <c r="I230" s="207">
        <v>500</v>
      </c>
      <c r="J230" s="242">
        <f>I230*H230</f>
        <v>10000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15</v>
      </c>
      <c r="C231" s="206">
        <v>44704</v>
      </c>
      <c r="D231" s="161" t="s">
        <v>9</v>
      </c>
      <c r="E231" s="161" t="s">
        <v>3812</v>
      </c>
      <c r="F231" s="222">
        <v>9</v>
      </c>
      <c r="G231" s="222">
        <v>14.5</v>
      </c>
      <c r="H231" s="255">
        <f>14.5-9</f>
        <v>5.5</v>
      </c>
      <c r="I231" s="207">
        <v>850</v>
      </c>
      <c r="J231" s="242">
        <f t="shared" si="34"/>
        <v>4675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16</v>
      </c>
      <c r="C232" s="206">
        <v>44705</v>
      </c>
      <c r="D232" s="161" t="s">
        <v>9</v>
      </c>
      <c r="E232" s="161" t="s">
        <v>3813</v>
      </c>
      <c r="F232" s="222">
        <v>13.5</v>
      </c>
      <c r="G232" s="222">
        <v>15</v>
      </c>
      <c r="H232" s="222">
        <f>15-13.5</f>
        <v>1.5</v>
      </c>
      <c r="I232" s="207">
        <v>800</v>
      </c>
      <c r="J232" s="242">
        <f t="shared" si="34"/>
        <v>1200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17</v>
      </c>
      <c r="C233" s="206">
        <v>44706</v>
      </c>
      <c r="D233" s="161" t="s">
        <v>9</v>
      </c>
      <c r="E233" s="161" t="s">
        <v>3814</v>
      </c>
      <c r="F233" s="222">
        <v>10</v>
      </c>
      <c r="G233" s="222">
        <v>12</v>
      </c>
      <c r="H233" s="222">
        <v>2</v>
      </c>
      <c r="I233" s="207">
        <v>1100</v>
      </c>
      <c r="J233" s="242">
        <f t="shared" si="34"/>
        <v>2200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18</v>
      </c>
      <c r="C234" s="206">
        <v>44707</v>
      </c>
      <c r="D234" s="161" t="s">
        <v>9</v>
      </c>
      <c r="E234" s="161" t="s">
        <v>3815</v>
      </c>
      <c r="F234" s="222">
        <v>3</v>
      </c>
      <c r="G234" s="222">
        <v>4.4000000000000004</v>
      </c>
      <c r="H234" s="222">
        <v>1.4</v>
      </c>
      <c r="I234" s="207">
        <v>1500</v>
      </c>
      <c r="J234" s="242">
        <f t="shared" si="34"/>
        <v>2100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19</v>
      </c>
      <c r="C235" s="206">
        <v>44708</v>
      </c>
      <c r="D235" s="161" t="s">
        <v>9</v>
      </c>
      <c r="E235" s="161" t="s">
        <v>3816</v>
      </c>
      <c r="F235" s="222">
        <v>150</v>
      </c>
      <c r="G235" s="222">
        <v>120</v>
      </c>
      <c r="H235" s="222">
        <v>-30</v>
      </c>
      <c r="I235" s="207">
        <v>125</v>
      </c>
      <c r="J235" s="242">
        <f t="shared" si="34"/>
        <v>-3750</v>
      </c>
      <c r="K235" s="153"/>
      <c r="V235" s="25">
        <f t="shared" si="36"/>
        <v>0</v>
      </c>
      <c r="W235" s="25">
        <f t="shared" si="37"/>
        <v>1</v>
      </c>
    </row>
    <row r="236" spans="1:23" x14ac:dyDescent="0.3">
      <c r="A236" s="147"/>
      <c r="B236" s="205">
        <f t="shared" si="35"/>
        <v>20</v>
      </c>
      <c r="C236" s="206">
        <v>44711</v>
      </c>
      <c r="D236" s="161" t="s">
        <v>9</v>
      </c>
      <c r="E236" s="161" t="s">
        <v>3817</v>
      </c>
      <c r="F236" s="222">
        <v>30</v>
      </c>
      <c r="G236" s="222">
        <v>42</v>
      </c>
      <c r="H236" s="222">
        <v>12</v>
      </c>
      <c r="I236" s="207">
        <v>625</v>
      </c>
      <c r="J236" s="242">
        <f t="shared" si="34"/>
        <v>7500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21</v>
      </c>
      <c r="C237" s="206">
        <v>44712</v>
      </c>
      <c r="D237" s="161" t="s">
        <v>9</v>
      </c>
      <c r="E237" s="161" t="s">
        <v>3818</v>
      </c>
      <c r="F237" s="222">
        <v>29</v>
      </c>
      <c r="G237" s="222">
        <v>31.3</v>
      </c>
      <c r="H237" s="222">
        <f>31.3-29</f>
        <v>2.3000000000000007</v>
      </c>
      <c r="I237" s="207">
        <v>1000</v>
      </c>
      <c r="J237" s="242">
        <f t="shared" si="34"/>
        <v>2300.0000000000009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22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23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15" thickBot="1" x14ac:dyDescent="0.35">
      <c r="A240" s="147"/>
      <c r="B240" s="208">
        <f t="shared" si="35"/>
        <v>24</v>
      </c>
      <c r="C240" s="209"/>
      <c r="D240" s="166"/>
      <c r="E240" s="166"/>
      <c r="F240" s="222"/>
      <c r="G240" s="222"/>
      <c r="H240" s="166"/>
      <c r="I240" s="210"/>
      <c r="J240" s="244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24" thickBot="1" x14ac:dyDescent="0.5">
      <c r="A241" s="147"/>
      <c r="B241" s="370" t="s">
        <v>2254</v>
      </c>
      <c r="C241" s="371"/>
      <c r="D241" s="371"/>
      <c r="E241" s="371"/>
      <c r="F241" s="371"/>
      <c r="G241" s="371"/>
      <c r="H241" s="372"/>
      <c r="I241" s="211" t="s">
        <v>2255</v>
      </c>
      <c r="J241" s="212">
        <f>SUM(J217:J240)</f>
        <v>65882.5</v>
      </c>
      <c r="K241" s="153"/>
      <c r="V241" s="25">
        <f>SUM(V217:V240)</f>
        <v>17</v>
      </c>
      <c r="W241" s="25">
        <f>SUM(W217:W240)</f>
        <v>4</v>
      </c>
    </row>
    <row r="242" spans="1:23" ht="30" customHeight="1" thickBot="1" x14ac:dyDescent="0.35">
      <c r="A242" s="213"/>
      <c r="B242" s="172"/>
      <c r="C242" s="172"/>
      <c r="D242" s="172"/>
      <c r="E242" s="172"/>
      <c r="F242" s="172"/>
      <c r="G242" s="172"/>
      <c r="H242" s="235"/>
      <c r="I242" s="172"/>
      <c r="J242" s="235"/>
      <c r="K242" s="214"/>
    </row>
  </sheetData>
  <mergeCells count="84">
    <mergeCell ref="B214:J214"/>
    <mergeCell ref="B215:J215"/>
    <mergeCell ref="B241:H241"/>
    <mergeCell ref="B178:H178"/>
    <mergeCell ref="B182:J182"/>
    <mergeCell ref="B183:J183"/>
    <mergeCell ref="B184:J184"/>
    <mergeCell ref="B209:H209"/>
    <mergeCell ref="B213:J213"/>
    <mergeCell ref="B153:J153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7:H147"/>
    <mergeCell ref="B151:J151"/>
    <mergeCell ref="B152:J152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4" r:id="rId1" xr:uid="{00000000-0004-0000-6D00-000000000000}"/>
    <hyperlink ref="B115" r:id="rId2" xr:uid="{00000000-0004-0000-6D00-000001000000}"/>
    <hyperlink ref="B147" r:id="rId3" xr:uid="{00000000-0004-0000-6D00-000002000000}"/>
    <hyperlink ref="B178" r:id="rId4" xr:uid="{00000000-0004-0000-6D00-000003000000}"/>
    <hyperlink ref="B209" r:id="rId5" xr:uid="{00000000-0004-0000-6D00-000004000000}"/>
    <hyperlink ref="B241" r:id="rId6" xr:uid="{00000000-0004-0000-6D00-000005000000}"/>
    <hyperlink ref="M1" location="'MASTER '!A1" display="Back" xr:uid="{00000000-0004-0000-6D00-000006000000}"/>
    <hyperlink ref="M6:M7" location="'MAY 2022'!A77" display="STOCK FUTURE" xr:uid="{00000000-0004-0000-6D00-000007000000}"/>
    <hyperlink ref="M12:M13" location="'MAY 2022'!A170" display="BANK NIFTY" xr:uid="{00000000-0004-0000-6D00-000008000000}"/>
    <hyperlink ref="M10:M11" location="'MAY 2022'!A139" display="NF. OPTION" xr:uid="{00000000-0004-0000-6D00-000009000000}"/>
    <hyperlink ref="M8:M9" location="'MAY 2022'!A108" display="NIFTY FUTURE" xr:uid="{00000000-0004-0000-6D00-00000A000000}"/>
    <hyperlink ref="M4:M5" location="'APRIL 2022'!A1" display="CASH" xr:uid="{00000000-0004-0000-6D00-00000B000000}"/>
    <hyperlink ref="M14:M15" location="'MAY 2022'!A201" display="B.NIFTY OPTION" xr:uid="{00000000-0004-0000-6D00-00000C000000}"/>
    <hyperlink ref="M16:M17" location="'MAY 2022'!A216" display="STOCK OPTION" xr:uid="{00000000-0004-0000-6D00-00000D000000}"/>
    <hyperlink ref="B52" r:id="rId7" xr:uid="{00000000-0004-0000-6D00-00000E000000}"/>
  </hyperlinks>
  <pageMargins left="0" right="0" top="0" bottom="0" header="0" footer="0"/>
  <pageSetup scale="95" orientation="portrait" r:id="rId8"/>
  <drawing r:id="rId9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W243"/>
  <sheetViews>
    <sheetView topLeftCell="A143" zoomScaleNormal="100" workbookViewId="0">
      <selection activeCell="A139" sqref="A13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3819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43</v>
      </c>
      <c r="O4" s="386">
        <f>V52</f>
        <v>33</v>
      </c>
      <c r="P4" s="386">
        <f>W52</f>
        <v>10</v>
      </c>
      <c r="Q4" s="387">
        <f>N4-O4-P4</f>
        <v>0</v>
      </c>
      <c r="R4" s="380">
        <f>O4/N4</f>
        <v>0.76744186046511631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44713</v>
      </c>
      <c r="D6" s="158" t="s">
        <v>9</v>
      </c>
      <c r="E6" s="158" t="s">
        <v>3706</v>
      </c>
      <c r="F6" s="230">
        <v>684</v>
      </c>
      <c r="G6" s="222">
        <v>694</v>
      </c>
      <c r="H6" s="222">
        <v>10</v>
      </c>
      <c r="I6" s="207">
        <f t="shared" ref="I6:I48" si="0">300000/F6</f>
        <v>438.59649122807019</v>
      </c>
      <c r="J6" s="161">
        <f t="shared" ref="J6:J48" si="1">H6*I6</f>
        <v>4385.9649122807023</v>
      </c>
      <c r="K6" s="153"/>
      <c r="M6" s="394" t="s">
        <v>450</v>
      </c>
      <c r="N6" s="344">
        <f>COUNT(C60:C83)</f>
        <v>22</v>
      </c>
      <c r="O6" s="346">
        <f>V84</f>
        <v>20</v>
      </c>
      <c r="P6" s="346">
        <f>W84</f>
        <v>1</v>
      </c>
      <c r="Q6" s="374">
        <f>N6-O6-P6</f>
        <v>1</v>
      </c>
      <c r="R6" s="376">
        <f t="shared" ref="R6" si="2">O6/N6</f>
        <v>0.90909090909090906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44713</v>
      </c>
      <c r="D7" s="161" t="s">
        <v>9</v>
      </c>
      <c r="E7" s="161" t="s">
        <v>365</v>
      </c>
      <c r="F7" s="222">
        <v>554</v>
      </c>
      <c r="G7" s="231">
        <v>568</v>
      </c>
      <c r="H7" s="255">
        <f>568-554</f>
        <v>14</v>
      </c>
      <c r="I7" s="207">
        <f t="shared" si="0"/>
        <v>541.51624548736459</v>
      </c>
      <c r="J7" s="161">
        <f t="shared" si="1"/>
        <v>7581.2274368231047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44714</v>
      </c>
      <c r="D8" s="161" t="s">
        <v>9</v>
      </c>
      <c r="E8" s="161" t="s">
        <v>19</v>
      </c>
      <c r="F8" s="222">
        <v>471</v>
      </c>
      <c r="G8" s="222">
        <v>470</v>
      </c>
      <c r="H8" s="222">
        <v>-1</v>
      </c>
      <c r="I8" s="207">
        <f t="shared" si="0"/>
        <v>636.9426751592357</v>
      </c>
      <c r="J8" s="161">
        <f t="shared" si="1"/>
        <v>-636.9426751592357</v>
      </c>
      <c r="K8" s="153"/>
      <c r="M8" s="394" t="s">
        <v>451</v>
      </c>
      <c r="N8" s="344">
        <f>COUNT(C92:C114)</f>
        <v>22</v>
      </c>
      <c r="O8" s="346">
        <f>V115</f>
        <v>20</v>
      </c>
      <c r="P8" s="346">
        <f>W115</f>
        <v>2</v>
      </c>
      <c r="Q8" s="374">
        <f>N8-O8-P8</f>
        <v>0</v>
      </c>
      <c r="R8" s="376">
        <f t="shared" ref="R8" si="6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44714</v>
      </c>
      <c r="D9" s="161" t="s">
        <v>9</v>
      </c>
      <c r="E9" s="161" t="s">
        <v>371</v>
      </c>
      <c r="F9" s="222">
        <v>183.5</v>
      </c>
      <c r="G9" s="231">
        <v>186</v>
      </c>
      <c r="H9" s="255">
        <f>186-183.5</f>
        <v>2.5</v>
      </c>
      <c r="I9" s="207">
        <f t="shared" si="0"/>
        <v>1634.8773841961852</v>
      </c>
      <c r="J9" s="161">
        <f t="shared" si="1"/>
        <v>4087.1934604904627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44715</v>
      </c>
      <c r="D10" s="161" t="s">
        <v>9</v>
      </c>
      <c r="E10" s="161" t="s">
        <v>3823</v>
      </c>
      <c r="F10" s="222">
        <v>790</v>
      </c>
      <c r="G10" s="222">
        <v>780</v>
      </c>
      <c r="H10" s="222">
        <v>-10</v>
      </c>
      <c r="I10" s="207">
        <f t="shared" si="0"/>
        <v>379.74683544303798</v>
      </c>
      <c r="J10" s="161">
        <f t="shared" si="1"/>
        <v>-3797.4683544303798</v>
      </c>
      <c r="K10" s="153"/>
      <c r="M10" s="394" t="s">
        <v>1176</v>
      </c>
      <c r="N10" s="344">
        <f>COUNT(C123:C147)</f>
        <v>25</v>
      </c>
      <c r="O10" s="346">
        <f>V148</f>
        <v>25</v>
      </c>
      <c r="P10" s="346">
        <f>W148</f>
        <v>0</v>
      </c>
      <c r="Q10" s="374">
        <f>N10-O10-P10</f>
        <v>0</v>
      </c>
      <c r="R10" s="376">
        <f t="shared" ref="R10:R16" si="7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44715</v>
      </c>
      <c r="D11" s="161" t="s">
        <v>8</v>
      </c>
      <c r="E11" s="161" t="s">
        <v>3444</v>
      </c>
      <c r="F11" s="222">
        <v>200.5</v>
      </c>
      <c r="G11" s="222">
        <v>203.5</v>
      </c>
      <c r="H11" s="255">
        <v>-3.5</v>
      </c>
      <c r="I11" s="207">
        <f t="shared" si="0"/>
        <v>1496.2593516209477</v>
      </c>
      <c r="J11" s="161">
        <f t="shared" si="1"/>
        <v>-5236.907730673317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44718</v>
      </c>
      <c r="D12" s="161" t="s">
        <v>9</v>
      </c>
      <c r="E12" s="161" t="s">
        <v>160</v>
      </c>
      <c r="F12" s="222">
        <v>972</v>
      </c>
      <c r="G12" s="222">
        <v>979.5</v>
      </c>
      <c r="H12" s="222">
        <f>979.5-972</f>
        <v>7.5</v>
      </c>
      <c r="I12" s="207">
        <f t="shared" si="0"/>
        <v>308.64197530864197</v>
      </c>
      <c r="J12" s="161">
        <f t="shared" si="1"/>
        <v>2314.8148148148148</v>
      </c>
      <c r="K12" s="153"/>
      <c r="M12" s="394" t="s">
        <v>41</v>
      </c>
      <c r="N12" s="344">
        <f>COUNT(C156:C178)</f>
        <v>22</v>
      </c>
      <c r="O12" s="346">
        <f>V179</f>
        <v>20</v>
      </c>
      <c r="P12" s="346">
        <f>W179</f>
        <v>2</v>
      </c>
      <c r="Q12" s="374">
        <f t="shared" ref="Q12" si="8">N12-O12-P12</f>
        <v>0</v>
      </c>
      <c r="R12" s="376">
        <f t="shared" si="7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44718</v>
      </c>
      <c r="D13" s="161" t="s">
        <v>9</v>
      </c>
      <c r="E13" s="161" t="s">
        <v>95</v>
      </c>
      <c r="F13" s="222">
        <v>745</v>
      </c>
      <c r="G13" s="222">
        <v>750.95</v>
      </c>
      <c r="H13" s="255">
        <f>750.95-745</f>
        <v>5.9500000000000455</v>
      </c>
      <c r="I13" s="207">
        <f t="shared" si="0"/>
        <v>402.68456375838929</v>
      </c>
      <c r="J13" s="161">
        <f t="shared" si="1"/>
        <v>2395.9731543624348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44719</v>
      </c>
      <c r="D14" s="161" t="s">
        <v>9</v>
      </c>
      <c r="E14" s="161" t="s">
        <v>95</v>
      </c>
      <c r="F14" s="222">
        <v>740</v>
      </c>
      <c r="G14" s="222">
        <v>734</v>
      </c>
      <c r="H14" s="222">
        <v>-6</v>
      </c>
      <c r="I14" s="207">
        <f t="shared" si="0"/>
        <v>405.40540540540542</v>
      </c>
      <c r="J14" s="161">
        <f t="shared" si="1"/>
        <v>-2432.4324324324325</v>
      </c>
      <c r="K14" s="153"/>
      <c r="M14" s="394" t="s">
        <v>1175</v>
      </c>
      <c r="N14" s="344">
        <f>COUNT(C187:C209)</f>
        <v>22</v>
      </c>
      <c r="O14" s="346">
        <f>V210</f>
        <v>18</v>
      </c>
      <c r="P14" s="346">
        <f>W210</f>
        <v>4</v>
      </c>
      <c r="Q14" s="374">
        <f t="shared" ref="Q14" si="9">N14-O14-P14</f>
        <v>0</v>
      </c>
      <c r="R14" s="376">
        <f t="shared" si="7"/>
        <v>0.81818181818181823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44719</v>
      </c>
      <c r="D15" s="161" t="s">
        <v>9</v>
      </c>
      <c r="E15" s="161" t="s">
        <v>371</v>
      </c>
      <c r="F15" s="222">
        <v>187</v>
      </c>
      <c r="G15" s="222">
        <v>185</v>
      </c>
      <c r="H15" s="222">
        <v>-2</v>
      </c>
      <c r="I15" s="207">
        <f t="shared" si="0"/>
        <v>1604.2780748663101</v>
      </c>
      <c r="J15" s="161">
        <f t="shared" si="1"/>
        <v>-3208.5561497326203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44720</v>
      </c>
      <c r="D16" s="161" t="s">
        <v>9</v>
      </c>
      <c r="E16" s="161" t="s">
        <v>19</v>
      </c>
      <c r="F16" s="222">
        <v>468</v>
      </c>
      <c r="G16" s="222">
        <v>474.4</v>
      </c>
      <c r="H16" s="222">
        <f>474.4-468</f>
        <v>6.3999999999999773</v>
      </c>
      <c r="I16" s="207">
        <f t="shared" si="0"/>
        <v>641.02564102564099</v>
      </c>
      <c r="J16" s="161">
        <f t="shared" si="1"/>
        <v>4102.564102564088</v>
      </c>
      <c r="K16" s="153"/>
      <c r="L16" s="25" t="s">
        <v>2008</v>
      </c>
      <c r="M16" s="394" t="s">
        <v>1090</v>
      </c>
      <c r="N16" s="344">
        <f>COUNT(C218:C241)</f>
        <v>22</v>
      </c>
      <c r="O16" s="346">
        <f>V242</f>
        <v>17</v>
      </c>
      <c r="P16" s="346">
        <f>W242</f>
        <v>5</v>
      </c>
      <c r="Q16" s="374">
        <v>0</v>
      </c>
      <c r="R16" s="376">
        <f t="shared" si="7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44720</v>
      </c>
      <c r="D17" s="161" t="s">
        <v>9</v>
      </c>
      <c r="E17" s="161" t="s">
        <v>3527</v>
      </c>
      <c r="F17" s="222">
        <v>2665</v>
      </c>
      <c r="G17" s="222">
        <v>2674.5</v>
      </c>
      <c r="H17" s="222">
        <f>2674.5-2665</f>
        <v>9.5</v>
      </c>
      <c r="I17" s="207">
        <f t="shared" si="0"/>
        <v>112.5703564727955</v>
      </c>
      <c r="J17" s="161">
        <f t="shared" si="1"/>
        <v>1069.4183864915572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44721</v>
      </c>
      <c r="D18" s="161" t="s">
        <v>9</v>
      </c>
      <c r="E18" s="161" t="s">
        <v>2203</v>
      </c>
      <c r="F18" s="222">
        <v>775</v>
      </c>
      <c r="G18" s="222">
        <v>780</v>
      </c>
      <c r="H18" s="222">
        <v>5</v>
      </c>
      <c r="I18" s="207">
        <f t="shared" si="0"/>
        <v>387.09677419354841</v>
      </c>
      <c r="J18" s="161">
        <f t="shared" si="1"/>
        <v>1935.483870967742</v>
      </c>
      <c r="K18" s="153"/>
      <c r="M18" s="392" t="s">
        <v>946</v>
      </c>
      <c r="N18" s="378">
        <f>SUM(N4:N17)</f>
        <v>178</v>
      </c>
      <c r="O18" s="378">
        <f t="shared" ref="O18:Q18" si="10">SUM(O4:O17)</f>
        <v>153</v>
      </c>
      <c r="P18" s="378">
        <f t="shared" si="10"/>
        <v>24</v>
      </c>
      <c r="Q18" s="378">
        <f t="shared" si="10"/>
        <v>1</v>
      </c>
      <c r="R18" s="380">
        <f t="shared" ref="R18" si="11">O18/N18</f>
        <v>0.8595505617977528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44721</v>
      </c>
      <c r="D19" s="161" t="s">
        <v>8</v>
      </c>
      <c r="E19" s="161" t="s">
        <v>19</v>
      </c>
      <c r="F19" s="222">
        <v>467</v>
      </c>
      <c r="G19" s="222">
        <v>462.8</v>
      </c>
      <c r="H19" s="222">
        <f>467-462.8</f>
        <v>4.1999999999999886</v>
      </c>
      <c r="I19" s="207">
        <f t="shared" si="0"/>
        <v>642.3982869379015</v>
      </c>
      <c r="J19" s="161">
        <f t="shared" si="1"/>
        <v>2698.0728051391789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44722</v>
      </c>
      <c r="D20" s="161" t="s">
        <v>9</v>
      </c>
      <c r="E20" s="161" t="s">
        <v>49</v>
      </c>
      <c r="F20" s="222">
        <v>533</v>
      </c>
      <c r="G20" s="222">
        <v>527</v>
      </c>
      <c r="H20" s="222">
        <v>-6</v>
      </c>
      <c r="I20" s="207">
        <f t="shared" si="0"/>
        <v>562.85178236397746</v>
      </c>
      <c r="J20" s="161">
        <f t="shared" si="1"/>
        <v>-3377.1106941838648</v>
      </c>
      <c r="K20" s="153"/>
      <c r="M20" s="316" t="s">
        <v>2253</v>
      </c>
      <c r="N20" s="317"/>
      <c r="O20" s="318"/>
      <c r="P20" s="325">
        <f>R18</f>
        <v>0.8595505617977528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44722</v>
      </c>
      <c r="D21" s="161" t="s">
        <v>9</v>
      </c>
      <c r="E21" s="161" t="s">
        <v>3516</v>
      </c>
      <c r="F21" s="222">
        <v>1105</v>
      </c>
      <c r="G21" s="222">
        <v>1120</v>
      </c>
      <c r="H21" s="222">
        <v>15</v>
      </c>
      <c r="I21" s="207">
        <f t="shared" si="0"/>
        <v>271.49321266968326</v>
      </c>
      <c r="J21" s="161">
        <f t="shared" si="1"/>
        <v>4072.3981900452491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44725</v>
      </c>
      <c r="D22" s="161" t="s">
        <v>9</v>
      </c>
      <c r="E22" s="161" t="s">
        <v>3833</v>
      </c>
      <c r="F22" s="222">
        <v>1835</v>
      </c>
      <c r="G22" s="222">
        <v>1850</v>
      </c>
      <c r="H22" s="222">
        <v>15</v>
      </c>
      <c r="I22" s="207">
        <f t="shared" si="0"/>
        <v>163.48773841961852</v>
      </c>
      <c r="J22" s="161">
        <f t="shared" si="1"/>
        <v>2452.316076294278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44725</v>
      </c>
      <c r="D23" s="161" t="s">
        <v>9</v>
      </c>
      <c r="E23" s="161" t="s">
        <v>15</v>
      </c>
      <c r="F23" s="222">
        <v>2405</v>
      </c>
      <c r="G23" s="222">
        <v>2385</v>
      </c>
      <c r="H23" s="222">
        <v>-20</v>
      </c>
      <c r="I23" s="207">
        <f t="shared" si="0"/>
        <v>124.74012474012474</v>
      </c>
      <c r="J23" s="161">
        <f t="shared" si="1"/>
        <v>-2494.8024948024949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44726</v>
      </c>
      <c r="D24" s="161" t="s">
        <v>9</v>
      </c>
      <c r="E24" s="161" t="s">
        <v>3746</v>
      </c>
      <c r="F24" s="222">
        <v>186</v>
      </c>
      <c r="G24" s="222">
        <v>190</v>
      </c>
      <c r="H24" s="222">
        <f>190-186</f>
        <v>4</v>
      </c>
      <c r="I24" s="207">
        <f t="shared" si="0"/>
        <v>1612.9032258064517</v>
      </c>
      <c r="J24" s="161">
        <f t="shared" si="1"/>
        <v>6451.6129032258068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44727</v>
      </c>
      <c r="D25" s="161" t="s">
        <v>9</v>
      </c>
      <c r="E25" s="161" t="s">
        <v>3474</v>
      </c>
      <c r="F25" s="222">
        <v>958</v>
      </c>
      <c r="G25" s="222">
        <v>963.5</v>
      </c>
      <c r="H25" s="222">
        <f>963.5-958</f>
        <v>5.5</v>
      </c>
      <c r="I25" s="207">
        <f t="shared" si="0"/>
        <v>313.15240083507308</v>
      </c>
      <c r="J25" s="161">
        <f t="shared" si="1"/>
        <v>1722.338204592902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44727</v>
      </c>
      <c r="D26" s="161" t="s">
        <v>9</v>
      </c>
      <c r="E26" s="161" t="s">
        <v>3473</v>
      </c>
      <c r="F26" s="222">
        <v>220</v>
      </c>
      <c r="G26" s="222">
        <v>222.15</v>
      </c>
      <c r="H26" s="222">
        <v>2.15</v>
      </c>
      <c r="I26" s="207">
        <f t="shared" si="0"/>
        <v>1363.6363636363637</v>
      </c>
      <c r="J26" s="161">
        <f t="shared" si="1"/>
        <v>2931.818181818182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44728</v>
      </c>
      <c r="D27" s="161" t="s">
        <v>9</v>
      </c>
      <c r="E27" s="161" t="s">
        <v>49</v>
      </c>
      <c r="F27" s="222">
        <v>535</v>
      </c>
      <c r="G27" s="222">
        <v>530</v>
      </c>
      <c r="H27" s="222">
        <v>-5</v>
      </c>
      <c r="I27" s="207">
        <f t="shared" si="0"/>
        <v>560.74766355140184</v>
      </c>
      <c r="J27" s="161">
        <f t="shared" si="1"/>
        <v>-2803.7383177570091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44728</v>
      </c>
      <c r="D28" s="161" t="s">
        <v>8</v>
      </c>
      <c r="E28" s="161" t="s">
        <v>25</v>
      </c>
      <c r="F28" s="222">
        <v>954</v>
      </c>
      <c r="G28" s="222">
        <v>940</v>
      </c>
      <c r="H28" s="222">
        <v>14</v>
      </c>
      <c r="I28" s="207">
        <f t="shared" si="0"/>
        <v>314.46540880503147</v>
      </c>
      <c r="J28" s="161">
        <f t="shared" si="1"/>
        <v>4402.5157232704405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44729</v>
      </c>
      <c r="D29" s="161" t="s">
        <v>9</v>
      </c>
      <c r="E29" s="161" t="s">
        <v>132</v>
      </c>
      <c r="F29" s="222">
        <v>422</v>
      </c>
      <c r="G29" s="222">
        <v>432</v>
      </c>
      <c r="H29" s="222">
        <v>10</v>
      </c>
      <c r="I29" s="207">
        <f t="shared" si="0"/>
        <v>710.90047393364932</v>
      </c>
      <c r="J29" s="161">
        <f t="shared" si="1"/>
        <v>7109.004739336493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44729</v>
      </c>
      <c r="D30" s="161" t="s">
        <v>8</v>
      </c>
      <c r="E30" s="161" t="s">
        <v>16</v>
      </c>
      <c r="F30" s="222">
        <v>1975</v>
      </c>
      <c r="G30" s="222">
        <v>1935</v>
      </c>
      <c r="H30" s="222">
        <f>1975-1935</f>
        <v>40</v>
      </c>
      <c r="I30" s="207">
        <f t="shared" si="0"/>
        <v>151.8987341772152</v>
      </c>
      <c r="J30" s="161">
        <f t="shared" si="1"/>
        <v>6075.9493670886077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44732</v>
      </c>
      <c r="D31" s="161" t="s">
        <v>9</v>
      </c>
      <c r="E31" s="161" t="s">
        <v>3844</v>
      </c>
      <c r="F31" s="222">
        <v>740</v>
      </c>
      <c r="G31" s="222">
        <v>746</v>
      </c>
      <c r="H31" s="222">
        <v>6</v>
      </c>
      <c r="I31" s="207">
        <f t="shared" si="0"/>
        <v>405.40540540540542</v>
      </c>
      <c r="J31" s="161">
        <f t="shared" si="1"/>
        <v>2432.4324324324325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44732</v>
      </c>
      <c r="D32" s="161" t="s">
        <v>8</v>
      </c>
      <c r="E32" s="161" t="s">
        <v>3833</v>
      </c>
      <c r="F32" s="222">
        <v>1785</v>
      </c>
      <c r="G32" s="222">
        <v>1745</v>
      </c>
      <c r="H32" s="222">
        <v>40</v>
      </c>
      <c r="I32" s="207">
        <f t="shared" si="0"/>
        <v>168.0672268907563</v>
      </c>
      <c r="J32" s="161">
        <f t="shared" si="1"/>
        <v>6722.6890756302519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44733</v>
      </c>
      <c r="D33" s="161" t="s">
        <v>9</v>
      </c>
      <c r="E33" s="161" t="s">
        <v>3473</v>
      </c>
      <c r="F33" s="222">
        <v>218</v>
      </c>
      <c r="G33" s="222">
        <v>221</v>
      </c>
      <c r="H33" s="222">
        <v>2</v>
      </c>
      <c r="I33" s="207">
        <f t="shared" si="0"/>
        <v>1376.1467889908256</v>
      </c>
      <c r="J33" s="161">
        <f t="shared" si="1"/>
        <v>2752.2935779816512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44733</v>
      </c>
      <c r="D34" s="161" t="s">
        <v>9</v>
      </c>
      <c r="E34" s="161" t="s">
        <v>3334</v>
      </c>
      <c r="F34" s="222">
        <v>1850</v>
      </c>
      <c r="G34" s="222">
        <v>1861</v>
      </c>
      <c r="H34" s="222">
        <v>11</v>
      </c>
      <c r="I34" s="207">
        <f t="shared" si="0"/>
        <v>162.16216216216216</v>
      </c>
      <c r="J34" s="161">
        <f t="shared" si="1"/>
        <v>1783.7837837837837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44734</v>
      </c>
      <c r="D35" s="161" t="s">
        <v>9</v>
      </c>
      <c r="E35" s="161" t="s">
        <v>117</v>
      </c>
      <c r="F35" s="222">
        <v>357.5</v>
      </c>
      <c r="G35" s="222">
        <v>358.1</v>
      </c>
      <c r="H35" s="222">
        <f>358.1-357.5</f>
        <v>0.60000000000002274</v>
      </c>
      <c r="I35" s="207">
        <f t="shared" si="0"/>
        <v>839.16083916083915</v>
      </c>
      <c r="J35" s="161">
        <f t="shared" si="1"/>
        <v>503.49650349652256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44734</v>
      </c>
      <c r="D36" s="161" t="s">
        <v>8</v>
      </c>
      <c r="E36" s="161" t="s">
        <v>19</v>
      </c>
      <c r="F36" s="222">
        <v>445</v>
      </c>
      <c r="G36" s="222">
        <v>450</v>
      </c>
      <c r="H36" s="222">
        <v>-5</v>
      </c>
      <c r="I36" s="207">
        <f t="shared" si="0"/>
        <v>674.15730337078651</v>
      </c>
      <c r="J36" s="161">
        <f t="shared" si="1"/>
        <v>-3370.7865168539324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44735</v>
      </c>
      <c r="D37" s="161" t="s">
        <v>9</v>
      </c>
      <c r="E37" s="161" t="s">
        <v>1361</v>
      </c>
      <c r="F37" s="222">
        <v>769</v>
      </c>
      <c r="G37" s="222">
        <v>781</v>
      </c>
      <c r="H37" s="222">
        <f>781-769</f>
        <v>12</v>
      </c>
      <c r="I37" s="207">
        <f t="shared" si="0"/>
        <v>390.11703511053315</v>
      </c>
      <c r="J37" s="161">
        <f t="shared" si="1"/>
        <v>4681.4044213263978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44735</v>
      </c>
      <c r="D38" s="161" t="s">
        <v>9</v>
      </c>
      <c r="E38" s="161" t="s">
        <v>168</v>
      </c>
      <c r="F38" s="222">
        <v>1105</v>
      </c>
      <c r="G38" s="222">
        <v>1110</v>
      </c>
      <c r="H38" s="222">
        <v>5</v>
      </c>
      <c r="I38" s="207">
        <f t="shared" si="0"/>
        <v>271.49321266968326</v>
      </c>
      <c r="J38" s="161">
        <f t="shared" si="1"/>
        <v>1357.4660633484164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44736</v>
      </c>
      <c r="D39" s="161" t="s">
        <v>9</v>
      </c>
      <c r="E39" s="161" t="s">
        <v>371</v>
      </c>
      <c r="F39" s="222">
        <v>1040</v>
      </c>
      <c r="G39" s="222">
        <v>1060</v>
      </c>
      <c r="H39" s="222">
        <v>20</v>
      </c>
      <c r="I39" s="207">
        <f t="shared" si="0"/>
        <v>288.46153846153845</v>
      </c>
      <c r="J39" s="161">
        <f t="shared" si="1"/>
        <v>5769.2307692307695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44736</v>
      </c>
      <c r="D40" s="161" t="s">
        <v>9</v>
      </c>
      <c r="E40" s="161" t="s">
        <v>3473</v>
      </c>
      <c r="F40" s="222">
        <v>227</v>
      </c>
      <c r="G40" s="222">
        <v>229</v>
      </c>
      <c r="H40" s="222">
        <v>2</v>
      </c>
      <c r="I40" s="207">
        <f t="shared" si="0"/>
        <v>1321.5859030837005</v>
      </c>
      <c r="J40" s="161">
        <f t="shared" si="1"/>
        <v>2643.171806167401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44739</v>
      </c>
      <c r="D41" s="161" t="s">
        <v>9</v>
      </c>
      <c r="E41" s="161" t="s">
        <v>3232</v>
      </c>
      <c r="F41" s="222">
        <v>722</v>
      </c>
      <c r="G41" s="223">
        <v>725.9</v>
      </c>
      <c r="H41" s="222">
        <v>3.9</v>
      </c>
      <c r="I41" s="207">
        <f t="shared" si="0"/>
        <v>415.51246537396122</v>
      </c>
      <c r="J41" s="161">
        <f t="shared" si="1"/>
        <v>1620.4986149584488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44739</v>
      </c>
      <c r="D42" s="161" t="s">
        <v>8</v>
      </c>
      <c r="E42" s="161" t="s">
        <v>58</v>
      </c>
      <c r="F42" s="222">
        <v>641</v>
      </c>
      <c r="G42" s="222">
        <v>636</v>
      </c>
      <c r="H42" s="222">
        <v>5</v>
      </c>
      <c r="I42" s="207">
        <f t="shared" si="0"/>
        <v>468.01872074882994</v>
      </c>
      <c r="J42" s="161">
        <f t="shared" si="1"/>
        <v>2340.0936037441497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44740</v>
      </c>
      <c r="D43" s="161" t="s">
        <v>9</v>
      </c>
      <c r="E43" s="161" t="s">
        <v>3527</v>
      </c>
      <c r="F43" s="222">
        <v>2625</v>
      </c>
      <c r="G43" s="222">
        <v>2645</v>
      </c>
      <c r="H43" s="222">
        <v>20</v>
      </c>
      <c r="I43" s="207">
        <f t="shared" si="0"/>
        <v>114.28571428571429</v>
      </c>
      <c r="J43" s="161">
        <f t="shared" si="1"/>
        <v>2285.7142857142858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44740</v>
      </c>
      <c r="D44" s="161" t="s">
        <v>9</v>
      </c>
      <c r="E44" s="161" t="s">
        <v>19</v>
      </c>
      <c r="F44" s="222">
        <v>462</v>
      </c>
      <c r="G44" s="222">
        <v>464</v>
      </c>
      <c r="H44" s="222">
        <v>2</v>
      </c>
      <c r="I44" s="207">
        <f t="shared" si="0"/>
        <v>649.35064935064941</v>
      </c>
      <c r="J44" s="161">
        <f t="shared" si="1"/>
        <v>1298.7012987012988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44741</v>
      </c>
      <c r="D45" s="161" t="s">
        <v>9</v>
      </c>
      <c r="E45" s="161" t="s">
        <v>3651</v>
      </c>
      <c r="F45" s="222">
        <v>1305</v>
      </c>
      <c r="G45" s="222">
        <v>1321.05</v>
      </c>
      <c r="H45" s="222">
        <v>16.05</v>
      </c>
      <c r="I45" s="207">
        <f t="shared" si="0"/>
        <v>229.88505747126436</v>
      </c>
      <c r="J45" s="161">
        <f t="shared" si="1"/>
        <v>3689.655172413793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44741</v>
      </c>
      <c r="D46" s="161" t="s">
        <v>8</v>
      </c>
      <c r="E46" s="161" t="s">
        <v>58</v>
      </c>
      <c r="F46" s="222">
        <v>634</v>
      </c>
      <c r="G46" s="222">
        <v>628</v>
      </c>
      <c r="H46" s="222">
        <f>634-628</f>
        <v>6</v>
      </c>
      <c r="I46" s="207">
        <f t="shared" si="0"/>
        <v>473.18611987381706</v>
      </c>
      <c r="J46" s="161">
        <f t="shared" si="1"/>
        <v>2839.1167192429025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44742</v>
      </c>
      <c r="D47" s="161" t="s">
        <v>9</v>
      </c>
      <c r="E47" s="161" t="s">
        <v>2814</v>
      </c>
      <c r="F47" s="222">
        <v>1890</v>
      </c>
      <c r="G47" s="222">
        <v>1902.5</v>
      </c>
      <c r="H47" s="222">
        <f>1902.5-1890</f>
        <v>12.5</v>
      </c>
      <c r="I47" s="207">
        <f t="shared" si="0"/>
        <v>158.73015873015873</v>
      </c>
      <c r="J47" s="161">
        <f t="shared" si="1"/>
        <v>1984.1269841269841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44742</v>
      </c>
      <c r="D48" s="161" t="s">
        <v>9</v>
      </c>
      <c r="E48" s="161" t="s">
        <v>578</v>
      </c>
      <c r="F48" s="222">
        <v>1475</v>
      </c>
      <c r="G48" s="222">
        <v>1460</v>
      </c>
      <c r="H48" s="222">
        <v>-15</v>
      </c>
      <c r="I48" s="207">
        <f t="shared" si="0"/>
        <v>203.38983050847457</v>
      </c>
      <c r="J48" s="161">
        <f t="shared" si="1"/>
        <v>-3050.8474576271187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80082.94861825314</v>
      </c>
      <c r="K52" s="153"/>
      <c r="V52" s="25">
        <f>SUM(V6:V51)</f>
        <v>33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3820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44713</v>
      </c>
      <c r="D60" s="161" t="s">
        <v>9</v>
      </c>
      <c r="E60" s="161" t="s">
        <v>3515</v>
      </c>
      <c r="F60" s="222">
        <v>1870</v>
      </c>
      <c r="G60" s="222">
        <v>1900</v>
      </c>
      <c r="H60" s="222">
        <f>1900-1870</f>
        <v>30</v>
      </c>
      <c r="I60" s="207">
        <v>475</v>
      </c>
      <c r="J60" s="241">
        <f t="shared" ref="J60:J83" si="12">I60*H60</f>
        <v>14250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44714</v>
      </c>
      <c r="D61" s="161" t="s">
        <v>9</v>
      </c>
      <c r="E61" s="161" t="s">
        <v>3445</v>
      </c>
      <c r="F61" s="222">
        <v>2535</v>
      </c>
      <c r="G61" s="222">
        <v>2550</v>
      </c>
      <c r="H61" s="222">
        <f>2550-2535</f>
        <v>15</v>
      </c>
      <c r="I61" s="207">
        <v>300</v>
      </c>
      <c r="J61" s="242">
        <f t="shared" si="12"/>
        <v>4500</v>
      </c>
      <c r="K61" s="153"/>
      <c r="O61" s="25" t="s">
        <v>2008</v>
      </c>
      <c r="V61" s="25">
        <f t="shared" ref="V61:V83" si="13">IF($J61&gt;0,1,0)</f>
        <v>1</v>
      </c>
      <c r="W61" s="25">
        <f t="shared" ref="W61:W83" si="14">IF($J61&lt;0,1,0)</f>
        <v>0</v>
      </c>
    </row>
    <row r="62" spans="1:23" x14ac:dyDescent="0.3">
      <c r="A62" s="147"/>
      <c r="B62" s="205">
        <f t="shared" ref="B62:B83" si="15">B61+1</f>
        <v>3</v>
      </c>
      <c r="C62" s="206">
        <v>44715</v>
      </c>
      <c r="D62" s="161" t="s">
        <v>8</v>
      </c>
      <c r="E62" s="161" t="s">
        <v>3343</v>
      </c>
      <c r="F62" s="222">
        <v>1285</v>
      </c>
      <c r="G62" s="222">
        <v>1266</v>
      </c>
      <c r="H62" s="222">
        <f>1285-1266</f>
        <v>19</v>
      </c>
      <c r="I62" s="207">
        <v>500</v>
      </c>
      <c r="J62" s="242">
        <f t="shared" si="12"/>
        <v>9500</v>
      </c>
      <c r="K62" s="153"/>
      <c r="V62" s="25">
        <f t="shared" si="13"/>
        <v>1</v>
      </c>
      <c r="W62" s="25">
        <f t="shared" si="14"/>
        <v>0</v>
      </c>
    </row>
    <row r="63" spans="1:23" x14ac:dyDescent="0.3">
      <c r="A63" s="147"/>
      <c r="B63" s="205">
        <f t="shared" si="15"/>
        <v>4</v>
      </c>
      <c r="C63" s="206">
        <v>44718</v>
      </c>
      <c r="D63" s="161" t="s">
        <v>9</v>
      </c>
      <c r="E63" s="161" t="s">
        <v>31</v>
      </c>
      <c r="F63" s="222">
        <v>2790</v>
      </c>
      <c r="G63" s="222">
        <v>2802</v>
      </c>
      <c r="H63" s="222">
        <f>2802-2790</f>
        <v>12</v>
      </c>
      <c r="I63" s="207">
        <v>250</v>
      </c>
      <c r="J63" s="242">
        <f>I63*H63</f>
        <v>3000</v>
      </c>
      <c r="K63" s="153"/>
      <c r="L63" s="25" t="s">
        <v>2008</v>
      </c>
      <c r="V63" s="25">
        <f t="shared" si="13"/>
        <v>1</v>
      </c>
      <c r="W63" s="25">
        <f t="shared" si="14"/>
        <v>0</v>
      </c>
    </row>
    <row r="64" spans="1:23" x14ac:dyDescent="0.3">
      <c r="A64" s="147"/>
      <c r="B64" s="205">
        <f t="shared" si="15"/>
        <v>5</v>
      </c>
      <c r="C64" s="206">
        <v>44719</v>
      </c>
      <c r="D64" s="161" t="s">
        <v>8</v>
      </c>
      <c r="E64" s="161" t="s">
        <v>3828</v>
      </c>
      <c r="F64" s="222">
        <v>2075</v>
      </c>
      <c r="G64" s="222">
        <v>2047</v>
      </c>
      <c r="H64" s="222">
        <v>30</v>
      </c>
      <c r="I64" s="207">
        <v>125</v>
      </c>
      <c r="J64" s="242">
        <f>I64*H64</f>
        <v>3750</v>
      </c>
      <c r="K64" s="153"/>
      <c r="V64" s="25">
        <f t="shared" si="13"/>
        <v>1</v>
      </c>
      <c r="W64" s="25">
        <f t="shared" si="14"/>
        <v>0</v>
      </c>
    </row>
    <row r="65" spans="1:23" x14ac:dyDescent="0.3">
      <c r="A65" s="147"/>
      <c r="B65" s="205">
        <f t="shared" si="15"/>
        <v>6</v>
      </c>
      <c r="C65" s="206">
        <v>44720</v>
      </c>
      <c r="D65" s="161" t="s">
        <v>8</v>
      </c>
      <c r="E65" s="161" t="s">
        <v>50</v>
      </c>
      <c r="F65" s="222">
        <v>845</v>
      </c>
      <c r="G65" s="222">
        <v>841.2</v>
      </c>
      <c r="H65" s="222">
        <f>845-841.2</f>
        <v>3.7999999999999545</v>
      </c>
      <c r="I65" s="207">
        <v>700</v>
      </c>
      <c r="J65" s="242">
        <f>I65*H65</f>
        <v>2659.9999999999682</v>
      </c>
      <c r="K65" s="153"/>
      <c r="V65" s="25">
        <f t="shared" si="13"/>
        <v>1</v>
      </c>
      <c r="W65" s="25">
        <f t="shared" si="14"/>
        <v>0</v>
      </c>
    </row>
    <row r="66" spans="1:23" x14ac:dyDescent="0.3">
      <c r="A66" s="147"/>
      <c r="B66" s="205">
        <f t="shared" si="15"/>
        <v>7</v>
      </c>
      <c r="C66" s="206">
        <v>44721</v>
      </c>
      <c r="D66" s="161" t="s">
        <v>9</v>
      </c>
      <c r="E66" s="161" t="s">
        <v>111</v>
      </c>
      <c r="F66" s="222">
        <v>333</v>
      </c>
      <c r="G66" s="222">
        <v>337</v>
      </c>
      <c r="H66" s="222">
        <v>4</v>
      </c>
      <c r="I66" s="207">
        <v>2300</v>
      </c>
      <c r="J66" s="242">
        <f t="shared" si="12"/>
        <v>9200</v>
      </c>
      <c r="K66" s="153"/>
      <c r="V66" s="25">
        <f t="shared" si="13"/>
        <v>1</v>
      </c>
      <c r="W66" s="25">
        <f t="shared" si="14"/>
        <v>0</v>
      </c>
    </row>
    <row r="67" spans="1:23" x14ac:dyDescent="0.3">
      <c r="A67" s="147"/>
      <c r="B67" s="205">
        <f t="shared" si="15"/>
        <v>8</v>
      </c>
      <c r="C67" s="206">
        <v>44722</v>
      </c>
      <c r="D67" s="161" t="s">
        <v>9</v>
      </c>
      <c r="E67" s="161" t="s">
        <v>31</v>
      </c>
      <c r="F67" s="222">
        <v>2775</v>
      </c>
      <c r="G67" s="222">
        <v>2789.5</v>
      </c>
      <c r="H67" s="222">
        <f>2789.5-2775</f>
        <v>14.5</v>
      </c>
      <c r="I67" s="207">
        <v>250</v>
      </c>
      <c r="J67" s="242">
        <f>I67*H67</f>
        <v>3625</v>
      </c>
      <c r="K67" s="153"/>
      <c r="V67" s="25">
        <f t="shared" si="13"/>
        <v>1</v>
      </c>
      <c r="W67" s="25">
        <f t="shared" si="14"/>
        <v>0</v>
      </c>
    </row>
    <row r="68" spans="1:23" x14ac:dyDescent="0.3">
      <c r="A68" s="147"/>
      <c r="B68" s="205">
        <f t="shared" si="15"/>
        <v>9</v>
      </c>
      <c r="C68" s="206">
        <v>44725</v>
      </c>
      <c r="D68" s="161" t="s">
        <v>9</v>
      </c>
      <c r="E68" s="161" t="s">
        <v>3443</v>
      </c>
      <c r="F68" s="222">
        <v>1835</v>
      </c>
      <c r="G68" s="222">
        <v>1855</v>
      </c>
      <c r="H68" s="222">
        <v>20</v>
      </c>
      <c r="I68" s="207">
        <v>250</v>
      </c>
      <c r="J68" s="242">
        <f>I68*H68</f>
        <v>5000</v>
      </c>
      <c r="K68" s="153"/>
      <c r="V68" s="25">
        <f t="shared" si="13"/>
        <v>1</v>
      </c>
      <c r="W68" s="25">
        <f t="shared" si="14"/>
        <v>0</v>
      </c>
    </row>
    <row r="69" spans="1:23" x14ac:dyDescent="0.3">
      <c r="A69" s="147"/>
      <c r="B69" s="205">
        <f t="shared" si="15"/>
        <v>10</v>
      </c>
      <c r="C69" s="206">
        <v>44726</v>
      </c>
      <c r="D69" s="161" t="s">
        <v>9</v>
      </c>
      <c r="E69" s="161" t="s">
        <v>1064</v>
      </c>
      <c r="F69" s="222">
        <v>2110</v>
      </c>
      <c r="G69" s="222">
        <v>2137</v>
      </c>
      <c r="H69" s="222">
        <f>2137-2110</f>
        <v>27</v>
      </c>
      <c r="I69" s="207">
        <v>250</v>
      </c>
      <c r="J69" s="242">
        <f>I69*H69</f>
        <v>6750</v>
      </c>
      <c r="K69" s="153"/>
      <c r="V69" s="25">
        <f t="shared" si="13"/>
        <v>1</v>
      </c>
      <c r="W69" s="25">
        <f t="shared" si="14"/>
        <v>0</v>
      </c>
    </row>
    <row r="70" spans="1:23" x14ac:dyDescent="0.3">
      <c r="A70" s="147"/>
      <c r="B70" s="205">
        <f t="shared" si="15"/>
        <v>11</v>
      </c>
      <c r="C70" s="206">
        <v>44727</v>
      </c>
      <c r="D70" s="161" t="s">
        <v>9</v>
      </c>
      <c r="E70" s="161" t="s">
        <v>2203</v>
      </c>
      <c r="F70" s="161">
        <v>780</v>
      </c>
      <c r="G70" s="222">
        <v>786.5</v>
      </c>
      <c r="H70" s="222">
        <v>6.5</v>
      </c>
      <c r="I70" s="207">
        <v>600</v>
      </c>
      <c r="J70" s="242">
        <f t="shared" si="12"/>
        <v>3900</v>
      </c>
      <c r="K70" s="153"/>
      <c r="V70" s="25">
        <f t="shared" si="13"/>
        <v>1</v>
      </c>
      <c r="W70" s="25">
        <f t="shared" si="14"/>
        <v>0</v>
      </c>
    </row>
    <row r="71" spans="1:23" x14ac:dyDescent="0.3">
      <c r="A71" s="147"/>
      <c r="B71" s="205">
        <f t="shared" si="15"/>
        <v>12</v>
      </c>
      <c r="C71" s="206">
        <v>44728</v>
      </c>
      <c r="D71" s="161" t="s">
        <v>8</v>
      </c>
      <c r="E71" s="161" t="s">
        <v>2023</v>
      </c>
      <c r="F71" s="222">
        <v>5530</v>
      </c>
      <c r="G71" s="222">
        <v>5430</v>
      </c>
      <c r="H71" s="222">
        <v>100</v>
      </c>
      <c r="I71" s="207">
        <v>125</v>
      </c>
      <c r="J71" s="242">
        <f t="shared" si="12"/>
        <v>12500</v>
      </c>
      <c r="K71" s="153"/>
      <c r="V71" s="25">
        <f t="shared" si="13"/>
        <v>1</v>
      </c>
      <c r="W71" s="25">
        <f t="shared" si="14"/>
        <v>0</v>
      </c>
    </row>
    <row r="72" spans="1:23" x14ac:dyDescent="0.3">
      <c r="A72" s="147"/>
      <c r="B72" s="205">
        <f t="shared" si="15"/>
        <v>13</v>
      </c>
      <c r="C72" s="206">
        <v>44729</v>
      </c>
      <c r="D72" s="161" t="s">
        <v>8</v>
      </c>
      <c r="E72" s="161" t="s">
        <v>3720</v>
      </c>
      <c r="F72" s="222">
        <v>2125</v>
      </c>
      <c r="G72" s="222">
        <v>2111.5</v>
      </c>
      <c r="H72" s="222">
        <f>2125-2111.5</f>
        <v>13.5</v>
      </c>
      <c r="I72" s="207">
        <v>300</v>
      </c>
      <c r="J72" s="242">
        <f t="shared" si="12"/>
        <v>4050</v>
      </c>
      <c r="K72" s="153"/>
      <c r="V72" s="25">
        <f t="shared" si="13"/>
        <v>1</v>
      </c>
      <c r="W72" s="25">
        <f t="shared" si="14"/>
        <v>0</v>
      </c>
    </row>
    <row r="73" spans="1:23" x14ac:dyDescent="0.3">
      <c r="A73" s="147"/>
      <c r="B73" s="205">
        <f t="shared" si="15"/>
        <v>14</v>
      </c>
      <c r="C73" s="206">
        <v>44732</v>
      </c>
      <c r="D73" s="161" t="s">
        <v>9</v>
      </c>
      <c r="E73" s="161" t="s">
        <v>796</v>
      </c>
      <c r="F73" s="223">
        <v>3750</v>
      </c>
      <c r="G73" s="222">
        <v>3765</v>
      </c>
      <c r="H73" s="255">
        <v>15</v>
      </c>
      <c r="I73" s="207">
        <v>125</v>
      </c>
      <c r="J73" s="242">
        <f t="shared" si="12"/>
        <v>1875</v>
      </c>
      <c r="K73" s="153"/>
      <c r="V73" s="25">
        <f t="shared" si="13"/>
        <v>1</v>
      </c>
      <c r="W73" s="25">
        <f t="shared" si="14"/>
        <v>0</v>
      </c>
    </row>
    <row r="74" spans="1:23" x14ac:dyDescent="0.3">
      <c r="A74" s="147"/>
      <c r="B74" s="205">
        <f t="shared" si="15"/>
        <v>15</v>
      </c>
      <c r="C74" s="206">
        <v>44733</v>
      </c>
      <c r="D74" s="161" t="s">
        <v>9</v>
      </c>
      <c r="E74" s="161" t="s">
        <v>3473</v>
      </c>
      <c r="F74" s="222">
        <v>218</v>
      </c>
      <c r="G74" s="222">
        <v>223</v>
      </c>
      <c r="H74" s="255">
        <v>5</v>
      </c>
      <c r="I74" s="207">
        <v>4022</v>
      </c>
      <c r="J74" s="242">
        <f t="shared" si="12"/>
        <v>20110</v>
      </c>
      <c r="K74" s="153"/>
      <c r="V74" s="25">
        <f t="shared" si="13"/>
        <v>1</v>
      </c>
      <c r="W74" s="25">
        <f t="shared" si="14"/>
        <v>0</v>
      </c>
    </row>
    <row r="75" spans="1:23" x14ac:dyDescent="0.3">
      <c r="A75" s="147"/>
      <c r="B75" s="205">
        <f t="shared" si="15"/>
        <v>16</v>
      </c>
      <c r="C75" s="206">
        <v>44734</v>
      </c>
      <c r="D75" s="161" t="s">
        <v>9</v>
      </c>
      <c r="E75" s="161" t="s">
        <v>2814</v>
      </c>
      <c r="F75" s="222">
        <v>1810</v>
      </c>
      <c r="G75" s="222">
        <v>1790</v>
      </c>
      <c r="H75" s="255">
        <v>-20</v>
      </c>
      <c r="I75" s="207">
        <v>407</v>
      </c>
      <c r="J75" s="242">
        <f t="shared" si="12"/>
        <v>-8140</v>
      </c>
      <c r="K75" s="153"/>
      <c r="V75" s="25">
        <f t="shared" si="13"/>
        <v>0</v>
      </c>
      <c r="W75" s="25">
        <f t="shared" si="14"/>
        <v>1</v>
      </c>
    </row>
    <row r="76" spans="1:23" x14ac:dyDescent="0.3">
      <c r="A76" s="147"/>
      <c r="B76" s="205">
        <f t="shared" si="15"/>
        <v>17</v>
      </c>
      <c r="C76" s="206">
        <v>44735</v>
      </c>
      <c r="D76" s="161" t="s">
        <v>9</v>
      </c>
      <c r="E76" s="161" t="s">
        <v>117</v>
      </c>
      <c r="F76" s="222">
        <v>360</v>
      </c>
      <c r="G76" s="222">
        <v>362</v>
      </c>
      <c r="H76" s="222">
        <v>2</v>
      </c>
      <c r="I76" s="207">
        <v>1500</v>
      </c>
      <c r="J76" s="242">
        <f t="shared" si="12"/>
        <v>3000</v>
      </c>
      <c r="K76" s="153"/>
      <c r="V76" s="25">
        <f t="shared" si="13"/>
        <v>1</v>
      </c>
      <c r="W76" s="25">
        <f t="shared" si="14"/>
        <v>0</v>
      </c>
    </row>
    <row r="77" spans="1:23" x14ac:dyDescent="0.3">
      <c r="A77" s="147"/>
      <c r="B77" s="205">
        <f t="shared" si="15"/>
        <v>18</v>
      </c>
      <c r="C77" s="206">
        <v>44736</v>
      </c>
      <c r="D77" s="161" t="s">
        <v>9</v>
      </c>
      <c r="E77" s="161" t="s">
        <v>3562</v>
      </c>
      <c r="F77" s="222">
        <v>3490</v>
      </c>
      <c r="G77" s="222">
        <v>3540</v>
      </c>
      <c r="H77" s="222">
        <f>3540-3490</f>
        <v>50</v>
      </c>
      <c r="I77" s="207">
        <v>125</v>
      </c>
      <c r="J77" s="242">
        <f t="shared" si="12"/>
        <v>6250</v>
      </c>
      <c r="K77" s="153"/>
      <c r="V77" s="25">
        <f t="shared" si="13"/>
        <v>1</v>
      </c>
      <c r="W77" s="25">
        <f t="shared" si="14"/>
        <v>0</v>
      </c>
    </row>
    <row r="78" spans="1:23" x14ac:dyDescent="0.3">
      <c r="A78" s="147"/>
      <c r="B78" s="205">
        <f t="shared" si="15"/>
        <v>19</v>
      </c>
      <c r="C78" s="206">
        <v>44739</v>
      </c>
      <c r="D78" s="161" t="s">
        <v>9</v>
      </c>
      <c r="E78" s="161" t="s">
        <v>2023</v>
      </c>
      <c r="F78" s="222">
        <v>5670</v>
      </c>
      <c r="G78" s="222">
        <v>5705</v>
      </c>
      <c r="H78" s="222">
        <v>35</v>
      </c>
      <c r="I78" s="207">
        <v>125</v>
      </c>
      <c r="J78" s="242">
        <f t="shared" si="12"/>
        <v>4375</v>
      </c>
      <c r="K78" s="153"/>
      <c r="V78" s="25">
        <f t="shared" si="13"/>
        <v>1</v>
      </c>
      <c r="W78" s="25">
        <f t="shared" si="14"/>
        <v>0</v>
      </c>
    </row>
    <row r="79" spans="1:23" x14ac:dyDescent="0.3">
      <c r="A79" s="147"/>
      <c r="B79" s="205">
        <f t="shared" si="15"/>
        <v>20</v>
      </c>
      <c r="C79" s="206">
        <v>44740</v>
      </c>
      <c r="D79" s="161" t="s">
        <v>9</v>
      </c>
      <c r="E79" s="161" t="s">
        <v>395</v>
      </c>
      <c r="F79" s="222">
        <v>4350</v>
      </c>
      <c r="G79" s="222">
        <v>4370.5</v>
      </c>
      <c r="H79" s="222">
        <v>20.5</v>
      </c>
      <c r="I79" s="207">
        <v>125</v>
      </c>
      <c r="J79" s="242">
        <f t="shared" si="12"/>
        <v>2562.5</v>
      </c>
      <c r="K79" s="153"/>
      <c r="V79" s="25">
        <f t="shared" si="13"/>
        <v>1</v>
      </c>
      <c r="W79" s="25">
        <f t="shared" si="14"/>
        <v>0</v>
      </c>
    </row>
    <row r="80" spans="1:23" x14ac:dyDescent="0.3">
      <c r="A80" s="147"/>
      <c r="B80" s="205">
        <f t="shared" si="15"/>
        <v>21</v>
      </c>
      <c r="C80" s="206">
        <v>44741</v>
      </c>
      <c r="D80" s="161" t="s">
        <v>8</v>
      </c>
      <c r="E80" s="161" t="s">
        <v>16</v>
      </c>
      <c r="F80" s="222">
        <v>1940</v>
      </c>
      <c r="G80" s="222">
        <v>1924</v>
      </c>
      <c r="H80" s="222">
        <f>1940-1924</f>
        <v>16</v>
      </c>
      <c r="I80" s="207">
        <v>375</v>
      </c>
      <c r="J80" s="242">
        <f t="shared" si="12"/>
        <v>6000</v>
      </c>
      <c r="K80" s="153"/>
      <c r="V80" s="25">
        <f t="shared" si="13"/>
        <v>1</v>
      </c>
      <c r="W80" s="25">
        <f t="shared" si="14"/>
        <v>0</v>
      </c>
    </row>
    <row r="81" spans="1:23" x14ac:dyDescent="0.3">
      <c r="A81" s="147"/>
      <c r="B81" s="205">
        <f t="shared" si="15"/>
        <v>22</v>
      </c>
      <c r="C81" s="206">
        <v>44742</v>
      </c>
      <c r="D81" s="161" t="s">
        <v>8</v>
      </c>
      <c r="E81" s="161" t="s">
        <v>175</v>
      </c>
      <c r="F81" s="222">
        <v>515</v>
      </c>
      <c r="G81" s="222">
        <v>510</v>
      </c>
      <c r="H81" s="222">
        <v>5</v>
      </c>
      <c r="I81" s="207">
        <v>1000</v>
      </c>
      <c r="J81" s="242">
        <f t="shared" si="12"/>
        <v>5000</v>
      </c>
      <c r="K81" s="153"/>
    </row>
    <row r="82" spans="1:23" x14ac:dyDescent="0.3">
      <c r="A82" s="147"/>
      <c r="B82" s="205">
        <f t="shared" si="15"/>
        <v>23</v>
      </c>
      <c r="C82" s="206"/>
      <c r="D82" s="161"/>
      <c r="E82" s="161"/>
      <c r="F82" s="222"/>
      <c r="G82" s="222"/>
      <c r="H82" s="222"/>
      <c r="I82" s="207"/>
      <c r="J82" s="242">
        <f t="shared" si="12"/>
        <v>0</v>
      </c>
      <c r="K82" s="153"/>
      <c r="V82" s="25">
        <f t="shared" si="13"/>
        <v>0</v>
      </c>
      <c r="W82" s="25">
        <f t="shared" si="14"/>
        <v>0</v>
      </c>
    </row>
    <row r="83" spans="1:23" ht="15" thickBot="1" x14ac:dyDescent="0.35">
      <c r="A83" s="147"/>
      <c r="B83" s="205">
        <f t="shared" si="15"/>
        <v>24</v>
      </c>
      <c r="C83" s="209"/>
      <c r="D83" s="166"/>
      <c r="E83" s="166"/>
      <c r="F83" s="210"/>
      <c r="G83" s="210"/>
      <c r="H83" s="166"/>
      <c r="I83" s="210"/>
      <c r="J83" s="244">
        <f t="shared" si="12"/>
        <v>0</v>
      </c>
      <c r="K83" s="153"/>
      <c r="V83" s="25">
        <f t="shared" si="13"/>
        <v>0</v>
      </c>
      <c r="W83" s="25">
        <f t="shared" si="14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123717.49999999997</v>
      </c>
      <c r="K84" s="153"/>
      <c r="V84" s="25">
        <f>SUM(V60:V83)</f>
        <v>20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3819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44713</v>
      </c>
      <c r="D92" s="185" t="s">
        <v>8</v>
      </c>
      <c r="E92" s="185" t="s">
        <v>39</v>
      </c>
      <c r="F92" s="219">
        <v>16580</v>
      </c>
      <c r="G92" s="219">
        <v>16501</v>
      </c>
      <c r="H92" s="185">
        <v>79</v>
      </c>
      <c r="I92" s="219">
        <v>150</v>
      </c>
      <c r="J92" s="246">
        <f t="shared" ref="J92:J114" si="16">I92*H92</f>
        <v>11850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44714</v>
      </c>
      <c r="D93" s="185" t="s">
        <v>9</v>
      </c>
      <c r="E93" s="185" t="s">
        <v>39</v>
      </c>
      <c r="F93" s="219">
        <v>16500</v>
      </c>
      <c r="G93" s="219">
        <v>16580</v>
      </c>
      <c r="H93" s="185">
        <v>80</v>
      </c>
      <c r="I93" s="219">
        <v>150</v>
      </c>
      <c r="J93" s="242">
        <f t="shared" si="16"/>
        <v>12000</v>
      </c>
      <c r="K93" s="153"/>
      <c r="V93" s="25">
        <f t="shared" ref="V93:V114" si="17">IF($J93&gt;0,1,0)</f>
        <v>1</v>
      </c>
      <c r="W93" s="25">
        <f t="shared" ref="W93:W114" si="18">IF($J93&lt;0,1,0)</f>
        <v>0</v>
      </c>
    </row>
    <row r="94" spans="1:23" x14ac:dyDescent="0.3">
      <c r="A94" s="147"/>
      <c r="B94" s="205">
        <f t="shared" ref="B94:B114" si="19">B93+1</f>
        <v>3</v>
      </c>
      <c r="C94" s="206">
        <v>44715</v>
      </c>
      <c r="D94" s="161" t="s">
        <v>8</v>
      </c>
      <c r="E94" s="161" t="s">
        <v>39</v>
      </c>
      <c r="F94" s="207">
        <v>16750</v>
      </c>
      <c r="G94" s="207">
        <v>16670</v>
      </c>
      <c r="H94" s="161">
        <v>80</v>
      </c>
      <c r="I94" s="207">
        <v>150</v>
      </c>
      <c r="J94" s="242">
        <f t="shared" si="16"/>
        <v>12000</v>
      </c>
      <c r="K94" s="153"/>
      <c r="V94" s="25">
        <f t="shared" si="17"/>
        <v>1</v>
      </c>
      <c r="W94" s="25">
        <f t="shared" si="18"/>
        <v>0</v>
      </c>
    </row>
    <row r="95" spans="1:23" x14ac:dyDescent="0.3">
      <c r="A95" s="147"/>
      <c r="B95" s="205">
        <f t="shared" si="19"/>
        <v>4</v>
      </c>
      <c r="C95" s="206">
        <v>44718</v>
      </c>
      <c r="D95" s="161" t="s">
        <v>8</v>
      </c>
      <c r="E95" s="161" t="s">
        <v>39</v>
      </c>
      <c r="F95" s="207">
        <v>16500</v>
      </c>
      <c r="G95" s="207">
        <v>16470</v>
      </c>
      <c r="H95" s="161">
        <v>30</v>
      </c>
      <c r="I95" s="207">
        <v>150</v>
      </c>
      <c r="J95" s="242">
        <f t="shared" si="16"/>
        <v>4500</v>
      </c>
      <c r="K95" s="153"/>
      <c r="V95" s="25">
        <f t="shared" si="17"/>
        <v>1</v>
      </c>
      <c r="W95" s="25">
        <f t="shared" si="18"/>
        <v>0</v>
      </c>
    </row>
    <row r="96" spans="1:23" x14ac:dyDescent="0.3">
      <c r="A96" s="147"/>
      <c r="B96" s="205">
        <f t="shared" si="19"/>
        <v>5</v>
      </c>
      <c r="C96" s="206">
        <v>44719</v>
      </c>
      <c r="D96" s="161" t="s">
        <v>8</v>
      </c>
      <c r="E96" s="161" t="s">
        <v>39</v>
      </c>
      <c r="F96" s="207">
        <v>16400</v>
      </c>
      <c r="G96" s="207">
        <v>16440</v>
      </c>
      <c r="H96" s="161">
        <v>40</v>
      </c>
      <c r="I96" s="207">
        <v>150</v>
      </c>
      <c r="J96" s="242">
        <f t="shared" si="16"/>
        <v>6000</v>
      </c>
      <c r="K96" s="153"/>
      <c r="V96" s="25">
        <f t="shared" si="17"/>
        <v>1</v>
      </c>
      <c r="W96" s="25">
        <f t="shared" si="18"/>
        <v>0</v>
      </c>
    </row>
    <row r="97" spans="1:23" x14ac:dyDescent="0.3">
      <c r="A97" s="147"/>
      <c r="B97" s="205">
        <f t="shared" si="19"/>
        <v>6</v>
      </c>
      <c r="C97" s="206">
        <v>44720</v>
      </c>
      <c r="D97" s="161" t="s">
        <v>9</v>
      </c>
      <c r="E97" s="161" t="s">
        <v>39</v>
      </c>
      <c r="F97" s="207">
        <v>16490</v>
      </c>
      <c r="G97" s="207">
        <v>16505</v>
      </c>
      <c r="H97" s="161">
        <f>16505-16490</f>
        <v>15</v>
      </c>
      <c r="I97" s="207">
        <v>150</v>
      </c>
      <c r="J97" s="242">
        <f t="shared" si="16"/>
        <v>2250</v>
      </c>
      <c r="K97" s="153"/>
      <c r="V97" s="25">
        <f t="shared" si="17"/>
        <v>1</v>
      </c>
      <c r="W97" s="25">
        <f t="shared" si="18"/>
        <v>0</v>
      </c>
    </row>
    <row r="98" spans="1:23" x14ac:dyDescent="0.3">
      <c r="A98" s="147"/>
      <c r="B98" s="205">
        <f t="shared" si="19"/>
        <v>7</v>
      </c>
      <c r="C98" s="206">
        <v>44721</v>
      </c>
      <c r="D98" s="161" t="s">
        <v>9</v>
      </c>
      <c r="E98" s="161" t="s">
        <v>39</v>
      </c>
      <c r="F98" s="207">
        <v>16330</v>
      </c>
      <c r="G98" s="207">
        <v>16410</v>
      </c>
      <c r="H98" s="161">
        <f>16410-16330</f>
        <v>80</v>
      </c>
      <c r="I98" s="207">
        <v>150</v>
      </c>
      <c r="J98" s="242">
        <f t="shared" si="16"/>
        <v>12000</v>
      </c>
      <c r="K98" s="153"/>
      <c r="V98" s="25">
        <f t="shared" si="17"/>
        <v>1</v>
      </c>
      <c r="W98" s="25">
        <f t="shared" si="18"/>
        <v>0</v>
      </c>
    </row>
    <row r="99" spans="1:23" x14ac:dyDescent="0.3">
      <c r="A99" s="147"/>
      <c r="B99" s="205">
        <f t="shared" si="19"/>
        <v>8</v>
      </c>
      <c r="C99" s="206">
        <v>44722</v>
      </c>
      <c r="D99" s="161" t="s">
        <v>8</v>
      </c>
      <c r="E99" s="161" t="s">
        <v>39</v>
      </c>
      <c r="F99" s="207">
        <v>16260</v>
      </c>
      <c r="G99" s="207">
        <v>16300</v>
      </c>
      <c r="H99" s="161">
        <v>-40</v>
      </c>
      <c r="I99" s="207">
        <v>150</v>
      </c>
      <c r="J99" s="242">
        <f t="shared" si="16"/>
        <v>-6000</v>
      </c>
      <c r="K99" s="153"/>
      <c r="V99" s="25">
        <f t="shared" si="17"/>
        <v>0</v>
      </c>
      <c r="W99" s="25">
        <f t="shared" si="18"/>
        <v>1</v>
      </c>
    </row>
    <row r="100" spans="1:23" x14ac:dyDescent="0.3">
      <c r="A100" s="147"/>
      <c r="B100" s="205">
        <f t="shared" si="19"/>
        <v>9</v>
      </c>
      <c r="C100" s="206">
        <v>44725</v>
      </c>
      <c r="D100" s="161" t="s">
        <v>9</v>
      </c>
      <c r="E100" s="161" t="s">
        <v>39</v>
      </c>
      <c r="F100" s="207">
        <v>15790</v>
      </c>
      <c r="G100" s="207">
        <v>15820</v>
      </c>
      <c r="H100" s="161">
        <f>15820-15790</f>
        <v>30</v>
      </c>
      <c r="I100" s="207">
        <v>150</v>
      </c>
      <c r="J100" s="242">
        <f t="shared" si="16"/>
        <v>4500</v>
      </c>
      <c r="K100" s="153"/>
      <c r="V100" s="25">
        <f t="shared" si="17"/>
        <v>1</v>
      </c>
      <c r="W100" s="25">
        <f t="shared" si="18"/>
        <v>0</v>
      </c>
    </row>
    <row r="101" spans="1:23" x14ac:dyDescent="0.3">
      <c r="A101" s="147"/>
      <c r="B101" s="205">
        <f t="shared" si="19"/>
        <v>10</v>
      </c>
      <c r="C101" s="206">
        <v>44726</v>
      </c>
      <c r="D101" s="161" t="s">
        <v>9</v>
      </c>
      <c r="E101" s="161" t="s">
        <v>39</v>
      </c>
      <c r="F101" s="207">
        <v>15780</v>
      </c>
      <c r="G101" s="207">
        <v>15860</v>
      </c>
      <c r="H101" s="161">
        <v>80</v>
      </c>
      <c r="I101" s="207">
        <v>150</v>
      </c>
      <c r="J101" s="242">
        <f t="shared" si="16"/>
        <v>12000</v>
      </c>
      <c r="K101" s="153"/>
      <c r="V101" s="25">
        <f t="shared" si="17"/>
        <v>1</v>
      </c>
      <c r="W101" s="25">
        <f t="shared" si="18"/>
        <v>0</v>
      </c>
    </row>
    <row r="102" spans="1:23" x14ac:dyDescent="0.3">
      <c r="A102" s="147"/>
      <c r="B102" s="205">
        <f t="shared" si="19"/>
        <v>11</v>
      </c>
      <c r="C102" s="206">
        <v>44727</v>
      </c>
      <c r="D102" s="161" t="s">
        <v>9</v>
      </c>
      <c r="E102" s="161" t="s">
        <v>39</v>
      </c>
      <c r="F102" s="207">
        <v>15720</v>
      </c>
      <c r="G102" s="207">
        <v>15799</v>
      </c>
      <c r="H102" s="161">
        <f>15799-15720</f>
        <v>79</v>
      </c>
      <c r="I102" s="207">
        <v>150</v>
      </c>
      <c r="J102" s="242">
        <f t="shared" si="16"/>
        <v>11850</v>
      </c>
      <c r="K102" s="153"/>
      <c r="V102" s="25">
        <f t="shared" si="17"/>
        <v>1</v>
      </c>
      <c r="W102" s="25">
        <f t="shared" si="18"/>
        <v>0</v>
      </c>
    </row>
    <row r="103" spans="1:23" x14ac:dyDescent="0.3">
      <c r="A103" s="147"/>
      <c r="B103" s="205">
        <f t="shared" si="19"/>
        <v>12</v>
      </c>
      <c r="C103" s="206">
        <v>44728</v>
      </c>
      <c r="D103" s="161" t="s">
        <v>8</v>
      </c>
      <c r="E103" s="161" t="s">
        <v>39</v>
      </c>
      <c r="F103" s="207">
        <v>15780</v>
      </c>
      <c r="G103" s="207">
        <v>15700</v>
      </c>
      <c r="H103" s="161">
        <v>80</v>
      </c>
      <c r="I103" s="207">
        <v>150</v>
      </c>
      <c r="J103" s="242">
        <f t="shared" si="16"/>
        <v>12000</v>
      </c>
      <c r="K103" s="153"/>
      <c r="V103" s="25">
        <f t="shared" si="17"/>
        <v>1</v>
      </c>
      <c r="W103" s="25">
        <f t="shared" si="18"/>
        <v>0</v>
      </c>
    </row>
    <row r="104" spans="1:23" x14ac:dyDescent="0.3">
      <c r="A104" s="147"/>
      <c r="B104" s="205">
        <f t="shared" si="19"/>
        <v>13</v>
      </c>
      <c r="C104" s="206">
        <v>44729</v>
      </c>
      <c r="D104" s="161" t="s">
        <v>9</v>
      </c>
      <c r="E104" s="161" t="s">
        <v>39</v>
      </c>
      <c r="F104" s="207">
        <v>15330</v>
      </c>
      <c r="G104" s="207">
        <v>15350</v>
      </c>
      <c r="H104" s="161">
        <v>20</v>
      </c>
      <c r="I104" s="207">
        <v>150</v>
      </c>
      <c r="J104" s="242">
        <f t="shared" si="16"/>
        <v>3000</v>
      </c>
      <c r="K104" s="153"/>
      <c r="V104" s="25">
        <f t="shared" si="17"/>
        <v>1</v>
      </c>
      <c r="W104" s="25">
        <f t="shared" si="18"/>
        <v>0</v>
      </c>
    </row>
    <row r="105" spans="1:23" x14ac:dyDescent="0.3">
      <c r="A105" s="147"/>
      <c r="B105" s="205">
        <f t="shared" si="19"/>
        <v>14</v>
      </c>
      <c r="C105" s="206">
        <v>44732</v>
      </c>
      <c r="D105" s="161" t="s">
        <v>9</v>
      </c>
      <c r="E105" s="161" t="s">
        <v>39</v>
      </c>
      <c r="F105" s="207">
        <v>15300</v>
      </c>
      <c r="G105" s="207">
        <v>15380</v>
      </c>
      <c r="H105" s="161">
        <v>80</v>
      </c>
      <c r="I105" s="207">
        <v>150</v>
      </c>
      <c r="J105" s="242">
        <f t="shared" si="16"/>
        <v>12000</v>
      </c>
      <c r="K105" s="153"/>
      <c r="V105" s="25">
        <f t="shared" si="17"/>
        <v>1</v>
      </c>
      <c r="W105" s="25">
        <f t="shared" si="18"/>
        <v>0</v>
      </c>
    </row>
    <row r="106" spans="1:23" x14ac:dyDescent="0.3">
      <c r="A106" s="147"/>
      <c r="B106" s="205">
        <f t="shared" si="19"/>
        <v>15</v>
      </c>
      <c r="C106" s="206">
        <v>44733</v>
      </c>
      <c r="D106" s="161" t="s">
        <v>9</v>
      </c>
      <c r="E106" s="161" t="s">
        <v>39</v>
      </c>
      <c r="F106" s="207">
        <v>15470</v>
      </c>
      <c r="G106" s="207">
        <v>15540</v>
      </c>
      <c r="H106" s="161">
        <v>80</v>
      </c>
      <c r="I106" s="207">
        <v>150</v>
      </c>
      <c r="J106" s="242">
        <f t="shared" si="16"/>
        <v>12000</v>
      </c>
      <c r="K106" s="153"/>
      <c r="V106" s="25">
        <f t="shared" si="17"/>
        <v>1</v>
      </c>
      <c r="W106" s="25">
        <f t="shared" si="18"/>
        <v>0</v>
      </c>
    </row>
    <row r="107" spans="1:23" x14ac:dyDescent="0.3">
      <c r="A107" s="147"/>
      <c r="B107" s="205">
        <f t="shared" si="19"/>
        <v>16</v>
      </c>
      <c r="C107" s="206">
        <v>44734</v>
      </c>
      <c r="D107" s="161" t="s">
        <v>9</v>
      </c>
      <c r="E107" s="161" t="s">
        <v>39</v>
      </c>
      <c r="F107" s="207">
        <v>15460</v>
      </c>
      <c r="G107" s="207">
        <v>15532</v>
      </c>
      <c r="H107" s="161">
        <f>15532-15460</f>
        <v>72</v>
      </c>
      <c r="I107" s="207">
        <v>150</v>
      </c>
      <c r="J107" s="242">
        <f t="shared" si="16"/>
        <v>10800</v>
      </c>
      <c r="K107" s="153"/>
      <c r="V107" s="25">
        <f t="shared" si="17"/>
        <v>1</v>
      </c>
      <c r="W107" s="25">
        <f t="shared" si="18"/>
        <v>0</v>
      </c>
    </row>
    <row r="108" spans="1:23" x14ac:dyDescent="0.3">
      <c r="A108" s="147"/>
      <c r="B108" s="205">
        <f t="shared" si="19"/>
        <v>17</v>
      </c>
      <c r="C108" s="206">
        <v>44735</v>
      </c>
      <c r="D108" s="161" t="s">
        <v>9</v>
      </c>
      <c r="E108" s="161" t="s">
        <v>39</v>
      </c>
      <c r="F108" s="207">
        <v>15570</v>
      </c>
      <c r="G108" s="207">
        <v>15620</v>
      </c>
      <c r="H108" s="161">
        <v>50</v>
      </c>
      <c r="I108" s="207">
        <v>150</v>
      </c>
      <c r="J108" s="242">
        <f t="shared" si="16"/>
        <v>7500</v>
      </c>
      <c r="K108" s="153"/>
      <c r="V108" s="25">
        <f t="shared" si="17"/>
        <v>1</v>
      </c>
      <c r="W108" s="25">
        <f t="shared" si="18"/>
        <v>0</v>
      </c>
    </row>
    <row r="109" spans="1:23" x14ac:dyDescent="0.3">
      <c r="A109" s="147"/>
      <c r="B109" s="205">
        <f t="shared" si="19"/>
        <v>18</v>
      </c>
      <c r="C109" s="206">
        <v>44736</v>
      </c>
      <c r="D109" s="161" t="s">
        <v>9</v>
      </c>
      <c r="E109" s="161" t="s">
        <v>39</v>
      </c>
      <c r="F109" s="207">
        <v>15700</v>
      </c>
      <c r="G109" s="207">
        <v>15727</v>
      </c>
      <c r="H109" s="161">
        <v>27</v>
      </c>
      <c r="I109" s="207">
        <v>150</v>
      </c>
      <c r="J109" s="242">
        <f t="shared" si="16"/>
        <v>4050</v>
      </c>
      <c r="K109" s="153"/>
      <c r="V109" s="25">
        <f t="shared" si="17"/>
        <v>1</v>
      </c>
      <c r="W109" s="25">
        <f t="shared" si="18"/>
        <v>0</v>
      </c>
    </row>
    <row r="110" spans="1:23" x14ac:dyDescent="0.3">
      <c r="A110" s="147"/>
      <c r="B110" s="205">
        <f t="shared" si="19"/>
        <v>19</v>
      </c>
      <c r="C110" s="206">
        <v>44739</v>
      </c>
      <c r="D110" s="161" t="s">
        <v>8</v>
      </c>
      <c r="E110" s="161" t="s">
        <v>39</v>
      </c>
      <c r="F110" s="207">
        <v>15900</v>
      </c>
      <c r="G110" s="207">
        <v>15820</v>
      </c>
      <c r="H110" s="161">
        <f>15900-15820</f>
        <v>80</v>
      </c>
      <c r="I110" s="207">
        <v>150</v>
      </c>
      <c r="J110" s="242">
        <f>I110*H110</f>
        <v>12000</v>
      </c>
      <c r="K110" s="153"/>
      <c r="V110" s="25">
        <f t="shared" si="17"/>
        <v>1</v>
      </c>
      <c r="W110" s="25">
        <f t="shared" si="18"/>
        <v>0</v>
      </c>
    </row>
    <row r="111" spans="1:23" x14ac:dyDescent="0.3">
      <c r="A111" s="147"/>
      <c r="B111" s="205">
        <f t="shared" si="19"/>
        <v>20</v>
      </c>
      <c r="C111" s="206">
        <v>44740</v>
      </c>
      <c r="D111" s="161" t="s">
        <v>8</v>
      </c>
      <c r="E111" s="161" t="s">
        <v>39</v>
      </c>
      <c r="F111" s="207">
        <v>15730</v>
      </c>
      <c r="G111" s="207">
        <v>15770</v>
      </c>
      <c r="H111" s="161">
        <v>-40</v>
      </c>
      <c r="I111" s="207">
        <v>150</v>
      </c>
      <c r="J111" s="242">
        <f t="shared" si="16"/>
        <v>-6000</v>
      </c>
      <c r="K111" s="153"/>
      <c r="V111" s="25">
        <f t="shared" si="17"/>
        <v>0</v>
      </c>
      <c r="W111" s="25">
        <f t="shared" si="18"/>
        <v>1</v>
      </c>
    </row>
    <row r="112" spans="1:23" x14ac:dyDescent="0.3">
      <c r="A112" s="147"/>
      <c r="B112" s="205">
        <f t="shared" si="19"/>
        <v>21</v>
      </c>
      <c r="C112" s="206">
        <v>44741</v>
      </c>
      <c r="D112" s="161" t="s">
        <v>9</v>
      </c>
      <c r="E112" s="161" t="s">
        <v>39</v>
      </c>
      <c r="F112" s="207">
        <v>15700</v>
      </c>
      <c r="G112" s="207">
        <v>15780</v>
      </c>
      <c r="H112" s="161">
        <v>80</v>
      </c>
      <c r="I112" s="207">
        <v>150</v>
      </c>
      <c r="J112" s="242">
        <f t="shared" si="16"/>
        <v>12000</v>
      </c>
      <c r="K112" s="153"/>
      <c r="V112" s="25">
        <f t="shared" si="17"/>
        <v>1</v>
      </c>
      <c r="W112" s="25">
        <f t="shared" si="18"/>
        <v>0</v>
      </c>
    </row>
    <row r="113" spans="1:23" x14ac:dyDescent="0.3">
      <c r="A113" s="147"/>
      <c r="B113" s="205">
        <f t="shared" si="19"/>
        <v>22</v>
      </c>
      <c r="C113" s="206">
        <v>44742</v>
      </c>
      <c r="D113" s="161" t="s">
        <v>9</v>
      </c>
      <c r="E113" s="161" t="s">
        <v>39</v>
      </c>
      <c r="F113" s="207">
        <v>15850</v>
      </c>
      <c r="G113" s="207">
        <v>15875</v>
      </c>
      <c r="H113" s="161">
        <v>25</v>
      </c>
      <c r="I113" s="207">
        <v>150</v>
      </c>
      <c r="J113" s="242">
        <f t="shared" si="16"/>
        <v>3750</v>
      </c>
      <c r="K113" s="153"/>
      <c r="V113" s="25">
        <f t="shared" si="17"/>
        <v>1</v>
      </c>
      <c r="W113" s="25">
        <f t="shared" si="18"/>
        <v>0</v>
      </c>
    </row>
    <row r="114" spans="1:23" ht="15" thickBot="1" x14ac:dyDescent="0.35">
      <c r="A114" s="147"/>
      <c r="B114" s="208">
        <f t="shared" si="19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6"/>
        <v>0</v>
      </c>
      <c r="K114" s="153"/>
      <c r="V114" s="25">
        <f t="shared" si="17"/>
        <v>0</v>
      </c>
      <c r="W114" s="25">
        <f t="shared" si="18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166050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3821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44713</v>
      </c>
      <c r="D123" s="185" t="s">
        <v>9</v>
      </c>
      <c r="E123" s="185" t="s">
        <v>1443</v>
      </c>
      <c r="F123" s="219">
        <v>105</v>
      </c>
      <c r="G123" s="231">
        <v>154</v>
      </c>
      <c r="H123" s="231">
        <f>154-105</f>
        <v>49</v>
      </c>
      <c r="I123" s="219">
        <v>300</v>
      </c>
      <c r="J123" s="246">
        <f t="shared" ref="J123:J147" si="20">I123*H123</f>
        <v>14700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44714</v>
      </c>
      <c r="D124" s="185" t="s">
        <v>9</v>
      </c>
      <c r="E124" s="185" t="s">
        <v>3430</v>
      </c>
      <c r="F124" s="219">
        <v>100</v>
      </c>
      <c r="G124" s="219">
        <v>150</v>
      </c>
      <c r="H124" s="185">
        <v>50</v>
      </c>
      <c r="I124" s="219">
        <v>300</v>
      </c>
      <c r="J124" s="242">
        <f t="shared" si="20"/>
        <v>15000</v>
      </c>
      <c r="K124" s="153"/>
      <c r="V124" s="25">
        <f t="shared" ref="V124:V147" si="21">IF($J124&gt;0,1,0)</f>
        <v>1</v>
      </c>
      <c r="W124" s="25">
        <f t="shared" ref="W124:W147" si="22">IF($J124&lt;0,1,0)</f>
        <v>0</v>
      </c>
    </row>
    <row r="125" spans="1:23" x14ac:dyDescent="0.3">
      <c r="A125" s="147"/>
      <c r="B125" s="205">
        <f>B124+1</f>
        <v>3</v>
      </c>
      <c r="C125" s="206">
        <v>44715</v>
      </c>
      <c r="D125" s="161" t="s">
        <v>9</v>
      </c>
      <c r="E125" s="161" t="s">
        <v>1387</v>
      </c>
      <c r="F125" s="207">
        <v>145</v>
      </c>
      <c r="G125" s="207">
        <v>195</v>
      </c>
      <c r="H125" s="161">
        <v>50</v>
      </c>
      <c r="I125" s="207">
        <v>300</v>
      </c>
      <c r="J125" s="242">
        <f t="shared" si="20"/>
        <v>15000</v>
      </c>
      <c r="K125" s="153"/>
      <c r="V125" s="25">
        <f t="shared" si="21"/>
        <v>1</v>
      </c>
      <c r="W125" s="25">
        <f t="shared" si="22"/>
        <v>0</v>
      </c>
    </row>
    <row r="126" spans="1:23" x14ac:dyDescent="0.3">
      <c r="A126" s="147"/>
      <c r="B126" s="205">
        <f t="shared" ref="B126:B147" si="23">B125+1</f>
        <v>4</v>
      </c>
      <c r="C126" s="206">
        <v>44718</v>
      </c>
      <c r="D126" s="161" t="s">
        <v>9</v>
      </c>
      <c r="E126" s="161" t="s">
        <v>3439</v>
      </c>
      <c r="F126" s="207">
        <v>120</v>
      </c>
      <c r="G126" s="207">
        <v>155</v>
      </c>
      <c r="H126" s="161">
        <f>155-120</f>
        <v>35</v>
      </c>
      <c r="I126" s="207">
        <v>300</v>
      </c>
      <c r="J126" s="242">
        <f t="shared" si="20"/>
        <v>10500</v>
      </c>
      <c r="K126" s="153"/>
      <c r="V126" s="25">
        <f t="shared" si="21"/>
        <v>1</v>
      </c>
      <c r="W126" s="25">
        <f t="shared" si="22"/>
        <v>0</v>
      </c>
    </row>
    <row r="127" spans="1:23" x14ac:dyDescent="0.3">
      <c r="A127" s="147"/>
      <c r="B127" s="205">
        <f t="shared" si="23"/>
        <v>5</v>
      </c>
      <c r="C127" s="206">
        <v>44719</v>
      </c>
      <c r="D127" s="161" t="s">
        <v>9</v>
      </c>
      <c r="E127" s="161" t="s">
        <v>3428</v>
      </c>
      <c r="F127" s="207">
        <v>105</v>
      </c>
      <c r="G127" s="207">
        <v>130</v>
      </c>
      <c r="H127" s="161">
        <v>25</v>
      </c>
      <c r="I127" s="207">
        <v>300</v>
      </c>
      <c r="J127" s="242">
        <f t="shared" si="20"/>
        <v>7500</v>
      </c>
      <c r="K127" s="153"/>
      <c r="M127" s="25" t="s">
        <v>2008</v>
      </c>
      <c r="V127" s="25">
        <f t="shared" si="21"/>
        <v>1</v>
      </c>
      <c r="W127" s="25">
        <f t="shared" si="22"/>
        <v>0</v>
      </c>
    </row>
    <row r="128" spans="1:23" x14ac:dyDescent="0.3">
      <c r="A128" s="147"/>
      <c r="B128" s="205">
        <f t="shared" si="23"/>
        <v>6</v>
      </c>
      <c r="C128" s="206">
        <v>44720</v>
      </c>
      <c r="D128" s="161" t="s">
        <v>9</v>
      </c>
      <c r="E128" s="161" t="s">
        <v>3428</v>
      </c>
      <c r="F128" s="207">
        <v>105</v>
      </c>
      <c r="G128" s="222">
        <v>130</v>
      </c>
      <c r="H128" s="222">
        <v>25</v>
      </c>
      <c r="I128" s="207">
        <v>300</v>
      </c>
      <c r="J128" s="242">
        <f t="shared" si="20"/>
        <v>7500</v>
      </c>
      <c r="K128" s="153"/>
      <c r="V128" s="25">
        <f t="shared" si="21"/>
        <v>1</v>
      </c>
      <c r="W128" s="25">
        <f t="shared" si="22"/>
        <v>0</v>
      </c>
    </row>
    <row r="129" spans="1:23" x14ac:dyDescent="0.3">
      <c r="A129" s="147"/>
      <c r="B129" s="205">
        <f t="shared" si="23"/>
        <v>7</v>
      </c>
      <c r="C129" s="206">
        <v>44721</v>
      </c>
      <c r="D129" s="161" t="s">
        <v>9</v>
      </c>
      <c r="E129" s="161" t="s">
        <v>1366</v>
      </c>
      <c r="F129" s="207">
        <v>130</v>
      </c>
      <c r="G129" s="207">
        <v>180</v>
      </c>
      <c r="H129" s="161">
        <v>50</v>
      </c>
      <c r="I129" s="207">
        <v>300</v>
      </c>
      <c r="J129" s="242">
        <f t="shared" si="20"/>
        <v>15000</v>
      </c>
      <c r="K129" s="153"/>
      <c r="V129" s="25">
        <f t="shared" si="21"/>
        <v>1</v>
      </c>
      <c r="W129" s="25">
        <f t="shared" si="22"/>
        <v>0</v>
      </c>
    </row>
    <row r="130" spans="1:23" x14ac:dyDescent="0.3">
      <c r="A130" s="147"/>
      <c r="B130" s="205">
        <f t="shared" si="23"/>
        <v>8</v>
      </c>
      <c r="C130" s="206">
        <v>44722</v>
      </c>
      <c r="D130" s="161" t="s">
        <v>9</v>
      </c>
      <c r="E130" s="161" t="s">
        <v>3829</v>
      </c>
      <c r="F130" s="207">
        <v>150</v>
      </c>
      <c r="G130" s="207">
        <v>184</v>
      </c>
      <c r="H130" s="161">
        <f>184-150</f>
        <v>34</v>
      </c>
      <c r="I130" s="207">
        <v>300</v>
      </c>
      <c r="J130" s="242">
        <f t="shared" si="20"/>
        <v>10200</v>
      </c>
      <c r="K130" s="153"/>
      <c r="V130" s="25">
        <f t="shared" si="21"/>
        <v>1</v>
      </c>
      <c r="W130" s="25">
        <f t="shared" si="22"/>
        <v>0</v>
      </c>
    </row>
    <row r="131" spans="1:23" x14ac:dyDescent="0.3">
      <c r="A131" s="147"/>
      <c r="B131" s="205">
        <f t="shared" si="23"/>
        <v>9</v>
      </c>
      <c r="C131" s="206">
        <v>44725</v>
      </c>
      <c r="D131" s="161" t="s">
        <v>9</v>
      </c>
      <c r="E131" s="161" t="s">
        <v>3384</v>
      </c>
      <c r="F131" s="207">
        <v>145</v>
      </c>
      <c r="G131" s="207">
        <v>155</v>
      </c>
      <c r="H131" s="161">
        <v>10</v>
      </c>
      <c r="I131" s="207">
        <v>300</v>
      </c>
      <c r="J131" s="242">
        <f t="shared" si="20"/>
        <v>3000</v>
      </c>
      <c r="K131" s="153"/>
      <c r="V131" s="25">
        <f t="shared" si="21"/>
        <v>1</v>
      </c>
      <c r="W131" s="25">
        <f t="shared" si="22"/>
        <v>0</v>
      </c>
    </row>
    <row r="132" spans="1:23" x14ac:dyDescent="0.3">
      <c r="A132" s="147"/>
      <c r="B132" s="205">
        <f t="shared" si="23"/>
        <v>10</v>
      </c>
      <c r="C132" s="206">
        <v>44725</v>
      </c>
      <c r="D132" s="161" t="s">
        <v>9</v>
      </c>
      <c r="E132" s="161" t="s">
        <v>3834</v>
      </c>
      <c r="F132" s="207">
        <v>125</v>
      </c>
      <c r="G132" s="222">
        <v>142.5</v>
      </c>
      <c r="H132" s="222">
        <f>142.5-125</f>
        <v>17.5</v>
      </c>
      <c r="I132" s="207">
        <v>300</v>
      </c>
      <c r="J132" s="242">
        <f t="shared" si="20"/>
        <v>5250</v>
      </c>
      <c r="K132" s="153"/>
      <c r="V132" s="25">
        <f t="shared" si="21"/>
        <v>1</v>
      </c>
      <c r="W132" s="25">
        <f t="shared" si="22"/>
        <v>0</v>
      </c>
    </row>
    <row r="133" spans="1:23" x14ac:dyDescent="0.3">
      <c r="A133" s="147"/>
      <c r="B133" s="205">
        <f t="shared" si="23"/>
        <v>11</v>
      </c>
      <c r="C133" s="206">
        <v>44726</v>
      </c>
      <c r="D133" s="161" t="s">
        <v>9</v>
      </c>
      <c r="E133" s="161" t="s">
        <v>3385</v>
      </c>
      <c r="F133" s="207">
        <v>145</v>
      </c>
      <c r="G133" s="222">
        <v>195</v>
      </c>
      <c r="H133" s="222">
        <v>50</v>
      </c>
      <c r="I133" s="207">
        <v>300</v>
      </c>
      <c r="J133" s="242">
        <f t="shared" si="20"/>
        <v>15000</v>
      </c>
      <c r="K133" s="153"/>
      <c r="V133" s="25">
        <f t="shared" si="21"/>
        <v>1</v>
      </c>
      <c r="W133" s="25">
        <f t="shared" si="22"/>
        <v>0</v>
      </c>
    </row>
    <row r="134" spans="1:23" x14ac:dyDescent="0.3">
      <c r="A134" s="147"/>
      <c r="B134" s="205">
        <f t="shared" si="23"/>
        <v>12</v>
      </c>
      <c r="C134" s="206">
        <v>44727</v>
      </c>
      <c r="D134" s="161" t="s">
        <v>9</v>
      </c>
      <c r="E134" s="161" t="s">
        <v>1310</v>
      </c>
      <c r="F134" s="207">
        <v>125</v>
      </c>
      <c r="G134" s="222">
        <v>150</v>
      </c>
      <c r="H134" s="222">
        <v>25</v>
      </c>
      <c r="I134" s="207">
        <v>300</v>
      </c>
      <c r="J134" s="242">
        <f t="shared" si="20"/>
        <v>7500</v>
      </c>
      <c r="K134" s="153"/>
      <c r="V134" s="25">
        <f t="shared" si="21"/>
        <v>1</v>
      </c>
      <c r="W134" s="25">
        <f t="shared" si="22"/>
        <v>0</v>
      </c>
    </row>
    <row r="135" spans="1:23" x14ac:dyDescent="0.3">
      <c r="A135" s="147"/>
      <c r="B135" s="205">
        <f t="shared" si="23"/>
        <v>13</v>
      </c>
      <c r="C135" s="206">
        <v>44728</v>
      </c>
      <c r="D135" s="161" t="s">
        <v>9</v>
      </c>
      <c r="E135" s="161" t="s">
        <v>3372</v>
      </c>
      <c r="F135" s="207">
        <v>120</v>
      </c>
      <c r="G135" s="207">
        <v>170</v>
      </c>
      <c r="H135" s="161">
        <v>50</v>
      </c>
      <c r="I135" s="207">
        <v>300</v>
      </c>
      <c r="J135" s="242">
        <f t="shared" si="20"/>
        <v>15000</v>
      </c>
      <c r="K135" s="153"/>
      <c r="V135" s="25">
        <f t="shared" si="21"/>
        <v>1</v>
      </c>
      <c r="W135" s="25">
        <f t="shared" si="22"/>
        <v>0</v>
      </c>
    </row>
    <row r="136" spans="1:23" x14ac:dyDescent="0.3">
      <c r="A136" s="147"/>
      <c r="B136" s="205">
        <f t="shared" si="23"/>
        <v>14</v>
      </c>
      <c r="C136" s="206">
        <v>44729</v>
      </c>
      <c r="D136" s="161" t="s">
        <v>9</v>
      </c>
      <c r="E136" s="161" t="s">
        <v>3838</v>
      </c>
      <c r="F136" s="207">
        <v>140</v>
      </c>
      <c r="G136" s="207">
        <v>181</v>
      </c>
      <c r="H136" s="161">
        <v>41</v>
      </c>
      <c r="I136" s="207">
        <v>300</v>
      </c>
      <c r="J136" s="242">
        <f t="shared" si="20"/>
        <v>12300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3"/>
        <v>15</v>
      </c>
      <c r="C137" s="206">
        <v>44732</v>
      </c>
      <c r="D137" s="161" t="s">
        <v>9</v>
      </c>
      <c r="E137" s="161" t="s">
        <v>1292</v>
      </c>
      <c r="F137" s="207">
        <v>155</v>
      </c>
      <c r="G137" s="207">
        <v>194</v>
      </c>
      <c r="H137" s="161">
        <f>194-155</f>
        <v>39</v>
      </c>
      <c r="I137" s="207">
        <v>300</v>
      </c>
      <c r="J137" s="242">
        <f t="shared" si="20"/>
        <v>11700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3"/>
        <v>16</v>
      </c>
      <c r="C138" s="206">
        <v>44733</v>
      </c>
      <c r="D138" s="161" t="s">
        <v>9</v>
      </c>
      <c r="E138" s="161" t="s">
        <v>1304</v>
      </c>
      <c r="F138" s="207">
        <v>150</v>
      </c>
      <c r="G138" s="207">
        <v>200</v>
      </c>
      <c r="H138" s="161">
        <v>50</v>
      </c>
      <c r="I138" s="207">
        <v>300</v>
      </c>
      <c r="J138" s="242">
        <f t="shared" si="20"/>
        <v>15000</v>
      </c>
      <c r="K138" s="153"/>
      <c r="V138" s="25">
        <f t="shared" si="21"/>
        <v>1</v>
      </c>
      <c r="W138" s="25">
        <f t="shared" si="22"/>
        <v>0</v>
      </c>
    </row>
    <row r="139" spans="1:23" x14ac:dyDescent="0.3">
      <c r="A139" s="147"/>
      <c r="B139" s="205">
        <f t="shared" si="23"/>
        <v>17</v>
      </c>
      <c r="C139" s="206">
        <v>44734</v>
      </c>
      <c r="D139" s="161" t="s">
        <v>9</v>
      </c>
      <c r="E139" s="161" t="s">
        <v>3838</v>
      </c>
      <c r="F139" s="207">
        <v>120</v>
      </c>
      <c r="G139" s="207">
        <v>160</v>
      </c>
      <c r="H139" s="161">
        <v>40</v>
      </c>
      <c r="I139" s="207">
        <v>300</v>
      </c>
      <c r="J139" s="242">
        <f t="shared" si="20"/>
        <v>12000</v>
      </c>
      <c r="K139" s="153"/>
      <c r="V139" s="25">
        <f t="shared" si="21"/>
        <v>1</v>
      </c>
      <c r="W139" s="25">
        <f t="shared" si="22"/>
        <v>0</v>
      </c>
    </row>
    <row r="140" spans="1:23" x14ac:dyDescent="0.3">
      <c r="A140" s="147"/>
      <c r="B140" s="205">
        <f t="shared" si="23"/>
        <v>18</v>
      </c>
      <c r="C140" s="206">
        <v>44735</v>
      </c>
      <c r="D140" s="161" t="s">
        <v>9</v>
      </c>
      <c r="E140" s="161" t="s">
        <v>3357</v>
      </c>
      <c r="F140" s="207">
        <v>140</v>
      </c>
      <c r="G140" s="222">
        <v>185</v>
      </c>
      <c r="H140" s="222">
        <f>185-140</f>
        <v>45</v>
      </c>
      <c r="I140" s="207">
        <v>300</v>
      </c>
      <c r="J140" s="242">
        <f t="shared" si="20"/>
        <v>13500</v>
      </c>
      <c r="K140" s="153"/>
      <c r="V140" s="25">
        <f t="shared" si="21"/>
        <v>1</v>
      </c>
      <c r="W140" s="25">
        <f t="shared" si="22"/>
        <v>0</v>
      </c>
    </row>
    <row r="141" spans="1:23" x14ac:dyDescent="0.3">
      <c r="A141" s="147"/>
      <c r="B141" s="205">
        <f t="shared" si="23"/>
        <v>19</v>
      </c>
      <c r="C141" s="206">
        <v>44736</v>
      </c>
      <c r="D141" s="161" t="s">
        <v>9</v>
      </c>
      <c r="E141" s="161" t="s">
        <v>1310</v>
      </c>
      <c r="F141" s="207">
        <v>150</v>
      </c>
      <c r="G141" s="222">
        <v>165</v>
      </c>
      <c r="H141" s="222">
        <v>15</v>
      </c>
      <c r="I141" s="207">
        <v>300</v>
      </c>
      <c r="J141" s="242">
        <f t="shared" si="20"/>
        <v>4500</v>
      </c>
      <c r="K141" s="153"/>
      <c r="V141" s="25">
        <f t="shared" si="21"/>
        <v>1</v>
      </c>
      <c r="W141" s="25">
        <f t="shared" si="22"/>
        <v>0</v>
      </c>
    </row>
    <row r="142" spans="1:23" x14ac:dyDescent="0.3">
      <c r="A142" s="147"/>
      <c r="B142" s="205">
        <f t="shared" si="23"/>
        <v>20</v>
      </c>
      <c r="C142" s="206">
        <v>44739</v>
      </c>
      <c r="D142" s="161" t="s">
        <v>9</v>
      </c>
      <c r="E142" s="161" t="s">
        <v>1153</v>
      </c>
      <c r="F142" s="207">
        <v>145</v>
      </c>
      <c r="G142" s="222">
        <v>170</v>
      </c>
      <c r="H142" s="222">
        <f>170-145</f>
        <v>25</v>
      </c>
      <c r="I142" s="207">
        <v>300</v>
      </c>
      <c r="J142" s="242">
        <f t="shared" si="20"/>
        <v>7500</v>
      </c>
      <c r="K142" s="153"/>
      <c r="V142" s="25">
        <f t="shared" si="21"/>
        <v>1</v>
      </c>
      <c r="W142" s="25">
        <f t="shared" si="22"/>
        <v>0</v>
      </c>
    </row>
    <row r="143" spans="1:23" x14ac:dyDescent="0.3">
      <c r="A143" s="147"/>
      <c r="B143" s="205">
        <f t="shared" si="23"/>
        <v>21</v>
      </c>
      <c r="C143" s="206">
        <v>44740</v>
      </c>
      <c r="D143" s="161" t="s">
        <v>9</v>
      </c>
      <c r="E143" s="161" t="s">
        <v>3388</v>
      </c>
      <c r="F143" s="207">
        <v>100</v>
      </c>
      <c r="G143" s="222">
        <v>125</v>
      </c>
      <c r="H143" s="222">
        <v>25</v>
      </c>
      <c r="I143" s="207">
        <v>300</v>
      </c>
      <c r="J143" s="242">
        <f t="shared" si="20"/>
        <v>7500</v>
      </c>
      <c r="K143" s="153"/>
      <c r="V143" s="25">
        <f t="shared" si="21"/>
        <v>1</v>
      </c>
      <c r="W143" s="25">
        <f t="shared" si="22"/>
        <v>0</v>
      </c>
    </row>
    <row r="144" spans="1:23" x14ac:dyDescent="0.3">
      <c r="A144" s="147"/>
      <c r="B144" s="205">
        <f t="shared" si="23"/>
        <v>22</v>
      </c>
      <c r="C144" s="206">
        <v>44740</v>
      </c>
      <c r="D144" s="161" t="s">
        <v>9</v>
      </c>
      <c r="E144" s="161" t="s">
        <v>3370</v>
      </c>
      <c r="F144" s="207">
        <v>120</v>
      </c>
      <c r="G144" s="222">
        <v>130</v>
      </c>
      <c r="H144" s="222">
        <v>10</v>
      </c>
      <c r="I144" s="207">
        <v>300</v>
      </c>
      <c r="J144" s="242">
        <f t="shared" si="20"/>
        <v>3000</v>
      </c>
      <c r="K144" s="153"/>
      <c r="V144" s="25">
        <f t="shared" si="21"/>
        <v>1</v>
      </c>
      <c r="W144" s="25">
        <f t="shared" si="22"/>
        <v>0</v>
      </c>
    </row>
    <row r="145" spans="1:23" x14ac:dyDescent="0.3">
      <c r="A145" s="147"/>
      <c r="B145" s="205">
        <f t="shared" si="23"/>
        <v>23</v>
      </c>
      <c r="C145" s="206">
        <v>44741</v>
      </c>
      <c r="D145" s="161" t="s">
        <v>9</v>
      </c>
      <c r="E145" s="161" t="s">
        <v>3369</v>
      </c>
      <c r="F145" s="207">
        <v>130</v>
      </c>
      <c r="G145" s="222">
        <v>180</v>
      </c>
      <c r="H145" s="161">
        <v>50</v>
      </c>
      <c r="I145" s="207">
        <v>300</v>
      </c>
      <c r="J145" s="242">
        <f t="shared" si="20"/>
        <v>15000</v>
      </c>
      <c r="K145" s="153"/>
      <c r="V145" s="25">
        <f t="shared" si="21"/>
        <v>1</v>
      </c>
      <c r="W145" s="25">
        <f t="shared" si="22"/>
        <v>0</v>
      </c>
    </row>
    <row r="146" spans="1:23" x14ac:dyDescent="0.3">
      <c r="A146" s="147"/>
      <c r="B146" s="205">
        <f t="shared" si="23"/>
        <v>24</v>
      </c>
      <c r="C146" s="264">
        <v>44742</v>
      </c>
      <c r="D146" s="265" t="s">
        <v>9</v>
      </c>
      <c r="E146" s="265" t="s">
        <v>1310</v>
      </c>
      <c r="F146" s="266">
        <v>100</v>
      </c>
      <c r="G146" s="267">
        <v>123</v>
      </c>
      <c r="H146" s="265">
        <v>23</v>
      </c>
      <c r="I146" s="266">
        <v>300</v>
      </c>
      <c r="J146" s="242">
        <f t="shared" si="20"/>
        <v>6900</v>
      </c>
      <c r="K146" s="153"/>
      <c r="V146" s="25">
        <f t="shared" si="21"/>
        <v>1</v>
      </c>
      <c r="W146" s="25">
        <f t="shared" si="22"/>
        <v>0</v>
      </c>
    </row>
    <row r="147" spans="1:23" ht="15" thickBot="1" x14ac:dyDescent="0.35">
      <c r="A147" s="147"/>
      <c r="B147" s="205">
        <f t="shared" si="23"/>
        <v>25</v>
      </c>
      <c r="C147" s="209">
        <v>44742</v>
      </c>
      <c r="D147" s="166" t="s">
        <v>9</v>
      </c>
      <c r="E147" s="166" t="s">
        <v>3385</v>
      </c>
      <c r="F147" s="210">
        <v>130</v>
      </c>
      <c r="G147" s="210">
        <v>143</v>
      </c>
      <c r="H147" s="166">
        <v>13</v>
      </c>
      <c r="I147" s="210">
        <v>300</v>
      </c>
      <c r="J147" s="244">
        <f t="shared" si="20"/>
        <v>3900</v>
      </c>
      <c r="K147" s="153"/>
      <c r="V147" s="25">
        <f t="shared" si="21"/>
        <v>1</v>
      </c>
      <c r="W147" s="25">
        <f t="shared" si="22"/>
        <v>0</v>
      </c>
    </row>
    <row r="148" spans="1:23" ht="24" thickBot="1" x14ac:dyDescent="0.5">
      <c r="A148" s="147"/>
      <c r="B148" s="370" t="s">
        <v>2254</v>
      </c>
      <c r="C148" s="371"/>
      <c r="D148" s="371"/>
      <c r="E148" s="371"/>
      <c r="F148" s="371"/>
      <c r="G148" s="371"/>
      <c r="H148" s="372"/>
      <c r="I148" s="211" t="s">
        <v>2255</v>
      </c>
      <c r="J148" s="212">
        <f>SUM(J123:J147)</f>
        <v>253950</v>
      </c>
      <c r="K148" s="153"/>
      <c r="V148" s="25">
        <f>SUM(V123:V147)</f>
        <v>25</v>
      </c>
      <c r="W148" s="25">
        <f>SUM(W123:W147)</f>
        <v>0</v>
      </c>
    </row>
    <row r="149" spans="1:23" ht="30" customHeight="1" thickBot="1" x14ac:dyDescent="0.35">
      <c r="A149" s="213"/>
      <c r="B149" s="172"/>
      <c r="C149" s="172"/>
      <c r="D149" s="172"/>
      <c r="E149" s="172"/>
      <c r="F149" s="172"/>
      <c r="G149" s="172"/>
      <c r="H149" s="235"/>
      <c r="I149" s="172"/>
      <c r="J149" s="235"/>
      <c r="K149" s="214"/>
    </row>
    <row r="150" spans="1:23" ht="15" thickBot="1" x14ac:dyDescent="0.35"/>
    <row r="151" spans="1:23" ht="30" customHeight="1" thickBot="1" x14ac:dyDescent="0.35">
      <c r="A151" s="198"/>
      <c r="B151" s="143"/>
      <c r="C151" s="143"/>
      <c r="D151" s="143"/>
      <c r="E151" s="143"/>
      <c r="F151" s="143"/>
      <c r="G151" s="143"/>
      <c r="H151" s="232"/>
      <c r="I151" s="143"/>
      <c r="J151" s="232"/>
      <c r="K151" s="199"/>
    </row>
    <row r="152" spans="1:23" ht="25.2" thickBot="1" x14ac:dyDescent="0.35">
      <c r="A152" s="147" t="s">
        <v>0</v>
      </c>
      <c r="B152" s="361" t="s">
        <v>2244</v>
      </c>
      <c r="C152" s="362"/>
      <c r="D152" s="362"/>
      <c r="E152" s="362"/>
      <c r="F152" s="362"/>
      <c r="G152" s="362"/>
      <c r="H152" s="362"/>
      <c r="I152" s="362"/>
      <c r="J152" s="363"/>
      <c r="K152" s="153"/>
    </row>
    <row r="153" spans="1:23" ht="16.2" thickBot="1" x14ac:dyDescent="0.35">
      <c r="A153" s="147"/>
      <c r="B153" s="364" t="s">
        <v>3819</v>
      </c>
      <c r="C153" s="365"/>
      <c r="D153" s="365"/>
      <c r="E153" s="365"/>
      <c r="F153" s="365"/>
      <c r="G153" s="365"/>
      <c r="H153" s="365"/>
      <c r="I153" s="365"/>
      <c r="J153" s="366"/>
      <c r="K153" s="153"/>
    </row>
    <row r="154" spans="1:23" ht="16.2" thickBot="1" x14ac:dyDescent="0.35">
      <c r="A154" s="147"/>
      <c r="B154" s="367" t="s">
        <v>2367</v>
      </c>
      <c r="C154" s="368"/>
      <c r="D154" s="368"/>
      <c r="E154" s="368"/>
      <c r="F154" s="368"/>
      <c r="G154" s="368"/>
      <c r="H154" s="368"/>
      <c r="I154" s="368"/>
      <c r="J154" s="369"/>
      <c r="K154" s="153"/>
    </row>
    <row r="155" spans="1:23" ht="15" thickBot="1" x14ac:dyDescent="0.35">
      <c r="A155" s="175"/>
      <c r="B155" s="178" t="s">
        <v>2248</v>
      </c>
      <c r="C155" s="179" t="s">
        <v>1</v>
      </c>
      <c r="D155" s="180" t="s">
        <v>5</v>
      </c>
      <c r="E155" s="180" t="s">
        <v>6</v>
      </c>
      <c r="F155" s="181" t="s">
        <v>2249</v>
      </c>
      <c r="G155" s="181" t="s">
        <v>2250</v>
      </c>
      <c r="H155" s="239" t="s">
        <v>2251</v>
      </c>
      <c r="I155" s="181" t="s">
        <v>2257</v>
      </c>
      <c r="J155" s="245" t="s">
        <v>4</v>
      </c>
      <c r="K155" s="176"/>
      <c r="L155" s="215"/>
      <c r="V155" s="201" t="s">
        <v>454</v>
      </c>
      <c r="W155" s="201" t="s">
        <v>455</v>
      </c>
    </row>
    <row r="156" spans="1:23" x14ac:dyDescent="0.3">
      <c r="A156" s="147"/>
      <c r="B156" s="217">
        <v>1</v>
      </c>
      <c r="C156" s="218">
        <v>44713</v>
      </c>
      <c r="D156" s="185" t="s">
        <v>8</v>
      </c>
      <c r="E156" s="185" t="s">
        <v>301</v>
      </c>
      <c r="F156" s="219">
        <v>35600</v>
      </c>
      <c r="G156" s="231">
        <v>35550</v>
      </c>
      <c r="H156" s="185">
        <v>50</v>
      </c>
      <c r="I156" s="219">
        <v>50</v>
      </c>
      <c r="J156" s="246">
        <f t="shared" ref="J156:J178" si="24">I156*H156</f>
        <v>2500</v>
      </c>
      <c r="K156" s="153"/>
      <c r="V156" s="25">
        <f>IF($J156&gt;0,1,0)</f>
        <v>1</v>
      </c>
      <c r="W156" s="25">
        <f>IF($J156&lt;0,1,0)</f>
        <v>0</v>
      </c>
    </row>
    <row r="157" spans="1:23" x14ac:dyDescent="0.3">
      <c r="A157" s="147"/>
      <c r="B157" s="205">
        <f>B156+1</f>
        <v>2</v>
      </c>
      <c r="C157" s="218">
        <v>44714</v>
      </c>
      <c r="D157" s="185" t="s">
        <v>9</v>
      </c>
      <c r="E157" s="185" t="s">
        <v>301</v>
      </c>
      <c r="F157" s="219">
        <v>35650</v>
      </c>
      <c r="G157" s="219">
        <v>35765</v>
      </c>
      <c r="H157" s="185">
        <f>35675-35650</f>
        <v>25</v>
      </c>
      <c r="I157" s="219">
        <v>50</v>
      </c>
      <c r="J157" s="242">
        <f t="shared" si="24"/>
        <v>1250</v>
      </c>
      <c r="K157" s="153"/>
      <c r="V157" s="25">
        <f t="shared" ref="V157:V178" si="25">IF($J157&gt;0,1,0)</f>
        <v>1</v>
      </c>
      <c r="W157" s="25">
        <f t="shared" ref="W157:W178" si="26">IF($J157&lt;0,1,0)</f>
        <v>0</v>
      </c>
    </row>
    <row r="158" spans="1:23" x14ac:dyDescent="0.3">
      <c r="A158" s="147"/>
      <c r="B158" s="205">
        <f t="shared" ref="B158:B178" si="27">B157+1</f>
        <v>3</v>
      </c>
      <c r="C158" s="206">
        <v>44715</v>
      </c>
      <c r="D158" s="161" t="s">
        <v>8</v>
      </c>
      <c r="E158" s="161" t="s">
        <v>301</v>
      </c>
      <c r="F158" s="207">
        <v>35850</v>
      </c>
      <c r="G158" s="207">
        <v>35550</v>
      </c>
      <c r="H158" s="161">
        <v>300</v>
      </c>
      <c r="I158" s="207">
        <v>50</v>
      </c>
      <c r="J158" s="242">
        <f t="shared" si="24"/>
        <v>15000</v>
      </c>
      <c r="K158" s="153"/>
      <c r="V158" s="25">
        <f t="shared" si="25"/>
        <v>1</v>
      </c>
      <c r="W158" s="25">
        <f t="shared" si="26"/>
        <v>0</v>
      </c>
    </row>
    <row r="159" spans="1:23" x14ac:dyDescent="0.3">
      <c r="A159" s="147"/>
      <c r="B159" s="205">
        <f t="shared" si="27"/>
        <v>4</v>
      </c>
      <c r="C159" s="206">
        <v>44718</v>
      </c>
      <c r="D159" s="161" t="s">
        <v>8</v>
      </c>
      <c r="E159" s="161" t="s">
        <v>301</v>
      </c>
      <c r="F159" s="207">
        <v>35200</v>
      </c>
      <c r="G159" s="207">
        <v>35145</v>
      </c>
      <c r="H159" s="161">
        <f>35200-35145</f>
        <v>55</v>
      </c>
      <c r="I159" s="207">
        <v>50</v>
      </c>
      <c r="J159" s="242">
        <f t="shared" si="24"/>
        <v>2750</v>
      </c>
      <c r="K159" s="153"/>
      <c r="V159" s="25">
        <f t="shared" si="25"/>
        <v>1</v>
      </c>
      <c r="W159" s="25">
        <f t="shared" si="26"/>
        <v>0</v>
      </c>
    </row>
    <row r="160" spans="1:23" x14ac:dyDescent="0.3">
      <c r="A160" s="147"/>
      <c r="B160" s="205">
        <f t="shared" si="27"/>
        <v>5</v>
      </c>
      <c r="C160" s="206">
        <v>44719</v>
      </c>
      <c r="D160" s="161" t="s">
        <v>9</v>
      </c>
      <c r="E160" s="161" t="s">
        <v>301</v>
      </c>
      <c r="F160" s="207">
        <v>35200</v>
      </c>
      <c r="G160" s="207">
        <v>35050</v>
      </c>
      <c r="H160" s="161">
        <v>-150</v>
      </c>
      <c r="I160" s="207">
        <v>50</v>
      </c>
      <c r="J160" s="242">
        <f t="shared" si="24"/>
        <v>-7500</v>
      </c>
      <c r="K160" s="153"/>
      <c r="V160" s="25">
        <f t="shared" si="25"/>
        <v>0</v>
      </c>
      <c r="W160" s="25">
        <f t="shared" si="26"/>
        <v>1</v>
      </c>
    </row>
    <row r="161" spans="1:23" x14ac:dyDescent="0.3">
      <c r="A161" s="147"/>
      <c r="B161" s="205">
        <f t="shared" si="27"/>
        <v>6</v>
      </c>
      <c r="C161" s="206">
        <v>44720</v>
      </c>
      <c r="D161" s="161" t="s">
        <v>9</v>
      </c>
      <c r="E161" s="161" t="s">
        <v>301</v>
      </c>
      <c r="F161" s="207">
        <v>35450</v>
      </c>
      <c r="G161" s="207">
        <v>35300</v>
      </c>
      <c r="H161" s="161">
        <v>-150</v>
      </c>
      <c r="I161" s="207">
        <v>50</v>
      </c>
      <c r="J161" s="242">
        <f t="shared" si="24"/>
        <v>-7500</v>
      </c>
      <c r="K161" s="153"/>
      <c r="V161" s="25">
        <f t="shared" si="25"/>
        <v>0</v>
      </c>
      <c r="W161" s="25">
        <f t="shared" si="26"/>
        <v>1</v>
      </c>
    </row>
    <row r="162" spans="1:23" x14ac:dyDescent="0.3">
      <c r="A162" s="147"/>
      <c r="B162" s="205">
        <f t="shared" si="27"/>
        <v>7</v>
      </c>
      <c r="C162" s="206">
        <v>44721</v>
      </c>
      <c r="D162" s="161" t="s">
        <v>9</v>
      </c>
      <c r="E162" s="161" t="s">
        <v>301</v>
      </c>
      <c r="F162" s="207">
        <v>34800</v>
      </c>
      <c r="G162" s="207">
        <v>35100</v>
      </c>
      <c r="H162" s="161">
        <v>300</v>
      </c>
      <c r="I162" s="207">
        <v>50</v>
      </c>
      <c r="J162" s="242">
        <f t="shared" si="24"/>
        <v>15000</v>
      </c>
      <c r="K162" s="153"/>
      <c r="V162" s="25">
        <f t="shared" si="25"/>
        <v>1</v>
      </c>
      <c r="W162" s="25">
        <f t="shared" si="26"/>
        <v>0</v>
      </c>
    </row>
    <row r="163" spans="1:23" x14ac:dyDescent="0.3">
      <c r="A163" s="147"/>
      <c r="B163" s="205">
        <f t="shared" si="27"/>
        <v>8</v>
      </c>
      <c r="C163" s="206">
        <v>44722</v>
      </c>
      <c r="D163" s="161" t="s">
        <v>8</v>
      </c>
      <c r="E163" s="161" t="s">
        <v>301</v>
      </c>
      <c r="F163" s="207">
        <v>34700</v>
      </c>
      <c r="G163" s="207">
        <v>34450</v>
      </c>
      <c r="H163" s="161">
        <f>34700-34450</f>
        <v>250</v>
      </c>
      <c r="I163" s="207">
        <v>50</v>
      </c>
      <c r="J163" s="242">
        <f t="shared" si="24"/>
        <v>12500</v>
      </c>
      <c r="K163" s="153"/>
      <c r="V163" s="25">
        <f t="shared" si="25"/>
        <v>1</v>
      </c>
      <c r="W163" s="25">
        <f t="shared" si="26"/>
        <v>0</v>
      </c>
    </row>
    <row r="164" spans="1:23" x14ac:dyDescent="0.3">
      <c r="A164" s="147"/>
      <c r="B164" s="205">
        <f t="shared" si="27"/>
        <v>9</v>
      </c>
      <c r="C164" s="206">
        <v>44725</v>
      </c>
      <c r="D164" s="161" t="s">
        <v>9</v>
      </c>
      <c r="E164" s="161" t="s">
        <v>301</v>
      </c>
      <c r="F164" s="207">
        <v>33400</v>
      </c>
      <c r="G164" s="207">
        <v>33450</v>
      </c>
      <c r="H164" s="161">
        <v>50</v>
      </c>
      <c r="I164" s="207">
        <v>50</v>
      </c>
      <c r="J164" s="242">
        <f t="shared" si="24"/>
        <v>2500</v>
      </c>
      <c r="K164" s="153"/>
      <c r="V164" s="25">
        <f t="shared" si="25"/>
        <v>1</v>
      </c>
      <c r="W164" s="25">
        <f t="shared" si="26"/>
        <v>0</v>
      </c>
    </row>
    <row r="165" spans="1:23" x14ac:dyDescent="0.3">
      <c r="A165" s="147"/>
      <c r="B165" s="205">
        <f t="shared" si="27"/>
        <v>10</v>
      </c>
      <c r="C165" s="206">
        <v>44726</v>
      </c>
      <c r="D165" s="161" t="s">
        <v>9</v>
      </c>
      <c r="E165" s="161" t="s">
        <v>301</v>
      </c>
      <c r="F165" s="207">
        <v>33350</v>
      </c>
      <c r="G165" s="207">
        <v>33650</v>
      </c>
      <c r="H165" s="161">
        <v>300</v>
      </c>
      <c r="I165" s="207">
        <v>50</v>
      </c>
      <c r="J165" s="242">
        <f t="shared" si="24"/>
        <v>15000</v>
      </c>
      <c r="K165" s="153"/>
      <c r="V165" s="25">
        <f t="shared" si="25"/>
        <v>1</v>
      </c>
      <c r="W165" s="25">
        <f t="shared" si="26"/>
        <v>0</v>
      </c>
    </row>
    <row r="166" spans="1:23" x14ac:dyDescent="0.3">
      <c r="A166" s="147"/>
      <c r="B166" s="205">
        <f t="shared" si="27"/>
        <v>11</v>
      </c>
      <c r="C166" s="206">
        <v>44727</v>
      </c>
      <c r="D166" s="161" t="s">
        <v>9</v>
      </c>
      <c r="E166" s="161" t="s">
        <v>301</v>
      </c>
      <c r="F166" s="207">
        <v>33350</v>
      </c>
      <c r="G166" s="207">
        <v>33540</v>
      </c>
      <c r="H166" s="161">
        <v>200</v>
      </c>
      <c r="I166" s="207">
        <v>50</v>
      </c>
      <c r="J166" s="242">
        <f t="shared" si="24"/>
        <v>10000</v>
      </c>
      <c r="K166" s="153"/>
      <c r="V166" s="25">
        <f t="shared" si="25"/>
        <v>1</v>
      </c>
      <c r="W166" s="25">
        <f t="shared" si="26"/>
        <v>0</v>
      </c>
    </row>
    <row r="167" spans="1:23" x14ac:dyDescent="0.3">
      <c r="A167" s="147"/>
      <c r="B167" s="205">
        <f t="shared" si="27"/>
        <v>12</v>
      </c>
      <c r="C167" s="206">
        <v>44728</v>
      </c>
      <c r="D167" s="161" t="s">
        <v>8</v>
      </c>
      <c r="E167" s="161" t="s">
        <v>301</v>
      </c>
      <c r="F167" s="207">
        <v>33650</v>
      </c>
      <c r="G167" s="207">
        <v>33350</v>
      </c>
      <c r="H167" s="161">
        <v>300</v>
      </c>
      <c r="I167" s="207">
        <v>50</v>
      </c>
      <c r="J167" s="242">
        <f t="shared" si="24"/>
        <v>15000</v>
      </c>
      <c r="K167" s="153"/>
      <c r="V167" s="25">
        <f t="shared" si="25"/>
        <v>1</v>
      </c>
      <c r="W167" s="25">
        <f t="shared" si="26"/>
        <v>0</v>
      </c>
    </row>
    <row r="168" spans="1:23" x14ac:dyDescent="0.3">
      <c r="A168" s="147"/>
      <c r="B168" s="205">
        <f t="shared" si="27"/>
        <v>13</v>
      </c>
      <c r="C168" s="206">
        <v>44729</v>
      </c>
      <c r="D168" s="161" t="s">
        <v>9</v>
      </c>
      <c r="E168" s="161" t="s">
        <v>301</v>
      </c>
      <c r="F168" s="207">
        <v>32700</v>
      </c>
      <c r="G168" s="207">
        <v>32900</v>
      </c>
      <c r="H168" s="161">
        <v>200</v>
      </c>
      <c r="I168" s="207">
        <v>50</v>
      </c>
      <c r="J168" s="242">
        <f t="shared" si="24"/>
        <v>10000</v>
      </c>
      <c r="K168" s="153"/>
      <c r="V168" s="25">
        <f t="shared" si="25"/>
        <v>1</v>
      </c>
      <c r="W168" s="25">
        <f t="shared" si="26"/>
        <v>0</v>
      </c>
    </row>
    <row r="169" spans="1:23" x14ac:dyDescent="0.3">
      <c r="A169" s="147"/>
      <c r="B169" s="205">
        <f t="shared" si="27"/>
        <v>14</v>
      </c>
      <c r="C169" s="206">
        <v>44732</v>
      </c>
      <c r="D169" s="161" t="s">
        <v>9</v>
      </c>
      <c r="E169" s="161" t="s">
        <v>301</v>
      </c>
      <c r="F169" s="207">
        <v>32800</v>
      </c>
      <c r="G169" s="207">
        <v>32890</v>
      </c>
      <c r="H169" s="161">
        <v>90</v>
      </c>
      <c r="I169" s="207">
        <v>50</v>
      </c>
      <c r="J169" s="242">
        <f t="shared" si="24"/>
        <v>4500</v>
      </c>
      <c r="K169" s="153"/>
      <c r="V169" s="25">
        <f t="shared" si="25"/>
        <v>1</v>
      </c>
      <c r="W169" s="25">
        <f t="shared" si="26"/>
        <v>0</v>
      </c>
    </row>
    <row r="170" spans="1:23" x14ac:dyDescent="0.3">
      <c r="A170" s="147"/>
      <c r="B170" s="205">
        <f t="shared" si="27"/>
        <v>15</v>
      </c>
      <c r="C170" s="206">
        <v>44733</v>
      </c>
      <c r="D170" s="161" t="s">
        <v>9</v>
      </c>
      <c r="E170" s="161" t="s">
        <v>301</v>
      </c>
      <c r="F170" s="207">
        <v>32950</v>
      </c>
      <c r="G170" s="207">
        <v>33250</v>
      </c>
      <c r="H170" s="161">
        <v>300</v>
      </c>
      <c r="I170" s="207">
        <v>50</v>
      </c>
      <c r="J170" s="242">
        <f t="shared" si="24"/>
        <v>15000</v>
      </c>
      <c r="K170" s="153"/>
      <c r="V170" s="25">
        <f t="shared" si="25"/>
        <v>1</v>
      </c>
      <c r="W170" s="25">
        <f t="shared" si="26"/>
        <v>0</v>
      </c>
    </row>
    <row r="171" spans="1:23" x14ac:dyDescent="0.3">
      <c r="A171" s="147"/>
      <c r="B171" s="205">
        <f t="shared" si="27"/>
        <v>16</v>
      </c>
      <c r="C171" s="206">
        <v>44734</v>
      </c>
      <c r="D171" s="161" t="s">
        <v>9</v>
      </c>
      <c r="E171" s="161" t="s">
        <v>301</v>
      </c>
      <c r="F171" s="207">
        <v>32900</v>
      </c>
      <c r="G171" s="207">
        <v>33050</v>
      </c>
      <c r="H171" s="161">
        <v>150</v>
      </c>
      <c r="I171" s="207">
        <v>50</v>
      </c>
      <c r="J171" s="242">
        <f t="shared" si="24"/>
        <v>7500</v>
      </c>
      <c r="K171" s="153"/>
      <c r="V171" s="25">
        <f t="shared" si="25"/>
        <v>1</v>
      </c>
      <c r="W171" s="25">
        <f t="shared" si="26"/>
        <v>0</v>
      </c>
    </row>
    <row r="172" spans="1:23" x14ac:dyDescent="0.3">
      <c r="A172" s="147"/>
      <c r="B172" s="205">
        <f t="shared" si="27"/>
        <v>17</v>
      </c>
      <c r="C172" s="206">
        <v>44735</v>
      </c>
      <c r="D172" s="161" t="s">
        <v>9</v>
      </c>
      <c r="E172" s="161" t="s">
        <v>301</v>
      </c>
      <c r="F172" s="207">
        <v>33350</v>
      </c>
      <c r="G172" s="207">
        <v>33444</v>
      </c>
      <c r="H172" s="161">
        <f>33444-33350</f>
        <v>94</v>
      </c>
      <c r="I172" s="207">
        <v>50</v>
      </c>
      <c r="J172" s="242">
        <f t="shared" si="24"/>
        <v>4700</v>
      </c>
      <c r="K172" s="153"/>
      <c r="V172" s="25">
        <f t="shared" si="25"/>
        <v>1</v>
      </c>
      <c r="W172" s="25">
        <f t="shared" si="26"/>
        <v>0</v>
      </c>
    </row>
    <row r="173" spans="1:23" x14ac:dyDescent="0.3">
      <c r="A173" s="147"/>
      <c r="B173" s="205">
        <f t="shared" si="27"/>
        <v>18</v>
      </c>
      <c r="C173" s="206">
        <v>44736</v>
      </c>
      <c r="D173" s="161" t="s">
        <v>9</v>
      </c>
      <c r="E173" s="161" t="s">
        <v>301</v>
      </c>
      <c r="F173" s="207">
        <v>33550</v>
      </c>
      <c r="G173" s="207">
        <v>33700</v>
      </c>
      <c r="H173" s="161">
        <v>150</v>
      </c>
      <c r="I173" s="207">
        <v>50</v>
      </c>
      <c r="J173" s="242">
        <f t="shared" si="24"/>
        <v>7500</v>
      </c>
      <c r="K173" s="153"/>
      <c r="V173" s="25">
        <f t="shared" si="25"/>
        <v>1</v>
      </c>
      <c r="W173" s="25">
        <f t="shared" si="26"/>
        <v>0</v>
      </c>
    </row>
    <row r="174" spans="1:23" x14ac:dyDescent="0.3">
      <c r="A174" s="147"/>
      <c r="B174" s="205">
        <f t="shared" si="27"/>
        <v>19</v>
      </c>
      <c r="C174" s="206">
        <v>44739</v>
      </c>
      <c r="D174" s="161" t="s">
        <v>8</v>
      </c>
      <c r="E174" s="161" t="s">
        <v>301</v>
      </c>
      <c r="F174" s="207">
        <v>34000</v>
      </c>
      <c r="G174" s="207">
        <v>33805</v>
      </c>
      <c r="H174" s="161">
        <f>34000-33805</f>
        <v>195</v>
      </c>
      <c r="I174" s="207">
        <v>50</v>
      </c>
      <c r="J174" s="242">
        <f t="shared" si="24"/>
        <v>9750</v>
      </c>
      <c r="K174" s="153"/>
      <c r="V174" s="25">
        <f t="shared" si="25"/>
        <v>1</v>
      </c>
      <c r="W174" s="25">
        <f t="shared" si="26"/>
        <v>0</v>
      </c>
    </row>
    <row r="175" spans="1:23" x14ac:dyDescent="0.3">
      <c r="A175" s="147"/>
      <c r="B175" s="205">
        <f t="shared" si="27"/>
        <v>20</v>
      </c>
      <c r="C175" s="206">
        <v>44740</v>
      </c>
      <c r="D175" s="161" t="s">
        <v>8</v>
      </c>
      <c r="E175" s="161" t="s">
        <v>301</v>
      </c>
      <c r="F175" s="207">
        <v>33600</v>
      </c>
      <c r="G175" s="207">
        <v>33550</v>
      </c>
      <c r="H175" s="161">
        <f>33600-33550</f>
        <v>50</v>
      </c>
      <c r="I175" s="207">
        <v>50</v>
      </c>
      <c r="J175" s="242">
        <f t="shared" si="24"/>
        <v>2500</v>
      </c>
      <c r="K175" s="153"/>
      <c r="V175" s="25">
        <f t="shared" si="25"/>
        <v>1</v>
      </c>
      <c r="W175" s="25">
        <f t="shared" si="26"/>
        <v>0</v>
      </c>
    </row>
    <row r="176" spans="1:23" x14ac:dyDescent="0.3">
      <c r="A176" s="147"/>
      <c r="B176" s="205">
        <f t="shared" si="27"/>
        <v>21</v>
      </c>
      <c r="C176" s="206">
        <v>44741</v>
      </c>
      <c r="D176" s="161" t="s">
        <v>9</v>
      </c>
      <c r="E176" s="161" t="s">
        <v>301</v>
      </c>
      <c r="F176" s="207">
        <v>33250</v>
      </c>
      <c r="G176" s="207">
        <v>33400</v>
      </c>
      <c r="H176" s="161">
        <f>33400-33250</f>
        <v>150</v>
      </c>
      <c r="I176" s="207">
        <v>50</v>
      </c>
      <c r="J176" s="242">
        <f t="shared" si="24"/>
        <v>7500</v>
      </c>
      <c r="K176" s="153"/>
      <c r="V176" s="25">
        <f t="shared" si="25"/>
        <v>1</v>
      </c>
      <c r="W176" s="25">
        <f t="shared" si="26"/>
        <v>0</v>
      </c>
    </row>
    <row r="177" spans="1:23" x14ac:dyDescent="0.3">
      <c r="A177" s="147"/>
      <c r="B177" s="205">
        <f t="shared" si="27"/>
        <v>22</v>
      </c>
      <c r="C177" s="206">
        <v>44742</v>
      </c>
      <c r="D177" s="161" t="s">
        <v>9</v>
      </c>
      <c r="E177" s="161" t="s">
        <v>301</v>
      </c>
      <c r="F177" s="207">
        <v>33550</v>
      </c>
      <c r="G177" s="207">
        <v>33666</v>
      </c>
      <c r="H177" s="161">
        <f>33666-33550</f>
        <v>116</v>
      </c>
      <c r="I177" s="207">
        <v>50</v>
      </c>
      <c r="J177" s="242">
        <f t="shared" si="24"/>
        <v>5800</v>
      </c>
      <c r="K177" s="153"/>
      <c r="V177" s="25">
        <f t="shared" si="25"/>
        <v>1</v>
      </c>
      <c r="W177" s="25">
        <f t="shared" si="26"/>
        <v>0</v>
      </c>
    </row>
    <row r="178" spans="1:23" ht="15" thickBot="1" x14ac:dyDescent="0.35">
      <c r="A178" s="147"/>
      <c r="B178" s="208">
        <f t="shared" si="27"/>
        <v>23</v>
      </c>
      <c r="C178" s="209"/>
      <c r="D178" s="166"/>
      <c r="E178" s="166"/>
      <c r="F178" s="210"/>
      <c r="G178" s="210"/>
      <c r="H178" s="166"/>
      <c r="I178" s="210"/>
      <c r="J178" s="244">
        <f t="shared" si="24"/>
        <v>0</v>
      </c>
      <c r="K178" s="153"/>
      <c r="V178" s="25">
        <f t="shared" si="25"/>
        <v>0</v>
      </c>
      <c r="W178" s="25">
        <f t="shared" si="26"/>
        <v>0</v>
      </c>
    </row>
    <row r="179" spans="1:23" ht="24" thickBot="1" x14ac:dyDescent="0.5">
      <c r="A179" s="147"/>
      <c r="B179" s="370" t="s">
        <v>2254</v>
      </c>
      <c r="C179" s="371"/>
      <c r="D179" s="371"/>
      <c r="E179" s="371"/>
      <c r="F179" s="371"/>
      <c r="G179" s="371"/>
      <c r="H179" s="372"/>
      <c r="I179" s="211" t="s">
        <v>2255</v>
      </c>
      <c r="J179" s="212">
        <f>SUM(J156:J178)</f>
        <v>151250</v>
      </c>
      <c r="K179" s="153"/>
      <c r="V179" s="25">
        <f>SUM(V156:V178)</f>
        <v>20</v>
      </c>
      <c r="W179" s="25">
        <f>SUM(W156:W178)</f>
        <v>2</v>
      </c>
    </row>
    <row r="180" spans="1:23" ht="30" customHeight="1" thickBot="1" x14ac:dyDescent="0.35">
      <c r="A180" s="213"/>
      <c r="B180" s="172"/>
      <c r="C180" s="172"/>
      <c r="D180" s="172"/>
      <c r="E180" s="172"/>
      <c r="F180" s="172"/>
      <c r="G180" s="172"/>
      <c r="H180" s="235"/>
      <c r="I180" s="172"/>
      <c r="J180" s="235"/>
      <c r="K180" s="214"/>
    </row>
    <row r="181" spans="1:23" ht="15" thickBot="1" x14ac:dyDescent="0.35"/>
    <row r="182" spans="1:23" ht="30" customHeight="1" thickBot="1" x14ac:dyDescent="0.35">
      <c r="A182" s="198"/>
      <c r="B182" s="143"/>
      <c r="C182" s="143"/>
      <c r="D182" s="143"/>
      <c r="E182" s="143"/>
      <c r="F182" s="143"/>
      <c r="G182" s="143"/>
      <c r="H182" s="232"/>
      <c r="I182" s="143"/>
      <c r="J182" s="232"/>
      <c r="K182" s="199"/>
    </row>
    <row r="183" spans="1:23" ht="25.2" thickBot="1" x14ac:dyDescent="0.35">
      <c r="A183" s="147" t="s">
        <v>0</v>
      </c>
      <c r="B183" s="361" t="s">
        <v>2244</v>
      </c>
      <c r="C183" s="362"/>
      <c r="D183" s="362"/>
      <c r="E183" s="362"/>
      <c r="F183" s="362"/>
      <c r="G183" s="362"/>
      <c r="H183" s="362"/>
      <c r="I183" s="362"/>
      <c r="J183" s="363"/>
      <c r="K183" s="153"/>
    </row>
    <row r="184" spans="1:23" ht="16.2" thickBot="1" x14ac:dyDescent="0.35">
      <c r="A184" s="147"/>
      <c r="B184" s="364" t="s">
        <v>3822</v>
      </c>
      <c r="C184" s="365"/>
      <c r="D184" s="365"/>
      <c r="E184" s="365"/>
      <c r="F184" s="365"/>
      <c r="G184" s="365"/>
      <c r="H184" s="365"/>
      <c r="I184" s="365"/>
      <c r="J184" s="366"/>
      <c r="K184" s="153"/>
    </row>
    <row r="185" spans="1:23" ht="16.2" thickBot="1" x14ac:dyDescent="0.35">
      <c r="A185" s="147"/>
      <c r="B185" s="367" t="s">
        <v>1152</v>
      </c>
      <c r="C185" s="368"/>
      <c r="D185" s="368"/>
      <c r="E185" s="368"/>
      <c r="F185" s="368"/>
      <c r="G185" s="368"/>
      <c r="H185" s="368"/>
      <c r="I185" s="368"/>
      <c r="J185" s="369"/>
      <c r="K185" s="153"/>
    </row>
    <row r="186" spans="1:23" ht="15" thickBot="1" x14ac:dyDescent="0.35">
      <c r="A186" s="175"/>
      <c r="B186" s="178" t="s">
        <v>2248</v>
      </c>
      <c r="C186" s="179" t="s">
        <v>1</v>
      </c>
      <c r="D186" s="180" t="s">
        <v>5</v>
      </c>
      <c r="E186" s="180" t="s">
        <v>6</v>
      </c>
      <c r="F186" s="181" t="s">
        <v>2249</v>
      </c>
      <c r="G186" s="181" t="s">
        <v>2250</v>
      </c>
      <c r="H186" s="239" t="s">
        <v>2251</v>
      </c>
      <c r="I186" s="181" t="s">
        <v>2257</v>
      </c>
      <c r="J186" s="245" t="s">
        <v>4</v>
      </c>
      <c r="K186" s="176"/>
      <c r="L186" s="215"/>
      <c r="V186" s="201" t="s">
        <v>454</v>
      </c>
      <c r="W186" s="201" t="s">
        <v>455</v>
      </c>
    </row>
    <row r="187" spans="1:23" x14ac:dyDescent="0.3">
      <c r="A187" s="147"/>
      <c r="B187" s="217">
        <v>1</v>
      </c>
      <c r="C187" s="218">
        <v>44713</v>
      </c>
      <c r="D187" s="185" t="s">
        <v>9</v>
      </c>
      <c r="E187" s="185" t="s">
        <v>3423</v>
      </c>
      <c r="F187" s="219">
        <v>280</v>
      </c>
      <c r="G187" s="219">
        <v>180</v>
      </c>
      <c r="H187" s="185">
        <v>-100</v>
      </c>
      <c r="I187" s="219">
        <v>100</v>
      </c>
      <c r="J187" s="246">
        <f t="shared" ref="J187:J209" si="28">I187*H187</f>
        <v>-10000</v>
      </c>
      <c r="K187" s="153"/>
      <c r="V187" s="25">
        <f>IF($J187&gt;0,1,0)</f>
        <v>0</v>
      </c>
      <c r="W187" s="25">
        <f>IF($J187&lt;0,1,0)</f>
        <v>1</v>
      </c>
    </row>
    <row r="188" spans="1:23" x14ac:dyDescent="0.3">
      <c r="A188" s="147"/>
      <c r="B188" s="205">
        <f>B187+1</f>
        <v>2</v>
      </c>
      <c r="C188" s="218">
        <v>44714</v>
      </c>
      <c r="D188" s="185" t="s">
        <v>9</v>
      </c>
      <c r="E188" s="185" t="s">
        <v>3423</v>
      </c>
      <c r="F188" s="219">
        <v>200</v>
      </c>
      <c r="G188" s="219">
        <v>188</v>
      </c>
      <c r="H188" s="185">
        <v>-12</v>
      </c>
      <c r="I188" s="219">
        <v>100</v>
      </c>
      <c r="J188" s="242">
        <f t="shared" si="28"/>
        <v>-1200</v>
      </c>
      <c r="K188" s="153"/>
      <c r="V188" s="25">
        <f t="shared" ref="V188:V209" si="29">IF($J188&gt;0,1,0)</f>
        <v>0</v>
      </c>
      <c r="W188" s="25">
        <f t="shared" ref="W188:W209" si="30">IF($J188&lt;0,1,0)</f>
        <v>1</v>
      </c>
    </row>
    <row r="189" spans="1:23" x14ac:dyDescent="0.3">
      <c r="A189" s="147"/>
      <c r="B189" s="205">
        <f t="shared" ref="B189:B209" si="31">B188+1</f>
        <v>3</v>
      </c>
      <c r="C189" s="206">
        <v>44715</v>
      </c>
      <c r="D189" s="161" t="s">
        <v>9</v>
      </c>
      <c r="E189" s="161" t="s">
        <v>3233</v>
      </c>
      <c r="F189" s="207">
        <v>440</v>
      </c>
      <c r="G189" s="207">
        <v>640</v>
      </c>
      <c r="H189" s="161">
        <v>200</v>
      </c>
      <c r="I189" s="207">
        <v>100</v>
      </c>
      <c r="J189" s="242">
        <f t="shared" si="28"/>
        <v>20000</v>
      </c>
      <c r="K189" s="153"/>
      <c r="V189" s="25">
        <f t="shared" si="29"/>
        <v>1</v>
      </c>
      <c r="W189" s="25">
        <f t="shared" si="30"/>
        <v>0</v>
      </c>
    </row>
    <row r="190" spans="1:23" x14ac:dyDescent="0.3">
      <c r="A190" s="147"/>
      <c r="B190" s="205">
        <f t="shared" si="31"/>
        <v>4</v>
      </c>
      <c r="C190" s="206">
        <v>44718</v>
      </c>
      <c r="D190" s="161" t="s">
        <v>9</v>
      </c>
      <c r="E190" s="161" t="s">
        <v>3280</v>
      </c>
      <c r="F190" s="207">
        <v>350</v>
      </c>
      <c r="G190" s="207">
        <v>450</v>
      </c>
      <c r="H190" s="161">
        <v>100</v>
      </c>
      <c r="I190" s="207">
        <v>100</v>
      </c>
      <c r="J190" s="242">
        <f t="shared" si="28"/>
        <v>10000</v>
      </c>
      <c r="K190" s="153"/>
      <c r="V190" s="25">
        <f t="shared" si="29"/>
        <v>1</v>
      </c>
      <c r="W190" s="25">
        <f t="shared" si="30"/>
        <v>0</v>
      </c>
    </row>
    <row r="191" spans="1:23" x14ac:dyDescent="0.3">
      <c r="A191" s="147"/>
      <c r="B191" s="205">
        <f t="shared" si="31"/>
        <v>5</v>
      </c>
      <c r="C191" s="206">
        <v>44719</v>
      </c>
      <c r="D191" s="161" t="s">
        <v>9</v>
      </c>
      <c r="E191" s="161" t="s">
        <v>3254</v>
      </c>
      <c r="F191" s="207">
        <v>300</v>
      </c>
      <c r="G191" s="207">
        <v>200</v>
      </c>
      <c r="H191" s="161">
        <v>-100</v>
      </c>
      <c r="I191" s="207">
        <v>100</v>
      </c>
      <c r="J191" s="242">
        <f t="shared" si="28"/>
        <v>-10000</v>
      </c>
      <c r="K191" s="153"/>
      <c r="O191" s="25" t="s">
        <v>2008</v>
      </c>
      <c r="V191" s="25">
        <f t="shared" si="29"/>
        <v>0</v>
      </c>
      <c r="W191" s="25">
        <f t="shared" si="30"/>
        <v>1</v>
      </c>
    </row>
    <row r="192" spans="1:23" x14ac:dyDescent="0.3">
      <c r="A192" s="147"/>
      <c r="B192" s="205">
        <f t="shared" si="31"/>
        <v>6</v>
      </c>
      <c r="C192" s="206">
        <v>44720</v>
      </c>
      <c r="D192" s="161" t="s">
        <v>9</v>
      </c>
      <c r="E192" s="161" t="s">
        <v>3280</v>
      </c>
      <c r="F192" s="207">
        <v>230</v>
      </c>
      <c r="G192" s="207">
        <v>260</v>
      </c>
      <c r="H192" s="161">
        <v>30</v>
      </c>
      <c r="I192" s="207">
        <v>100</v>
      </c>
      <c r="J192" s="242">
        <f t="shared" si="28"/>
        <v>3000</v>
      </c>
      <c r="K192" s="153"/>
      <c r="V192" s="25">
        <f t="shared" si="29"/>
        <v>1</v>
      </c>
      <c r="W192" s="25">
        <f t="shared" si="30"/>
        <v>0</v>
      </c>
    </row>
    <row r="193" spans="1:23" x14ac:dyDescent="0.3">
      <c r="A193" s="147"/>
      <c r="B193" s="205">
        <f t="shared" si="31"/>
        <v>7</v>
      </c>
      <c r="C193" s="206">
        <v>44721</v>
      </c>
      <c r="D193" s="161" t="s">
        <v>9</v>
      </c>
      <c r="E193" s="161" t="s">
        <v>3412</v>
      </c>
      <c r="F193" s="207">
        <v>200</v>
      </c>
      <c r="G193" s="207">
        <v>400</v>
      </c>
      <c r="H193" s="161">
        <v>200</v>
      </c>
      <c r="I193" s="207">
        <v>100</v>
      </c>
      <c r="J193" s="242">
        <f t="shared" si="28"/>
        <v>20000</v>
      </c>
      <c r="K193" s="153"/>
      <c r="V193" s="25">
        <f t="shared" si="29"/>
        <v>1</v>
      </c>
      <c r="W193" s="25">
        <f t="shared" si="30"/>
        <v>0</v>
      </c>
    </row>
    <row r="194" spans="1:23" x14ac:dyDescent="0.3">
      <c r="A194" s="147"/>
      <c r="B194" s="205">
        <f t="shared" si="31"/>
        <v>8</v>
      </c>
      <c r="C194" s="206">
        <v>44722</v>
      </c>
      <c r="D194" s="161" t="s">
        <v>9</v>
      </c>
      <c r="E194" s="161" t="s">
        <v>3285</v>
      </c>
      <c r="F194" s="207">
        <v>370</v>
      </c>
      <c r="G194" s="207">
        <v>510</v>
      </c>
      <c r="H194" s="161">
        <f>510-370</f>
        <v>140</v>
      </c>
      <c r="I194" s="207">
        <v>100</v>
      </c>
      <c r="J194" s="242">
        <f t="shared" si="28"/>
        <v>14000</v>
      </c>
      <c r="K194" s="153"/>
      <c r="V194" s="25">
        <f t="shared" si="29"/>
        <v>1</v>
      </c>
      <c r="W194" s="25">
        <f t="shared" si="30"/>
        <v>0</v>
      </c>
    </row>
    <row r="195" spans="1:23" x14ac:dyDescent="0.3">
      <c r="A195" s="147"/>
      <c r="B195" s="205">
        <f t="shared" si="31"/>
        <v>9</v>
      </c>
      <c r="C195" s="206">
        <v>44725</v>
      </c>
      <c r="D195" s="161" t="s">
        <v>9</v>
      </c>
      <c r="E195" s="161" t="s">
        <v>3344</v>
      </c>
      <c r="F195" s="207">
        <v>350</v>
      </c>
      <c r="G195" s="207">
        <v>403</v>
      </c>
      <c r="H195" s="161">
        <f>403-350</f>
        <v>53</v>
      </c>
      <c r="I195" s="207">
        <v>100</v>
      </c>
      <c r="J195" s="242">
        <f t="shared" si="28"/>
        <v>5300</v>
      </c>
      <c r="K195" s="153"/>
      <c r="V195" s="25">
        <f t="shared" si="29"/>
        <v>1</v>
      </c>
      <c r="W195" s="25">
        <f t="shared" si="30"/>
        <v>0</v>
      </c>
    </row>
    <row r="196" spans="1:23" x14ac:dyDescent="0.3">
      <c r="A196" s="147"/>
      <c r="B196" s="205">
        <f t="shared" si="31"/>
        <v>10</v>
      </c>
      <c r="C196" s="206">
        <v>44726</v>
      </c>
      <c r="D196" s="161" t="s">
        <v>9</v>
      </c>
      <c r="E196" s="161" t="s">
        <v>3344</v>
      </c>
      <c r="F196" s="207">
        <v>300</v>
      </c>
      <c r="G196" s="207">
        <v>450</v>
      </c>
      <c r="H196" s="161">
        <v>150</v>
      </c>
      <c r="I196" s="207">
        <v>100</v>
      </c>
      <c r="J196" s="242">
        <f t="shared" si="28"/>
        <v>15000</v>
      </c>
      <c r="K196" s="153"/>
      <c r="V196" s="25">
        <f t="shared" si="29"/>
        <v>1</v>
      </c>
      <c r="W196" s="25">
        <f t="shared" si="30"/>
        <v>0</v>
      </c>
    </row>
    <row r="197" spans="1:23" x14ac:dyDescent="0.3">
      <c r="A197" s="147"/>
      <c r="B197" s="205">
        <f t="shared" si="31"/>
        <v>11</v>
      </c>
      <c r="C197" s="206">
        <v>44727</v>
      </c>
      <c r="D197" s="161" t="s">
        <v>9</v>
      </c>
      <c r="E197" s="161" t="s">
        <v>3309</v>
      </c>
      <c r="F197" s="207">
        <v>330</v>
      </c>
      <c r="G197" s="207">
        <v>470</v>
      </c>
      <c r="H197" s="161">
        <f>470-330</f>
        <v>140</v>
      </c>
      <c r="I197" s="207">
        <v>100</v>
      </c>
      <c r="J197" s="242">
        <f t="shared" si="28"/>
        <v>14000</v>
      </c>
      <c r="K197" s="153"/>
      <c r="V197" s="25">
        <f t="shared" si="29"/>
        <v>1</v>
      </c>
      <c r="W197" s="25">
        <f t="shared" si="30"/>
        <v>0</v>
      </c>
    </row>
    <row r="198" spans="1:23" x14ac:dyDescent="0.3">
      <c r="A198" s="147"/>
      <c r="B198" s="205">
        <f t="shared" si="31"/>
        <v>12</v>
      </c>
      <c r="C198" s="206">
        <v>44728</v>
      </c>
      <c r="D198" s="161" t="s">
        <v>9</v>
      </c>
      <c r="E198" s="161" t="s">
        <v>3353</v>
      </c>
      <c r="F198" s="207">
        <v>240</v>
      </c>
      <c r="G198" s="207">
        <v>440</v>
      </c>
      <c r="H198" s="161">
        <v>200</v>
      </c>
      <c r="I198" s="207">
        <v>100</v>
      </c>
      <c r="J198" s="242">
        <f t="shared" si="28"/>
        <v>20000</v>
      </c>
      <c r="K198" s="153"/>
      <c r="V198" s="25">
        <f t="shared" si="29"/>
        <v>1</v>
      </c>
      <c r="W198" s="25">
        <f t="shared" si="30"/>
        <v>0</v>
      </c>
    </row>
    <row r="199" spans="1:23" x14ac:dyDescent="0.3">
      <c r="A199" s="147"/>
      <c r="B199" s="205">
        <f t="shared" si="31"/>
        <v>13</v>
      </c>
      <c r="C199" s="206">
        <v>44729</v>
      </c>
      <c r="D199" s="161" t="s">
        <v>9</v>
      </c>
      <c r="E199" s="161" t="s">
        <v>3307</v>
      </c>
      <c r="F199" s="207">
        <v>400</v>
      </c>
      <c r="G199" s="207">
        <v>485</v>
      </c>
      <c r="H199" s="161">
        <v>85</v>
      </c>
      <c r="I199" s="207">
        <v>100</v>
      </c>
      <c r="J199" s="242">
        <f t="shared" si="28"/>
        <v>8500</v>
      </c>
      <c r="K199" s="153"/>
      <c r="V199" s="25">
        <f t="shared" si="29"/>
        <v>1</v>
      </c>
      <c r="W199" s="25">
        <f t="shared" si="30"/>
        <v>0</v>
      </c>
    </row>
    <row r="200" spans="1:23" x14ac:dyDescent="0.3">
      <c r="A200" s="147"/>
      <c r="B200" s="205">
        <f t="shared" si="31"/>
        <v>14</v>
      </c>
      <c r="C200" s="206">
        <v>44732</v>
      </c>
      <c r="D200" s="161" t="s">
        <v>9</v>
      </c>
      <c r="E200" s="161" t="s">
        <v>3307</v>
      </c>
      <c r="F200" s="207">
        <v>340</v>
      </c>
      <c r="G200" s="207">
        <v>400</v>
      </c>
      <c r="H200" s="161">
        <v>60</v>
      </c>
      <c r="I200" s="207">
        <v>100</v>
      </c>
      <c r="J200" s="242">
        <f t="shared" si="28"/>
        <v>6000</v>
      </c>
      <c r="K200" s="153"/>
      <c r="V200" s="25">
        <f t="shared" si="29"/>
        <v>1</v>
      </c>
      <c r="W200" s="25">
        <f t="shared" si="30"/>
        <v>0</v>
      </c>
    </row>
    <row r="201" spans="1:23" x14ac:dyDescent="0.3">
      <c r="A201" s="147"/>
      <c r="B201" s="205">
        <f t="shared" si="31"/>
        <v>15</v>
      </c>
      <c r="C201" s="206">
        <v>44733</v>
      </c>
      <c r="D201" s="161" t="s">
        <v>9</v>
      </c>
      <c r="E201" s="161" t="s">
        <v>3310</v>
      </c>
      <c r="F201" s="207">
        <v>300</v>
      </c>
      <c r="G201" s="207">
        <v>500</v>
      </c>
      <c r="H201" s="161">
        <v>200</v>
      </c>
      <c r="I201" s="207">
        <v>100</v>
      </c>
      <c r="J201" s="242">
        <f t="shared" si="28"/>
        <v>20000</v>
      </c>
      <c r="K201" s="153"/>
      <c r="V201" s="25">
        <f t="shared" si="29"/>
        <v>1</v>
      </c>
      <c r="W201" s="25">
        <f t="shared" si="30"/>
        <v>0</v>
      </c>
    </row>
    <row r="202" spans="1:23" x14ac:dyDescent="0.3">
      <c r="A202" s="147"/>
      <c r="B202" s="205">
        <f t="shared" si="31"/>
        <v>16</v>
      </c>
      <c r="C202" s="206">
        <v>44734</v>
      </c>
      <c r="D202" s="161" t="s">
        <v>9</v>
      </c>
      <c r="E202" s="161" t="s">
        <v>3336</v>
      </c>
      <c r="F202" s="207">
        <v>320</v>
      </c>
      <c r="G202" s="207">
        <v>420</v>
      </c>
      <c r="H202" s="161">
        <v>100</v>
      </c>
      <c r="I202" s="207">
        <v>100</v>
      </c>
      <c r="J202" s="242">
        <f t="shared" si="28"/>
        <v>10000</v>
      </c>
      <c r="K202" s="153"/>
      <c r="V202" s="25">
        <f t="shared" si="29"/>
        <v>1</v>
      </c>
      <c r="W202" s="25">
        <f t="shared" si="30"/>
        <v>0</v>
      </c>
    </row>
    <row r="203" spans="1:23" x14ac:dyDescent="0.3">
      <c r="A203" s="147"/>
      <c r="B203" s="205">
        <f t="shared" si="31"/>
        <v>17</v>
      </c>
      <c r="C203" s="206">
        <v>44735</v>
      </c>
      <c r="D203" s="161" t="s">
        <v>9</v>
      </c>
      <c r="E203" s="161" t="s">
        <v>3309</v>
      </c>
      <c r="F203" s="207">
        <v>250</v>
      </c>
      <c r="G203" s="207">
        <v>290</v>
      </c>
      <c r="H203" s="161">
        <v>40</v>
      </c>
      <c r="I203" s="207">
        <v>100</v>
      </c>
      <c r="J203" s="242">
        <f t="shared" si="28"/>
        <v>4000</v>
      </c>
      <c r="K203" s="153"/>
      <c r="V203" s="25">
        <f t="shared" si="29"/>
        <v>1</v>
      </c>
      <c r="W203" s="25">
        <f t="shared" si="30"/>
        <v>0</v>
      </c>
    </row>
    <row r="204" spans="1:23" x14ac:dyDescent="0.3">
      <c r="A204" s="147"/>
      <c r="B204" s="205">
        <f t="shared" si="31"/>
        <v>18</v>
      </c>
      <c r="C204" s="206">
        <v>44736</v>
      </c>
      <c r="D204" s="161" t="s">
        <v>9</v>
      </c>
      <c r="E204" s="161" t="s">
        <v>3839</v>
      </c>
      <c r="F204" s="207">
        <v>420</v>
      </c>
      <c r="G204" s="207">
        <v>478</v>
      </c>
      <c r="H204" s="161">
        <f>478-420</f>
        <v>58</v>
      </c>
      <c r="I204" s="207">
        <v>100</v>
      </c>
      <c r="J204" s="242">
        <f t="shared" si="28"/>
        <v>5800</v>
      </c>
      <c r="K204" s="153"/>
      <c r="V204" s="25">
        <f t="shared" si="29"/>
        <v>1</v>
      </c>
      <c r="W204" s="25">
        <f t="shared" si="30"/>
        <v>0</v>
      </c>
    </row>
    <row r="205" spans="1:23" x14ac:dyDescent="0.3">
      <c r="A205" s="147"/>
      <c r="B205" s="205">
        <f t="shared" si="31"/>
        <v>19</v>
      </c>
      <c r="C205" s="206">
        <v>44739</v>
      </c>
      <c r="D205" s="161" t="s">
        <v>9</v>
      </c>
      <c r="E205" s="161" t="s">
        <v>3792</v>
      </c>
      <c r="F205" s="207">
        <v>380</v>
      </c>
      <c r="G205" s="207">
        <v>471</v>
      </c>
      <c r="H205" s="161">
        <f>471-380</f>
        <v>91</v>
      </c>
      <c r="I205" s="207">
        <v>100</v>
      </c>
      <c r="J205" s="242">
        <f t="shared" si="28"/>
        <v>9100</v>
      </c>
      <c r="K205" s="153"/>
      <c r="V205" s="25">
        <f t="shared" si="29"/>
        <v>1</v>
      </c>
      <c r="W205" s="25">
        <f t="shared" si="30"/>
        <v>0</v>
      </c>
    </row>
    <row r="206" spans="1:23" x14ac:dyDescent="0.3">
      <c r="A206" s="147"/>
      <c r="B206" s="205">
        <f t="shared" si="31"/>
        <v>20</v>
      </c>
      <c r="C206" s="206">
        <v>44740</v>
      </c>
      <c r="D206" s="161" t="s">
        <v>9</v>
      </c>
      <c r="E206" s="161" t="s">
        <v>3805</v>
      </c>
      <c r="F206" s="207">
        <v>310</v>
      </c>
      <c r="G206" s="207">
        <v>270</v>
      </c>
      <c r="H206" s="161">
        <v>-40</v>
      </c>
      <c r="I206" s="207">
        <v>100</v>
      </c>
      <c r="J206" s="242">
        <f t="shared" si="28"/>
        <v>-4000</v>
      </c>
      <c r="K206" s="153"/>
      <c r="V206" s="25">
        <f t="shared" si="29"/>
        <v>0</v>
      </c>
      <c r="W206" s="25">
        <f t="shared" si="30"/>
        <v>1</v>
      </c>
    </row>
    <row r="207" spans="1:23" x14ac:dyDescent="0.3">
      <c r="A207" s="147"/>
      <c r="B207" s="205">
        <f t="shared" si="31"/>
        <v>21</v>
      </c>
      <c r="C207" s="206">
        <v>44741</v>
      </c>
      <c r="D207" s="161" t="s">
        <v>9</v>
      </c>
      <c r="E207" s="161" t="s">
        <v>3309</v>
      </c>
      <c r="F207" s="207">
        <v>270</v>
      </c>
      <c r="G207" s="207">
        <v>370</v>
      </c>
      <c r="H207" s="161">
        <v>100</v>
      </c>
      <c r="I207" s="207">
        <v>100</v>
      </c>
      <c r="J207" s="242">
        <f t="shared" si="28"/>
        <v>10000</v>
      </c>
      <c r="K207" s="153"/>
      <c r="V207" s="25">
        <f t="shared" si="29"/>
        <v>1</v>
      </c>
      <c r="W207" s="25">
        <f t="shared" si="30"/>
        <v>0</v>
      </c>
    </row>
    <row r="208" spans="1:23" x14ac:dyDescent="0.3">
      <c r="A208" s="147"/>
      <c r="B208" s="205">
        <f t="shared" si="31"/>
        <v>22</v>
      </c>
      <c r="C208" s="206">
        <v>44742</v>
      </c>
      <c r="D208" s="161" t="s">
        <v>9</v>
      </c>
      <c r="E208" s="161" t="s">
        <v>3847</v>
      </c>
      <c r="F208" s="207">
        <v>190</v>
      </c>
      <c r="G208" s="207">
        <v>290</v>
      </c>
      <c r="H208" s="161">
        <v>100</v>
      </c>
      <c r="I208" s="207">
        <v>100</v>
      </c>
      <c r="J208" s="242">
        <f t="shared" si="28"/>
        <v>10000</v>
      </c>
      <c r="K208" s="153"/>
      <c r="V208" s="25">
        <f t="shared" si="29"/>
        <v>1</v>
      </c>
      <c r="W208" s="25">
        <f t="shared" si="30"/>
        <v>0</v>
      </c>
    </row>
    <row r="209" spans="1:23" ht="15" thickBot="1" x14ac:dyDescent="0.35">
      <c r="A209" s="147"/>
      <c r="B209" s="208">
        <f t="shared" si="31"/>
        <v>23</v>
      </c>
      <c r="C209" s="209"/>
      <c r="D209" s="166"/>
      <c r="E209" s="166"/>
      <c r="F209" s="210"/>
      <c r="G209" s="210"/>
      <c r="H209" s="166"/>
      <c r="I209" s="210"/>
      <c r="J209" s="244">
        <f t="shared" si="28"/>
        <v>0</v>
      </c>
      <c r="K209" s="153"/>
      <c r="V209" s="25">
        <f t="shared" si="29"/>
        <v>0</v>
      </c>
      <c r="W209" s="25">
        <f t="shared" si="30"/>
        <v>0</v>
      </c>
    </row>
    <row r="210" spans="1:23" ht="24" thickBot="1" x14ac:dyDescent="0.5">
      <c r="A210" s="147"/>
      <c r="B210" s="370" t="s">
        <v>2254</v>
      </c>
      <c r="C210" s="371"/>
      <c r="D210" s="371"/>
      <c r="E210" s="371"/>
      <c r="F210" s="371"/>
      <c r="G210" s="371"/>
      <c r="H210" s="372"/>
      <c r="I210" s="211" t="s">
        <v>2255</v>
      </c>
      <c r="J210" s="212">
        <f>SUM(J187:J209)</f>
        <v>179500</v>
      </c>
      <c r="K210" s="153"/>
      <c r="V210" s="25">
        <f>SUM(V187:V209)</f>
        <v>18</v>
      </c>
      <c r="W210" s="25">
        <f>SUM(W187:W209)</f>
        <v>4</v>
      </c>
    </row>
    <row r="211" spans="1:23" ht="30" customHeight="1" thickBot="1" x14ac:dyDescent="0.35">
      <c r="A211" s="213"/>
      <c r="B211" s="172"/>
      <c r="C211" s="172"/>
      <c r="D211" s="172"/>
      <c r="E211" s="172"/>
      <c r="F211" s="172"/>
      <c r="G211" s="172"/>
      <c r="H211" s="235"/>
      <c r="I211" s="172"/>
      <c r="J211" s="235"/>
      <c r="K211" s="214"/>
    </row>
    <row r="212" spans="1:23" ht="15" thickBot="1" x14ac:dyDescent="0.35"/>
    <row r="213" spans="1:23" ht="30" customHeight="1" thickBot="1" x14ac:dyDescent="0.35">
      <c r="A213" s="198"/>
      <c r="B213" s="143"/>
      <c r="C213" s="143"/>
      <c r="D213" s="143"/>
      <c r="E213" s="143"/>
      <c r="F213" s="143"/>
      <c r="G213" s="143"/>
      <c r="H213" s="232"/>
      <c r="I213" s="143"/>
      <c r="J213" s="232"/>
      <c r="K213" s="199"/>
    </row>
    <row r="214" spans="1:23" ht="25.2" thickBot="1" x14ac:dyDescent="0.35">
      <c r="A214" s="147" t="s">
        <v>0</v>
      </c>
      <c r="B214" s="361" t="s">
        <v>2244</v>
      </c>
      <c r="C214" s="362"/>
      <c r="D214" s="362"/>
      <c r="E214" s="362"/>
      <c r="F214" s="362"/>
      <c r="G214" s="362"/>
      <c r="H214" s="362"/>
      <c r="I214" s="362"/>
      <c r="J214" s="363"/>
      <c r="K214" s="153"/>
    </row>
    <row r="215" spans="1:23" ht="16.2" thickBot="1" x14ac:dyDescent="0.35">
      <c r="A215" s="147"/>
      <c r="B215" s="364" t="s">
        <v>3821</v>
      </c>
      <c r="C215" s="365"/>
      <c r="D215" s="365"/>
      <c r="E215" s="365"/>
      <c r="F215" s="365"/>
      <c r="G215" s="365"/>
      <c r="H215" s="365"/>
      <c r="I215" s="365"/>
      <c r="J215" s="366"/>
      <c r="K215" s="153"/>
    </row>
    <row r="216" spans="1:23" ht="16.2" thickBot="1" x14ac:dyDescent="0.35">
      <c r="A216" s="147"/>
      <c r="B216" s="367" t="s">
        <v>1076</v>
      </c>
      <c r="C216" s="368"/>
      <c r="D216" s="368"/>
      <c r="E216" s="368"/>
      <c r="F216" s="368"/>
      <c r="G216" s="368"/>
      <c r="H216" s="368"/>
      <c r="I216" s="368"/>
      <c r="J216" s="369"/>
      <c r="K216" s="153"/>
    </row>
    <row r="217" spans="1:23" ht="15" thickBot="1" x14ac:dyDescent="0.35">
      <c r="A217" s="175"/>
      <c r="B217" s="178" t="s">
        <v>2248</v>
      </c>
      <c r="C217" s="179" t="s">
        <v>1</v>
      </c>
      <c r="D217" s="180" t="s">
        <v>5</v>
      </c>
      <c r="E217" s="180" t="s">
        <v>6</v>
      </c>
      <c r="F217" s="181" t="s">
        <v>2249</v>
      </c>
      <c r="G217" s="181" t="s">
        <v>2250</v>
      </c>
      <c r="H217" s="239" t="s">
        <v>2251</v>
      </c>
      <c r="I217" s="181" t="s">
        <v>2257</v>
      </c>
      <c r="J217" s="245" t="s">
        <v>4</v>
      </c>
      <c r="K217" s="176"/>
      <c r="L217" s="215"/>
      <c r="V217" s="201" t="s">
        <v>454</v>
      </c>
      <c r="W217" s="201" t="s">
        <v>455</v>
      </c>
    </row>
    <row r="218" spans="1:23" x14ac:dyDescent="0.3">
      <c r="A218" s="147"/>
      <c r="B218" s="217">
        <v>1</v>
      </c>
      <c r="C218" s="218">
        <v>44713</v>
      </c>
      <c r="D218" s="185" t="s">
        <v>9</v>
      </c>
      <c r="E218" s="185" t="s">
        <v>3824</v>
      </c>
      <c r="F218" s="231">
        <v>29</v>
      </c>
      <c r="G218" s="231">
        <v>34.299999999999997</v>
      </c>
      <c r="H218" s="231">
        <f>34.3-29</f>
        <v>5.2999999999999972</v>
      </c>
      <c r="I218" s="219">
        <v>1300</v>
      </c>
      <c r="J218" s="246">
        <f t="shared" ref="J218:J241" si="32">I218*H218</f>
        <v>6889.9999999999964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>B218+1</f>
        <v>2</v>
      </c>
      <c r="C219" s="218">
        <v>44714</v>
      </c>
      <c r="D219" s="185" t="s">
        <v>9</v>
      </c>
      <c r="E219" s="185" t="s">
        <v>3825</v>
      </c>
      <c r="F219" s="231">
        <v>17</v>
      </c>
      <c r="G219" s="231">
        <v>15.5</v>
      </c>
      <c r="H219" s="231">
        <v>-1.5</v>
      </c>
      <c r="I219" s="219">
        <v>1500</v>
      </c>
      <c r="J219" s="242">
        <f>I219*H219</f>
        <v>-2250</v>
      </c>
      <c r="K219" s="153"/>
      <c r="V219" s="25">
        <f>IF($J219&gt;0,1,0)</f>
        <v>0</v>
      </c>
      <c r="W219" s="25">
        <f>IF($J219&lt;0,1,0)</f>
        <v>1</v>
      </c>
    </row>
    <row r="220" spans="1:23" x14ac:dyDescent="0.3">
      <c r="A220" s="147"/>
      <c r="B220" s="205">
        <f t="shared" ref="B220:B241" si="33">B219+1</f>
        <v>3</v>
      </c>
      <c r="C220" s="206">
        <v>44715</v>
      </c>
      <c r="D220" s="161" t="s">
        <v>9</v>
      </c>
      <c r="E220" s="161" t="s">
        <v>3826</v>
      </c>
      <c r="F220" s="222">
        <v>16</v>
      </c>
      <c r="G220" s="222">
        <v>20</v>
      </c>
      <c r="H220" s="222">
        <v>4</v>
      </c>
      <c r="I220" s="207">
        <v>1375</v>
      </c>
      <c r="J220" s="242">
        <f t="shared" si="32"/>
        <v>5500</v>
      </c>
      <c r="K220" s="153"/>
      <c r="V220" s="25">
        <f t="shared" ref="V220:V241" si="34">IF($J220&gt;0,1,0)</f>
        <v>1</v>
      </c>
      <c r="W220" s="25">
        <f t="shared" ref="W220:W241" si="35">IF($J220&lt;0,1,0)</f>
        <v>0</v>
      </c>
    </row>
    <row r="221" spans="1:23" x14ac:dyDescent="0.3">
      <c r="A221" s="147"/>
      <c r="B221" s="205">
        <f t="shared" si="33"/>
        <v>4</v>
      </c>
      <c r="C221" s="206">
        <v>44718</v>
      </c>
      <c r="D221" s="161" t="s">
        <v>9</v>
      </c>
      <c r="E221" s="161" t="s">
        <v>3200</v>
      </c>
      <c r="F221" s="222">
        <v>20</v>
      </c>
      <c r="G221" s="222">
        <v>21.6</v>
      </c>
      <c r="H221" s="222">
        <v>1.6</v>
      </c>
      <c r="I221" s="207">
        <v>1200</v>
      </c>
      <c r="J221" s="242">
        <f t="shared" si="32"/>
        <v>1920</v>
      </c>
      <c r="K221" s="153"/>
      <c r="V221" s="25">
        <f t="shared" si="34"/>
        <v>1</v>
      </c>
      <c r="W221" s="25">
        <f t="shared" si="35"/>
        <v>0</v>
      </c>
    </row>
    <row r="222" spans="1:23" x14ac:dyDescent="0.3">
      <c r="A222" s="147"/>
      <c r="B222" s="205">
        <f t="shared" si="33"/>
        <v>5</v>
      </c>
      <c r="C222" s="206">
        <v>44719</v>
      </c>
      <c r="D222" s="161" t="s">
        <v>9</v>
      </c>
      <c r="E222" s="161" t="s">
        <v>3827</v>
      </c>
      <c r="F222" s="222">
        <v>92</v>
      </c>
      <c r="G222" s="222">
        <v>104</v>
      </c>
      <c r="H222" s="222">
        <f>104-92</f>
        <v>12</v>
      </c>
      <c r="I222" s="207">
        <v>125</v>
      </c>
      <c r="J222" s="242">
        <f t="shared" si="32"/>
        <v>1500</v>
      </c>
      <c r="K222" s="153"/>
      <c r="V222" s="25">
        <f t="shared" si="34"/>
        <v>1</v>
      </c>
      <c r="W222" s="25">
        <f t="shared" si="35"/>
        <v>0</v>
      </c>
    </row>
    <row r="223" spans="1:23" x14ac:dyDescent="0.3">
      <c r="A223" s="147"/>
      <c r="B223" s="205">
        <f t="shared" si="33"/>
        <v>6</v>
      </c>
      <c r="C223" s="206">
        <v>44720</v>
      </c>
      <c r="D223" s="161" t="s">
        <v>9</v>
      </c>
      <c r="E223" s="161" t="s">
        <v>3830</v>
      </c>
      <c r="F223" s="222">
        <v>78</v>
      </c>
      <c r="G223" s="222">
        <v>84.3</v>
      </c>
      <c r="H223" s="222">
        <f>84.3-78</f>
        <v>6.2999999999999972</v>
      </c>
      <c r="I223" s="207">
        <v>250</v>
      </c>
      <c r="J223" s="242">
        <f t="shared" si="32"/>
        <v>1574.9999999999993</v>
      </c>
      <c r="K223" s="153"/>
      <c r="V223" s="25">
        <f t="shared" si="34"/>
        <v>1</v>
      </c>
      <c r="W223" s="25">
        <f t="shared" si="35"/>
        <v>0</v>
      </c>
    </row>
    <row r="224" spans="1:23" x14ac:dyDescent="0.3">
      <c r="A224" s="147"/>
      <c r="B224" s="205">
        <f t="shared" si="33"/>
        <v>7</v>
      </c>
      <c r="C224" s="206">
        <v>44721</v>
      </c>
      <c r="D224" s="161" t="s">
        <v>9</v>
      </c>
      <c r="E224" s="161" t="s">
        <v>3831</v>
      </c>
      <c r="F224" s="222">
        <v>115</v>
      </c>
      <c r="G224" s="222">
        <v>131</v>
      </c>
      <c r="H224" s="222">
        <f>131-115</f>
        <v>16</v>
      </c>
      <c r="I224" s="207">
        <v>125</v>
      </c>
      <c r="J224" s="242">
        <f t="shared" si="32"/>
        <v>2000</v>
      </c>
      <c r="K224" s="153"/>
      <c r="V224" s="25">
        <f t="shared" si="34"/>
        <v>1</v>
      </c>
      <c r="W224" s="25">
        <f t="shared" si="35"/>
        <v>0</v>
      </c>
    </row>
    <row r="225" spans="1:23" x14ac:dyDescent="0.3">
      <c r="A225" s="147"/>
      <c r="B225" s="205">
        <f t="shared" si="33"/>
        <v>8</v>
      </c>
      <c r="C225" s="206">
        <v>44722</v>
      </c>
      <c r="D225" s="161" t="s">
        <v>9</v>
      </c>
      <c r="E225" s="161" t="s">
        <v>3832</v>
      </c>
      <c r="F225" s="222">
        <v>73</v>
      </c>
      <c r="G225" s="222">
        <v>81</v>
      </c>
      <c r="H225" s="222">
        <f>81-73</f>
        <v>8</v>
      </c>
      <c r="I225" s="207">
        <v>250</v>
      </c>
      <c r="J225" s="242">
        <f t="shared" si="32"/>
        <v>2000</v>
      </c>
      <c r="K225" s="153"/>
      <c r="V225" s="25">
        <f t="shared" si="34"/>
        <v>1</v>
      </c>
      <c r="W225" s="25">
        <f t="shared" si="35"/>
        <v>0</v>
      </c>
    </row>
    <row r="226" spans="1:23" x14ac:dyDescent="0.3">
      <c r="A226" s="147"/>
      <c r="B226" s="205">
        <f t="shared" si="33"/>
        <v>9</v>
      </c>
      <c r="C226" s="206">
        <v>44725</v>
      </c>
      <c r="D226" s="161" t="s">
        <v>9</v>
      </c>
      <c r="E226" s="161" t="s">
        <v>3835</v>
      </c>
      <c r="F226" s="222">
        <v>72</v>
      </c>
      <c r="G226" s="222">
        <v>81.75</v>
      </c>
      <c r="H226" s="255">
        <f>81.75-72</f>
        <v>9.75</v>
      </c>
      <c r="I226" s="207">
        <v>250</v>
      </c>
      <c r="J226" s="242">
        <f t="shared" si="32"/>
        <v>2437.5</v>
      </c>
      <c r="K226" s="153"/>
      <c r="V226" s="25">
        <f t="shared" si="34"/>
        <v>1</v>
      </c>
      <c r="W226" s="25">
        <f t="shared" si="35"/>
        <v>0</v>
      </c>
    </row>
    <row r="227" spans="1:23" x14ac:dyDescent="0.3">
      <c r="A227" s="147"/>
      <c r="B227" s="205">
        <f t="shared" si="33"/>
        <v>10</v>
      </c>
      <c r="C227" s="206">
        <v>44726</v>
      </c>
      <c r="D227" s="161" t="s">
        <v>9</v>
      </c>
      <c r="E227" s="161" t="s">
        <v>3223</v>
      </c>
      <c r="F227" s="222">
        <v>190</v>
      </c>
      <c r="G227" s="222">
        <v>212</v>
      </c>
      <c r="H227" s="255">
        <f>212-190</f>
        <v>22</v>
      </c>
      <c r="I227" s="207">
        <v>125</v>
      </c>
      <c r="J227" s="242">
        <f t="shared" si="32"/>
        <v>2750</v>
      </c>
      <c r="K227" s="153"/>
      <c r="V227" s="25">
        <f t="shared" si="34"/>
        <v>1</v>
      </c>
      <c r="W227" s="25">
        <f t="shared" si="35"/>
        <v>0</v>
      </c>
    </row>
    <row r="228" spans="1:23" x14ac:dyDescent="0.3">
      <c r="A228" s="147"/>
      <c r="B228" s="205">
        <f t="shared" si="33"/>
        <v>11</v>
      </c>
      <c r="C228" s="206">
        <v>44727</v>
      </c>
      <c r="D228" s="161" t="s">
        <v>9</v>
      </c>
      <c r="E228" s="161" t="s">
        <v>3836</v>
      </c>
      <c r="F228" s="222">
        <v>26</v>
      </c>
      <c r="G228" s="222">
        <v>20</v>
      </c>
      <c r="H228" s="255">
        <v>-6</v>
      </c>
      <c r="I228" s="207">
        <v>600</v>
      </c>
      <c r="J228" s="242">
        <f t="shared" si="32"/>
        <v>-3600</v>
      </c>
      <c r="K228" s="153"/>
      <c r="V228" s="25">
        <f t="shared" si="34"/>
        <v>0</v>
      </c>
      <c r="W228" s="25">
        <f t="shared" si="35"/>
        <v>1</v>
      </c>
    </row>
    <row r="229" spans="1:23" x14ac:dyDescent="0.3">
      <c r="A229" s="147"/>
      <c r="B229" s="205">
        <f t="shared" si="33"/>
        <v>12</v>
      </c>
      <c r="C229" s="206">
        <v>44728</v>
      </c>
      <c r="D229" s="161" t="s">
        <v>9</v>
      </c>
      <c r="E229" s="161" t="s">
        <v>3837</v>
      </c>
      <c r="F229" s="222">
        <v>140</v>
      </c>
      <c r="G229" s="222">
        <v>200</v>
      </c>
      <c r="H229" s="255">
        <f>200-140</f>
        <v>60</v>
      </c>
      <c r="I229" s="207">
        <v>125</v>
      </c>
      <c r="J229" s="242">
        <f t="shared" si="32"/>
        <v>7500</v>
      </c>
      <c r="K229" s="153"/>
      <c r="V229" s="25">
        <f t="shared" si="34"/>
        <v>1</v>
      </c>
      <c r="W229" s="25">
        <f t="shared" si="35"/>
        <v>0</v>
      </c>
    </row>
    <row r="230" spans="1:23" x14ac:dyDescent="0.3">
      <c r="A230" s="147"/>
      <c r="B230" s="205">
        <f t="shared" si="33"/>
        <v>13</v>
      </c>
      <c r="C230" s="206">
        <v>44729</v>
      </c>
      <c r="D230" s="161" t="s">
        <v>9</v>
      </c>
      <c r="E230" s="161" t="s">
        <v>3748</v>
      </c>
      <c r="F230" s="222">
        <v>58</v>
      </c>
      <c r="G230" s="222">
        <v>73</v>
      </c>
      <c r="H230" s="255">
        <f>73-58</f>
        <v>15</v>
      </c>
      <c r="I230" s="207">
        <v>250</v>
      </c>
      <c r="J230" s="242">
        <f t="shared" si="32"/>
        <v>3750</v>
      </c>
      <c r="K230" s="153"/>
      <c r="V230" s="25">
        <f t="shared" si="34"/>
        <v>1</v>
      </c>
      <c r="W230" s="25">
        <f t="shared" si="35"/>
        <v>0</v>
      </c>
    </row>
    <row r="231" spans="1:23" x14ac:dyDescent="0.3">
      <c r="A231" s="147"/>
      <c r="B231" s="205">
        <f t="shared" si="33"/>
        <v>14</v>
      </c>
      <c r="C231" s="206">
        <v>44732</v>
      </c>
      <c r="D231" s="161" t="s">
        <v>9</v>
      </c>
      <c r="E231" s="161" t="s">
        <v>3799</v>
      </c>
      <c r="F231" s="222">
        <v>130</v>
      </c>
      <c r="G231" s="222">
        <v>160</v>
      </c>
      <c r="H231" s="255">
        <v>30</v>
      </c>
      <c r="I231" s="207">
        <v>125</v>
      </c>
      <c r="J231" s="242">
        <f>I231*H231</f>
        <v>3750</v>
      </c>
      <c r="K231" s="153"/>
      <c r="V231" s="25">
        <f t="shared" si="34"/>
        <v>1</v>
      </c>
      <c r="W231" s="25">
        <f t="shared" si="35"/>
        <v>0</v>
      </c>
    </row>
    <row r="232" spans="1:23" x14ac:dyDescent="0.3">
      <c r="A232" s="147"/>
      <c r="B232" s="205">
        <f t="shared" si="33"/>
        <v>15</v>
      </c>
      <c r="C232" s="206">
        <v>44733</v>
      </c>
      <c r="D232" s="161" t="s">
        <v>9</v>
      </c>
      <c r="E232" s="161" t="s">
        <v>3840</v>
      </c>
      <c r="F232" s="222">
        <v>55</v>
      </c>
      <c r="G232" s="222">
        <v>45</v>
      </c>
      <c r="H232" s="255">
        <v>-5</v>
      </c>
      <c r="I232" s="207">
        <v>250</v>
      </c>
      <c r="J232" s="242">
        <f t="shared" si="32"/>
        <v>-1250</v>
      </c>
      <c r="K232" s="153"/>
      <c r="V232" s="25">
        <f t="shared" si="34"/>
        <v>0</v>
      </c>
      <c r="W232" s="25">
        <f t="shared" si="35"/>
        <v>1</v>
      </c>
    </row>
    <row r="233" spans="1:23" x14ac:dyDescent="0.3">
      <c r="A233" s="147"/>
      <c r="B233" s="205">
        <f t="shared" si="33"/>
        <v>16</v>
      </c>
      <c r="C233" s="206">
        <v>44734</v>
      </c>
      <c r="D233" s="161" t="s">
        <v>9</v>
      </c>
      <c r="E233" s="161" t="s">
        <v>3841</v>
      </c>
      <c r="F233" s="222">
        <v>135</v>
      </c>
      <c r="G233" s="222">
        <v>105</v>
      </c>
      <c r="H233" s="222">
        <v>-30</v>
      </c>
      <c r="I233" s="207">
        <v>100</v>
      </c>
      <c r="J233" s="242">
        <f t="shared" si="32"/>
        <v>-3000</v>
      </c>
      <c r="K233" s="153"/>
      <c r="V233" s="25">
        <f t="shared" si="34"/>
        <v>0</v>
      </c>
      <c r="W233" s="25">
        <f t="shared" si="35"/>
        <v>1</v>
      </c>
    </row>
    <row r="234" spans="1:23" x14ac:dyDescent="0.3">
      <c r="A234" s="147"/>
      <c r="B234" s="205">
        <f t="shared" si="33"/>
        <v>17</v>
      </c>
      <c r="C234" s="206">
        <v>44735</v>
      </c>
      <c r="D234" s="161" t="s">
        <v>9</v>
      </c>
      <c r="E234" s="161" t="s">
        <v>3842</v>
      </c>
      <c r="F234" s="222">
        <v>10</v>
      </c>
      <c r="G234" s="222">
        <v>13.65</v>
      </c>
      <c r="H234" s="222">
        <v>3.65</v>
      </c>
      <c r="I234" s="207">
        <v>1375</v>
      </c>
      <c r="J234" s="242">
        <f t="shared" si="32"/>
        <v>5018.75</v>
      </c>
      <c r="K234" s="153"/>
      <c r="V234" s="25">
        <f t="shared" si="34"/>
        <v>1</v>
      </c>
      <c r="W234" s="25">
        <f t="shared" si="35"/>
        <v>0</v>
      </c>
    </row>
    <row r="235" spans="1:23" x14ac:dyDescent="0.3">
      <c r="A235" s="147"/>
      <c r="B235" s="205">
        <f t="shared" si="33"/>
        <v>18</v>
      </c>
      <c r="C235" s="206">
        <v>44736</v>
      </c>
      <c r="D235" s="161" t="s">
        <v>9</v>
      </c>
      <c r="E235" s="161" t="s">
        <v>3843</v>
      </c>
      <c r="F235" s="222">
        <v>85</v>
      </c>
      <c r="G235" s="222">
        <v>113</v>
      </c>
      <c r="H235" s="222">
        <f>113-85</f>
        <v>28</v>
      </c>
      <c r="I235" s="207">
        <v>125</v>
      </c>
      <c r="J235" s="242">
        <f t="shared" si="32"/>
        <v>3500</v>
      </c>
      <c r="K235" s="153"/>
      <c r="V235" s="25">
        <f t="shared" si="34"/>
        <v>1</v>
      </c>
      <c r="W235" s="25">
        <f t="shared" si="35"/>
        <v>0</v>
      </c>
    </row>
    <row r="236" spans="1:23" x14ac:dyDescent="0.3">
      <c r="A236" s="147"/>
      <c r="B236" s="205">
        <f t="shared" si="33"/>
        <v>19</v>
      </c>
      <c r="C236" s="206">
        <v>44739</v>
      </c>
      <c r="D236" s="161" t="s">
        <v>9</v>
      </c>
      <c r="E236" s="161" t="s">
        <v>3360</v>
      </c>
      <c r="F236" s="222">
        <v>125</v>
      </c>
      <c r="G236" s="222">
        <v>160</v>
      </c>
      <c r="H236" s="222">
        <f>160-125</f>
        <v>35</v>
      </c>
      <c r="I236" s="207">
        <v>125</v>
      </c>
      <c r="J236" s="242">
        <f t="shared" si="32"/>
        <v>4375</v>
      </c>
      <c r="K236" s="153"/>
      <c r="V236" s="25">
        <f t="shared" si="34"/>
        <v>1</v>
      </c>
      <c r="W236" s="25">
        <f t="shared" si="35"/>
        <v>0</v>
      </c>
    </row>
    <row r="237" spans="1:23" x14ac:dyDescent="0.3">
      <c r="A237" s="147"/>
      <c r="B237" s="205">
        <f t="shared" si="33"/>
        <v>20</v>
      </c>
      <c r="C237" s="206">
        <v>44740</v>
      </c>
      <c r="D237" s="161" t="s">
        <v>9</v>
      </c>
      <c r="E237" s="161" t="s">
        <v>3845</v>
      </c>
      <c r="F237" s="222">
        <v>38</v>
      </c>
      <c r="G237" s="222">
        <v>43</v>
      </c>
      <c r="H237" s="222">
        <f>43-38</f>
        <v>5</v>
      </c>
      <c r="I237" s="207">
        <v>125</v>
      </c>
      <c r="J237" s="242">
        <f t="shared" si="32"/>
        <v>625</v>
      </c>
      <c r="K237" s="153"/>
      <c r="V237" s="25">
        <f t="shared" si="34"/>
        <v>1</v>
      </c>
      <c r="W237" s="25">
        <f t="shared" si="35"/>
        <v>0</v>
      </c>
    </row>
    <row r="238" spans="1:23" x14ac:dyDescent="0.3">
      <c r="A238" s="147"/>
      <c r="B238" s="205">
        <f t="shared" si="33"/>
        <v>21</v>
      </c>
      <c r="C238" s="206">
        <v>44741</v>
      </c>
      <c r="D238" s="161" t="s">
        <v>9</v>
      </c>
      <c r="E238" s="161" t="s">
        <v>3846</v>
      </c>
      <c r="F238" s="222">
        <v>29</v>
      </c>
      <c r="G238" s="222">
        <v>35</v>
      </c>
      <c r="H238" s="222">
        <f>35-29</f>
        <v>6</v>
      </c>
      <c r="I238" s="207">
        <v>375</v>
      </c>
      <c r="J238" s="242">
        <f t="shared" si="32"/>
        <v>2250</v>
      </c>
      <c r="K238" s="153"/>
      <c r="V238" s="25">
        <f t="shared" si="34"/>
        <v>1</v>
      </c>
      <c r="W238" s="25">
        <f t="shared" si="35"/>
        <v>0</v>
      </c>
    </row>
    <row r="239" spans="1:23" x14ac:dyDescent="0.3">
      <c r="A239" s="147"/>
      <c r="B239" s="205">
        <f t="shared" si="33"/>
        <v>22</v>
      </c>
      <c r="C239" s="206">
        <v>44742</v>
      </c>
      <c r="D239" s="161" t="s">
        <v>9</v>
      </c>
      <c r="E239" s="161" t="s">
        <v>3848</v>
      </c>
      <c r="F239" s="222">
        <v>5</v>
      </c>
      <c r="G239" s="222">
        <v>1</v>
      </c>
      <c r="H239" s="222">
        <v>-4</v>
      </c>
      <c r="I239" s="207">
        <v>300</v>
      </c>
      <c r="J239" s="242">
        <f t="shared" si="32"/>
        <v>-1200</v>
      </c>
      <c r="K239" s="153"/>
      <c r="V239" s="25">
        <f t="shared" si="34"/>
        <v>0</v>
      </c>
      <c r="W239" s="25">
        <f t="shared" si="35"/>
        <v>1</v>
      </c>
    </row>
    <row r="240" spans="1:23" x14ac:dyDescent="0.3">
      <c r="A240" s="147"/>
      <c r="B240" s="205">
        <f t="shared" si="33"/>
        <v>23</v>
      </c>
      <c r="C240" s="206"/>
      <c r="D240" s="161"/>
      <c r="E240" s="161"/>
      <c r="F240" s="222"/>
      <c r="G240" s="222"/>
      <c r="H240" s="222"/>
      <c r="I240" s="207"/>
      <c r="J240" s="242">
        <f t="shared" si="32"/>
        <v>0</v>
      </c>
      <c r="K240" s="153"/>
      <c r="V240" s="25">
        <f t="shared" si="34"/>
        <v>0</v>
      </c>
      <c r="W240" s="25">
        <f t="shared" si="35"/>
        <v>0</v>
      </c>
    </row>
    <row r="241" spans="1:23" ht="15" thickBot="1" x14ac:dyDescent="0.35">
      <c r="A241" s="147"/>
      <c r="B241" s="208">
        <f t="shared" si="33"/>
        <v>24</v>
      </c>
      <c r="C241" s="209"/>
      <c r="D241" s="166"/>
      <c r="E241" s="166"/>
      <c r="F241" s="222"/>
      <c r="G241" s="222"/>
      <c r="H241" s="166"/>
      <c r="I241" s="210"/>
      <c r="J241" s="244">
        <f t="shared" si="32"/>
        <v>0</v>
      </c>
      <c r="K241" s="153"/>
      <c r="V241" s="25">
        <f t="shared" si="34"/>
        <v>0</v>
      </c>
      <c r="W241" s="25">
        <f t="shared" si="35"/>
        <v>0</v>
      </c>
    </row>
    <row r="242" spans="1:23" ht="24" thickBot="1" x14ac:dyDescent="0.5">
      <c r="A242" s="147"/>
      <c r="B242" s="370" t="s">
        <v>2254</v>
      </c>
      <c r="C242" s="371"/>
      <c r="D242" s="371"/>
      <c r="E242" s="371"/>
      <c r="F242" s="371"/>
      <c r="G242" s="371"/>
      <c r="H242" s="372"/>
      <c r="I242" s="211" t="s">
        <v>2255</v>
      </c>
      <c r="J242" s="212">
        <f>SUM(J218:J241)</f>
        <v>46041.25</v>
      </c>
      <c r="K242" s="153"/>
      <c r="V242" s="25">
        <f>SUM(V218:V241)</f>
        <v>17</v>
      </c>
      <c r="W242" s="25">
        <f>SUM(W218:W241)</f>
        <v>5</v>
      </c>
    </row>
    <row r="243" spans="1:23" ht="30" customHeight="1" thickBot="1" x14ac:dyDescent="0.35">
      <c r="A243" s="213"/>
      <c r="B243" s="172"/>
      <c r="C243" s="172"/>
      <c r="D243" s="172"/>
      <c r="E243" s="172"/>
      <c r="F243" s="172"/>
      <c r="G243" s="172"/>
      <c r="H243" s="235"/>
      <c r="I243" s="172"/>
      <c r="J243" s="235"/>
      <c r="K243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4:J154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8:H148"/>
    <mergeCell ref="B152:J152"/>
    <mergeCell ref="B153:J153"/>
    <mergeCell ref="B215:J215"/>
    <mergeCell ref="B216:J216"/>
    <mergeCell ref="B242:H242"/>
    <mergeCell ref="B179:H179"/>
    <mergeCell ref="B183:J183"/>
    <mergeCell ref="B184:J184"/>
    <mergeCell ref="B185:J185"/>
    <mergeCell ref="B210:H210"/>
    <mergeCell ref="B214:J214"/>
  </mergeCells>
  <hyperlinks>
    <hyperlink ref="B84" r:id="rId1" xr:uid="{00000000-0004-0000-6E00-000000000000}"/>
    <hyperlink ref="B115" r:id="rId2" xr:uid="{00000000-0004-0000-6E00-000001000000}"/>
    <hyperlink ref="B148" r:id="rId3" xr:uid="{00000000-0004-0000-6E00-000002000000}"/>
    <hyperlink ref="B179" r:id="rId4" xr:uid="{00000000-0004-0000-6E00-000003000000}"/>
    <hyperlink ref="B210" r:id="rId5" xr:uid="{00000000-0004-0000-6E00-000004000000}"/>
    <hyperlink ref="B242" r:id="rId6" xr:uid="{00000000-0004-0000-6E00-000005000000}"/>
    <hyperlink ref="M1" location="'MASTER '!A1" display="Back" xr:uid="{00000000-0004-0000-6E00-000006000000}"/>
    <hyperlink ref="M6:M7" location="'JUNE 2022'!A77" display="STOCK FUTURE" xr:uid="{00000000-0004-0000-6E00-000007000000}"/>
    <hyperlink ref="M12:M13" location="'JUNE 2022'!A170" display="BANK NIFTY" xr:uid="{00000000-0004-0000-6E00-000008000000}"/>
    <hyperlink ref="M10:M11" location="'JUNE 2022'!A139" display="NF. OPTION" xr:uid="{00000000-0004-0000-6E00-000009000000}"/>
    <hyperlink ref="M8:M9" location="'JUNE 2022'!A108" display="NIFTY FUTURE" xr:uid="{00000000-0004-0000-6E00-00000A000000}"/>
    <hyperlink ref="M4:M5" location="'APRIL 2022'!A1" display="CASH" xr:uid="{00000000-0004-0000-6E00-00000B000000}"/>
    <hyperlink ref="M14:M15" location="'JUNE 2022'!A201" display="B.NIFTY OPTION" xr:uid="{00000000-0004-0000-6E00-00000C000000}"/>
    <hyperlink ref="M16:M17" location="'JUNE 2022'!A216" display="STOCK OPTION" xr:uid="{00000000-0004-0000-6E00-00000D000000}"/>
    <hyperlink ref="B52" r:id="rId7" xr:uid="{00000000-0004-0000-6E00-00000E000000}"/>
  </hyperlinks>
  <pageMargins left="0" right="0" top="0" bottom="0" header="0" footer="0"/>
  <pageSetup scale="95" orientation="portrait" r:id="rId8"/>
  <drawing r:id="rId9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W253"/>
  <sheetViews>
    <sheetView zoomScaleNormal="100" workbookViewId="0">
      <selection activeCell="I8" sqref="I8:J8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3849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COUNT(C6:C53)</f>
        <v>41</v>
      </c>
      <c r="O4" s="386">
        <f>V54</f>
        <v>34</v>
      </c>
      <c r="P4" s="386">
        <f>W54</f>
        <v>4</v>
      </c>
      <c r="Q4" s="387">
        <f>N4-O4-P4</f>
        <v>3</v>
      </c>
      <c r="R4" s="380">
        <f>O4/N4</f>
        <v>0.82926829268292679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44743</v>
      </c>
      <c r="D6" s="158" t="s">
        <v>9</v>
      </c>
      <c r="E6" s="158" t="s">
        <v>250</v>
      </c>
      <c r="F6" s="230">
        <v>2140</v>
      </c>
      <c r="G6" s="222">
        <v>2168</v>
      </c>
      <c r="H6" s="222">
        <f>2168-2140</f>
        <v>28</v>
      </c>
      <c r="I6" s="207">
        <f t="shared" ref="I6:I7" si="0">300000/F6</f>
        <v>140.18691588785046</v>
      </c>
      <c r="J6" s="161">
        <f t="shared" ref="J6:J7" si="1">H6*I6</f>
        <v>3925.233644859813</v>
      </c>
      <c r="K6" s="153"/>
      <c r="M6" s="394" t="s">
        <v>450</v>
      </c>
      <c r="N6" s="344">
        <f>COUNT(C62:C86)</f>
        <v>22</v>
      </c>
      <c r="O6" s="346">
        <f>V87</f>
        <v>18</v>
      </c>
      <c r="P6" s="346">
        <f>W87</f>
        <v>3</v>
      </c>
      <c r="Q6" s="374">
        <f>N6-O6-P6</f>
        <v>1</v>
      </c>
      <c r="R6" s="376">
        <f t="shared" ref="R6" si="2">O6/N6</f>
        <v>0.81818181818181823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44743</v>
      </c>
      <c r="D7" s="161" t="s">
        <v>9</v>
      </c>
      <c r="E7" s="161" t="s">
        <v>3473</v>
      </c>
      <c r="F7" s="222">
        <v>226</v>
      </c>
      <c r="G7" s="231">
        <v>227.6</v>
      </c>
      <c r="H7" s="255">
        <v>1.6</v>
      </c>
      <c r="I7" s="207">
        <f t="shared" si="0"/>
        <v>1327.4336283185842</v>
      </c>
      <c r="J7" s="161">
        <f t="shared" si="1"/>
        <v>2123.8938053097349</v>
      </c>
      <c r="K7" s="153"/>
      <c r="M7" s="396"/>
      <c r="N7" s="385"/>
      <c r="O7" s="382"/>
      <c r="P7" s="382"/>
      <c r="Q7" s="383"/>
      <c r="R7" s="384"/>
      <c r="V7" s="25">
        <f t="shared" ref="V7:V53" si="3">IF($J7&gt;0,1,0)</f>
        <v>1</v>
      </c>
      <c r="W7" s="25">
        <f t="shared" ref="W7:W53" si="4">IF($J7&lt;0,1,0)</f>
        <v>0</v>
      </c>
    </row>
    <row r="8" spans="1:23" x14ac:dyDescent="0.3">
      <c r="A8" s="147"/>
      <c r="B8" s="205">
        <f t="shared" ref="B8:B53" si="5">B7+1</f>
        <v>3</v>
      </c>
      <c r="C8" s="206">
        <v>44746</v>
      </c>
      <c r="D8" s="161" t="s">
        <v>9</v>
      </c>
      <c r="E8" s="161" t="s">
        <v>99</v>
      </c>
      <c r="F8" s="222">
        <v>287.5</v>
      </c>
      <c r="G8" s="222">
        <v>293.14999999999998</v>
      </c>
      <c r="H8" s="222">
        <v>5.65</v>
      </c>
      <c r="I8" s="207">
        <f t="shared" ref="I8:I46" si="6">300000/F8</f>
        <v>1043.4782608695652</v>
      </c>
      <c r="J8" s="161">
        <f t="shared" ref="J8:J46" si="7">H8*I8</f>
        <v>5895.652173913044</v>
      </c>
      <c r="K8" s="153"/>
      <c r="M8" s="394" t="s">
        <v>451</v>
      </c>
      <c r="N8" s="344">
        <f>COUNT(C95:C118)</f>
        <v>21</v>
      </c>
      <c r="O8" s="346">
        <f>V119</f>
        <v>20</v>
      </c>
      <c r="P8" s="346">
        <f>W119</f>
        <v>0</v>
      </c>
      <c r="Q8" s="374">
        <f>N8-O8-P8</f>
        <v>1</v>
      </c>
      <c r="R8" s="376">
        <f t="shared" ref="R8" si="8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44746</v>
      </c>
      <c r="D9" s="161" t="s">
        <v>9</v>
      </c>
      <c r="E9" s="161" t="s">
        <v>3546</v>
      </c>
      <c r="F9" s="222">
        <v>246</v>
      </c>
      <c r="G9" s="231">
        <v>249</v>
      </c>
      <c r="H9" s="255">
        <v>3</v>
      </c>
      <c r="I9" s="207">
        <f t="shared" si="6"/>
        <v>1219.5121951219512</v>
      </c>
      <c r="J9" s="161">
        <f t="shared" si="7"/>
        <v>3658.5365853658536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44747</v>
      </c>
      <c r="D10" s="161" t="s">
        <v>9</v>
      </c>
      <c r="E10" s="161" t="s">
        <v>124</v>
      </c>
      <c r="F10" s="222">
        <v>417</v>
      </c>
      <c r="G10" s="222">
        <v>412</v>
      </c>
      <c r="H10" s="222">
        <v>-5</v>
      </c>
      <c r="I10" s="207">
        <f t="shared" si="6"/>
        <v>719.42446043165467</v>
      </c>
      <c r="J10" s="161">
        <f t="shared" si="7"/>
        <v>-3597.1223021582732</v>
      </c>
      <c r="K10" s="153"/>
      <c r="M10" s="394" t="s">
        <v>1176</v>
      </c>
      <c r="N10" s="344">
        <f>COUNT(C127:C153)</f>
        <v>22</v>
      </c>
      <c r="O10" s="346">
        <f>V154</f>
        <v>19</v>
      </c>
      <c r="P10" s="346">
        <f>W154</f>
        <v>1</v>
      </c>
      <c r="Q10" s="374">
        <f>N10-O10-P10</f>
        <v>2</v>
      </c>
      <c r="R10" s="376">
        <f t="shared" ref="R10:R16" si="9">O10/N10</f>
        <v>0.86363636363636365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44747</v>
      </c>
      <c r="D11" s="161" t="s">
        <v>9</v>
      </c>
      <c r="E11" s="161" t="s">
        <v>175</v>
      </c>
      <c r="F11" s="222">
        <v>540</v>
      </c>
      <c r="G11" s="222">
        <v>545</v>
      </c>
      <c r="H11" s="255">
        <v>5</v>
      </c>
      <c r="I11" s="207">
        <f t="shared" si="6"/>
        <v>555.55555555555554</v>
      </c>
      <c r="J11" s="161">
        <f t="shared" si="7"/>
        <v>2777.7777777777778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44748</v>
      </c>
      <c r="D12" s="161" t="s">
        <v>9</v>
      </c>
      <c r="E12" s="161" t="s">
        <v>19</v>
      </c>
      <c r="F12" s="222">
        <v>477</v>
      </c>
      <c r="G12" s="222">
        <v>481</v>
      </c>
      <c r="H12" s="222">
        <f>481-477</f>
        <v>4</v>
      </c>
      <c r="I12" s="207">
        <f t="shared" si="6"/>
        <v>628.93081761006295</v>
      </c>
      <c r="J12" s="161">
        <f t="shared" si="7"/>
        <v>2515.7232704402518</v>
      </c>
      <c r="K12" s="153"/>
      <c r="M12" s="394" t="s">
        <v>41</v>
      </c>
      <c r="N12" s="344">
        <f>COUNT(C162:C185)</f>
        <v>21</v>
      </c>
      <c r="O12" s="346">
        <f>V186</f>
        <v>21</v>
      </c>
      <c r="P12" s="346">
        <f>W186</f>
        <v>0</v>
      </c>
      <c r="Q12" s="374">
        <f t="shared" ref="Q12" si="10">N12-O12-P12</f>
        <v>0</v>
      </c>
      <c r="R12" s="376">
        <f t="shared" si="9"/>
        <v>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44748</v>
      </c>
      <c r="D13" s="161" t="s">
        <v>9</v>
      </c>
      <c r="E13" s="161" t="s">
        <v>168</v>
      </c>
      <c r="F13" s="222">
        <v>1180</v>
      </c>
      <c r="G13" s="222">
        <v>1200</v>
      </c>
      <c r="H13" s="255">
        <f>1200-1180</f>
        <v>20</v>
      </c>
      <c r="I13" s="207">
        <f t="shared" si="6"/>
        <v>254.23728813559322</v>
      </c>
      <c r="J13" s="161">
        <f t="shared" si="7"/>
        <v>5084.7457627118647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44749</v>
      </c>
      <c r="D14" s="161" t="s">
        <v>9</v>
      </c>
      <c r="E14" s="161" t="s">
        <v>192</v>
      </c>
      <c r="F14" s="222">
        <v>197.5</v>
      </c>
      <c r="G14" s="222">
        <v>201.5</v>
      </c>
      <c r="H14" s="222">
        <f>201.5-197.5</f>
        <v>4</v>
      </c>
      <c r="I14" s="207">
        <f t="shared" si="6"/>
        <v>1518.9873417721519</v>
      </c>
      <c r="J14" s="161">
        <f t="shared" si="7"/>
        <v>6075.9493670886077</v>
      </c>
      <c r="K14" s="153"/>
      <c r="M14" s="394" t="s">
        <v>1175</v>
      </c>
      <c r="N14" s="344">
        <f>COUNT(C194:C218)</f>
        <v>22</v>
      </c>
      <c r="O14" s="346">
        <f>V219</f>
        <v>19</v>
      </c>
      <c r="P14" s="346">
        <f>W219</f>
        <v>1</v>
      </c>
      <c r="Q14" s="374">
        <f t="shared" ref="Q14" si="11">N14-O14-P14</f>
        <v>2</v>
      </c>
      <c r="R14" s="376">
        <f t="shared" si="9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44749</v>
      </c>
      <c r="D15" s="161" t="s">
        <v>8</v>
      </c>
      <c r="E15" s="161" t="s">
        <v>31</v>
      </c>
      <c r="F15" s="222">
        <v>2390</v>
      </c>
      <c r="G15" s="222">
        <v>2375</v>
      </c>
      <c r="H15" s="222">
        <f>2390-2375</f>
        <v>15</v>
      </c>
      <c r="I15" s="207">
        <f t="shared" si="6"/>
        <v>125.52301255230125</v>
      </c>
      <c r="J15" s="161">
        <f t="shared" si="7"/>
        <v>1882.8451882845188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44750</v>
      </c>
      <c r="D16" s="161" t="s">
        <v>9</v>
      </c>
      <c r="E16" s="161" t="s">
        <v>3232</v>
      </c>
      <c r="F16" s="222">
        <v>710</v>
      </c>
      <c r="G16" s="222">
        <v>717.35</v>
      </c>
      <c r="H16" s="222">
        <v>7.35</v>
      </c>
      <c r="I16" s="207">
        <f t="shared" si="6"/>
        <v>422.53521126760563</v>
      </c>
      <c r="J16" s="161">
        <f t="shared" si="7"/>
        <v>3105.6338028169012</v>
      </c>
      <c r="K16" s="153"/>
      <c r="L16" s="25" t="s">
        <v>2008</v>
      </c>
      <c r="M16" s="394" t="s">
        <v>1090</v>
      </c>
      <c r="N16" s="344">
        <f>COUNT(C227:C251)</f>
        <v>21</v>
      </c>
      <c r="O16" s="346">
        <f>V252</f>
        <v>20</v>
      </c>
      <c r="P16" s="346">
        <f>W252</f>
        <v>1</v>
      </c>
      <c r="Q16" s="374">
        <v>0</v>
      </c>
      <c r="R16" s="376">
        <f t="shared" si="9"/>
        <v>0.95238095238095233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44750</v>
      </c>
      <c r="D17" s="161" t="s">
        <v>8</v>
      </c>
      <c r="E17" s="161" t="s">
        <v>3801</v>
      </c>
      <c r="F17" s="222">
        <v>452</v>
      </c>
      <c r="G17" s="222">
        <v>446</v>
      </c>
      <c r="H17" s="222">
        <f>452-446</f>
        <v>6</v>
      </c>
      <c r="I17" s="207">
        <f t="shared" si="6"/>
        <v>663.71681415929208</v>
      </c>
      <c r="J17" s="161">
        <f t="shared" si="7"/>
        <v>3982.3008849557527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44753</v>
      </c>
      <c r="D18" s="161" t="s">
        <v>9</v>
      </c>
      <c r="E18" s="161" t="s">
        <v>19</v>
      </c>
      <c r="F18" s="222">
        <v>489.5</v>
      </c>
      <c r="G18" s="222">
        <v>491</v>
      </c>
      <c r="H18" s="222">
        <f>491-489.5</f>
        <v>1.5</v>
      </c>
      <c r="I18" s="207">
        <f t="shared" si="6"/>
        <v>612.87027579162407</v>
      </c>
      <c r="J18" s="161">
        <f t="shared" si="7"/>
        <v>919.30541368743616</v>
      </c>
      <c r="K18" s="153"/>
      <c r="M18" s="392" t="s">
        <v>946</v>
      </c>
      <c r="N18" s="378">
        <f>SUM(N4:N17)</f>
        <v>170</v>
      </c>
      <c r="O18" s="378">
        <f t="shared" ref="O18:Q18" si="12">SUM(O4:O17)</f>
        <v>151</v>
      </c>
      <c r="P18" s="378">
        <f t="shared" si="12"/>
        <v>10</v>
      </c>
      <c r="Q18" s="378">
        <f t="shared" si="12"/>
        <v>9</v>
      </c>
      <c r="R18" s="380">
        <f t="shared" ref="R18" si="13">O18/N18</f>
        <v>0.88823529411764701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44753</v>
      </c>
      <c r="D19" s="161" t="s">
        <v>9</v>
      </c>
      <c r="E19" s="161" t="s">
        <v>3809</v>
      </c>
      <c r="F19" s="222">
        <v>591</v>
      </c>
      <c r="G19" s="222">
        <v>592.20000000000005</v>
      </c>
      <c r="H19" s="222">
        <v>1.2</v>
      </c>
      <c r="I19" s="207">
        <f t="shared" si="6"/>
        <v>507.61421319796955</v>
      </c>
      <c r="J19" s="161">
        <f t="shared" si="7"/>
        <v>609.13705583756348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44754</v>
      </c>
      <c r="D20" s="161" t="s">
        <v>9</v>
      </c>
      <c r="E20" s="161" t="s">
        <v>834</v>
      </c>
      <c r="F20" s="222">
        <v>228.5</v>
      </c>
      <c r="G20" s="222">
        <v>234.5</v>
      </c>
      <c r="H20" s="222">
        <f>234.5-228.5</f>
        <v>6</v>
      </c>
      <c r="I20" s="207">
        <f t="shared" si="6"/>
        <v>1312.9102844638949</v>
      </c>
      <c r="J20" s="161">
        <f t="shared" si="7"/>
        <v>7877.4617067833697</v>
      </c>
      <c r="K20" s="153"/>
      <c r="M20" s="316" t="s">
        <v>2253</v>
      </c>
      <c r="N20" s="317"/>
      <c r="O20" s="318"/>
      <c r="P20" s="325">
        <f>R18</f>
        <v>0.88823529411764701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44754</v>
      </c>
      <c r="D21" s="161" t="s">
        <v>9</v>
      </c>
      <c r="E21" s="161" t="s">
        <v>85</v>
      </c>
      <c r="F21" s="222">
        <v>665</v>
      </c>
      <c r="G21" s="222">
        <v>665</v>
      </c>
      <c r="H21" s="222">
        <v>0</v>
      </c>
      <c r="I21" s="207">
        <f t="shared" si="6"/>
        <v>451.1278195488722</v>
      </c>
      <c r="J21" s="161">
        <f t="shared" si="7"/>
        <v>0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44755</v>
      </c>
      <c r="D22" s="161" t="s">
        <v>9</v>
      </c>
      <c r="E22" s="161" t="s">
        <v>58</v>
      </c>
      <c r="F22" s="222">
        <v>681</v>
      </c>
      <c r="G22" s="222">
        <v>684.5</v>
      </c>
      <c r="H22" s="222">
        <f>684.5-681</f>
        <v>3.5</v>
      </c>
      <c r="I22" s="207">
        <f t="shared" si="6"/>
        <v>440.52863436123346</v>
      </c>
      <c r="J22" s="161">
        <f t="shared" si="7"/>
        <v>1541.8502202643172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44755</v>
      </c>
      <c r="D23" s="161" t="s">
        <v>9</v>
      </c>
      <c r="E23" s="161" t="s">
        <v>78</v>
      </c>
      <c r="F23" s="222">
        <v>1675</v>
      </c>
      <c r="G23" s="222">
        <v>1660</v>
      </c>
      <c r="H23" s="222">
        <v>-15</v>
      </c>
      <c r="I23" s="207">
        <f t="shared" si="6"/>
        <v>179.1044776119403</v>
      </c>
      <c r="J23" s="161">
        <f t="shared" si="7"/>
        <v>-2686.5671641791046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44756</v>
      </c>
      <c r="D24" s="161" t="s">
        <v>9</v>
      </c>
      <c r="E24" s="161" t="s">
        <v>94</v>
      </c>
      <c r="F24" s="222">
        <v>1365</v>
      </c>
      <c r="G24" s="222">
        <v>1372.4</v>
      </c>
      <c r="H24" s="222">
        <f>1372.4-1365</f>
        <v>7.4000000000000909</v>
      </c>
      <c r="I24" s="207">
        <f t="shared" si="6"/>
        <v>219.78021978021977</v>
      </c>
      <c r="J24" s="161">
        <f t="shared" si="7"/>
        <v>1626.3736263736462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44756</v>
      </c>
      <c r="D25" s="161" t="s">
        <v>8</v>
      </c>
      <c r="E25" s="161" t="s">
        <v>3343</v>
      </c>
      <c r="F25" s="222">
        <v>556</v>
      </c>
      <c r="G25" s="222">
        <v>550.35</v>
      </c>
      <c r="H25" s="222">
        <f>556-550.35</f>
        <v>5.6499999999999773</v>
      </c>
      <c r="I25" s="207">
        <f t="shared" si="6"/>
        <v>539.56834532374103</v>
      </c>
      <c r="J25" s="161">
        <f t="shared" si="7"/>
        <v>3048.5611510791246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44757</v>
      </c>
      <c r="D26" s="161" t="s">
        <v>8</v>
      </c>
      <c r="E26" s="161" t="s">
        <v>3343</v>
      </c>
      <c r="F26" s="222">
        <v>666</v>
      </c>
      <c r="G26" s="222">
        <v>660</v>
      </c>
      <c r="H26" s="222">
        <v>6</v>
      </c>
      <c r="I26" s="207">
        <f t="shared" si="6"/>
        <v>450.45045045045043</v>
      </c>
      <c r="J26" s="161">
        <f t="shared" si="7"/>
        <v>2702.7027027027025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44757</v>
      </c>
      <c r="D27" s="161" t="s">
        <v>8</v>
      </c>
      <c r="E27" s="161" t="s">
        <v>3343</v>
      </c>
      <c r="F27" s="222">
        <v>544</v>
      </c>
      <c r="G27" s="222">
        <v>539</v>
      </c>
      <c r="H27" s="222">
        <f>544-539</f>
        <v>5</v>
      </c>
      <c r="I27" s="207">
        <f t="shared" si="6"/>
        <v>551.47058823529414</v>
      </c>
      <c r="J27" s="161">
        <f t="shared" si="7"/>
        <v>2757.3529411764707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44760</v>
      </c>
      <c r="D28" s="161" t="s">
        <v>9</v>
      </c>
      <c r="E28" s="161" t="s">
        <v>552</v>
      </c>
      <c r="F28" s="222">
        <v>833</v>
      </c>
      <c r="G28" s="222">
        <v>843</v>
      </c>
      <c r="H28" s="222">
        <v>10</v>
      </c>
      <c r="I28" s="207">
        <f t="shared" si="6"/>
        <v>360.14405762304921</v>
      </c>
      <c r="J28" s="161">
        <f t="shared" si="7"/>
        <v>3601.4405762304923</v>
      </c>
      <c r="K28" s="153"/>
    </row>
    <row r="29" spans="1:23" x14ac:dyDescent="0.3">
      <c r="A29" s="147"/>
      <c r="B29" s="205">
        <f t="shared" si="5"/>
        <v>24</v>
      </c>
      <c r="C29" s="206">
        <v>44760</v>
      </c>
      <c r="D29" s="161" t="s">
        <v>8</v>
      </c>
      <c r="E29" s="161" t="s">
        <v>3188</v>
      </c>
      <c r="F29" s="222">
        <v>1250</v>
      </c>
      <c r="G29" s="222">
        <v>1265</v>
      </c>
      <c r="H29" s="222">
        <v>-15</v>
      </c>
      <c r="I29" s="207">
        <f t="shared" si="6"/>
        <v>240</v>
      </c>
      <c r="J29" s="161">
        <f t="shared" si="7"/>
        <v>-3600</v>
      </c>
      <c r="K29" s="153"/>
    </row>
    <row r="30" spans="1:23" x14ac:dyDescent="0.3">
      <c r="A30" s="147"/>
      <c r="B30" s="205">
        <f t="shared" si="5"/>
        <v>25</v>
      </c>
      <c r="C30" s="206">
        <v>44761</v>
      </c>
      <c r="D30" s="161" t="s">
        <v>9</v>
      </c>
      <c r="E30" s="161" t="s">
        <v>3515</v>
      </c>
      <c r="F30" s="222">
        <v>1810</v>
      </c>
      <c r="G30" s="222">
        <v>1829.45</v>
      </c>
      <c r="H30" s="222">
        <f>1829.45-1810</f>
        <v>19.450000000000045</v>
      </c>
      <c r="I30" s="207">
        <f t="shared" si="6"/>
        <v>165.74585635359117</v>
      </c>
      <c r="J30" s="161">
        <f t="shared" si="7"/>
        <v>3223.7569060773558</v>
      </c>
      <c r="K30" s="153"/>
      <c r="M30" s="25" t="s">
        <v>2008</v>
      </c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44761</v>
      </c>
      <c r="D31" s="161" t="s">
        <v>9</v>
      </c>
      <c r="E31" s="161" t="s">
        <v>578</v>
      </c>
      <c r="F31" s="222">
        <v>1480</v>
      </c>
      <c r="G31" s="222">
        <v>1486</v>
      </c>
      <c r="H31" s="222">
        <v>6</v>
      </c>
      <c r="I31" s="207">
        <f t="shared" si="6"/>
        <v>202.70270270270271</v>
      </c>
      <c r="J31" s="161">
        <f t="shared" si="7"/>
        <v>1216.2162162162163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44762</v>
      </c>
      <c r="D32" s="161" t="s">
        <v>9</v>
      </c>
      <c r="E32" s="161" t="s">
        <v>126</v>
      </c>
      <c r="F32" s="222">
        <v>3145</v>
      </c>
      <c r="G32" s="222">
        <v>3165</v>
      </c>
      <c r="H32" s="222">
        <f>3165-3145</f>
        <v>20</v>
      </c>
      <c r="I32" s="207">
        <f t="shared" si="6"/>
        <v>95.389507154213035</v>
      </c>
      <c r="J32" s="161">
        <f t="shared" si="7"/>
        <v>1907.7901430842608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44762</v>
      </c>
      <c r="D33" s="161" t="s">
        <v>8</v>
      </c>
      <c r="E33" s="161" t="s">
        <v>168</v>
      </c>
      <c r="F33" s="222">
        <v>1255</v>
      </c>
      <c r="G33" s="222">
        <v>1235</v>
      </c>
      <c r="H33" s="222">
        <v>20</v>
      </c>
      <c r="I33" s="207">
        <f t="shared" si="6"/>
        <v>239.04382470119521</v>
      </c>
      <c r="J33" s="161">
        <f t="shared" si="7"/>
        <v>4780.8764940239043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44763</v>
      </c>
      <c r="D34" s="161" t="s">
        <v>9</v>
      </c>
      <c r="E34" s="161" t="s">
        <v>299</v>
      </c>
      <c r="F34" s="222">
        <v>2495</v>
      </c>
      <c r="G34" s="222">
        <v>2500</v>
      </c>
      <c r="H34" s="222">
        <f>2500-2495</f>
        <v>5</v>
      </c>
      <c r="I34" s="207">
        <f t="shared" si="6"/>
        <v>120.24048096192385</v>
      </c>
      <c r="J34" s="161">
        <f t="shared" si="7"/>
        <v>601.20240480961922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44763</v>
      </c>
      <c r="D35" s="161" t="s">
        <v>9</v>
      </c>
      <c r="E35" s="161" t="s">
        <v>99</v>
      </c>
      <c r="F35" s="222">
        <v>300</v>
      </c>
      <c r="G35" s="222">
        <v>301.75</v>
      </c>
      <c r="H35" s="222">
        <v>1.75</v>
      </c>
      <c r="I35" s="207">
        <f t="shared" si="6"/>
        <v>1000</v>
      </c>
      <c r="J35" s="161">
        <f t="shared" si="7"/>
        <v>1750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44764</v>
      </c>
      <c r="D36" s="161" t="s">
        <v>9</v>
      </c>
      <c r="E36" s="161" t="s">
        <v>58</v>
      </c>
      <c r="F36" s="222">
        <v>718</v>
      </c>
      <c r="G36" s="222">
        <v>730</v>
      </c>
      <c r="H36" s="222">
        <f>730-718</f>
        <v>12</v>
      </c>
      <c r="I36" s="207">
        <f t="shared" si="6"/>
        <v>417.82729805013929</v>
      </c>
      <c r="J36" s="161">
        <f t="shared" si="7"/>
        <v>5013.9275766016717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44764</v>
      </c>
      <c r="D37" s="161" t="s">
        <v>9</v>
      </c>
      <c r="E37" s="161" t="s">
        <v>2298</v>
      </c>
      <c r="F37" s="222">
        <v>2280</v>
      </c>
      <c r="G37" s="222">
        <v>2275</v>
      </c>
      <c r="H37" s="222">
        <v>-5</v>
      </c>
      <c r="I37" s="207">
        <f t="shared" si="6"/>
        <v>131.57894736842104</v>
      </c>
      <c r="J37" s="161">
        <f t="shared" si="7"/>
        <v>-657.8947368421052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44767</v>
      </c>
      <c r="D38" s="161" t="s">
        <v>9</v>
      </c>
      <c r="E38" s="161" t="s">
        <v>85</v>
      </c>
      <c r="F38" s="222">
        <v>683</v>
      </c>
      <c r="G38" s="222">
        <v>685.8</v>
      </c>
      <c r="H38" s="222">
        <f>685.8-683</f>
        <v>2.7999999999999545</v>
      </c>
      <c r="I38" s="207">
        <f t="shared" si="6"/>
        <v>439.23865300146412</v>
      </c>
      <c r="J38" s="161">
        <f t="shared" si="7"/>
        <v>1229.8682284040794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44768</v>
      </c>
      <c r="D39" s="161" t="s">
        <v>9</v>
      </c>
      <c r="E39" s="161" t="s">
        <v>2814</v>
      </c>
      <c r="F39" s="222">
        <v>1960</v>
      </c>
      <c r="G39" s="222">
        <v>1940</v>
      </c>
      <c r="H39" s="222">
        <v>-20</v>
      </c>
      <c r="I39" s="207">
        <f t="shared" si="6"/>
        <v>153.0612244897959</v>
      </c>
      <c r="J39" s="161">
        <f t="shared" si="7"/>
        <v>-3061.2244897959181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44768</v>
      </c>
      <c r="D40" s="161" t="s">
        <v>9</v>
      </c>
      <c r="E40" s="161" t="s">
        <v>31</v>
      </c>
      <c r="F40" s="222">
        <v>2435</v>
      </c>
      <c r="G40" s="222">
        <v>2442</v>
      </c>
      <c r="H40" s="222">
        <f>2442-2435</f>
        <v>7</v>
      </c>
      <c r="I40" s="207">
        <f t="shared" si="6"/>
        <v>123.20328542094455</v>
      </c>
      <c r="J40" s="161">
        <f t="shared" si="7"/>
        <v>862.42299794661187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44769</v>
      </c>
      <c r="D41" s="161" t="s">
        <v>9</v>
      </c>
      <c r="E41" s="161" t="s">
        <v>3474</v>
      </c>
      <c r="F41" s="222">
        <v>1010</v>
      </c>
      <c r="G41" s="222">
        <v>1020</v>
      </c>
      <c r="H41" s="222">
        <v>10</v>
      </c>
      <c r="I41" s="207">
        <f t="shared" si="6"/>
        <v>297.02970297029702</v>
      </c>
      <c r="J41" s="161">
        <f t="shared" si="7"/>
        <v>2970.2970297029701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44769</v>
      </c>
      <c r="D42" s="161" t="s">
        <v>9</v>
      </c>
      <c r="E42" s="161" t="s">
        <v>26</v>
      </c>
      <c r="F42" s="222">
        <v>365</v>
      </c>
      <c r="G42" s="222">
        <v>369</v>
      </c>
      <c r="H42" s="222">
        <v>4</v>
      </c>
      <c r="I42" s="207">
        <f t="shared" si="6"/>
        <v>821.91780821917803</v>
      </c>
      <c r="J42" s="161">
        <f t="shared" si="7"/>
        <v>3287.6712328767121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44770</v>
      </c>
      <c r="D43" s="161" t="s">
        <v>9</v>
      </c>
      <c r="E43" s="161" t="s">
        <v>578</v>
      </c>
      <c r="F43" s="222">
        <v>1500</v>
      </c>
      <c r="G43" s="223">
        <v>1520</v>
      </c>
      <c r="H43" s="222">
        <v>20</v>
      </c>
      <c r="I43" s="207">
        <f t="shared" si="6"/>
        <v>200</v>
      </c>
      <c r="J43" s="161">
        <f t="shared" si="7"/>
        <v>4000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44770</v>
      </c>
      <c r="D44" s="161" t="s">
        <v>9</v>
      </c>
      <c r="E44" s="161" t="s">
        <v>58</v>
      </c>
      <c r="F44" s="222">
        <v>727</v>
      </c>
      <c r="G44" s="222">
        <v>733</v>
      </c>
      <c r="H44" s="222">
        <f>733-727</f>
        <v>6</v>
      </c>
      <c r="I44" s="207">
        <f t="shared" si="6"/>
        <v>412.65474552957357</v>
      </c>
      <c r="J44" s="161">
        <f t="shared" si="7"/>
        <v>2475.9284731774414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44771</v>
      </c>
      <c r="D45" s="161" t="s">
        <v>9</v>
      </c>
      <c r="E45" s="161" t="s">
        <v>3746</v>
      </c>
      <c r="F45" s="222">
        <v>198.5</v>
      </c>
      <c r="G45" s="222">
        <v>202.5</v>
      </c>
      <c r="H45" s="222">
        <f>202.5-198.5</f>
        <v>4</v>
      </c>
      <c r="I45" s="207">
        <f t="shared" si="6"/>
        <v>1511.3350125944585</v>
      </c>
      <c r="J45" s="161">
        <f t="shared" si="7"/>
        <v>6045.3400503778339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44771</v>
      </c>
      <c r="D46" s="161" t="s">
        <v>8</v>
      </c>
      <c r="E46" s="161" t="s">
        <v>58</v>
      </c>
      <c r="F46" s="222">
        <v>730</v>
      </c>
      <c r="G46" s="222">
        <v>724</v>
      </c>
      <c r="H46" s="222">
        <f>730-724</f>
        <v>6</v>
      </c>
      <c r="I46" s="207">
        <f t="shared" si="6"/>
        <v>410.95890410958901</v>
      </c>
      <c r="J46" s="161">
        <f t="shared" si="7"/>
        <v>2465.7534246575342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x14ac:dyDescent="0.3">
      <c r="A51" s="147"/>
      <c r="B51" s="205">
        <f t="shared" si="5"/>
        <v>46</v>
      </c>
      <c r="C51" s="206"/>
      <c r="D51" s="161"/>
      <c r="E51" s="161"/>
      <c r="F51" s="222"/>
      <c r="G51" s="222"/>
      <c r="H51" s="222"/>
      <c r="I51" s="207"/>
      <c r="J51" s="161"/>
      <c r="K51" s="153"/>
      <c r="V51" s="25">
        <f t="shared" si="3"/>
        <v>0</v>
      </c>
      <c r="W51" s="25">
        <f t="shared" si="4"/>
        <v>0</v>
      </c>
    </row>
    <row r="52" spans="1:23" x14ac:dyDescent="0.3">
      <c r="A52" s="147"/>
      <c r="B52" s="205">
        <f t="shared" si="5"/>
        <v>47</v>
      </c>
      <c r="C52" s="206"/>
      <c r="D52" s="161"/>
      <c r="E52" s="161"/>
      <c r="F52" s="222"/>
      <c r="G52" s="222"/>
      <c r="H52" s="222"/>
      <c r="I52" s="207"/>
      <c r="J52" s="161"/>
      <c r="K52" s="153"/>
      <c r="V52" s="25">
        <f t="shared" si="3"/>
        <v>0</v>
      </c>
      <c r="W52" s="25">
        <f t="shared" si="4"/>
        <v>0</v>
      </c>
    </row>
    <row r="53" spans="1:23" ht="15" thickBot="1" x14ac:dyDescent="0.35">
      <c r="A53" s="147"/>
      <c r="B53" s="208">
        <f t="shared" si="5"/>
        <v>48</v>
      </c>
      <c r="C53" s="209"/>
      <c r="D53" s="166"/>
      <c r="E53" s="166"/>
      <c r="F53" s="210"/>
      <c r="G53" s="210"/>
      <c r="H53" s="166"/>
      <c r="I53" s="210"/>
      <c r="J53" s="161"/>
      <c r="K53" s="153"/>
      <c r="V53" s="25">
        <f t="shared" si="3"/>
        <v>0</v>
      </c>
      <c r="W53" s="25">
        <f t="shared" si="4"/>
        <v>0</v>
      </c>
    </row>
    <row r="54" spans="1:23" ht="24" thickBot="1" x14ac:dyDescent="0.5">
      <c r="A54" s="147"/>
      <c r="B54" s="370" t="s">
        <v>2254</v>
      </c>
      <c r="C54" s="371"/>
      <c r="D54" s="371"/>
      <c r="E54" s="371"/>
      <c r="F54" s="371"/>
      <c r="G54" s="371"/>
      <c r="H54" s="372"/>
      <c r="I54" s="211" t="s">
        <v>2255</v>
      </c>
      <c r="J54" s="212">
        <f>SUM(J6:J53)</f>
        <v>93940.720142640042</v>
      </c>
      <c r="K54" s="153"/>
      <c r="V54" s="25">
        <f>SUM(V6:V53)</f>
        <v>34</v>
      </c>
      <c r="W54" s="25">
        <f>SUM(W6:W53)</f>
        <v>4</v>
      </c>
    </row>
    <row r="55" spans="1:23" ht="30" customHeight="1" thickBot="1" x14ac:dyDescent="0.35">
      <c r="A55" s="213"/>
      <c r="B55" s="172"/>
      <c r="C55" s="172"/>
      <c r="D55" s="172"/>
      <c r="E55" s="172"/>
      <c r="F55" s="172"/>
      <c r="G55" s="172"/>
      <c r="H55" s="235"/>
      <c r="I55" s="172"/>
      <c r="J55" s="235"/>
      <c r="K55" s="214"/>
      <c r="M55" s="25" t="s">
        <v>2008</v>
      </c>
    </row>
    <row r="56" spans="1:23" ht="15" thickBot="1" x14ac:dyDescent="0.35"/>
    <row r="57" spans="1:23" ht="30" customHeight="1" thickBot="1" x14ac:dyDescent="0.35">
      <c r="A57" s="198"/>
      <c r="B57" s="143"/>
      <c r="C57" s="143"/>
      <c r="D57" s="143"/>
      <c r="E57" s="143"/>
      <c r="F57" s="143"/>
      <c r="G57" s="143"/>
      <c r="H57" s="232"/>
      <c r="I57" s="143"/>
      <c r="J57" s="232"/>
      <c r="K57" s="199"/>
    </row>
    <row r="58" spans="1:23" ht="25.2" thickBot="1" x14ac:dyDescent="0.35">
      <c r="A58" s="147" t="s">
        <v>0</v>
      </c>
      <c r="B58" s="361" t="s">
        <v>2244</v>
      </c>
      <c r="C58" s="362"/>
      <c r="D58" s="362"/>
      <c r="E58" s="362"/>
      <c r="F58" s="362"/>
      <c r="G58" s="362"/>
      <c r="H58" s="362"/>
      <c r="I58" s="362"/>
      <c r="J58" s="363"/>
      <c r="K58" s="153"/>
      <c r="O58" s="215"/>
      <c r="P58" s="215"/>
      <c r="Q58" s="215"/>
      <c r="R58" s="215"/>
    </row>
    <row r="59" spans="1:23" ht="16.2" thickBot="1" x14ac:dyDescent="0.35">
      <c r="A59" s="147"/>
      <c r="B59" s="364" t="s">
        <v>3850</v>
      </c>
      <c r="C59" s="365"/>
      <c r="D59" s="365"/>
      <c r="E59" s="365"/>
      <c r="F59" s="365"/>
      <c r="G59" s="365"/>
      <c r="H59" s="365"/>
      <c r="I59" s="365"/>
      <c r="J59" s="366"/>
      <c r="K59" s="153"/>
    </row>
    <row r="60" spans="1:23" ht="16.2" thickBot="1" x14ac:dyDescent="0.35">
      <c r="A60" s="147"/>
      <c r="B60" s="367" t="s">
        <v>2256</v>
      </c>
      <c r="C60" s="368"/>
      <c r="D60" s="368"/>
      <c r="E60" s="368"/>
      <c r="F60" s="368"/>
      <c r="G60" s="368"/>
      <c r="H60" s="368"/>
      <c r="I60" s="368"/>
      <c r="J60" s="369"/>
      <c r="K60" s="153"/>
    </row>
    <row r="61" spans="1:23" s="215" customFormat="1" ht="15" thickBot="1" x14ac:dyDescent="0.35">
      <c r="A61" s="175"/>
      <c r="B61" s="148" t="s">
        <v>2248</v>
      </c>
      <c r="C61" s="149" t="s">
        <v>1</v>
      </c>
      <c r="D61" s="150" t="s">
        <v>5</v>
      </c>
      <c r="E61" s="150" t="s">
        <v>6</v>
      </c>
      <c r="F61" s="151" t="s">
        <v>2249</v>
      </c>
      <c r="G61" s="151" t="s">
        <v>2250</v>
      </c>
      <c r="H61" s="237" t="s">
        <v>2251</v>
      </c>
      <c r="I61" s="151" t="s">
        <v>2257</v>
      </c>
      <c r="J61" s="240" t="s">
        <v>4</v>
      </c>
      <c r="K61" s="176"/>
      <c r="M61" s="25"/>
      <c r="N61" s="25"/>
      <c r="O61" s="25"/>
      <c r="P61" s="25"/>
      <c r="Q61" s="25"/>
      <c r="R61" s="25"/>
      <c r="V61" s="201" t="s">
        <v>454</v>
      </c>
      <c r="W61" s="201" t="s">
        <v>455</v>
      </c>
    </row>
    <row r="62" spans="1:23" x14ac:dyDescent="0.3">
      <c r="A62" s="147"/>
      <c r="B62" s="202">
        <v>1</v>
      </c>
      <c r="C62" s="206">
        <v>44743</v>
      </c>
      <c r="D62" s="161" t="s">
        <v>9</v>
      </c>
      <c r="E62" s="161" t="s">
        <v>58</v>
      </c>
      <c r="F62" s="222">
        <v>640</v>
      </c>
      <c r="G62" s="222">
        <v>646</v>
      </c>
      <c r="H62" s="222">
        <v>6</v>
      </c>
      <c r="I62" s="207">
        <v>1200</v>
      </c>
      <c r="J62" s="241">
        <f t="shared" ref="J62:J86" si="14">I62*H62</f>
        <v>7200</v>
      </c>
      <c r="K62" s="153"/>
      <c r="V62" s="25">
        <f>IF($J62&gt;0,1,0)</f>
        <v>1</v>
      </c>
      <c r="W62" s="25">
        <f>IF($J62&lt;0,1,0)</f>
        <v>0</v>
      </c>
    </row>
    <row r="63" spans="1:23" x14ac:dyDescent="0.3">
      <c r="A63" s="147"/>
      <c r="B63" s="205">
        <f>B62+1</f>
        <v>2</v>
      </c>
      <c r="C63" s="206">
        <v>44746</v>
      </c>
      <c r="D63" s="161" t="s">
        <v>9</v>
      </c>
      <c r="E63" s="161" t="s">
        <v>109</v>
      </c>
      <c r="F63" s="222">
        <v>1088</v>
      </c>
      <c r="G63" s="222">
        <v>1078</v>
      </c>
      <c r="H63" s="222">
        <v>-10</v>
      </c>
      <c r="I63" s="207">
        <v>700</v>
      </c>
      <c r="J63" s="242">
        <f t="shared" si="14"/>
        <v>-7000</v>
      </c>
      <c r="K63" s="153"/>
      <c r="O63" s="25" t="s">
        <v>2008</v>
      </c>
      <c r="V63" s="25">
        <f t="shared" ref="V63:V86" si="15">IF($J63&gt;0,1,0)</f>
        <v>0</v>
      </c>
      <c r="W63" s="25">
        <f t="shared" ref="W63:W86" si="16">IF($J63&lt;0,1,0)</f>
        <v>1</v>
      </c>
    </row>
    <row r="64" spans="1:23" x14ac:dyDescent="0.3">
      <c r="A64" s="147"/>
      <c r="B64" s="205">
        <f t="shared" ref="B64:B86" si="17">B63+1</f>
        <v>3</v>
      </c>
      <c r="C64" s="206">
        <v>44747</v>
      </c>
      <c r="D64" s="161" t="s">
        <v>9</v>
      </c>
      <c r="E64" s="161" t="s">
        <v>578</v>
      </c>
      <c r="F64" s="222">
        <v>1500</v>
      </c>
      <c r="G64" s="222">
        <v>1509.4</v>
      </c>
      <c r="H64" s="222">
        <v>9.4</v>
      </c>
      <c r="I64" s="207">
        <v>300</v>
      </c>
      <c r="J64" s="242">
        <f t="shared" si="14"/>
        <v>2820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4</v>
      </c>
      <c r="C65" s="206">
        <v>44748</v>
      </c>
      <c r="D65" s="161" t="s">
        <v>9</v>
      </c>
      <c r="E65" s="161" t="s">
        <v>52</v>
      </c>
      <c r="F65" s="222">
        <v>2380</v>
      </c>
      <c r="G65" s="222">
        <v>2420</v>
      </c>
      <c r="H65" s="222">
        <f>2420-2380</f>
        <v>40</v>
      </c>
      <c r="I65" s="207">
        <v>250</v>
      </c>
      <c r="J65" s="242">
        <f>I65*H65</f>
        <v>10000</v>
      </c>
      <c r="K65" s="153"/>
      <c r="L65" s="25" t="s">
        <v>2008</v>
      </c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5</v>
      </c>
      <c r="C66" s="206">
        <v>44749</v>
      </c>
      <c r="D66" s="161" t="s">
        <v>9</v>
      </c>
      <c r="E66" s="161" t="s">
        <v>124</v>
      </c>
      <c r="F66" s="222">
        <v>422</v>
      </c>
      <c r="G66" s="222">
        <v>429.45</v>
      </c>
      <c r="H66" s="222">
        <f>429.25-422</f>
        <v>7.25</v>
      </c>
      <c r="I66" s="207">
        <v>1425</v>
      </c>
      <c r="J66" s="242">
        <f>I66*H66</f>
        <v>10331.25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6</v>
      </c>
      <c r="C67" s="206">
        <v>44750</v>
      </c>
      <c r="D67" s="161" t="s">
        <v>9</v>
      </c>
      <c r="E67" s="161" t="s">
        <v>299</v>
      </c>
      <c r="F67" s="222">
        <v>2285</v>
      </c>
      <c r="G67" s="222">
        <v>2305</v>
      </c>
      <c r="H67" s="222">
        <f>2305-2285</f>
        <v>20</v>
      </c>
      <c r="I67" s="207">
        <v>500</v>
      </c>
      <c r="J67" s="242">
        <f>I67*H67</f>
        <v>10000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7</v>
      </c>
      <c r="C68" s="206">
        <v>44753</v>
      </c>
      <c r="D68" s="161" t="s">
        <v>8</v>
      </c>
      <c r="E68" s="161" t="s">
        <v>29</v>
      </c>
      <c r="F68" s="222">
        <v>955</v>
      </c>
      <c r="G68" s="222">
        <v>935</v>
      </c>
      <c r="H68" s="222">
        <v>20</v>
      </c>
      <c r="I68" s="207">
        <v>700</v>
      </c>
      <c r="J68" s="242">
        <f t="shared" si="14"/>
        <v>14000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8</v>
      </c>
      <c r="C69" s="206">
        <v>44754</v>
      </c>
      <c r="D69" s="161" t="s">
        <v>9</v>
      </c>
      <c r="E69" s="161" t="s">
        <v>299</v>
      </c>
      <c r="F69" s="222">
        <v>2375</v>
      </c>
      <c r="G69" s="222">
        <v>2395</v>
      </c>
      <c r="H69" s="222">
        <v>20</v>
      </c>
      <c r="I69" s="207">
        <v>500</v>
      </c>
      <c r="J69" s="242">
        <f>I69*H69</f>
        <v>10000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9</v>
      </c>
      <c r="C70" s="206">
        <v>44755</v>
      </c>
      <c r="D70" s="161" t="s">
        <v>9</v>
      </c>
      <c r="E70" s="161" t="s">
        <v>299</v>
      </c>
      <c r="F70" s="222">
        <v>2370</v>
      </c>
      <c r="G70" s="222">
        <v>2344</v>
      </c>
      <c r="H70" s="222">
        <f>2370-2344</f>
        <v>26</v>
      </c>
      <c r="I70" s="207">
        <v>500</v>
      </c>
      <c r="J70" s="242">
        <f>I70*H70</f>
        <v>13000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10</v>
      </c>
      <c r="C71" s="206">
        <v>44756</v>
      </c>
      <c r="D71" s="161" t="s">
        <v>9</v>
      </c>
      <c r="E71" s="161" t="s">
        <v>137</v>
      </c>
      <c r="F71" s="222">
        <v>2520</v>
      </c>
      <c r="G71" s="222">
        <v>2500</v>
      </c>
      <c r="H71" s="222">
        <v>-20</v>
      </c>
      <c r="I71" s="207">
        <v>300</v>
      </c>
      <c r="J71" s="242">
        <f>I71*H71</f>
        <v>-6000</v>
      </c>
      <c r="K71" s="153"/>
      <c r="V71" s="25">
        <f t="shared" si="15"/>
        <v>0</v>
      </c>
      <c r="W71" s="25">
        <f t="shared" si="16"/>
        <v>1</v>
      </c>
    </row>
    <row r="72" spans="1:23" x14ac:dyDescent="0.3">
      <c r="A72" s="147"/>
      <c r="B72" s="205">
        <f t="shared" si="17"/>
        <v>11</v>
      </c>
      <c r="C72" s="206">
        <v>44756</v>
      </c>
      <c r="D72" s="161" t="s">
        <v>9</v>
      </c>
      <c r="E72" s="161" t="s">
        <v>365</v>
      </c>
      <c r="F72" s="161">
        <v>584</v>
      </c>
      <c r="G72" s="222">
        <v>586</v>
      </c>
      <c r="H72" s="222">
        <v>2</v>
      </c>
      <c r="I72" s="207">
        <v>1350</v>
      </c>
      <c r="J72" s="242">
        <f t="shared" si="14"/>
        <v>2700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12</v>
      </c>
      <c r="C73" s="206">
        <v>44757</v>
      </c>
      <c r="D73" s="161" t="s">
        <v>8</v>
      </c>
      <c r="E73" s="161" t="s">
        <v>3862</v>
      </c>
      <c r="F73" s="222">
        <v>562</v>
      </c>
      <c r="G73" s="222">
        <v>558</v>
      </c>
      <c r="H73" s="222">
        <f>562-558</f>
        <v>4</v>
      </c>
      <c r="I73" s="207">
        <v>1250</v>
      </c>
      <c r="J73" s="242">
        <f t="shared" si="14"/>
        <v>5000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13</v>
      </c>
      <c r="C74" s="206">
        <v>44760</v>
      </c>
      <c r="D74" s="161" t="s">
        <v>9</v>
      </c>
      <c r="E74" s="161" t="s">
        <v>78</v>
      </c>
      <c r="F74" s="222">
        <v>1700</v>
      </c>
      <c r="G74" s="222">
        <v>1711</v>
      </c>
      <c r="H74" s="222">
        <v>11</v>
      </c>
      <c r="I74" s="207">
        <v>300</v>
      </c>
      <c r="J74" s="242">
        <f t="shared" si="14"/>
        <v>3300</v>
      </c>
      <c r="K74" s="153"/>
    </row>
    <row r="75" spans="1:23" x14ac:dyDescent="0.3">
      <c r="A75" s="147"/>
      <c r="B75" s="205">
        <f t="shared" si="17"/>
        <v>14</v>
      </c>
      <c r="C75" s="206">
        <v>44761</v>
      </c>
      <c r="D75" s="161" t="s">
        <v>9</v>
      </c>
      <c r="E75" s="161" t="s">
        <v>2416</v>
      </c>
      <c r="F75" s="222">
        <v>6040</v>
      </c>
      <c r="G75" s="222">
        <v>6094</v>
      </c>
      <c r="H75" s="222">
        <f>6094-6040</f>
        <v>54</v>
      </c>
      <c r="I75" s="207">
        <v>125</v>
      </c>
      <c r="J75" s="242">
        <f t="shared" si="14"/>
        <v>6750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15</v>
      </c>
      <c r="C76" s="206">
        <v>44762</v>
      </c>
      <c r="D76" s="161" t="s">
        <v>9</v>
      </c>
      <c r="E76" s="161" t="s">
        <v>126</v>
      </c>
      <c r="F76" s="223">
        <v>3135</v>
      </c>
      <c r="G76" s="222">
        <v>3164.65</v>
      </c>
      <c r="H76" s="255">
        <v>29.65</v>
      </c>
      <c r="I76" s="207">
        <v>150</v>
      </c>
      <c r="J76" s="242">
        <f t="shared" si="14"/>
        <v>4447.5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16</v>
      </c>
      <c r="C77" s="206">
        <v>44763</v>
      </c>
      <c r="D77" s="161" t="s">
        <v>9</v>
      </c>
      <c r="E77" s="161" t="s">
        <v>299</v>
      </c>
      <c r="F77" s="222">
        <v>2470</v>
      </c>
      <c r="G77" s="222">
        <v>2505</v>
      </c>
      <c r="H77" s="255">
        <f>2502-2470</f>
        <v>32</v>
      </c>
      <c r="I77" s="207">
        <v>500</v>
      </c>
      <c r="J77" s="242">
        <f t="shared" si="14"/>
        <v>16000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17</v>
      </c>
      <c r="C78" s="206">
        <v>44764</v>
      </c>
      <c r="D78" s="161" t="s">
        <v>9</v>
      </c>
      <c r="E78" s="161" t="s">
        <v>31</v>
      </c>
      <c r="F78" s="222">
        <v>2510</v>
      </c>
      <c r="G78" s="222">
        <v>2505</v>
      </c>
      <c r="H78" s="255">
        <v>-5</v>
      </c>
      <c r="I78" s="207">
        <v>250</v>
      </c>
      <c r="J78" s="242">
        <f t="shared" si="14"/>
        <v>-1250</v>
      </c>
      <c r="K78" s="153"/>
      <c r="V78" s="25">
        <f t="shared" si="15"/>
        <v>0</v>
      </c>
      <c r="W78" s="25">
        <f t="shared" si="16"/>
        <v>1</v>
      </c>
    </row>
    <row r="79" spans="1:23" x14ac:dyDescent="0.3">
      <c r="A79" s="147"/>
      <c r="B79" s="205">
        <f t="shared" si="17"/>
        <v>18</v>
      </c>
      <c r="C79" s="206">
        <v>44767</v>
      </c>
      <c r="D79" s="161" t="s">
        <v>8</v>
      </c>
      <c r="E79" s="161" t="s">
        <v>2995</v>
      </c>
      <c r="F79" s="222">
        <v>810</v>
      </c>
      <c r="G79" s="222">
        <v>802</v>
      </c>
      <c r="H79" s="222">
        <v>8</v>
      </c>
      <c r="I79" s="207">
        <v>900</v>
      </c>
      <c r="J79" s="242">
        <f t="shared" si="14"/>
        <v>7200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19</v>
      </c>
      <c r="C80" s="206">
        <v>44768</v>
      </c>
      <c r="D80" s="161" t="s">
        <v>8</v>
      </c>
      <c r="E80" s="161" t="s">
        <v>2416</v>
      </c>
      <c r="F80" s="222">
        <v>6260</v>
      </c>
      <c r="G80" s="222">
        <v>6320</v>
      </c>
      <c r="H80" s="222">
        <v>60</v>
      </c>
      <c r="I80" s="207">
        <v>125</v>
      </c>
      <c r="J80" s="242">
        <f t="shared" si="14"/>
        <v>7500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20</v>
      </c>
      <c r="C81" s="206">
        <v>44769</v>
      </c>
      <c r="D81" s="161" t="s">
        <v>9</v>
      </c>
      <c r="E81" s="161" t="s">
        <v>25</v>
      </c>
      <c r="F81" s="222">
        <v>952</v>
      </c>
      <c r="G81" s="222">
        <v>960</v>
      </c>
      <c r="H81" s="222">
        <f>960-952</f>
        <v>8</v>
      </c>
      <c r="I81" s="207">
        <v>425</v>
      </c>
      <c r="J81" s="242">
        <f t="shared" si="14"/>
        <v>3400</v>
      </c>
      <c r="K81" s="153"/>
      <c r="V81" s="25">
        <f t="shared" si="15"/>
        <v>1</v>
      </c>
      <c r="W81" s="25">
        <f t="shared" si="16"/>
        <v>0</v>
      </c>
    </row>
    <row r="82" spans="1:23" x14ac:dyDescent="0.3">
      <c r="A82" s="147"/>
      <c r="B82" s="205">
        <f t="shared" si="17"/>
        <v>21</v>
      </c>
      <c r="C82" s="206">
        <v>44770</v>
      </c>
      <c r="D82" s="161" t="s">
        <v>9</v>
      </c>
      <c r="E82" s="161" t="s">
        <v>95</v>
      </c>
      <c r="F82" s="222">
        <v>811</v>
      </c>
      <c r="G82" s="222">
        <v>814</v>
      </c>
      <c r="H82" s="222">
        <v>3</v>
      </c>
      <c r="I82" s="207">
        <v>1375</v>
      </c>
      <c r="J82" s="242">
        <f t="shared" si="14"/>
        <v>4125</v>
      </c>
      <c r="K82" s="153"/>
      <c r="V82" s="25">
        <f t="shared" si="15"/>
        <v>1</v>
      </c>
      <c r="W82" s="25">
        <f t="shared" si="16"/>
        <v>0</v>
      </c>
    </row>
    <row r="83" spans="1:23" x14ac:dyDescent="0.3">
      <c r="A83" s="147"/>
      <c r="B83" s="205">
        <f t="shared" si="17"/>
        <v>22</v>
      </c>
      <c r="C83" s="206">
        <v>44771</v>
      </c>
      <c r="D83" s="161" t="s">
        <v>9</v>
      </c>
      <c r="E83" s="161" t="s">
        <v>365</v>
      </c>
      <c r="F83" s="222">
        <v>636</v>
      </c>
      <c r="G83" s="222">
        <v>640.5</v>
      </c>
      <c r="H83" s="222">
        <f>640.5-636</f>
        <v>4.5</v>
      </c>
      <c r="I83" s="207">
        <v>1350</v>
      </c>
      <c r="J83" s="242">
        <f t="shared" si="14"/>
        <v>6075</v>
      </c>
      <c r="K83" s="153"/>
      <c r="V83" s="25">
        <f t="shared" si="15"/>
        <v>1</v>
      </c>
      <c r="W83" s="25">
        <f t="shared" si="16"/>
        <v>0</v>
      </c>
    </row>
    <row r="84" spans="1:23" x14ac:dyDescent="0.3">
      <c r="A84" s="147"/>
      <c r="B84" s="205">
        <f t="shared" si="17"/>
        <v>23</v>
      </c>
      <c r="C84" s="206"/>
      <c r="D84" s="161"/>
      <c r="E84" s="161"/>
      <c r="F84" s="222"/>
      <c r="G84" s="222"/>
      <c r="H84" s="222"/>
      <c r="I84" s="207"/>
      <c r="J84" s="242">
        <f t="shared" si="14"/>
        <v>0</v>
      </c>
      <c r="K84" s="153"/>
    </row>
    <row r="85" spans="1:23" x14ac:dyDescent="0.3">
      <c r="A85" s="147"/>
      <c r="B85" s="205">
        <f t="shared" si="17"/>
        <v>24</v>
      </c>
      <c r="C85" s="206"/>
      <c r="D85" s="161"/>
      <c r="E85" s="161"/>
      <c r="F85" s="222"/>
      <c r="G85" s="222"/>
      <c r="H85" s="222"/>
      <c r="I85" s="207"/>
      <c r="J85" s="242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15" thickBot="1" x14ac:dyDescent="0.35">
      <c r="A86" s="147"/>
      <c r="B86" s="205">
        <f t="shared" si="17"/>
        <v>25</v>
      </c>
      <c r="C86" s="209"/>
      <c r="D86" s="166"/>
      <c r="E86" s="166"/>
      <c r="F86" s="210"/>
      <c r="G86" s="210"/>
      <c r="H86" s="166"/>
      <c r="I86" s="210"/>
      <c r="J86" s="244">
        <f t="shared" si="14"/>
        <v>0</v>
      </c>
      <c r="K86" s="153"/>
      <c r="V86" s="25">
        <f t="shared" si="15"/>
        <v>0</v>
      </c>
      <c r="W86" s="25">
        <f t="shared" si="16"/>
        <v>0</v>
      </c>
    </row>
    <row r="87" spans="1:23" ht="24" thickBot="1" x14ac:dyDescent="0.5">
      <c r="A87" s="147"/>
      <c r="B87" s="370" t="s">
        <v>2254</v>
      </c>
      <c r="C87" s="371"/>
      <c r="D87" s="371"/>
      <c r="E87" s="371"/>
      <c r="F87" s="371"/>
      <c r="G87" s="371"/>
      <c r="H87" s="372"/>
      <c r="I87" s="211" t="s">
        <v>2255</v>
      </c>
      <c r="J87" s="212">
        <f>SUM(J62:J86)</f>
        <v>129598.75</v>
      </c>
      <c r="K87" s="153"/>
      <c r="V87" s="25">
        <f>SUM(V62:V86)</f>
        <v>18</v>
      </c>
      <c r="W87" s="25">
        <f>SUM(W62:W86)</f>
        <v>3</v>
      </c>
    </row>
    <row r="88" spans="1:23" ht="30" customHeight="1" thickBot="1" x14ac:dyDescent="0.35">
      <c r="A88" s="213"/>
      <c r="B88" s="172"/>
      <c r="C88" s="172"/>
      <c r="D88" s="172"/>
      <c r="E88" s="172"/>
      <c r="F88" s="172"/>
      <c r="G88" s="172"/>
      <c r="H88" s="235"/>
      <c r="I88" s="172"/>
      <c r="J88" s="235"/>
      <c r="K88" s="214"/>
    </row>
    <row r="89" spans="1:23" ht="15" thickBot="1" x14ac:dyDescent="0.35"/>
    <row r="90" spans="1:23" ht="30" customHeight="1" thickBot="1" x14ac:dyDescent="0.35">
      <c r="A90" s="198"/>
      <c r="B90" s="143"/>
      <c r="C90" s="143"/>
      <c r="D90" s="143"/>
      <c r="E90" s="143"/>
      <c r="F90" s="143"/>
      <c r="G90" s="143"/>
      <c r="H90" s="232"/>
      <c r="I90" s="143"/>
      <c r="J90" s="232"/>
      <c r="K90" s="199"/>
    </row>
    <row r="91" spans="1:23" ht="25.2" thickBot="1" x14ac:dyDescent="0.35">
      <c r="A91" s="147" t="s">
        <v>0</v>
      </c>
      <c r="B91" s="361" t="s">
        <v>2244</v>
      </c>
      <c r="C91" s="362"/>
      <c r="D91" s="362"/>
      <c r="E91" s="362"/>
      <c r="F91" s="362"/>
      <c r="G91" s="362"/>
      <c r="H91" s="362"/>
      <c r="I91" s="362"/>
      <c r="J91" s="363"/>
      <c r="K91" s="153"/>
    </row>
    <row r="92" spans="1:23" ht="16.2" thickBot="1" x14ac:dyDescent="0.35">
      <c r="A92" s="147"/>
      <c r="B92" s="364" t="s">
        <v>3849</v>
      </c>
      <c r="C92" s="365"/>
      <c r="D92" s="365"/>
      <c r="E92" s="365"/>
      <c r="F92" s="365"/>
      <c r="G92" s="365"/>
      <c r="H92" s="365"/>
      <c r="I92" s="365"/>
      <c r="J92" s="366"/>
      <c r="K92" s="153"/>
    </row>
    <row r="93" spans="1:23" ht="16.2" thickBot="1" x14ac:dyDescent="0.35">
      <c r="A93" s="147"/>
      <c r="B93" s="367" t="s">
        <v>2258</v>
      </c>
      <c r="C93" s="368"/>
      <c r="D93" s="368"/>
      <c r="E93" s="368"/>
      <c r="F93" s="368"/>
      <c r="G93" s="368"/>
      <c r="H93" s="368"/>
      <c r="I93" s="368"/>
      <c r="J93" s="369"/>
      <c r="K93" s="153"/>
    </row>
    <row r="94" spans="1:23" ht="15" thickBot="1" x14ac:dyDescent="0.35">
      <c r="A94" s="175"/>
      <c r="B94" s="178" t="s">
        <v>2248</v>
      </c>
      <c r="C94" s="179" t="s">
        <v>1</v>
      </c>
      <c r="D94" s="180" t="s">
        <v>5</v>
      </c>
      <c r="E94" s="180" t="s">
        <v>6</v>
      </c>
      <c r="F94" s="181" t="s">
        <v>2249</v>
      </c>
      <c r="G94" s="181" t="s">
        <v>2250</v>
      </c>
      <c r="H94" s="239" t="s">
        <v>2251</v>
      </c>
      <c r="I94" s="181" t="s">
        <v>2257</v>
      </c>
      <c r="J94" s="245" t="s">
        <v>4</v>
      </c>
      <c r="K94" s="176"/>
      <c r="L94" s="215"/>
      <c r="V94" s="201" t="s">
        <v>454</v>
      </c>
      <c r="W94" s="201" t="s">
        <v>455</v>
      </c>
    </row>
    <row r="95" spans="1:23" x14ac:dyDescent="0.3">
      <c r="A95" s="147"/>
      <c r="B95" s="217">
        <v>1</v>
      </c>
      <c r="C95" s="218">
        <v>44743</v>
      </c>
      <c r="D95" s="185" t="s">
        <v>8</v>
      </c>
      <c r="E95" s="185" t="s">
        <v>39</v>
      </c>
      <c r="F95" s="219">
        <v>15630</v>
      </c>
      <c r="G95" s="219">
        <v>15550</v>
      </c>
      <c r="H95" s="185">
        <f>15630-15550</f>
        <v>80</v>
      </c>
      <c r="I95" s="219">
        <v>150</v>
      </c>
      <c r="J95" s="246">
        <f t="shared" ref="J95:J118" si="18">I95*H95</f>
        <v>12000</v>
      </c>
      <c r="K95" s="153"/>
      <c r="V95" s="25">
        <f>IF($J95&gt;0,1,0)</f>
        <v>1</v>
      </c>
      <c r="W95" s="25">
        <f>IF($J95&lt;0,1,0)</f>
        <v>0</v>
      </c>
    </row>
    <row r="96" spans="1:23" x14ac:dyDescent="0.3">
      <c r="A96" s="147"/>
      <c r="B96" s="205">
        <f>B95+1</f>
        <v>2</v>
      </c>
      <c r="C96" s="218">
        <v>44746</v>
      </c>
      <c r="D96" s="185" t="s">
        <v>9</v>
      </c>
      <c r="E96" s="185" t="s">
        <v>39</v>
      </c>
      <c r="F96" s="219">
        <v>15670</v>
      </c>
      <c r="G96" s="219">
        <v>15750</v>
      </c>
      <c r="H96" s="185">
        <f>15750-15670</f>
        <v>80</v>
      </c>
      <c r="I96" s="219">
        <v>150</v>
      </c>
      <c r="J96" s="242">
        <f t="shared" si="18"/>
        <v>12000</v>
      </c>
      <c r="K96" s="153"/>
      <c r="V96" s="25">
        <f t="shared" ref="V96:V118" si="19">IF($J96&gt;0,1,0)</f>
        <v>1</v>
      </c>
      <c r="W96" s="25">
        <f t="shared" ref="W96:W118" si="20">IF($J96&lt;0,1,0)</f>
        <v>0</v>
      </c>
    </row>
    <row r="97" spans="1:23" x14ac:dyDescent="0.3">
      <c r="A97" s="147"/>
      <c r="B97" s="205">
        <f t="shared" ref="B97:B118" si="21">B96+1</f>
        <v>3</v>
      </c>
      <c r="C97" s="206">
        <v>44747</v>
      </c>
      <c r="D97" s="161" t="s">
        <v>9</v>
      </c>
      <c r="E97" s="161" t="s">
        <v>39</v>
      </c>
      <c r="F97" s="207">
        <v>15940</v>
      </c>
      <c r="G97" s="207">
        <v>15998</v>
      </c>
      <c r="H97" s="161">
        <f>15998-15940</f>
        <v>58</v>
      </c>
      <c r="I97" s="207">
        <v>150</v>
      </c>
      <c r="J97" s="242">
        <f t="shared" si="18"/>
        <v>8700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4</v>
      </c>
      <c r="C98" s="206">
        <v>44748</v>
      </c>
      <c r="D98" s="161" t="s">
        <v>9</v>
      </c>
      <c r="E98" s="161" t="s">
        <v>39</v>
      </c>
      <c r="F98" s="207">
        <v>15870</v>
      </c>
      <c r="G98" s="207">
        <v>15905</v>
      </c>
      <c r="H98" s="161">
        <f>15905-15870</f>
        <v>35</v>
      </c>
      <c r="I98" s="207">
        <v>150</v>
      </c>
      <c r="J98" s="242">
        <f t="shared" si="18"/>
        <v>5250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5</v>
      </c>
      <c r="C99" s="206">
        <v>44749</v>
      </c>
      <c r="D99" s="161" t="s">
        <v>9</v>
      </c>
      <c r="E99" s="161" t="s">
        <v>39</v>
      </c>
      <c r="F99" s="207">
        <v>16100</v>
      </c>
      <c r="G99" s="207">
        <v>16120</v>
      </c>
      <c r="H99" s="161">
        <v>20</v>
      </c>
      <c r="I99" s="207">
        <v>150</v>
      </c>
      <c r="J99" s="242">
        <f t="shared" si="18"/>
        <v>3000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6</v>
      </c>
      <c r="C100" s="206">
        <v>44750</v>
      </c>
      <c r="D100" s="161" t="s">
        <v>8</v>
      </c>
      <c r="E100" s="161" t="s">
        <v>39</v>
      </c>
      <c r="F100" s="207">
        <v>16220</v>
      </c>
      <c r="G100" s="207">
        <v>16160</v>
      </c>
      <c r="H100" s="161">
        <f>16220-16160</f>
        <v>60</v>
      </c>
      <c r="I100" s="207">
        <v>150</v>
      </c>
      <c r="J100" s="242">
        <f t="shared" si="18"/>
        <v>9000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7</v>
      </c>
      <c r="C101" s="206">
        <v>37448</v>
      </c>
      <c r="D101" s="161" t="s">
        <v>9</v>
      </c>
      <c r="E101" s="161" t="s">
        <v>39</v>
      </c>
      <c r="F101" s="207">
        <v>16140</v>
      </c>
      <c r="G101" s="207">
        <v>16220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8</v>
      </c>
      <c r="C102" s="206">
        <v>44754</v>
      </c>
      <c r="D102" s="161" t="s">
        <v>9</v>
      </c>
      <c r="E102" s="161" t="s">
        <v>39</v>
      </c>
      <c r="F102" s="207">
        <v>16120</v>
      </c>
      <c r="G102" s="207">
        <v>16140</v>
      </c>
      <c r="H102" s="161">
        <v>20</v>
      </c>
      <c r="I102" s="207">
        <v>150</v>
      </c>
      <c r="J102" s="242">
        <f t="shared" si="18"/>
        <v>3000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9</v>
      </c>
      <c r="C103" s="206">
        <v>44755</v>
      </c>
      <c r="D103" s="161" t="s">
        <v>8</v>
      </c>
      <c r="E103" s="161" t="s">
        <v>39</v>
      </c>
      <c r="F103" s="207">
        <v>16100</v>
      </c>
      <c r="G103" s="207">
        <v>16020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10</v>
      </c>
      <c r="C104" s="206">
        <v>44756</v>
      </c>
      <c r="D104" s="161" t="s">
        <v>8</v>
      </c>
      <c r="E104" s="161" t="s">
        <v>39</v>
      </c>
      <c r="F104" s="207">
        <v>16060</v>
      </c>
      <c r="G104" s="207">
        <v>15980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11</v>
      </c>
      <c r="C105" s="206">
        <v>44757</v>
      </c>
      <c r="D105" s="161" t="s">
        <v>8</v>
      </c>
      <c r="E105" s="161" t="s">
        <v>39</v>
      </c>
      <c r="F105" s="207">
        <v>15990</v>
      </c>
      <c r="G105" s="207">
        <v>15930</v>
      </c>
      <c r="H105" s="161">
        <f>15990-15930</f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12</v>
      </c>
      <c r="C106" s="206">
        <v>44760</v>
      </c>
      <c r="D106" s="161" t="s">
        <v>8</v>
      </c>
      <c r="E106" s="161" t="s">
        <v>39</v>
      </c>
      <c r="F106" s="207">
        <v>16200</v>
      </c>
      <c r="G106" s="207">
        <v>16240</v>
      </c>
      <c r="H106" s="161">
        <v>-40</v>
      </c>
      <c r="I106" s="207">
        <v>150</v>
      </c>
      <c r="J106" s="242">
        <f t="shared" si="18"/>
        <v>-6000</v>
      </c>
      <c r="K106" s="153"/>
    </row>
    <row r="107" spans="1:23" x14ac:dyDescent="0.3">
      <c r="A107" s="147"/>
      <c r="B107" s="205">
        <f t="shared" si="21"/>
        <v>13</v>
      </c>
      <c r="C107" s="206">
        <v>44761</v>
      </c>
      <c r="D107" s="161" t="s">
        <v>9</v>
      </c>
      <c r="E107" s="161" t="s">
        <v>39</v>
      </c>
      <c r="F107" s="207">
        <v>16250</v>
      </c>
      <c r="G107" s="207">
        <v>16330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14</v>
      </c>
      <c r="C108" s="206">
        <v>44762</v>
      </c>
      <c r="D108" s="161" t="s">
        <v>9</v>
      </c>
      <c r="E108" s="161" t="s">
        <v>39</v>
      </c>
      <c r="F108" s="207">
        <v>16545</v>
      </c>
      <c r="G108" s="207">
        <v>16577</v>
      </c>
      <c r="H108" s="161">
        <f>16577-16545</f>
        <v>32</v>
      </c>
      <c r="I108" s="207">
        <v>150</v>
      </c>
      <c r="J108" s="242">
        <f t="shared" si="18"/>
        <v>4800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15</v>
      </c>
      <c r="C109" s="206">
        <v>44763</v>
      </c>
      <c r="D109" s="161" t="s">
        <v>9</v>
      </c>
      <c r="E109" s="161" t="s">
        <v>39</v>
      </c>
      <c r="F109" s="207">
        <v>16530</v>
      </c>
      <c r="G109" s="207">
        <v>16600</v>
      </c>
      <c r="H109" s="161">
        <f>16600-16530</f>
        <v>70</v>
      </c>
      <c r="I109" s="207">
        <v>150</v>
      </c>
      <c r="J109" s="242">
        <f t="shared" si="18"/>
        <v>10500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16</v>
      </c>
      <c r="C110" s="206">
        <v>44764</v>
      </c>
      <c r="D110" s="161" t="s">
        <v>9</v>
      </c>
      <c r="E110" s="161" t="s">
        <v>39</v>
      </c>
      <c r="F110" s="207">
        <v>16640</v>
      </c>
      <c r="G110" s="207">
        <v>16720</v>
      </c>
      <c r="H110" s="161">
        <f>16720-16640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17</v>
      </c>
      <c r="C111" s="206">
        <v>44767</v>
      </c>
      <c r="D111" s="161" t="s">
        <v>8</v>
      </c>
      <c r="E111" s="161" t="s">
        <v>39</v>
      </c>
      <c r="F111" s="207">
        <v>16630</v>
      </c>
      <c r="G111" s="207">
        <v>16575</v>
      </c>
      <c r="H111" s="161">
        <f>16630-16575</f>
        <v>55</v>
      </c>
      <c r="I111" s="207">
        <v>150</v>
      </c>
      <c r="J111" s="242">
        <f t="shared" si="18"/>
        <v>8250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18</v>
      </c>
      <c r="C112" s="206">
        <v>44768</v>
      </c>
      <c r="D112" s="161" t="s">
        <v>8</v>
      </c>
      <c r="E112" s="161" t="s">
        <v>39</v>
      </c>
      <c r="F112" s="207">
        <v>16540</v>
      </c>
      <c r="G112" s="207">
        <v>16485</v>
      </c>
      <c r="H112" s="161">
        <v>55</v>
      </c>
      <c r="I112" s="207">
        <v>150</v>
      </c>
      <c r="J112" s="242">
        <f t="shared" si="18"/>
        <v>8250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19</v>
      </c>
      <c r="C113" s="206">
        <v>44769</v>
      </c>
      <c r="D113" s="161" t="s">
        <v>9</v>
      </c>
      <c r="E113" s="161" t="s">
        <v>39</v>
      </c>
      <c r="F113" s="207">
        <v>16530</v>
      </c>
      <c r="G113" s="207">
        <v>16610</v>
      </c>
      <c r="H113" s="161">
        <f>16610-16530</f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20</v>
      </c>
      <c r="C114" s="206">
        <v>44770</v>
      </c>
      <c r="D114" s="161" t="s">
        <v>9</v>
      </c>
      <c r="E114" s="161" t="s">
        <v>39</v>
      </c>
      <c r="F114" s="207">
        <v>16820</v>
      </c>
      <c r="G114" s="207">
        <v>16900</v>
      </c>
      <c r="H114" s="161">
        <f>16900-16820</f>
        <v>80</v>
      </c>
      <c r="I114" s="207">
        <v>150</v>
      </c>
      <c r="J114" s="242">
        <f>I114*H114</f>
        <v>12000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21</v>
      </c>
      <c r="C115" s="206">
        <v>44771</v>
      </c>
      <c r="D115" s="161" t="s">
        <v>9</v>
      </c>
      <c r="E115" s="161" t="s">
        <v>39</v>
      </c>
      <c r="F115" s="207">
        <v>17120</v>
      </c>
      <c r="G115" s="207">
        <v>17200</v>
      </c>
      <c r="H115" s="161">
        <v>80</v>
      </c>
      <c r="I115" s="207">
        <v>150</v>
      </c>
      <c r="J115" s="242">
        <f t="shared" si="18"/>
        <v>12000</v>
      </c>
      <c r="K115" s="153"/>
      <c r="V115" s="25">
        <f t="shared" si="19"/>
        <v>1</v>
      </c>
      <c r="W115" s="25">
        <f t="shared" si="20"/>
        <v>0</v>
      </c>
    </row>
    <row r="116" spans="1:23" x14ac:dyDescent="0.3">
      <c r="A116" s="147"/>
      <c r="B116" s="205">
        <f t="shared" si="21"/>
        <v>22</v>
      </c>
      <c r="C116" s="206"/>
      <c r="D116" s="161"/>
      <c r="E116" s="161"/>
      <c r="F116" s="207"/>
      <c r="G116" s="207"/>
      <c r="H116" s="161"/>
      <c r="I116" s="207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x14ac:dyDescent="0.3">
      <c r="A117" s="147"/>
      <c r="B117" s="205">
        <f t="shared" si="21"/>
        <v>23</v>
      </c>
      <c r="C117" s="206"/>
      <c r="D117" s="161"/>
      <c r="E117" s="161"/>
      <c r="F117" s="207"/>
      <c r="G117" s="207"/>
      <c r="H117" s="161"/>
      <c r="I117" s="207"/>
      <c r="J117" s="242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15" thickBot="1" x14ac:dyDescent="0.35">
      <c r="A118" s="147"/>
      <c r="B118" s="208">
        <f t="shared" si="21"/>
        <v>24</v>
      </c>
      <c r="C118" s="209"/>
      <c r="D118" s="166"/>
      <c r="E118" s="166"/>
      <c r="F118" s="210"/>
      <c r="G118" s="210"/>
      <c r="H118" s="166"/>
      <c r="I118" s="210"/>
      <c r="J118" s="244">
        <f t="shared" si="18"/>
        <v>0</v>
      </c>
      <c r="K118" s="153"/>
      <c r="V118" s="25">
        <f t="shared" si="19"/>
        <v>0</v>
      </c>
      <c r="W118" s="25">
        <f t="shared" si="20"/>
        <v>0</v>
      </c>
    </row>
    <row r="119" spans="1:23" ht="24" thickBot="1" x14ac:dyDescent="0.5">
      <c r="A119" s="147"/>
      <c r="B119" s="370" t="s">
        <v>2254</v>
      </c>
      <c r="C119" s="371"/>
      <c r="D119" s="371"/>
      <c r="E119" s="371"/>
      <c r="F119" s="371"/>
      <c r="G119" s="371"/>
      <c r="H119" s="372"/>
      <c r="I119" s="211" t="s">
        <v>2255</v>
      </c>
      <c r="J119" s="212">
        <f>SUM(J95:J118)</f>
        <v>183750</v>
      </c>
      <c r="K119" s="153"/>
      <c r="V119" s="25">
        <f>SUM(V95:V118)</f>
        <v>20</v>
      </c>
      <c r="W119" s="25">
        <f>SUM(W95:W118)</f>
        <v>0</v>
      </c>
    </row>
    <row r="120" spans="1:23" ht="30" customHeight="1" thickBot="1" x14ac:dyDescent="0.35">
      <c r="A120" s="213"/>
      <c r="B120" s="172"/>
      <c r="C120" s="172"/>
      <c r="D120" s="172"/>
      <c r="E120" s="172"/>
      <c r="F120" s="172"/>
      <c r="G120" s="172"/>
      <c r="H120" s="235"/>
      <c r="I120" s="172"/>
      <c r="J120" s="235"/>
      <c r="K120" s="214"/>
    </row>
    <row r="121" spans="1:23" ht="15" thickBot="1" x14ac:dyDescent="0.35"/>
    <row r="122" spans="1:23" ht="30" customHeight="1" thickBot="1" x14ac:dyDescent="0.35">
      <c r="A122" s="198"/>
      <c r="B122" s="143"/>
      <c r="C122" s="143"/>
      <c r="D122" s="143"/>
      <c r="E122" s="143"/>
      <c r="F122" s="143"/>
      <c r="G122" s="143"/>
      <c r="H122" s="232"/>
      <c r="I122" s="143"/>
      <c r="J122" s="232"/>
      <c r="K122" s="199"/>
    </row>
    <row r="123" spans="1:23" ht="25.2" thickBot="1" x14ac:dyDescent="0.35">
      <c r="A123" s="147" t="s">
        <v>0</v>
      </c>
      <c r="B123" s="361" t="s">
        <v>2244</v>
      </c>
      <c r="C123" s="362"/>
      <c r="D123" s="362"/>
      <c r="E123" s="362"/>
      <c r="F123" s="362"/>
      <c r="G123" s="362"/>
      <c r="H123" s="362"/>
      <c r="I123" s="362"/>
      <c r="J123" s="363"/>
      <c r="K123" s="153"/>
    </row>
    <row r="124" spans="1:23" ht="16.2" thickBot="1" x14ac:dyDescent="0.35">
      <c r="A124" s="147"/>
      <c r="B124" s="364" t="s">
        <v>3851</v>
      </c>
      <c r="C124" s="365"/>
      <c r="D124" s="365"/>
      <c r="E124" s="365"/>
      <c r="F124" s="365"/>
      <c r="G124" s="365"/>
      <c r="H124" s="365"/>
      <c r="I124" s="365"/>
      <c r="J124" s="366"/>
      <c r="K124" s="153"/>
    </row>
    <row r="125" spans="1:23" ht="16.2" thickBot="1" x14ac:dyDescent="0.35">
      <c r="A125" s="147"/>
      <c r="B125" s="367" t="s">
        <v>3452</v>
      </c>
      <c r="C125" s="368"/>
      <c r="D125" s="368"/>
      <c r="E125" s="368"/>
      <c r="F125" s="368"/>
      <c r="G125" s="368"/>
      <c r="H125" s="368"/>
      <c r="I125" s="368"/>
      <c r="J125" s="369"/>
      <c r="K125" s="153"/>
    </row>
    <row r="126" spans="1:23" ht="15" thickBot="1" x14ac:dyDescent="0.35">
      <c r="A126" s="175"/>
      <c r="B126" s="178" t="s">
        <v>2248</v>
      </c>
      <c r="C126" s="179" t="s">
        <v>1</v>
      </c>
      <c r="D126" s="180" t="s">
        <v>5</v>
      </c>
      <c r="E126" s="180" t="s">
        <v>6</v>
      </c>
      <c r="F126" s="181" t="s">
        <v>2249</v>
      </c>
      <c r="G126" s="181" t="s">
        <v>2250</v>
      </c>
      <c r="H126" s="239" t="s">
        <v>2251</v>
      </c>
      <c r="I126" s="181" t="s">
        <v>2257</v>
      </c>
      <c r="J126" s="245" t="s">
        <v>4</v>
      </c>
      <c r="K126" s="176"/>
      <c r="L126" s="215"/>
      <c r="V126" s="201" t="s">
        <v>454</v>
      </c>
      <c r="W126" s="201" t="s">
        <v>455</v>
      </c>
    </row>
    <row r="127" spans="1:23" x14ac:dyDescent="0.3">
      <c r="A127" s="147"/>
      <c r="B127" s="217">
        <v>1</v>
      </c>
      <c r="C127" s="218">
        <v>44743</v>
      </c>
      <c r="D127" s="185" t="s">
        <v>9</v>
      </c>
      <c r="E127" s="185" t="s">
        <v>3371</v>
      </c>
      <c r="F127" s="219">
        <v>165</v>
      </c>
      <c r="G127" s="231">
        <v>215</v>
      </c>
      <c r="H127" s="231">
        <f>215-165</f>
        <v>50</v>
      </c>
      <c r="I127" s="219">
        <v>300</v>
      </c>
      <c r="J127" s="246">
        <f t="shared" ref="J127:J153" si="22">I127*H127</f>
        <v>15000</v>
      </c>
      <c r="K127" s="153"/>
      <c r="V127" s="25">
        <f>IF($J127&gt;0,1,0)</f>
        <v>1</v>
      </c>
      <c r="W127" s="25">
        <f>IF($J127&lt;0,1,0)</f>
        <v>0</v>
      </c>
    </row>
    <row r="128" spans="1:23" x14ac:dyDescent="0.3">
      <c r="A128" s="147"/>
      <c r="B128" s="205">
        <f>B127+1</f>
        <v>2</v>
      </c>
      <c r="C128" s="218">
        <v>44746</v>
      </c>
      <c r="D128" s="185" t="s">
        <v>9</v>
      </c>
      <c r="E128" s="185" t="s">
        <v>1310</v>
      </c>
      <c r="F128" s="219">
        <v>130</v>
      </c>
      <c r="G128" s="219">
        <v>180</v>
      </c>
      <c r="H128" s="185">
        <v>50</v>
      </c>
      <c r="I128" s="219">
        <v>300</v>
      </c>
      <c r="J128" s="242">
        <f t="shared" si="22"/>
        <v>15000</v>
      </c>
      <c r="K128" s="153"/>
      <c r="V128" s="25">
        <f t="shared" ref="V128:V153" si="23">IF($J128&gt;0,1,0)</f>
        <v>1</v>
      </c>
      <c r="W128" s="25">
        <f t="shared" ref="W128:W153" si="24">IF($J128&lt;0,1,0)</f>
        <v>0</v>
      </c>
    </row>
    <row r="129" spans="1:23" x14ac:dyDescent="0.3">
      <c r="A129" s="147"/>
      <c r="B129" s="205">
        <f>B128+1</f>
        <v>3</v>
      </c>
      <c r="C129" s="206">
        <v>44747</v>
      </c>
      <c r="D129" s="161" t="s">
        <v>9</v>
      </c>
      <c r="E129" s="161" t="s">
        <v>3417</v>
      </c>
      <c r="F129" s="207">
        <v>140</v>
      </c>
      <c r="G129" s="207">
        <v>175</v>
      </c>
      <c r="H129" s="161">
        <v>35</v>
      </c>
      <c r="I129" s="207">
        <v>300</v>
      </c>
      <c r="J129" s="242">
        <f t="shared" si="22"/>
        <v>10500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ref="B130:B153" si="25">B129+1</f>
        <v>4</v>
      </c>
      <c r="C130" s="206">
        <v>44748</v>
      </c>
      <c r="D130" s="161" t="s">
        <v>9</v>
      </c>
      <c r="E130" s="161" t="s">
        <v>3384</v>
      </c>
      <c r="F130" s="207">
        <v>120</v>
      </c>
      <c r="G130" s="207">
        <v>154</v>
      </c>
      <c r="H130" s="161">
        <v>34</v>
      </c>
      <c r="I130" s="207">
        <v>300</v>
      </c>
      <c r="J130" s="242">
        <f t="shared" si="22"/>
        <v>10200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5</v>
      </c>
      <c r="C131" s="206">
        <v>44749</v>
      </c>
      <c r="D131" s="161" t="s">
        <v>9</v>
      </c>
      <c r="E131" s="161" t="s">
        <v>1321</v>
      </c>
      <c r="F131" s="207">
        <v>130</v>
      </c>
      <c r="G131" s="207">
        <v>140</v>
      </c>
      <c r="H131" s="161">
        <v>10</v>
      </c>
      <c r="I131" s="207">
        <v>300</v>
      </c>
      <c r="J131" s="242">
        <f t="shared" si="22"/>
        <v>3000</v>
      </c>
      <c r="K131" s="153"/>
      <c r="M131" s="25" t="s">
        <v>2008</v>
      </c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6</v>
      </c>
      <c r="C132" s="206">
        <v>44750</v>
      </c>
      <c r="D132" s="161" t="s">
        <v>9</v>
      </c>
      <c r="E132" s="161" t="s">
        <v>1358</v>
      </c>
      <c r="F132" s="207">
        <v>145</v>
      </c>
      <c r="G132" s="222">
        <v>160</v>
      </c>
      <c r="H132" s="222">
        <f>160-145</f>
        <v>15</v>
      </c>
      <c r="I132" s="207">
        <v>300</v>
      </c>
      <c r="J132" s="242">
        <f t="shared" si="22"/>
        <v>4500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7</v>
      </c>
      <c r="C133" s="206">
        <v>44753</v>
      </c>
      <c r="D133" s="161" t="s">
        <v>9</v>
      </c>
      <c r="E133" s="161" t="s">
        <v>3856</v>
      </c>
      <c r="F133" s="207">
        <v>140</v>
      </c>
      <c r="G133" s="207">
        <v>190</v>
      </c>
      <c r="H133" s="161">
        <v>50</v>
      </c>
      <c r="I133" s="207">
        <v>300</v>
      </c>
      <c r="J133" s="242">
        <f t="shared" si="22"/>
        <v>15000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8</v>
      </c>
      <c r="C134" s="206">
        <v>44754</v>
      </c>
      <c r="D134" s="161" t="s">
        <v>9</v>
      </c>
      <c r="E134" s="161" t="s">
        <v>3856</v>
      </c>
      <c r="F134" s="207">
        <v>105</v>
      </c>
      <c r="G134" s="222">
        <v>114.5</v>
      </c>
      <c r="H134" s="222">
        <f>114.5-105</f>
        <v>9.5</v>
      </c>
      <c r="I134" s="207">
        <v>300</v>
      </c>
      <c r="J134" s="242">
        <f t="shared" si="22"/>
        <v>2850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9</v>
      </c>
      <c r="C135" s="206">
        <v>44755</v>
      </c>
      <c r="D135" s="161" t="s">
        <v>9</v>
      </c>
      <c r="E135" s="161" t="s">
        <v>3722</v>
      </c>
      <c r="F135" s="207">
        <v>120</v>
      </c>
      <c r="G135" s="207">
        <v>170</v>
      </c>
      <c r="H135" s="161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10</v>
      </c>
      <c r="C136" s="206">
        <v>44756</v>
      </c>
      <c r="D136" s="161" t="s">
        <v>9</v>
      </c>
      <c r="E136" s="161" t="s">
        <v>3722</v>
      </c>
      <c r="F136" s="207">
        <v>125</v>
      </c>
      <c r="G136" s="222">
        <v>175</v>
      </c>
      <c r="H136" s="222">
        <v>50</v>
      </c>
      <c r="I136" s="207">
        <v>300</v>
      </c>
      <c r="J136" s="242">
        <f t="shared" si="22"/>
        <v>15000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11</v>
      </c>
      <c r="C137" s="206">
        <v>44757</v>
      </c>
      <c r="D137" s="161" t="s">
        <v>9</v>
      </c>
      <c r="E137" s="161" t="s">
        <v>1320</v>
      </c>
      <c r="F137" s="207">
        <v>135</v>
      </c>
      <c r="G137" s="222">
        <v>169</v>
      </c>
      <c r="H137" s="222">
        <f>169-135</f>
        <v>34</v>
      </c>
      <c r="I137" s="207">
        <v>300</v>
      </c>
      <c r="J137" s="242">
        <f t="shared" si="22"/>
        <v>10200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12</v>
      </c>
      <c r="C138" s="206">
        <v>44760</v>
      </c>
      <c r="D138" s="161" t="s">
        <v>9</v>
      </c>
      <c r="E138" s="161" t="s">
        <v>1358</v>
      </c>
      <c r="F138" s="207">
        <v>105</v>
      </c>
      <c r="G138" s="222">
        <v>90</v>
      </c>
      <c r="H138" s="222">
        <v>-15</v>
      </c>
      <c r="I138" s="207">
        <v>300</v>
      </c>
      <c r="J138" s="242">
        <f t="shared" si="22"/>
        <v>-4500</v>
      </c>
      <c r="K138" s="153"/>
    </row>
    <row r="139" spans="1:23" x14ac:dyDescent="0.3">
      <c r="A139" s="147"/>
      <c r="B139" s="205">
        <f t="shared" si="25"/>
        <v>13</v>
      </c>
      <c r="C139" s="206">
        <v>44760</v>
      </c>
      <c r="D139" s="161" t="s">
        <v>9</v>
      </c>
      <c r="E139" s="161" t="s">
        <v>1366</v>
      </c>
      <c r="F139" s="207">
        <v>115</v>
      </c>
      <c r="G139" s="222">
        <v>148</v>
      </c>
      <c r="H139" s="222">
        <f>148-115</f>
        <v>33</v>
      </c>
      <c r="I139" s="207">
        <v>300</v>
      </c>
      <c r="J139" s="242">
        <f t="shared" si="22"/>
        <v>9900</v>
      </c>
      <c r="K139" s="153"/>
    </row>
    <row r="140" spans="1:23" x14ac:dyDescent="0.3">
      <c r="A140" s="147"/>
      <c r="B140" s="205">
        <f t="shared" si="25"/>
        <v>14</v>
      </c>
      <c r="C140" s="206">
        <v>44761</v>
      </c>
      <c r="D140" s="161" t="s">
        <v>9</v>
      </c>
      <c r="E140" s="161" t="s">
        <v>1366</v>
      </c>
      <c r="F140" s="207">
        <v>125</v>
      </c>
      <c r="G140" s="222">
        <v>175</v>
      </c>
      <c r="H140" s="222">
        <f>175-125</f>
        <v>50</v>
      </c>
      <c r="I140" s="207">
        <v>300</v>
      </c>
      <c r="J140" s="242">
        <f t="shared" si="22"/>
        <v>15000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15</v>
      </c>
      <c r="C141" s="206">
        <v>44762</v>
      </c>
      <c r="D141" s="161" t="s">
        <v>9</v>
      </c>
      <c r="E141" s="161" t="s">
        <v>3430</v>
      </c>
      <c r="F141" s="207">
        <v>120</v>
      </c>
      <c r="G141" s="207">
        <v>95</v>
      </c>
      <c r="H141" s="161">
        <v>-25</v>
      </c>
      <c r="I141" s="207">
        <v>300</v>
      </c>
      <c r="J141" s="242">
        <f t="shared" si="22"/>
        <v>-7500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16</v>
      </c>
      <c r="C142" s="206">
        <v>44763</v>
      </c>
      <c r="D142" s="161" t="s">
        <v>9</v>
      </c>
      <c r="E142" s="161" t="s">
        <v>3428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>IF($J142&gt;0,1,0)</f>
        <v>1</v>
      </c>
      <c r="W142" s="25">
        <f>IF($J142&lt;0,1,0)</f>
        <v>0</v>
      </c>
    </row>
    <row r="143" spans="1:23" x14ac:dyDescent="0.3">
      <c r="A143" s="147"/>
      <c r="B143" s="205">
        <f t="shared" si="25"/>
        <v>17</v>
      </c>
      <c r="C143" s="206">
        <v>44764</v>
      </c>
      <c r="D143" s="161" t="s">
        <v>9</v>
      </c>
      <c r="E143" s="161" t="s">
        <v>3723</v>
      </c>
      <c r="F143" s="207">
        <v>125</v>
      </c>
      <c r="G143" s="207">
        <v>175</v>
      </c>
      <c r="H143" s="161">
        <v>50</v>
      </c>
      <c r="I143" s="207">
        <v>300</v>
      </c>
      <c r="J143" s="242">
        <f t="shared" si="22"/>
        <v>15000</v>
      </c>
      <c r="K143" s="153"/>
      <c r="V143" s="25">
        <f>IF($J143&gt;0,1,0)</f>
        <v>1</v>
      </c>
      <c r="W143" s="25">
        <f>IF($J143&lt;0,1,0)</f>
        <v>0</v>
      </c>
    </row>
    <row r="144" spans="1:23" x14ac:dyDescent="0.3">
      <c r="A144" s="147"/>
      <c r="B144" s="205">
        <f t="shared" si="25"/>
        <v>18</v>
      </c>
      <c r="C144" s="206">
        <v>44767</v>
      </c>
      <c r="D144" s="161" t="s">
        <v>9</v>
      </c>
      <c r="E144" s="161" t="s">
        <v>3868</v>
      </c>
      <c r="F144" s="207">
        <v>135</v>
      </c>
      <c r="G144" s="207">
        <v>160</v>
      </c>
      <c r="H144" s="161">
        <f>160-135</f>
        <v>25</v>
      </c>
      <c r="I144" s="207">
        <v>300</v>
      </c>
      <c r="J144" s="242">
        <f t="shared" si="22"/>
        <v>7500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19</v>
      </c>
      <c r="C145" s="206">
        <v>44768</v>
      </c>
      <c r="D145" s="161" t="s">
        <v>9</v>
      </c>
      <c r="E145" s="161" t="s">
        <v>1443</v>
      </c>
      <c r="F145" s="207">
        <v>130</v>
      </c>
      <c r="G145" s="207">
        <v>148</v>
      </c>
      <c r="H145" s="161">
        <v>18</v>
      </c>
      <c r="I145" s="207">
        <v>300</v>
      </c>
      <c r="J145" s="242">
        <f t="shared" si="22"/>
        <v>5400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20</v>
      </c>
      <c r="C146" s="206">
        <v>44769</v>
      </c>
      <c r="D146" s="161" t="s">
        <v>9</v>
      </c>
      <c r="E146" s="161" t="s">
        <v>3430</v>
      </c>
      <c r="F146" s="207">
        <v>125</v>
      </c>
      <c r="G146" s="222">
        <v>175</v>
      </c>
      <c r="H146" s="222"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21</v>
      </c>
      <c r="C147" s="206">
        <v>44770</v>
      </c>
      <c r="D147" s="161" t="s">
        <v>9</v>
      </c>
      <c r="E147" s="161" t="s">
        <v>1444</v>
      </c>
      <c r="F147" s="207">
        <v>150</v>
      </c>
      <c r="G147" s="222">
        <v>200</v>
      </c>
      <c r="H147" s="222">
        <v>50</v>
      </c>
      <c r="I147" s="207">
        <v>300</v>
      </c>
      <c r="J147" s="242">
        <f t="shared" si="22"/>
        <v>15000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22</v>
      </c>
      <c r="C148" s="206">
        <v>44771</v>
      </c>
      <c r="D148" s="161" t="s">
        <v>9</v>
      </c>
      <c r="E148" s="161" t="s">
        <v>3458</v>
      </c>
      <c r="F148" s="207">
        <v>110</v>
      </c>
      <c r="G148" s="222">
        <v>145</v>
      </c>
      <c r="H148" s="222">
        <f>145-110</f>
        <v>35</v>
      </c>
      <c r="I148" s="207">
        <v>300</v>
      </c>
      <c r="J148" s="242">
        <f t="shared" si="22"/>
        <v>10500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23</v>
      </c>
      <c r="C149" s="206"/>
      <c r="D149" s="161"/>
      <c r="E149" s="161"/>
      <c r="F149" s="207"/>
      <c r="G149" s="222"/>
      <c r="H149" s="222"/>
      <c r="I149" s="207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24</v>
      </c>
      <c r="C150" s="206"/>
      <c r="D150" s="161"/>
      <c r="E150" s="161"/>
      <c r="F150" s="207"/>
      <c r="G150" s="222"/>
      <c r="H150" s="222"/>
      <c r="I150" s="207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25</v>
      </c>
      <c r="C151" s="206"/>
      <c r="D151" s="161"/>
      <c r="E151" s="161"/>
      <c r="F151" s="207"/>
      <c r="G151" s="222"/>
      <c r="H151" s="161"/>
      <c r="I151" s="207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x14ac:dyDescent="0.3">
      <c r="A152" s="147"/>
      <c r="B152" s="205">
        <f t="shared" si="25"/>
        <v>26</v>
      </c>
      <c r="C152" s="264"/>
      <c r="D152" s="265"/>
      <c r="E152" s="265"/>
      <c r="F152" s="266"/>
      <c r="G152" s="267"/>
      <c r="H152" s="265"/>
      <c r="I152" s="266"/>
      <c r="J152" s="242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15" thickBot="1" x14ac:dyDescent="0.35">
      <c r="A153" s="147"/>
      <c r="B153" s="205">
        <f t="shared" si="25"/>
        <v>27</v>
      </c>
      <c r="C153" s="209"/>
      <c r="D153" s="166"/>
      <c r="E153" s="166"/>
      <c r="F153" s="210"/>
      <c r="G153" s="210"/>
      <c r="H153" s="166"/>
      <c r="I153" s="210"/>
      <c r="J153" s="244">
        <f t="shared" si="22"/>
        <v>0</v>
      </c>
      <c r="K153" s="153"/>
      <c r="V153" s="25">
        <f t="shared" si="23"/>
        <v>0</v>
      </c>
      <c r="W153" s="25">
        <f t="shared" si="24"/>
        <v>0</v>
      </c>
    </row>
    <row r="154" spans="1:23" ht="24" thickBot="1" x14ac:dyDescent="0.5">
      <c r="A154" s="147"/>
      <c r="B154" s="370" t="s">
        <v>2254</v>
      </c>
      <c r="C154" s="371"/>
      <c r="D154" s="371"/>
      <c r="E154" s="371"/>
      <c r="F154" s="371"/>
      <c r="G154" s="371"/>
      <c r="H154" s="372"/>
      <c r="I154" s="211" t="s">
        <v>2255</v>
      </c>
      <c r="J154" s="212">
        <f>SUM(J127:J153)</f>
        <v>212550</v>
      </c>
      <c r="K154" s="153"/>
      <c r="V154" s="25">
        <f>SUM(V127:V153)</f>
        <v>19</v>
      </c>
      <c r="W154" s="25">
        <f>SUM(W127:W153)</f>
        <v>1</v>
      </c>
    </row>
    <row r="155" spans="1:23" ht="30" customHeight="1" thickBot="1" x14ac:dyDescent="0.35">
      <c r="A155" s="213"/>
      <c r="B155" s="172"/>
      <c r="C155" s="172"/>
      <c r="D155" s="172"/>
      <c r="E155" s="172"/>
      <c r="F155" s="172"/>
      <c r="G155" s="172"/>
      <c r="H155" s="235"/>
      <c r="I155" s="172"/>
      <c r="J155" s="235"/>
      <c r="K155" s="214"/>
    </row>
    <row r="156" spans="1:23" ht="15" thickBot="1" x14ac:dyDescent="0.35"/>
    <row r="157" spans="1:23" ht="30" customHeight="1" thickBot="1" x14ac:dyDescent="0.35">
      <c r="A157" s="198"/>
      <c r="B157" s="143"/>
      <c r="C157" s="143"/>
      <c r="D157" s="143"/>
      <c r="E157" s="143"/>
      <c r="F157" s="143"/>
      <c r="G157" s="143"/>
      <c r="H157" s="232"/>
      <c r="I157" s="143"/>
      <c r="J157" s="232"/>
      <c r="K157" s="199"/>
    </row>
    <row r="158" spans="1:23" ht="25.2" thickBot="1" x14ac:dyDescent="0.35">
      <c r="A158" s="147" t="s">
        <v>0</v>
      </c>
      <c r="B158" s="361" t="s">
        <v>2244</v>
      </c>
      <c r="C158" s="362"/>
      <c r="D158" s="362"/>
      <c r="E158" s="362"/>
      <c r="F158" s="362"/>
      <c r="G158" s="362"/>
      <c r="H158" s="362"/>
      <c r="I158" s="362"/>
      <c r="J158" s="363"/>
      <c r="K158" s="153"/>
    </row>
    <row r="159" spans="1:23" ht="16.2" thickBot="1" x14ac:dyDescent="0.35">
      <c r="A159" s="147"/>
      <c r="B159" s="364" t="s">
        <v>3849</v>
      </c>
      <c r="C159" s="365"/>
      <c r="D159" s="365"/>
      <c r="E159" s="365"/>
      <c r="F159" s="365"/>
      <c r="G159" s="365"/>
      <c r="H159" s="365"/>
      <c r="I159" s="365"/>
      <c r="J159" s="366"/>
      <c r="K159" s="153"/>
    </row>
    <row r="160" spans="1:23" ht="16.2" thickBot="1" x14ac:dyDescent="0.35">
      <c r="A160" s="147"/>
      <c r="B160" s="367" t="s">
        <v>2367</v>
      </c>
      <c r="C160" s="368"/>
      <c r="D160" s="368"/>
      <c r="E160" s="368"/>
      <c r="F160" s="368"/>
      <c r="G160" s="368"/>
      <c r="H160" s="368"/>
      <c r="I160" s="368"/>
      <c r="J160" s="369"/>
      <c r="K160" s="153"/>
    </row>
    <row r="161" spans="1:23" ht="15" thickBot="1" x14ac:dyDescent="0.35">
      <c r="A161" s="175"/>
      <c r="B161" s="178" t="s">
        <v>2248</v>
      </c>
      <c r="C161" s="179" t="s">
        <v>1</v>
      </c>
      <c r="D161" s="180" t="s">
        <v>5</v>
      </c>
      <c r="E161" s="180" t="s">
        <v>6</v>
      </c>
      <c r="F161" s="181" t="s">
        <v>2249</v>
      </c>
      <c r="G161" s="181" t="s">
        <v>2250</v>
      </c>
      <c r="H161" s="239" t="s">
        <v>2251</v>
      </c>
      <c r="I161" s="181" t="s">
        <v>2257</v>
      </c>
      <c r="J161" s="245" t="s">
        <v>4</v>
      </c>
      <c r="K161" s="176"/>
      <c r="L161" s="215"/>
      <c r="V161" s="201" t="s">
        <v>454</v>
      </c>
      <c r="W161" s="201" t="s">
        <v>455</v>
      </c>
    </row>
    <row r="162" spans="1:23" x14ac:dyDescent="0.3">
      <c r="A162" s="147"/>
      <c r="B162" s="217">
        <v>1</v>
      </c>
      <c r="C162" s="218">
        <v>44743</v>
      </c>
      <c r="D162" s="185" t="s">
        <v>9</v>
      </c>
      <c r="E162" s="185" t="s">
        <v>301</v>
      </c>
      <c r="F162" s="219">
        <v>33250</v>
      </c>
      <c r="G162" s="231">
        <v>33550</v>
      </c>
      <c r="H162" s="185">
        <v>300</v>
      </c>
      <c r="I162" s="219">
        <v>50</v>
      </c>
      <c r="J162" s="246">
        <f t="shared" ref="J162:J185" si="26">I162*H162</f>
        <v>15000</v>
      </c>
      <c r="K162" s="153"/>
      <c r="V162" s="25">
        <f>IF($J162&gt;0,1,0)</f>
        <v>1</v>
      </c>
      <c r="W162" s="25">
        <f>IF($J162&lt;0,1,0)</f>
        <v>0</v>
      </c>
    </row>
    <row r="163" spans="1:23" x14ac:dyDescent="0.3">
      <c r="A163" s="147"/>
      <c r="B163" s="205">
        <f>B162+1</f>
        <v>2</v>
      </c>
      <c r="C163" s="218">
        <v>44746</v>
      </c>
      <c r="D163" s="185" t="s">
        <v>9</v>
      </c>
      <c r="E163" s="185" t="s">
        <v>301</v>
      </c>
      <c r="F163" s="219">
        <v>33700</v>
      </c>
      <c r="G163" s="219">
        <v>34000</v>
      </c>
      <c r="H163" s="185">
        <v>300</v>
      </c>
      <c r="I163" s="219">
        <v>50</v>
      </c>
      <c r="J163" s="242">
        <f t="shared" si="26"/>
        <v>15000</v>
      </c>
      <c r="K163" s="153"/>
      <c r="V163" s="25">
        <f t="shared" ref="V163:V185" si="27">IF($J163&gt;0,1,0)</f>
        <v>1</v>
      </c>
      <c r="W163" s="25">
        <f t="shared" ref="W163:W185" si="28">IF($J163&lt;0,1,0)</f>
        <v>0</v>
      </c>
    </row>
    <row r="164" spans="1:23" x14ac:dyDescent="0.3">
      <c r="A164" s="147"/>
      <c r="B164" s="205">
        <f t="shared" ref="B164:B185" si="29">B163+1</f>
        <v>3</v>
      </c>
      <c r="C164" s="206">
        <v>44747</v>
      </c>
      <c r="D164" s="161" t="s">
        <v>9</v>
      </c>
      <c r="E164" s="161" t="s">
        <v>301</v>
      </c>
      <c r="F164" s="207">
        <v>34300</v>
      </c>
      <c r="G164" s="207">
        <v>34398</v>
      </c>
      <c r="H164" s="161">
        <v>98</v>
      </c>
      <c r="I164" s="207">
        <v>50</v>
      </c>
      <c r="J164" s="242">
        <f t="shared" si="26"/>
        <v>4900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4</v>
      </c>
      <c r="C165" s="206">
        <v>44748</v>
      </c>
      <c r="D165" s="161" t="s">
        <v>9</v>
      </c>
      <c r="E165" s="161" t="s">
        <v>301</v>
      </c>
      <c r="F165" s="207">
        <v>34150</v>
      </c>
      <c r="G165" s="207">
        <v>34345</v>
      </c>
      <c r="H165" s="161">
        <f>34345-34150</f>
        <v>195</v>
      </c>
      <c r="I165" s="207">
        <v>50</v>
      </c>
      <c r="J165" s="242">
        <f t="shared" si="26"/>
        <v>9750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5</v>
      </c>
      <c r="C166" s="206">
        <v>44749</v>
      </c>
      <c r="D166" s="161" t="s">
        <v>9</v>
      </c>
      <c r="E166" s="161" t="s">
        <v>301</v>
      </c>
      <c r="F166" s="207">
        <v>34700</v>
      </c>
      <c r="G166" s="207">
        <v>34930</v>
      </c>
      <c r="H166" s="161">
        <f>34930-34700</f>
        <v>230</v>
      </c>
      <c r="I166" s="207">
        <v>50</v>
      </c>
      <c r="J166" s="242">
        <f t="shared" si="26"/>
        <v>11500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6</v>
      </c>
      <c r="C167" s="206">
        <v>44750</v>
      </c>
      <c r="D167" s="161" t="s">
        <v>8</v>
      </c>
      <c r="E167" s="161" t="s">
        <v>301</v>
      </c>
      <c r="F167" s="207">
        <v>35150</v>
      </c>
      <c r="G167" s="207">
        <v>35040</v>
      </c>
      <c r="H167" s="161">
        <v>110</v>
      </c>
      <c r="I167" s="207">
        <v>50</v>
      </c>
      <c r="J167" s="242">
        <f t="shared" si="26"/>
        <v>5500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7</v>
      </c>
      <c r="C168" s="206">
        <v>44753</v>
      </c>
      <c r="D168" s="161" t="s">
        <v>9</v>
      </c>
      <c r="E168" s="161" t="s">
        <v>301</v>
      </c>
      <c r="F168" s="207">
        <v>35300</v>
      </c>
      <c r="G168" s="207">
        <v>35599</v>
      </c>
      <c r="H168" s="161">
        <f>35599-35300</f>
        <v>299</v>
      </c>
      <c r="I168" s="207">
        <v>50</v>
      </c>
      <c r="J168" s="242">
        <f t="shared" si="26"/>
        <v>14950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8</v>
      </c>
      <c r="C169" s="206">
        <v>44754</v>
      </c>
      <c r="D169" s="161" t="s">
        <v>9</v>
      </c>
      <c r="E169" s="161" t="s">
        <v>301</v>
      </c>
      <c r="F169" s="207">
        <v>35350</v>
      </c>
      <c r="G169" s="207">
        <v>35470</v>
      </c>
      <c r="H169" s="161">
        <f>35470-35350</f>
        <v>120</v>
      </c>
      <c r="I169" s="207">
        <v>50</v>
      </c>
      <c r="J169" s="242">
        <f t="shared" si="26"/>
        <v>6000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9</v>
      </c>
      <c r="C170" s="206">
        <v>44755</v>
      </c>
      <c r="D170" s="161" t="s">
        <v>8</v>
      </c>
      <c r="E170" s="161" t="s">
        <v>301</v>
      </c>
      <c r="F170" s="207">
        <v>35200</v>
      </c>
      <c r="G170" s="207">
        <v>34900</v>
      </c>
      <c r="H170" s="161">
        <v>300</v>
      </c>
      <c r="I170" s="207">
        <v>50</v>
      </c>
      <c r="J170" s="242">
        <f t="shared" si="26"/>
        <v>15000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10</v>
      </c>
      <c r="C171" s="206">
        <v>44756</v>
      </c>
      <c r="D171" s="161" t="s">
        <v>8</v>
      </c>
      <c r="E171" s="161" t="s">
        <v>301</v>
      </c>
      <c r="F171" s="207">
        <v>35050</v>
      </c>
      <c r="G171" s="207">
        <v>35470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11</v>
      </c>
      <c r="C172" s="206">
        <v>44757</v>
      </c>
      <c r="D172" s="161" t="s">
        <v>8</v>
      </c>
      <c r="E172" s="161" t="s">
        <v>301</v>
      </c>
      <c r="F172" s="207">
        <v>34750</v>
      </c>
      <c r="G172" s="207">
        <v>34560</v>
      </c>
      <c r="H172" s="161">
        <f>34750-34560</f>
        <v>190</v>
      </c>
      <c r="I172" s="207">
        <v>50</v>
      </c>
      <c r="J172" s="242">
        <f t="shared" si="26"/>
        <v>9500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12</v>
      </c>
      <c r="C173" s="206">
        <v>44760</v>
      </c>
      <c r="D173" s="161" t="s">
        <v>8</v>
      </c>
      <c r="E173" s="161" t="s">
        <v>301</v>
      </c>
      <c r="F173" s="207">
        <v>34950</v>
      </c>
      <c r="G173" s="207">
        <v>34905</v>
      </c>
      <c r="H173" s="161">
        <f>34950-34905</f>
        <v>45</v>
      </c>
      <c r="I173" s="207">
        <v>50</v>
      </c>
      <c r="J173" s="242">
        <f t="shared" si="26"/>
        <v>2250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13</v>
      </c>
      <c r="C174" s="206">
        <v>44761</v>
      </c>
      <c r="D174" s="161" t="s">
        <v>9</v>
      </c>
      <c r="E174" s="161" t="s">
        <v>301</v>
      </c>
      <c r="F174" s="207">
        <v>35350</v>
      </c>
      <c r="G174" s="207">
        <v>35650</v>
      </c>
      <c r="H174" s="161">
        <v>300</v>
      </c>
      <c r="I174" s="207">
        <v>50</v>
      </c>
      <c r="J174" s="242">
        <f t="shared" si="26"/>
        <v>15000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14</v>
      </c>
      <c r="C175" s="206">
        <v>44762</v>
      </c>
      <c r="D175" s="161" t="s">
        <v>9</v>
      </c>
      <c r="E175" s="161" t="s">
        <v>301</v>
      </c>
      <c r="F175" s="207">
        <v>36150</v>
      </c>
      <c r="G175" s="207">
        <v>36200</v>
      </c>
      <c r="H175" s="161">
        <v>50</v>
      </c>
      <c r="I175" s="207">
        <v>50</v>
      </c>
      <c r="J175" s="242">
        <f t="shared" si="26"/>
        <v>2500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15</v>
      </c>
      <c r="C176" s="206">
        <v>44763</v>
      </c>
      <c r="D176" s="161" t="s">
        <v>9</v>
      </c>
      <c r="E176" s="161" t="s">
        <v>301</v>
      </c>
      <c r="F176" s="207">
        <v>36100</v>
      </c>
      <c r="G176" s="207">
        <v>36295</v>
      </c>
      <c r="H176" s="161">
        <f>36295-36100</f>
        <v>195</v>
      </c>
      <c r="I176" s="207">
        <v>50</v>
      </c>
      <c r="J176" s="242">
        <f t="shared" si="26"/>
        <v>9750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16</v>
      </c>
      <c r="C177" s="206">
        <v>44764</v>
      </c>
      <c r="D177" s="161" t="s">
        <v>9</v>
      </c>
      <c r="E177" s="161" t="s">
        <v>301</v>
      </c>
      <c r="F177" s="207">
        <v>36500</v>
      </c>
      <c r="G177" s="207">
        <v>36800</v>
      </c>
      <c r="H177" s="161">
        <v>300</v>
      </c>
      <c r="I177" s="207">
        <v>50</v>
      </c>
      <c r="J177" s="242">
        <f t="shared" si="26"/>
        <v>15000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17</v>
      </c>
      <c r="C178" s="206">
        <v>44767</v>
      </c>
      <c r="D178" s="161" t="s">
        <v>8</v>
      </c>
      <c r="E178" s="161" t="s">
        <v>301</v>
      </c>
      <c r="F178" s="207">
        <v>36650</v>
      </c>
      <c r="G178" s="207">
        <v>36460</v>
      </c>
      <c r="H178" s="161">
        <f>36650-36460</f>
        <v>190</v>
      </c>
      <c r="I178" s="207">
        <v>50</v>
      </c>
      <c r="J178" s="242">
        <f t="shared" si="26"/>
        <v>9500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18</v>
      </c>
      <c r="C179" s="206">
        <v>44768</v>
      </c>
      <c r="D179" s="161" t="s">
        <v>8</v>
      </c>
      <c r="E179" s="161" t="s">
        <v>301</v>
      </c>
      <c r="F179" s="207">
        <v>36550</v>
      </c>
      <c r="G179" s="207">
        <v>36360</v>
      </c>
      <c r="H179" s="161">
        <f>36550-36360</f>
        <v>190</v>
      </c>
      <c r="I179" s="207">
        <v>50</v>
      </c>
      <c r="J179" s="242">
        <f t="shared" si="26"/>
        <v>9500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19</v>
      </c>
      <c r="C180" s="206">
        <v>44769</v>
      </c>
      <c r="D180" s="161" t="s">
        <v>9</v>
      </c>
      <c r="E180" s="161" t="s">
        <v>301</v>
      </c>
      <c r="F180" s="207">
        <v>36500</v>
      </c>
      <c r="G180" s="207">
        <v>36800</v>
      </c>
      <c r="H180" s="161">
        <v>300</v>
      </c>
      <c r="I180" s="207">
        <v>50</v>
      </c>
      <c r="J180" s="242">
        <f t="shared" si="26"/>
        <v>15000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20</v>
      </c>
      <c r="C181" s="206">
        <v>44770</v>
      </c>
      <c r="D181" s="161" t="s">
        <v>9</v>
      </c>
      <c r="E181" s="161" t="s">
        <v>301</v>
      </c>
      <c r="F181" s="207">
        <v>37250</v>
      </c>
      <c r="G181" s="207">
        <v>37400</v>
      </c>
      <c r="H181" s="161">
        <f>150</f>
        <v>150</v>
      </c>
      <c r="I181" s="207">
        <v>50</v>
      </c>
      <c r="J181" s="242">
        <f t="shared" si="26"/>
        <v>7500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21</v>
      </c>
      <c r="C182" s="206">
        <v>44771</v>
      </c>
      <c r="D182" s="161" t="s">
        <v>8</v>
      </c>
      <c r="E182" s="161" t="s">
        <v>301</v>
      </c>
      <c r="F182" s="207">
        <v>37400</v>
      </c>
      <c r="G182" s="207">
        <v>37282</v>
      </c>
      <c r="H182" s="161">
        <f>37400-37282</f>
        <v>118</v>
      </c>
      <c r="I182" s="207">
        <v>50</v>
      </c>
      <c r="J182" s="242">
        <f t="shared" si="26"/>
        <v>5900</v>
      </c>
      <c r="K182" s="153"/>
      <c r="V182" s="25">
        <f t="shared" si="27"/>
        <v>1</v>
      </c>
      <c r="W182" s="25">
        <f t="shared" si="28"/>
        <v>0</v>
      </c>
    </row>
    <row r="183" spans="1:23" x14ac:dyDescent="0.3">
      <c r="A183" s="147"/>
      <c r="B183" s="205">
        <f t="shared" si="29"/>
        <v>22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23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ht="15" thickBot="1" x14ac:dyDescent="0.35">
      <c r="A185" s="147"/>
      <c r="B185" s="208">
        <f t="shared" si="29"/>
        <v>24</v>
      </c>
      <c r="C185" s="209"/>
      <c r="D185" s="166"/>
      <c r="E185" s="166"/>
      <c r="F185" s="210"/>
      <c r="G185" s="210"/>
      <c r="H185" s="166"/>
      <c r="I185" s="210"/>
      <c r="J185" s="244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24" thickBot="1" x14ac:dyDescent="0.5">
      <c r="A186" s="147"/>
      <c r="B186" s="370" t="s">
        <v>2254</v>
      </c>
      <c r="C186" s="371"/>
      <c r="D186" s="371"/>
      <c r="E186" s="371"/>
      <c r="F186" s="371"/>
      <c r="G186" s="371"/>
      <c r="H186" s="372"/>
      <c r="I186" s="211" t="s">
        <v>2255</v>
      </c>
      <c r="J186" s="212">
        <f>SUM(J162:J185)</f>
        <v>214000</v>
      </c>
      <c r="K186" s="153"/>
      <c r="V186" s="25">
        <f>SUM(V162:V185)</f>
        <v>21</v>
      </c>
      <c r="W186" s="25">
        <f>SUM(W162:W185)</f>
        <v>0</v>
      </c>
    </row>
    <row r="187" spans="1:23" ht="30" customHeight="1" thickBot="1" x14ac:dyDescent="0.35">
      <c r="A187" s="213"/>
      <c r="B187" s="172"/>
      <c r="C187" s="172"/>
      <c r="D187" s="172"/>
      <c r="E187" s="172"/>
      <c r="F187" s="172"/>
      <c r="G187" s="172"/>
      <c r="H187" s="235"/>
      <c r="I187" s="172"/>
      <c r="J187" s="235"/>
      <c r="K187" s="214"/>
    </row>
    <row r="188" spans="1:23" ht="15" thickBot="1" x14ac:dyDescent="0.35"/>
    <row r="189" spans="1:23" ht="30" customHeight="1" thickBot="1" x14ac:dyDescent="0.35">
      <c r="A189" s="198"/>
      <c r="B189" s="143"/>
      <c r="C189" s="143"/>
      <c r="D189" s="143"/>
      <c r="E189" s="143"/>
      <c r="F189" s="143"/>
      <c r="G189" s="143"/>
      <c r="H189" s="232"/>
      <c r="I189" s="143"/>
      <c r="J189" s="232"/>
      <c r="K189" s="199"/>
    </row>
    <row r="190" spans="1:23" ht="25.2" thickBot="1" x14ac:dyDescent="0.35">
      <c r="A190" s="147" t="s">
        <v>0</v>
      </c>
      <c r="B190" s="361" t="s">
        <v>2244</v>
      </c>
      <c r="C190" s="362"/>
      <c r="D190" s="362"/>
      <c r="E190" s="362"/>
      <c r="F190" s="362"/>
      <c r="G190" s="362"/>
      <c r="H190" s="362"/>
      <c r="I190" s="362"/>
      <c r="J190" s="363"/>
      <c r="K190" s="153"/>
    </row>
    <row r="191" spans="1:23" ht="16.2" thickBot="1" x14ac:dyDescent="0.35">
      <c r="A191" s="147"/>
      <c r="B191" s="364" t="s">
        <v>3393</v>
      </c>
      <c r="C191" s="365"/>
      <c r="D191" s="365"/>
      <c r="E191" s="365"/>
      <c r="F191" s="365"/>
      <c r="G191" s="365"/>
      <c r="H191" s="365"/>
      <c r="I191" s="365"/>
      <c r="J191" s="366"/>
      <c r="K191" s="153"/>
    </row>
    <row r="192" spans="1:23" ht="16.2" thickBot="1" x14ac:dyDescent="0.35">
      <c r="A192" s="147"/>
      <c r="B192" s="367" t="s">
        <v>1152</v>
      </c>
      <c r="C192" s="368"/>
      <c r="D192" s="368"/>
      <c r="E192" s="368"/>
      <c r="F192" s="368"/>
      <c r="G192" s="368"/>
      <c r="H192" s="368"/>
      <c r="I192" s="368"/>
      <c r="J192" s="369"/>
      <c r="K192" s="153"/>
    </row>
    <row r="193" spans="1:23" ht="15" thickBot="1" x14ac:dyDescent="0.35">
      <c r="A193" s="175"/>
      <c r="B193" s="178" t="s">
        <v>2248</v>
      </c>
      <c r="C193" s="179" t="s">
        <v>1</v>
      </c>
      <c r="D193" s="180" t="s">
        <v>5</v>
      </c>
      <c r="E193" s="180" t="s">
        <v>6</v>
      </c>
      <c r="F193" s="181" t="s">
        <v>2249</v>
      </c>
      <c r="G193" s="181" t="s">
        <v>2250</v>
      </c>
      <c r="H193" s="239" t="s">
        <v>2251</v>
      </c>
      <c r="I193" s="181" t="s">
        <v>2257</v>
      </c>
      <c r="J193" s="245" t="s">
        <v>4</v>
      </c>
      <c r="K193" s="176"/>
      <c r="L193" s="215"/>
      <c r="V193" s="201" t="s">
        <v>454</v>
      </c>
      <c r="W193" s="201" t="s">
        <v>455</v>
      </c>
    </row>
    <row r="194" spans="1:23" x14ac:dyDescent="0.3">
      <c r="A194" s="147"/>
      <c r="B194" s="217">
        <v>1</v>
      </c>
      <c r="C194" s="218">
        <v>44743</v>
      </c>
      <c r="D194" s="185" t="s">
        <v>9</v>
      </c>
      <c r="E194" s="185" t="s">
        <v>3847</v>
      </c>
      <c r="F194" s="219">
        <v>360</v>
      </c>
      <c r="G194" s="219">
        <v>560</v>
      </c>
      <c r="H194" s="185">
        <v>200</v>
      </c>
      <c r="I194" s="219">
        <v>100</v>
      </c>
      <c r="J194" s="246">
        <f t="shared" ref="J194:J218" si="30">I194*H194</f>
        <v>20000</v>
      </c>
      <c r="K194" s="153"/>
      <c r="V194" s="25">
        <f>IF($J194&gt;0,1,0)</f>
        <v>1</v>
      </c>
      <c r="W194" s="25">
        <f>IF($J194&lt;0,1,0)</f>
        <v>0</v>
      </c>
    </row>
    <row r="195" spans="1:23" x14ac:dyDescent="0.3">
      <c r="A195" s="147"/>
      <c r="B195" s="205">
        <f>B194+1</f>
        <v>2</v>
      </c>
      <c r="C195" s="218">
        <v>44746</v>
      </c>
      <c r="D195" s="185" t="s">
        <v>9</v>
      </c>
      <c r="E195" s="185" t="s">
        <v>3804</v>
      </c>
      <c r="F195" s="219">
        <v>310</v>
      </c>
      <c r="G195" s="219">
        <v>438</v>
      </c>
      <c r="H195" s="185">
        <f>438-310</f>
        <v>128</v>
      </c>
      <c r="I195" s="219">
        <v>100</v>
      </c>
      <c r="J195" s="242">
        <f t="shared" si="30"/>
        <v>12800</v>
      </c>
      <c r="K195" s="153"/>
      <c r="V195" s="25">
        <f t="shared" ref="V195:V218" si="31">IF($J195&gt;0,1,0)</f>
        <v>1</v>
      </c>
      <c r="W195" s="25">
        <f t="shared" ref="W195:W218" si="32">IF($J195&lt;0,1,0)</f>
        <v>0</v>
      </c>
    </row>
    <row r="196" spans="1:23" x14ac:dyDescent="0.3">
      <c r="A196" s="147"/>
      <c r="B196" s="205">
        <f t="shared" ref="B196:B218" si="33">B195+1</f>
        <v>3</v>
      </c>
      <c r="C196" s="206">
        <v>44747</v>
      </c>
      <c r="D196" s="161" t="s">
        <v>9</v>
      </c>
      <c r="E196" s="161" t="s">
        <v>3289</v>
      </c>
      <c r="F196" s="207">
        <v>270</v>
      </c>
      <c r="G196" s="207">
        <v>310</v>
      </c>
      <c r="H196" s="161">
        <f>310-270</f>
        <v>40</v>
      </c>
      <c r="I196" s="207">
        <v>100</v>
      </c>
      <c r="J196" s="242">
        <f t="shared" si="30"/>
        <v>4000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4</v>
      </c>
      <c r="C197" s="206">
        <v>44748</v>
      </c>
      <c r="D197" s="161" t="s">
        <v>9</v>
      </c>
      <c r="E197" s="161" t="s">
        <v>3296</v>
      </c>
      <c r="F197" s="207">
        <v>240</v>
      </c>
      <c r="G197" s="207">
        <v>440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5</v>
      </c>
      <c r="C198" s="206">
        <v>44749</v>
      </c>
      <c r="D198" s="161" t="s">
        <v>9</v>
      </c>
      <c r="E198" s="161" t="s">
        <v>3811</v>
      </c>
      <c r="F198" s="207">
        <v>220</v>
      </c>
      <c r="G198" s="207">
        <v>420</v>
      </c>
      <c r="H198" s="161">
        <v>200</v>
      </c>
      <c r="I198" s="207">
        <v>100</v>
      </c>
      <c r="J198" s="242">
        <f t="shared" si="30"/>
        <v>20000</v>
      </c>
      <c r="K198" s="153"/>
      <c r="O198" s="25" t="s">
        <v>2008</v>
      </c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6</v>
      </c>
      <c r="C199" s="206">
        <v>44750</v>
      </c>
      <c r="D199" s="161" t="s">
        <v>9</v>
      </c>
      <c r="E199" s="161" t="s">
        <v>3377</v>
      </c>
      <c r="F199" s="207">
        <v>380</v>
      </c>
      <c r="G199" s="207">
        <v>422</v>
      </c>
      <c r="H199" s="161">
        <f>422-380</f>
        <v>42</v>
      </c>
      <c r="I199" s="207">
        <v>100</v>
      </c>
      <c r="J199" s="242">
        <f t="shared" si="30"/>
        <v>4200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7</v>
      </c>
      <c r="C200" s="206">
        <v>44753</v>
      </c>
      <c r="D200" s="161" t="s">
        <v>9</v>
      </c>
      <c r="E200" s="161" t="s">
        <v>3280</v>
      </c>
      <c r="F200" s="207">
        <v>290</v>
      </c>
      <c r="G200" s="207">
        <v>420</v>
      </c>
      <c r="H200" s="161">
        <f>420-290</f>
        <v>130</v>
      </c>
      <c r="I200" s="207">
        <v>100</v>
      </c>
      <c r="J200" s="242">
        <f t="shared" si="30"/>
        <v>13000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8</v>
      </c>
      <c r="C201" s="206">
        <v>44754</v>
      </c>
      <c r="D201" s="161" t="s">
        <v>9</v>
      </c>
      <c r="E201" s="161" t="s">
        <v>3273</v>
      </c>
      <c r="F201" s="207">
        <v>230</v>
      </c>
      <c r="G201" s="207">
        <v>185</v>
      </c>
      <c r="H201" s="161">
        <v>-45</v>
      </c>
      <c r="I201" s="207">
        <v>100</v>
      </c>
      <c r="J201" s="242">
        <f t="shared" si="30"/>
        <v>-4500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9</v>
      </c>
      <c r="C202" s="206">
        <v>44755</v>
      </c>
      <c r="D202" s="161" t="s">
        <v>9</v>
      </c>
      <c r="E202" s="161" t="s">
        <v>3359</v>
      </c>
      <c r="F202" s="207">
        <v>260</v>
      </c>
      <c r="G202" s="207">
        <v>460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10</v>
      </c>
      <c r="C203" s="206">
        <v>44756</v>
      </c>
      <c r="D203" s="161" t="s">
        <v>9</v>
      </c>
      <c r="E203" s="161" t="s">
        <v>3377</v>
      </c>
      <c r="F203" s="207">
        <v>240</v>
      </c>
      <c r="G203" s="207">
        <v>440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11</v>
      </c>
      <c r="C204" s="206">
        <v>44757</v>
      </c>
      <c r="D204" s="161" t="s">
        <v>9</v>
      </c>
      <c r="E204" s="161" t="s">
        <v>3358</v>
      </c>
      <c r="F204" s="207">
        <v>370</v>
      </c>
      <c r="G204" s="207">
        <v>457</v>
      </c>
      <c r="H204" s="161">
        <f>457-370</f>
        <v>87</v>
      </c>
      <c r="I204" s="207">
        <v>100</v>
      </c>
      <c r="J204" s="242">
        <f t="shared" si="30"/>
        <v>8700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12</v>
      </c>
      <c r="C205" s="206">
        <v>44760</v>
      </c>
      <c r="D205" s="161" t="s">
        <v>9</v>
      </c>
      <c r="E205" s="161" t="s">
        <v>3866</v>
      </c>
      <c r="F205" s="207">
        <v>290</v>
      </c>
      <c r="G205" s="207">
        <v>230</v>
      </c>
      <c r="H205" s="161">
        <v>-60</v>
      </c>
      <c r="I205" s="207">
        <v>100</v>
      </c>
      <c r="J205" s="242">
        <f t="shared" si="30"/>
        <v>-6000</v>
      </c>
      <c r="K205" s="153"/>
    </row>
    <row r="206" spans="1:23" x14ac:dyDescent="0.3">
      <c r="A206" s="147"/>
      <c r="B206" s="205">
        <f t="shared" si="33"/>
        <v>13</v>
      </c>
      <c r="C206" s="206">
        <v>44760</v>
      </c>
      <c r="D206" s="161" t="s">
        <v>9</v>
      </c>
      <c r="E206" s="161" t="s">
        <v>3386</v>
      </c>
      <c r="F206" s="207">
        <v>270</v>
      </c>
      <c r="G206" s="207">
        <v>455</v>
      </c>
      <c r="H206" s="161">
        <f>455-270</f>
        <v>185</v>
      </c>
      <c r="I206" s="207">
        <v>100</v>
      </c>
      <c r="J206" s="242">
        <f t="shared" si="30"/>
        <v>18500</v>
      </c>
      <c r="K206" s="153"/>
    </row>
    <row r="207" spans="1:23" x14ac:dyDescent="0.3">
      <c r="A207" s="147"/>
      <c r="B207" s="205">
        <f t="shared" si="33"/>
        <v>14</v>
      </c>
      <c r="C207" s="206">
        <v>44761</v>
      </c>
      <c r="D207" s="161" t="s">
        <v>9</v>
      </c>
      <c r="E207" s="161" t="s">
        <v>3273</v>
      </c>
      <c r="F207" s="207">
        <v>230</v>
      </c>
      <c r="G207" s="207">
        <v>430</v>
      </c>
      <c r="H207" s="161">
        <v>200</v>
      </c>
      <c r="I207" s="207">
        <v>100</v>
      </c>
      <c r="J207" s="242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15</v>
      </c>
      <c r="C208" s="206">
        <v>44762</v>
      </c>
      <c r="D208" s="161" t="s">
        <v>9</v>
      </c>
      <c r="E208" s="161" t="s">
        <v>3711</v>
      </c>
      <c r="F208" s="207">
        <v>210</v>
      </c>
      <c r="G208" s="207">
        <v>240</v>
      </c>
      <c r="H208" s="161">
        <v>30</v>
      </c>
      <c r="I208" s="207">
        <v>100</v>
      </c>
      <c r="J208" s="242">
        <f t="shared" si="30"/>
        <v>3000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16</v>
      </c>
      <c r="C209" s="206">
        <v>44763</v>
      </c>
      <c r="D209" s="161" t="s">
        <v>9</v>
      </c>
      <c r="E209" s="161" t="s">
        <v>3236</v>
      </c>
      <c r="F209" s="207">
        <v>240</v>
      </c>
      <c r="G209" s="207">
        <v>440</v>
      </c>
      <c r="H209" s="161">
        <v>200</v>
      </c>
      <c r="I209" s="207">
        <v>100</v>
      </c>
      <c r="J209" s="242">
        <f t="shared" si="30"/>
        <v>20000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17</v>
      </c>
      <c r="C210" s="206">
        <v>44764</v>
      </c>
      <c r="D210" s="161" t="s">
        <v>9</v>
      </c>
      <c r="E210" s="161" t="s">
        <v>3246</v>
      </c>
      <c r="F210" s="207">
        <v>300</v>
      </c>
      <c r="G210" s="207">
        <v>467</v>
      </c>
      <c r="H210" s="161">
        <f>467-300</f>
        <v>167</v>
      </c>
      <c r="I210" s="207">
        <v>100</v>
      </c>
      <c r="J210" s="242">
        <f t="shared" si="30"/>
        <v>16700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18</v>
      </c>
      <c r="C211" s="206">
        <v>44767</v>
      </c>
      <c r="D211" s="161" t="s">
        <v>9</v>
      </c>
      <c r="E211" s="161" t="s">
        <v>3466</v>
      </c>
      <c r="F211" s="207">
        <v>340</v>
      </c>
      <c r="G211" s="207">
        <v>440</v>
      </c>
      <c r="H211" s="161">
        <v>100</v>
      </c>
      <c r="I211" s="207">
        <v>100</v>
      </c>
      <c r="J211" s="242">
        <f t="shared" si="30"/>
        <v>10000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19</v>
      </c>
      <c r="C212" s="206">
        <v>44768</v>
      </c>
      <c r="D212" s="161" t="s">
        <v>9</v>
      </c>
      <c r="E212" s="161" t="s">
        <v>3597</v>
      </c>
      <c r="F212" s="207">
        <v>300</v>
      </c>
      <c r="G212" s="207">
        <v>400</v>
      </c>
      <c r="H212" s="161">
        <v>100</v>
      </c>
      <c r="I212" s="207">
        <v>100</v>
      </c>
      <c r="J212" s="242">
        <f t="shared" si="30"/>
        <v>10000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20</v>
      </c>
      <c r="C213" s="206">
        <v>44769</v>
      </c>
      <c r="D213" s="161" t="s">
        <v>9</v>
      </c>
      <c r="E213" s="161" t="s">
        <v>3278</v>
      </c>
      <c r="F213" s="207">
        <v>270</v>
      </c>
      <c r="G213" s="207">
        <v>470</v>
      </c>
      <c r="H213" s="161">
        <v>200</v>
      </c>
      <c r="I213" s="207">
        <v>100</v>
      </c>
      <c r="J213" s="242">
        <f t="shared" si="30"/>
        <v>20000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21</v>
      </c>
      <c r="C214" s="206">
        <v>44770</v>
      </c>
      <c r="D214" s="161" t="s">
        <v>9</v>
      </c>
      <c r="E214" s="161" t="s">
        <v>3242</v>
      </c>
      <c r="F214" s="207">
        <v>230</v>
      </c>
      <c r="G214" s="207">
        <v>328</v>
      </c>
      <c r="H214" s="161">
        <v>98</v>
      </c>
      <c r="I214" s="207">
        <v>100</v>
      </c>
      <c r="J214" s="242">
        <f t="shared" si="30"/>
        <v>9800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22</v>
      </c>
      <c r="C215" s="206">
        <v>44771</v>
      </c>
      <c r="D215" s="161" t="s">
        <v>9</v>
      </c>
      <c r="E215" s="161" t="s">
        <v>3671</v>
      </c>
      <c r="F215" s="207">
        <v>350</v>
      </c>
      <c r="G215" s="207">
        <v>495</v>
      </c>
      <c r="H215" s="161">
        <f>495-350</f>
        <v>145</v>
      </c>
      <c r="I215" s="207">
        <v>100</v>
      </c>
      <c r="J215" s="242">
        <f t="shared" si="30"/>
        <v>14500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23</v>
      </c>
      <c r="C216" s="206"/>
      <c r="D216" s="161"/>
      <c r="E216" s="161"/>
      <c r="F216" s="207"/>
      <c r="G216" s="207"/>
      <c r="H216" s="161"/>
      <c r="I216" s="207"/>
      <c r="J216" s="242">
        <f t="shared" si="30"/>
        <v>0</v>
      </c>
      <c r="K216" s="153"/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05">
        <f t="shared" si="33"/>
        <v>24</v>
      </c>
      <c r="C217" s="206"/>
      <c r="D217" s="161"/>
      <c r="E217" s="161"/>
      <c r="F217" s="207"/>
      <c r="G217" s="207"/>
      <c r="H217" s="161"/>
      <c r="I217" s="207"/>
      <c r="J217" s="242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ht="15" thickBot="1" x14ac:dyDescent="0.35">
      <c r="A218" s="147"/>
      <c r="B218" s="205">
        <f t="shared" si="33"/>
        <v>25</v>
      </c>
      <c r="C218" s="209"/>
      <c r="D218" s="166"/>
      <c r="E218" s="166"/>
      <c r="F218" s="210"/>
      <c r="G218" s="210"/>
      <c r="H218" s="166"/>
      <c r="I218" s="210"/>
      <c r="J218" s="244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ht="24" thickBot="1" x14ac:dyDescent="0.5">
      <c r="A219" s="147"/>
      <c r="B219" s="400" t="s">
        <v>2254</v>
      </c>
      <c r="C219" s="401"/>
      <c r="D219" s="401"/>
      <c r="E219" s="401"/>
      <c r="F219" s="401"/>
      <c r="G219" s="401"/>
      <c r="H219" s="402"/>
      <c r="I219" s="211" t="s">
        <v>2255</v>
      </c>
      <c r="J219" s="212">
        <f>SUM(J194:J218)</f>
        <v>274700</v>
      </c>
      <c r="K219" s="153"/>
      <c r="V219" s="25">
        <f>SUM(V194:V218)</f>
        <v>19</v>
      </c>
      <c r="W219" s="25">
        <f>SUM(W194:W218)</f>
        <v>1</v>
      </c>
    </row>
    <row r="220" spans="1:23" ht="30" customHeight="1" thickBot="1" x14ac:dyDescent="0.35">
      <c r="A220" s="213"/>
      <c r="B220" s="172"/>
      <c r="C220" s="172"/>
      <c r="D220" s="172"/>
      <c r="E220" s="172"/>
      <c r="F220" s="172"/>
      <c r="G220" s="172"/>
      <c r="H220" s="235"/>
      <c r="I220" s="172"/>
      <c r="J220" s="235"/>
      <c r="K220" s="214"/>
    </row>
    <row r="221" spans="1:23" ht="15" thickBot="1" x14ac:dyDescent="0.35"/>
    <row r="222" spans="1:23" ht="30" customHeight="1" thickBot="1" x14ac:dyDescent="0.35">
      <c r="A222" s="198"/>
      <c r="B222" s="143"/>
      <c r="C222" s="143"/>
      <c r="D222" s="143"/>
      <c r="E222" s="143"/>
      <c r="F222" s="143"/>
      <c r="G222" s="143"/>
      <c r="H222" s="232"/>
      <c r="I222" s="143"/>
      <c r="J222" s="232"/>
      <c r="K222" s="199"/>
    </row>
    <row r="223" spans="1:23" ht="25.2" thickBot="1" x14ac:dyDescent="0.35">
      <c r="A223" s="147" t="s">
        <v>0</v>
      </c>
      <c r="B223" s="361" t="s">
        <v>2244</v>
      </c>
      <c r="C223" s="362"/>
      <c r="D223" s="362"/>
      <c r="E223" s="362"/>
      <c r="F223" s="362"/>
      <c r="G223" s="362"/>
      <c r="H223" s="362"/>
      <c r="I223" s="362"/>
      <c r="J223" s="363"/>
      <c r="K223" s="153"/>
    </row>
    <row r="224" spans="1:23" ht="16.2" thickBot="1" x14ac:dyDescent="0.35">
      <c r="A224" s="147"/>
      <c r="B224" s="364" t="s">
        <v>3851</v>
      </c>
      <c r="C224" s="365"/>
      <c r="D224" s="365"/>
      <c r="E224" s="365"/>
      <c r="F224" s="365"/>
      <c r="G224" s="365"/>
      <c r="H224" s="365"/>
      <c r="I224" s="365"/>
      <c r="J224" s="366"/>
      <c r="K224" s="153"/>
    </row>
    <row r="225" spans="1:23" ht="16.2" thickBot="1" x14ac:dyDescent="0.35">
      <c r="A225" s="147"/>
      <c r="B225" s="367" t="s">
        <v>1076</v>
      </c>
      <c r="C225" s="368"/>
      <c r="D225" s="368"/>
      <c r="E225" s="368"/>
      <c r="F225" s="368"/>
      <c r="G225" s="368"/>
      <c r="H225" s="368"/>
      <c r="I225" s="368"/>
      <c r="J225" s="369"/>
      <c r="K225" s="153"/>
    </row>
    <row r="226" spans="1:23" ht="15" thickBot="1" x14ac:dyDescent="0.35">
      <c r="A226" s="175"/>
      <c r="B226" s="178" t="s">
        <v>2248</v>
      </c>
      <c r="C226" s="179" t="s">
        <v>1</v>
      </c>
      <c r="D226" s="180" t="s">
        <v>5</v>
      </c>
      <c r="E226" s="180" t="s">
        <v>6</v>
      </c>
      <c r="F226" s="181" t="s">
        <v>2249</v>
      </c>
      <c r="G226" s="181" t="s">
        <v>2250</v>
      </c>
      <c r="H226" s="239" t="s">
        <v>2251</v>
      </c>
      <c r="I226" s="181" t="s">
        <v>2257</v>
      </c>
      <c r="J226" s="245" t="s">
        <v>4</v>
      </c>
      <c r="K226" s="176"/>
      <c r="L226" s="215"/>
      <c r="V226" s="201" t="s">
        <v>454</v>
      </c>
      <c r="W226" s="201" t="s">
        <v>455</v>
      </c>
    </row>
    <row r="227" spans="1:23" x14ac:dyDescent="0.3">
      <c r="A227" s="147"/>
      <c r="B227" s="217">
        <v>1</v>
      </c>
      <c r="C227" s="218">
        <v>44743</v>
      </c>
      <c r="D227" s="185" t="s">
        <v>9</v>
      </c>
      <c r="E227" s="185" t="s">
        <v>3852</v>
      </c>
      <c r="F227" s="231">
        <v>88</v>
      </c>
      <c r="G227" s="231">
        <v>73</v>
      </c>
      <c r="H227" s="231">
        <v>-15</v>
      </c>
      <c r="I227" s="219">
        <v>250</v>
      </c>
      <c r="J227" s="246">
        <f t="shared" ref="J227:J251" si="34">I227*H227</f>
        <v>-3750</v>
      </c>
      <c r="K227" s="153"/>
      <c r="V227" s="25">
        <f>IF($J227&gt;0,1,0)</f>
        <v>0</v>
      </c>
      <c r="W227" s="25">
        <f>IF($J227&lt;0,1,0)</f>
        <v>1</v>
      </c>
    </row>
    <row r="228" spans="1:23" x14ac:dyDescent="0.3">
      <c r="A228" s="147"/>
      <c r="B228" s="205">
        <f>B227+1</f>
        <v>2</v>
      </c>
      <c r="C228" s="218">
        <v>44746</v>
      </c>
      <c r="D228" s="185" t="s">
        <v>9</v>
      </c>
      <c r="E228" s="185" t="s">
        <v>3853</v>
      </c>
      <c r="F228" s="231">
        <v>6</v>
      </c>
      <c r="G228" s="231">
        <v>8</v>
      </c>
      <c r="H228" s="231">
        <v>2</v>
      </c>
      <c r="I228" s="219">
        <v>3200</v>
      </c>
      <c r="J228" s="242">
        <f>I228*H228</f>
        <v>6400</v>
      </c>
      <c r="K228" s="153"/>
      <c r="V228" s="25">
        <f>IF($J228&gt;0,1,0)</f>
        <v>1</v>
      </c>
      <c r="W228" s="25">
        <f>IF($J228&lt;0,1,0)</f>
        <v>0</v>
      </c>
    </row>
    <row r="229" spans="1:23" x14ac:dyDescent="0.3">
      <c r="A229" s="147"/>
      <c r="B229" s="205">
        <f t="shared" ref="B229:B251" si="35">B228+1</f>
        <v>3</v>
      </c>
      <c r="C229" s="206">
        <v>44747</v>
      </c>
      <c r="D229" s="161" t="s">
        <v>9</v>
      </c>
      <c r="E229" s="161" t="s">
        <v>3383</v>
      </c>
      <c r="F229" s="222">
        <v>40</v>
      </c>
      <c r="G229" s="222">
        <v>45.6</v>
      </c>
      <c r="H229" s="222">
        <v>5.6</v>
      </c>
      <c r="I229" s="207">
        <v>300</v>
      </c>
      <c r="J229" s="242">
        <f t="shared" si="34"/>
        <v>1680</v>
      </c>
      <c r="K229" s="153"/>
      <c r="V229" s="25">
        <f t="shared" ref="V229:V251" si="36">IF($J229&gt;0,1,0)</f>
        <v>1</v>
      </c>
      <c r="W229" s="25">
        <f t="shared" ref="W229:W251" si="37">IF($J229&lt;0,1,0)</f>
        <v>0</v>
      </c>
    </row>
    <row r="230" spans="1:23" x14ac:dyDescent="0.3">
      <c r="A230" s="147"/>
      <c r="B230" s="205">
        <f t="shared" si="35"/>
        <v>4</v>
      </c>
      <c r="C230" s="206">
        <v>44748</v>
      </c>
      <c r="D230" s="161" t="s">
        <v>9</v>
      </c>
      <c r="E230" s="161" t="s">
        <v>3207</v>
      </c>
      <c r="F230" s="222">
        <v>14.5</v>
      </c>
      <c r="G230" s="222">
        <v>15.7</v>
      </c>
      <c r="H230" s="222">
        <f>15.7-14.5</f>
        <v>1.1999999999999993</v>
      </c>
      <c r="I230" s="207">
        <v>1200</v>
      </c>
      <c r="J230" s="242">
        <f t="shared" si="34"/>
        <v>1439.9999999999991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5</v>
      </c>
      <c r="C231" s="206">
        <v>44749</v>
      </c>
      <c r="D231" s="161" t="s">
        <v>9</v>
      </c>
      <c r="E231" s="161" t="s">
        <v>3854</v>
      </c>
      <c r="F231" s="222">
        <v>80</v>
      </c>
      <c r="G231" s="222">
        <v>90</v>
      </c>
      <c r="H231" s="222">
        <v>10</v>
      </c>
      <c r="I231" s="207">
        <v>250</v>
      </c>
      <c r="J231" s="242">
        <f t="shared" si="34"/>
        <v>2500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6</v>
      </c>
      <c r="C232" s="206">
        <v>44750</v>
      </c>
      <c r="D232" s="161" t="s">
        <v>9</v>
      </c>
      <c r="E232" s="161" t="s">
        <v>3855</v>
      </c>
      <c r="F232" s="222">
        <v>75</v>
      </c>
      <c r="G232" s="222">
        <v>87</v>
      </c>
      <c r="H232" s="222">
        <f>87-75</f>
        <v>12</v>
      </c>
      <c r="I232" s="207">
        <v>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7</v>
      </c>
      <c r="C233" s="206">
        <v>44753</v>
      </c>
      <c r="D233" s="161" t="s">
        <v>9</v>
      </c>
      <c r="E233" s="161" t="s">
        <v>3857</v>
      </c>
      <c r="F233" s="222">
        <v>29</v>
      </c>
      <c r="G233" s="222">
        <v>41</v>
      </c>
      <c r="H233" s="222">
        <f>41-29</f>
        <v>12</v>
      </c>
      <c r="I233" s="207">
        <v>700</v>
      </c>
      <c r="J233" s="242">
        <f t="shared" si="34"/>
        <v>8400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8</v>
      </c>
      <c r="C234" s="206">
        <v>44754</v>
      </c>
      <c r="D234" s="161" t="s">
        <v>9</v>
      </c>
      <c r="E234" s="161" t="s">
        <v>3858</v>
      </c>
      <c r="F234" s="222">
        <v>80</v>
      </c>
      <c r="G234" s="222">
        <v>89</v>
      </c>
      <c r="H234" s="222">
        <v>9</v>
      </c>
      <c r="I234" s="207">
        <v>500</v>
      </c>
      <c r="J234" s="242">
        <f t="shared" si="34"/>
        <v>4500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9</v>
      </c>
      <c r="C235" s="206">
        <v>44755</v>
      </c>
      <c r="D235" s="161" t="s">
        <v>9</v>
      </c>
      <c r="E235" s="161" t="s">
        <v>3859</v>
      </c>
      <c r="F235" s="222">
        <v>73</v>
      </c>
      <c r="G235" s="222">
        <v>83</v>
      </c>
      <c r="H235" s="255">
        <v>10</v>
      </c>
      <c r="I235" s="207">
        <v>500</v>
      </c>
      <c r="J235" s="242">
        <f t="shared" si="34"/>
        <v>5000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10</v>
      </c>
      <c r="C236" s="206">
        <v>44756</v>
      </c>
      <c r="D236" s="161" t="s">
        <v>9</v>
      </c>
      <c r="E236" s="161" t="s">
        <v>3860</v>
      </c>
      <c r="F236" s="222">
        <v>320</v>
      </c>
      <c r="G236" s="222">
        <v>356</v>
      </c>
      <c r="H236" s="255">
        <f>356-320</f>
        <v>36</v>
      </c>
      <c r="I236" s="207">
        <v>50</v>
      </c>
      <c r="J236" s="242">
        <f t="shared" si="34"/>
        <v>1800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11</v>
      </c>
      <c r="C237" s="206">
        <v>44757</v>
      </c>
      <c r="D237" s="161" t="s">
        <v>9</v>
      </c>
      <c r="E237" s="161" t="s">
        <v>3861</v>
      </c>
      <c r="F237" s="222">
        <v>8.5</v>
      </c>
      <c r="G237" s="222">
        <v>11.5</v>
      </c>
      <c r="H237" s="255">
        <v>3</v>
      </c>
      <c r="I237" s="207">
        <v>1500</v>
      </c>
      <c r="J237" s="242">
        <f t="shared" si="34"/>
        <v>4500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12</v>
      </c>
      <c r="C238" s="206">
        <v>44760</v>
      </c>
      <c r="D238" s="161" t="s">
        <v>9</v>
      </c>
      <c r="E238" s="161" t="s">
        <v>3867</v>
      </c>
      <c r="F238" s="222">
        <v>60</v>
      </c>
      <c r="G238" s="222">
        <v>67.2</v>
      </c>
      <c r="H238" s="255">
        <v>7.2</v>
      </c>
      <c r="I238" s="207">
        <v>250</v>
      </c>
      <c r="J238" s="242">
        <f t="shared" si="34"/>
        <v>1800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13</v>
      </c>
      <c r="C239" s="206">
        <v>44761</v>
      </c>
      <c r="D239" s="161" t="s">
        <v>9</v>
      </c>
      <c r="E239" s="161" t="s">
        <v>3863</v>
      </c>
      <c r="F239" s="222">
        <v>120</v>
      </c>
      <c r="G239" s="222">
        <v>140</v>
      </c>
      <c r="H239" s="255">
        <v>20</v>
      </c>
      <c r="I239" s="207">
        <v>125</v>
      </c>
      <c r="J239" s="242">
        <f t="shared" si="34"/>
        <v>2500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14</v>
      </c>
      <c r="C240" s="206">
        <v>44762</v>
      </c>
      <c r="D240" s="161" t="s">
        <v>9</v>
      </c>
      <c r="E240" s="161" t="s">
        <v>3864</v>
      </c>
      <c r="F240" s="222">
        <v>31</v>
      </c>
      <c r="G240" s="222">
        <v>43</v>
      </c>
      <c r="H240" s="255">
        <f>43-31</f>
        <v>12</v>
      </c>
      <c r="I240" s="207">
        <v>500</v>
      </c>
      <c r="J240" s="242">
        <f t="shared" si="34"/>
        <v>6000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15</v>
      </c>
      <c r="C241" s="206">
        <v>44763</v>
      </c>
      <c r="D241" s="161" t="s">
        <v>9</v>
      </c>
      <c r="E241" s="161" t="s">
        <v>3865</v>
      </c>
      <c r="F241" s="222">
        <v>4.5</v>
      </c>
      <c r="G241" s="222">
        <v>5</v>
      </c>
      <c r="H241" s="255">
        <v>0.5</v>
      </c>
      <c r="I241" s="207">
        <v>3200</v>
      </c>
      <c r="J241" s="242">
        <f>I241*H241</f>
        <v>1600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16</v>
      </c>
      <c r="C242" s="206">
        <v>44764</v>
      </c>
      <c r="D242" s="161" t="s">
        <v>9</v>
      </c>
      <c r="E242" s="161" t="s">
        <v>2644</v>
      </c>
      <c r="F242" s="222">
        <v>11.4</v>
      </c>
      <c r="G242" s="222">
        <v>17.399999999999999</v>
      </c>
      <c r="H242" s="255">
        <v>6</v>
      </c>
      <c r="I242" s="207">
        <v>1200</v>
      </c>
      <c r="J242" s="242">
        <f t="shared" si="34"/>
        <v>7200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17</v>
      </c>
      <c r="C243" s="206">
        <v>44767</v>
      </c>
      <c r="D243" s="161" t="s">
        <v>9</v>
      </c>
      <c r="E243" s="161" t="s">
        <v>3869</v>
      </c>
      <c r="F243" s="222">
        <v>8.3000000000000007</v>
      </c>
      <c r="G243" s="222">
        <v>9.5</v>
      </c>
      <c r="H243" s="222">
        <f>9.5-8.3</f>
        <v>1.1999999999999993</v>
      </c>
      <c r="I243" s="207">
        <v>950</v>
      </c>
      <c r="J243" s="242">
        <f t="shared" si="34"/>
        <v>1139.9999999999993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18</v>
      </c>
      <c r="C244" s="206">
        <v>44768</v>
      </c>
      <c r="D244" s="161" t="s">
        <v>9</v>
      </c>
      <c r="E244" s="161" t="s">
        <v>3870</v>
      </c>
      <c r="F244" s="222">
        <v>120</v>
      </c>
      <c r="G244" s="222">
        <v>140</v>
      </c>
      <c r="H244" s="222">
        <v>20</v>
      </c>
      <c r="I244" s="207">
        <v>125</v>
      </c>
      <c r="J244" s="242">
        <f t="shared" si="34"/>
        <v>2500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19</v>
      </c>
      <c r="C245" s="206">
        <v>44769</v>
      </c>
      <c r="D245" s="161" t="s">
        <v>9</v>
      </c>
      <c r="E245" s="161" t="s">
        <v>3871</v>
      </c>
      <c r="F245" s="222">
        <v>4.5</v>
      </c>
      <c r="G245" s="222">
        <v>5.9</v>
      </c>
      <c r="H245" s="222">
        <f>5.9-4.5</f>
        <v>1.4000000000000004</v>
      </c>
      <c r="I245" s="207">
        <v>1650</v>
      </c>
      <c r="J245" s="242">
        <f t="shared" si="34"/>
        <v>2310.0000000000005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20</v>
      </c>
      <c r="C246" s="206">
        <v>44770</v>
      </c>
      <c r="D246" s="161" t="s">
        <v>9</v>
      </c>
      <c r="E246" s="161" t="s">
        <v>3383</v>
      </c>
      <c r="F246" s="222">
        <v>4</v>
      </c>
      <c r="G246" s="222">
        <v>12</v>
      </c>
      <c r="H246" s="222">
        <f>12-4</f>
        <v>8</v>
      </c>
      <c r="I246" s="207">
        <v>300</v>
      </c>
      <c r="J246" s="242">
        <f t="shared" si="34"/>
        <v>2400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21</v>
      </c>
      <c r="C247" s="206">
        <v>44771</v>
      </c>
      <c r="D247" s="161" t="s">
        <v>9</v>
      </c>
      <c r="E247" s="161" t="s">
        <v>3872</v>
      </c>
      <c r="F247" s="222">
        <v>16.5</v>
      </c>
      <c r="G247" s="222">
        <v>18.5</v>
      </c>
      <c r="H247" s="222">
        <v>2</v>
      </c>
      <c r="I247" s="207">
        <v>1500</v>
      </c>
      <c r="J247" s="242">
        <f t="shared" si="34"/>
        <v>3000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22</v>
      </c>
      <c r="C248" s="206"/>
      <c r="D248" s="161"/>
      <c r="E248" s="161"/>
      <c r="F248" s="222"/>
      <c r="G248" s="222"/>
      <c r="H248" s="222"/>
      <c r="I248" s="207"/>
      <c r="J248" s="242">
        <f t="shared" si="34"/>
        <v>0</v>
      </c>
      <c r="K248" s="153"/>
      <c r="V248" s="25">
        <f t="shared" si="36"/>
        <v>0</v>
      </c>
      <c r="W248" s="25">
        <f t="shared" si="37"/>
        <v>0</v>
      </c>
    </row>
    <row r="249" spans="1:23" x14ac:dyDescent="0.3">
      <c r="A249" s="147"/>
      <c r="B249" s="205">
        <f t="shared" si="35"/>
        <v>23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24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ht="15" thickBot="1" x14ac:dyDescent="0.35">
      <c r="A251" s="147"/>
      <c r="B251" s="208">
        <f t="shared" si="35"/>
        <v>25</v>
      </c>
      <c r="C251" s="209"/>
      <c r="D251" s="166"/>
      <c r="E251" s="166"/>
      <c r="F251" s="222"/>
      <c r="G251" s="222"/>
      <c r="H251" s="166"/>
      <c r="I251" s="210"/>
      <c r="J251" s="244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24" thickBot="1" x14ac:dyDescent="0.5">
      <c r="A252" s="147"/>
      <c r="B252" s="370" t="s">
        <v>2254</v>
      </c>
      <c r="C252" s="398"/>
      <c r="D252" s="398"/>
      <c r="E252" s="398"/>
      <c r="F252" s="398"/>
      <c r="G252" s="398"/>
      <c r="H252" s="399"/>
      <c r="I252" s="211" t="s">
        <v>2255</v>
      </c>
      <c r="J252" s="212">
        <f>SUM(J227:J251)</f>
        <v>68920</v>
      </c>
      <c r="K252" s="153"/>
      <c r="V252" s="25">
        <f>SUM(V227:V251)</f>
        <v>20</v>
      </c>
      <c r="W252" s="25">
        <f>SUM(W227:W251)</f>
        <v>1</v>
      </c>
    </row>
    <row r="253" spans="1:23" ht="30" customHeight="1" thickBot="1" x14ac:dyDescent="0.35">
      <c r="A253" s="213"/>
      <c r="B253" s="172"/>
      <c r="C253" s="172"/>
      <c r="D253" s="172"/>
      <c r="E253" s="172"/>
      <c r="F253" s="172"/>
      <c r="G253" s="172"/>
      <c r="H253" s="235"/>
      <c r="I253" s="172"/>
      <c r="J253" s="235"/>
      <c r="K253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60:J60"/>
    <mergeCell ref="M18:M19"/>
    <mergeCell ref="N18:N19"/>
    <mergeCell ref="O18:O19"/>
    <mergeCell ref="P18:P19"/>
    <mergeCell ref="M20:O22"/>
    <mergeCell ref="P20:R22"/>
    <mergeCell ref="B54:H54"/>
    <mergeCell ref="B58:J58"/>
    <mergeCell ref="B59:J59"/>
    <mergeCell ref="Q18:Q19"/>
    <mergeCell ref="R18:R19"/>
    <mergeCell ref="R16:R17"/>
    <mergeCell ref="M16:M17"/>
    <mergeCell ref="B160:J160"/>
    <mergeCell ref="B87:H87"/>
    <mergeCell ref="B91:J91"/>
    <mergeCell ref="B92:J92"/>
    <mergeCell ref="B93:J93"/>
    <mergeCell ref="B119:H119"/>
    <mergeCell ref="B123:J123"/>
    <mergeCell ref="B124:J124"/>
    <mergeCell ref="B125:J125"/>
    <mergeCell ref="B154:H154"/>
    <mergeCell ref="B158:J158"/>
    <mergeCell ref="B159:J159"/>
    <mergeCell ref="B224:J224"/>
    <mergeCell ref="B225:J225"/>
    <mergeCell ref="B252:H252"/>
    <mergeCell ref="B186:H186"/>
    <mergeCell ref="B190:J190"/>
    <mergeCell ref="B191:J191"/>
    <mergeCell ref="B192:J192"/>
    <mergeCell ref="B219:H219"/>
    <mergeCell ref="B223:J223"/>
  </mergeCells>
  <hyperlinks>
    <hyperlink ref="B87" r:id="rId1" xr:uid="{00000000-0004-0000-6F00-000000000000}"/>
    <hyperlink ref="B119" r:id="rId2" xr:uid="{00000000-0004-0000-6F00-000001000000}"/>
    <hyperlink ref="B154" r:id="rId3" xr:uid="{00000000-0004-0000-6F00-000002000000}"/>
    <hyperlink ref="B186" r:id="rId4" xr:uid="{00000000-0004-0000-6F00-000003000000}"/>
    <hyperlink ref="B219" r:id="rId5" xr:uid="{00000000-0004-0000-6F00-000004000000}"/>
    <hyperlink ref="B252" r:id="rId6" xr:uid="{00000000-0004-0000-6F00-000005000000}"/>
    <hyperlink ref="M1" location="'MASTER '!A1" display="Back" xr:uid="{00000000-0004-0000-6F00-000006000000}"/>
    <hyperlink ref="M6:M7" location="'JULY 2022'!A77" display="STOCK FUTURE" xr:uid="{00000000-0004-0000-6F00-000007000000}"/>
    <hyperlink ref="M12:M13" location="'JULY 2022'!A170" display="BANK NIFTY" xr:uid="{00000000-0004-0000-6F00-000008000000}"/>
    <hyperlink ref="M10:M11" location="'JULY 2022'!A139" display="NF. OPTION" xr:uid="{00000000-0004-0000-6F00-000009000000}"/>
    <hyperlink ref="M8:M9" location="'JULY 2022'!A108" display="NIFTY FUTURE" xr:uid="{00000000-0004-0000-6F00-00000A000000}"/>
    <hyperlink ref="M14:M15" location="'JULY 2022'!A201" display="B.NIFTY OPTION" xr:uid="{00000000-0004-0000-6F00-00000B000000}"/>
    <hyperlink ref="M16:M17" location="'JULY 2022'!A216" display="STOCK OPTION" xr:uid="{00000000-0004-0000-6F00-00000C000000}"/>
    <hyperlink ref="B54" r:id="rId7" xr:uid="{00000000-0004-0000-6F00-00000D000000}"/>
    <hyperlink ref="M4:M5" location="'JULY 2022'!A1" display="CASH" xr:uid="{00000000-0004-0000-6F00-00000E000000}"/>
  </hyperlinks>
  <pageMargins left="0" right="0" top="0" bottom="0" header="0" footer="0"/>
  <pageSetup scale="95" orientation="portrait" r:id="rId8"/>
  <drawing r:id="rId9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W243"/>
  <sheetViews>
    <sheetView topLeftCell="A7" zoomScaleNormal="100" workbookViewId="0">
      <selection activeCell="M233" sqref="M23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3873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39</v>
      </c>
      <c r="O4" s="386">
        <f>V52</f>
        <v>30</v>
      </c>
      <c r="P4" s="386">
        <f>W52</f>
        <v>7</v>
      </c>
      <c r="Q4" s="387">
        <f>N4-O4-P4</f>
        <v>2</v>
      </c>
      <c r="R4" s="380">
        <f>O4/N4</f>
        <v>0.76923076923076927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44774</v>
      </c>
      <c r="D6" s="158" t="s">
        <v>9</v>
      </c>
      <c r="E6" s="158" t="s">
        <v>99</v>
      </c>
      <c r="F6" s="230">
        <v>306</v>
      </c>
      <c r="G6" s="222">
        <v>308</v>
      </c>
      <c r="H6" s="222">
        <v>2</v>
      </c>
      <c r="I6" s="207">
        <f t="shared" ref="I6:I8" si="0">300000/F6</f>
        <v>980.39215686274508</v>
      </c>
      <c r="J6" s="161">
        <f t="shared" ref="J6:J8" si="1">H6*I6</f>
        <v>1960.7843137254902</v>
      </c>
      <c r="K6" s="153"/>
      <c r="M6" s="394" t="s">
        <v>450</v>
      </c>
      <c r="N6" s="344">
        <f>COUNT(C60:C83)</f>
        <v>23</v>
      </c>
      <c r="O6" s="346">
        <f>V84</f>
        <v>19</v>
      </c>
      <c r="P6" s="346">
        <f>W84</f>
        <v>3</v>
      </c>
      <c r="Q6" s="374">
        <f>N6-O6-P6</f>
        <v>1</v>
      </c>
      <c r="R6" s="376">
        <f t="shared" ref="R6" si="2">O6/N6</f>
        <v>0.82608695652173914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44774</v>
      </c>
      <c r="D7" s="161" t="s">
        <v>9</v>
      </c>
      <c r="E7" s="161" t="s">
        <v>3650</v>
      </c>
      <c r="F7" s="222">
        <v>234</v>
      </c>
      <c r="G7" s="231">
        <v>238</v>
      </c>
      <c r="H7" s="255">
        <v>4</v>
      </c>
      <c r="I7" s="207">
        <f t="shared" si="0"/>
        <v>1282.051282051282</v>
      </c>
      <c r="J7" s="161">
        <f t="shared" si="1"/>
        <v>5128.2051282051279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44775</v>
      </c>
      <c r="D8" s="161" t="s">
        <v>9</v>
      </c>
      <c r="E8" s="161" t="s">
        <v>19</v>
      </c>
      <c r="F8" s="222">
        <v>540</v>
      </c>
      <c r="G8" s="222">
        <v>543.6</v>
      </c>
      <c r="H8" s="222">
        <v>3.6</v>
      </c>
      <c r="I8" s="207">
        <f t="shared" si="0"/>
        <v>555.55555555555554</v>
      </c>
      <c r="J8" s="161">
        <f t="shared" si="1"/>
        <v>2000</v>
      </c>
      <c r="K8" s="153"/>
      <c r="M8" s="394" t="s">
        <v>451</v>
      </c>
      <c r="N8" s="344">
        <f>COUNT(C92:C114)</f>
        <v>21</v>
      </c>
      <c r="O8" s="346">
        <f>V115</f>
        <v>18</v>
      </c>
      <c r="P8" s="346">
        <f>W115</f>
        <v>3</v>
      </c>
      <c r="Q8" s="374">
        <f>N8-O8-P8</f>
        <v>0</v>
      </c>
      <c r="R8" s="376">
        <f t="shared" ref="R8" si="6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44775</v>
      </c>
      <c r="D9" s="161" t="s">
        <v>8</v>
      </c>
      <c r="E9" s="161" t="s">
        <v>3444</v>
      </c>
      <c r="F9" s="222">
        <v>224</v>
      </c>
      <c r="G9" s="231">
        <v>221</v>
      </c>
      <c r="H9" s="255">
        <v>3</v>
      </c>
      <c r="I9" s="207">
        <f t="shared" ref="I9:I44" si="7">300000/F9</f>
        <v>1339.2857142857142</v>
      </c>
      <c r="J9" s="161">
        <f t="shared" ref="J9:J44" si="8">H9*I9</f>
        <v>4017.8571428571427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44776</v>
      </c>
      <c r="D10" s="161" t="s">
        <v>9</v>
      </c>
      <c r="E10" s="161" t="s">
        <v>3528</v>
      </c>
      <c r="F10" s="222">
        <v>236</v>
      </c>
      <c r="G10" s="222">
        <v>232</v>
      </c>
      <c r="H10" s="222">
        <v>-4</v>
      </c>
      <c r="I10" s="207">
        <f t="shared" si="7"/>
        <v>1271.1864406779662</v>
      </c>
      <c r="J10" s="161">
        <f t="shared" si="8"/>
        <v>-5084.7457627118647</v>
      </c>
      <c r="K10" s="153"/>
      <c r="M10" s="394" t="s">
        <v>1176</v>
      </c>
      <c r="N10" s="344">
        <f>COUNT(C123:C147)</f>
        <v>22</v>
      </c>
      <c r="O10" s="346">
        <f>V148</f>
        <v>18</v>
      </c>
      <c r="P10" s="346">
        <f>W148</f>
        <v>4</v>
      </c>
      <c r="Q10" s="374">
        <f>N10-O10-P10</f>
        <v>0</v>
      </c>
      <c r="R10" s="376">
        <f t="shared" ref="R10:R16" si="9">O10/N10</f>
        <v>0.81818181818181823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44776</v>
      </c>
      <c r="D11" s="161" t="s">
        <v>9</v>
      </c>
      <c r="E11" s="161" t="s">
        <v>19</v>
      </c>
      <c r="F11" s="222">
        <v>542</v>
      </c>
      <c r="G11" s="222">
        <v>546</v>
      </c>
      <c r="H11" s="255">
        <v>4</v>
      </c>
      <c r="I11" s="207">
        <f t="shared" si="7"/>
        <v>553.50553505535061</v>
      </c>
      <c r="J11" s="161">
        <f t="shared" si="8"/>
        <v>2214.0221402214024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44777</v>
      </c>
      <c r="D12" s="161" t="s">
        <v>9</v>
      </c>
      <c r="E12" s="161" t="s">
        <v>3879</v>
      </c>
      <c r="F12" s="222">
        <v>580</v>
      </c>
      <c r="G12" s="222">
        <v>574</v>
      </c>
      <c r="H12" s="222">
        <f>580-574</f>
        <v>6</v>
      </c>
      <c r="I12" s="207">
        <f t="shared" si="7"/>
        <v>517.24137931034488</v>
      </c>
      <c r="J12" s="161">
        <f t="shared" si="8"/>
        <v>3103.4482758620693</v>
      </c>
      <c r="K12" s="153"/>
      <c r="M12" s="394" t="s">
        <v>41</v>
      </c>
      <c r="N12" s="344">
        <f>COUNT(C156:C178)</f>
        <v>20</v>
      </c>
      <c r="O12" s="346">
        <f>V179</f>
        <v>16</v>
      </c>
      <c r="P12" s="346">
        <f>W179</f>
        <v>4</v>
      </c>
      <c r="Q12" s="374">
        <f t="shared" ref="Q12" si="10">N12-O12-P12</f>
        <v>0</v>
      </c>
      <c r="R12" s="376">
        <f t="shared" si="9"/>
        <v>0.8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44777</v>
      </c>
      <c r="D13" s="161" t="s">
        <v>9</v>
      </c>
      <c r="E13" s="161" t="s">
        <v>3706</v>
      </c>
      <c r="F13" s="222">
        <v>765</v>
      </c>
      <c r="G13" s="222">
        <v>775</v>
      </c>
      <c r="H13" s="255">
        <v>10</v>
      </c>
      <c r="I13" s="207">
        <f t="shared" si="7"/>
        <v>392.15686274509807</v>
      </c>
      <c r="J13" s="161">
        <f t="shared" si="8"/>
        <v>3921.5686274509808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44778</v>
      </c>
      <c r="D14" s="161" t="s">
        <v>9</v>
      </c>
      <c r="E14" s="161" t="s">
        <v>3577</v>
      </c>
      <c r="F14" s="222">
        <v>166</v>
      </c>
      <c r="G14" s="222">
        <v>168.5</v>
      </c>
      <c r="H14" s="222">
        <v>2.5</v>
      </c>
      <c r="I14" s="207">
        <f t="shared" si="7"/>
        <v>1807.2289156626507</v>
      </c>
      <c r="J14" s="161">
        <f t="shared" si="8"/>
        <v>4518.0722891566265</v>
      </c>
      <c r="K14" s="153"/>
      <c r="M14" s="394" t="s">
        <v>1175</v>
      </c>
      <c r="N14" s="344">
        <f>COUNT(C187:C209)</f>
        <v>22</v>
      </c>
      <c r="O14" s="346">
        <f>V210</f>
        <v>16</v>
      </c>
      <c r="P14" s="346">
        <f>W210</f>
        <v>6</v>
      </c>
      <c r="Q14" s="374">
        <f t="shared" ref="Q14" si="11">N14-O14-P14</f>
        <v>0</v>
      </c>
      <c r="R14" s="376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44778</v>
      </c>
      <c r="D15" s="161" t="s">
        <v>9</v>
      </c>
      <c r="E15" s="161" t="s">
        <v>3882</v>
      </c>
      <c r="F15" s="222">
        <v>202</v>
      </c>
      <c r="G15" s="222">
        <v>198</v>
      </c>
      <c r="H15" s="222">
        <v>-4</v>
      </c>
      <c r="I15" s="207">
        <f t="shared" si="7"/>
        <v>1485.1485148514851</v>
      </c>
      <c r="J15" s="161">
        <f t="shared" si="8"/>
        <v>-5940.5940594059402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44781</v>
      </c>
      <c r="D16" s="161" t="s">
        <v>9</v>
      </c>
      <c r="E16" s="161" t="s">
        <v>58</v>
      </c>
      <c r="F16" s="222">
        <v>733</v>
      </c>
      <c r="G16" s="222">
        <v>745</v>
      </c>
      <c r="H16" s="222">
        <f>745-733</f>
        <v>12</v>
      </c>
      <c r="I16" s="207">
        <f t="shared" si="7"/>
        <v>409.27694406548432</v>
      </c>
      <c r="J16" s="161">
        <f t="shared" si="8"/>
        <v>4911.323328785812</v>
      </c>
      <c r="K16" s="153"/>
      <c r="L16" s="25" t="s">
        <v>2008</v>
      </c>
      <c r="M16" s="394" t="s">
        <v>1090</v>
      </c>
      <c r="N16" s="344">
        <f>COUNT(C218:C241)</f>
        <v>20</v>
      </c>
      <c r="O16" s="346">
        <f>V242</f>
        <v>17</v>
      </c>
      <c r="P16" s="346">
        <f>W242</f>
        <v>2</v>
      </c>
      <c r="Q16" s="374">
        <v>0</v>
      </c>
      <c r="R16" s="376">
        <f t="shared" si="9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44781</v>
      </c>
      <c r="D17" s="161" t="s">
        <v>9</v>
      </c>
      <c r="E17" s="161" t="s">
        <v>2203</v>
      </c>
      <c r="F17" s="222">
        <v>820</v>
      </c>
      <c r="G17" s="222">
        <v>828</v>
      </c>
      <c r="H17" s="222">
        <v>8</v>
      </c>
      <c r="I17" s="207">
        <f t="shared" si="7"/>
        <v>365.85365853658539</v>
      </c>
      <c r="J17" s="161">
        <f t="shared" si="8"/>
        <v>2926.8292682926831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44783</v>
      </c>
      <c r="D18" s="161" t="s">
        <v>9</v>
      </c>
      <c r="E18" s="161" t="s">
        <v>433</v>
      </c>
      <c r="F18" s="222">
        <v>368</v>
      </c>
      <c r="G18" s="222">
        <v>376</v>
      </c>
      <c r="H18" s="222">
        <f>376-368</f>
        <v>8</v>
      </c>
      <c r="I18" s="207">
        <f t="shared" si="7"/>
        <v>815.21739130434787</v>
      </c>
      <c r="J18" s="161">
        <f t="shared" si="8"/>
        <v>6521.739130434783</v>
      </c>
      <c r="K18" s="153"/>
      <c r="M18" s="392" t="s">
        <v>946</v>
      </c>
      <c r="N18" s="378">
        <f>SUM(N4:N17)</f>
        <v>167</v>
      </c>
      <c r="O18" s="378">
        <f t="shared" ref="O18:Q18" si="12">SUM(O4:O17)</f>
        <v>134</v>
      </c>
      <c r="P18" s="378">
        <f t="shared" si="12"/>
        <v>29</v>
      </c>
      <c r="Q18" s="378">
        <f t="shared" si="12"/>
        <v>3</v>
      </c>
      <c r="R18" s="380">
        <f t="shared" ref="R18" si="13">O18/N18</f>
        <v>0.80239520958083832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44783</v>
      </c>
      <c r="D19" s="161" t="s">
        <v>8</v>
      </c>
      <c r="E19" s="161" t="s">
        <v>19</v>
      </c>
      <c r="F19" s="222">
        <v>517</v>
      </c>
      <c r="G19" s="222">
        <v>514</v>
      </c>
      <c r="H19" s="222">
        <v>3</v>
      </c>
      <c r="I19" s="207">
        <f t="shared" si="7"/>
        <v>580.27079303675043</v>
      </c>
      <c r="J19" s="161">
        <f t="shared" si="8"/>
        <v>1740.8123791102512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44784</v>
      </c>
      <c r="D20" s="161" t="s">
        <v>9</v>
      </c>
      <c r="E20" s="161" t="s">
        <v>15</v>
      </c>
      <c r="F20" s="222">
        <v>2845</v>
      </c>
      <c r="G20" s="222">
        <v>2865</v>
      </c>
      <c r="H20" s="222">
        <v>20</v>
      </c>
      <c r="I20" s="207">
        <f t="shared" si="7"/>
        <v>105.4481546572935</v>
      </c>
      <c r="J20" s="161">
        <f t="shared" si="8"/>
        <v>2108.9630931458701</v>
      </c>
      <c r="K20" s="153"/>
      <c r="M20" s="316" t="s">
        <v>2253</v>
      </c>
      <c r="N20" s="317"/>
      <c r="O20" s="318"/>
      <c r="P20" s="325">
        <f>R18</f>
        <v>0.80239520958083832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44784</v>
      </c>
      <c r="D21" s="161" t="s">
        <v>9</v>
      </c>
      <c r="E21" s="161" t="s">
        <v>3823</v>
      </c>
      <c r="F21" s="222">
        <v>942</v>
      </c>
      <c r="G21" s="222">
        <v>932</v>
      </c>
      <c r="H21" s="222">
        <v>-10</v>
      </c>
      <c r="I21" s="207">
        <f t="shared" si="7"/>
        <v>318.47133757961785</v>
      </c>
      <c r="J21" s="161">
        <f t="shared" si="8"/>
        <v>-3184.7133757961783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44785</v>
      </c>
      <c r="D22" s="161" t="s">
        <v>9</v>
      </c>
      <c r="E22" s="161" t="s">
        <v>157</v>
      </c>
      <c r="F22" s="222">
        <v>770</v>
      </c>
      <c r="G22" s="222">
        <v>790</v>
      </c>
      <c r="H22" s="222">
        <v>20</v>
      </c>
      <c r="I22" s="207">
        <f t="shared" si="7"/>
        <v>389.61038961038963</v>
      </c>
      <c r="J22" s="161">
        <f t="shared" si="8"/>
        <v>7792.2077922077924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44785</v>
      </c>
      <c r="D23" s="161" t="s">
        <v>9</v>
      </c>
      <c r="E23" s="161" t="s">
        <v>3436</v>
      </c>
      <c r="F23" s="222">
        <v>682</v>
      </c>
      <c r="G23" s="222">
        <v>672</v>
      </c>
      <c r="H23" s="222">
        <v>-10</v>
      </c>
      <c r="I23" s="207">
        <f t="shared" si="7"/>
        <v>439.88269794721407</v>
      </c>
      <c r="J23" s="161">
        <f t="shared" si="8"/>
        <v>-4398.8269794721409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44789</v>
      </c>
      <c r="D24" s="161" t="s">
        <v>9</v>
      </c>
      <c r="E24" s="161" t="s">
        <v>1361</v>
      </c>
      <c r="F24" s="222">
        <v>925</v>
      </c>
      <c r="G24" s="222">
        <v>935</v>
      </c>
      <c r="H24" s="222">
        <v>10</v>
      </c>
      <c r="I24" s="207">
        <f t="shared" si="7"/>
        <v>324.32432432432432</v>
      </c>
      <c r="J24" s="161">
        <f t="shared" si="8"/>
        <v>3243.2432432432433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44789</v>
      </c>
      <c r="D25" s="161" t="s">
        <v>9</v>
      </c>
      <c r="E25" s="161" t="s">
        <v>31</v>
      </c>
      <c r="F25" s="222">
        <v>2640</v>
      </c>
      <c r="G25" s="222">
        <v>2653</v>
      </c>
      <c r="H25" s="222">
        <v>13</v>
      </c>
      <c r="I25" s="207">
        <f t="shared" si="7"/>
        <v>113.63636363636364</v>
      </c>
      <c r="J25" s="161">
        <f t="shared" si="8"/>
        <v>1477.2727272727273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44790</v>
      </c>
      <c r="D26" s="161" t="s">
        <v>9</v>
      </c>
      <c r="E26" s="161" t="s">
        <v>117</v>
      </c>
      <c r="F26" s="222">
        <v>403</v>
      </c>
      <c r="G26" s="222">
        <v>403</v>
      </c>
      <c r="H26" s="222">
        <v>0</v>
      </c>
      <c r="I26" s="207">
        <f t="shared" si="7"/>
        <v>744.41687344913146</v>
      </c>
      <c r="J26" s="161">
        <f t="shared" si="8"/>
        <v>0</v>
      </c>
      <c r="K26" s="153"/>
      <c r="V26" s="25">
        <f t="shared" si="3"/>
        <v>0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44790</v>
      </c>
      <c r="D27" s="161" t="s">
        <v>8</v>
      </c>
      <c r="E27" s="161" t="s">
        <v>19</v>
      </c>
      <c r="F27" s="222">
        <v>526</v>
      </c>
      <c r="G27" s="222">
        <v>524.5</v>
      </c>
      <c r="H27" s="222">
        <f>526-524.5</f>
        <v>1.5</v>
      </c>
      <c r="I27" s="207">
        <f t="shared" si="7"/>
        <v>570.34220532319387</v>
      </c>
      <c r="J27" s="161">
        <f t="shared" si="8"/>
        <v>855.5133079847908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44791</v>
      </c>
      <c r="D28" s="161" t="s">
        <v>9</v>
      </c>
      <c r="E28" s="161" t="s">
        <v>19</v>
      </c>
      <c r="F28" s="222">
        <v>533</v>
      </c>
      <c r="G28" s="222">
        <v>533</v>
      </c>
      <c r="H28" s="222">
        <v>0</v>
      </c>
      <c r="I28" s="207">
        <f t="shared" si="7"/>
        <v>562.85178236397746</v>
      </c>
      <c r="J28" s="161">
        <f t="shared" si="8"/>
        <v>0</v>
      </c>
      <c r="K28" s="153"/>
      <c r="M28" s="25" t="s">
        <v>2008</v>
      </c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44791</v>
      </c>
      <c r="D29" s="161" t="s">
        <v>9</v>
      </c>
      <c r="E29" s="161" t="s">
        <v>365</v>
      </c>
      <c r="F29" s="222">
        <v>675</v>
      </c>
      <c r="G29" s="222">
        <v>674</v>
      </c>
      <c r="H29" s="222">
        <v>-1</v>
      </c>
      <c r="I29" s="207">
        <f t="shared" si="7"/>
        <v>444.44444444444446</v>
      </c>
      <c r="J29" s="161">
        <f t="shared" si="8"/>
        <v>-444.44444444444446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44792</v>
      </c>
      <c r="D30" s="161" t="s">
        <v>9</v>
      </c>
      <c r="E30" s="161" t="s">
        <v>3773</v>
      </c>
      <c r="F30" s="222">
        <v>338</v>
      </c>
      <c r="G30" s="222">
        <v>342</v>
      </c>
      <c r="H30" s="222">
        <f>342-338</f>
        <v>4</v>
      </c>
      <c r="I30" s="207">
        <f t="shared" si="7"/>
        <v>887.5739644970414</v>
      </c>
      <c r="J30" s="161">
        <f t="shared" si="8"/>
        <v>3550.2958579881656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44792</v>
      </c>
      <c r="D31" s="161" t="s">
        <v>9</v>
      </c>
      <c r="E31" s="161" t="s">
        <v>112</v>
      </c>
      <c r="F31" s="222">
        <v>256</v>
      </c>
      <c r="G31" s="222">
        <v>261</v>
      </c>
      <c r="H31" s="222">
        <f>261-256</f>
        <v>5</v>
      </c>
      <c r="I31" s="207">
        <f t="shared" si="7"/>
        <v>1171.875</v>
      </c>
      <c r="J31" s="161">
        <f t="shared" si="8"/>
        <v>5859.375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44795</v>
      </c>
      <c r="D32" s="161" t="s">
        <v>9</v>
      </c>
      <c r="E32" s="161" t="s">
        <v>2995</v>
      </c>
      <c r="F32" s="222">
        <v>790</v>
      </c>
      <c r="G32" s="222">
        <v>796.95</v>
      </c>
      <c r="H32" s="222">
        <v>6.95</v>
      </c>
      <c r="I32" s="207">
        <f t="shared" si="7"/>
        <v>379.74683544303798</v>
      </c>
      <c r="J32" s="161">
        <f t="shared" si="8"/>
        <v>2639.2405063291139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44795</v>
      </c>
      <c r="D33" s="161" t="s">
        <v>9</v>
      </c>
      <c r="E33" s="161" t="s">
        <v>99</v>
      </c>
      <c r="F33" s="222">
        <v>315</v>
      </c>
      <c r="G33" s="222">
        <v>317</v>
      </c>
      <c r="H33" s="222">
        <v>2</v>
      </c>
      <c r="I33" s="207">
        <f t="shared" si="7"/>
        <v>952.38095238095241</v>
      </c>
      <c r="J33" s="161">
        <f t="shared" si="8"/>
        <v>1904.7619047619048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44796</v>
      </c>
      <c r="D34" s="161" t="s">
        <v>9</v>
      </c>
      <c r="E34" s="161" t="s">
        <v>3894</v>
      </c>
      <c r="F34" s="222">
        <v>243</v>
      </c>
      <c r="G34" s="222">
        <v>245.3</v>
      </c>
      <c r="H34" s="222">
        <v>2.2999999999999998</v>
      </c>
      <c r="I34" s="207">
        <f t="shared" si="7"/>
        <v>1234.5679012345679</v>
      </c>
      <c r="J34" s="161">
        <f t="shared" si="8"/>
        <v>2839.5061728395058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44796</v>
      </c>
      <c r="D35" s="161" t="s">
        <v>9</v>
      </c>
      <c r="E35" s="161" t="s">
        <v>834</v>
      </c>
      <c r="F35" s="222">
        <v>261</v>
      </c>
      <c r="G35" s="222">
        <v>263.3</v>
      </c>
      <c r="H35" s="222">
        <v>2.2999999999999998</v>
      </c>
      <c r="I35" s="207">
        <f t="shared" si="7"/>
        <v>1149.4252873563219</v>
      </c>
      <c r="J35" s="161">
        <f t="shared" si="8"/>
        <v>2643.67816091954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44797</v>
      </c>
      <c r="D36" s="161" t="s">
        <v>9</v>
      </c>
      <c r="E36" s="161" t="s">
        <v>3577</v>
      </c>
      <c r="F36" s="222">
        <v>158.5</v>
      </c>
      <c r="G36" s="222">
        <v>160.5</v>
      </c>
      <c r="H36" s="222">
        <v>2.5</v>
      </c>
      <c r="I36" s="207">
        <f t="shared" si="7"/>
        <v>1892.7444794952683</v>
      </c>
      <c r="J36" s="161">
        <f t="shared" si="8"/>
        <v>4731.861198738171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44798</v>
      </c>
      <c r="D37" s="161" t="s">
        <v>9</v>
      </c>
      <c r="E37" s="161" t="s">
        <v>496</v>
      </c>
      <c r="F37" s="222">
        <v>402</v>
      </c>
      <c r="G37" s="222">
        <v>406</v>
      </c>
      <c r="H37" s="222">
        <v>4</v>
      </c>
      <c r="I37" s="207">
        <f t="shared" si="7"/>
        <v>746.26865671641792</v>
      </c>
      <c r="J37" s="161">
        <f t="shared" si="8"/>
        <v>2985.0746268656717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44798</v>
      </c>
      <c r="D38" s="161" t="s">
        <v>9</v>
      </c>
      <c r="E38" s="161" t="s">
        <v>365</v>
      </c>
      <c r="F38" s="222">
        <v>657</v>
      </c>
      <c r="G38" s="222">
        <v>650</v>
      </c>
      <c r="H38" s="222">
        <v>-7</v>
      </c>
      <c r="I38" s="207">
        <f t="shared" si="7"/>
        <v>456.62100456621005</v>
      </c>
      <c r="J38" s="161">
        <f t="shared" si="8"/>
        <v>-3196.3470319634703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44799</v>
      </c>
      <c r="D39" s="161" t="s">
        <v>9</v>
      </c>
      <c r="E39" s="161" t="s">
        <v>895</v>
      </c>
      <c r="F39" s="222">
        <v>305</v>
      </c>
      <c r="G39" s="222">
        <v>307</v>
      </c>
      <c r="H39" s="222">
        <v>2</v>
      </c>
      <c r="I39" s="207">
        <f t="shared" si="7"/>
        <v>983.60655737704917</v>
      </c>
      <c r="J39" s="161">
        <f t="shared" si="8"/>
        <v>1967.2131147540983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44799</v>
      </c>
      <c r="D40" s="161" t="s">
        <v>9</v>
      </c>
      <c r="E40" s="161" t="s">
        <v>365</v>
      </c>
      <c r="F40" s="222">
        <v>657</v>
      </c>
      <c r="G40" s="222">
        <v>670</v>
      </c>
      <c r="H40" s="222">
        <f>670-657</f>
        <v>13</v>
      </c>
      <c r="I40" s="207">
        <f t="shared" si="7"/>
        <v>456.62100456621005</v>
      </c>
      <c r="J40" s="161">
        <f t="shared" si="8"/>
        <v>5936.0730593607304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44802</v>
      </c>
      <c r="D41" s="161" t="s">
        <v>9</v>
      </c>
      <c r="E41" s="161" t="s">
        <v>3900</v>
      </c>
      <c r="F41" s="222">
        <v>2895</v>
      </c>
      <c r="G41" s="223">
        <v>2915</v>
      </c>
      <c r="H41" s="222">
        <f>2915-2895</f>
        <v>20</v>
      </c>
      <c r="I41" s="207">
        <f t="shared" si="7"/>
        <v>103.62694300518135</v>
      </c>
      <c r="J41" s="161">
        <f t="shared" si="8"/>
        <v>2072.538860103627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44802</v>
      </c>
      <c r="D42" s="161" t="s">
        <v>9</v>
      </c>
      <c r="E42" s="161" t="s">
        <v>112</v>
      </c>
      <c r="F42" s="222">
        <v>252</v>
      </c>
      <c r="G42" s="222">
        <v>254.75</v>
      </c>
      <c r="H42" s="222">
        <v>2.75</v>
      </c>
      <c r="I42" s="207">
        <f t="shared" si="7"/>
        <v>1190.4761904761904</v>
      </c>
      <c r="J42" s="161">
        <f t="shared" si="8"/>
        <v>3273.8095238095234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44803</v>
      </c>
      <c r="D43" s="161" t="s">
        <v>9</v>
      </c>
      <c r="E43" s="161" t="s">
        <v>3900</v>
      </c>
      <c r="F43" s="222">
        <v>2935</v>
      </c>
      <c r="G43" s="222">
        <v>2975</v>
      </c>
      <c r="H43" s="222">
        <f>2975-2935</f>
        <v>40</v>
      </c>
      <c r="I43" s="207">
        <f t="shared" si="7"/>
        <v>102.21465076660988</v>
      </c>
      <c r="J43" s="161">
        <f t="shared" si="8"/>
        <v>4088.5860306643954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44803</v>
      </c>
      <c r="D44" s="161" t="s">
        <v>8</v>
      </c>
      <c r="E44" s="161" t="s">
        <v>2925</v>
      </c>
      <c r="F44" s="222">
        <v>582</v>
      </c>
      <c r="G44" s="222">
        <v>588</v>
      </c>
      <c r="H44" s="222">
        <v>-6</v>
      </c>
      <c r="I44" s="207">
        <f t="shared" si="7"/>
        <v>515.46391752577324</v>
      </c>
      <c r="J44" s="161">
        <f t="shared" si="8"/>
        <v>-3092.7835051546394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77591.421046142568</v>
      </c>
      <c r="K52" s="153"/>
      <c r="V52" s="25">
        <f>SUM(V6:V51)</f>
        <v>30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3874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44774</v>
      </c>
      <c r="D60" s="161" t="s">
        <v>9</v>
      </c>
      <c r="E60" s="161" t="s">
        <v>982</v>
      </c>
      <c r="F60" s="222">
        <v>788</v>
      </c>
      <c r="G60" s="222">
        <v>800</v>
      </c>
      <c r="H60" s="222">
        <f>800-788</f>
        <v>12</v>
      </c>
      <c r="I60" s="207">
        <v>1250</v>
      </c>
      <c r="J60" s="241">
        <f t="shared" ref="J60:J83" si="14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44775</v>
      </c>
      <c r="D61" s="161" t="s">
        <v>9</v>
      </c>
      <c r="E61" s="161" t="s">
        <v>31</v>
      </c>
      <c r="F61" s="222">
        <v>2590</v>
      </c>
      <c r="G61" s="222">
        <v>2570</v>
      </c>
      <c r="H61" s="222">
        <v>-20</v>
      </c>
      <c r="I61" s="207">
        <v>250</v>
      </c>
      <c r="J61" s="242">
        <f t="shared" si="14"/>
        <v>-5000</v>
      </c>
      <c r="K61" s="153"/>
      <c r="O61" s="25" t="s">
        <v>2008</v>
      </c>
      <c r="V61" s="25">
        <f t="shared" ref="V61:V83" si="15">IF($J61&gt;0,1,0)</f>
        <v>0</v>
      </c>
      <c r="W61" s="25">
        <f t="shared" ref="W61:W83" si="16">IF($J61&lt;0,1,0)</f>
        <v>1</v>
      </c>
    </row>
    <row r="62" spans="1:23" x14ac:dyDescent="0.3">
      <c r="A62" s="147"/>
      <c r="B62" s="205">
        <f t="shared" ref="B62:B83" si="17">B61+1</f>
        <v>3</v>
      </c>
      <c r="C62" s="206">
        <v>44775</v>
      </c>
      <c r="D62" s="161" t="s">
        <v>9</v>
      </c>
      <c r="E62" s="161" t="s">
        <v>502</v>
      </c>
      <c r="F62" s="222">
        <v>1395</v>
      </c>
      <c r="G62" s="222">
        <v>1404.5</v>
      </c>
      <c r="H62" s="222">
        <f>1404.5-1395</f>
        <v>9.5</v>
      </c>
      <c r="I62" s="207">
        <v>600</v>
      </c>
      <c r="J62" s="242">
        <f t="shared" si="14"/>
        <v>5700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44776</v>
      </c>
      <c r="D63" s="161" t="s">
        <v>9</v>
      </c>
      <c r="E63" s="161" t="s">
        <v>403</v>
      </c>
      <c r="F63" s="222">
        <v>3825</v>
      </c>
      <c r="G63" s="222">
        <v>3847</v>
      </c>
      <c r="H63" s="222">
        <f>3847-3825</f>
        <v>22</v>
      </c>
      <c r="I63" s="207">
        <v>850</v>
      </c>
      <c r="J63" s="242">
        <f>I63*H63</f>
        <v>18700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44777</v>
      </c>
      <c r="D64" s="161" t="s">
        <v>9</v>
      </c>
      <c r="E64" s="161" t="s">
        <v>3562</v>
      </c>
      <c r="F64" s="222">
        <v>3840</v>
      </c>
      <c r="G64" s="222">
        <v>3863</v>
      </c>
      <c r="H64" s="222">
        <v>23</v>
      </c>
      <c r="I64" s="207">
        <v>125</v>
      </c>
      <c r="J64" s="242">
        <f>I64*H64</f>
        <v>2875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44778</v>
      </c>
      <c r="D65" s="161" t="s">
        <v>9</v>
      </c>
      <c r="E65" s="161" t="s">
        <v>3456</v>
      </c>
      <c r="F65" s="222">
        <v>750</v>
      </c>
      <c r="G65" s="222">
        <v>753.95</v>
      </c>
      <c r="H65" s="222">
        <v>3.95</v>
      </c>
      <c r="I65" s="207">
        <v>850</v>
      </c>
      <c r="J65" s="242">
        <f>I65*H65</f>
        <v>3357.5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44778</v>
      </c>
      <c r="D66" s="161" t="s">
        <v>9</v>
      </c>
      <c r="E66" s="161" t="s">
        <v>3443</v>
      </c>
      <c r="F66" s="222">
        <v>2055</v>
      </c>
      <c r="G66" s="222">
        <v>2063</v>
      </c>
      <c r="H66" s="222">
        <f>2063-2055</f>
        <v>8</v>
      </c>
      <c r="I66" s="207">
        <v>250</v>
      </c>
      <c r="J66" s="242">
        <f t="shared" si="14"/>
        <v>2000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44781</v>
      </c>
      <c r="D67" s="161" t="s">
        <v>9</v>
      </c>
      <c r="E67" s="161" t="s">
        <v>3886</v>
      </c>
      <c r="F67" s="222">
        <v>3580</v>
      </c>
      <c r="G67" s="222">
        <v>3600</v>
      </c>
      <c r="H67" s="222">
        <f>3600-3580</f>
        <v>20</v>
      </c>
      <c r="I67" s="207">
        <v>200</v>
      </c>
      <c r="J67" s="242">
        <f>I67*H67</f>
        <v>4000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44783</v>
      </c>
      <c r="D68" s="161" t="s">
        <v>9</v>
      </c>
      <c r="E68" s="161" t="s">
        <v>3887</v>
      </c>
      <c r="F68" s="222">
        <v>1845</v>
      </c>
      <c r="G68" s="222">
        <v>1860</v>
      </c>
      <c r="H68" s="222">
        <f>1860-1845</f>
        <v>15</v>
      </c>
      <c r="I68" s="207">
        <v>350</v>
      </c>
      <c r="J68" s="242">
        <f>I68*H68</f>
        <v>5250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44784</v>
      </c>
      <c r="D69" s="161" t="s">
        <v>9</v>
      </c>
      <c r="E69" s="161" t="s">
        <v>2814</v>
      </c>
      <c r="F69" s="222">
        <v>2135</v>
      </c>
      <c r="G69" s="222">
        <v>2115</v>
      </c>
      <c r="H69" s="222">
        <v>-20</v>
      </c>
      <c r="I69" s="207">
        <v>407</v>
      </c>
      <c r="J69" s="242">
        <f>I69*H69</f>
        <v>-8140</v>
      </c>
      <c r="K69" s="153"/>
      <c r="V69" s="25">
        <f t="shared" si="15"/>
        <v>0</v>
      </c>
      <c r="W69" s="25">
        <f t="shared" si="16"/>
        <v>1</v>
      </c>
    </row>
    <row r="70" spans="1:23" x14ac:dyDescent="0.3">
      <c r="A70" s="147"/>
      <c r="B70" s="205">
        <f t="shared" si="17"/>
        <v>11</v>
      </c>
      <c r="C70" s="206">
        <v>44784</v>
      </c>
      <c r="D70" s="161" t="s">
        <v>8</v>
      </c>
      <c r="E70" s="161" t="s">
        <v>552</v>
      </c>
      <c r="F70" s="161">
        <v>1082</v>
      </c>
      <c r="G70" s="222">
        <v>1078</v>
      </c>
      <c r="H70" s="222">
        <v>4</v>
      </c>
      <c r="I70" s="207">
        <v>900</v>
      </c>
      <c r="J70" s="242">
        <f t="shared" si="14"/>
        <v>3600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44785</v>
      </c>
      <c r="D71" s="161" t="s">
        <v>9</v>
      </c>
      <c r="E71" s="161" t="s">
        <v>365</v>
      </c>
      <c r="F71" s="222">
        <v>683</v>
      </c>
      <c r="G71" s="222">
        <v>685.4</v>
      </c>
      <c r="H71" s="222">
        <f>685.4-683</f>
        <v>2.3999999999999773</v>
      </c>
      <c r="I71" s="207">
        <v>1350</v>
      </c>
      <c r="J71" s="242">
        <f t="shared" si="14"/>
        <v>3239.9999999999691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44789</v>
      </c>
      <c r="D72" s="161" t="s">
        <v>9</v>
      </c>
      <c r="E72" s="161" t="s">
        <v>982</v>
      </c>
      <c r="F72" s="222">
        <v>814</v>
      </c>
      <c r="G72" s="222">
        <v>828.4</v>
      </c>
      <c r="H72" s="222">
        <f>828.4-814</f>
        <v>14.399999999999977</v>
      </c>
      <c r="I72" s="207">
        <v>1250</v>
      </c>
      <c r="J72" s="242">
        <f t="shared" si="14"/>
        <v>17999.999999999971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44790</v>
      </c>
      <c r="D73" s="161" t="s">
        <v>9</v>
      </c>
      <c r="E73" s="161" t="s">
        <v>2470</v>
      </c>
      <c r="F73" s="223">
        <v>802</v>
      </c>
      <c r="G73" s="222">
        <v>792</v>
      </c>
      <c r="H73" s="255">
        <v>-10</v>
      </c>
      <c r="I73" s="207">
        <v>1250</v>
      </c>
      <c r="J73" s="242">
        <f t="shared" si="14"/>
        <v>-12500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44791</v>
      </c>
      <c r="D74" s="161" t="s">
        <v>9</v>
      </c>
      <c r="E74" s="161" t="s">
        <v>137</v>
      </c>
      <c r="F74" s="222">
        <v>2715</v>
      </c>
      <c r="G74" s="222">
        <v>2723</v>
      </c>
      <c r="H74" s="255">
        <f>2723-2715</f>
        <v>8</v>
      </c>
      <c r="I74" s="207">
        <v>300</v>
      </c>
      <c r="J74" s="242">
        <f t="shared" si="14"/>
        <v>2400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44792</v>
      </c>
      <c r="D75" s="161" t="s">
        <v>9</v>
      </c>
      <c r="E75" s="161" t="s">
        <v>122</v>
      </c>
      <c r="F75" s="222">
        <v>1940</v>
      </c>
      <c r="G75" s="222">
        <v>1960</v>
      </c>
      <c r="H75" s="255">
        <v>20</v>
      </c>
      <c r="I75" s="207">
        <v>275</v>
      </c>
      <c r="J75" s="242">
        <f t="shared" si="14"/>
        <v>5500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44795</v>
      </c>
      <c r="D76" s="161" t="s">
        <v>9</v>
      </c>
      <c r="E76" s="161" t="s">
        <v>2995</v>
      </c>
      <c r="F76" s="222">
        <v>790</v>
      </c>
      <c r="G76" s="222">
        <v>795.2</v>
      </c>
      <c r="H76" s="222">
        <v>5.2</v>
      </c>
      <c r="I76" s="207">
        <v>900</v>
      </c>
      <c r="J76" s="242">
        <f t="shared" si="14"/>
        <v>4680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44796</v>
      </c>
      <c r="D77" s="161" t="s">
        <v>9</v>
      </c>
      <c r="E77" s="161" t="s">
        <v>15</v>
      </c>
      <c r="F77" s="222">
        <v>2912</v>
      </c>
      <c r="G77" s="222">
        <v>2922</v>
      </c>
      <c r="H77" s="222">
        <v>10</v>
      </c>
      <c r="I77" s="207">
        <v>275</v>
      </c>
      <c r="J77" s="242">
        <f t="shared" si="14"/>
        <v>2750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44797</v>
      </c>
      <c r="D78" s="161" t="s">
        <v>8</v>
      </c>
      <c r="E78" s="161" t="s">
        <v>2563</v>
      </c>
      <c r="F78" s="222">
        <v>1988</v>
      </c>
      <c r="G78" s="222">
        <v>1981</v>
      </c>
      <c r="H78" s="222">
        <v>9</v>
      </c>
      <c r="I78" s="207">
        <v>300</v>
      </c>
      <c r="J78" s="242">
        <f t="shared" si="14"/>
        <v>2700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44798</v>
      </c>
      <c r="D79" s="161" t="s">
        <v>9</v>
      </c>
      <c r="E79" s="161" t="s">
        <v>84</v>
      </c>
      <c r="F79" s="222">
        <v>8780</v>
      </c>
      <c r="G79" s="222">
        <v>8830</v>
      </c>
      <c r="H79" s="222">
        <f>8830-8780</f>
        <v>50</v>
      </c>
      <c r="I79" s="207">
        <v>100</v>
      </c>
      <c r="J79" s="242">
        <f t="shared" si="14"/>
        <v>5000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44799</v>
      </c>
      <c r="D80" s="161" t="s">
        <v>9</v>
      </c>
      <c r="E80" s="161" t="s">
        <v>365</v>
      </c>
      <c r="F80" s="222">
        <v>663</v>
      </c>
      <c r="G80" s="222">
        <v>675</v>
      </c>
      <c r="H80" s="222">
        <f>675-663</f>
        <v>12</v>
      </c>
      <c r="I80" s="207">
        <v>1350</v>
      </c>
      <c r="J80" s="242">
        <f t="shared" si="14"/>
        <v>16200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44802</v>
      </c>
      <c r="D81" s="161" t="s">
        <v>9</v>
      </c>
      <c r="E81" s="161" t="s">
        <v>3901</v>
      </c>
      <c r="F81" s="222">
        <v>251</v>
      </c>
      <c r="G81" s="222">
        <v>253.55</v>
      </c>
      <c r="H81" s="222">
        <f>253.55-251</f>
        <v>2.5500000000000114</v>
      </c>
      <c r="I81" s="207">
        <v>3000</v>
      </c>
      <c r="J81" s="242">
        <f t="shared" si="14"/>
        <v>7650.0000000000346</v>
      </c>
      <c r="K81" s="153"/>
    </row>
    <row r="82" spans="1:23" x14ac:dyDescent="0.3">
      <c r="A82" s="147"/>
      <c r="B82" s="205">
        <f t="shared" si="17"/>
        <v>23</v>
      </c>
      <c r="C82" s="206">
        <v>44803</v>
      </c>
      <c r="D82" s="161" t="s">
        <v>9</v>
      </c>
      <c r="E82" s="161" t="s">
        <v>3562</v>
      </c>
      <c r="F82" s="222">
        <v>4070</v>
      </c>
      <c r="G82" s="222">
        <v>4100</v>
      </c>
      <c r="H82" s="222">
        <v>30</v>
      </c>
      <c r="I82" s="207">
        <v>125</v>
      </c>
      <c r="J82" s="242">
        <f t="shared" si="14"/>
        <v>3750</v>
      </c>
      <c r="K82" s="153"/>
      <c r="V82" s="25">
        <f t="shared" si="15"/>
        <v>1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106712.49999999997</v>
      </c>
      <c r="K84" s="153"/>
      <c r="V84" s="25">
        <f>SUM(V60:V83)</f>
        <v>19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3873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3876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44774</v>
      </c>
      <c r="D92" s="185" t="s">
        <v>9</v>
      </c>
      <c r="E92" s="185" t="s">
        <v>39</v>
      </c>
      <c r="F92" s="219">
        <v>17310</v>
      </c>
      <c r="G92" s="219">
        <v>17390</v>
      </c>
      <c r="H92" s="185">
        <v>80</v>
      </c>
      <c r="I92" s="219">
        <v>150</v>
      </c>
      <c r="J92" s="246">
        <f t="shared" ref="J92:J114" si="18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44775</v>
      </c>
      <c r="D93" s="185" t="s">
        <v>9</v>
      </c>
      <c r="E93" s="185" t="s">
        <v>39</v>
      </c>
      <c r="F93" s="219">
        <v>17330</v>
      </c>
      <c r="G93" s="219">
        <v>17353</v>
      </c>
      <c r="H93" s="185">
        <f>17353-17330</f>
        <v>23</v>
      </c>
      <c r="I93" s="219">
        <v>150</v>
      </c>
      <c r="J93" s="242">
        <f t="shared" si="18"/>
        <v>3450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44776</v>
      </c>
      <c r="D94" s="161" t="s">
        <v>8</v>
      </c>
      <c r="E94" s="161" t="s">
        <v>39</v>
      </c>
      <c r="F94" s="207">
        <v>17320</v>
      </c>
      <c r="G94" s="207">
        <v>17260</v>
      </c>
      <c r="H94" s="161">
        <f>17320-17260</f>
        <v>60</v>
      </c>
      <c r="I94" s="207">
        <v>150</v>
      </c>
      <c r="J94" s="242">
        <f t="shared" si="18"/>
        <v>9000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44776</v>
      </c>
      <c r="D95" s="161" t="s">
        <v>8</v>
      </c>
      <c r="E95" s="161" t="s">
        <v>39</v>
      </c>
      <c r="F95" s="207">
        <v>17320</v>
      </c>
      <c r="G95" s="207">
        <v>17260</v>
      </c>
      <c r="H95" s="161">
        <f>17320-17260</f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44777</v>
      </c>
      <c r="D96" s="161" t="s">
        <v>9</v>
      </c>
      <c r="E96" s="161" t="s">
        <v>39</v>
      </c>
      <c r="F96" s="207">
        <v>17490</v>
      </c>
      <c r="G96" s="207">
        <v>17450</v>
      </c>
      <c r="H96" s="161">
        <v>-40</v>
      </c>
      <c r="I96" s="207">
        <v>150</v>
      </c>
      <c r="J96" s="242">
        <f t="shared" si="18"/>
        <v>-6000</v>
      </c>
      <c r="K96" s="153"/>
      <c r="V96" s="25">
        <f t="shared" si="19"/>
        <v>0</v>
      </c>
      <c r="W96" s="25">
        <f t="shared" si="20"/>
        <v>1</v>
      </c>
    </row>
    <row r="97" spans="1:23" x14ac:dyDescent="0.3">
      <c r="A97" s="147"/>
      <c r="B97" s="205">
        <f t="shared" si="21"/>
        <v>6</v>
      </c>
      <c r="C97" s="206">
        <v>44778</v>
      </c>
      <c r="D97" s="161" t="s">
        <v>9</v>
      </c>
      <c r="E97" s="161" t="s">
        <v>39</v>
      </c>
      <c r="F97" s="207">
        <v>17470</v>
      </c>
      <c r="G97" s="207">
        <v>17510</v>
      </c>
      <c r="H97" s="161">
        <f>17510-17470</f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44781</v>
      </c>
      <c r="D98" s="161" t="s">
        <v>9</v>
      </c>
      <c r="E98" s="161" t="s">
        <v>39</v>
      </c>
      <c r="F98" s="207">
        <v>17450</v>
      </c>
      <c r="G98" s="207">
        <v>17530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44783</v>
      </c>
      <c r="D99" s="161" t="s">
        <v>8</v>
      </c>
      <c r="E99" s="161" t="s">
        <v>39</v>
      </c>
      <c r="F99" s="207">
        <v>17480</v>
      </c>
      <c r="G99" s="207">
        <v>17460</v>
      </c>
      <c r="H99" s="161">
        <v>20</v>
      </c>
      <c r="I99" s="207">
        <v>150</v>
      </c>
      <c r="J99" s="242">
        <f t="shared" si="18"/>
        <v>3000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44784</v>
      </c>
      <c r="D100" s="161" t="s">
        <v>9</v>
      </c>
      <c r="E100" s="161" t="s">
        <v>39</v>
      </c>
      <c r="F100" s="207">
        <v>17710</v>
      </c>
      <c r="G100" s="207">
        <v>17670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10</v>
      </c>
      <c r="C101" s="206">
        <v>44785</v>
      </c>
      <c r="D101" s="161" t="s">
        <v>9</v>
      </c>
      <c r="E101" s="161" t="s">
        <v>39</v>
      </c>
      <c r="F101" s="207">
        <v>17640</v>
      </c>
      <c r="G101" s="207">
        <v>17720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44789</v>
      </c>
      <c r="D102" s="161" t="s">
        <v>8</v>
      </c>
      <c r="E102" s="161" t="s">
        <v>39</v>
      </c>
      <c r="F102" s="207">
        <v>17840</v>
      </c>
      <c r="G102" s="207">
        <v>17800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44790</v>
      </c>
      <c r="D103" s="161" t="s">
        <v>9</v>
      </c>
      <c r="E103" s="161" t="s">
        <v>39</v>
      </c>
      <c r="F103" s="207">
        <v>17940</v>
      </c>
      <c r="G103" s="207">
        <v>17980</v>
      </c>
      <c r="H103" s="161">
        <v>40</v>
      </c>
      <c r="I103" s="207">
        <v>150</v>
      </c>
      <c r="J103" s="242">
        <f t="shared" si="18"/>
        <v>6000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44791</v>
      </c>
      <c r="D104" s="161" t="s">
        <v>9</v>
      </c>
      <c r="E104" s="161" t="s">
        <v>39</v>
      </c>
      <c r="F104" s="207">
        <v>17890</v>
      </c>
      <c r="G104" s="207">
        <v>17970</v>
      </c>
      <c r="H104" s="161">
        <f>17970-17890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44792</v>
      </c>
      <c r="D105" s="161" t="s">
        <v>8</v>
      </c>
      <c r="E105" s="161" t="s">
        <v>39</v>
      </c>
      <c r="F105" s="207">
        <v>17930</v>
      </c>
      <c r="G105" s="207">
        <v>17850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44795</v>
      </c>
      <c r="D106" s="161" t="s">
        <v>8</v>
      </c>
      <c r="E106" s="161" t="s">
        <v>39</v>
      </c>
      <c r="F106" s="207">
        <v>17610</v>
      </c>
      <c r="G106" s="207">
        <v>17530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44796</v>
      </c>
      <c r="D107" s="161" t="s">
        <v>8</v>
      </c>
      <c r="E107" s="161" t="s">
        <v>39</v>
      </c>
      <c r="F107" s="207">
        <v>17520</v>
      </c>
      <c r="G107" s="207">
        <v>17440</v>
      </c>
      <c r="H107" s="161">
        <v>80</v>
      </c>
      <c r="I107" s="207">
        <v>150</v>
      </c>
      <c r="J107" s="242">
        <f t="shared" si="18"/>
        <v>12000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44797</v>
      </c>
      <c r="D108" s="161" t="s">
        <v>8</v>
      </c>
      <c r="E108" s="161" t="s">
        <v>39</v>
      </c>
      <c r="F108" s="207">
        <v>17520</v>
      </c>
      <c r="G108" s="207">
        <v>17500</v>
      </c>
      <c r="H108" s="161">
        <v>20</v>
      </c>
      <c r="I108" s="207">
        <v>150</v>
      </c>
      <c r="J108" s="242">
        <f t="shared" si="18"/>
        <v>3000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44798</v>
      </c>
      <c r="D109" s="161" t="s">
        <v>9</v>
      </c>
      <c r="E109" s="161" t="s">
        <v>39</v>
      </c>
      <c r="F109" s="207">
        <v>17720</v>
      </c>
      <c r="G109" s="207">
        <v>17680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19</v>
      </c>
      <c r="C110" s="206">
        <v>44799</v>
      </c>
      <c r="D110" s="161" t="s">
        <v>8</v>
      </c>
      <c r="E110" s="161" t="s">
        <v>39</v>
      </c>
      <c r="F110" s="207">
        <v>17730</v>
      </c>
      <c r="G110" s="207">
        <v>17650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44802</v>
      </c>
      <c r="D111" s="161" t="s">
        <v>8</v>
      </c>
      <c r="E111" s="161" t="s">
        <v>39</v>
      </c>
      <c r="F111" s="207">
        <v>17370</v>
      </c>
      <c r="G111" s="207">
        <v>17330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44803</v>
      </c>
      <c r="D112" s="161" t="s">
        <v>9</v>
      </c>
      <c r="E112" s="161" t="s">
        <v>39</v>
      </c>
      <c r="F112" s="207">
        <v>17520</v>
      </c>
      <c r="G112" s="207">
        <v>17600</v>
      </c>
      <c r="H112" s="161"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141450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3875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3452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44774</v>
      </c>
      <c r="D123" s="185" t="s">
        <v>9</v>
      </c>
      <c r="E123" s="185" t="s">
        <v>3477</v>
      </c>
      <c r="F123" s="219">
        <v>120</v>
      </c>
      <c r="G123" s="231">
        <v>170</v>
      </c>
      <c r="H123" s="231">
        <v>50</v>
      </c>
      <c r="I123" s="219">
        <v>300</v>
      </c>
      <c r="J123" s="246">
        <f t="shared" ref="J123:J147" si="22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44775</v>
      </c>
      <c r="D124" s="185" t="s">
        <v>9</v>
      </c>
      <c r="E124" s="185" t="s">
        <v>3623</v>
      </c>
      <c r="F124" s="219">
        <v>110</v>
      </c>
      <c r="G124" s="219">
        <v>85</v>
      </c>
      <c r="H124" s="185">
        <v>-25</v>
      </c>
      <c r="I124" s="219">
        <v>300</v>
      </c>
      <c r="J124" s="242">
        <f t="shared" si="22"/>
        <v>-7500</v>
      </c>
      <c r="K124" s="153"/>
      <c r="V124" s="25">
        <f t="shared" ref="V124:V147" si="23">IF($J124&gt;0,1,0)</f>
        <v>0</v>
      </c>
      <c r="W124" s="25">
        <f t="shared" ref="W124:W147" si="24">IF($J124&lt;0,1,0)</f>
        <v>1</v>
      </c>
    </row>
    <row r="125" spans="1:23" x14ac:dyDescent="0.3">
      <c r="A125" s="147"/>
      <c r="B125" s="205">
        <f>B124+1</f>
        <v>3</v>
      </c>
      <c r="C125" s="206">
        <v>44775</v>
      </c>
      <c r="D125" s="161" t="s">
        <v>9</v>
      </c>
      <c r="E125" s="161" t="s">
        <v>3462</v>
      </c>
      <c r="F125" s="207">
        <v>115</v>
      </c>
      <c r="G125" s="207">
        <v>149</v>
      </c>
      <c r="H125" s="161">
        <f>149-115</f>
        <v>34</v>
      </c>
      <c r="I125" s="207">
        <v>300</v>
      </c>
      <c r="J125" s="242">
        <f t="shared" si="22"/>
        <v>10200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ref="B126:B147" si="25">B125+1</f>
        <v>4</v>
      </c>
      <c r="C126" s="206">
        <v>44776</v>
      </c>
      <c r="D126" s="161" t="s">
        <v>9</v>
      </c>
      <c r="E126" s="161" t="s">
        <v>3468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2"/>
        <v>15000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44777</v>
      </c>
      <c r="D127" s="161" t="s">
        <v>9</v>
      </c>
      <c r="E127" s="161" t="s">
        <v>3462</v>
      </c>
      <c r="F127" s="207">
        <v>100</v>
      </c>
      <c r="G127" s="207">
        <v>75</v>
      </c>
      <c r="H127" s="161">
        <v>-25</v>
      </c>
      <c r="I127" s="207">
        <v>300</v>
      </c>
      <c r="J127" s="242">
        <f t="shared" si="22"/>
        <v>-7500</v>
      </c>
      <c r="K127" s="153"/>
      <c r="M127" s="25" t="s">
        <v>2008</v>
      </c>
      <c r="V127" s="25">
        <f t="shared" si="23"/>
        <v>0</v>
      </c>
      <c r="W127" s="25">
        <f t="shared" si="24"/>
        <v>1</v>
      </c>
    </row>
    <row r="128" spans="1:23" x14ac:dyDescent="0.3">
      <c r="A128" s="147"/>
      <c r="B128" s="205">
        <f t="shared" si="25"/>
        <v>6</v>
      </c>
      <c r="C128" s="206">
        <v>44777</v>
      </c>
      <c r="D128" s="161" t="s">
        <v>9</v>
      </c>
      <c r="E128" s="161" t="s">
        <v>1492</v>
      </c>
      <c r="F128" s="207">
        <v>45</v>
      </c>
      <c r="G128" s="222">
        <v>64.599999999999994</v>
      </c>
      <c r="H128" s="222">
        <f>64.6-45</f>
        <v>19.599999999999994</v>
      </c>
      <c r="I128" s="207">
        <v>300</v>
      </c>
      <c r="J128" s="242">
        <f t="shared" si="22"/>
        <v>5879.9999999999982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44778</v>
      </c>
      <c r="D129" s="161" t="s">
        <v>9</v>
      </c>
      <c r="E129" s="161" t="s">
        <v>2954</v>
      </c>
      <c r="F129" s="207">
        <v>125</v>
      </c>
      <c r="G129" s="207">
        <v>142</v>
      </c>
      <c r="H129" s="161">
        <f>142-125</f>
        <v>17</v>
      </c>
      <c r="I129" s="207">
        <v>300</v>
      </c>
      <c r="J129" s="242">
        <f t="shared" si="22"/>
        <v>5100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44781</v>
      </c>
      <c r="D130" s="161" t="s">
        <v>9</v>
      </c>
      <c r="E130" s="161" t="s">
        <v>1603</v>
      </c>
      <c r="F130" s="207">
        <v>140</v>
      </c>
      <c r="G130" s="207">
        <v>190</v>
      </c>
      <c r="H130" s="161"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44783</v>
      </c>
      <c r="D131" s="161" t="s">
        <v>9</v>
      </c>
      <c r="E131" s="161" t="s">
        <v>1539</v>
      </c>
      <c r="F131" s="207">
        <v>115</v>
      </c>
      <c r="G131" s="207">
        <v>125</v>
      </c>
      <c r="H131" s="161">
        <v>10</v>
      </c>
      <c r="I131" s="207">
        <v>300</v>
      </c>
      <c r="J131" s="242">
        <f t="shared" si="22"/>
        <v>3000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44784</v>
      </c>
      <c r="D132" s="161" t="s">
        <v>9</v>
      </c>
      <c r="E132" s="161" t="s">
        <v>1586</v>
      </c>
      <c r="F132" s="207">
        <v>105</v>
      </c>
      <c r="G132" s="222">
        <v>80</v>
      </c>
      <c r="H132" s="222">
        <v>-25</v>
      </c>
      <c r="I132" s="207">
        <v>300</v>
      </c>
      <c r="J132" s="242">
        <f t="shared" si="22"/>
        <v>-7500</v>
      </c>
      <c r="K132" s="153"/>
      <c r="V132" s="25">
        <f t="shared" si="23"/>
        <v>0</v>
      </c>
      <c r="W132" s="25">
        <f t="shared" si="24"/>
        <v>1</v>
      </c>
    </row>
    <row r="133" spans="1:23" x14ac:dyDescent="0.3">
      <c r="A133" s="147"/>
      <c r="B133" s="205">
        <f t="shared" si="25"/>
        <v>11</v>
      </c>
      <c r="C133" s="206">
        <v>44785</v>
      </c>
      <c r="D133" s="161" t="s">
        <v>9</v>
      </c>
      <c r="E133" s="161" t="s">
        <v>1586</v>
      </c>
      <c r="F133" s="207">
        <v>140</v>
      </c>
      <c r="G133" s="222">
        <v>174</v>
      </c>
      <c r="H133" s="222">
        <f>174-140</f>
        <v>34</v>
      </c>
      <c r="I133" s="207">
        <v>300</v>
      </c>
      <c r="J133" s="242">
        <f t="shared" si="22"/>
        <v>10200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44789</v>
      </c>
      <c r="D134" s="161" t="s">
        <v>9</v>
      </c>
      <c r="E134" s="161" t="s">
        <v>3757</v>
      </c>
      <c r="F134" s="207">
        <v>125</v>
      </c>
      <c r="G134" s="222">
        <v>150</v>
      </c>
      <c r="H134" s="222"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44790</v>
      </c>
      <c r="D135" s="161" t="s">
        <v>9</v>
      </c>
      <c r="E135" s="161" t="s">
        <v>3501</v>
      </c>
      <c r="F135" s="207">
        <v>110</v>
      </c>
      <c r="G135" s="207">
        <v>144</v>
      </c>
      <c r="H135" s="161">
        <f>144-110</f>
        <v>34</v>
      </c>
      <c r="I135" s="207">
        <v>300</v>
      </c>
      <c r="J135" s="242">
        <f t="shared" si="22"/>
        <v>10200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44791</v>
      </c>
      <c r="D136" s="161" t="s">
        <v>9</v>
      </c>
      <c r="E136" s="161" t="s">
        <v>1605</v>
      </c>
      <c r="F136" s="207">
        <v>115</v>
      </c>
      <c r="G136" s="207">
        <v>165</v>
      </c>
      <c r="H136" s="161">
        <v>50</v>
      </c>
      <c r="I136" s="207">
        <v>300</v>
      </c>
      <c r="J136" s="242">
        <f t="shared" si="22"/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44792</v>
      </c>
      <c r="D137" s="161" t="s">
        <v>9</v>
      </c>
      <c r="E137" s="161" t="s">
        <v>3566</v>
      </c>
      <c r="F137" s="207">
        <v>125</v>
      </c>
      <c r="G137" s="207">
        <v>175</v>
      </c>
      <c r="H137" s="161">
        <v>50</v>
      </c>
      <c r="I137" s="207">
        <v>300</v>
      </c>
      <c r="J137" s="242">
        <f t="shared" si="22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44795</v>
      </c>
      <c r="D138" s="161" t="s">
        <v>9</v>
      </c>
      <c r="E138" s="161" t="s">
        <v>3503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2"/>
        <v>15000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44796</v>
      </c>
      <c r="D139" s="161" t="s">
        <v>9</v>
      </c>
      <c r="E139" s="161" t="s">
        <v>1539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22"/>
        <v>4500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18</v>
      </c>
      <c r="C140" s="206">
        <v>44797</v>
      </c>
      <c r="D140" s="161" t="s">
        <v>9</v>
      </c>
      <c r="E140" s="161" t="s">
        <v>1540</v>
      </c>
      <c r="F140" s="207">
        <v>120</v>
      </c>
      <c r="G140" s="222">
        <v>100</v>
      </c>
      <c r="H140" s="222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44798</v>
      </c>
      <c r="D141" s="161" t="s">
        <v>9</v>
      </c>
      <c r="E141" s="161" t="s">
        <v>1604</v>
      </c>
      <c r="F141" s="207">
        <v>125</v>
      </c>
      <c r="G141" s="222">
        <v>160</v>
      </c>
      <c r="H141" s="222">
        <f>160-125</f>
        <v>35</v>
      </c>
      <c r="I141" s="207">
        <v>300</v>
      </c>
      <c r="J141" s="242">
        <f t="shared" si="22"/>
        <v>10500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44799</v>
      </c>
      <c r="D142" s="161" t="s">
        <v>9</v>
      </c>
      <c r="E142" s="161" t="s">
        <v>1540</v>
      </c>
      <c r="F142" s="207">
        <v>110</v>
      </c>
      <c r="G142" s="222">
        <v>160</v>
      </c>
      <c r="H142" s="222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44802</v>
      </c>
      <c r="D143" s="161" t="s">
        <v>9</v>
      </c>
      <c r="E143" s="161" t="s">
        <v>1492</v>
      </c>
      <c r="F143" s="207">
        <v>120</v>
      </c>
      <c r="G143" s="222">
        <v>138</v>
      </c>
      <c r="H143" s="222">
        <v>18</v>
      </c>
      <c r="I143" s="207">
        <v>300</v>
      </c>
      <c r="J143" s="242">
        <f t="shared" si="22"/>
        <v>5400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>
        <v>44803</v>
      </c>
      <c r="D144" s="161" t="s">
        <v>9</v>
      </c>
      <c r="E144" s="161" t="s">
        <v>1603</v>
      </c>
      <c r="F144" s="207">
        <v>125</v>
      </c>
      <c r="G144" s="222">
        <v>175</v>
      </c>
      <c r="H144" s="222">
        <v>50</v>
      </c>
      <c r="I144" s="207">
        <v>300</v>
      </c>
      <c r="J144" s="242">
        <f t="shared" si="22"/>
        <v>15000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23</v>
      </c>
      <c r="C145" s="206"/>
      <c r="D145" s="161"/>
      <c r="E145" s="161"/>
      <c r="F145" s="207"/>
      <c r="G145" s="222"/>
      <c r="H145" s="161"/>
      <c r="I145" s="207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x14ac:dyDescent="0.3">
      <c r="A146" s="147"/>
      <c r="B146" s="205">
        <f t="shared" si="25"/>
        <v>24</v>
      </c>
      <c r="C146" s="264"/>
      <c r="D146" s="265"/>
      <c r="E146" s="265"/>
      <c r="F146" s="266"/>
      <c r="G146" s="267"/>
      <c r="H146" s="265"/>
      <c r="I146" s="266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t="15" thickBot="1" x14ac:dyDescent="0.35">
      <c r="A147" s="147"/>
      <c r="B147" s="205">
        <f t="shared" si="25"/>
        <v>25</v>
      </c>
      <c r="C147" s="209"/>
      <c r="D147" s="166"/>
      <c r="E147" s="166"/>
      <c r="F147" s="210"/>
      <c r="G147" s="210"/>
      <c r="H147" s="166"/>
      <c r="I147" s="210"/>
      <c r="J147" s="244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ht="24" thickBot="1" x14ac:dyDescent="0.5">
      <c r="A148" s="147"/>
      <c r="B148" s="370" t="s">
        <v>2254</v>
      </c>
      <c r="C148" s="371"/>
      <c r="D148" s="371"/>
      <c r="E148" s="371"/>
      <c r="F148" s="371"/>
      <c r="G148" s="371"/>
      <c r="H148" s="372"/>
      <c r="I148" s="211" t="s">
        <v>2255</v>
      </c>
      <c r="J148" s="212">
        <f>SUM(J123:J147)</f>
        <v>163980</v>
      </c>
      <c r="K148" s="153"/>
      <c r="V148" s="25">
        <f>SUM(V123:V147)</f>
        <v>18</v>
      </c>
      <c r="W148" s="25">
        <f>SUM(W123:W147)</f>
        <v>4</v>
      </c>
    </row>
    <row r="149" spans="1:23" ht="30" customHeight="1" thickBot="1" x14ac:dyDescent="0.35">
      <c r="A149" s="213"/>
      <c r="B149" s="172"/>
      <c r="C149" s="172"/>
      <c r="D149" s="172"/>
      <c r="E149" s="172"/>
      <c r="F149" s="172"/>
      <c r="G149" s="172"/>
      <c r="H149" s="235"/>
      <c r="I149" s="172"/>
      <c r="J149" s="235"/>
      <c r="K149" s="214"/>
    </row>
    <row r="150" spans="1:23" ht="15" thickBot="1" x14ac:dyDescent="0.35"/>
    <row r="151" spans="1:23" ht="30" customHeight="1" thickBot="1" x14ac:dyDescent="0.35">
      <c r="A151" s="198"/>
      <c r="B151" s="143"/>
      <c r="C151" s="143"/>
      <c r="D151" s="143"/>
      <c r="E151" s="143"/>
      <c r="F151" s="143"/>
      <c r="G151" s="143"/>
      <c r="H151" s="232"/>
      <c r="I151" s="143"/>
      <c r="J151" s="232"/>
      <c r="K151" s="199"/>
    </row>
    <row r="152" spans="1:23" ht="25.2" thickBot="1" x14ac:dyDescent="0.35">
      <c r="A152" s="147" t="s">
        <v>0</v>
      </c>
      <c r="B152" s="361" t="s">
        <v>2244</v>
      </c>
      <c r="C152" s="362"/>
      <c r="D152" s="362"/>
      <c r="E152" s="362"/>
      <c r="F152" s="362"/>
      <c r="G152" s="362"/>
      <c r="H152" s="362"/>
      <c r="I152" s="362"/>
      <c r="J152" s="363"/>
      <c r="K152" s="153"/>
    </row>
    <row r="153" spans="1:23" ht="16.2" thickBot="1" x14ac:dyDescent="0.35">
      <c r="A153" s="147"/>
      <c r="B153" s="364" t="s">
        <v>3873</v>
      </c>
      <c r="C153" s="365"/>
      <c r="D153" s="365"/>
      <c r="E153" s="365"/>
      <c r="F153" s="365"/>
      <c r="G153" s="365"/>
      <c r="H153" s="365"/>
      <c r="I153" s="365"/>
      <c r="J153" s="366"/>
      <c r="K153" s="153"/>
    </row>
    <row r="154" spans="1:23" ht="16.2" thickBot="1" x14ac:dyDescent="0.35">
      <c r="A154" s="147"/>
      <c r="B154" s="367" t="s">
        <v>2367</v>
      </c>
      <c r="C154" s="368"/>
      <c r="D154" s="368"/>
      <c r="E154" s="368"/>
      <c r="F154" s="368"/>
      <c r="G154" s="368"/>
      <c r="H154" s="368"/>
      <c r="I154" s="368"/>
      <c r="J154" s="369"/>
      <c r="K154" s="153"/>
    </row>
    <row r="155" spans="1:23" ht="15" thickBot="1" x14ac:dyDescent="0.35">
      <c r="A155" s="175"/>
      <c r="B155" s="178" t="s">
        <v>2248</v>
      </c>
      <c r="C155" s="179" t="s">
        <v>1</v>
      </c>
      <c r="D155" s="180" t="s">
        <v>5</v>
      </c>
      <c r="E155" s="180" t="s">
        <v>6</v>
      </c>
      <c r="F155" s="181" t="s">
        <v>2249</v>
      </c>
      <c r="G155" s="181" t="s">
        <v>2250</v>
      </c>
      <c r="H155" s="239" t="s">
        <v>2251</v>
      </c>
      <c r="I155" s="181" t="s">
        <v>2257</v>
      </c>
      <c r="J155" s="245" t="s">
        <v>4</v>
      </c>
      <c r="K155" s="176"/>
      <c r="L155" s="215"/>
      <c r="V155" s="201" t="s">
        <v>454</v>
      </c>
      <c r="W155" s="201" t="s">
        <v>455</v>
      </c>
    </row>
    <row r="156" spans="1:23" x14ac:dyDescent="0.3">
      <c r="A156" s="147"/>
      <c r="B156" s="217">
        <v>1</v>
      </c>
      <c r="C156" s="218">
        <v>44774</v>
      </c>
      <c r="D156" s="185" t="s">
        <v>8</v>
      </c>
      <c r="E156" s="185" t="s">
        <v>301</v>
      </c>
      <c r="F156" s="219">
        <v>37600</v>
      </c>
      <c r="G156" s="231">
        <v>37550</v>
      </c>
      <c r="H156" s="185">
        <f>37600-37550</f>
        <v>50</v>
      </c>
      <c r="I156" s="219">
        <v>50</v>
      </c>
      <c r="J156" s="246">
        <f t="shared" ref="J156:J178" si="26">I156*H156</f>
        <v>2500</v>
      </c>
      <c r="K156" s="153"/>
      <c r="V156" s="25">
        <f>IF($J156&gt;0,1,0)</f>
        <v>1</v>
      </c>
      <c r="W156" s="25">
        <f>IF($J156&lt;0,1,0)</f>
        <v>0</v>
      </c>
    </row>
    <row r="157" spans="1:23" x14ac:dyDescent="0.3">
      <c r="A157" s="147"/>
      <c r="B157" s="205">
        <f>B156+1</f>
        <v>2</v>
      </c>
      <c r="C157" s="218">
        <v>44775</v>
      </c>
      <c r="D157" s="185" t="s">
        <v>9</v>
      </c>
      <c r="E157" s="185" t="s">
        <v>301</v>
      </c>
      <c r="F157" s="219">
        <v>37900</v>
      </c>
      <c r="G157" s="219">
        <v>37750</v>
      </c>
      <c r="H157" s="185">
        <v>-150</v>
      </c>
      <c r="I157" s="219">
        <v>50</v>
      </c>
      <c r="J157" s="242">
        <f t="shared" si="26"/>
        <v>-7500</v>
      </c>
      <c r="K157" s="153"/>
      <c r="V157" s="25">
        <f t="shared" ref="V157:V178" si="27">IF($J157&gt;0,1,0)</f>
        <v>0</v>
      </c>
      <c r="W157" s="25">
        <f t="shared" ref="W157:W178" si="28">IF($J157&lt;0,1,0)</f>
        <v>1</v>
      </c>
    </row>
    <row r="158" spans="1:23" x14ac:dyDescent="0.3">
      <c r="A158" s="147"/>
      <c r="B158" s="205">
        <f t="shared" ref="B158:B178" si="29">B157+1</f>
        <v>3</v>
      </c>
      <c r="C158" s="206">
        <v>44776</v>
      </c>
      <c r="D158" s="161" t="s">
        <v>8</v>
      </c>
      <c r="E158" s="161" t="s">
        <v>301</v>
      </c>
      <c r="F158" s="207">
        <v>37900</v>
      </c>
      <c r="G158" s="207">
        <v>37750</v>
      </c>
      <c r="H158" s="161">
        <v>150</v>
      </c>
      <c r="I158" s="207">
        <v>50</v>
      </c>
      <c r="J158" s="242">
        <f t="shared" si="26"/>
        <v>7500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4</v>
      </c>
      <c r="C159" s="206">
        <v>44777</v>
      </c>
      <c r="D159" s="161" t="s">
        <v>9</v>
      </c>
      <c r="E159" s="161" t="s">
        <v>301</v>
      </c>
      <c r="F159" s="207">
        <v>38050</v>
      </c>
      <c r="G159" s="207">
        <v>37900</v>
      </c>
      <c r="H159" s="161">
        <v>-150</v>
      </c>
      <c r="I159" s="207">
        <v>50</v>
      </c>
      <c r="J159" s="242">
        <f t="shared" si="26"/>
        <v>-7500</v>
      </c>
      <c r="K159" s="153"/>
      <c r="V159" s="25">
        <f t="shared" si="27"/>
        <v>0</v>
      </c>
      <c r="W159" s="25">
        <f t="shared" si="28"/>
        <v>1</v>
      </c>
    </row>
    <row r="160" spans="1:23" x14ac:dyDescent="0.3">
      <c r="A160" s="147"/>
      <c r="B160" s="205">
        <f t="shared" si="29"/>
        <v>5</v>
      </c>
      <c r="C160" s="206">
        <v>44778</v>
      </c>
      <c r="D160" s="161" t="s">
        <v>9</v>
      </c>
      <c r="E160" s="161" t="s">
        <v>301</v>
      </c>
      <c r="F160" s="207">
        <v>38050</v>
      </c>
      <c r="G160" s="207">
        <v>38185</v>
      </c>
      <c r="H160" s="161">
        <f>38185-38050</f>
        <v>135</v>
      </c>
      <c r="I160" s="207">
        <v>50</v>
      </c>
      <c r="J160" s="242">
        <f t="shared" si="26"/>
        <v>6750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6</v>
      </c>
      <c r="C161" s="206">
        <v>44781</v>
      </c>
      <c r="D161" s="161" t="s">
        <v>9</v>
      </c>
      <c r="E161" s="161" t="s">
        <v>301</v>
      </c>
      <c r="F161" s="207">
        <v>38000</v>
      </c>
      <c r="G161" s="207">
        <v>38300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7</v>
      </c>
      <c r="C162" s="206">
        <v>44783</v>
      </c>
      <c r="D162" s="161" t="s">
        <v>8</v>
      </c>
      <c r="E162" s="161" t="s">
        <v>301</v>
      </c>
      <c r="F162" s="207">
        <v>38250</v>
      </c>
      <c r="G162" s="207">
        <v>38400</v>
      </c>
      <c r="H162" s="161">
        <v>-150</v>
      </c>
      <c r="I162" s="207">
        <v>50</v>
      </c>
      <c r="J162" s="242">
        <f t="shared" si="26"/>
        <v>-7500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8</v>
      </c>
      <c r="C163" s="206">
        <v>44784</v>
      </c>
      <c r="D163" s="161" t="s">
        <v>9</v>
      </c>
      <c r="E163" s="161" t="s">
        <v>301</v>
      </c>
      <c r="F163" s="207">
        <v>38900</v>
      </c>
      <c r="G163" s="207">
        <v>38982</v>
      </c>
      <c r="H163" s="161">
        <v>82</v>
      </c>
      <c r="I163" s="207">
        <v>50</v>
      </c>
      <c r="J163" s="242">
        <f t="shared" si="26"/>
        <v>4100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9</v>
      </c>
      <c r="C164" s="206">
        <v>44785</v>
      </c>
      <c r="D164" s="161" t="s">
        <v>9</v>
      </c>
      <c r="E164" s="161" t="s">
        <v>301</v>
      </c>
      <c r="F164" s="207">
        <v>38850</v>
      </c>
      <c r="G164" s="207">
        <v>39050</v>
      </c>
      <c r="H164" s="161">
        <f>39050-38850</f>
        <v>200</v>
      </c>
      <c r="I164" s="207">
        <v>50</v>
      </c>
      <c r="J164" s="242">
        <f t="shared" si="26"/>
        <v>10000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10</v>
      </c>
      <c r="C165" s="206">
        <v>44789</v>
      </c>
      <c r="D165" s="161" t="s">
        <v>8</v>
      </c>
      <c r="E165" s="161" t="s">
        <v>301</v>
      </c>
      <c r="F165" s="207">
        <v>39400</v>
      </c>
      <c r="G165" s="207">
        <v>39195</v>
      </c>
      <c r="H165" s="161">
        <f>39400-39195</f>
        <v>205</v>
      </c>
      <c r="I165" s="207">
        <v>50</v>
      </c>
      <c r="J165" s="242">
        <f t="shared" si="26"/>
        <v>10250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11</v>
      </c>
      <c r="C166" s="206">
        <v>44790</v>
      </c>
      <c r="D166" s="161" t="s">
        <v>8</v>
      </c>
      <c r="E166" s="161" t="s">
        <v>301</v>
      </c>
      <c r="F166" s="207">
        <v>39300</v>
      </c>
      <c r="G166" s="207">
        <v>39400</v>
      </c>
      <c r="H166" s="161">
        <v>-100</v>
      </c>
      <c r="I166" s="207">
        <v>50</v>
      </c>
      <c r="J166" s="242">
        <f t="shared" si="26"/>
        <v>-5000</v>
      </c>
      <c r="K166" s="153"/>
      <c r="V166" s="25">
        <f t="shared" si="27"/>
        <v>0</v>
      </c>
      <c r="W166" s="25">
        <f t="shared" si="28"/>
        <v>1</v>
      </c>
    </row>
    <row r="167" spans="1:23" x14ac:dyDescent="0.3">
      <c r="A167" s="147"/>
      <c r="B167" s="205">
        <f t="shared" si="29"/>
        <v>12</v>
      </c>
      <c r="C167" s="206">
        <v>44791</v>
      </c>
      <c r="D167" s="161" t="s">
        <v>9</v>
      </c>
      <c r="E167" s="161" t="s">
        <v>301</v>
      </c>
      <c r="F167" s="207">
        <v>39600</v>
      </c>
      <c r="G167" s="207">
        <v>39650</v>
      </c>
      <c r="H167" s="161">
        <v>50</v>
      </c>
      <c r="I167" s="207">
        <v>50</v>
      </c>
      <c r="J167" s="242">
        <f t="shared" si="26"/>
        <v>2500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13</v>
      </c>
      <c r="C168" s="206">
        <v>44792</v>
      </c>
      <c r="D168" s="161" t="s">
        <v>8</v>
      </c>
      <c r="E168" s="161" t="s">
        <v>301</v>
      </c>
      <c r="F168" s="207">
        <v>39550</v>
      </c>
      <c r="G168" s="207">
        <v>39250</v>
      </c>
      <c r="H168" s="161">
        <v>300</v>
      </c>
      <c r="I168" s="207">
        <v>50</v>
      </c>
      <c r="J168" s="242">
        <f t="shared" si="26"/>
        <v>15000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14</v>
      </c>
      <c r="C169" s="206">
        <v>44795</v>
      </c>
      <c r="D169" s="161" t="s">
        <v>8</v>
      </c>
      <c r="E169" s="161" t="s">
        <v>301</v>
      </c>
      <c r="F169" s="207">
        <v>38450</v>
      </c>
      <c r="G169" s="207">
        <v>38300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15</v>
      </c>
      <c r="C170" s="206">
        <v>44796</v>
      </c>
      <c r="D170" s="161" t="s">
        <v>8</v>
      </c>
      <c r="E170" s="161" t="s">
        <v>301</v>
      </c>
      <c r="F170" s="207">
        <v>38450</v>
      </c>
      <c r="G170" s="207">
        <v>38260</v>
      </c>
      <c r="H170" s="161">
        <f>38450-38260</f>
        <v>190</v>
      </c>
      <c r="I170" s="207">
        <v>50</v>
      </c>
      <c r="J170" s="242">
        <f t="shared" si="26"/>
        <v>9500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16</v>
      </c>
      <c r="C171" s="206">
        <v>44797</v>
      </c>
      <c r="D171" s="161" t="s">
        <v>9</v>
      </c>
      <c r="E171" s="161" t="s">
        <v>301</v>
      </c>
      <c r="F171" s="207">
        <v>38800</v>
      </c>
      <c r="G171" s="207">
        <v>38990</v>
      </c>
      <c r="H171" s="161">
        <f>38990-38800</f>
        <v>190</v>
      </c>
      <c r="I171" s="207">
        <v>50</v>
      </c>
      <c r="J171" s="242">
        <f t="shared" si="26"/>
        <v>9500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17</v>
      </c>
      <c r="C172" s="206">
        <v>44798</v>
      </c>
      <c r="D172" s="161" t="s">
        <v>9</v>
      </c>
      <c r="E172" s="161" t="s">
        <v>301</v>
      </c>
      <c r="F172" s="207">
        <v>39350</v>
      </c>
      <c r="G172" s="207">
        <v>39395</v>
      </c>
      <c r="H172" s="161">
        <v>45</v>
      </c>
      <c r="I172" s="207">
        <v>50</v>
      </c>
      <c r="J172" s="242">
        <f t="shared" si="26"/>
        <v>2250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18</v>
      </c>
      <c r="C173" s="206">
        <v>44799</v>
      </c>
      <c r="D173" s="161" t="s">
        <v>8</v>
      </c>
      <c r="E173" s="161" t="s">
        <v>301</v>
      </c>
      <c r="F173" s="207">
        <v>39400</v>
      </c>
      <c r="G173" s="207">
        <v>39100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19</v>
      </c>
      <c r="C174" s="206">
        <v>44802</v>
      </c>
      <c r="D174" s="161" t="s">
        <v>8</v>
      </c>
      <c r="E174" s="161" t="s">
        <v>301</v>
      </c>
      <c r="F174" s="207">
        <v>38500</v>
      </c>
      <c r="G174" s="207">
        <v>38305</v>
      </c>
      <c r="H174" s="161">
        <f>38500-38305</f>
        <v>195</v>
      </c>
      <c r="I174" s="207">
        <v>50</v>
      </c>
      <c r="J174" s="242">
        <f t="shared" si="26"/>
        <v>9750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20</v>
      </c>
      <c r="C175" s="206">
        <v>44803</v>
      </c>
      <c r="D175" s="161" t="s">
        <v>9</v>
      </c>
      <c r="E175" s="161" t="s">
        <v>301</v>
      </c>
      <c r="F175" s="207">
        <v>38900</v>
      </c>
      <c r="G175" s="207">
        <v>39200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21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x14ac:dyDescent="0.3">
      <c r="A177" s="147"/>
      <c r="B177" s="205">
        <f t="shared" si="29"/>
        <v>22</v>
      </c>
      <c r="C177" s="206"/>
      <c r="D177" s="161"/>
      <c r="E177" s="161"/>
      <c r="F177" s="207"/>
      <c r="G177" s="207"/>
      <c r="H177" s="161"/>
      <c r="I177" s="207"/>
      <c r="J177" s="242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ht="15" thickBot="1" x14ac:dyDescent="0.35">
      <c r="A178" s="147"/>
      <c r="B178" s="208">
        <f t="shared" si="29"/>
        <v>23</v>
      </c>
      <c r="C178" s="209"/>
      <c r="D178" s="166"/>
      <c r="E178" s="166"/>
      <c r="F178" s="210"/>
      <c r="G178" s="210"/>
      <c r="H178" s="166"/>
      <c r="I178" s="210"/>
      <c r="J178" s="244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ht="24" thickBot="1" x14ac:dyDescent="0.5">
      <c r="A179" s="147"/>
      <c r="B179" s="370" t="s">
        <v>2254</v>
      </c>
      <c r="C179" s="371"/>
      <c r="D179" s="371"/>
      <c r="E179" s="371"/>
      <c r="F179" s="371"/>
      <c r="G179" s="371"/>
      <c r="H179" s="372"/>
      <c r="I179" s="211" t="s">
        <v>2255</v>
      </c>
      <c r="J179" s="212">
        <f>SUM(J156:J178)</f>
        <v>114600</v>
      </c>
      <c r="K179" s="153"/>
      <c r="V179" s="25">
        <f>SUM(V156:V178)</f>
        <v>16</v>
      </c>
      <c r="W179" s="25">
        <f>SUM(W156:W178)</f>
        <v>4</v>
      </c>
    </row>
    <row r="180" spans="1:23" ht="30" customHeight="1" thickBot="1" x14ac:dyDescent="0.35">
      <c r="A180" s="213"/>
      <c r="B180" s="172"/>
      <c r="C180" s="172"/>
      <c r="D180" s="172"/>
      <c r="E180" s="172"/>
      <c r="F180" s="172"/>
      <c r="G180" s="172"/>
      <c r="H180" s="235"/>
      <c r="I180" s="172"/>
      <c r="J180" s="235"/>
      <c r="K180" s="214"/>
    </row>
    <row r="181" spans="1:23" ht="15" thickBot="1" x14ac:dyDescent="0.35"/>
    <row r="182" spans="1:23" ht="30" customHeight="1" thickBot="1" x14ac:dyDescent="0.35">
      <c r="A182" s="198"/>
      <c r="B182" s="143"/>
      <c r="C182" s="143"/>
      <c r="D182" s="143"/>
      <c r="E182" s="143"/>
      <c r="F182" s="143"/>
      <c r="G182" s="143"/>
      <c r="H182" s="232"/>
      <c r="I182" s="143"/>
      <c r="J182" s="232"/>
      <c r="K182" s="199"/>
    </row>
    <row r="183" spans="1:23" ht="25.2" thickBot="1" x14ac:dyDescent="0.35">
      <c r="A183" s="147" t="s">
        <v>0</v>
      </c>
      <c r="B183" s="361" t="s">
        <v>2244</v>
      </c>
      <c r="C183" s="362"/>
      <c r="D183" s="362"/>
      <c r="E183" s="362"/>
      <c r="F183" s="362"/>
      <c r="G183" s="362"/>
      <c r="H183" s="362"/>
      <c r="I183" s="362"/>
      <c r="J183" s="363"/>
      <c r="K183" s="153"/>
    </row>
    <row r="184" spans="1:23" ht="16.2" thickBot="1" x14ac:dyDescent="0.35">
      <c r="A184" s="147"/>
      <c r="B184" s="364" t="s">
        <v>3414</v>
      </c>
      <c r="C184" s="365"/>
      <c r="D184" s="365"/>
      <c r="E184" s="365"/>
      <c r="F184" s="365"/>
      <c r="G184" s="365"/>
      <c r="H184" s="365"/>
      <c r="I184" s="365"/>
      <c r="J184" s="366"/>
      <c r="K184" s="153"/>
    </row>
    <row r="185" spans="1:23" ht="16.2" thickBot="1" x14ac:dyDescent="0.35">
      <c r="A185" s="147"/>
      <c r="B185" s="367" t="s">
        <v>1152</v>
      </c>
      <c r="C185" s="368"/>
      <c r="D185" s="368"/>
      <c r="E185" s="368"/>
      <c r="F185" s="368"/>
      <c r="G185" s="368"/>
      <c r="H185" s="368"/>
      <c r="I185" s="368"/>
      <c r="J185" s="369"/>
      <c r="K185" s="153"/>
    </row>
    <row r="186" spans="1:23" ht="15" thickBot="1" x14ac:dyDescent="0.35">
      <c r="A186" s="175"/>
      <c r="B186" s="178" t="s">
        <v>2248</v>
      </c>
      <c r="C186" s="179" t="s">
        <v>1</v>
      </c>
      <c r="D186" s="180" t="s">
        <v>5</v>
      </c>
      <c r="E186" s="180" t="s">
        <v>6</v>
      </c>
      <c r="F186" s="181" t="s">
        <v>2249</v>
      </c>
      <c r="G186" s="181" t="s">
        <v>2250</v>
      </c>
      <c r="H186" s="239" t="s">
        <v>2251</v>
      </c>
      <c r="I186" s="181" t="s">
        <v>2257</v>
      </c>
      <c r="J186" s="245" t="s">
        <v>4</v>
      </c>
      <c r="K186" s="176"/>
      <c r="L186" s="215"/>
      <c r="V186" s="201" t="s">
        <v>454</v>
      </c>
      <c r="W186" s="201" t="s">
        <v>455</v>
      </c>
    </row>
    <row r="187" spans="1:23" x14ac:dyDescent="0.3">
      <c r="A187" s="147"/>
      <c r="B187" s="217">
        <v>1</v>
      </c>
      <c r="C187" s="218">
        <v>44774</v>
      </c>
      <c r="D187" s="185" t="s">
        <v>9</v>
      </c>
      <c r="E187" s="185" t="s">
        <v>3519</v>
      </c>
      <c r="F187" s="219">
        <v>300</v>
      </c>
      <c r="G187" s="219">
        <v>347</v>
      </c>
      <c r="H187" s="185">
        <v>47</v>
      </c>
      <c r="I187" s="219">
        <v>100</v>
      </c>
      <c r="J187" s="246">
        <f t="shared" ref="J187:J209" si="30">I187*H187</f>
        <v>4700</v>
      </c>
      <c r="K187" s="153"/>
      <c r="V187" s="25">
        <f>IF($J187&gt;0,1,0)</f>
        <v>1</v>
      </c>
      <c r="W187" s="25">
        <f>IF($J187&lt;0,1,0)</f>
        <v>0</v>
      </c>
    </row>
    <row r="188" spans="1:23" x14ac:dyDescent="0.3">
      <c r="A188" s="147"/>
      <c r="B188" s="205">
        <f>B187+1</f>
        <v>2</v>
      </c>
      <c r="C188" s="218">
        <v>44775</v>
      </c>
      <c r="D188" s="185" t="s">
        <v>9</v>
      </c>
      <c r="E188" s="185" t="s">
        <v>3588</v>
      </c>
      <c r="F188" s="219">
        <v>280</v>
      </c>
      <c r="G188" s="219">
        <v>190</v>
      </c>
      <c r="H188" s="185">
        <v>-90</v>
      </c>
      <c r="I188" s="219">
        <v>100</v>
      </c>
      <c r="J188" s="242">
        <f t="shared" si="30"/>
        <v>-9000</v>
      </c>
      <c r="K188" s="153"/>
      <c r="V188" s="25">
        <f t="shared" ref="V188:V209" si="31">IF($J188&gt;0,1,0)</f>
        <v>0</v>
      </c>
      <c r="W188" s="25">
        <f t="shared" ref="W188:W209" si="32">IF($J188&lt;0,1,0)</f>
        <v>1</v>
      </c>
    </row>
    <row r="189" spans="1:23" x14ac:dyDescent="0.3">
      <c r="A189" s="147"/>
      <c r="B189" s="205">
        <f t="shared" ref="B189:B209" si="33">B188+1</f>
        <v>3</v>
      </c>
      <c r="C189" s="206">
        <v>44775</v>
      </c>
      <c r="D189" s="161" t="s">
        <v>9</v>
      </c>
      <c r="E189" s="161" t="s">
        <v>3520</v>
      </c>
      <c r="F189" s="207">
        <v>240</v>
      </c>
      <c r="G189" s="207">
        <v>280</v>
      </c>
      <c r="H189" s="161">
        <v>80</v>
      </c>
      <c r="I189" s="207">
        <v>100</v>
      </c>
      <c r="J189" s="242">
        <f t="shared" si="30"/>
        <v>8000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4</v>
      </c>
      <c r="C190" s="206">
        <v>44776</v>
      </c>
      <c r="D190" s="161" t="s">
        <v>9</v>
      </c>
      <c r="E190" s="161" t="s">
        <v>3585</v>
      </c>
      <c r="F190" s="207">
        <v>320</v>
      </c>
      <c r="G190" s="207">
        <v>418</v>
      </c>
      <c r="H190" s="161">
        <f>418-320</f>
        <v>98</v>
      </c>
      <c r="I190" s="207">
        <v>100</v>
      </c>
      <c r="J190" s="242">
        <f t="shared" si="30"/>
        <v>9800</v>
      </c>
      <c r="K190" s="153"/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5</v>
      </c>
      <c r="C191" s="206">
        <v>44777</v>
      </c>
      <c r="D191" s="161" t="s">
        <v>9</v>
      </c>
      <c r="E191" s="161" t="s">
        <v>3671</v>
      </c>
      <c r="F191" s="207">
        <v>70</v>
      </c>
      <c r="G191" s="207">
        <v>20</v>
      </c>
      <c r="H191" s="161">
        <v>-50</v>
      </c>
      <c r="I191" s="207">
        <v>100</v>
      </c>
      <c r="J191" s="242">
        <f t="shared" si="30"/>
        <v>-5000</v>
      </c>
      <c r="K191" s="153"/>
      <c r="O191" s="25" t="s">
        <v>2008</v>
      </c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6</v>
      </c>
      <c r="C192" s="206">
        <v>44777</v>
      </c>
      <c r="D192" s="161" t="s">
        <v>9</v>
      </c>
      <c r="E192" s="161" t="s">
        <v>3488</v>
      </c>
      <c r="F192" s="207">
        <v>170</v>
      </c>
      <c r="G192" s="207">
        <v>70</v>
      </c>
      <c r="H192" s="161">
        <v>-100</v>
      </c>
      <c r="I192" s="207">
        <v>100</v>
      </c>
      <c r="J192" s="242">
        <f t="shared" si="30"/>
        <v>-10000</v>
      </c>
      <c r="K192" s="153"/>
      <c r="V192" s="25">
        <f t="shared" si="31"/>
        <v>0</v>
      </c>
      <c r="W192" s="25">
        <f t="shared" si="32"/>
        <v>1</v>
      </c>
    </row>
    <row r="193" spans="1:23" x14ac:dyDescent="0.3">
      <c r="A193" s="147"/>
      <c r="B193" s="205">
        <f t="shared" si="33"/>
        <v>7</v>
      </c>
      <c r="C193" s="206">
        <v>44778</v>
      </c>
      <c r="D193" s="161" t="s">
        <v>9</v>
      </c>
      <c r="E193" s="161" t="s">
        <v>3520</v>
      </c>
      <c r="F193" s="207">
        <v>330</v>
      </c>
      <c r="G193" s="207">
        <v>380</v>
      </c>
      <c r="H193" s="161">
        <v>50</v>
      </c>
      <c r="I193" s="207">
        <v>100</v>
      </c>
      <c r="J193" s="242">
        <f t="shared" si="30"/>
        <v>5000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8</v>
      </c>
      <c r="C194" s="206">
        <v>44781</v>
      </c>
      <c r="D194" s="161" t="s">
        <v>9</v>
      </c>
      <c r="E194" s="161" t="s">
        <v>3518</v>
      </c>
      <c r="F194" s="207">
        <v>280</v>
      </c>
      <c r="G194" s="207">
        <v>470</v>
      </c>
      <c r="H194" s="161">
        <f>470-280</f>
        <v>190</v>
      </c>
      <c r="I194" s="207">
        <v>100</v>
      </c>
      <c r="J194" s="242">
        <f t="shared" si="30"/>
        <v>19000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9</v>
      </c>
      <c r="C195" s="206">
        <v>44783</v>
      </c>
      <c r="D195" s="161" t="s">
        <v>9</v>
      </c>
      <c r="E195" s="161" t="s">
        <v>3531</v>
      </c>
      <c r="F195" s="207">
        <v>330</v>
      </c>
      <c r="G195" s="207">
        <v>290</v>
      </c>
      <c r="H195" s="161">
        <v>-40</v>
      </c>
      <c r="I195" s="207">
        <v>100</v>
      </c>
      <c r="J195" s="242">
        <f t="shared" si="30"/>
        <v>-4000</v>
      </c>
      <c r="K195" s="153"/>
      <c r="V195" s="25">
        <f t="shared" si="31"/>
        <v>0</v>
      </c>
      <c r="W195" s="25">
        <f t="shared" si="32"/>
        <v>1</v>
      </c>
    </row>
    <row r="196" spans="1:23" x14ac:dyDescent="0.3">
      <c r="A196" s="147"/>
      <c r="B196" s="205">
        <f t="shared" si="33"/>
        <v>10</v>
      </c>
      <c r="C196" s="206">
        <v>44784</v>
      </c>
      <c r="D196" s="161" t="s">
        <v>9</v>
      </c>
      <c r="E196" s="161" t="s">
        <v>3533</v>
      </c>
      <c r="F196" s="207">
        <v>220</v>
      </c>
      <c r="G196" s="207">
        <v>190</v>
      </c>
      <c r="H196" s="161">
        <v>-30</v>
      </c>
      <c r="I196" s="207">
        <v>100</v>
      </c>
      <c r="J196" s="242">
        <f t="shared" si="30"/>
        <v>-3000</v>
      </c>
      <c r="K196" s="153"/>
      <c r="V196" s="25">
        <f t="shared" si="31"/>
        <v>0</v>
      </c>
      <c r="W196" s="25">
        <f t="shared" si="32"/>
        <v>1</v>
      </c>
    </row>
    <row r="197" spans="1:23" x14ac:dyDescent="0.3">
      <c r="A197" s="147"/>
      <c r="B197" s="205">
        <f t="shared" si="33"/>
        <v>11</v>
      </c>
      <c r="C197" s="206">
        <v>44785</v>
      </c>
      <c r="D197" s="161" t="s">
        <v>9</v>
      </c>
      <c r="E197" s="161" t="s">
        <v>3693</v>
      </c>
      <c r="F197" s="207">
        <v>280</v>
      </c>
      <c r="G197" s="207">
        <v>380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12</v>
      </c>
      <c r="C198" s="206">
        <v>44789</v>
      </c>
      <c r="D198" s="161" t="s">
        <v>9</v>
      </c>
      <c r="E198" s="161" t="s">
        <v>3681</v>
      </c>
      <c r="F198" s="207">
        <v>250</v>
      </c>
      <c r="G198" s="207">
        <v>350</v>
      </c>
      <c r="H198" s="161">
        <v>100</v>
      </c>
      <c r="I198" s="207">
        <v>100</v>
      </c>
      <c r="J198" s="242">
        <f t="shared" si="30"/>
        <v>10000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13</v>
      </c>
      <c r="C199" s="206">
        <v>44790</v>
      </c>
      <c r="D199" s="161" t="s">
        <v>9</v>
      </c>
      <c r="E199" s="161" t="s">
        <v>3567</v>
      </c>
      <c r="F199" s="207">
        <v>210</v>
      </c>
      <c r="G199" s="207">
        <v>150</v>
      </c>
      <c r="H199" s="161">
        <v>-60</v>
      </c>
      <c r="I199" s="207">
        <v>100</v>
      </c>
      <c r="J199" s="242">
        <f t="shared" si="30"/>
        <v>-6000</v>
      </c>
      <c r="K199" s="153"/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14</v>
      </c>
      <c r="C200" s="206">
        <v>44791</v>
      </c>
      <c r="D200" s="161" t="s">
        <v>9</v>
      </c>
      <c r="E200" s="161" t="s">
        <v>3889</v>
      </c>
      <c r="F200" s="207">
        <v>230</v>
      </c>
      <c r="G200" s="207">
        <v>270</v>
      </c>
      <c r="H200" s="161">
        <v>40</v>
      </c>
      <c r="I200" s="207">
        <v>100</v>
      </c>
      <c r="J200" s="242">
        <f t="shared" si="30"/>
        <v>4000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15</v>
      </c>
      <c r="C201" s="206">
        <v>44792</v>
      </c>
      <c r="D201" s="161" t="s">
        <v>9</v>
      </c>
      <c r="E201" s="161" t="s">
        <v>3890</v>
      </c>
      <c r="F201" s="207">
        <v>290</v>
      </c>
      <c r="G201" s="207">
        <v>490</v>
      </c>
      <c r="H201" s="161">
        <v>200</v>
      </c>
      <c r="I201" s="207">
        <v>100</v>
      </c>
      <c r="J201" s="242">
        <f t="shared" si="30"/>
        <v>20000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16</v>
      </c>
      <c r="C202" s="206">
        <v>44795</v>
      </c>
      <c r="D202" s="161" t="s">
        <v>9</v>
      </c>
      <c r="E202" s="161" t="s">
        <v>3895</v>
      </c>
      <c r="F202" s="207">
        <v>340</v>
      </c>
      <c r="G202" s="207">
        <v>413</v>
      </c>
      <c r="H202" s="161">
        <f>413-340</f>
        <v>73</v>
      </c>
      <c r="I202" s="207">
        <v>100</v>
      </c>
      <c r="J202" s="242">
        <f t="shared" si="30"/>
        <v>7300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17</v>
      </c>
      <c r="C203" s="206">
        <v>44796</v>
      </c>
      <c r="D203" s="161" t="s">
        <v>9</v>
      </c>
      <c r="E203" s="161" t="s">
        <v>3696</v>
      </c>
      <c r="F203" s="207">
        <v>300</v>
      </c>
      <c r="G203" s="207">
        <v>350</v>
      </c>
      <c r="H203" s="161">
        <v>50</v>
      </c>
      <c r="I203" s="207">
        <v>100</v>
      </c>
      <c r="J203" s="242">
        <f t="shared" si="30"/>
        <v>5000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18</v>
      </c>
      <c r="C204" s="206">
        <v>44797</v>
      </c>
      <c r="D204" s="161" t="s">
        <v>9</v>
      </c>
      <c r="E204" s="161" t="s">
        <v>3659</v>
      </c>
      <c r="F204" s="207">
        <v>340</v>
      </c>
      <c r="G204" s="207">
        <v>440</v>
      </c>
      <c r="H204" s="161">
        <v>100</v>
      </c>
      <c r="I204" s="207">
        <v>100</v>
      </c>
      <c r="J204" s="242">
        <f t="shared" si="30"/>
        <v>10000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19</v>
      </c>
      <c r="C205" s="206">
        <v>44798</v>
      </c>
      <c r="D205" s="161" t="s">
        <v>9</v>
      </c>
      <c r="E205" s="161" t="s">
        <v>3569</v>
      </c>
      <c r="F205" s="207">
        <v>280</v>
      </c>
      <c r="G205" s="207">
        <v>380</v>
      </c>
      <c r="H205" s="161">
        <v>100</v>
      </c>
      <c r="I205" s="207">
        <v>100</v>
      </c>
      <c r="J205" s="242">
        <f t="shared" si="30"/>
        <v>10000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20</v>
      </c>
      <c r="C206" s="206">
        <v>44799</v>
      </c>
      <c r="D206" s="161" t="s">
        <v>9</v>
      </c>
      <c r="E206" s="161" t="s">
        <v>3681</v>
      </c>
      <c r="F206" s="207">
        <v>430</v>
      </c>
      <c r="G206" s="207">
        <v>630</v>
      </c>
      <c r="H206" s="161">
        <v>200</v>
      </c>
      <c r="I206" s="207">
        <v>100</v>
      </c>
      <c r="J206" s="242">
        <f t="shared" si="30"/>
        <v>20000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21</v>
      </c>
      <c r="C207" s="206">
        <v>44802</v>
      </c>
      <c r="D207" s="161" t="s">
        <v>9</v>
      </c>
      <c r="E207" s="161" t="s">
        <v>3696</v>
      </c>
      <c r="F207" s="207">
        <v>380</v>
      </c>
      <c r="G207" s="207">
        <v>460</v>
      </c>
      <c r="H207" s="161">
        <f>460-380</f>
        <v>80</v>
      </c>
      <c r="I207" s="207">
        <v>100</v>
      </c>
      <c r="J207" s="242">
        <f t="shared" si="30"/>
        <v>8000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22</v>
      </c>
      <c r="C208" s="206">
        <v>44803</v>
      </c>
      <c r="D208" s="161" t="s">
        <v>9</v>
      </c>
      <c r="E208" s="161" t="s">
        <v>3658</v>
      </c>
      <c r="F208" s="207">
        <v>260</v>
      </c>
      <c r="G208" s="207">
        <v>460</v>
      </c>
      <c r="H208" s="161">
        <v>200</v>
      </c>
      <c r="I208" s="207">
        <v>100</v>
      </c>
      <c r="J208" s="242">
        <f t="shared" si="30"/>
        <v>20000</v>
      </c>
      <c r="K208" s="153"/>
      <c r="V208" s="25">
        <f t="shared" si="31"/>
        <v>1</v>
      </c>
      <c r="W208" s="25">
        <f t="shared" si="32"/>
        <v>0</v>
      </c>
    </row>
    <row r="209" spans="1:23" ht="15" thickBot="1" x14ac:dyDescent="0.35">
      <c r="A209" s="147"/>
      <c r="B209" s="208">
        <f t="shared" si="33"/>
        <v>23</v>
      </c>
      <c r="C209" s="209"/>
      <c r="D209" s="166"/>
      <c r="E209" s="166"/>
      <c r="F209" s="210"/>
      <c r="G209" s="210"/>
      <c r="H209" s="166"/>
      <c r="I209" s="210"/>
      <c r="J209" s="244">
        <f t="shared" si="30"/>
        <v>0</v>
      </c>
      <c r="K209" s="153"/>
      <c r="V209" s="25">
        <f t="shared" si="31"/>
        <v>0</v>
      </c>
      <c r="W209" s="25">
        <f t="shared" si="32"/>
        <v>0</v>
      </c>
    </row>
    <row r="210" spans="1:23" ht="24" thickBot="1" x14ac:dyDescent="0.5">
      <c r="A210" s="147"/>
      <c r="B210" s="370" t="s">
        <v>2254</v>
      </c>
      <c r="C210" s="371"/>
      <c r="D210" s="371"/>
      <c r="E210" s="371"/>
      <c r="F210" s="371"/>
      <c r="G210" s="371"/>
      <c r="H210" s="372"/>
      <c r="I210" s="211" t="s">
        <v>2255</v>
      </c>
      <c r="J210" s="212">
        <f>SUM(J187:J209)</f>
        <v>133800</v>
      </c>
      <c r="K210" s="153"/>
      <c r="V210" s="25">
        <f>SUM(V187:V209)</f>
        <v>16</v>
      </c>
      <c r="W210" s="25">
        <f>SUM(W187:W209)</f>
        <v>6</v>
      </c>
    </row>
    <row r="211" spans="1:23" ht="30" customHeight="1" thickBot="1" x14ac:dyDescent="0.35">
      <c r="A211" s="213"/>
      <c r="B211" s="172"/>
      <c r="C211" s="172"/>
      <c r="D211" s="172"/>
      <c r="E211" s="172"/>
      <c r="F211" s="172"/>
      <c r="G211" s="172"/>
      <c r="H211" s="235"/>
      <c r="I211" s="172"/>
      <c r="J211" s="235"/>
      <c r="K211" s="214"/>
    </row>
    <row r="212" spans="1:23" ht="15" thickBot="1" x14ac:dyDescent="0.35"/>
    <row r="213" spans="1:23" ht="30" customHeight="1" thickBot="1" x14ac:dyDescent="0.35">
      <c r="A213" s="198"/>
      <c r="B213" s="143"/>
      <c r="C213" s="143"/>
      <c r="D213" s="143"/>
      <c r="E213" s="143"/>
      <c r="F213" s="143"/>
      <c r="G213" s="143"/>
      <c r="H213" s="232"/>
      <c r="I213" s="143"/>
      <c r="J213" s="232"/>
      <c r="K213" s="199"/>
    </row>
    <row r="214" spans="1:23" ht="25.2" thickBot="1" x14ac:dyDescent="0.35">
      <c r="A214" s="147" t="s">
        <v>0</v>
      </c>
      <c r="B214" s="361" t="s">
        <v>2244</v>
      </c>
      <c r="C214" s="362"/>
      <c r="D214" s="362"/>
      <c r="E214" s="362"/>
      <c r="F214" s="362"/>
      <c r="G214" s="362"/>
      <c r="H214" s="362"/>
      <c r="I214" s="362"/>
      <c r="J214" s="363"/>
      <c r="K214" s="153"/>
    </row>
    <row r="215" spans="1:23" ht="16.2" thickBot="1" x14ac:dyDescent="0.35">
      <c r="A215" s="147"/>
      <c r="B215" s="364" t="s">
        <v>3875</v>
      </c>
      <c r="C215" s="365"/>
      <c r="D215" s="365"/>
      <c r="E215" s="365"/>
      <c r="F215" s="365"/>
      <c r="G215" s="365"/>
      <c r="H215" s="365"/>
      <c r="I215" s="365"/>
      <c r="J215" s="366"/>
      <c r="K215" s="153"/>
    </row>
    <row r="216" spans="1:23" ht="16.2" thickBot="1" x14ac:dyDescent="0.35">
      <c r="A216" s="147"/>
      <c r="B216" s="367" t="s">
        <v>1076</v>
      </c>
      <c r="C216" s="368"/>
      <c r="D216" s="368"/>
      <c r="E216" s="368"/>
      <c r="F216" s="368"/>
      <c r="G216" s="368"/>
      <c r="H216" s="368"/>
      <c r="I216" s="368"/>
      <c r="J216" s="369"/>
      <c r="K216" s="153"/>
    </row>
    <row r="217" spans="1:23" ht="15" thickBot="1" x14ac:dyDescent="0.35">
      <c r="A217" s="175"/>
      <c r="B217" s="178" t="s">
        <v>2248</v>
      </c>
      <c r="C217" s="179" t="s">
        <v>1</v>
      </c>
      <c r="D217" s="180" t="s">
        <v>5</v>
      </c>
      <c r="E217" s="180" t="s">
        <v>6</v>
      </c>
      <c r="F217" s="181" t="s">
        <v>2249</v>
      </c>
      <c r="G217" s="181" t="s">
        <v>2250</v>
      </c>
      <c r="H217" s="239" t="s">
        <v>2251</v>
      </c>
      <c r="I217" s="181" t="s">
        <v>2257</v>
      </c>
      <c r="J217" s="245" t="s">
        <v>4</v>
      </c>
      <c r="K217" s="176"/>
      <c r="L217" s="215"/>
      <c r="V217" s="201" t="s">
        <v>454</v>
      </c>
      <c r="W217" s="201" t="s">
        <v>455</v>
      </c>
    </row>
    <row r="218" spans="1:23" x14ac:dyDescent="0.3">
      <c r="A218" s="147"/>
      <c r="B218" s="217">
        <v>1</v>
      </c>
      <c r="C218" s="218">
        <v>44774</v>
      </c>
      <c r="D218" s="185" t="s">
        <v>9</v>
      </c>
      <c r="E218" s="185" t="s">
        <v>3877</v>
      </c>
      <c r="F218" s="231">
        <v>72</v>
      </c>
      <c r="G218" s="231">
        <v>85</v>
      </c>
      <c r="H218" s="231">
        <f>85-72</f>
        <v>13</v>
      </c>
      <c r="I218" s="219">
        <v>250</v>
      </c>
      <c r="J218" s="246">
        <f t="shared" ref="J218:J241" si="34">I218*H218</f>
        <v>3250</v>
      </c>
      <c r="K218" s="153"/>
      <c r="V218" s="25">
        <f>IF($J218&gt;0,1,0)</f>
        <v>1</v>
      </c>
      <c r="W218" s="25">
        <f>IF($J218&lt;0,1,0)</f>
        <v>0</v>
      </c>
    </row>
    <row r="219" spans="1:23" x14ac:dyDescent="0.3">
      <c r="A219" s="147"/>
      <c r="B219" s="205">
        <f>B218+1</f>
        <v>2</v>
      </c>
      <c r="C219" s="218">
        <v>44775</v>
      </c>
      <c r="D219" s="185" t="s">
        <v>9</v>
      </c>
      <c r="E219" s="185" t="s">
        <v>3878</v>
      </c>
      <c r="F219" s="231">
        <v>21</v>
      </c>
      <c r="G219" s="231">
        <v>21</v>
      </c>
      <c r="H219" s="231">
        <v>0</v>
      </c>
      <c r="I219" s="219">
        <v>1500</v>
      </c>
      <c r="J219" s="242">
        <f>I219*H219</f>
        <v>0</v>
      </c>
      <c r="K219" s="153"/>
      <c r="V219" s="25">
        <f>IF($J219&gt;0,1,0)</f>
        <v>0</v>
      </c>
      <c r="W219" s="25">
        <f>IF($J219&lt;0,1,0)</f>
        <v>0</v>
      </c>
    </row>
    <row r="220" spans="1:23" x14ac:dyDescent="0.3">
      <c r="A220" s="147"/>
      <c r="B220" s="205">
        <f t="shared" ref="B220:B241" si="35">B219+1</f>
        <v>3</v>
      </c>
      <c r="C220" s="206">
        <v>44776</v>
      </c>
      <c r="D220" s="161" t="s">
        <v>9</v>
      </c>
      <c r="E220" s="161" t="s">
        <v>3880</v>
      </c>
      <c r="F220" s="222">
        <v>115</v>
      </c>
      <c r="G220" s="222">
        <v>85</v>
      </c>
      <c r="H220" s="222">
        <v>-30</v>
      </c>
      <c r="I220" s="207">
        <v>150</v>
      </c>
      <c r="J220" s="242">
        <f t="shared" si="34"/>
        <v>-4500</v>
      </c>
      <c r="K220" s="153"/>
      <c r="V220" s="25">
        <f t="shared" ref="V220:V241" si="36">IF($J220&gt;0,1,0)</f>
        <v>0</v>
      </c>
      <c r="W220" s="25">
        <f t="shared" ref="W220:W241" si="37">IF($J220&lt;0,1,0)</f>
        <v>1</v>
      </c>
    </row>
    <row r="221" spans="1:23" x14ac:dyDescent="0.3">
      <c r="A221" s="147"/>
      <c r="B221" s="205">
        <f t="shared" si="35"/>
        <v>4</v>
      </c>
      <c r="C221" s="206">
        <v>44777</v>
      </c>
      <c r="D221" s="161" t="s">
        <v>9</v>
      </c>
      <c r="E221" s="161" t="s">
        <v>3881</v>
      </c>
      <c r="F221" s="222">
        <v>155</v>
      </c>
      <c r="G221" s="222">
        <v>170</v>
      </c>
      <c r="H221" s="222">
        <f>170-155</f>
        <v>15</v>
      </c>
      <c r="I221" s="207">
        <v>150</v>
      </c>
      <c r="J221" s="242">
        <f t="shared" si="34"/>
        <v>2250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5</v>
      </c>
      <c r="C222" s="206">
        <v>44778</v>
      </c>
      <c r="D222" s="161" t="s">
        <v>9</v>
      </c>
      <c r="E222" s="161" t="s">
        <v>3883</v>
      </c>
      <c r="F222" s="222">
        <v>37</v>
      </c>
      <c r="G222" s="222">
        <v>40</v>
      </c>
      <c r="H222" s="222">
        <v>3</v>
      </c>
      <c r="I222" s="207">
        <v>300</v>
      </c>
      <c r="J222" s="242">
        <f t="shared" si="34"/>
        <v>900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6</v>
      </c>
      <c r="C223" s="206">
        <v>44781</v>
      </c>
      <c r="D223" s="161" t="s">
        <v>9</v>
      </c>
      <c r="E223" s="161" t="s">
        <v>3884</v>
      </c>
      <c r="F223" s="222">
        <v>65</v>
      </c>
      <c r="G223" s="222">
        <v>72</v>
      </c>
      <c r="H223" s="222">
        <f>72-65</f>
        <v>7</v>
      </c>
      <c r="I223" s="207">
        <v>250</v>
      </c>
      <c r="J223" s="242">
        <f t="shared" si="34"/>
        <v>1750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7</v>
      </c>
      <c r="C224" s="206">
        <v>44783</v>
      </c>
      <c r="D224" s="161" t="s">
        <v>9</v>
      </c>
      <c r="E224" s="161" t="s">
        <v>3885</v>
      </c>
      <c r="F224" s="222">
        <v>32</v>
      </c>
      <c r="G224" s="222">
        <v>34.5</v>
      </c>
      <c r="H224" s="222">
        <v>2.5</v>
      </c>
      <c r="I224" s="207">
        <v>550</v>
      </c>
      <c r="J224" s="242">
        <f t="shared" si="34"/>
        <v>1375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8</v>
      </c>
      <c r="C225" s="206">
        <v>44784</v>
      </c>
      <c r="D225" s="161" t="s">
        <v>9</v>
      </c>
      <c r="E225" s="161" t="s">
        <v>3888</v>
      </c>
      <c r="F225" s="222">
        <v>72</v>
      </c>
      <c r="G225" s="222">
        <v>76.5</v>
      </c>
      <c r="H225" s="222">
        <v>4.5</v>
      </c>
      <c r="I225" s="207">
        <v>275</v>
      </c>
      <c r="J225" s="242">
        <f t="shared" si="34"/>
        <v>1237.5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9</v>
      </c>
      <c r="C226" s="206">
        <v>44785</v>
      </c>
      <c r="D226" s="161" t="s">
        <v>9</v>
      </c>
      <c r="E226" s="161" t="s">
        <v>3748</v>
      </c>
      <c r="F226" s="222">
        <v>50</v>
      </c>
      <c r="G226" s="222">
        <v>66</v>
      </c>
      <c r="H226" s="255">
        <v>16</v>
      </c>
      <c r="I226" s="207">
        <v>250</v>
      </c>
      <c r="J226" s="242">
        <f t="shared" si="34"/>
        <v>4000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10</v>
      </c>
      <c r="C227" s="206">
        <v>44789</v>
      </c>
      <c r="D227" s="161" t="s">
        <v>9</v>
      </c>
      <c r="E227" s="161" t="s">
        <v>3891</v>
      </c>
      <c r="F227" s="222">
        <v>16</v>
      </c>
      <c r="G227" s="222">
        <v>22</v>
      </c>
      <c r="H227" s="255">
        <v>6</v>
      </c>
      <c r="I227" s="207">
        <v>1250</v>
      </c>
      <c r="J227" s="242">
        <f t="shared" si="34"/>
        <v>7500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11</v>
      </c>
      <c r="C228" s="206">
        <v>44790</v>
      </c>
      <c r="D228" s="161" t="s">
        <v>9</v>
      </c>
      <c r="E228" s="161" t="s">
        <v>3872</v>
      </c>
      <c r="F228" s="222">
        <v>10</v>
      </c>
      <c r="G228" s="222">
        <v>11.3</v>
      </c>
      <c r="H228" s="255">
        <v>1.3</v>
      </c>
      <c r="I228" s="207">
        <v>1500</v>
      </c>
      <c r="J228" s="242">
        <f t="shared" si="34"/>
        <v>1950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12</v>
      </c>
      <c r="C229" s="206">
        <v>44791</v>
      </c>
      <c r="D229" s="161" t="s">
        <v>9</v>
      </c>
      <c r="E229" s="161" t="s">
        <v>3892</v>
      </c>
      <c r="F229" s="222">
        <v>38</v>
      </c>
      <c r="G229" s="222">
        <v>48</v>
      </c>
      <c r="H229" s="255">
        <v>10</v>
      </c>
      <c r="I229" s="207">
        <v>300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13</v>
      </c>
      <c r="C230" s="206">
        <v>44792</v>
      </c>
      <c r="D230" s="161" t="s">
        <v>9</v>
      </c>
      <c r="E230" s="161" t="s">
        <v>3893</v>
      </c>
      <c r="F230" s="222">
        <v>10</v>
      </c>
      <c r="G230" s="222">
        <v>11</v>
      </c>
      <c r="H230" s="255">
        <v>1</v>
      </c>
      <c r="I230" s="207">
        <v>1300</v>
      </c>
      <c r="J230" s="242">
        <f t="shared" si="34"/>
        <v>1300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14</v>
      </c>
      <c r="C231" s="206">
        <v>44795</v>
      </c>
      <c r="D231" s="161" t="s">
        <v>9</v>
      </c>
      <c r="E231" s="161" t="s">
        <v>3896</v>
      </c>
      <c r="F231" s="222">
        <v>17</v>
      </c>
      <c r="G231" s="222">
        <v>10</v>
      </c>
      <c r="H231" s="255">
        <v>-7</v>
      </c>
      <c r="I231" s="207">
        <v>900</v>
      </c>
      <c r="J231" s="242">
        <f>I231*H231</f>
        <v>-6300</v>
      </c>
      <c r="K231" s="153"/>
      <c r="V231" s="25">
        <f t="shared" si="36"/>
        <v>0</v>
      </c>
      <c r="W231" s="25">
        <f t="shared" si="37"/>
        <v>1</v>
      </c>
    </row>
    <row r="232" spans="1:23" x14ac:dyDescent="0.3">
      <c r="A232" s="147"/>
      <c r="B232" s="205">
        <f t="shared" si="35"/>
        <v>15</v>
      </c>
      <c r="C232" s="206">
        <v>44796</v>
      </c>
      <c r="D232" s="161" t="s">
        <v>9</v>
      </c>
      <c r="E232" s="161" t="s">
        <v>3897</v>
      </c>
      <c r="F232" s="222">
        <v>6.5</v>
      </c>
      <c r="G232" s="222">
        <v>9</v>
      </c>
      <c r="H232" s="255">
        <f>9-6.5</f>
        <v>2.5</v>
      </c>
      <c r="I232" s="207">
        <v>1500</v>
      </c>
      <c r="J232" s="242">
        <f t="shared" si="34"/>
        <v>3750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16</v>
      </c>
      <c r="C233" s="206">
        <v>44797</v>
      </c>
      <c r="D233" s="161" t="s">
        <v>9</v>
      </c>
      <c r="E233" s="161" t="s">
        <v>3558</v>
      </c>
      <c r="F233" s="222">
        <v>23</v>
      </c>
      <c r="G233" s="222">
        <v>34</v>
      </c>
      <c r="H233" s="222">
        <f>34-23</f>
        <v>11</v>
      </c>
      <c r="I233" s="207">
        <v>300</v>
      </c>
      <c r="J233" s="242">
        <f t="shared" si="34"/>
        <v>3300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17</v>
      </c>
      <c r="C234" s="206">
        <v>44798</v>
      </c>
      <c r="D234" s="161" t="s">
        <v>9</v>
      </c>
      <c r="E234" s="161" t="s">
        <v>3898</v>
      </c>
      <c r="F234" s="222">
        <v>80</v>
      </c>
      <c r="G234" s="222">
        <v>90</v>
      </c>
      <c r="H234" s="222">
        <v>10</v>
      </c>
      <c r="I234" s="207">
        <v>100</v>
      </c>
      <c r="J234" s="242">
        <f t="shared" si="34"/>
        <v>1000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18</v>
      </c>
      <c r="C235" s="206">
        <v>44799</v>
      </c>
      <c r="D235" s="161" t="s">
        <v>9</v>
      </c>
      <c r="E235" s="161" t="s">
        <v>3899</v>
      </c>
      <c r="F235" s="222">
        <v>125</v>
      </c>
      <c r="G235" s="222">
        <v>134</v>
      </c>
      <c r="H235" s="222">
        <f>134-125</f>
        <v>9</v>
      </c>
      <c r="I235" s="207">
        <v>275</v>
      </c>
      <c r="J235" s="242">
        <f t="shared" si="34"/>
        <v>2475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19</v>
      </c>
      <c r="C236" s="206">
        <v>44802</v>
      </c>
      <c r="D236" s="161" t="s">
        <v>9</v>
      </c>
      <c r="E236" s="161" t="s">
        <v>3902</v>
      </c>
      <c r="F236" s="222">
        <v>15</v>
      </c>
      <c r="G236" s="222">
        <v>16.2</v>
      </c>
      <c r="H236" s="222">
        <v>1.2</v>
      </c>
      <c r="I236" s="207">
        <v>3000</v>
      </c>
      <c r="J236" s="242">
        <f t="shared" si="34"/>
        <v>3600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20</v>
      </c>
      <c r="C237" s="206">
        <v>44803</v>
      </c>
      <c r="D237" s="161" t="s">
        <v>9</v>
      </c>
      <c r="E237" s="161" t="s">
        <v>3903</v>
      </c>
      <c r="F237" s="222">
        <v>43</v>
      </c>
      <c r="G237" s="222">
        <v>52.5</v>
      </c>
      <c r="H237" s="222">
        <f>52.5-43</f>
        <v>9.5</v>
      </c>
      <c r="I237" s="207">
        <v>700</v>
      </c>
      <c r="J237" s="242">
        <f t="shared" si="34"/>
        <v>6650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21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22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x14ac:dyDescent="0.3">
      <c r="A240" s="147"/>
      <c r="B240" s="205">
        <f t="shared" si="35"/>
        <v>23</v>
      </c>
      <c r="C240" s="206"/>
      <c r="D240" s="161"/>
      <c r="E240" s="161"/>
      <c r="F240" s="222"/>
      <c r="G240" s="222"/>
      <c r="H240" s="222"/>
      <c r="I240" s="207"/>
      <c r="J240" s="242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ht="15" thickBot="1" x14ac:dyDescent="0.35">
      <c r="A241" s="147"/>
      <c r="B241" s="208">
        <f t="shared" si="35"/>
        <v>24</v>
      </c>
      <c r="C241" s="209"/>
      <c r="D241" s="166"/>
      <c r="E241" s="166"/>
      <c r="F241" s="222"/>
      <c r="G241" s="222"/>
      <c r="H241" s="166"/>
      <c r="I241" s="210"/>
      <c r="J241" s="244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ht="24" thickBot="1" x14ac:dyDescent="0.5">
      <c r="A242" s="147"/>
      <c r="B242" s="370" t="s">
        <v>2254</v>
      </c>
      <c r="C242" s="371"/>
      <c r="D242" s="371"/>
      <c r="E242" s="371"/>
      <c r="F242" s="371"/>
      <c r="G242" s="371"/>
      <c r="H242" s="372"/>
      <c r="I242" s="211" t="s">
        <v>2255</v>
      </c>
      <c r="J242" s="212">
        <f>SUM(J218:J241)</f>
        <v>38487.5</v>
      </c>
      <c r="K242" s="153"/>
      <c r="V242" s="25">
        <f>SUM(V218:V241)</f>
        <v>17</v>
      </c>
      <c r="W242" s="25">
        <f>SUM(W218:W241)</f>
        <v>2</v>
      </c>
    </row>
    <row r="243" spans="1:23" ht="30" customHeight="1" thickBot="1" x14ac:dyDescent="0.35">
      <c r="A243" s="213"/>
      <c r="B243" s="172"/>
      <c r="C243" s="172"/>
      <c r="D243" s="172"/>
      <c r="E243" s="172"/>
      <c r="F243" s="172"/>
      <c r="G243" s="172"/>
      <c r="H243" s="235"/>
      <c r="I243" s="172"/>
      <c r="J243" s="235"/>
      <c r="K243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4:J154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8:H148"/>
    <mergeCell ref="B152:J152"/>
    <mergeCell ref="B153:J153"/>
    <mergeCell ref="B215:J215"/>
    <mergeCell ref="B216:J216"/>
    <mergeCell ref="B242:H242"/>
    <mergeCell ref="B179:H179"/>
    <mergeCell ref="B183:J183"/>
    <mergeCell ref="B184:J184"/>
    <mergeCell ref="B185:J185"/>
    <mergeCell ref="B210:H210"/>
    <mergeCell ref="B214:J214"/>
  </mergeCells>
  <hyperlinks>
    <hyperlink ref="B84" r:id="rId1" xr:uid="{00000000-0004-0000-7000-000000000000}"/>
    <hyperlink ref="B115" r:id="rId2" xr:uid="{00000000-0004-0000-7000-000001000000}"/>
    <hyperlink ref="B148" r:id="rId3" xr:uid="{00000000-0004-0000-7000-000002000000}"/>
    <hyperlink ref="B179" r:id="rId4" xr:uid="{00000000-0004-0000-7000-000003000000}"/>
    <hyperlink ref="B210" r:id="rId5" xr:uid="{00000000-0004-0000-7000-000004000000}"/>
    <hyperlink ref="B242" r:id="rId6" xr:uid="{00000000-0004-0000-7000-000005000000}"/>
    <hyperlink ref="M1" location="'MASTER '!A1" display="Back" xr:uid="{00000000-0004-0000-7000-000006000000}"/>
    <hyperlink ref="M6:M7" location="'AUGUST 2022'!A77" display="STOCK FUTURE" xr:uid="{00000000-0004-0000-7000-000007000000}"/>
    <hyperlink ref="M12:M13" location="'AUGUST 2022'!A170" display="BANK NIFTY" xr:uid="{00000000-0004-0000-7000-000008000000}"/>
    <hyperlink ref="M10:M11" location="'AUGUST 2022'!A139" display="NF. OPTION" xr:uid="{00000000-0004-0000-7000-000009000000}"/>
    <hyperlink ref="M8:M9" location="'AUGUST 2022'!A108" display="NIFTY FUTURE" xr:uid="{00000000-0004-0000-7000-00000A000000}"/>
    <hyperlink ref="M4:M5" location="'AUGUST 2022'!A1" display="CASH" xr:uid="{00000000-0004-0000-7000-00000B000000}"/>
    <hyperlink ref="M14:M15" location="'AUGUST 2022'!A201" display="B.NIFTY OPTION" xr:uid="{00000000-0004-0000-7000-00000C000000}"/>
    <hyperlink ref="M16:M17" location="'AUGUST 2022'!A216" display="STOCK OPTION" xr:uid="{00000000-0004-0000-7000-00000D000000}"/>
    <hyperlink ref="B52" r:id="rId7" xr:uid="{00000000-0004-0000-7000-00000E000000}"/>
  </hyperlinks>
  <pageMargins left="0" right="0" top="0" bottom="0" header="0" footer="0"/>
  <pageSetup scale="95" orientation="portrait" r:id="rId8"/>
  <drawing r:id="rId9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W245"/>
  <sheetViews>
    <sheetView topLeftCell="A40" zoomScaleNormal="100" workbookViewId="0">
      <selection activeCell="I49" sqref="I49:J4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3904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36</v>
      </c>
      <c r="P4" s="386">
        <f>W52</f>
        <v>7</v>
      </c>
      <c r="Q4" s="387">
        <f>N4-O4-P4</f>
        <v>1</v>
      </c>
      <c r="R4" s="380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44805</v>
      </c>
      <c r="D6" s="158" t="s">
        <v>9</v>
      </c>
      <c r="E6" s="158" t="s">
        <v>3444</v>
      </c>
      <c r="F6" s="230">
        <v>199</v>
      </c>
      <c r="G6" s="222">
        <v>201</v>
      </c>
      <c r="H6" s="222">
        <f>201-199</f>
        <v>2</v>
      </c>
      <c r="I6" s="207">
        <f t="shared" ref="I6:I7" si="0">300000/F6</f>
        <v>1507.537688442211</v>
      </c>
      <c r="J6" s="161">
        <f t="shared" ref="J6:J7" si="1">H6*I6</f>
        <v>3015.075376884422</v>
      </c>
      <c r="K6" s="153"/>
      <c r="M6" s="394" t="s">
        <v>450</v>
      </c>
      <c r="N6" s="344">
        <f>COUNT(C60:C85)</f>
        <v>26</v>
      </c>
      <c r="O6" s="346">
        <f>V86</f>
        <v>21</v>
      </c>
      <c r="P6" s="346">
        <f>W86</f>
        <v>2</v>
      </c>
      <c r="Q6" s="374">
        <f>N6-O6-P6</f>
        <v>3</v>
      </c>
      <c r="R6" s="376">
        <f t="shared" ref="R6" si="2">O6/N6</f>
        <v>0.80769230769230771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44805</v>
      </c>
      <c r="D7" s="161" t="s">
        <v>9</v>
      </c>
      <c r="E7" s="161" t="s">
        <v>19</v>
      </c>
      <c r="F7" s="222">
        <v>534</v>
      </c>
      <c r="G7" s="231">
        <v>540</v>
      </c>
      <c r="H7" s="255">
        <f>540-534</f>
        <v>6</v>
      </c>
      <c r="I7" s="207">
        <f t="shared" si="0"/>
        <v>561.79775280898878</v>
      </c>
      <c r="J7" s="161">
        <f t="shared" si="1"/>
        <v>3370.7865168539329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44806</v>
      </c>
      <c r="D8" s="161" t="s">
        <v>8</v>
      </c>
      <c r="E8" s="161" t="s">
        <v>275</v>
      </c>
      <c r="F8" s="222">
        <v>328</v>
      </c>
      <c r="G8" s="222">
        <v>326.74</v>
      </c>
      <c r="H8" s="222">
        <f>328-326.74</f>
        <v>1.2599999999999909</v>
      </c>
      <c r="I8" s="207">
        <f t="shared" ref="I8:I22" si="6">300000/F8</f>
        <v>914.63414634146341</v>
      </c>
      <c r="J8" s="161">
        <f t="shared" ref="J8:J22" si="7">H8*I8</f>
        <v>1152.4390243902355</v>
      </c>
      <c r="K8" s="153"/>
      <c r="M8" s="394" t="s">
        <v>451</v>
      </c>
      <c r="N8" s="344">
        <f>COUNT(C94:C116)</f>
        <v>22</v>
      </c>
      <c r="O8" s="346">
        <f>V117</f>
        <v>22</v>
      </c>
      <c r="P8" s="346">
        <f>W117</f>
        <v>0</v>
      </c>
      <c r="Q8" s="374">
        <f>N8-O8-P8</f>
        <v>0</v>
      </c>
      <c r="R8" s="376">
        <f t="shared" ref="R8" si="8">O8/N8</f>
        <v>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44806</v>
      </c>
      <c r="D9" s="161" t="s">
        <v>8</v>
      </c>
      <c r="E9" s="161" t="s">
        <v>58</v>
      </c>
      <c r="F9" s="222">
        <v>745</v>
      </c>
      <c r="G9" s="231">
        <v>740.25</v>
      </c>
      <c r="H9" s="255">
        <f>745-740.25</f>
        <v>4.75</v>
      </c>
      <c r="I9" s="207">
        <f t="shared" si="6"/>
        <v>402.68456375838929</v>
      </c>
      <c r="J9" s="161">
        <f t="shared" si="7"/>
        <v>1912.7516778523491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44809</v>
      </c>
      <c r="D10" s="161" t="s">
        <v>9</v>
      </c>
      <c r="E10" s="161" t="s">
        <v>371</v>
      </c>
      <c r="F10" s="222">
        <v>216</v>
      </c>
      <c r="G10" s="222">
        <v>217</v>
      </c>
      <c r="H10" s="222">
        <v>1</v>
      </c>
      <c r="I10" s="207">
        <f t="shared" si="6"/>
        <v>1388.8888888888889</v>
      </c>
      <c r="J10" s="161">
        <f t="shared" si="7"/>
        <v>1388.8888888888889</v>
      </c>
      <c r="K10" s="153"/>
      <c r="M10" s="394" t="s">
        <v>1176</v>
      </c>
      <c r="N10" s="344">
        <f>COUNT(C125:C149)</f>
        <v>23</v>
      </c>
      <c r="O10" s="346">
        <f>V150</f>
        <v>19</v>
      </c>
      <c r="P10" s="346">
        <f>W150</f>
        <v>4</v>
      </c>
      <c r="Q10" s="374">
        <f>N10-O10-P10</f>
        <v>0</v>
      </c>
      <c r="R10" s="376">
        <f t="shared" ref="R10:R16" si="9">O10/N10</f>
        <v>0.82608695652173914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44809</v>
      </c>
      <c r="D11" s="161" t="s">
        <v>9</v>
      </c>
      <c r="E11" s="161" t="s">
        <v>365</v>
      </c>
      <c r="F11" s="222">
        <v>670</v>
      </c>
      <c r="G11" s="222">
        <v>680</v>
      </c>
      <c r="H11" s="255">
        <v>10</v>
      </c>
      <c r="I11" s="207">
        <f t="shared" si="6"/>
        <v>447.76119402985074</v>
      </c>
      <c r="J11" s="161">
        <f t="shared" si="7"/>
        <v>4477.6119402985078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44810</v>
      </c>
      <c r="D12" s="161" t="s">
        <v>9</v>
      </c>
      <c r="E12" s="161" t="s">
        <v>85</v>
      </c>
      <c r="F12" s="222">
        <v>750</v>
      </c>
      <c r="G12" s="222">
        <v>760</v>
      </c>
      <c r="H12" s="222">
        <v>10</v>
      </c>
      <c r="I12" s="207">
        <f t="shared" si="6"/>
        <v>400</v>
      </c>
      <c r="J12" s="161">
        <f t="shared" si="7"/>
        <v>4000</v>
      </c>
      <c r="K12" s="153"/>
      <c r="M12" s="394" t="s">
        <v>41</v>
      </c>
      <c r="N12" s="344">
        <f>COUNT(C158:C180)</f>
        <v>22</v>
      </c>
      <c r="O12" s="346">
        <f>V181</f>
        <v>20</v>
      </c>
      <c r="P12" s="346">
        <f>W181</f>
        <v>2</v>
      </c>
      <c r="Q12" s="374">
        <f t="shared" ref="Q12" si="10">N12-O12-P12</f>
        <v>0</v>
      </c>
      <c r="R12" s="376">
        <f t="shared" si="9"/>
        <v>0.90909090909090906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44810</v>
      </c>
      <c r="D13" s="161" t="s">
        <v>8</v>
      </c>
      <c r="E13" s="161" t="s">
        <v>834</v>
      </c>
      <c r="F13" s="222">
        <v>259</v>
      </c>
      <c r="G13" s="222">
        <v>262</v>
      </c>
      <c r="H13" s="255">
        <v>-3</v>
      </c>
      <c r="I13" s="207">
        <f t="shared" si="6"/>
        <v>1158.3011583011582</v>
      </c>
      <c r="J13" s="161">
        <f t="shared" si="7"/>
        <v>-3474.9034749034745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44811</v>
      </c>
      <c r="D14" s="161" t="s">
        <v>9</v>
      </c>
      <c r="E14" s="161" t="s">
        <v>163</v>
      </c>
      <c r="F14" s="222">
        <v>217.5</v>
      </c>
      <c r="G14" s="222">
        <v>218.8</v>
      </c>
      <c r="H14" s="222">
        <f>218.8-217.5</f>
        <v>1.3000000000000114</v>
      </c>
      <c r="I14" s="207">
        <f t="shared" si="6"/>
        <v>1379.3103448275863</v>
      </c>
      <c r="J14" s="161">
        <f t="shared" si="7"/>
        <v>1793.1034482758778</v>
      </c>
      <c r="K14" s="153"/>
      <c r="M14" s="394" t="s">
        <v>1175</v>
      </c>
      <c r="N14" s="344">
        <f>COUNT(C189:C211)</f>
        <v>22</v>
      </c>
      <c r="O14" s="346">
        <f>V212</f>
        <v>19</v>
      </c>
      <c r="P14" s="346">
        <f>W212</f>
        <v>3</v>
      </c>
      <c r="Q14" s="374">
        <f t="shared" ref="Q14" si="11">N14-O14-P14</f>
        <v>0</v>
      </c>
      <c r="R14" s="376">
        <f t="shared" si="9"/>
        <v>0.86363636363636365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44811</v>
      </c>
      <c r="D15" s="161" t="s">
        <v>8</v>
      </c>
      <c r="E15" s="161" t="s">
        <v>58</v>
      </c>
      <c r="F15" s="222">
        <v>740</v>
      </c>
      <c r="G15" s="222">
        <v>747</v>
      </c>
      <c r="H15" s="222">
        <v>-7</v>
      </c>
      <c r="I15" s="207">
        <f t="shared" si="6"/>
        <v>405.40540540540542</v>
      </c>
      <c r="J15" s="161">
        <f t="shared" si="7"/>
        <v>-2837.8378378378379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44812</v>
      </c>
      <c r="D16" s="161" t="s">
        <v>8</v>
      </c>
      <c r="E16" s="161" t="s">
        <v>112</v>
      </c>
      <c r="F16" s="222">
        <v>260</v>
      </c>
      <c r="G16" s="222">
        <v>256</v>
      </c>
      <c r="H16" s="222">
        <f>260-256</f>
        <v>4</v>
      </c>
      <c r="I16" s="207">
        <f t="shared" si="6"/>
        <v>1153.8461538461538</v>
      </c>
      <c r="J16" s="161">
        <f t="shared" si="7"/>
        <v>4615.3846153846152</v>
      </c>
      <c r="K16" s="153"/>
      <c r="L16" s="25" t="s">
        <v>2008</v>
      </c>
      <c r="M16" s="394" t="s">
        <v>1090</v>
      </c>
      <c r="N16" s="344">
        <f>COUNT(C220:C243)</f>
        <v>22</v>
      </c>
      <c r="O16" s="346">
        <f>V244</f>
        <v>18</v>
      </c>
      <c r="P16" s="346">
        <f>W244</f>
        <v>4</v>
      </c>
      <c r="Q16" s="374">
        <v>0</v>
      </c>
      <c r="R16" s="376">
        <f t="shared" si="9"/>
        <v>0.81818181818181823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44812</v>
      </c>
      <c r="D17" s="161" t="s">
        <v>8</v>
      </c>
      <c r="E17" s="161" t="s">
        <v>862</v>
      </c>
      <c r="F17" s="222">
        <v>739</v>
      </c>
      <c r="G17" s="222">
        <v>734</v>
      </c>
      <c r="H17" s="222">
        <v>5</v>
      </c>
      <c r="I17" s="207">
        <f t="shared" si="6"/>
        <v>405.95399188092017</v>
      </c>
      <c r="J17" s="161">
        <f t="shared" si="7"/>
        <v>2029.7699594046007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44813</v>
      </c>
      <c r="D18" s="161" t="s">
        <v>9</v>
      </c>
      <c r="E18" s="161" t="s">
        <v>19</v>
      </c>
      <c r="F18" s="222">
        <v>552</v>
      </c>
      <c r="G18" s="222">
        <v>557</v>
      </c>
      <c r="H18" s="222">
        <v>5</v>
      </c>
      <c r="I18" s="207">
        <f t="shared" si="6"/>
        <v>543.47826086956525</v>
      </c>
      <c r="J18" s="161">
        <f t="shared" si="7"/>
        <v>2717.391304347826</v>
      </c>
      <c r="K18" s="153"/>
      <c r="M18" s="392" t="s">
        <v>946</v>
      </c>
      <c r="N18" s="378">
        <f>SUM(N4:N17)</f>
        <v>181</v>
      </c>
      <c r="O18" s="378">
        <f t="shared" ref="O18:Q18" si="12">SUM(O4:O17)</f>
        <v>155</v>
      </c>
      <c r="P18" s="378">
        <f t="shared" si="12"/>
        <v>22</v>
      </c>
      <c r="Q18" s="378">
        <f t="shared" si="12"/>
        <v>4</v>
      </c>
      <c r="R18" s="380">
        <f t="shared" ref="R18" si="13">O18/N18</f>
        <v>0.85635359116022103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44813</v>
      </c>
      <c r="D19" s="161" t="s">
        <v>9</v>
      </c>
      <c r="E19" s="161" t="s">
        <v>3650</v>
      </c>
      <c r="F19" s="222">
        <v>245</v>
      </c>
      <c r="G19" s="222">
        <v>252</v>
      </c>
      <c r="H19" s="222">
        <v>7</v>
      </c>
      <c r="I19" s="207">
        <f t="shared" si="6"/>
        <v>1224.4897959183672</v>
      </c>
      <c r="J19" s="161">
        <f t="shared" si="7"/>
        <v>8571.4285714285706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44816</v>
      </c>
      <c r="D20" s="161" t="s">
        <v>9</v>
      </c>
      <c r="E20" s="161" t="s">
        <v>3919</v>
      </c>
      <c r="F20" s="222">
        <v>210</v>
      </c>
      <c r="G20" s="222">
        <v>210</v>
      </c>
      <c r="H20" s="222">
        <v>0</v>
      </c>
      <c r="I20" s="207">
        <f t="shared" si="6"/>
        <v>1428.5714285714287</v>
      </c>
      <c r="J20" s="161">
        <f t="shared" si="7"/>
        <v>0</v>
      </c>
      <c r="K20" s="153"/>
      <c r="M20" s="316" t="s">
        <v>2253</v>
      </c>
      <c r="N20" s="317"/>
      <c r="O20" s="318"/>
      <c r="P20" s="325">
        <f>R18</f>
        <v>0.85635359116022103</v>
      </c>
      <c r="Q20" s="326"/>
      <c r="R20" s="327"/>
      <c r="V20" s="25">
        <f t="shared" si="3"/>
        <v>0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44816</v>
      </c>
      <c r="D21" s="161" t="s">
        <v>9</v>
      </c>
      <c r="E21" s="161" t="s">
        <v>58</v>
      </c>
      <c r="F21" s="222">
        <v>790</v>
      </c>
      <c r="G21" s="222">
        <v>802</v>
      </c>
      <c r="H21" s="222">
        <f>802-790</f>
        <v>12</v>
      </c>
      <c r="I21" s="207">
        <f t="shared" si="6"/>
        <v>379.74683544303798</v>
      </c>
      <c r="J21" s="161">
        <f t="shared" si="7"/>
        <v>4556.9620253164558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44817</v>
      </c>
      <c r="D22" s="161" t="s">
        <v>8</v>
      </c>
      <c r="E22" s="161" t="s">
        <v>2914</v>
      </c>
      <c r="F22" s="222">
        <v>164.5</v>
      </c>
      <c r="G22" s="222">
        <v>163.65</v>
      </c>
      <c r="H22" s="222">
        <f>164.5-163.65</f>
        <v>0.84999999999999432</v>
      </c>
      <c r="I22" s="207">
        <f t="shared" si="6"/>
        <v>1823.70820668693</v>
      </c>
      <c r="J22" s="161">
        <f t="shared" si="7"/>
        <v>1550.1519756838802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44817</v>
      </c>
      <c r="D23" s="161" t="s">
        <v>8</v>
      </c>
      <c r="E23" s="161" t="s">
        <v>3444</v>
      </c>
      <c r="F23" s="222">
        <v>203.5</v>
      </c>
      <c r="G23" s="222">
        <v>201</v>
      </c>
      <c r="H23" s="222">
        <f>203.5-201</f>
        <v>2.5</v>
      </c>
      <c r="I23" s="207">
        <f t="shared" ref="I23:I49" si="14">300000/F23</f>
        <v>1474.2014742014742</v>
      </c>
      <c r="J23" s="161">
        <f t="shared" ref="J23:J49" si="15">H23*I23</f>
        <v>3685.5036855036856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44818</v>
      </c>
      <c r="D24" s="161" t="s">
        <v>9</v>
      </c>
      <c r="E24" s="161" t="s">
        <v>146</v>
      </c>
      <c r="F24" s="222">
        <v>171</v>
      </c>
      <c r="G24" s="222">
        <v>173</v>
      </c>
      <c r="H24" s="222">
        <v>2</v>
      </c>
      <c r="I24" s="207">
        <f t="shared" si="14"/>
        <v>1754.3859649122808</v>
      </c>
      <c r="J24" s="161">
        <f t="shared" si="15"/>
        <v>3508.7719298245615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44818</v>
      </c>
      <c r="D25" s="161" t="s">
        <v>9</v>
      </c>
      <c r="E25" s="161" t="s">
        <v>433</v>
      </c>
      <c r="F25" s="222">
        <v>428</v>
      </c>
      <c r="G25" s="222">
        <v>431</v>
      </c>
      <c r="H25" s="222">
        <v>3</v>
      </c>
      <c r="I25" s="207">
        <f t="shared" si="14"/>
        <v>700.93457943925239</v>
      </c>
      <c r="J25" s="161">
        <f t="shared" si="15"/>
        <v>2102.8037383177571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44819</v>
      </c>
      <c r="D26" s="161" t="s">
        <v>9</v>
      </c>
      <c r="E26" s="161" t="s">
        <v>2203</v>
      </c>
      <c r="F26" s="222">
        <v>883</v>
      </c>
      <c r="G26" s="222">
        <v>890</v>
      </c>
      <c r="H26" s="222">
        <f>890-883</f>
        <v>7</v>
      </c>
      <c r="I26" s="207">
        <f t="shared" si="14"/>
        <v>339.75084937712342</v>
      </c>
      <c r="J26" s="161">
        <f t="shared" si="15"/>
        <v>2378.255945639864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44819</v>
      </c>
      <c r="D27" s="161" t="s">
        <v>9</v>
      </c>
      <c r="E27" s="161" t="s">
        <v>49</v>
      </c>
      <c r="F27" s="222">
        <v>637</v>
      </c>
      <c r="G27" s="222">
        <v>630</v>
      </c>
      <c r="H27" s="222">
        <v>-7</v>
      </c>
      <c r="I27" s="207">
        <f t="shared" si="14"/>
        <v>470.95761381475666</v>
      </c>
      <c r="J27" s="161">
        <f t="shared" si="15"/>
        <v>-3296.7032967032965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44820</v>
      </c>
      <c r="D28" s="161" t="s">
        <v>9</v>
      </c>
      <c r="E28" s="161" t="s">
        <v>111</v>
      </c>
      <c r="F28" s="222">
        <v>300</v>
      </c>
      <c r="G28" s="222">
        <v>295</v>
      </c>
      <c r="H28" s="222">
        <v>-5</v>
      </c>
      <c r="I28" s="207">
        <f t="shared" si="14"/>
        <v>1000</v>
      </c>
      <c r="J28" s="161">
        <f t="shared" si="15"/>
        <v>-5000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44820</v>
      </c>
      <c r="D29" s="161" t="s">
        <v>8</v>
      </c>
      <c r="E29" s="161" t="s">
        <v>78</v>
      </c>
      <c r="F29" s="222">
        <v>1935</v>
      </c>
      <c r="G29" s="222">
        <v>1915</v>
      </c>
      <c r="H29" s="222">
        <v>20</v>
      </c>
      <c r="I29" s="207">
        <f t="shared" si="14"/>
        <v>155.03875968992247</v>
      </c>
      <c r="J29" s="161">
        <f t="shared" si="15"/>
        <v>3100.7751937984494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44823</v>
      </c>
      <c r="D30" s="161" t="s">
        <v>9</v>
      </c>
      <c r="E30" s="161" t="s">
        <v>46</v>
      </c>
      <c r="F30" s="222">
        <v>133.5</v>
      </c>
      <c r="G30" s="222">
        <v>131.5</v>
      </c>
      <c r="H30" s="222">
        <v>-2</v>
      </c>
      <c r="I30" s="207">
        <f t="shared" si="14"/>
        <v>2247.1910112359551</v>
      </c>
      <c r="J30" s="161">
        <f t="shared" si="15"/>
        <v>-4494.3820224719102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44823</v>
      </c>
      <c r="D31" s="161" t="s">
        <v>9</v>
      </c>
      <c r="E31" s="161" t="s">
        <v>3927</v>
      </c>
      <c r="F31" s="222">
        <v>2033</v>
      </c>
      <c r="G31" s="222">
        <v>2073</v>
      </c>
      <c r="H31" s="222">
        <v>40</v>
      </c>
      <c r="I31" s="207">
        <f t="shared" si="14"/>
        <v>147.56517461878997</v>
      </c>
      <c r="J31" s="161">
        <f t="shared" si="15"/>
        <v>5902.6069847515992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44824</v>
      </c>
      <c r="D32" s="161" t="s">
        <v>9</v>
      </c>
      <c r="E32" s="161" t="s">
        <v>78</v>
      </c>
      <c r="F32" s="222">
        <v>1950</v>
      </c>
      <c r="G32" s="222">
        <v>1945</v>
      </c>
      <c r="H32" s="222">
        <v>-5</v>
      </c>
      <c r="I32" s="207">
        <f t="shared" si="14"/>
        <v>153.84615384615384</v>
      </c>
      <c r="J32" s="161">
        <f t="shared" si="15"/>
        <v>-769.23076923076917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44824</v>
      </c>
      <c r="D33" s="161" t="s">
        <v>8</v>
      </c>
      <c r="E33" s="161" t="s">
        <v>19</v>
      </c>
      <c r="F33" s="222">
        <v>575</v>
      </c>
      <c r="G33" s="222">
        <v>573.20000000000005</v>
      </c>
      <c r="H33" s="222">
        <f>575-573.2</f>
        <v>1.7999999999999545</v>
      </c>
      <c r="I33" s="207">
        <f t="shared" si="14"/>
        <v>521.73913043478262</v>
      </c>
      <c r="J33" s="161">
        <f t="shared" si="15"/>
        <v>939.13043478258498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44825</v>
      </c>
      <c r="D34" s="161" t="s">
        <v>8</v>
      </c>
      <c r="E34" s="161" t="s">
        <v>3932</v>
      </c>
      <c r="F34" s="222">
        <v>505</v>
      </c>
      <c r="G34" s="222">
        <v>502</v>
      </c>
      <c r="H34" s="222">
        <v>3</v>
      </c>
      <c r="I34" s="207">
        <f t="shared" si="14"/>
        <v>594.05940594059405</v>
      </c>
      <c r="J34" s="161">
        <f t="shared" si="15"/>
        <v>1782.1782178217823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44825</v>
      </c>
      <c r="D35" s="161" t="s">
        <v>8</v>
      </c>
      <c r="E35" s="161" t="s">
        <v>982</v>
      </c>
      <c r="F35" s="222">
        <v>955</v>
      </c>
      <c r="G35" s="222">
        <v>935</v>
      </c>
      <c r="H35" s="222">
        <v>20</v>
      </c>
      <c r="I35" s="207">
        <f t="shared" si="14"/>
        <v>314.13612565445027</v>
      </c>
      <c r="J35" s="161">
        <f t="shared" si="15"/>
        <v>6282.7225130890056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44826</v>
      </c>
      <c r="D36" s="161" t="s">
        <v>9</v>
      </c>
      <c r="E36" s="161" t="s">
        <v>1916</v>
      </c>
      <c r="F36" s="222">
        <v>1540</v>
      </c>
      <c r="G36" s="222">
        <v>1550</v>
      </c>
      <c r="H36" s="222">
        <v>10</v>
      </c>
      <c r="I36" s="207">
        <f t="shared" si="14"/>
        <v>194.80519480519482</v>
      </c>
      <c r="J36" s="161">
        <f t="shared" si="15"/>
        <v>1948.0519480519481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44826</v>
      </c>
      <c r="D37" s="161" t="s">
        <v>9</v>
      </c>
      <c r="E37" s="161" t="s">
        <v>3936</v>
      </c>
      <c r="F37" s="222">
        <v>772</v>
      </c>
      <c r="G37" s="222">
        <v>781.4</v>
      </c>
      <c r="H37" s="222">
        <f>781.4-772</f>
        <v>9.3999999999999773</v>
      </c>
      <c r="I37" s="207">
        <f t="shared" si="14"/>
        <v>388.60103626943004</v>
      </c>
      <c r="J37" s="161">
        <f t="shared" si="15"/>
        <v>3652.8497409326337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44827</v>
      </c>
      <c r="D38" s="161" t="s">
        <v>9</v>
      </c>
      <c r="E38" s="161" t="s">
        <v>3334</v>
      </c>
      <c r="F38" s="222">
        <v>1915</v>
      </c>
      <c r="G38" s="222">
        <v>1919</v>
      </c>
      <c r="H38" s="222">
        <v>4</v>
      </c>
      <c r="I38" s="207">
        <f t="shared" si="14"/>
        <v>156.65796344647521</v>
      </c>
      <c r="J38" s="161">
        <f t="shared" si="15"/>
        <v>626.63185378590083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44827</v>
      </c>
      <c r="D39" s="161" t="s">
        <v>8</v>
      </c>
      <c r="E39" s="161" t="s">
        <v>3937</v>
      </c>
      <c r="F39" s="222">
        <v>2700</v>
      </c>
      <c r="G39" s="222">
        <v>2686</v>
      </c>
      <c r="H39" s="222">
        <f>2700-2686</f>
        <v>14</v>
      </c>
      <c r="I39" s="207">
        <f t="shared" si="14"/>
        <v>111.11111111111111</v>
      </c>
      <c r="J39" s="161">
        <f t="shared" si="15"/>
        <v>1555.5555555555557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44830</v>
      </c>
      <c r="D40" s="161" t="s">
        <v>9</v>
      </c>
      <c r="E40" s="161" t="s">
        <v>3938</v>
      </c>
      <c r="F40" s="222">
        <v>900</v>
      </c>
      <c r="G40" s="222">
        <v>915</v>
      </c>
      <c r="H40" s="222">
        <v>15</v>
      </c>
      <c r="I40" s="207">
        <f t="shared" si="14"/>
        <v>333.33333333333331</v>
      </c>
      <c r="J40" s="161">
        <f t="shared" si="15"/>
        <v>5000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44830</v>
      </c>
      <c r="D41" s="161" t="s">
        <v>9</v>
      </c>
      <c r="E41" s="161" t="s">
        <v>3717</v>
      </c>
      <c r="F41" s="222">
        <v>499</v>
      </c>
      <c r="G41" s="223">
        <v>504</v>
      </c>
      <c r="H41" s="222">
        <f>504-499</f>
        <v>5</v>
      </c>
      <c r="I41" s="207">
        <f t="shared" si="14"/>
        <v>601.20240480961922</v>
      </c>
      <c r="J41" s="161">
        <f t="shared" si="15"/>
        <v>3006.012024048096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44831</v>
      </c>
      <c r="D42" s="161" t="s">
        <v>9</v>
      </c>
      <c r="E42" s="161" t="s">
        <v>2563</v>
      </c>
      <c r="F42" s="222">
        <v>1838</v>
      </c>
      <c r="G42" s="222">
        <v>1868</v>
      </c>
      <c r="H42" s="222">
        <v>30</v>
      </c>
      <c r="I42" s="207">
        <f t="shared" si="14"/>
        <v>163.22089227421111</v>
      </c>
      <c r="J42" s="161">
        <f t="shared" si="15"/>
        <v>4896.6267682263333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44831</v>
      </c>
      <c r="D43" s="161" t="s">
        <v>8</v>
      </c>
      <c r="E43" s="161" t="s">
        <v>31</v>
      </c>
      <c r="F43" s="222">
        <v>2370</v>
      </c>
      <c r="G43" s="222">
        <v>2361</v>
      </c>
      <c r="H43" s="222">
        <v>9</v>
      </c>
      <c r="I43" s="207">
        <f t="shared" si="14"/>
        <v>126.58227848101266</v>
      </c>
      <c r="J43" s="161">
        <f t="shared" si="15"/>
        <v>1139.2405063291139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44832</v>
      </c>
      <c r="D44" s="161" t="s">
        <v>9</v>
      </c>
      <c r="E44" s="161" t="s">
        <v>2204</v>
      </c>
      <c r="F44" s="222">
        <v>1015</v>
      </c>
      <c r="G44" s="222">
        <v>1035</v>
      </c>
      <c r="H44" s="222">
        <v>20</v>
      </c>
      <c r="I44" s="207">
        <f t="shared" si="14"/>
        <v>295.56650246305418</v>
      </c>
      <c r="J44" s="161">
        <f t="shared" si="15"/>
        <v>5911.3300492610833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44832</v>
      </c>
      <c r="D45" s="161" t="s">
        <v>8</v>
      </c>
      <c r="E45" s="161" t="s">
        <v>146</v>
      </c>
      <c r="F45" s="222">
        <v>155.5</v>
      </c>
      <c r="G45" s="222">
        <v>157.5</v>
      </c>
      <c r="H45" s="222">
        <v>-2</v>
      </c>
      <c r="I45" s="207">
        <f t="shared" si="14"/>
        <v>1929.2604501607716</v>
      </c>
      <c r="J45" s="161">
        <f t="shared" si="15"/>
        <v>-3858.5209003215432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44833</v>
      </c>
      <c r="D46" s="161" t="s">
        <v>9</v>
      </c>
      <c r="E46" s="161" t="s">
        <v>1361</v>
      </c>
      <c r="F46" s="222">
        <v>910</v>
      </c>
      <c r="G46" s="222">
        <v>919</v>
      </c>
      <c r="H46" s="222">
        <v>9</v>
      </c>
      <c r="I46" s="207">
        <f t="shared" si="14"/>
        <v>329.67032967032969</v>
      </c>
      <c r="J46" s="161">
        <f t="shared" si="15"/>
        <v>2967.0329670329675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44833</v>
      </c>
      <c r="D47" s="161" t="s">
        <v>9</v>
      </c>
      <c r="E47" s="161" t="s">
        <v>3941</v>
      </c>
      <c r="F47" s="222">
        <v>170</v>
      </c>
      <c r="G47" s="222">
        <v>172</v>
      </c>
      <c r="H47" s="222">
        <v>2</v>
      </c>
      <c r="I47" s="207">
        <f t="shared" si="14"/>
        <v>1764.7058823529412</v>
      </c>
      <c r="J47" s="161">
        <f t="shared" si="15"/>
        <v>3529.4117647058824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44834</v>
      </c>
      <c r="D48" s="161" t="s">
        <v>9</v>
      </c>
      <c r="E48" s="161" t="s">
        <v>133</v>
      </c>
      <c r="F48" s="222">
        <v>670</v>
      </c>
      <c r="G48" s="222">
        <v>681</v>
      </c>
      <c r="H48" s="222">
        <v>11</v>
      </c>
      <c r="I48" s="207">
        <f t="shared" si="14"/>
        <v>447.76119402985074</v>
      </c>
      <c r="J48" s="161">
        <f t="shared" si="15"/>
        <v>4925.373134328358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44834</v>
      </c>
      <c r="D49" s="161" t="s">
        <v>8</v>
      </c>
      <c r="E49" s="161" t="s">
        <v>19</v>
      </c>
      <c r="F49" s="222">
        <v>518</v>
      </c>
      <c r="G49" s="222">
        <v>523</v>
      </c>
      <c r="H49" s="222">
        <f>523-518</f>
        <v>5</v>
      </c>
      <c r="I49" s="207">
        <f t="shared" si="14"/>
        <v>579.15057915057912</v>
      </c>
      <c r="J49" s="161">
        <f t="shared" si="15"/>
        <v>2895.7528957528957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93156.784875081401</v>
      </c>
      <c r="K52" s="153"/>
      <c r="V52" s="25">
        <f>SUM(V6:V51)</f>
        <v>36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3905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44805</v>
      </c>
      <c r="D60" s="161" t="s">
        <v>9</v>
      </c>
      <c r="E60" s="161" t="s">
        <v>299</v>
      </c>
      <c r="F60" s="222">
        <v>3220</v>
      </c>
      <c r="G60" s="222">
        <v>3260</v>
      </c>
      <c r="H60" s="222">
        <v>40</v>
      </c>
      <c r="I60" s="207">
        <v>500</v>
      </c>
      <c r="J60" s="241">
        <f t="shared" ref="J60:J85" si="16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44806</v>
      </c>
      <c r="D61" s="161" t="s">
        <v>8</v>
      </c>
      <c r="E61" s="161" t="s">
        <v>552</v>
      </c>
      <c r="F61" s="222">
        <v>1110</v>
      </c>
      <c r="G61" s="222">
        <v>1100.55</v>
      </c>
      <c r="H61" s="222">
        <f>1110-1100.55</f>
        <v>9.4500000000000455</v>
      </c>
      <c r="I61" s="207">
        <v>900</v>
      </c>
      <c r="J61" s="242">
        <f t="shared" si="16"/>
        <v>8505.00000000004</v>
      </c>
      <c r="K61" s="153"/>
      <c r="O61" s="25" t="s">
        <v>2008</v>
      </c>
      <c r="V61" s="25">
        <f t="shared" ref="V61:V85" si="17">IF($J61&gt;0,1,0)</f>
        <v>1</v>
      </c>
      <c r="W61" s="25">
        <f t="shared" ref="W61:W85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44809</v>
      </c>
      <c r="D62" s="161" t="s">
        <v>9</v>
      </c>
      <c r="E62" s="161" t="s">
        <v>129</v>
      </c>
      <c r="F62" s="222">
        <v>2460</v>
      </c>
      <c r="G62" s="222">
        <v>2472</v>
      </c>
      <c r="H62" s="222">
        <v>12</v>
      </c>
      <c r="I62" s="207">
        <v>300</v>
      </c>
      <c r="J62" s="242">
        <f t="shared" si="16"/>
        <v>3600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44810</v>
      </c>
      <c r="D63" s="161" t="s">
        <v>9</v>
      </c>
      <c r="E63" s="161" t="s">
        <v>50</v>
      </c>
      <c r="F63" s="222">
        <v>889</v>
      </c>
      <c r="G63" s="222">
        <v>892.5</v>
      </c>
      <c r="H63" s="222">
        <f>892.5-889</f>
        <v>3.5</v>
      </c>
      <c r="I63" s="207">
        <v>700</v>
      </c>
      <c r="J63" s="242">
        <f>I63*H63</f>
        <v>2450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44811</v>
      </c>
      <c r="D64" s="161" t="s">
        <v>9</v>
      </c>
      <c r="E64" s="161" t="s">
        <v>299</v>
      </c>
      <c r="F64" s="222">
        <v>3460</v>
      </c>
      <c r="G64" s="222">
        <v>3477.5</v>
      </c>
      <c r="H64" s="222">
        <v>17.5</v>
      </c>
      <c r="I64" s="207">
        <v>500</v>
      </c>
      <c r="J64" s="242">
        <f>I64*H64</f>
        <v>8750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44812</v>
      </c>
      <c r="D65" s="161" t="s">
        <v>9</v>
      </c>
      <c r="E65" s="161" t="s">
        <v>85</v>
      </c>
      <c r="F65" s="222">
        <v>758</v>
      </c>
      <c r="G65" s="222">
        <v>772</v>
      </c>
      <c r="H65" s="222">
        <f>772-758</f>
        <v>14</v>
      </c>
      <c r="I65" s="207">
        <v>950</v>
      </c>
      <c r="J65" s="242">
        <f>I65*H65</f>
        <v>13300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44813</v>
      </c>
      <c r="D66" s="161" t="s">
        <v>9</v>
      </c>
      <c r="E66" s="161" t="s">
        <v>90</v>
      </c>
      <c r="F66" s="222">
        <v>1098</v>
      </c>
      <c r="G66" s="222">
        <v>1118</v>
      </c>
      <c r="H66" s="222">
        <v>20</v>
      </c>
      <c r="I66" s="207">
        <v>600</v>
      </c>
      <c r="J66" s="242">
        <f t="shared" si="16"/>
        <v>12000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44816</v>
      </c>
      <c r="D67" s="161" t="s">
        <v>9</v>
      </c>
      <c r="E67" s="161" t="s">
        <v>3886</v>
      </c>
      <c r="F67" s="222">
        <v>3810</v>
      </c>
      <c r="G67" s="222">
        <v>3840</v>
      </c>
      <c r="H67" s="222">
        <v>30</v>
      </c>
      <c r="I67" s="207">
        <v>200</v>
      </c>
      <c r="J67" s="242">
        <f>I67*H67</f>
        <v>6000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44817</v>
      </c>
      <c r="D68" s="161" t="s">
        <v>9</v>
      </c>
      <c r="E68" s="161" t="s">
        <v>16</v>
      </c>
      <c r="F68" s="222">
        <v>2715</v>
      </c>
      <c r="G68" s="222">
        <v>2724</v>
      </c>
      <c r="H68" s="222">
        <f>2724-2715</f>
        <v>9</v>
      </c>
      <c r="I68" s="207">
        <v>375</v>
      </c>
      <c r="J68" s="242">
        <f>I68*H68</f>
        <v>3375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44818</v>
      </c>
      <c r="D69" s="161" t="s">
        <v>9</v>
      </c>
      <c r="E69" s="161" t="s">
        <v>94</v>
      </c>
      <c r="F69" s="222">
        <v>1505</v>
      </c>
      <c r="G69" s="222">
        <v>1535</v>
      </c>
      <c r="H69" s="222">
        <f>1535-1505</f>
        <v>30</v>
      </c>
      <c r="I69" s="207">
        <v>550</v>
      </c>
      <c r="J69" s="242">
        <f>I69*H69</f>
        <v>16500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44819</v>
      </c>
      <c r="D70" s="161" t="s">
        <v>8</v>
      </c>
      <c r="E70" s="161" t="s">
        <v>3923</v>
      </c>
      <c r="F70" s="161">
        <v>258</v>
      </c>
      <c r="G70" s="222">
        <v>256</v>
      </c>
      <c r="H70" s="222">
        <v>2</v>
      </c>
      <c r="I70" s="207">
        <v>2900</v>
      </c>
      <c r="J70" s="242">
        <f t="shared" si="16"/>
        <v>5800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44820</v>
      </c>
      <c r="D71" s="161" t="s">
        <v>9</v>
      </c>
      <c r="E71" s="161" t="s">
        <v>122</v>
      </c>
      <c r="F71" s="222">
        <v>1900</v>
      </c>
      <c r="G71" s="222">
        <v>1905</v>
      </c>
      <c r="H71" s="222">
        <v>5</v>
      </c>
      <c r="I71" s="207">
        <v>275</v>
      </c>
      <c r="J71" s="242">
        <f t="shared" si="16"/>
        <v>1375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44820</v>
      </c>
      <c r="D72" s="161" t="s">
        <v>8</v>
      </c>
      <c r="E72" s="161" t="s">
        <v>3651</v>
      </c>
      <c r="F72" s="222">
        <v>1715</v>
      </c>
      <c r="G72" s="222">
        <v>1685</v>
      </c>
      <c r="H72" s="222">
        <f>1715-1685</f>
        <v>30</v>
      </c>
      <c r="I72" s="207">
        <v>500</v>
      </c>
      <c r="J72" s="242">
        <f t="shared" si="16"/>
        <v>15000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44820</v>
      </c>
      <c r="D73" s="161" t="s">
        <v>8</v>
      </c>
      <c r="E73" s="161" t="s">
        <v>361</v>
      </c>
      <c r="F73" s="223">
        <v>289</v>
      </c>
      <c r="G73" s="222">
        <v>282</v>
      </c>
      <c r="H73" s="255">
        <f>289-282</f>
        <v>7</v>
      </c>
      <c r="I73" s="207">
        <v>3500</v>
      </c>
      <c r="J73" s="242">
        <f t="shared" si="16"/>
        <v>24500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44823</v>
      </c>
      <c r="D74" s="161" t="s">
        <v>9</v>
      </c>
      <c r="E74" s="161" t="s">
        <v>2944</v>
      </c>
      <c r="F74" s="222">
        <v>2020</v>
      </c>
      <c r="G74" s="222">
        <v>2060</v>
      </c>
      <c r="H74" s="222">
        <v>40</v>
      </c>
      <c r="I74" s="207">
        <v>550</v>
      </c>
      <c r="J74" s="242">
        <f t="shared" si="16"/>
        <v>22000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44824</v>
      </c>
      <c r="D75" s="161" t="s">
        <v>9</v>
      </c>
      <c r="E75" s="161" t="s">
        <v>3886</v>
      </c>
      <c r="F75" s="223">
        <v>3390</v>
      </c>
      <c r="G75" s="222">
        <v>3450</v>
      </c>
      <c r="H75" s="255">
        <f>3450-3390</f>
        <v>60</v>
      </c>
      <c r="I75" s="207">
        <v>200</v>
      </c>
      <c r="J75" s="242">
        <f t="shared" si="16"/>
        <v>12000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44825</v>
      </c>
      <c r="D76" s="161" t="s">
        <v>9</v>
      </c>
      <c r="E76" s="161" t="s">
        <v>98</v>
      </c>
      <c r="F76" s="222">
        <v>2800</v>
      </c>
      <c r="G76" s="222">
        <v>2755</v>
      </c>
      <c r="H76" s="222">
        <v>-45</v>
      </c>
      <c r="I76" s="207">
        <v>300</v>
      </c>
      <c r="J76" s="242">
        <f t="shared" si="16"/>
        <v>-13500</v>
      </c>
      <c r="K76" s="153"/>
      <c r="V76" s="25">
        <f t="shared" si="17"/>
        <v>0</v>
      </c>
      <c r="W76" s="25">
        <f t="shared" si="18"/>
        <v>1</v>
      </c>
    </row>
    <row r="77" spans="1:23" x14ac:dyDescent="0.3">
      <c r="A77" s="147"/>
      <c r="B77" s="205">
        <f t="shared" si="19"/>
        <v>18</v>
      </c>
      <c r="C77" s="206">
        <v>44825</v>
      </c>
      <c r="D77" s="161" t="s">
        <v>417</v>
      </c>
      <c r="E77" s="161" t="s">
        <v>433</v>
      </c>
      <c r="F77" s="222">
        <v>424</v>
      </c>
      <c r="G77" s="222">
        <v>420</v>
      </c>
      <c r="H77" s="222">
        <v>4</v>
      </c>
      <c r="I77" s="207">
        <v>1375</v>
      </c>
      <c r="J77" s="242">
        <f t="shared" si="16"/>
        <v>5500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44826</v>
      </c>
      <c r="D78" s="161" t="s">
        <v>9</v>
      </c>
      <c r="E78" s="161" t="s">
        <v>299</v>
      </c>
      <c r="F78" s="223">
        <v>3670</v>
      </c>
      <c r="G78" s="222">
        <v>3730</v>
      </c>
      <c r="H78" s="255">
        <v>40</v>
      </c>
      <c r="I78" s="207">
        <v>500</v>
      </c>
      <c r="J78" s="242">
        <f t="shared" si="16"/>
        <v>20000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44827</v>
      </c>
      <c r="D79" s="161" t="s">
        <v>9</v>
      </c>
      <c r="E79" s="161" t="s">
        <v>299</v>
      </c>
      <c r="F79" s="222">
        <v>3680</v>
      </c>
      <c r="G79" s="222">
        <v>3720</v>
      </c>
      <c r="H79" s="222">
        <v>40</v>
      </c>
      <c r="I79" s="207">
        <v>500</v>
      </c>
      <c r="J79" s="242">
        <f t="shared" si="16"/>
        <v>20000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44830</v>
      </c>
      <c r="D80" s="161" t="s">
        <v>9</v>
      </c>
      <c r="E80" s="161" t="s">
        <v>50</v>
      </c>
      <c r="F80" s="222">
        <v>922</v>
      </c>
      <c r="G80" s="222">
        <v>912</v>
      </c>
      <c r="H80" s="222">
        <v>-10</v>
      </c>
      <c r="I80" s="207">
        <v>700</v>
      </c>
      <c r="J80" s="242">
        <f t="shared" si="16"/>
        <v>-7000</v>
      </c>
      <c r="K80" s="153"/>
      <c r="V80" s="25">
        <f t="shared" si="17"/>
        <v>0</v>
      </c>
      <c r="W80" s="25">
        <f t="shared" si="18"/>
        <v>1</v>
      </c>
    </row>
    <row r="81" spans="1:23" x14ac:dyDescent="0.3">
      <c r="A81" s="147"/>
      <c r="B81" s="205">
        <f t="shared" si="19"/>
        <v>22</v>
      </c>
      <c r="C81" s="206">
        <v>44831</v>
      </c>
      <c r="D81" s="161" t="s">
        <v>9</v>
      </c>
      <c r="E81" s="161" t="s">
        <v>3886</v>
      </c>
      <c r="F81" s="222">
        <v>3500</v>
      </c>
      <c r="G81" s="222">
        <v>3512</v>
      </c>
      <c r="H81" s="222">
        <v>12</v>
      </c>
      <c r="I81" s="207">
        <v>200</v>
      </c>
      <c r="J81" s="242">
        <f t="shared" si="16"/>
        <v>2400</v>
      </c>
      <c r="K81" s="153"/>
    </row>
    <row r="82" spans="1:23" x14ac:dyDescent="0.3">
      <c r="A82" s="147"/>
      <c r="B82" s="205">
        <f t="shared" si="19"/>
        <v>23</v>
      </c>
      <c r="C82" s="206">
        <v>44832</v>
      </c>
      <c r="D82" s="161" t="s">
        <v>8</v>
      </c>
      <c r="E82" s="161" t="s">
        <v>58</v>
      </c>
      <c r="F82" s="222">
        <v>732</v>
      </c>
      <c r="G82" s="222">
        <v>717</v>
      </c>
      <c r="H82" s="222">
        <f>732-717</f>
        <v>15</v>
      </c>
      <c r="I82" s="207">
        <v>1200</v>
      </c>
      <c r="J82" s="242">
        <f t="shared" si="16"/>
        <v>18000</v>
      </c>
      <c r="K82" s="153"/>
      <c r="V82" s="25">
        <f t="shared" si="17"/>
        <v>1</v>
      </c>
      <c r="W82" s="25">
        <f t="shared" si="18"/>
        <v>0</v>
      </c>
    </row>
    <row r="83" spans="1:23" x14ac:dyDescent="0.3">
      <c r="A83" s="147"/>
      <c r="B83" s="205">
        <v>24</v>
      </c>
      <c r="C83" s="264">
        <v>44833</v>
      </c>
      <c r="D83" s="265" t="s">
        <v>8</v>
      </c>
      <c r="E83" s="265" t="s">
        <v>3942</v>
      </c>
      <c r="F83" s="267">
        <v>1665</v>
      </c>
      <c r="G83" s="267">
        <v>1645</v>
      </c>
      <c r="H83" s="267">
        <v>20</v>
      </c>
      <c r="I83" s="266">
        <v>500</v>
      </c>
      <c r="J83" s="242">
        <f t="shared" si="16"/>
        <v>10000</v>
      </c>
      <c r="K83" s="153"/>
    </row>
    <row r="84" spans="1:23" x14ac:dyDescent="0.3">
      <c r="A84" s="147"/>
      <c r="B84" s="205">
        <v>25</v>
      </c>
      <c r="C84" s="264">
        <v>44833</v>
      </c>
      <c r="D84" s="265" t="s">
        <v>8</v>
      </c>
      <c r="E84" s="265" t="s">
        <v>299</v>
      </c>
      <c r="F84" s="267">
        <v>3605</v>
      </c>
      <c r="G84" s="267">
        <v>3550</v>
      </c>
      <c r="H84" s="267">
        <f>3605-3550</f>
        <v>55</v>
      </c>
      <c r="I84" s="266">
        <v>500</v>
      </c>
      <c r="J84" s="242">
        <f t="shared" si="16"/>
        <v>27500</v>
      </c>
      <c r="K84" s="153"/>
    </row>
    <row r="85" spans="1:23" ht="15" thickBot="1" x14ac:dyDescent="0.35">
      <c r="A85" s="147"/>
      <c r="B85" s="205">
        <v>26</v>
      </c>
      <c r="C85" s="209">
        <v>44834</v>
      </c>
      <c r="D85" s="166" t="s">
        <v>9</v>
      </c>
      <c r="E85" s="166" t="s">
        <v>37</v>
      </c>
      <c r="F85" s="210">
        <v>379</v>
      </c>
      <c r="G85" s="210">
        <v>387</v>
      </c>
      <c r="H85" s="166">
        <v>8</v>
      </c>
      <c r="I85" s="210">
        <v>1075</v>
      </c>
      <c r="J85" s="244">
        <f t="shared" si="16"/>
        <v>8600</v>
      </c>
      <c r="K85" s="153"/>
      <c r="V85" s="25">
        <f t="shared" si="17"/>
        <v>1</v>
      </c>
      <c r="W85" s="25">
        <f t="shared" si="18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266655.00000000006</v>
      </c>
      <c r="K86" s="153"/>
      <c r="V86" s="25">
        <f>SUM(V60:V85)</f>
        <v>21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3904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44805</v>
      </c>
      <c r="D94" s="185" t="s">
        <v>9</v>
      </c>
      <c r="E94" s="185" t="s">
        <v>39</v>
      </c>
      <c r="F94" s="219">
        <v>17700</v>
      </c>
      <c r="G94" s="219">
        <v>17722</v>
      </c>
      <c r="H94" s="185">
        <v>22</v>
      </c>
      <c r="I94" s="219">
        <v>150</v>
      </c>
      <c r="J94" s="246">
        <f t="shared" ref="J94:J116" si="20">I94*H94</f>
        <v>3300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44806</v>
      </c>
      <c r="D95" s="185" t="s">
        <v>8</v>
      </c>
      <c r="E95" s="185" t="s">
        <v>39</v>
      </c>
      <c r="F95" s="219">
        <v>17540</v>
      </c>
      <c r="G95" s="219">
        <v>17500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6" si="21">IF($J95&gt;0,1,0)</f>
        <v>1</v>
      </c>
      <c r="W95" s="25">
        <f t="shared" ref="W95:W116" si="22">IF($J95&lt;0,1,0)</f>
        <v>0</v>
      </c>
    </row>
    <row r="96" spans="1:23" x14ac:dyDescent="0.3">
      <c r="A96" s="147"/>
      <c r="B96" s="205">
        <f t="shared" ref="B96:B116" si="23">B95+1</f>
        <v>3</v>
      </c>
      <c r="C96" s="206">
        <v>44809</v>
      </c>
      <c r="D96" s="161" t="s">
        <v>9</v>
      </c>
      <c r="E96" s="161" t="s">
        <v>39</v>
      </c>
      <c r="F96" s="207">
        <v>17680</v>
      </c>
      <c r="G96" s="207">
        <v>17720</v>
      </c>
      <c r="H96" s="161">
        <v>40</v>
      </c>
      <c r="I96" s="207">
        <v>150</v>
      </c>
      <c r="J96" s="242">
        <f t="shared" si="20"/>
        <v>6000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44810</v>
      </c>
      <c r="D97" s="161" t="s">
        <v>8</v>
      </c>
      <c r="E97" s="161" t="s">
        <v>39</v>
      </c>
      <c r="F97" s="207">
        <v>17620</v>
      </c>
      <c r="G97" s="207">
        <v>17605</v>
      </c>
      <c r="H97" s="161">
        <v>15</v>
      </c>
      <c r="I97" s="207">
        <v>150</v>
      </c>
      <c r="J97" s="242">
        <f t="shared" si="20"/>
        <v>2250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44811</v>
      </c>
      <c r="D98" s="161" t="s">
        <v>9</v>
      </c>
      <c r="E98" s="161" t="s">
        <v>39</v>
      </c>
      <c r="F98" s="207">
        <v>17580</v>
      </c>
      <c r="G98" s="207">
        <v>17660</v>
      </c>
      <c r="H98" s="161">
        <v>80</v>
      </c>
      <c r="I98" s="207">
        <v>150</v>
      </c>
      <c r="J98" s="242">
        <f t="shared" si="20"/>
        <v>12000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44812</v>
      </c>
      <c r="D99" s="161" t="s">
        <v>9</v>
      </c>
      <c r="E99" s="161" t="s">
        <v>39</v>
      </c>
      <c r="F99" s="207">
        <v>17780</v>
      </c>
      <c r="G99" s="207">
        <v>17800</v>
      </c>
      <c r="H99" s="161">
        <v>30</v>
      </c>
      <c r="I99" s="207">
        <v>150</v>
      </c>
      <c r="J99" s="242">
        <f t="shared" si="20"/>
        <v>4500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44813</v>
      </c>
      <c r="D100" s="161" t="s">
        <v>9</v>
      </c>
      <c r="E100" s="161" t="s">
        <v>39</v>
      </c>
      <c r="F100" s="207">
        <v>17910</v>
      </c>
      <c r="G100" s="207">
        <v>17949.650000000001</v>
      </c>
      <c r="H100" s="161">
        <v>39</v>
      </c>
      <c r="I100" s="207">
        <v>150</v>
      </c>
      <c r="J100" s="242">
        <f t="shared" si="20"/>
        <v>5850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8</v>
      </c>
      <c r="C101" s="206">
        <v>44816</v>
      </c>
      <c r="D101" s="161" t="s">
        <v>9</v>
      </c>
      <c r="E101" s="161" t="s">
        <v>39</v>
      </c>
      <c r="F101" s="207">
        <v>17950</v>
      </c>
      <c r="G101" s="207">
        <v>18004</v>
      </c>
      <c r="H101" s="161">
        <f>18004-17950</f>
        <v>54</v>
      </c>
      <c r="I101" s="207">
        <v>150</v>
      </c>
      <c r="J101" s="242">
        <f t="shared" si="20"/>
        <v>8100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44817</v>
      </c>
      <c r="D102" s="161" t="s">
        <v>9</v>
      </c>
      <c r="E102" s="161" t="s">
        <v>39</v>
      </c>
      <c r="F102" s="207">
        <v>18080</v>
      </c>
      <c r="G102" s="207">
        <v>18120</v>
      </c>
      <c r="H102" s="161">
        <f>18120-18080</f>
        <v>40</v>
      </c>
      <c r="I102" s="207">
        <v>150</v>
      </c>
      <c r="J102" s="242">
        <f t="shared" si="20"/>
        <v>6000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10</v>
      </c>
      <c r="C103" s="206">
        <v>44818</v>
      </c>
      <c r="D103" s="161" t="s">
        <v>9</v>
      </c>
      <c r="E103" s="161" t="s">
        <v>39</v>
      </c>
      <c r="F103" s="207">
        <v>17930</v>
      </c>
      <c r="G103" s="207">
        <v>18010</v>
      </c>
      <c r="H103" s="161">
        <v>80</v>
      </c>
      <c r="I103" s="207">
        <v>150</v>
      </c>
      <c r="J103" s="242">
        <f t="shared" si="20"/>
        <v>12000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44819</v>
      </c>
      <c r="D104" s="161" t="s">
        <v>9</v>
      </c>
      <c r="E104" s="161" t="s">
        <v>39</v>
      </c>
      <c r="F104" s="207">
        <v>17960</v>
      </c>
      <c r="G104" s="207">
        <v>17990</v>
      </c>
      <c r="H104" s="161">
        <v>30</v>
      </c>
      <c r="I104" s="207">
        <v>150</v>
      </c>
      <c r="J104" s="242">
        <f t="shared" si="20"/>
        <v>4500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44820</v>
      </c>
      <c r="D105" s="161" t="s">
        <v>8</v>
      </c>
      <c r="E105" s="161" t="s">
        <v>39</v>
      </c>
      <c r="F105" s="207">
        <v>17690</v>
      </c>
      <c r="G105" s="207">
        <v>17653</v>
      </c>
      <c r="H105" s="161">
        <f>17690-17653</f>
        <v>37</v>
      </c>
      <c r="I105" s="207">
        <v>150</v>
      </c>
      <c r="J105" s="242">
        <f t="shared" si="20"/>
        <v>5550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44823</v>
      </c>
      <c r="D106" s="161" t="s">
        <v>9</v>
      </c>
      <c r="E106" s="161" t="s">
        <v>39</v>
      </c>
      <c r="F106" s="207">
        <v>17660</v>
      </c>
      <c r="G106" s="207">
        <v>17690</v>
      </c>
      <c r="H106" s="161">
        <v>30</v>
      </c>
      <c r="I106" s="207">
        <v>150</v>
      </c>
      <c r="J106" s="242">
        <f t="shared" si="20"/>
        <v>4500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44824</v>
      </c>
      <c r="D107" s="161" t="s">
        <v>9</v>
      </c>
      <c r="E107" s="161" t="s">
        <v>39</v>
      </c>
      <c r="F107" s="207">
        <v>17870</v>
      </c>
      <c r="G107" s="207">
        <v>17930</v>
      </c>
      <c r="H107" s="161">
        <f>17930-17870</f>
        <v>60</v>
      </c>
      <c r="I107" s="207">
        <v>150</v>
      </c>
      <c r="J107" s="242">
        <f t="shared" si="20"/>
        <v>9000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44825</v>
      </c>
      <c r="D108" s="161" t="s">
        <v>9</v>
      </c>
      <c r="E108" s="161" t="s">
        <v>39</v>
      </c>
      <c r="F108" s="207">
        <v>17770</v>
      </c>
      <c r="G108" s="207">
        <v>17810</v>
      </c>
      <c r="H108" s="161">
        <v>40</v>
      </c>
      <c r="I108" s="207">
        <v>150</v>
      </c>
      <c r="J108" s="242">
        <f t="shared" si="20"/>
        <v>6000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16</v>
      </c>
      <c r="C109" s="206">
        <v>44826</v>
      </c>
      <c r="D109" s="161" t="s">
        <v>9</v>
      </c>
      <c r="E109" s="161" t="s">
        <v>39</v>
      </c>
      <c r="F109" s="207">
        <v>17690</v>
      </c>
      <c r="G109" s="207">
        <v>17709</v>
      </c>
      <c r="H109" s="161">
        <f>17709-17690</f>
        <v>19</v>
      </c>
      <c r="I109" s="207">
        <v>150</v>
      </c>
      <c r="J109" s="242">
        <f t="shared" si="20"/>
        <v>2850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>
        <v>44827</v>
      </c>
      <c r="D110" s="161" t="s">
        <v>8</v>
      </c>
      <c r="E110" s="161" t="s">
        <v>39</v>
      </c>
      <c r="F110" s="207">
        <v>17480</v>
      </c>
      <c r="G110" s="207">
        <v>17400</v>
      </c>
      <c r="H110" s="161">
        <f>17480-17400</f>
        <v>80</v>
      </c>
      <c r="I110" s="207">
        <v>150</v>
      </c>
      <c r="J110" s="242">
        <f t="shared" si="20"/>
        <v>12000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>
        <v>44830</v>
      </c>
      <c r="D111" s="161" t="s">
        <v>8</v>
      </c>
      <c r="E111" s="161" t="s">
        <v>39</v>
      </c>
      <c r="F111" s="207">
        <v>17060</v>
      </c>
      <c r="G111" s="207">
        <v>17000</v>
      </c>
      <c r="H111" s="161">
        <v>60</v>
      </c>
      <c r="I111" s="207">
        <v>150</v>
      </c>
      <c r="J111" s="242">
        <f t="shared" si="20"/>
        <v>9000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>
        <v>44831</v>
      </c>
      <c r="D112" s="161" t="s">
        <v>8</v>
      </c>
      <c r="E112" s="161" t="s">
        <v>39</v>
      </c>
      <c r="F112" s="207">
        <v>17070</v>
      </c>
      <c r="G112" s="207">
        <v>16990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>
        <v>44832</v>
      </c>
      <c r="D113" s="161" t="s">
        <v>9</v>
      </c>
      <c r="E113" s="161" t="s">
        <v>39</v>
      </c>
      <c r="F113" s="207">
        <v>16950</v>
      </c>
      <c r="G113" s="207">
        <v>16972</v>
      </c>
      <c r="H113" s="161">
        <f>16972-16950</f>
        <v>22</v>
      </c>
      <c r="I113" s="207">
        <v>150</v>
      </c>
      <c r="J113" s="242">
        <f t="shared" si="20"/>
        <v>3300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>
        <v>44833</v>
      </c>
      <c r="D114" s="161" t="s">
        <v>8</v>
      </c>
      <c r="E114" s="161" t="s">
        <v>39</v>
      </c>
      <c r="F114" s="207">
        <v>16980</v>
      </c>
      <c r="G114" s="207">
        <v>16900</v>
      </c>
      <c r="H114" s="161">
        <v>80</v>
      </c>
      <c r="I114" s="207">
        <v>150</v>
      </c>
      <c r="J114" s="242">
        <f t="shared" si="20"/>
        <v>12000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>
        <v>44834</v>
      </c>
      <c r="D115" s="161" t="s">
        <v>9</v>
      </c>
      <c r="E115" s="161" t="s">
        <v>39</v>
      </c>
      <c r="F115" s="207">
        <v>16830</v>
      </c>
      <c r="G115" s="207">
        <v>16862</v>
      </c>
      <c r="H115" s="161">
        <v>32</v>
      </c>
      <c r="I115" s="207">
        <v>150</v>
      </c>
      <c r="J115" s="242">
        <f t="shared" si="20"/>
        <v>4800</v>
      </c>
      <c r="K115" s="153"/>
      <c r="V115" s="25">
        <f t="shared" si="21"/>
        <v>1</v>
      </c>
      <c r="W115" s="25">
        <f t="shared" si="22"/>
        <v>0</v>
      </c>
    </row>
    <row r="116" spans="1:23" ht="15" thickBot="1" x14ac:dyDescent="0.35">
      <c r="A116" s="147"/>
      <c r="B116" s="208">
        <f t="shared" si="23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151500</v>
      </c>
      <c r="K117" s="153"/>
      <c r="V117" s="25">
        <f>SUM(V94:V116)</f>
        <v>22</v>
      </c>
      <c r="W117" s="25">
        <f>SUM(W94:W116)</f>
        <v>0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3906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44805</v>
      </c>
      <c r="D125" s="185" t="s">
        <v>9</v>
      </c>
      <c r="E125" s="185" t="s">
        <v>1586</v>
      </c>
      <c r="F125" s="219">
        <v>90</v>
      </c>
      <c r="G125" s="231">
        <v>99</v>
      </c>
      <c r="H125" s="231">
        <v>9</v>
      </c>
      <c r="I125" s="219">
        <v>300</v>
      </c>
      <c r="J125" s="246">
        <f t="shared" ref="J125:J149" si="24">I125*H125</f>
        <v>2700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44806</v>
      </c>
      <c r="D126" s="185" t="s">
        <v>9</v>
      </c>
      <c r="E126" s="185" t="s">
        <v>3907</v>
      </c>
      <c r="F126" s="219">
        <v>150</v>
      </c>
      <c r="G126" s="219">
        <v>162</v>
      </c>
      <c r="H126" s="185">
        <v>12</v>
      </c>
      <c r="I126" s="219">
        <v>300</v>
      </c>
      <c r="J126" s="242">
        <f t="shared" si="24"/>
        <v>3600</v>
      </c>
      <c r="K126" s="153"/>
      <c r="V126" s="25">
        <f t="shared" ref="V126:V149" si="25">IF($J126&gt;0,1,0)</f>
        <v>1</v>
      </c>
      <c r="W126" s="25">
        <f t="shared" ref="W126:W149" si="26">IF($J126&lt;0,1,0)</f>
        <v>0</v>
      </c>
    </row>
    <row r="127" spans="1:23" x14ac:dyDescent="0.3">
      <c r="A127" s="147"/>
      <c r="B127" s="205">
        <f>B126+1</f>
        <v>3</v>
      </c>
      <c r="C127" s="206">
        <v>44809</v>
      </c>
      <c r="D127" s="161" t="s">
        <v>9</v>
      </c>
      <c r="E127" s="161" t="s">
        <v>3504</v>
      </c>
      <c r="F127" s="207">
        <v>130</v>
      </c>
      <c r="G127" s="207">
        <v>150</v>
      </c>
      <c r="H127" s="161">
        <v>20</v>
      </c>
      <c r="I127" s="207">
        <v>300</v>
      </c>
      <c r="J127" s="242">
        <f t="shared" si="24"/>
        <v>6000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ref="B128:B149" si="27">B127+1</f>
        <v>4</v>
      </c>
      <c r="C128" s="206">
        <v>44810</v>
      </c>
      <c r="D128" s="161" t="s">
        <v>9</v>
      </c>
      <c r="E128" s="161" t="s">
        <v>1584</v>
      </c>
      <c r="F128" s="207">
        <v>135</v>
      </c>
      <c r="G128" s="207">
        <v>122</v>
      </c>
      <c r="H128" s="161">
        <v>-13</v>
      </c>
      <c r="I128" s="207">
        <v>300</v>
      </c>
      <c r="J128" s="242">
        <f t="shared" si="24"/>
        <v>-3900</v>
      </c>
      <c r="K128" s="153"/>
      <c r="V128" s="25">
        <f t="shared" si="25"/>
        <v>0</v>
      </c>
      <c r="W128" s="25">
        <f t="shared" si="26"/>
        <v>1</v>
      </c>
    </row>
    <row r="129" spans="1:23" x14ac:dyDescent="0.3">
      <c r="A129" s="147"/>
      <c r="B129" s="205">
        <f t="shared" si="27"/>
        <v>5</v>
      </c>
      <c r="C129" s="206">
        <v>44811</v>
      </c>
      <c r="D129" s="161" t="s">
        <v>9</v>
      </c>
      <c r="E129" s="161" t="s">
        <v>3490</v>
      </c>
      <c r="F129" s="207">
        <v>115</v>
      </c>
      <c r="G129" s="207">
        <v>150</v>
      </c>
      <c r="H129" s="161">
        <f>150-115</f>
        <v>35</v>
      </c>
      <c r="I129" s="207">
        <v>300</v>
      </c>
      <c r="J129" s="242">
        <f t="shared" si="24"/>
        <v>10500</v>
      </c>
      <c r="K129" s="153"/>
      <c r="M129" s="25" t="s">
        <v>2008</v>
      </c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6</v>
      </c>
      <c r="C130" s="206">
        <v>44812</v>
      </c>
      <c r="D130" s="161" t="s">
        <v>9</v>
      </c>
      <c r="E130" s="161" t="s">
        <v>3502</v>
      </c>
      <c r="F130" s="207">
        <v>115</v>
      </c>
      <c r="G130" s="222">
        <v>165</v>
      </c>
      <c r="H130" s="222">
        <v>50</v>
      </c>
      <c r="I130" s="207">
        <v>300</v>
      </c>
      <c r="J130" s="242">
        <f t="shared" si="24"/>
        <v>15000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7</v>
      </c>
      <c r="C131" s="206">
        <v>44813</v>
      </c>
      <c r="D131" s="161" t="s">
        <v>9</v>
      </c>
      <c r="E131" s="161" t="s">
        <v>3501</v>
      </c>
      <c r="F131" s="207">
        <v>160</v>
      </c>
      <c r="G131" s="207">
        <v>177</v>
      </c>
      <c r="H131" s="161">
        <v>17</v>
      </c>
      <c r="I131" s="207">
        <v>300</v>
      </c>
      <c r="J131" s="242">
        <f t="shared" si="24"/>
        <v>5100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8</v>
      </c>
      <c r="C132" s="206">
        <v>44816</v>
      </c>
      <c r="D132" s="161" t="s">
        <v>9</v>
      </c>
      <c r="E132" s="161" t="s">
        <v>3491</v>
      </c>
      <c r="F132" s="207">
        <v>145</v>
      </c>
      <c r="G132" s="207">
        <v>170</v>
      </c>
      <c r="H132" s="161">
        <f>170-145</f>
        <v>25</v>
      </c>
      <c r="I132" s="207">
        <v>300</v>
      </c>
      <c r="J132" s="242">
        <f t="shared" si="24"/>
        <v>7500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9</v>
      </c>
      <c r="C133" s="206">
        <v>44817</v>
      </c>
      <c r="D133" s="161" t="s">
        <v>9</v>
      </c>
      <c r="E133" s="161" t="s">
        <v>3529</v>
      </c>
      <c r="F133" s="207">
        <v>140</v>
      </c>
      <c r="G133" s="207">
        <v>120</v>
      </c>
      <c r="H133" s="161">
        <v>-20</v>
      </c>
      <c r="I133" s="207">
        <v>300</v>
      </c>
      <c r="J133" s="242">
        <f t="shared" si="24"/>
        <v>-6000</v>
      </c>
      <c r="K133" s="153"/>
      <c r="V133" s="25">
        <f t="shared" si="25"/>
        <v>0</v>
      </c>
      <c r="W133" s="25">
        <f t="shared" si="26"/>
        <v>1</v>
      </c>
    </row>
    <row r="134" spans="1:23" x14ac:dyDescent="0.3">
      <c r="A134" s="147"/>
      <c r="B134" s="205">
        <f t="shared" si="27"/>
        <v>10</v>
      </c>
      <c r="C134" s="206">
        <v>44817</v>
      </c>
      <c r="D134" s="161" t="s">
        <v>9</v>
      </c>
      <c r="E134" s="161" t="s">
        <v>3517</v>
      </c>
      <c r="F134" s="207">
        <v>180</v>
      </c>
      <c r="G134" s="222">
        <v>188</v>
      </c>
      <c r="H134" s="222">
        <v>8</v>
      </c>
      <c r="I134" s="207">
        <v>300</v>
      </c>
      <c r="J134" s="242">
        <f t="shared" si="24"/>
        <v>2400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11</v>
      </c>
      <c r="C135" s="206">
        <v>44818</v>
      </c>
      <c r="D135" s="161" t="s">
        <v>9</v>
      </c>
      <c r="E135" s="161" t="s">
        <v>3501</v>
      </c>
      <c r="F135" s="207">
        <v>125</v>
      </c>
      <c r="G135" s="222">
        <v>175</v>
      </c>
      <c r="H135" s="222"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12</v>
      </c>
      <c r="C136" s="206">
        <v>44819</v>
      </c>
      <c r="D136" s="161" t="s">
        <v>9</v>
      </c>
      <c r="E136" s="161" t="s">
        <v>3491</v>
      </c>
      <c r="F136" s="207">
        <v>115</v>
      </c>
      <c r="G136" s="222">
        <v>90</v>
      </c>
      <c r="H136" s="222">
        <v>-25</v>
      </c>
      <c r="I136" s="207">
        <v>300</v>
      </c>
      <c r="J136" s="242">
        <f t="shared" si="24"/>
        <v>-7500</v>
      </c>
      <c r="K136" s="153"/>
      <c r="V136" s="25">
        <f t="shared" si="25"/>
        <v>0</v>
      </c>
      <c r="W136" s="25">
        <f t="shared" si="26"/>
        <v>1</v>
      </c>
    </row>
    <row r="137" spans="1:23" x14ac:dyDescent="0.3">
      <c r="A137" s="147"/>
      <c r="B137" s="205">
        <f t="shared" si="27"/>
        <v>13</v>
      </c>
      <c r="C137" s="206">
        <v>44820</v>
      </c>
      <c r="D137" s="161" t="s">
        <v>9</v>
      </c>
      <c r="E137" s="161" t="s">
        <v>1585</v>
      </c>
      <c r="F137" s="207">
        <v>160</v>
      </c>
      <c r="G137" s="207">
        <v>210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14</v>
      </c>
      <c r="C138" s="206">
        <v>44823</v>
      </c>
      <c r="D138" s="161" t="s">
        <v>9</v>
      </c>
      <c r="E138" s="161" t="s">
        <v>1584</v>
      </c>
      <c r="F138" s="207">
        <v>115</v>
      </c>
      <c r="G138" s="207">
        <v>130</v>
      </c>
      <c r="H138" s="161">
        <v>15</v>
      </c>
      <c r="I138" s="207">
        <v>300</v>
      </c>
      <c r="J138" s="242">
        <f t="shared" si="24"/>
        <v>4500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7"/>
        <v>15</v>
      </c>
      <c r="C139" s="206">
        <v>44824</v>
      </c>
      <c r="D139" s="161" t="s">
        <v>9</v>
      </c>
      <c r="E139" s="161" t="s">
        <v>1541</v>
      </c>
      <c r="F139" s="207">
        <v>145</v>
      </c>
      <c r="G139" s="207">
        <v>190</v>
      </c>
      <c r="H139" s="161">
        <f>190-145</f>
        <v>45</v>
      </c>
      <c r="I139" s="207">
        <v>300</v>
      </c>
      <c r="J139" s="242">
        <f t="shared" si="24"/>
        <v>13500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16</v>
      </c>
      <c r="C140" s="206">
        <v>44825</v>
      </c>
      <c r="D140" s="161" t="s">
        <v>9</v>
      </c>
      <c r="E140" s="161" t="s">
        <v>1541</v>
      </c>
      <c r="F140" s="207">
        <v>110</v>
      </c>
      <c r="G140" s="207">
        <v>85</v>
      </c>
      <c r="H140" s="161">
        <v>-25</v>
      </c>
      <c r="I140" s="207">
        <v>300</v>
      </c>
      <c r="J140" s="242">
        <f t="shared" si="24"/>
        <v>-7500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17</v>
      </c>
      <c r="C141" s="206">
        <v>44826</v>
      </c>
      <c r="D141" s="161" t="s">
        <v>9</v>
      </c>
      <c r="E141" s="161" t="s">
        <v>1585</v>
      </c>
      <c r="F141" s="207">
        <v>115</v>
      </c>
      <c r="G141" s="207">
        <v>165</v>
      </c>
      <c r="H141" s="161">
        <v>50</v>
      </c>
      <c r="I141" s="207">
        <v>300</v>
      </c>
      <c r="J141" s="242">
        <f t="shared" si="24"/>
        <v>15000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18</v>
      </c>
      <c r="C142" s="206">
        <v>44827</v>
      </c>
      <c r="D142" s="161" t="s">
        <v>9</v>
      </c>
      <c r="E142" s="161" t="s">
        <v>1540</v>
      </c>
      <c r="F142" s="207">
        <v>210</v>
      </c>
      <c r="G142" s="222">
        <v>270</v>
      </c>
      <c r="H142" s="222">
        <v>60</v>
      </c>
      <c r="I142" s="207">
        <v>300</v>
      </c>
      <c r="J142" s="242">
        <f t="shared" si="24"/>
        <v>18000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19</v>
      </c>
      <c r="C143" s="206">
        <v>44830</v>
      </c>
      <c r="D143" s="161" t="s">
        <v>9</v>
      </c>
      <c r="E143" s="161" t="s">
        <v>3609</v>
      </c>
      <c r="F143" s="207">
        <v>155</v>
      </c>
      <c r="G143" s="222">
        <v>190</v>
      </c>
      <c r="H143" s="222">
        <f>190-155</f>
        <v>35</v>
      </c>
      <c r="I143" s="207">
        <v>300</v>
      </c>
      <c r="J143" s="242">
        <f t="shared" si="24"/>
        <v>10500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20</v>
      </c>
      <c r="C144" s="206">
        <v>44831</v>
      </c>
      <c r="D144" s="161" t="s">
        <v>9</v>
      </c>
      <c r="E144" s="161" t="s">
        <v>3744</v>
      </c>
      <c r="F144" s="207">
        <v>170</v>
      </c>
      <c r="G144" s="222">
        <v>225</v>
      </c>
      <c r="H144" s="222">
        <f>225-170</f>
        <v>55</v>
      </c>
      <c r="I144" s="207">
        <v>300</v>
      </c>
      <c r="J144" s="242">
        <f t="shared" si="24"/>
        <v>16500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21</v>
      </c>
      <c r="C145" s="206">
        <v>44832</v>
      </c>
      <c r="D145" s="161" t="s">
        <v>9</v>
      </c>
      <c r="E145" s="161" t="s">
        <v>1388</v>
      </c>
      <c r="F145" s="207">
        <v>100</v>
      </c>
      <c r="G145" s="222">
        <v>110</v>
      </c>
      <c r="H145" s="222">
        <v>10</v>
      </c>
      <c r="I145" s="207">
        <v>300</v>
      </c>
      <c r="J145" s="242">
        <f t="shared" si="24"/>
        <v>3000</v>
      </c>
      <c r="K145" s="153"/>
      <c r="V145" s="25">
        <f t="shared" si="25"/>
        <v>1</v>
      </c>
      <c r="W145" s="25">
        <f t="shared" si="26"/>
        <v>0</v>
      </c>
    </row>
    <row r="146" spans="1:23" x14ac:dyDescent="0.3">
      <c r="A146" s="147"/>
      <c r="B146" s="205">
        <f t="shared" si="27"/>
        <v>22</v>
      </c>
      <c r="C146" s="206">
        <v>44833</v>
      </c>
      <c r="D146" s="161" t="s">
        <v>9</v>
      </c>
      <c r="E146" s="161" t="s">
        <v>3609</v>
      </c>
      <c r="F146" s="207">
        <v>120</v>
      </c>
      <c r="G146" s="222">
        <v>170</v>
      </c>
      <c r="H146" s="222">
        <v>50</v>
      </c>
      <c r="I146" s="207">
        <v>300</v>
      </c>
      <c r="J146" s="242">
        <f t="shared" si="24"/>
        <v>15000</v>
      </c>
      <c r="K146" s="153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23</v>
      </c>
      <c r="C147" s="206">
        <v>44834</v>
      </c>
      <c r="D147" s="161" t="s">
        <v>9</v>
      </c>
      <c r="E147" s="161" t="s">
        <v>1388</v>
      </c>
      <c r="F147" s="207">
        <v>130</v>
      </c>
      <c r="G147" s="222">
        <v>185</v>
      </c>
      <c r="H147" s="161">
        <f>185-130</f>
        <v>55</v>
      </c>
      <c r="I147" s="207">
        <v>300</v>
      </c>
      <c r="J147" s="242">
        <f t="shared" si="24"/>
        <v>16500</v>
      </c>
      <c r="K147" s="153"/>
      <c r="V147" s="25">
        <f t="shared" si="25"/>
        <v>1</v>
      </c>
      <c r="W147" s="25">
        <f t="shared" si="26"/>
        <v>0</v>
      </c>
    </row>
    <row r="148" spans="1:23" x14ac:dyDescent="0.3">
      <c r="A148" s="147"/>
      <c r="B148" s="205">
        <f t="shared" si="27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4"/>
        <v>0</v>
      </c>
      <c r="K148" s="153"/>
      <c r="V148" s="25">
        <f t="shared" si="25"/>
        <v>0</v>
      </c>
      <c r="W148" s="25">
        <f t="shared" si="26"/>
        <v>0</v>
      </c>
    </row>
    <row r="149" spans="1:23" ht="15" thickBot="1" x14ac:dyDescent="0.35">
      <c r="A149" s="147"/>
      <c r="B149" s="205">
        <f t="shared" si="27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4"/>
        <v>0</v>
      </c>
      <c r="K149" s="153"/>
      <c r="V149" s="25">
        <f t="shared" si="25"/>
        <v>0</v>
      </c>
      <c r="W149" s="25">
        <f t="shared" si="26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170400</v>
      </c>
      <c r="K150" s="153"/>
      <c r="V150" s="25">
        <f>SUM(V125:V149)</f>
        <v>19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3904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44805</v>
      </c>
      <c r="D158" s="185" t="s">
        <v>9</v>
      </c>
      <c r="E158" s="185" t="s">
        <v>301</v>
      </c>
      <c r="F158" s="219">
        <v>39750</v>
      </c>
      <c r="G158" s="231">
        <v>39820</v>
      </c>
      <c r="H158" s="185">
        <f>39820-39750</f>
        <v>70</v>
      </c>
      <c r="I158" s="219">
        <v>50</v>
      </c>
      <c r="J158" s="246">
        <f t="shared" ref="J158:J180" si="28">I158*H158</f>
        <v>3500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44806</v>
      </c>
      <c r="D159" s="185" t="s">
        <v>8</v>
      </c>
      <c r="E159" s="185" t="s">
        <v>301</v>
      </c>
      <c r="F159" s="219">
        <v>39400</v>
      </c>
      <c r="G159" s="219">
        <v>39315</v>
      </c>
      <c r="H159" s="185">
        <v>85</v>
      </c>
      <c r="I159" s="219">
        <v>50</v>
      </c>
      <c r="J159" s="242">
        <f t="shared" si="28"/>
        <v>4250</v>
      </c>
      <c r="K159" s="153"/>
      <c r="V159" s="25">
        <f t="shared" ref="V159:V180" si="29">IF($J159&gt;0,1,0)</f>
        <v>1</v>
      </c>
      <c r="W159" s="25">
        <f t="shared" ref="W159:W180" si="30">IF($J159&lt;0,1,0)</f>
        <v>0</v>
      </c>
    </row>
    <row r="160" spans="1:23" x14ac:dyDescent="0.3">
      <c r="A160" s="147"/>
      <c r="B160" s="205">
        <f t="shared" ref="B160:B180" si="31">B159+1</f>
        <v>3</v>
      </c>
      <c r="C160" s="206">
        <v>44809</v>
      </c>
      <c r="D160" s="161" t="s">
        <v>9</v>
      </c>
      <c r="E160" s="161" t="s">
        <v>301</v>
      </c>
      <c r="F160" s="207">
        <v>39900</v>
      </c>
      <c r="G160" s="207">
        <v>39980</v>
      </c>
      <c r="H160" s="161">
        <v>80</v>
      </c>
      <c r="I160" s="207">
        <v>50</v>
      </c>
      <c r="J160" s="242">
        <f t="shared" si="28"/>
        <v>4000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4</v>
      </c>
      <c r="C161" s="206">
        <v>44810</v>
      </c>
      <c r="D161" s="161" t="s">
        <v>8</v>
      </c>
      <c r="E161" s="161" t="s">
        <v>301</v>
      </c>
      <c r="F161" s="207">
        <v>39750</v>
      </c>
      <c r="G161" s="207">
        <v>39660</v>
      </c>
      <c r="H161" s="161">
        <f>39750-39660</f>
        <v>90</v>
      </c>
      <c r="I161" s="207">
        <v>50</v>
      </c>
      <c r="J161" s="242">
        <f t="shared" si="28"/>
        <v>4500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5</v>
      </c>
      <c r="C162" s="206">
        <v>44811</v>
      </c>
      <c r="D162" s="161" t="s">
        <v>9</v>
      </c>
      <c r="E162" s="161" t="s">
        <v>301</v>
      </c>
      <c r="F162" s="207">
        <v>39550</v>
      </c>
      <c r="G162" s="207">
        <v>39700</v>
      </c>
      <c r="H162" s="161">
        <v>150</v>
      </c>
      <c r="I162" s="207">
        <v>50</v>
      </c>
      <c r="J162" s="242">
        <f t="shared" si="28"/>
        <v>7500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6</v>
      </c>
      <c r="C163" s="206">
        <v>44812</v>
      </c>
      <c r="D163" s="161" t="s">
        <v>9</v>
      </c>
      <c r="E163" s="161" t="s">
        <v>301</v>
      </c>
      <c r="F163" s="207">
        <v>40050</v>
      </c>
      <c r="G163" s="207">
        <v>40245</v>
      </c>
      <c r="H163" s="161">
        <f>40245-40050</f>
        <v>195</v>
      </c>
      <c r="I163" s="207">
        <v>50</v>
      </c>
      <c r="J163" s="242">
        <f t="shared" si="28"/>
        <v>9750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7</v>
      </c>
      <c r="C164" s="206">
        <v>44813</v>
      </c>
      <c r="D164" s="161" t="s">
        <v>9</v>
      </c>
      <c r="E164" s="161" t="s">
        <v>301</v>
      </c>
      <c r="F164" s="207">
        <v>40600</v>
      </c>
      <c r="G164" s="207">
        <v>40750</v>
      </c>
      <c r="H164" s="161">
        <v>150</v>
      </c>
      <c r="I164" s="207">
        <v>50</v>
      </c>
      <c r="J164" s="242">
        <f t="shared" si="28"/>
        <v>7500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8</v>
      </c>
      <c r="C165" s="206">
        <v>44816</v>
      </c>
      <c r="D165" s="161" t="s">
        <v>9</v>
      </c>
      <c r="E165" s="161" t="s">
        <v>301</v>
      </c>
      <c r="F165" s="207">
        <v>40600</v>
      </c>
      <c r="G165" s="207">
        <v>40750</v>
      </c>
      <c r="H165" s="161">
        <v>150</v>
      </c>
      <c r="I165" s="207">
        <v>50</v>
      </c>
      <c r="J165" s="242">
        <f t="shared" si="28"/>
        <v>7500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9</v>
      </c>
      <c r="C166" s="206">
        <v>44817</v>
      </c>
      <c r="D166" s="161" t="s">
        <v>9</v>
      </c>
      <c r="E166" s="161" t="s">
        <v>301</v>
      </c>
      <c r="F166" s="207">
        <v>40900</v>
      </c>
      <c r="G166" s="207">
        <v>40985</v>
      </c>
      <c r="H166" s="161">
        <v>85</v>
      </c>
      <c r="I166" s="207">
        <v>50</v>
      </c>
      <c r="J166" s="242">
        <f t="shared" si="28"/>
        <v>4250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10</v>
      </c>
      <c r="C167" s="206">
        <v>44818</v>
      </c>
      <c r="D167" s="161" t="s">
        <v>9</v>
      </c>
      <c r="E167" s="161" t="s">
        <v>301</v>
      </c>
      <c r="F167" s="207">
        <v>40850</v>
      </c>
      <c r="G167" s="207">
        <v>41150</v>
      </c>
      <c r="H167" s="161">
        <f>41150-40850</f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11</v>
      </c>
      <c r="C168" s="206">
        <v>44819</v>
      </c>
      <c r="D168" s="161" t="s">
        <v>9</v>
      </c>
      <c r="E168" s="161" t="s">
        <v>301</v>
      </c>
      <c r="F168" s="207">
        <v>41550</v>
      </c>
      <c r="G168" s="207">
        <v>41400</v>
      </c>
      <c r="H168" s="161">
        <v>-150</v>
      </c>
      <c r="I168" s="207">
        <v>50</v>
      </c>
      <c r="J168" s="242">
        <f t="shared" si="28"/>
        <v>-7500</v>
      </c>
      <c r="K168" s="153"/>
      <c r="V168" s="25">
        <f t="shared" si="29"/>
        <v>0</v>
      </c>
      <c r="W168" s="25">
        <f t="shared" si="30"/>
        <v>1</v>
      </c>
    </row>
    <row r="169" spans="1:23" x14ac:dyDescent="0.3">
      <c r="A169" s="147"/>
      <c r="B169" s="205">
        <f t="shared" si="31"/>
        <v>12</v>
      </c>
      <c r="C169" s="206">
        <v>44820</v>
      </c>
      <c r="D169" s="161" t="s">
        <v>9</v>
      </c>
      <c r="E169" s="161" t="s">
        <v>301</v>
      </c>
      <c r="F169" s="207">
        <v>41050</v>
      </c>
      <c r="G169" s="207">
        <v>40750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13</v>
      </c>
      <c r="C170" s="206">
        <v>44823</v>
      </c>
      <c r="D170" s="161" t="s">
        <v>9</v>
      </c>
      <c r="E170" s="161" t="s">
        <v>301</v>
      </c>
      <c r="F170" s="207">
        <v>41100</v>
      </c>
      <c r="G170" s="207">
        <v>41248</v>
      </c>
      <c r="H170" s="161">
        <f>41248-41100</f>
        <v>148</v>
      </c>
      <c r="I170" s="207">
        <v>50</v>
      </c>
      <c r="J170" s="242">
        <f t="shared" si="28"/>
        <v>7400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14</v>
      </c>
      <c r="C171" s="206">
        <v>44824</v>
      </c>
      <c r="D171" s="161" t="s">
        <v>9</v>
      </c>
      <c r="E171" s="161" t="s">
        <v>301</v>
      </c>
      <c r="F171" s="207">
        <v>41550</v>
      </c>
      <c r="G171" s="207">
        <v>41700</v>
      </c>
      <c r="H171" s="161">
        <v>150</v>
      </c>
      <c r="I171" s="207">
        <v>50</v>
      </c>
      <c r="J171" s="242">
        <f t="shared" si="28"/>
        <v>7500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15</v>
      </c>
      <c r="C172" s="206">
        <v>44825</v>
      </c>
      <c r="D172" s="161" t="s">
        <v>9</v>
      </c>
      <c r="E172" s="161" t="s">
        <v>301</v>
      </c>
      <c r="F172" s="207">
        <v>41300</v>
      </c>
      <c r="G172" s="207">
        <v>41427</v>
      </c>
      <c r="H172" s="161">
        <v>127</v>
      </c>
      <c r="I172" s="207">
        <v>50</v>
      </c>
      <c r="J172" s="242">
        <f t="shared" si="28"/>
        <v>6350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16</v>
      </c>
      <c r="C173" s="206">
        <v>44826</v>
      </c>
      <c r="D173" s="161" t="s">
        <v>9</v>
      </c>
      <c r="E173" s="161" t="s">
        <v>301</v>
      </c>
      <c r="F173" s="207">
        <v>41050</v>
      </c>
      <c r="G173" s="207">
        <v>40900</v>
      </c>
      <c r="H173" s="161">
        <v>-150</v>
      </c>
      <c r="I173" s="207">
        <v>50</v>
      </c>
      <c r="J173" s="242">
        <f t="shared" si="28"/>
        <v>-7500</v>
      </c>
      <c r="K173" s="153"/>
      <c r="V173" s="25">
        <f t="shared" si="29"/>
        <v>0</v>
      </c>
      <c r="W173" s="25">
        <f t="shared" si="30"/>
        <v>1</v>
      </c>
    </row>
    <row r="174" spans="1:23" x14ac:dyDescent="0.3">
      <c r="A174" s="147"/>
      <c r="B174" s="205">
        <f t="shared" si="31"/>
        <v>17</v>
      </c>
      <c r="C174" s="206">
        <v>44827</v>
      </c>
      <c r="D174" s="161" t="s">
        <v>8</v>
      </c>
      <c r="E174" s="161" t="s">
        <v>301</v>
      </c>
      <c r="F174" s="207">
        <v>40000</v>
      </c>
      <c r="G174" s="207">
        <v>39700</v>
      </c>
      <c r="H174" s="161">
        <v>300</v>
      </c>
      <c r="I174" s="207">
        <v>50</v>
      </c>
      <c r="J174" s="242">
        <f t="shared" si="28"/>
        <v>15000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18</v>
      </c>
      <c r="C175" s="206">
        <v>44830</v>
      </c>
      <c r="D175" s="161" t="s">
        <v>8</v>
      </c>
      <c r="E175" s="161" t="s">
        <v>301</v>
      </c>
      <c r="F175" s="207">
        <v>38750</v>
      </c>
      <c r="G175" s="207">
        <v>38545</v>
      </c>
      <c r="H175" s="161">
        <f>38750-38545</f>
        <v>205</v>
      </c>
      <c r="I175" s="207">
        <v>50</v>
      </c>
      <c r="J175" s="242">
        <f t="shared" si="28"/>
        <v>10250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19</v>
      </c>
      <c r="C176" s="206">
        <v>44831</v>
      </c>
      <c r="D176" s="161" t="s">
        <v>8</v>
      </c>
      <c r="E176" s="161" t="s">
        <v>301</v>
      </c>
      <c r="F176" s="207">
        <v>38850</v>
      </c>
      <c r="G176" s="207">
        <v>38550</v>
      </c>
      <c r="H176" s="161">
        <v>300</v>
      </c>
      <c r="I176" s="207">
        <v>50</v>
      </c>
      <c r="J176" s="242">
        <f t="shared" si="28"/>
        <v>15000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20</v>
      </c>
      <c r="C177" s="206">
        <v>44832</v>
      </c>
      <c r="D177" s="161" t="s">
        <v>9</v>
      </c>
      <c r="E177" s="161" t="s">
        <v>301</v>
      </c>
      <c r="F177" s="207">
        <v>38200</v>
      </c>
      <c r="G177" s="207">
        <v>38255</v>
      </c>
      <c r="H177" s="161">
        <v>55</v>
      </c>
      <c r="I177" s="207">
        <v>50</v>
      </c>
      <c r="J177" s="242">
        <f t="shared" si="28"/>
        <v>2750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21</v>
      </c>
      <c r="C178" s="206">
        <v>44833</v>
      </c>
      <c r="D178" s="161" t="s">
        <v>8</v>
      </c>
      <c r="E178" s="161" t="s">
        <v>301</v>
      </c>
      <c r="F178" s="207">
        <v>38050</v>
      </c>
      <c r="G178" s="207">
        <v>37750</v>
      </c>
      <c r="H178" s="161">
        <v>300</v>
      </c>
      <c r="I178" s="207">
        <v>50</v>
      </c>
      <c r="J178" s="242">
        <f t="shared" si="28"/>
        <v>15000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22</v>
      </c>
      <c r="C179" s="206">
        <v>44834</v>
      </c>
      <c r="D179" s="161" t="s">
        <v>9</v>
      </c>
      <c r="E179" s="161" t="s">
        <v>301</v>
      </c>
      <c r="F179" s="207">
        <v>37850</v>
      </c>
      <c r="G179" s="207">
        <v>38150</v>
      </c>
      <c r="H179" s="161">
        <v>300</v>
      </c>
      <c r="I179" s="207">
        <v>50</v>
      </c>
      <c r="J179" s="242">
        <f t="shared" si="28"/>
        <v>15000</v>
      </c>
      <c r="K179" s="153"/>
      <c r="V179" s="25">
        <f t="shared" si="29"/>
        <v>1</v>
      </c>
      <c r="W179" s="25">
        <f t="shared" si="30"/>
        <v>0</v>
      </c>
    </row>
    <row r="180" spans="1:23" ht="15" thickBot="1" x14ac:dyDescent="0.35">
      <c r="A180" s="147"/>
      <c r="B180" s="208">
        <f t="shared" si="31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162000</v>
      </c>
      <c r="K181" s="153"/>
      <c r="V181" s="25">
        <f>SUM(V158:V180)</f>
        <v>20</v>
      </c>
      <c r="W181" s="25">
        <f>SUM(W158:W180)</f>
        <v>2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3451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44805</v>
      </c>
      <c r="D189" s="185" t="s">
        <v>9</v>
      </c>
      <c r="E189" s="185" t="s">
        <v>3535</v>
      </c>
      <c r="F189" s="219">
        <v>200</v>
      </c>
      <c r="G189" s="219">
        <v>100</v>
      </c>
      <c r="H189" s="185">
        <v>-100</v>
      </c>
      <c r="I189" s="219">
        <v>100</v>
      </c>
      <c r="J189" s="246">
        <f t="shared" ref="J189:J211" si="32">I189*H189</f>
        <v>-10000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44806</v>
      </c>
      <c r="D190" s="185" t="s">
        <v>9</v>
      </c>
      <c r="E190" s="185" t="s">
        <v>3681</v>
      </c>
      <c r="F190" s="219">
        <v>520</v>
      </c>
      <c r="G190" s="219">
        <v>420</v>
      </c>
      <c r="H190" s="185">
        <v>-100</v>
      </c>
      <c r="I190" s="219">
        <v>100</v>
      </c>
      <c r="J190" s="242">
        <f t="shared" si="32"/>
        <v>-10000</v>
      </c>
      <c r="K190" s="153"/>
      <c r="V190" s="25">
        <f t="shared" ref="V190:V211" si="33">IF($J190&gt;0,1,0)</f>
        <v>0</v>
      </c>
      <c r="W190" s="25">
        <f t="shared" ref="W190:W211" si="34">IF($J190&lt;0,1,0)</f>
        <v>1</v>
      </c>
    </row>
    <row r="191" spans="1:23" x14ac:dyDescent="0.3">
      <c r="A191" s="147"/>
      <c r="B191" s="205">
        <f t="shared" ref="B191:B211" si="35">B190+1</f>
        <v>3</v>
      </c>
      <c r="C191" s="206">
        <v>44809</v>
      </c>
      <c r="D191" s="161" t="s">
        <v>9</v>
      </c>
      <c r="E191" s="161" t="s">
        <v>3908</v>
      </c>
      <c r="F191" s="207">
        <v>300</v>
      </c>
      <c r="G191" s="207">
        <v>352</v>
      </c>
      <c r="H191" s="161">
        <v>52</v>
      </c>
      <c r="I191" s="207">
        <v>100</v>
      </c>
      <c r="J191" s="242">
        <f t="shared" si="32"/>
        <v>5200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4</v>
      </c>
      <c r="C192" s="206">
        <v>44810</v>
      </c>
      <c r="D192" s="161" t="s">
        <v>9</v>
      </c>
      <c r="E192" s="161" t="s">
        <v>3911</v>
      </c>
      <c r="F192" s="207">
        <v>340</v>
      </c>
      <c r="G192" s="207">
        <v>485</v>
      </c>
      <c r="H192" s="161">
        <f>485-340</f>
        <v>145</v>
      </c>
      <c r="I192" s="207">
        <v>100</v>
      </c>
      <c r="J192" s="242">
        <f t="shared" si="32"/>
        <v>14500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5</v>
      </c>
      <c r="C193" s="206">
        <v>44811</v>
      </c>
      <c r="D193" s="161" t="s">
        <v>9</v>
      </c>
      <c r="E193" s="161" t="s">
        <v>3889</v>
      </c>
      <c r="F193" s="207">
        <v>280</v>
      </c>
      <c r="G193" s="207">
        <v>334</v>
      </c>
      <c r="H193" s="161">
        <f>334-280</f>
        <v>54</v>
      </c>
      <c r="I193" s="207">
        <v>100</v>
      </c>
      <c r="J193" s="242">
        <f t="shared" si="32"/>
        <v>5400</v>
      </c>
      <c r="K193" s="153"/>
      <c r="O193" s="25" t="s">
        <v>2008</v>
      </c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6</v>
      </c>
      <c r="C194" s="206">
        <v>44812</v>
      </c>
      <c r="D194" s="161" t="s">
        <v>9</v>
      </c>
      <c r="E194" s="161" t="s">
        <v>3914</v>
      </c>
      <c r="F194" s="207">
        <v>300</v>
      </c>
      <c r="G194" s="207">
        <v>330</v>
      </c>
      <c r="H194" s="161">
        <v>30</v>
      </c>
      <c r="I194" s="207">
        <v>100</v>
      </c>
      <c r="J194" s="242">
        <f t="shared" si="32"/>
        <v>3000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7</v>
      </c>
      <c r="C195" s="206">
        <v>44813</v>
      </c>
      <c r="D195" s="161" t="s">
        <v>9</v>
      </c>
      <c r="E195" s="161" t="s">
        <v>3915</v>
      </c>
      <c r="F195" s="207">
        <v>380</v>
      </c>
      <c r="G195" s="207">
        <v>440</v>
      </c>
      <c r="H195" s="161">
        <f>440-380</f>
        <v>60</v>
      </c>
      <c r="I195" s="207">
        <v>100</v>
      </c>
      <c r="J195" s="242">
        <f t="shared" si="32"/>
        <v>6000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8</v>
      </c>
      <c r="C196" s="206">
        <v>44816</v>
      </c>
      <c r="D196" s="161" t="s">
        <v>9</v>
      </c>
      <c r="E196" s="161" t="s">
        <v>3917</v>
      </c>
      <c r="F196" s="207">
        <v>400</v>
      </c>
      <c r="G196" s="207">
        <v>445</v>
      </c>
      <c r="H196" s="161">
        <v>45</v>
      </c>
      <c r="I196" s="207">
        <v>100</v>
      </c>
      <c r="J196" s="242">
        <f t="shared" si="32"/>
        <v>4500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9</v>
      </c>
      <c r="C197" s="206">
        <v>44817</v>
      </c>
      <c r="D197" s="161" t="s">
        <v>9</v>
      </c>
      <c r="E197" s="161" t="s">
        <v>3920</v>
      </c>
      <c r="F197" s="207">
        <v>360</v>
      </c>
      <c r="G197" s="207">
        <v>407</v>
      </c>
      <c r="H197" s="161">
        <f>407-360</f>
        <v>47</v>
      </c>
      <c r="I197" s="207">
        <v>100</v>
      </c>
      <c r="J197" s="242">
        <f t="shared" si="32"/>
        <v>4700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10</v>
      </c>
      <c r="C198" s="206">
        <v>44818</v>
      </c>
      <c r="D198" s="161" t="s">
        <v>9</v>
      </c>
      <c r="E198" s="161" t="s">
        <v>3915</v>
      </c>
      <c r="F198" s="207">
        <v>350</v>
      </c>
      <c r="G198" s="207">
        <v>550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11</v>
      </c>
      <c r="C199" s="206">
        <v>44819</v>
      </c>
      <c r="D199" s="161" t="s">
        <v>9</v>
      </c>
      <c r="E199" s="161" t="s">
        <v>3924</v>
      </c>
      <c r="F199" s="207">
        <v>380</v>
      </c>
      <c r="G199" s="207">
        <v>280</v>
      </c>
      <c r="H199" s="161">
        <v>-100</v>
      </c>
      <c r="I199" s="207">
        <v>100</v>
      </c>
      <c r="J199" s="242">
        <f t="shared" si="32"/>
        <v>-10000</v>
      </c>
      <c r="K199" s="153"/>
      <c r="V199" s="25">
        <f t="shared" si="33"/>
        <v>0</v>
      </c>
      <c r="W199" s="25">
        <f t="shared" si="34"/>
        <v>1</v>
      </c>
    </row>
    <row r="200" spans="1:23" x14ac:dyDescent="0.3">
      <c r="A200" s="147"/>
      <c r="B200" s="205">
        <f t="shared" si="35"/>
        <v>12</v>
      </c>
      <c r="C200" s="206">
        <v>44820</v>
      </c>
      <c r="D200" s="161" t="s">
        <v>9</v>
      </c>
      <c r="E200" s="161" t="s">
        <v>3926</v>
      </c>
      <c r="F200" s="207">
        <v>520</v>
      </c>
      <c r="G200" s="207">
        <v>700</v>
      </c>
      <c r="H200" s="161">
        <f>700-520</f>
        <v>180</v>
      </c>
      <c r="I200" s="207">
        <v>100</v>
      </c>
      <c r="J200" s="242">
        <f t="shared" si="32"/>
        <v>18000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13</v>
      </c>
      <c r="C201" s="206">
        <v>44823</v>
      </c>
      <c r="D201" s="161" t="s">
        <v>9</v>
      </c>
      <c r="E201" s="161" t="s">
        <v>3928</v>
      </c>
      <c r="F201" s="207">
        <v>420</v>
      </c>
      <c r="G201" s="207">
        <v>478</v>
      </c>
      <c r="H201" s="161">
        <f>478-420</f>
        <v>58</v>
      </c>
      <c r="I201" s="207">
        <v>100</v>
      </c>
      <c r="J201" s="242">
        <f t="shared" si="32"/>
        <v>5800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14</v>
      </c>
      <c r="C202" s="206">
        <v>44824</v>
      </c>
      <c r="D202" s="161" t="s">
        <v>9</v>
      </c>
      <c r="E202" s="161" t="s">
        <v>3931</v>
      </c>
      <c r="F202" s="207">
        <v>350</v>
      </c>
      <c r="G202" s="222">
        <v>449.7</v>
      </c>
      <c r="H202" s="161">
        <f>449.7-350</f>
        <v>99.699999999999989</v>
      </c>
      <c r="I202" s="207">
        <v>100</v>
      </c>
      <c r="J202" s="242">
        <f t="shared" si="32"/>
        <v>9969.9999999999982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15</v>
      </c>
      <c r="C203" s="206">
        <v>44825</v>
      </c>
      <c r="D203" s="161" t="s">
        <v>9</v>
      </c>
      <c r="E203" s="161" t="s">
        <v>3555</v>
      </c>
      <c r="F203" s="207">
        <v>330</v>
      </c>
      <c r="G203" s="207">
        <v>382</v>
      </c>
      <c r="H203" s="161">
        <f>382-330</f>
        <v>52</v>
      </c>
      <c r="I203" s="207">
        <v>100</v>
      </c>
      <c r="J203" s="242">
        <f t="shared" si="32"/>
        <v>5200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16</v>
      </c>
      <c r="C204" s="206">
        <v>44826</v>
      </c>
      <c r="D204" s="161" t="s">
        <v>9</v>
      </c>
      <c r="E204" s="161" t="s">
        <v>3935</v>
      </c>
      <c r="F204" s="207">
        <v>200</v>
      </c>
      <c r="G204" s="207">
        <v>400</v>
      </c>
      <c r="H204" s="161">
        <v>200</v>
      </c>
      <c r="I204" s="207">
        <v>100</v>
      </c>
      <c r="J204" s="242">
        <f t="shared" si="32"/>
        <v>20000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17</v>
      </c>
      <c r="C205" s="206">
        <v>44827</v>
      </c>
      <c r="D205" s="161" t="s">
        <v>9</v>
      </c>
      <c r="E205" s="161" t="s">
        <v>3911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2"/>
        <v>20000</v>
      </c>
      <c r="K205" s="153"/>
      <c r="V205" s="25">
        <f t="shared" si="33"/>
        <v>1</v>
      </c>
      <c r="W205" s="25">
        <f t="shared" si="34"/>
        <v>0</v>
      </c>
    </row>
    <row r="206" spans="1:23" x14ac:dyDescent="0.3">
      <c r="A206" s="147"/>
      <c r="B206" s="205">
        <f t="shared" si="35"/>
        <v>18</v>
      </c>
      <c r="C206" s="206">
        <v>44830</v>
      </c>
      <c r="D206" s="161" t="s">
        <v>9</v>
      </c>
      <c r="E206" s="161" t="s">
        <v>3570</v>
      </c>
      <c r="F206" s="207">
        <v>450</v>
      </c>
      <c r="G206" s="207">
        <v>550</v>
      </c>
      <c r="H206" s="161">
        <v>100</v>
      </c>
      <c r="I206" s="207">
        <v>100</v>
      </c>
      <c r="J206" s="242">
        <f t="shared" si="32"/>
        <v>10000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19</v>
      </c>
      <c r="C207" s="206">
        <v>44831</v>
      </c>
      <c r="D207" s="161" t="s">
        <v>9</v>
      </c>
      <c r="E207" s="161" t="s">
        <v>3570</v>
      </c>
      <c r="F207" s="207">
        <v>380</v>
      </c>
      <c r="G207" s="207">
        <v>580</v>
      </c>
      <c r="H207" s="161">
        <v>200</v>
      </c>
      <c r="I207" s="207">
        <v>100</v>
      </c>
      <c r="J207" s="242">
        <f t="shared" si="32"/>
        <v>20000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20</v>
      </c>
      <c r="C208" s="206">
        <v>44832</v>
      </c>
      <c r="D208" s="161" t="s">
        <v>9</v>
      </c>
      <c r="E208" s="161" t="s">
        <v>3507</v>
      </c>
      <c r="F208" s="207">
        <v>340</v>
      </c>
      <c r="G208" s="207">
        <v>380</v>
      </c>
      <c r="H208" s="161">
        <v>40</v>
      </c>
      <c r="I208" s="207">
        <v>100</v>
      </c>
      <c r="J208" s="242">
        <f t="shared" si="32"/>
        <v>4000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21</v>
      </c>
      <c r="C209" s="206">
        <v>44833</v>
      </c>
      <c r="D209" s="161" t="s">
        <v>9</v>
      </c>
      <c r="E209" s="161" t="s">
        <v>3661</v>
      </c>
      <c r="F209" s="207">
        <v>250</v>
      </c>
      <c r="G209" s="207">
        <v>450</v>
      </c>
      <c r="H209" s="161">
        <v>200</v>
      </c>
      <c r="I209" s="207">
        <v>100</v>
      </c>
      <c r="J209" s="242">
        <f t="shared" si="32"/>
        <v>20000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22</v>
      </c>
      <c r="C210" s="206">
        <v>44834</v>
      </c>
      <c r="D210" s="161" t="s">
        <v>9</v>
      </c>
      <c r="E210" s="161" t="s">
        <v>3518</v>
      </c>
      <c r="F210" s="207">
        <v>400</v>
      </c>
      <c r="G210" s="207">
        <v>600</v>
      </c>
      <c r="H210" s="161">
        <v>200</v>
      </c>
      <c r="I210" s="207">
        <v>100</v>
      </c>
      <c r="J210" s="242">
        <f t="shared" si="32"/>
        <v>20000</v>
      </c>
      <c r="K210" s="153"/>
      <c r="V210" s="25">
        <f t="shared" si="33"/>
        <v>1</v>
      </c>
      <c r="W210" s="25">
        <f t="shared" si="34"/>
        <v>0</v>
      </c>
    </row>
    <row r="211" spans="1:23" ht="15" thickBot="1" x14ac:dyDescent="0.35">
      <c r="A211" s="147"/>
      <c r="B211" s="208">
        <f t="shared" si="35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2"/>
        <v>0</v>
      </c>
      <c r="K211" s="153"/>
      <c r="V211" s="25">
        <f t="shared" si="33"/>
        <v>0</v>
      </c>
      <c r="W211" s="25">
        <f t="shared" si="34"/>
        <v>0</v>
      </c>
    </row>
    <row r="212" spans="1:23" ht="24" thickBot="1" x14ac:dyDescent="0.5">
      <c r="A212" s="147"/>
      <c r="B212" s="370" t="s">
        <v>2254</v>
      </c>
      <c r="C212" s="371"/>
      <c r="D212" s="371"/>
      <c r="E212" s="371"/>
      <c r="F212" s="371"/>
      <c r="G212" s="371"/>
      <c r="H212" s="372"/>
      <c r="I212" s="211" t="s">
        <v>2255</v>
      </c>
      <c r="J212" s="212">
        <f>SUM(J189:J211)</f>
        <v>186270</v>
      </c>
      <c r="K212" s="153"/>
      <c r="V212" s="25">
        <f>SUM(V189:V211)</f>
        <v>19</v>
      </c>
      <c r="W212" s="25">
        <f>SUM(W189:W211)</f>
        <v>3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61" t="s">
        <v>2244</v>
      </c>
      <c r="C216" s="362"/>
      <c r="D216" s="362"/>
      <c r="E216" s="362"/>
      <c r="F216" s="362"/>
      <c r="G216" s="362"/>
      <c r="H216" s="362"/>
      <c r="I216" s="362"/>
      <c r="J216" s="363"/>
      <c r="K216" s="153"/>
    </row>
    <row r="217" spans="1:23" ht="16.2" thickBot="1" x14ac:dyDescent="0.35">
      <c r="A217" s="147"/>
      <c r="B217" s="364" t="s">
        <v>3906</v>
      </c>
      <c r="C217" s="365"/>
      <c r="D217" s="365"/>
      <c r="E217" s="365"/>
      <c r="F217" s="365"/>
      <c r="G217" s="365"/>
      <c r="H217" s="365"/>
      <c r="I217" s="365"/>
      <c r="J217" s="366"/>
      <c r="K217" s="153"/>
    </row>
    <row r="218" spans="1:23" ht="16.2" thickBot="1" x14ac:dyDescent="0.35">
      <c r="A218" s="147"/>
      <c r="B218" s="367" t="s">
        <v>1076</v>
      </c>
      <c r="C218" s="368"/>
      <c r="D218" s="368"/>
      <c r="E218" s="368"/>
      <c r="F218" s="368"/>
      <c r="G218" s="368"/>
      <c r="H218" s="368"/>
      <c r="I218" s="368"/>
      <c r="J218" s="369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44805</v>
      </c>
      <c r="D220" s="185" t="s">
        <v>9</v>
      </c>
      <c r="E220" s="185" t="s">
        <v>3909</v>
      </c>
      <c r="F220" s="231">
        <v>17</v>
      </c>
      <c r="G220" s="231">
        <v>18</v>
      </c>
      <c r="H220" s="231">
        <v>1</v>
      </c>
      <c r="I220" s="219">
        <v>1500</v>
      </c>
      <c r="J220" s="246">
        <f t="shared" ref="J220:J243" si="36">I220*H220</f>
        <v>1500</v>
      </c>
      <c r="K220" s="153"/>
      <c r="V220" s="25">
        <f>IF($J220&gt;0,1,0)</f>
        <v>1</v>
      </c>
      <c r="W220" s="25">
        <f>IF($J220&lt;0,1,0)</f>
        <v>0</v>
      </c>
    </row>
    <row r="221" spans="1:23" x14ac:dyDescent="0.3">
      <c r="A221" s="147"/>
      <c r="B221" s="205">
        <f>B220+1</f>
        <v>2</v>
      </c>
      <c r="C221" s="218">
        <v>44806</v>
      </c>
      <c r="D221" s="185" t="s">
        <v>9</v>
      </c>
      <c r="E221" s="185" t="s">
        <v>3910</v>
      </c>
      <c r="F221" s="231">
        <v>36</v>
      </c>
      <c r="G221" s="231">
        <v>39</v>
      </c>
      <c r="H221" s="231">
        <v>3</v>
      </c>
      <c r="I221" s="219">
        <v>900</v>
      </c>
      <c r="J221" s="242">
        <f>I221*H221</f>
        <v>2700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 t="shared" ref="B222:B243" si="37">B221+1</f>
        <v>3</v>
      </c>
      <c r="C222" s="206">
        <v>44809</v>
      </c>
      <c r="D222" s="161" t="s">
        <v>9</v>
      </c>
      <c r="E222" s="161" t="s">
        <v>2682</v>
      </c>
      <c r="F222" s="222">
        <v>20.5</v>
      </c>
      <c r="G222" s="222">
        <v>19</v>
      </c>
      <c r="H222" s="222">
        <v>-1.5</v>
      </c>
      <c r="I222" s="207">
        <v>1200</v>
      </c>
      <c r="J222" s="242">
        <f t="shared" si="36"/>
        <v>-1800</v>
      </c>
      <c r="K222" s="153"/>
      <c r="V222" s="25">
        <f t="shared" ref="V222:V243" si="38">IF($J222&gt;0,1,0)</f>
        <v>0</v>
      </c>
      <c r="W222" s="25">
        <f t="shared" ref="W222:W243" si="39">IF($J222&lt;0,1,0)</f>
        <v>1</v>
      </c>
    </row>
    <row r="223" spans="1:23" x14ac:dyDescent="0.3">
      <c r="A223" s="147"/>
      <c r="B223" s="205">
        <f t="shared" si="37"/>
        <v>4</v>
      </c>
      <c r="C223" s="206">
        <v>44810</v>
      </c>
      <c r="D223" s="161" t="s">
        <v>9</v>
      </c>
      <c r="E223" s="161" t="s">
        <v>3748</v>
      </c>
      <c r="F223" s="222">
        <v>63</v>
      </c>
      <c r="G223" s="222">
        <v>68.8</v>
      </c>
      <c r="H223" s="222">
        <f>68.8-63</f>
        <v>5.7999999999999972</v>
      </c>
      <c r="I223" s="207">
        <v>250</v>
      </c>
      <c r="J223" s="242">
        <f t="shared" si="36"/>
        <v>1449.9999999999993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5</v>
      </c>
      <c r="C224" s="206">
        <v>44811</v>
      </c>
      <c r="D224" s="161" t="s">
        <v>9</v>
      </c>
      <c r="E224" s="161" t="s">
        <v>3912</v>
      </c>
      <c r="F224" s="222">
        <v>53</v>
      </c>
      <c r="G224" s="222">
        <v>58.4</v>
      </c>
      <c r="H224" s="222">
        <v>5.4</v>
      </c>
      <c r="I224" s="207">
        <v>725</v>
      </c>
      <c r="J224" s="242">
        <f t="shared" si="36"/>
        <v>3915.0000000000005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6</v>
      </c>
      <c r="C225" s="206">
        <v>44812</v>
      </c>
      <c r="D225" s="161" t="s">
        <v>9</v>
      </c>
      <c r="E225" s="161" t="s">
        <v>3913</v>
      </c>
      <c r="F225" s="222">
        <v>15</v>
      </c>
      <c r="G225" s="222">
        <v>23</v>
      </c>
      <c r="H225" s="222">
        <f>23-15</f>
        <v>8</v>
      </c>
      <c r="I225" s="207">
        <v>950</v>
      </c>
      <c r="J225" s="242">
        <f t="shared" si="36"/>
        <v>7600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7</v>
      </c>
      <c r="C226" s="206">
        <v>44813</v>
      </c>
      <c r="D226" s="161" t="s">
        <v>9</v>
      </c>
      <c r="E226" s="161" t="s">
        <v>3916</v>
      </c>
      <c r="F226" s="222">
        <v>240</v>
      </c>
      <c r="G226" s="222">
        <v>280</v>
      </c>
      <c r="H226" s="222">
        <v>40</v>
      </c>
      <c r="I226" s="207">
        <v>125</v>
      </c>
      <c r="J226" s="242">
        <f t="shared" si="36"/>
        <v>5000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8</v>
      </c>
      <c r="C227" s="206">
        <v>44816</v>
      </c>
      <c r="D227" s="161" t="s">
        <v>9</v>
      </c>
      <c r="E227" s="161" t="s">
        <v>3918</v>
      </c>
      <c r="F227" s="222">
        <v>38</v>
      </c>
      <c r="G227" s="222">
        <v>32</v>
      </c>
      <c r="H227" s="222">
        <v>-6</v>
      </c>
      <c r="I227" s="207">
        <v>300</v>
      </c>
      <c r="J227" s="242">
        <f t="shared" si="36"/>
        <v>-1800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9</v>
      </c>
      <c r="C228" s="206">
        <v>44817</v>
      </c>
      <c r="D228" s="161" t="s">
        <v>9</v>
      </c>
      <c r="E228" s="161" t="s">
        <v>3921</v>
      </c>
      <c r="F228" s="222">
        <v>13</v>
      </c>
      <c r="G228" s="222">
        <v>15</v>
      </c>
      <c r="H228" s="255">
        <v>2</v>
      </c>
      <c r="I228" s="207">
        <v>1500</v>
      </c>
      <c r="J228" s="242">
        <f t="shared" si="36"/>
        <v>3000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10</v>
      </c>
      <c r="C229" s="206">
        <v>44818</v>
      </c>
      <c r="D229" s="161" t="s">
        <v>9</v>
      </c>
      <c r="E229" s="161" t="s">
        <v>3922</v>
      </c>
      <c r="F229" s="222">
        <v>38</v>
      </c>
      <c r="G229" s="222">
        <v>34</v>
      </c>
      <c r="H229" s="255">
        <v>-4</v>
      </c>
      <c r="I229" s="207">
        <v>1250</v>
      </c>
      <c r="J229" s="242">
        <f t="shared" si="36"/>
        <v>-5000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11</v>
      </c>
      <c r="C230" s="206">
        <v>44819</v>
      </c>
      <c r="D230" s="161" t="s">
        <v>9</v>
      </c>
      <c r="E230" s="161" t="s">
        <v>3748</v>
      </c>
      <c r="F230" s="222">
        <v>60</v>
      </c>
      <c r="G230" s="222">
        <v>50</v>
      </c>
      <c r="H230" s="255">
        <v>-10</v>
      </c>
      <c r="I230" s="207">
        <v>250</v>
      </c>
      <c r="J230" s="242">
        <f t="shared" si="36"/>
        <v>-2500</v>
      </c>
      <c r="K230" s="153"/>
      <c r="V230" s="25">
        <f t="shared" si="38"/>
        <v>0</v>
      </c>
      <c r="W230" s="25">
        <f t="shared" si="39"/>
        <v>1</v>
      </c>
    </row>
    <row r="231" spans="1:23" x14ac:dyDescent="0.3">
      <c r="A231" s="147"/>
      <c r="B231" s="205">
        <f t="shared" si="37"/>
        <v>12</v>
      </c>
      <c r="C231" s="206">
        <v>44820</v>
      </c>
      <c r="D231" s="161" t="s">
        <v>9</v>
      </c>
      <c r="E231" s="161" t="s">
        <v>3925</v>
      </c>
      <c r="F231" s="222">
        <v>16</v>
      </c>
      <c r="G231" s="222">
        <v>17.2</v>
      </c>
      <c r="H231" s="255">
        <v>1.2</v>
      </c>
      <c r="I231" s="207">
        <v>1200</v>
      </c>
      <c r="J231" s="242">
        <f t="shared" si="36"/>
        <v>1440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13</v>
      </c>
      <c r="C232" s="206">
        <v>44823</v>
      </c>
      <c r="D232" s="161" t="s">
        <v>9</v>
      </c>
      <c r="E232" s="161" t="s">
        <v>3929</v>
      </c>
      <c r="F232" s="222">
        <v>45</v>
      </c>
      <c r="G232" s="222">
        <v>53.4</v>
      </c>
      <c r="H232" s="255">
        <f>53.4-45</f>
        <v>8.3999999999999986</v>
      </c>
      <c r="I232" s="207">
        <v>300</v>
      </c>
      <c r="J232" s="242">
        <f t="shared" si="36"/>
        <v>2519.9999999999995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14</v>
      </c>
      <c r="C233" s="206">
        <v>44824</v>
      </c>
      <c r="D233" s="161" t="s">
        <v>9</v>
      </c>
      <c r="E233" s="161" t="s">
        <v>3930</v>
      </c>
      <c r="F233" s="222">
        <v>12.5</v>
      </c>
      <c r="G233" s="222">
        <v>13.2</v>
      </c>
      <c r="H233" s="255">
        <f>13.2-12.5</f>
        <v>0.69999999999999929</v>
      </c>
      <c r="I233" s="207">
        <v>1500</v>
      </c>
      <c r="J233" s="242">
        <f>I233*H233</f>
        <v>1049.9999999999989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15</v>
      </c>
      <c r="C234" s="206">
        <v>44825</v>
      </c>
      <c r="D234" s="161" t="s">
        <v>9</v>
      </c>
      <c r="E234" s="161" t="s">
        <v>3933</v>
      </c>
      <c r="F234" s="222">
        <v>130</v>
      </c>
      <c r="G234" s="222">
        <v>175</v>
      </c>
      <c r="H234" s="255">
        <f>175-130</f>
        <v>45</v>
      </c>
      <c r="I234" s="207">
        <v>125</v>
      </c>
      <c r="J234" s="242">
        <f t="shared" si="36"/>
        <v>5625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16</v>
      </c>
      <c r="C235" s="206">
        <v>44826</v>
      </c>
      <c r="D235" s="161" t="s">
        <v>9</v>
      </c>
      <c r="E235" s="161" t="s">
        <v>3934</v>
      </c>
      <c r="F235" s="222">
        <v>120</v>
      </c>
      <c r="G235" s="222">
        <v>142</v>
      </c>
      <c r="H235" s="222">
        <v>20</v>
      </c>
      <c r="I235" s="207">
        <v>500</v>
      </c>
      <c r="J235" s="242">
        <f t="shared" si="36"/>
        <v>10000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17</v>
      </c>
      <c r="C236" s="206">
        <v>44827</v>
      </c>
      <c r="D236" s="161" t="s">
        <v>9</v>
      </c>
      <c r="E236" s="161" t="s">
        <v>3925</v>
      </c>
      <c r="F236" s="222">
        <v>14</v>
      </c>
      <c r="G236" s="222">
        <v>19</v>
      </c>
      <c r="H236" s="222">
        <v>5</v>
      </c>
      <c r="I236" s="207">
        <v>1200</v>
      </c>
      <c r="J236" s="242">
        <f t="shared" si="36"/>
        <v>6000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18</v>
      </c>
      <c r="C237" s="206">
        <v>44830</v>
      </c>
      <c r="D237" s="161" t="s">
        <v>9</v>
      </c>
      <c r="E237" s="161" t="s">
        <v>3939</v>
      </c>
      <c r="F237" s="222">
        <v>15</v>
      </c>
      <c r="G237" s="222">
        <v>22</v>
      </c>
      <c r="H237" s="222">
        <f>22-15</f>
        <v>7</v>
      </c>
      <c r="I237" s="207">
        <v>700</v>
      </c>
      <c r="J237" s="242">
        <f t="shared" si="36"/>
        <v>4900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19</v>
      </c>
      <c r="C238" s="206">
        <v>44831</v>
      </c>
      <c r="D238" s="161" t="s">
        <v>9</v>
      </c>
      <c r="E238" s="161" t="s">
        <v>3940</v>
      </c>
      <c r="F238" s="222">
        <v>25</v>
      </c>
      <c r="G238" s="222">
        <v>34.5</v>
      </c>
      <c r="H238" s="222">
        <f>34.5-25</f>
        <v>9.5</v>
      </c>
      <c r="I238" s="207">
        <v>250</v>
      </c>
      <c r="J238" s="242">
        <f t="shared" si="36"/>
        <v>2375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20</v>
      </c>
      <c r="C239" s="206">
        <v>44832</v>
      </c>
      <c r="D239" s="161" t="s">
        <v>9</v>
      </c>
      <c r="E239" s="161" t="s">
        <v>2710</v>
      </c>
      <c r="F239" s="222">
        <v>8</v>
      </c>
      <c r="G239" s="222">
        <v>16</v>
      </c>
      <c r="H239" s="222">
        <v>8</v>
      </c>
      <c r="I239" s="207">
        <v>1200</v>
      </c>
      <c r="J239" s="242">
        <f t="shared" si="36"/>
        <v>9600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21</v>
      </c>
      <c r="C240" s="206">
        <v>44833</v>
      </c>
      <c r="D240" s="161" t="s">
        <v>9</v>
      </c>
      <c r="E240" s="161" t="s">
        <v>2644</v>
      </c>
      <c r="F240" s="222">
        <v>28</v>
      </c>
      <c r="G240" s="222">
        <v>30</v>
      </c>
      <c r="H240" s="222">
        <v>2</v>
      </c>
      <c r="I240" s="207">
        <v>1200</v>
      </c>
      <c r="J240" s="242">
        <f t="shared" si="36"/>
        <v>2400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22</v>
      </c>
      <c r="C241" s="206">
        <v>44834</v>
      </c>
      <c r="D241" s="161" t="s">
        <v>9</v>
      </c>
      <c r="E241" s="161" t="s">
        <v>3943</v>
      </c>
      <c r="F241" s="222">
        <v>78</v>
      </c>
      <c r="G241" s="222">
        <v>85</v>
      </c>
      <c r="H241" s="222">
        <f>85-78</f>
        <v>7</v>
      </c>
      <c r="I241" s="207">
        <v>300</v>
      </c>
      <c r="J241" s="242">
        <f t="shared" si="36"/>
        <v>2100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6"/>
        <v>0</v>
      </c>
      <c r="K242" s="153"/>
      <c r="V242" s="25">
        <f t="shared" si="38"/>
        <v>0</v>
      </c>
      <c r="W242" s="25">
        <f t="shared" si="39"/>
        <v>0</v>
      </c>
    </row>
    <row r="243" spans="1:23" ht="15" thickBot="1" x14ac:dyDescent="0.35">
      <c r="A243" s="147"/>
      <c r="B243" s="208">
        <f t="shared" si="37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6"/>
        <v>0</v>
      </c>
      <c r="K243" s="153"/>
      <c r="V243" s="25">
        <f t="shared" si="38"/>
        <v>0</v>
      </c>
      <c r="W243" s="25">
        <f t="shared" si="39"/>
        <v>0</v>
      </c>
    </row>
    <row r="244" spans="1:23" ht="24" thickBot="1" x14ac:dyDescent="0.5">
      <c r="A244" s="147"/>
      <c r="B244" s="370" t="s">
        <v>2254</v>
      </c>
      <c r="C244" s="371"/>
      <c r="D244" s="371"/>
      <c r="E244" s="371"/>
      <c r="F244" s="371"/>
      <c r="G244" s="371"/>
      <c r="H244" s="372"/>
      <c r="I244" s="211" t="s">
        <v>2255</v>
      </c>
      <c r="J244" s="212">
        <f>SUM(J220:J243)</f>
        <v>62075</v>
      </c>
      <c r="K244" s="153"/>
      <c r="V244" s="25">
        <f>SUM(V220:V243)</f>
        <v>18</v>
      </c>
      <c r="W244" s="25">
        <f>SUM(W220:W243)</f>
        <v>4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100-000000000000}"/>
    <hyperlink ref="B117" r:id="rId2" xr:uid="{00000000-0004-0000-7100-000001000000}"/>
    <hyperlink ref="B150" r:id="rId3" xr:uid="{00000000-0004-0000-7100-000002000000}"/>
    <hyperlink ref="B181" r:id="rId4" xr:uid="{00000000-0004-0000-7100-000003000000}"/>
    <hyperlink ref="B212" r:id="rId5" xr:uid="{00000000-0004-0000-7100-000004000000}"/>
    <hyperlink ref="B244" r:id="rId6" xr:uid="{00000000-0004-0000-7100-000005000000}"/>
    <hyperlink ref="M1" location="'MASTER '!A1" display="Back" xr:uid="{00000000-0004-0000-7100-000006000000}"/>
    <hyperlink ref="M6:M7" location="'SEP-2022'!A77" display="STOCK FUTURE" xr:uid="{00000000-0004-0000-7100-000007000000}"/>
    <hyperlink ref="M12:M13" location="'SEP-2022'!A170" display="BANK NIFTY" xr:uid="{00000000-0004-0000-7100-000008000000}"/>
    <hyperlink ref="M10:M11" location="'SEP-2022'!A139" display="NF. OPTION" xr:uid="{00000000-0004-0000-7100-000009000000}"/>
    <hyperlink ref="M8:M9" location="'SEP-2022'!A108" display="NIFTY FUTURE" xr:uid="{00000000-0004-0000-7100-00000A000000}"/>
    <hyperlink ref="M4:M5" location="'SEP-2022'!A1" display="CASH" xr:uid="{00000000-0004-0000-7100-00000B000000}"/>
    <hyperlink ref="M14:M15" location="'SEP-2022'!A201" display="B.NIFTY OPTION" xr:uid="{00000000-0004-0000-7100-00000C000000}"/>
    <hyperlink ref="M16:M17" location="'SEP-2022'!A216" display="STOCK OPTION" xr:uid="{00000000-0004-0000-7100-00000D000000}"/>
    <hyperlink ref="B52" r:id="rId7" xr:uid="{00000000-0004-0000-7100-00000E000000}"/>
  </hyperlinks>
  <pageMargins left="0" right="0" top="0" bottom="0" header="0" footer="0"/>
  <pageSetup scale="95" orientation="portrait" r:id="rId8"/>
  <drawing r:id="rId9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W245"/>
  <sheetViews>
    <sheetView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3944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30</v>
      </c>
      <c r="O4" s="386">
        <f>V52</f>
        <v>27</v>
      </c>
      <c r="P4" s="386">
        <f>W52</f>
        <v>3</v>
      </c>
      <c r="Q4" s="387">
        <f>N4-O4-P4</f>
        <v>0</v>
      </c>
      <c r="R4" s="380">
        <f>O4/N4</f>
        <v>0.9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44837</v>
      </c>
      <c r="D6" s="158" t="s">
        <v>9</v>
      </c>
      <c r="E6" s="158" t="s">
        <v>476</v>
      </c>
      <c r="F6" s="230">
        <v>1100</v>
      </c>
      <c r="G6" s="222">
        <v>1120</v>
      </c>
      <c r="H6" s="222">
        <v>20</v>
      </c>
      <c r="I6" s="207">
        <f t="shared" ref="I6:I7" si="0">300000/F6</f>
        <v>272.72727272727275</v>
      </c>
      <c r="J6" s="161">
        <f t="shared" ref="J6:J7" si="1">H6*I6</f>
        <v>5454.545454545455</v>
      </c>
      <c r="K6" s="153"/>
      <c r="M6" s="394" t="s">
        <v>450</v>
      </c>
      <c r="N6" s="344">
        <f>COUNT(C60:C85)</f>
        <v>16</v>
      </c>
      <c r="O6" s="346">
        <f>V86</f>
        <v>14</v>
      </c>
      <c r="P6" s="346">
        <f>W86</f>
        <v>2</v>
      </c>
      <c r="Q6" s="374">
        <f>N6-O6-P6</f>
        <v>0</v>
      </c>
      <c r="R6" s="376">
        <f t="shared" ref="R6" si="2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44837</v>
      </c>
      <c r="D7" s="161" t="s">
        <v>8</v>
      </c>
      <c r="E7" s="161" t="s">
        <v>2004</v>
      </c>
      <c r="F7" s="222">
        <v>702</v>
      </c>
      <c r="G7" s="231">
        <v>690</v>
      </c>
      <c r="H7" s="255">
        <f>702-690</f>
        <v>12</v>
      </c>
      <c r="I7" s="207">
        <f t="shared" si="0"/>
        <v>427.35042735042737</v>
      </c>
      <c r="J7" s="161">
        <f t="shared" si="1"/>
        <v>5128.2051282051289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44838</v>
      </c>
      <c r="D8" s="161" t="s">
        <v>9</v>
      </c>
      <c r="E8" s="161" t="s">
        <v>29</v>
      </c>
      <c r="F8" s="222">
        <v>948</v>
      </c>
      <c r="G8" s="222">
        <v>951</v>
      </c>
      <c r="H8" s="222">
        <v>2</v>
      </c>
      <c r="I8" s="207">
        <f t="shared" ref="I8:I35" si="6">300000/F8</f>
        <v>316.45569620253167</v>
      </c>
      <c r="J8" s="161">
        <f t="shared" ref="J8:J35" si="7">H8*I8</f>
        <v>632.91139240506334</v>
      </c>
      <c r="K8" s="153"/>
      <c r="M8" s="394" t="s">
        <v>451</v>
      </c>
      <c r="N8" s="344">
        <f>COUNT(C94:C116)</f>
        <v>15</v>
      </c>
      <c r="O8" s="346">
        <f>V117</f>
        <v>15</v>
      </c>
      <c r="P8" s="346">
        <f>W117</f>
        <v>0</v>
      </c>
      <c r="Q8" s="374">
        <f>N8-O8-P8</f>
        <v>0</v>
      </c>
      <c r="R8" s="376">
        <f t="shared" ref="R8" si="8">O8/N8</f>
        <v>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44838</v>
      </c>
      <c r="D9" s="161" t="s">
        <v>8</v>
      </c>
      <c r="E9" s="161" t="s">
        <v>108</v>
      </c>
      <c r="F9" s="222">
        <v>398</v>
      </c>
      <c r="G9" s="231">
        <v>396</v>
      </c>
      <c r="H9" s="255">
        <v>2</v>
      </c>
      <c r="I9" s="207">
        <f t="shared" si="6"/>
        <v>753.7688442211055</v>
      </c>
      <c r="J9" s="161">
        <f t="shared" si="7"/>
        <v>1507.537688442211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44840</v>
      </c>
      <c r="D10" s="161" t="s">
        <v>9</v>
      </c>
      <c r="E10" s="161" t="s">
        <v>3927</v>
      </c>
      <c r="F10" s="222">
        <v>2135</v>
      </c>
      <c r="G10" s="222">
        <v>2151</v>
      </c>
      <c r="H10" s="222">
        <f>2151-2135</f>
        <v>16</v>
      </c>
      <c r="I10" s="207">
        <f t="shared" si="6"/>
        <v>140.5152224824356</v>
      </c>
      <c r="J10" s="161">
        <f t="shared" si="7"/>
        <v>2248.2435597189697</v>
      </c>
      <c r="K10" s="153"/>
      <c r="M10" s="394" t="s">
        <v>1176</v>
      </c>
      <c r="N10" s="344">
        <f>COUNT(C125:C149)</f>
        <v>15</v>
      </c>
      <c r="O10" s="346">
        <f>V150</f>
        <v>14</v>
      </c>
      <c r="P10" s="346">
        <f>W150</f>
        <v>1</v>
      </c>
      <c r="Q10" s="374">
        <f>N10-O10-P10</f>
        <v>0</v>
      </c>
      <c r="R10" s="376">
        <f t="shared" ref="R10:R16" si="9">O10/N10</f>
        <v>0.93333333333333335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44840</v>
      </c>
      <c r="D11" s="161" t="s">
        <v>9</v>
      </c>
      <c r="E11" s="161" t="s">
        <v>299</v>
      </c>
      <c r="F11" s="222">
        <v>3265</v>
      </c>
      <c r="G11" s="222">
        <v>3312</v>
      </c>
      <c r="H11" s="255">
        <v>47</v>
      </c>
      <c r="I11" s="207">
        <f t="shared" si="6"/>
        <v>91.883614088820821</v>
      </c>
      <c r="J11" s="161">
        <f t="shared" si="7"/>
        <v>4318.5298621745787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44841</v>
      </c>
      <c r="D12" s="161" t="s">
        <v>9</v>
      </c>
      <c r="E12" s="161" t="s">
        <v>795</v>
      </c>
      <c r="F12" s="222">
        <v>1572</v>
      </c>
      <c r="G12" s="222">
        <v>1592</v>
      </c>
      <c r="H12" s="222">
        <v>20</v>
      </c>
      <c r="I12" s="207">
        <f t="shared" si="6"/>
        <v>190.83969465648855</v>
      </c>
      <c r="J12" s="161">
        <f t="shared" si="7"/>
        <v>3816.7938931297708</v>
      </c>
      <c r="K12" s="153"/>
      <c r="M12" s="394" t="s">
        <v>41</v>
      </c>
      <c r="N12" s="344">
        <f>COUNT(C158:C180)</f>
        <v>15</v>
      </c>
      <c r="O12" s="346">
        <f>V181</f>
        <v>14</v>
      </c>
      <c r="P12" s="346">
        <f>W181</f>
        <v>1</v>
      </c>
      <c r="Q12" s="374">
        <f t="shared" ref="Q12" si="10">N12-O12-P12</f>
        <v>0</v>
      </c>
      <c r="R12" s="376">
        <f t="shared" si="9"/>
        <v>0.93333333333333335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44841</v>
      </c>
      <c r="D13" s="161" t="s">
        <v>9</v>
      </c>
      <c r="E13" s="161" t="s">
        <v>78</v>
      </c>
      <c r="F13" s="222">
        <v>1923</v>
      </c>
      <c r="G13" s="222">
        <v>1927</v>
      </c>
      <c r="H13" s="255">
        <v>4</v>
      </c>
      <c r="I13" s="207">
        <f t="shared" si="6"/>
        <v>156.00624024960999</v>
      </c>
      <c r="J13" s="161">
        <f t="shared" si="7"/>
        <v>624.02496099843995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44844</v>
      </c>
      <c r="D14" s="161" t="s">
        <v>9</v>
      </c>
      <c r="E14" s="161" t="s">
        <v>476</v>
      </c>
      <c r="F14" s="222">
        <v>1200</v>
      </c>
      <c r="G14" s="222">
        <v>1214</v>
      </c>
      <c r="H14" s="222">
        <v>14</v>
      </c>
      <c r="I14" s="207">
        <f t="shared" si="6"/>
        <v>250</v>
      </c>
      <c r="J14" s="161">
        <f t="shared" si="7"/>
        <v>3500</v>
      </c>
      <c r="K14" s="153"/>
      <c r="M14" s="394" t="s">
        <v>1175</v>
      </c>
      <c r="N14" s="344">
        <f>COUNT(C189:C211)</f>
        <v>15</v>
      </c>
      <c r="O14" s="346">
        <f>V212</f>
        <v>15</v>
      </c>
      <c r="P14" s="346">
        <f>W212</f>
        <v>0</v>
      </c>
      <c r="Q14" s="374">
        <f t="shared" ref="Q14" si="11">N14-O14-P14</f>
        <v>0</v>
      </c>
      <c r="R14" s="376">
        <f t="shared" si="9"/>
        <v>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44844</v>
      </c>
      <c r="D15" s="161" t="s">
        <v>8</v>
      </c>
      <c r="E15" s="161" t="s">
        <v>133</v>
      </c>
      <c r="F15" s="222">
        <v>712</v>
      </c>
      <c r="G15" s="222">
        <v>704.25</v>
      </c>
      <c r="H15" s="222">
        <f>712-704.25</f>
        <v>7.75</v>
      </c>
      <c r="I15" s="207">
        <f t="shared" si="6"/>
        <v>421.34831460674155</v>
      </c>
      <c r="J15" s="161">
        <f t="shared" si="7"/>
        <v>3265.4494382022472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44845</v>
      </c>
      <c r="D16" s="161" t="s">
        <v>9</v>
      </c>
      <c r="E16" s="161" t="s">
        <v>299</v>
      </c>
      <c r="F16" s="222">
        <v>3300</v>
      </c>
      <c r="G16" s="222">
        <v>3338</v>
      </c>
      <c r="H16" s="222">
        <v>38</v>
      </c>
      <c r="I16" s="207">
        <f t="shared" si="6"/>
        <v>90.909090909090907</v>
      </c>
      <c r="J16" s="161">
        <f t="shared" si="7"/>
        <v>3454.5454545454545</v>
      </c>
      <c r="K16" s="153"/>
      <c r="L16" s="25" t="s">
        <v>2008</v>
      </c>
      <c r="M16" s="394" t="s">
        <v>1090</v>
      </c>
      <c r="N16" s="344">
        <f>COUNT(C220:C243)</f>
        <v>15</v>
      </c>
      <c r="O16" s="346">
        <f>V244</f>
        <v>12</v>
      </c>
      <c r="P16" s="346">
        <f>W244</f>
        <v>3</v>
      </c>
      <c r="Q16" s="374">
        <v>0</v>
      </c>
      <c r="R16" s="376">
        <f t="shared" si="9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44845</v>
      </c>
      <c r="D17" s="161" t="s">
        <v>8</v>
      </c>
      <c r="E17" s="161" t="s">
        <v>3959</v>
      </c>
      <c r="F17" s="222">
        <v>228</v>
      </c>
      <c r="G17" s="222">
        <v>225</v>
      </c>
      <c r="H17" s="222">
        <v>3</v>
      </c>
      <c r="I17" s="207">
        <f t="shared" si="6"/>
        <v>1315.7894736842106</v>
      </c>
      <c r="J17" s="161">
        <f t="shared" si="7"/>
        <v>3947.3684210526317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44846</v>
      </c>
      <c r="D18" s="161" t="s">
        <v>9</v>
      </c>
      <c r="E18" s="161" t="s">
        <v>58</v>
      </c>
      <c r="F18" s="222">
        <v>795</v>
      </c>
      <c r="G18" s="222">
        <v>810</v>
      </c>
      <c r="H18" s="222">
        <f>810-795</f>
        <v>15</v>
      </c>
      <c r="I18" s="207">
        <f t="shared" si="6"/>
        <v>377.35849056603774</v>
      </c>
      <c r="J18" s="161">
        <f t="shared" si="7"/>
        <v>5660.3773584905666</v>
      </c>
      <c r="K18" s="153"/>
      <c r="M18" s="392" t="s">
        <v>946</v>
      </c>
      <c r="N18" s="378">
        <f>SUM(N4:N17)</f>
        <v>121</v>
      </c>
      <c r="O18" s="378">
        <f t="shared" ref="O18:Q18" si="12">SUM(O4:O17)</f>
        <v>111</v>
      </c>
      <c r="P18" s="378">
        <f t="shared" si="12"/>
        <v>10</v>
      </c>
      <c r="Q18" s="378">
        <f t="shared" si="12"/>
        <v>0</v>
      </c>
      <c r="R18" s="380">
        <f t="shared" ref="R18" si="13">O18/N18</f>
        <v>0.9173553719008265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44846</v>
      </c>
      <c r="D19" s="161" t="s">
        <v>8</v>
      </c>
      <c r="E19" s="161" t="s">
        <v>299</v>
      </c>
      <c r="F19" s="222">
        <v>3230</v>
      </c>
      <c r="G19" s="222">
        <v>3170</v>
      </c>
      <c r="H19" s="222">
        <f>3230-3170</f>
        <v>60</v>
      </c>
      <c r="I19" s="207">
        <f t="shared" si="6"/>
        <v>92.879256965944279</v>
      </c>
      <c r="J19" s="161">
        <f t="shared" si="7"/>
        <v>5572.7554179566569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44847</v>
      </c>
      <c r="D20" s="161" t="s">
        <v>9</v>
      </c>
      <c r="E20" s="161" t="s">
        <v>3960</v>
      </c>
      <c r="F20" s="222">
        <v>1805</v>
      </c>
      <c r="G20" s="222">
        <v>1815</v>
      </c>
      <c r="H20" s="222">
        <v>10</v>
      </c>
      <c r="I20" s="207">
        <f t="shared" si="6"/>
        <v>166.2049861495845</v>
      </c>
      <c r="J20" s="161">
        <f t="shared" si="7"/>
        <v>1662.0498614958451</v>
      </c>
      <c r="K20" s="153"/>
      <c r="M20" s="316" t="s">
        <v>2253</v>
      </c>
      <c r="N20" s="317"/>
      <c r="O20" s="318"/>
      <c r="P20" s="325">
        <f>R18</f>
        <v>0.9173553719008265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44847</v>
      </c>
      <c r="D21" s="161" t="s">
        <v>8</v>
      </c>
      <c r="E21" s="161" t="s">
        <v>3188</v>
      </c>
      <c r="F21" s="222">
        <v>1125</v>
      </c>
      <c r="G21" s="222">
        <v>1135</v>
      </c>
      <c r="H21" s="222">
        <v>-10</v>
      </c>
      <c r="I21" s="207">
        <f t="shared" si="6"/>
        <v>266.66666666666669</v>
      </c>
      <c r="J21" s="161">
        <f t="shared" si="7"/>
        <v>-2666.666666666667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44848</v>
      </c>
      <c r="D22" s="161" t="s">
        <v>8</v>
      </c>
      <c r="E22" s="161" t="s">
        <v>31</v>
      </c>
      <c r="F22" s="222">
        <v>2403</v>
      </c>
      <c r="G22" s="222">
        <v>2375</v>
      </c>
      <c r="H22" s="222">
        <f>2403-2375</f>
        <v>28</v>
      </c>
      <c r="I22" s="207">
        <f t="shared" si="6"/>
        <v>124.84394506866417</v>
      </c>
      <c r="J22" s="161">
        <f t="shared" si="7"/>
        <v>3495.6304619225966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44848</v>
      </c>
      <c r="D23" s="161" t="s">
        <v>8</v>
      </c>
      <c r="E23" s="161" t="s">
        <v>107</v>
      </c>
      <c r="F23" s="222">
        <v>3635</v>
      </c>
      <c r="G23" s="222">
        <v>3595</v>
      </c>
      <c r="H23" s="222">
        <v>40</v>
      </c>
      <c r="I23" s="207">
        <f t="shared" si="6"/>
        <v>82.530949105914715</v>
      </c>
      <c r="J23" s="161">
        <f t="shared" si="7"/>
        <v>3301.2379642365886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44851</v>
      </c>
      <c r="D24" s="161" t="s">
        <v>9</v>
      </c>
      <c r="E24" s="161" t="s">
        <v>3963</v>
      </c>
      <c r="F24" s="222">
        <v>712</v>
      </c>
      <c r="G24" s="222">
        <v>702</v>
      </c>
      <c r="H24" s="222">
        <v>-10</v>
      </c>
      <c r="I24" s="207">
        <f t="shared" si="6"/>
        <v>421.34831460674155</v>
      </c>
      <c r="J24" s="161">
        <f t="shared" si="7"/>
        <v>-4213.4831460674159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44851</v>
      </c>
      <c r="D25" s="161" t="s">
        <v>8</v>
      </c>
      <c r="E25" s="161" t="s">
        <v>299</v>
      </c>
      <c r="F25" s="222">
        <v>3155</v>
      </c>
      <c r="G25" s="222">
        <v>3136</v>
      </c>
      <c r="H25" s="222">
        <f>3155-3136</f>
        <v>19</v>
      </c>
      <c r="I25" s="207">
        <f t="shared" si="6"/>
        <v>95.087163232963547</v>
      </c>
      <c r="J25" s="161">
        <f t="shared" si="7"/>
        <v>1806.6561014263075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44852</v>
      </c>
      <c r="D26" s="161" t="s">
        <v>9</v>
      </c>
      <c r="E26" s="161" t="s">
        <v>160</v>
      </c>
      <c r="F26" s="222">
        <v>1118</v>
      </c>
      <c r="G26" s="222">
        <v>1128</v>
      </c>
      <c r="H26" s="222">
        <v>10</v>
      </c>
      <c r="I26" s="207">
        <f t="shared" si="6"/>
        <v>268.33631484794273</v>
      </c>
      <c r="J26" s="161">
        <f t="shared" si="7"/>
        <v>2683.3631484794273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44852</v>
      </c>
      <c r="D27" s="161" t="s">
        <v>9</v>
      </c>
      <c r="E27" s="161" t="s">
        <v>137</v>
      </c>
      <c r="F27" s="222">
        <v>2638</v>
      </c>
      <c r="G27" s="222">
        <v>2618</v>
      </c>
      <c r="H27" s="222">
        <f>2638-2618</f>
        <v>20</v>
      </c>
      <c r="I27" s="207">
        <f t="shared" si="6"/>
        <v>113.72251705837756</v>
      </c>
      <c r="J27" s="161">
        <f t="shared" si="7"/>
        <v>2274.4503411675514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44853</v>
      </c>
      <c r="D28" s="161" t="s">
        <v>8</v>
      </c>
      <c r="E28" s="161" t="s">
        <v>395</v>
      </c>
      <c r="F28" s="222">
        <v>4335</v>
      </c>
      <c r="G28" s="222">
        <v>4305</v>
      </c>
      <c r="H28" s="222">
        <f>4335-4305</f>
        <v>30</v>
      </c>
      <c r="I28" s="207">
        <f t="shared" si="6"/>
        <v>69.20415224913495</v>
      </c>
      <c r="J28" s="161">
        <f t="shared" si="7"/>
        <v>2076.1245674740485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44853</v>
      </c>
      <c r="D29" s="161" t="s">
        <v>8</v>
      </c>
      <c r="E29" s="161" t="s">
        <v>19</v>
      </c>
      <c r="F29" s="222">
        <v>557</v>
      </c>
      <c r="G29" s="222">
        <v>552</v>
      </c>
      <c r="H29" s="222">
        <v>5</v>
      </c>
      <c r="I29" s="207">
        <f t="shared" si="6"/>
        <v>538.59964093357269</v>
      </c>
      <c r="J29" s="161">
        <f t="shared" si="7"/>
        <v>2692.9982046678633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44854</v>
      </c>
      <c r="D30" s="161" t="s">
        <v>9</v>
      </c>
      <c r="E30" s="161" t="s">
        <v>29</v>
      </c>
      <c r="F30" s="222">
        <v>1003</v>
      </c>
      <c r="G30" s="222">
        <v>1017</v>
      </c>
      <c r="H30" s="222">
        <f>1017-1003</f>
        <v>14</v>
      </c>
      <c r="I30" s="207">
        <f t="shared" si="6"/>
        <v>299.10269192422732</v>
      </c>
      <c r="J30" s="161">
        <f t="shared" si="7"/>
        <v>4187.4376869391826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44854</v>
      </c>
      <c r="D31" s="161" t="s">
        <v>9</v>
      </c>
      <c r="E31" s="161" t="s">
        <v>31</v>
      </c>
      <c r="F31" s="222">
        <v>2510</v>
      </c>
      <c r="G31" s="222">
        <v>2503</v>
      </c>
      <c r="H31" s="222">
        <v>-7</v>
      </c>
      <c r="I31" s="207">
        <f t="shared" si="6"/>
        <v>119.5219123505976</v>
      </c>
      <c r="J31" s="161">
        <f t="shared" si="7"/>
        <v>-836.65338645418319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44855</v>
      </c>
      <c r="D32" s="161" t="s">
        <v>9</v>
      </c>
      <c r="E32" s="161" t="s">
        <v>95</v>
      </c>
      <c r="F32" s="222">
        <v>900</v>
      </c>
      <c r="G32" s="222">
        <v>910</v>
      </c>
      <c r="H32" s="222">
        <v>10</v>
      </c>
      <c r="I32" s="207">
        <f t="shared" si="6"/>
        <v>333.33333333333331</v>
      </c>
      <c r="J32" s="161">
        <f t="shared" si="7"/>
        <v>3333.333333333333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44855</v>
      </c>
      <c r="D33" s="161" t="s">
        <v>8</v>
      </c>
      <c r="E33" s="161" t="s">
        <v>3473</v>
      </c>
      <c r="F33" s="222">
        <v>314</v>
      </c>
      <c r="G33" s="222">
        <v>311</v>
      </c>
      <c r="H33" s="222">
        <v>3</v>
      </c>
      <c r="I33" s="207">
        <f t="shared" si="6"/>
        <v>955.41401273885356</v>
      </c>
      <c r="J33" s="161">
        <f t="shared" si="7"/>
        <v>2866.2420382165606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44865</v>
      </c>
      <c r="D34" s="161" t="s">
        <v>9</v>
      </c>
      <c r="E34" s="161" t="s">
        <v>3651</v>
      </c>
      <c r="F34" s="222">
        <v>1570</v>
      </c>
      <c r="G34" s="222">
        <v>1600</v>
      </c>
      <c r="H34" s="222">
        <f>1600-1570</f>
        <v>30</v>
      </c>
      <c r="I34" s="207">
        <f t="shared" si="6"/>
        <v>191.08280254777071</v>
      </c>
      <c r="J34" s="161">
        <f t="shared" si="7"/>
        <v>5732.4840764331211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44865</v>
      </c>
      <c r="D35" s="161" t="s">
        <v>9</v>
      </c>
      <c r="E35" s="161" t="s">
        <v>3969</v>
      </c>
      <c r="F35" s="222">
        <v>317</v>
      </c>
      <c r="G35" s="222">
        <v>320</v>
      </c>
      <c r="H35" s="222">
        <v>3</v>
      </c>
      <c r="I35" s="207">
        <f t="shared" si="6"/>
        <v>946.37223974763413</v>
      </c>
      <c r="J35" s="161">
        <f t="shared" si="7"/>
        <v>2839.1167192429025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22"/>
      <c r="G36" s="222"/>
      <c r="H36" s="222"/>
      <c r="I36" s="207"/>
      <c r="J36" s="161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22"/>
      <c r="G37" s="222"/>
      <c r="H37" s="222"/>
      <c r="I37" s="207"/>
      <c r="J37" s="161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161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161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161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161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161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80365.609335714224</v>
      </c>
      <c r="K52" s="153"/>
      <c r="V52" s="25">
        <f>SUM(V6:V51)</f>
        <v>27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3945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44837</v>
      </c>
      <c r="D60" s="161" t="s">
        <v>9</v>
      </c>
      <c r="E60" s="161" t="s">
        <v>796</v>
      </c>
      <c r="F60" s="222">
        <v>4440</v>
      </c>
      <c r="G60" s="222">
        <v>4500</v>
      </c>
      <c r="H60" s="222">
        <f>4500-4440</f>
        <v>60</v>
      </c>
      <c r="I60" s="207">
        <v>125</v>
      </c>
      <c r="J60" s="241">
        <f t="shared" ref="J60:J85" si="14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44838</v>
      </c>
      <c r="D61" s="161" t="s">
        <v>8</v>
      </c>
      <c r="E61" s="161" t="s">
        <v>982</v>
      </c>
      <c r="F61" s="222">
        <v>800</v>
      </c>
      <c r="G61" s="222">
        <v>792.55</v>
      </c>
      <c r="H61" s="222">
        <f>800-792.55</f>
        <v>7.4500000000000455</v>
      </c>
      <c r="I61" s="207">
        <v>1250</v>
      </c>
      <c r="J61" s="242">
        <f t="shared" si="14"/>
        <v>9312.5000000000564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44840</v>
      </c>
      <c r="D62" s="161" t="s">
        <v>9</v>
      </c>
      <c r="E62" s="161" t="s">
        <v>58</v>
      </c>
      <c r="F62" s="222">
        <v>759</v>
      </c>
      <c r="G62" s="222">
        <v>761.5</v>
      </c>
      <c r="H62" s="222">
        <f>761.5-759</f>
        <v>2.5</v>
      </c>
      <c r="I62" s="207">
        <v>1200</v>
      </c>
      <c r="J62" s="242">
        <f t="shared" si="14"/>
        <v>3000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44841</v>
      </c>
      <c r="D63" s="161" t="s">
        <v>9</v>
      </c>
      <c r="E63" s="161" t="s">
        <v>982</v>
      </c>
      <c r="F63" s="222">
        <v>3300</v>
      </c>
      <c r="G63" s="222">
        <v>3308</v>
      </c>
      <c r="H63" s="222">
        <v>8</v>
      </c>
      <c r="I63" s="207">
        <v>500</v>
      </c>
      <c r="J63" s="242">
        <f>I63*H63</f>
        <v>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44841</v>
      </c>
      <c r="D64" s="161" t="s">
        <v>8</v>
      </c>
      <c r="E64" s="161" t="s">
        <v>299</v>
      </c>
      <c r="F64" s="222">
        <v>3215</v>
      </c>
      <c r="G64" s="222">
        <v>3191</v>
      </c>
      <c r="H64" s="222">
        <f>3215-3191</f>
        <v>24</v>
      </c>
      <c r="I64" s="207">
        <v>500</v>
      </c>
      <c r="J64" s="242">
        <f>I64*H64</f>
        <v>12000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44844</v>
      </c>
      <c r="D65" s="161" t="s">
        <v>9</v>
      </c>
      <c r="E65" s="161" t="s">
        <v>476</v>
      </c>
      <c r="F65" s="222">
        <v>1205</v>
      </c>
      <c r="G65" s="222">
        <v>1215</v>
      </c>
      <c r="H65" s="222">
        <v>10</v>
      </c>
      <c r="I65" s="207">
        <v>1000</v>
      </c>
      <c r="J65" s="242">
        <f>I65*H65</f>
        <v>10000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44845</v>
      </c>
      <c r="D66" s="161" t="s">
        <v>9</v>
      </c>
      <c r="E66" s="161" t="s">
        <v>834</v>
      </c>
      <c r="F66" s="222">
        <v>304</v>
      </c>
      <c r="G66" s="222">
        <v>305.2</v>
      </c>
      <c r="H66" s="222">
        <v>1.2</v>
      </c>
      <c r="I66" s="207">
        <v>1550</v>
      </c>
      <c r="J66" s="242">
        <f t="shared" si="14"/>
        <v>1860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44846</v>
      </c>
      <c r="D67" s="161" t="s">
        <v>9</v>
      </c>
      <c r="E67" s="161" t="s">
        <v>58</v>
      </c>
      <c r="F67" s="222">
        <v>794</v>
      </c>
      <c r="G67" s="222">
        <v>808</v>
      </c>
      <c r="H67" s="222">
        <f>808-794</f>
        <v>14</v>
      </c>
      <c r="I67" s="207">
        <v>1200</v>
      </c>
      <c r="J67" s="242">
        <f>I67*H67</f>
        <v>16800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44847</v>
      </c>
      <c r="D68" s="161" t="s">
        <v>9</v>
      </c>
      <c r="E68" s="161" t="s">
        <v>3958</v>
      </c>
      <c r="F68" s="222">
        <v>966</v>
      </c>
      <c r="G68" s="222">
        <v>973.5</v>
      </c>
      <c r="H68" s="222">
        <f>973.5-966</f>
        <v>7.5</v>
      </c>
      <c r="I68" s="207">
        <v>700</v>
      </c>
      <c r="J68" s="242">
        <f>I68*H68</f>
        <v>5250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44848</v>
      </c>
      <c r="D69" s="161" t="s">
        <v>8</v>
      </c>
      <c r="E69" s="161" t="s">
        <v>3961</v>
      </c>
      <c r="F69" s="222">
        <v>217</v>
      </c>
      <c r="G69" s="222">
        <v>211</v>
      </c>
      <c r="H69" s="222">
        <v>6</v>
      </c>
      <c r="I69" s="207">
        <v>2300</v>
      </c>
      <c r="J69" s="242">
        <f>I69*H69</f>
        <v>13800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44851</v>
      </c>
      <c r="D70" s="161" t="s">
        <v>8</v>
      </c>
      <c r="E70" s="161" t="s">
        <v>299</v>
      </c>
      <c r="F70" s="161">
        <v>3160</v>
      </c>
      <c r="G70" s="222">
        <v>3185</v>
      </c>
      <c r="H70" s="222">
        <v>-25</v>
      </c>
      <c r="I70" s="207">
        <v>500</v>
      </c>
      <c r="J70" s="242">
        <f t="shared" si="14"/>
        <v>-12500</v>
      </c>
      <c r="K70" s="153"/>
      <c r="V70" s="25">
        <f t="shared" si="15"/>
        <v>0</v>
      </c>
      <c r="W70" s="25">
        <f t="shared" si="16"/>
        <v>1</v>
      </c>
    </row>
    <row r="71" spans="1:23" x14ac:dyDescent="0.3">
      <c r="A71" s="147"/>
      <c r="B71" s="205">
        <f t="shared" si="17"/>
        <v>12</v>
      </c>
      <c r="C71" s="206">
        <v>44852</v>
      </c>
      <c r="D71" s="161" t="s">
        <v>8</v>
      </c>
      <c r="E71" s="161" t="s">
        <v>58</v>
      </c>
      <c r="F71" s="222">
        <v>815</v>
      </c>
      <c r="G71" s="222">
        <v>823</v>
      </c>
      <c r="H71" s="222">
        <f>823-815</f>
        <v>8</v>
      </c>
      <c r="I71" s="207">
        <v>1200</v>
      </c>
      <c r="J71" s="242">
        <f t="shared" si="14"/>
        <v>9600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44853</v>
      </c>
      <c r="D72" s="161" t="s">
        <v>9</v>
      </c>
      <c r="E72" s="161" t="s">
        <v>129</v>
      </c>
      <c r="F72" s="222">
        <v>2405</v>
      </c>
      <c r="G72" s="222">
        <v>2417</v>
      </c>
      <c r="H72" s="222">
        <f>2417-2405</f>
        <v>12</v>
      </c>
      <c r="I72" s="207">
        <v>300</v>
      </c>
      <c r="J72" s="242">
        <f t="shared" si="14"/>
        <v>3600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44854</v>
      </c>
      <c r="D73" s="161" t="s">
        <v>8</v>
      </c>
      <c r="E73" s="161" t="s">
        <v>95</v>
      </c>
      <c r="F73" s="223">
        <v>886</v>
      </c>
      <c r="G73" s="222">
        <v>881.05</v>
      </c>
      <c r="H73" s="255">
        <f>886-881.05</f>
        <v>4.9500000000000455</v>
      </c>
      <c r="I73" s="207">
        <v>1375</v>
      </c>
      <c r="J73" s="242">
        <f t="shared" si="14"/>
        <v>6806.2500000000628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44855</v>
      </c>
      <c r="D74" s="161" t="s">
        <v>9</v>
      </c>
      <c r="E74" s="161" t="s">
        <v>534</v>
      </c>
      <c r="F74" s="222">
        <v>6380</v>
      </c>
      <c r="G74" s="222">
        <v>6429</v>
      </c>
      <c r="H74" s="222">
        <f>6429-6380</f>
        <v>49</v>
      </c>
      <c r="I74" s="207">
        <v>100</v>
      </c>
      <c r="J74" s="242">
        <f t="shared" si="14"/>
        <v>4900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44865</v>
      </c>
      <c r="D75" s="161" t="s">
        <v>9</v>
      </c>
      <c r="E75" s="161" t="s">
        <v>796</v>
      </c>
      <c r="F75" s="223">
        <v>4590</v>
      </c>
      <c r="G75" s="222">
        <v>4550</v>
      </c>
      <c r="H75" s="255">
        <v>-40</v>
      </c>
      <c r="I75" s="207">
        <v>125</v>
      </c>
      <c r="J75" s="242">
        <f t="shared" si="14"/>
        <v>-5000</v>
      </c>
      <c r="K75" s="153"/>
      <c r="V75" s="25">
        <f t="shared" si="15"/>
        <v>0</v>
      </c>
      <c r="W75" s="25">
        <f t="shared" si="16"/>
        <v>1</v>
      </c>
    </row>
    <row r="76" spans="1:23" x14ac:dyDescent="0.3">
      <c r="A76" s="147"/>
      <c r="B76" s="205">
        <f t="shared" si="17"/>
        <v>17</v>
      </c>
      <c r="C76" s="206"/>
      <c r="D76" s="161"/>
      <c r="E76" s="161"/>
      <c r="F76" s="222"/>
      <c r="G76" s="222"/>
      <c r="H76" s="222"/>
      <c r="I76" s="207"/>
      <c r="J76" s="242">
        <f t="shared" si="14"/>
        <v>0</v>
      </c>
      <c r="K76" s="153"/>
      <c r="V76" s="25">
        <f t="shared" si="15"/>
        <v>0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/>
      <c r="D77" s="161"/>
      <c r="E77" s="161"/>
      <c r="F77" s="222"/>
      <c r="G77" s="222"/>
      <c r="H77" s="222"/>
      <c r="I77" s="207"/>
      <c r="J77" s="242">
        <f t="shared" si="14"/>
        <v>0</v>
      </c>
      <c r="K77" s="153"/>
      <c r="V77" s="25">
        <f t="shared" si="15"/>
        <v>0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/>
      <c r="D78" s="161"/>
      <c r="E78" s="161"/>
      <c r="F78" s="223"/>
      <c r="G78" s="222"/>
      <c r="H78" s="255"/>
      <c r="I78" s="207"/>
      <c r="J78" s="242">
        <f t="shared" si="14"/>
        <v>0</v>
      </c>
      <c r="K78" s="153"/>
      <c r="V78" s="25">
        <f t="shared" si="15"/>
        <v>0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/>
      <c r="D79" s="161"/>
      <c r="E79" s="161"/>
      <c r="F79" s="222"/>
      <c r="G79" s="222"/>
      <c r="H79" s="222"/>
      <c r="I79" s="207"/>
      <c r="J79" s="242">
        <f t="shared" si="14"/>
        <v>0</v>
      </c>
      <c r="K79" s="153"/>
      <c r="V79" s="25">
        <f t="shared" si="15"/>
        <v>0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90928.750000000116</v>
      </c>
      <c r="K86" s="153"/>
      <c r="V86" s="25">
        <f>SUM(V60:V85)</f>
        <v>14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3944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44837</v>
      </c>
      <c r="D94" s="185" t="s">
        <v>8</v>
      </c>
      <c r="E94" s="185" t="s">
        <v>39</v>
      </c>
      <c r="F94" s="219">
        <v>16960</v>
      </c>
      <c r="G94" s="219">
        <v>16931</v>
      </c>
      <c r="H94" s="185">
        <f>16960-16931</f>
        <v>29</v>
      </c>
      <c r="I94" s="219">
        <v>150</v>
      </c>
      <c r="J94" s="246">
        <f t="shared" ref="J94:J116" si="18">I94*H94</f>
        <v>4350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44838</v>
      </c>
      <c r="D95" s="185" t="s">
        <v>9</v>
      </c>
      <c r="E95" s="185" t="s">
        <v>39</v>
      </c>
      <c r="F95" s="219">
        <v>17260</v>
      </c>
      <c r="G95" s="219">
        <v>17288</v>
      </c>
      <c r="H95" s="185">
        <v>28</v>
      </c>
      <c r="I95" s="219">
        <v>150</v>
      </c>
      <c r="J95" s="242">
        <f t="shared" si="18"/>
        <v>4200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44840</v>
      </c>
      <c r="D96" s="161" t="s">
        <v>9</v>
      </c>
      <c r="E96" s="161" t="s">
        <v>39</v>
      </c>
      <c r="F96" s="207">
        <v>17390</v>
      </c>
      <c r="G96" s="207">
        <v>17425</v>
      </c>
      <c r="H96" s="161">
        <v>35</v>
      </c>
      <c r="I96" s="207">
        <v>150</v>
      </c>
      <c r="J96" s="242">
        <f t="shared" si="18"/>
        <v>5250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44841</v>
      </c>
      <c r="D97" s="161" t="s">
        <v>8</v>
      </c>
      <c r="E97" s="161" t="s">
        <v>39</v>
      </c>
      <c r="F97" s="207">
        <v>17270</v>
      </c>
      <c r="G97" s="207">
        <v>17230</v>
      </c>
      <c r="H97" s="161"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44844</v>
      </c>
      <c r="D98" s="161" t="s">
        <v>9</v>
      </c>
      <c r="E98" s="161" t="s">
        <v>39</v>
      </c>
      <c r="F98" s="207">
        <v>17200</v>
      </c>
      <c r="G98" s="207">
        <v>17278</v>
      </c>
      <c r="H98" s="161">
        <v>78</v>
      </c>
      <c r="I98" s="207">
        <v>150</v>
      </c>
      <c r="J98" s="242">
        <f t="shared" si="18"/>
        <v>11700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44845</v>
      </c>
      <c r="D99" s="161" t="s">
        <v>8</v>
      </c>
      <c r="E99" s="161" t="s">
        <v>39</v>
      </c>
      <c r="F99" s="207">
        <v>17170</v>
      </c>
      <c r="G99" s="207">
        <v>17090</v>
      </c>
      <c r="H99" s="161"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44846</v>
      </c>
      <c r="D100" s="161" t="s">
        <v>9</v>
      </c>
      <c r="E100" s="161" t="s">
        <v>39</v>
      </c>
      <c r="F100" s="207">
        <v>17070</v>
      </c>
      <c r="G100" s="207">
        <v>17090</v>
      </c>
      <c r="H100" s="161">
        <v>20</v>
      </c>
      <c r="I100" s="207">
        <v>150</v>
      </c>
      <c r="J100" s="242">
        <f t="shared" si="18"/>
        <v>3000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44847</v>
      </c>
      <c r="D101" s="161" t="s">
        <v>8</v>
      </c>
      <c r="E101" s="161" t="s">
        <v>39</v>
      </c>
      <c r="F101" s="207">
        <v>16950</v>
      </c>
      <c r="G101" s="207">
        <v>16932</v>
      </c>
      <c r="H101" s="161">
        <f>16950-16932</f>
        <v>18</v>
      </c>
      <c r="I101" s="207">
        <v>150</v>
      </c>
      <c r="J101" s="242">
        <f t="shared" si="18"/>
        <v>2700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44848</v>
      </c>
      <c r="D102" s="161" t="s">
        <v>8</v>
      </c>
      <c r="E102" s="161" t="s">
        <v>39</v>
      </c>
      <c r="F102" s="207">
        <v>17310</v>
      </c>
      <c r="G102" s="207">
        <v>17270</v>
      </c>
      <c r="H102" s="161">
        <f>17310-17270</f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44851</v>
      </c>
      <c r="D103" s="161" t="s">
        <v>9</v>
      </c>
      <c r="E103" s="161" t="s">
        <v>39</v>
      </c>
      <c r="F103" s="207">
        <v>17140</v>
      </c>
      <c r="G103" s="207">
        <v>17220</v>
      </c>
      <c r="H103" s="161">
        <f>17220-17140</f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44852</v>
      </c>
      <c r="D104" s="161" t="s">
        <v>9</v>
      </c>
      <c r="E104" s="161" t="s">
        <v>39</v>
      </c>
      <c r="F104" s="207">
        <v>17500</v>
      </c>
      <c r="G104" s="207">
        <v>17538</v>
      </c>
      <c r="H104" s="161">
        <v>38</v>
      </c>
      <c r="I104" s="207">
        <v>150</v>
      </c>
      <c r="J104" s="242">
        <f t="shared" si="18"/>
        <v>5700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44853</v>
      </c>
      <c r="D105" s="161" t="s">
        <v>9</v>
      </c>
      <c r="E105" s="161" t="s">
        <v>39</v>
      </c>
      <c r="F105" s="207">
        <v>17550</v>
      </c>
      <c r="G105" s="207">
        <v>17585</v>
      </c>
      <c r="H105" s="161">
        <f>17585-17550</f>
        <v>35</v>
      </c>
      <c r="I105" s="207">
        <v>150</v>
      </c>
      <c r="J105" s="242">
        <f t="shared" si="18"/>
        <v>5250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44854</v>
      </c>
      <c r="D106" s="161" t="s">
        <v>9</v>
      </c>
      <c r="E106" s="161" t="s">
        <v>39</v>
      </c>
      <c r="F106" s="207">
        <v>17430</v>
      </c>
      <c r="G106" s="207">
        <v>17510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44855</v>
      </c>
      <c r="D107" s="161" t="s">
        <v>9</v>
      </c>
      <c r="E107" s="161" t="s">
        <v>39</v>
      </c>
      <c r="F107" s="207">
        <v>17620</v>
      </c>
      <c r="G107" s="207">
        <v>17660</v>
      </c>
      <c r="H107" s="161">
        <v>40</v>
      </c>
      <c r="I107" s="207">
        <v>150</v>
      </c>
      <c r="J107" s="242">
        <f t="shared" si="18"/>
        <v>6000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44865</v>
      </c>
      <c r="D108" s="161" t="s">
        <v>9</v>
      </c>
      <c r="E108" s="161" t="s">
        <v>39</v>
      </c>
      <c r="F108" s="207">
        <v>18010</v>
      </c>
      <c r="G108" s="207">
        <v>18050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/>
      <c r="D109" s="161"/>
      <c r="E109" s="161"/>
      <c r="F109" s="207"/>
      <c r="G109" s="207"/>
      <c r="H109" s="161"/>
      <c r="I109" s="207"/>
      <c r="J109" s="242">
        <f t="shared" si="18"/>
        <v>0</v>
      </c>
      <c r="K109" s="153"/>
      <c r="V109" s="25">
        <f t="shared" si="19"/>
        <v>0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/>
      <c r="D110" s="161"/>
      <c r="E110" s="161"/>
      <c r="F110" s="207"/>
      <c r="G110" s="207"/>
      <c r="H110" s="161"/>
      <c r="I110" s="207"/>
      <c r="J110" s="242">
        <f t="shared" si="18"/>
        <v>0</v>
      </c>
      <c r="K110" s="153"/>
      <c r="V110" s="25">
        <f t="shared" si="19"/>
        <v>0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102150</v>
      </c>
      <c r="K117" s="153"/>
      <c r="V117" s="25">
        <f>SUM(V94:V116)</f>
        <v>15</v>
      </c>
      <c r="W117" s="25">
        <f>SUM(W94:W116)</f>
        <v>0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3946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44837</v>
      </c>
      <c r="D125" s="185" t="s">
        <v>9</v>
      </c>
      <c r="E125" s="185" t="s">
        <v>1389</v>
      </c>
      <c r="F125" s="219">
        <v>150</v>
      </c>
      <c r="G125" s="231">
        <v>175</v>
      </c>
      <c r="H125" s="231">
        <v>25</v>
      </c>
      <c r="I125" s="219">
        <v>300</v>
      </c>
      <c r="J125" s="246">
        <f t="shared" ref="J125:J149" si="22">I125*H125</f>
        <v>7500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44838</v>
      </c>
      <c r="D126" s="185" t="s">
        <v>9</v>
      </c>
      <c r="E126" s="185" t="s">
        <v>3623</v>
      </c>
      <c r="F126" s="219">
        <v>105</v>
      </c>
      <c r="G126" s="219">
        <v>115</v>
      </c>
      <c r="H126" s="185">
        <v>10</v>
      </c>
      <c r="I126" s="219">
        <v>300</v>
      </c>
      <c r="J126" s="242">
        <f t="shared" si="22"/>
        <v>3000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44840</v>
      </c>
      <c r="D127" s="161" t="s">
        <v>9</v>
      </c>
      <c r="E127" s="161" t="s">
        <v>3477</v>
      </c>
      <c r="F127" s="207">
        <v>150</v>
      </c>
      <c r="G127" s="207">
        <v>175</v>
      </c>
      <c r="H127" s="161">
        <v>25</v>
      </c>
      <c r="I127" s="207">
        <v>300</v>
      </c>
      <c r="J127" s="242">
        <f t="shared" si="22"/>
        <v>7500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44841</v>
      </c>
      <c r="D128" s="161" t="s">
        <v>9</v>
      </c>
      <c r="E128" s="161" t="s">
        <v>1492</v>
      </c>
      <c r="F128" s="207">
        <v>150</v>
      </c>
      <c r="G128" s="207">
        <v>190</v>
      </c>
      <c r="H128" s="161">
        <v>40</v>
      </c>
      <c r="I128" s="207">
        <v>300</v>
      </c>
      <c r="J128" s="242">
        <f t="shared" si="22"/>
        <v>12000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44844</v>
      </c>
      <c r="D129" s="161" t="s">
        <v>9</v>
      </c>
      <c r="E129" s="161" t="s">
        <v>3458</v>
      </c>
      <c r="F129" s="207">
        <v>145</v>
      </c>
      <c r="G129" s="207">
        <v>205</v>
      </c>
      <c r="H129" s="161">
        <v>50</v>
      </c>
      <c r="I129" s="207">
        <v>300</v>
      </c>
      <c r="J129" s="242">
        <f t="shared" si="22"/>
        <v>15000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44845</v>
      </c>
      <c r="D130" s="161" t="s">
        <v>9</v>
      </c>
      <c r="E130" s="161" t="s">
        <v>2989</v>
      </c>
      <c r="F130" s="207">
        <v>130</v>
      </c>
      <c r="G130" s="222">
        <v>190</v>
      </c>
      <c r="H130" s="222">
        <v>50</v>
      </c>
      <c r="I130" s="207">
        <v>300</v>
      </c>
      <c r="J130" s="242">
        <f t="shared" si="22"/>
        <v>15000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44846</v>
      </c>
      <c r="D131" s="161" t="s">
        <v>9</v>
      </c>
      <c r="E131" s="161" t="s">
        <v>3633</v>
      </c>
      <c r="F131" s="207">
        <v>120</v>
      </c>
      <c r="G131" s="207">
        <v>170</v>
      </c>
      <c r="H131" s="161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44847</v>
      </c>
      <c r="D132" s="161" t="s">
        <v>9</v>
      </c>
      <c r="E132" s="161" t="s">
        <v>3744</v>
      </c>
      <c r="F132" s="207">
        <v>110</v>
      </c>
      <c r="G132" s="207">
        <v>148</v>
      </c>
      <c r="H132" s="161">
        <f>148-110</f>
        <v>38</v>
      </c>
      <c r="I132" s="207">
        <v>300</v>
      </c>
      <c r="J132" s="242">
        <f t="shared" si="22"/>
        <v>11400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44848</v>
      </c>
      <c r="D133" s="161" t="s">
        <v>9</v>
      </c>
      <c r="E133" s="161" t="s">
        <v>3623</v>
      </c>
      <c r="F133" s="207">
        <v>160</v>
      </c>
      <c r="G133" s="222">
        <v>181.5</v>
      </c>
      <c r="H133" s="161">
        <f>181.5-160</f>
        <v>21.5</v>
      </c>
      <c r="I133" s="207">
        <v>300</v>
      </c>
      <c r="J133" s="242">
        <f t="shared" si="22"/>
        <v>6450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44851</v>
      </c>
      <c r="D134" s="161" t="s">
        <v>9</v>
      </c>
      <c r="E134" s="161" t="s">
        <v>3610</v>
      </c>
      <c r="F134" s="207">
        <v>155</v>
      </c>
      <c r="G134" s="222">
        <v>210</v>
      </c>
      <c r="H134" s="222">
        <f>210-155</f>
        <v>55</v>
      </c>
      <c r="I134" s="207">
        <v>300</v>
      </c>
      <c r="J134" s="242">
        <f t="shared" si="22"/>
        <v>16500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44852</v>
      </c>
      <c r="D135" s="161" t="s">
        <v>9</v>
      </c>
      <c r="E135" s="161" t="s">
        <v>3486</v>
      </c>
      <c r="F135" s="207">
        <v>140</v>
      </c>
      <c r="G135" s="222">
        <v>110</v>
      </c>
      <c r="H135" s="222">
        <v>-30</v>
      </c>
      <c r="I135" s="207">
        <v>300</v>
      </c>
      <c r="J135" s="242">
        <f t="shared" si="22"/>
        <v>-9000</v>
      </c>
      <c r="K135" s="153"/>
      <c r="V135" s="25">
        <f t="shared" si="23"/>
        <v>0</v>
      </c>
      <c r="W135" s="25">
        <f t="shared" si="24"/>
        <v>1</v>
      </c>
    </row>
    <row r="136" spans="1:23" x14ac:dyDescent="0.3">
      <c r="A136" s="147"/>
      <c r="B136" s="205">
        <f t="shared" si="25"/>
        <v>12</v>
      </c>
      <c r="C136" s="206">
        <v>44853</v>
      </c>
      <c r="D136" s="161" t="s">
        <v>9</v>
      </c>
      <c r="E136" s="161" t="s">
        <v>3486</v>
      </c>
      <c r="F136" s="207">
        <v>150</v>
      </c>
      <c r="G136" s="222">
        <v>174.65</v>
      </c>
      <c r="H136" s="222">
        <f>174.65-150</f>
        <v>24.650000000000006</v>
      </c>
      <c r="I136" s="207">
        <v>300</v>
      </c>
      <c r="J136" s="242">
        <f t="shared" si="22"/>
        <v>7395.0000000000018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44854</v>
      </c>
      <c r="D137" s="161" t="s">
        <v>9</v>
      </c>
      <c r="E137" s="161" t="s">
        <v>3480</v>
      </c>
      <c r="F137" s="207">
        <v>120</v>
      </c>
      <c r="G137" s="207">
        <v>175</v>
      </c>
      <c r="H137" s="161">
        <f>175-120</f>
        <v>55</v>
      </c>
      <c r="I137" s="207">
        <v>300</v>
      </c>
      <c r="J137" s="242">
        <f t="shared" si="22"/>
        <v>16500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44855</v>
      </c>
      <c r="D138" s="161" t="s">
        <v>9</v>
      </c>
      <c r="E138" s="161" t="s">
        <v>1586</v>
      </c>
      <c r="F138" s="207">
        <v>130</v>
      </c>
      <c r="G138" s="207">
        <v>149</v>
      </c>
      <c r="H138" s="161">
        <v>19</v>
      </c>
      <c r="I138" s="207">
        <v>300</v>
      </c>
      <c r="J138" s="242">
        <f t="shared" si="22"/>
        <v>5700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44865</v>
      </c>
      <c r="D139" s="161" t="s">
        <v>9</v>
      </c>
      <c r="E139" s="161" t="s">
        <v>3491</v>
      </c>
      <c r="F139" s="207">
        <v>135</v>
      </c>
      <c r="G139" s="207">
        <v>171</v>
      </c>
      <c r="H139" s="161">
        <f>171-135</f>
        <v>36</v>
      </c>
      <c r="I139" s="207">
        <v>300</v>
      </c>
      <c r="J139" s="242">
        <f t="shared" si="22"/>
        <v>10800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/>
      <c r="D140" s="161"/>
      <c r="E140" s="161"/>
      <c r="F140" s="207"/>
      <c r="G140" s="207"/>
      <c r="H140" s="161"/>
      <c r="I140" s="207"/>
      <c r="J140" s="242">
        <f t="shared" si="22"/>
        <v>0</v>
      </c>
      <c r="K140" s="153"/>
      <c r="V140" s="25">
        <f t="shared" si="23"/>
        <v>0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/>
      <c r="D141" s="161"/>
      <c r="E141" s="161"/>
      <c r="F141" s="207"/>
      <c r="G141" s="207"/>
      <c r="H141" s="161"/>
      <c r="I141" s="207"/>
      <c r="J141" s="242">
        <f t="shared" si="22"/>
        <v>0</v>
      </c>
      <c r="K141" s="153"/>
      <c r="V141" s="25">
        <f t="shared" si="23"/>
        <v>0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/>
      <c r="D142" s="161"/>
      <c r="E142" s="161"/>
      <c r="F142" s="207"/>
      <c r="G142" s="222"/>
      <c r="H142" s="222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/>
      <c r="D143" s="161"/>
      <c r="E143" s="161"/>
      <c r="F143" s="207"/>
      <c r="G143" s="222"/>
      <c r="H143" s="222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/>
      <c r="D144" s="161"/>
      <c r="E144" s="161"/>
      <c r="F144" s="207"/>
      <c r="G144" s="222"/>
      <c r="H144" s="222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/>
      <c r="D145" s="161"/>
      <c r="E145" s="161"/>
      <c r="F145" s="207"/>
      <c r="G145" s="222"/>
      <c r="H145" s="222"/>
      <c r="I145" s="207"/>
      <c r="J145" s="242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140745</v>
      </c>
      <c r="K150" s="153"/>
      <c r="V150" s="25">
        <f>SUM(V125:V149)</f>
        <v>14</v>
      </c>
      <c r="W150" s="25">
        <f>SUM(W125:W149)</f>
        <v>1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3944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44837</v>
      </c>
      <c r="D158" s="185" t="s">
        <v>8</v>
      </c>
      <c r="E158" s="185" t="s">
        <v>301</v>
      </c>
      <c r="F158" s="219">
        <v>38400</v>
      </c>
      <c r="G158" s="231">
        <v>38100</v>
      </c>
      <c r="H158" s="185">
        <v>300</v>
      </c>
      <c r="I158" s="219">
        <v>50</v>
      </c>
      <c r="J158" s="246">
        <f t="shared" ref="J158:J180" si="26">I158*H158</f>
        <v>15000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44838</v>
      </c>
      <c r="D159" s="185" t="s">
        <v>9</v>
      </c>
      <c r="E159" s="185" t="s">
        <v>301</v>
      </c>
      <c r="F159" s="219">
        <v>39200</v>
      </c>
      <c r="G159" s="219">
        <v>39050</v>
      </c>
      <c r="H159" s="185">
        <v>-150</v>
      </c>
      <c r="I159" s="219">
        <v>50</v>
      </c>
      <c r="J159" s="242">
        <f t="shared" si="26"/>
        <v>-7500</v>
      </c>
      <c r="K159" s="153"/>
      <c r="V159" s="25">
        <f t="shared" ref="V159:V180" si="27">IF($J159&gt;0,1,0)</f>
        <v>0</v>
      </c>
      <c r="W159" s="25">
        <f t="shared" ref="W159:W180" si="28">IF($J159&lt;0,1,0)</f>
        <v>1</v>
      </c>
    </row>
    <row r="160" spans="1:23" x14ac:dyDescent="0.3">
      <c r="A160" s="147"/>
      <c r="B160" s="205">
        <f t="shared" ref="B160:B180" si="29">B159+1</f>
        <v>3</v>
      </c>
      <c r="C160" s="206">
        <v>44840</v>
      </c>
      <c r="D160" s="161" t="s">
        <v>9</v>
      </c>
      <c r="E160" s="161" t="s">
        <v>301</v>
      </c>
      <c r="F160" s="207">
        <v>39500</v>
      </c>
      <c r="G160" s="207">
        <v>39720</v>
      </c>
      <c r="H160" s="161">
        <v>220</v>
      </c>
      <c r="I160" s="207">
        <v>50</v>
      </c>
      <c r="J160" s="242">
        <f t="shared" si="26"/>
        <v>11000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44841</v>
      </c>
      <c r="D161" s="161" t="s">
        <v>8</v>
      </c>
      <c r="E161" s="161" t="s">
        <v>301</v>
      </c>
      <c r="F161" s="207">
        <v>39000</v>
      </c>
      <c r="G161" s="207">
        <v>38940</v>
      </c>
      <c r="H161" s="161">
        <v>40</v>
      </c>
      <c r="I161" s="207">
        <v>50</v>
      </c>
      <c r="J161" s="242">
        <f t="shared" si="26"/>
        <v>2000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44844</v>
      </c>
      <c r="D162" s="161" t="s">
        <v>9</v>
      </c>
      <c r="E162" s="161" t="s">
        <v>301</v>
      </c>
      <c r="F162" s="207">
        <v>38800</v>
      </c>
      <c r="G162" s="207">
        <v>39100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44845</v>
      </c>
      <c r="D163" s="161" t="s">
        <v>8</v>
      </c>
      <c r="E163" s="161" t="s">
        <v>301</v>
      </c>
      <c r="F163" s="207">
        <v>39050</v>
      </c>
      <c r="G163" s="207">
        <v>38900</v>
      </c>
      <c r="H163" s="161">
        <v>150</v>
      </c>
      <c r="I163" s="207">
        <v>50</v>
      </c>
      <c r="J163" s="242">
        <f t="shared" si="26"/>
        <v>7500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44846</v>
      </c>
      <c r="D164" s="161" t="s">
        <v>9</v>
      </c>
      <c r="E164" s="161" t="s">
        <v>301</v>
      </c>
      <c r="F164" s="207">
        <v>38950</v>
      </c>
      <c r="G164" s="207">
        <v>39230</v>
      </c>
      <c r="H164" s="161">
        <f>39230-38950</f>
        <v>280</v>
      </c>
      <c r="I164" s="207">
        <v>50</v>
      </c>
      <c r="J164" s="242">
        <f t="shared" si="26"/>
        <v>14000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44847</v>
      </c>
      <c r="D165" s="161" t="s">
        <v>8</v>
      </c>
      <c r="E165" s="161" t="s">
        <v>301</v>
      </c>
      <c r="F165" s="207">
        <v>38600</v>
      </c>
      <c r="G165" s="207">
        <v>38550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44848</v>
      </c>
      <c r="D166" s="161" t="s">
        <v>8</v>
      </c>
      <c r="E166" s="161" t="s">
        <v>301</v>
      </c>
      <c r="F166" s="207">
        <v>39550</v>
      </c>
      <c r="G166" s="207">
        <v>39350</v>
      </c>
      <c r="H166" s="161">
        <v>200</v>
      </c>
      <c r="I166" s="207">
        <v>50</v>
      </c>
      <c r="J166" s="242">
        <f t="shared" si="26"/>
        <v>10000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44851</v>
      </c>
      <c r="D167" s="161" t="s">
        <v>9</v>
      </c>
      <c r="E167" s="161" t="s">
        <v>301</v>
      </c>
      <c r="F167" s="207">
        <v>39450</v>
      </c>
      <c r="G167" s="207">
        <v>39750</v>
      </c>
      <c r="H167" s="161">
        <v>200</v>
      </c>
      <c r="I167" s="207">
        <v>50</v>
      </c>
      <c r="J167" s="242">
        <f t="shared" si="26"/>
        <v>10000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44852</v>
      </c>
      <c r="D168" s="161" t="s">
        <v>9</v>
      </c>
      <c r="E168" s="161" t="s">
        <v>301</v>
      </c>
      <c r="F168" s="207">
        <v>40350</v>
      </c>
      <c r="G168" s="207">
        <v>40496</v>
      </c>
      <c r="H168" s="161">
        <f>40496-40350</f>
        <v>146</v>
      </c>
      <c r="I168" s="207">
        <v>50</v>
      </c>
      <c r="J168" s="242">
        <f t="shared" si="26"/>
        <v>7300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44853</v>
      </c>
      <c r="D169" s="161" t="s">
        <v>9</v>
      </c>
      <c r="E169" s="161" t="s">
        <v>301</v>
      </c>
      <c r="F169" s="207">
        <v>40600</v>
      </c>
      <c r="G169" s="207">
        <v>40650</v>
      </c>
      <c r="H169" s="161">
        <v>50</v>
      </c>
      <c r="I169" s="207">
        <v>50</v>
      </c>
      <c r="J169" s="242">
        <f t="shared" si="26"/>
        <v>2500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44854</v>
      </c>
      <c r="D170" s="161" t="s">
        <v>8</v>
      </c>
      <c r="E170" s="161" t="s">
        <v>301</v>
      </c>
      <c r="F170" s="207">
        <v>40050</v>
      </c>
      <c r="G170" s="207">
        <v>39905</v>
      </c>
      <c r="H170" s="161">
        <f>40050-39905</f>
        <v>145</v>
      </c>
      <c r="I170" s="207">
        <v>50</v>
      </c>
      <c r="J170" s="242">
        <f t="shared" si="26"/>
        <v>7250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44855</v>
      </c>
      <c r="D171" s="161" t="s">
        <v>9</v>
      </c>
      <c r="E171" s="161" t="s">
        <v>301</v>
      </c>
      <c r="F171" s="207">
        <v>40550</v>
      </c>
      <c r="G171" s="207">
        <v>40850</v>
      </c>
      <c r="H171" s="161">
        <v>300</v>
      </c>
      <c r="I171" s="207">
        <v>50</v>
      </c>
      <c r="J171" s="242">
        <f t="shared" si="26"/>
        <v>15000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44865</v>
      </c>
      <c r="D172" s="161" t="s">
        <v>9</v>
      </c>
      <c r="E172" s="161" t="s">
        <v>301</v>
      </c>
      <c r="F172" s="207">
        <v>41300</v>
      </c>
      <c r="G172" s="207">
        <v>41370</v>
      </c>
      <c r="H172" s="161">
        <v>70</v>
      </c>
      <c r="I172" s="207">
        <v>50</v>
      </c>
      <c r="J172" s="242">
        <f t="shared" si="26"/>
        <v>3500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/>
      <c r="D173" s="161"/>
      <c r="E173" s="161"/>
      <c r="F173" s="207"/>
      <c r="G173" s="207"/>
      <c r="H173" s="161"/>
      <c r="I173" s="207"/>
      <c r="J173" s="242">
        <f t="shared" si="26"/>
        <v>0</v>
      </c>
      <c r="K173" s="153"/>
      <c r="V173" s="25">
        <f t="shared" si="27"/>
        <v>0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/>
      <c r="D176" s="161"/>
      <c r="E176" s="161"/>
      <c r="F176" s="207"/>
      <c r="G176" s="207"/>
      <c r="H176" s="161"/>
      <c r="I176" s="207"/>
      <c r="J176" s="242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/>
      <c r="D177" s="161"/>
      <c r="E177" s="161"/>
      <c r="F177" s="207"/>
      <c r="G177" s="207"/>
      <c r="H177" s="161"/>
      <c r="I177" s="207"/>
      <c r="J177" s="242">
        <f t="shared" si="26"/>
        <v>0</v>
      </c>
      <c r="K177" s="153"/>
      <c r="V177" s="25">
        <f t="shared" si="27"/>
        <v>0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115050</v>
      </c>
      <c r="K181" s="153"/>
      <c r="V181" s="25">
        <f>SUM(V158:V180)</f>
        <v>14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3514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44837</v>
      </c>
      <c r="D189" s="185" t="s">
        <v>9</v>
      </c>
      <c r="E189" s="185" t="s">
        <v>3696</v>
      </c>
      <c r="F189" s="219">
        <v>460</v>
      </c>
      <c r="G189" s="219">
        <v>640</v>
      </c>
      <c r="H189" s="185">
        <f>640-460</f>
        <v>180</v>
      </c>
      <c r="I189" s="219">
        <v>100</v>
      </c>
      <c r="J189" s="246">
        <f t="shared" ref="J189:J211" si="30">I189*H189</f>
        <v>18000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44838</v>
      </c>
      <c r="D190" s="185" t="s">
        <v>9</v>
      </c>
      <c r="E190" s="185" t="s">
        <v>3567</v>
      </c>
      <c r="F190" s="219">
        <v>370</v>
      </c>
      <c r="G190" s="219">
        <v>435</v>
      </c>
      <c r="H190" s="185">
        <f>435-370</f>
        <v>65</v>
      </c>
      <c r="I190" s="219">
        <v>100</v>
      </c>
      <c r="J190" s="242">
        <f t="shared" si="30"/>
        <v>6500</v>
      </c>
      <c r="K190" s="153"/>
      <c r="V190" s="25">
        <f t="shared" ref="V190:V211" si="31">IF($J190&gt;0,1,0)</f>
        <v>1</v>
      </c>
      <c r="W190" s="25">
        <f t="shared" ref="W190:W211" si="32">IF($J190&lt;0,1,0)</f>
        <v>0</v>
      </c>
    </row>
    <row r="191" spans="1:23" x14ac:dyDescent="0.3">
      <c r="A191" s="147"/>
      <c r="B191" s="205">
        <f t="shared" ref="B191:B211" si="33">B190+1</f>
        <v>3</v>
      </c>
      <c r="C191" s="206">
        <v>44840</v>
      </c>
      <c r="D191" s="161" t="s">
        <v>9</v>
      </c>
      <c r="E191" s="161" t="s">
        <v>3947</v>
      </c>
      <c r="F191" s="207">
        <v>240</v>
      </c>
      <c r="G191" s="207">
        <v>440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44841</v>
      </c>
      <c r="D192" s="161" t="s">
        <v>9</v>
      </c>
      <c r="E192" s="161" t="s">
        <v>3948</v>
      </c>
      <c r="F192" s="207">
        <v>430</v>
      </c>
      <c r="G192" s="207">
        <v>530</v>
      </c>
      <c r="H192" s="161">
        <v>100</v>
      </c>
      <c r="I192" s="207">
        <v>100</v>
      </c>
      <c r="J192" s="242">
        <f t="shared" si="30"/>
        <v>10000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44844</v>
      </c>
      <c r="D193" s="161" t="s">
        <v>9</v>
      </c>
      <c r="E193" s="161" t="s">
        <v>3658</v>
      </c>
      <c r="F193" s="207">
        <v>330</v>
      </c>
      <c r="G193" s="207">
        <v>530</v>
      </c>
      <c r="H193" s="161">
        <v>200</v>
      </c>
      <c r="I193" s="207">
        <v>100</v>
      </c>
      <c r="J193" s="242">
        <f t="shared" si="30"/>
        <v>20000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44845</v>
      </c>
      <c r="D194" s="161" t="s">
        <v>9</v>
      </c>
      <c r="E194" s="161" t="s">
        <v>3948</v>
      </c>
      <c r="F194" s="207">
        <v>360</v>
      </c>
      <c r="G194" s="207">
        <v>395</v>
      </c>
      <c r="H194" s="161">
        <f>395-360</f>
        <v>35</v>
      </c>
      <c r="I194" s="207">
        <v>100</v>
      </c>
      <c r="J194" s="242">
        <f t="shared" si="30"/>
        <v>3500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44846</v>
      </c>
      <c r="D195" s="161" t="s">
        <v>9</v>
      </c>
      <c r="E195" s="161" t="s">
        <v>3658</v>
      </c>
      <c r="F195" s="207">
        <v>310</v>
      </c>
      <c r="G195" s="207">
        <v>460</v>
      </c>
      <c r="H195" s="161">
        <f>460-310</f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44847</v>
      </c>
      <c r="D196" s="161" t="s">
        <v>9</v>
      </c>
      <c r="E196" s="161" t="s">
        <v>3957</v>
      </c>
      <c r="F196" s="207">
        <v>300</v>
      </c>
      <c r="G196" s="207">
        <v>435</v>
      </c>
      <c r="H196" s="161">
        <v>135</v>
      </c>
      <c r="I196" s="207">
        <v>100</v>
      </c>
      <c r="J196" s="242">
        <f t="shared" si="30"/>
        <v>13500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44848</v>
      </c>
      <c r="D197" s="161" t="s">
        <v>9</v>
      </c>
      <c r="E197" s="161" t="s">
        <v>3890</v>
      </c>
      <c r="F197" s="207">
        <v>470</v>
      </c>
      <c r="G197" s="207">
        <v>570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44851</v>
      </c>
      <c r="D198" s="161" t="s">
        <v>9</v>
      </c>
      <c r="E198" s="161" t="s">
        <v>3535</v>
      </c>
      <c r="F198" s="207">
        <v>380</v>
      </c>
      <c r="G198" s="207">
        <v>580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11</v>
      </c>
      <c r="C199" s="206">
        <v>44852</v>
      </c>
      <c r="D199" s="161" t="s">
        <v>9</v>
      </c>
      <c r="E199" s="161" t="s">
        <v>3964</v>
      </c>
      <c r="F199" s="207">
        <v>410</v>
      </c>
      <c r="G199" s="207">
        <v>469</v>
      </c>
      <c r="H199" s="161">
        <f>469-410</f>
        <v>59</v>
      </c>
      <c r="I199" s="207">
        <v>100</v>
      </c>
      <c r="J199" s="242">
        <f t="shared" si="30"/>
        <v>5900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44853</v>
      </c>
      <c r="D200" s="161" t="s">
        <v>9</v>
      </c>
      <c r="E200" s="161" t="s">
        <v>3536</v>
      </c>
      <c r="F200" s="207">
        <v>300</v>
      </c>
      <c r="G200" s="207">
        <v>335</v>
      </c>
      <c r="H200" s="161">
        <v>35</v>
      </c>
      <c r="I200" s="207">
        <v>100</v>
      </c>
      <c r="J200" s="242">
        <f t="shared" si="30"/>
        <v>3500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44854</v>
      </c>
      <c r="D201" s="161" t="s">
        <v>9</v>
      </c>
      <c r="E201" s="161" t="s">
        <v>3914</v>
      </c>
      <c r="F201" s="207">
        <v>270</v>
      </c>
      <c r="G201" s="207">
        <v>400</v>
      </c>
      <c r="H201" s="161">
        <f>400-270</f>
        <v>130</v>
      </c>
      <c r="I201" s="207">
        <v>100</v>
      </c>
      <c r="J201" s="242">
        <f t="shared" si="30"/>
        <v>13000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44855</v>
      </c>
      <c r="D202" s="161" t="s">
        <v>9</v>
      </c>
      <c r="E202" s="161" t="s">
        <v>3920</v>
      </c>
      <c r="F202" s="207">
        <v>380</v>
      </c>
      <c r="G202" s="222">
        <v>580</v>
      </c>
      <c r="H202" s="161">
        <v>200</v>
      </c>
      <c r="I202" s="207">
        <v>100</v>
      </c>
      <c r="J202" s="242">
        <f t="shared" si="30"/>
        <v>20000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44865</v>
      </c>
      <c r="D203" s="161" t="s">
        <v>9</v>
      </c>
      <c r="E203" s="161" t="s">
        <v>3555</v>
      </c>
      <c r="F203" s="207">
        <v>320</v>
      </c>
      <c r="G203" s="207">
        <v>370</v>
      </c>
      <c r="H203" s="161">
        <v>50</v>
      </c>
      <c r="I203" s="207">
        <v>100</v>
      </c>
      <c r="J203" s="242">
        <f t="shared" si="30"/>
        <v>5000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/>
      <c r="D204" s="161"/>
      <c r="E204" s="161"/>
      <c r="F204" s="207"/>
      <c r="G204" s="207"/>
      <c r="H204" s="161"/>
      <c r="I204" s="207"/>
      <c r="J204" s="242">
        <f t="shared" si="30"/>
        <v>0</v>
      </c>
      <c r="K204" s="153"/>
      <c r="V204" s="25">
        <f t="shared" si="31"/>
        <v>0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/>
      <c r="D207" s="161"/>
      <c r="E207" s="161"/>
      <c r="F207" s="207"/>
      <c r="G207" s="207"/>
      <c r="H207" s="161"/>
      <c r="I207" s="207"/>
      <c r="J207" s="242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/>
      <c r="D208" s="161"/>
      <c r="E208" s="161"/>
      <c r="F208" s="207"/>
      <c r="G208" s="207"/>
      <c r="H208" s="161"/>
      <c r="I208" s="207"/>
      <c r="J208" s="242">
        <f t="shared" si="30"/>
        <v>0</v>
      </c>
      <c r="K208" s="153"/>
      <c r="V208" s="25">
        <f t="shared" si="31"/>
        <v>0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/>
      <c r="D209" s="161"/>
      <c r="E209" s="161"/>
      <c r="F209" s="207"/>
      <c r="G209" s="207"/>
      <c r="H209" s="161"/>
      <c r="I209" s="207"/>
      <c r="J209" s="242">
        <f t="shared" si="30"/>
        <v>0</v>
      </c>
      <c r="K209" s="153"/>
      <c r="V209" s="25">
        <f t="shared" si="31"/>
        <v>0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/>
      <c r="D210" s="161"/>
      <c r="E210" s="161"/>
      <c r="F210" s="207"/>
      <c r="G210" s="207"/>
      <c r="H210" s="161"/>
      <c r="I210" s="207"/>
      <c r="J210" s="242">
        <f t="shared" si="30"/>
        <v>0</v>
      </c>
      <c r="K210" s="153"/>
      <c r="V210" s="25">
        <f t="shared" si="31"/>
        <v>0</v>
      </c>
      <c r="W210" s="25">
        <f t="shared" si="32"/>
        <v>0</v>
      </c>
    </row>
    <row r="211" spans="1:23" ht="15" thickBot="1" x14ac:dyDescent="0.35">
      <c r="A211" s="147"/>
      <c r="B211" s="208">
        <f t="shared" si="33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0"/>
        <v>0</v>
      </c>
      <c r="K211" s="153"/>
      <c r="V211" s="25">
        <f t="shared" si="31"/>
        <v>0</v>
      </c>
      <c r="W211" s="25">
        <f t="shared" si="32"/>
        <v>0</v>
      </c>
    </row>
    <row r="212" spans="1:23" ht="24" thickBot="1" x14ac:dyDescent="0.5">
      <c r="A212" s="147"/>
      <c r="B212" s="370" t="s">
        <v>2254</v>
      </c>
      <c r="C212" s="371"/>
      <c r="D212" s="371"/>
      <c r="E212" s="371"/>
      <c r="F212" s="371"/>
      <c r="G212" s="371"/>
      <c r="H212" s="372"/>
      <c r="I212" s="211" t="s">
        <v>2255</v>
      </c>
      <c r="J212" s="212">
        <f>SUM(J189:J211)</f>
        <v>183900</v>
      </c>
      <c r="K212" s="153"/>
      <c r="V212" s="25">
        <f>SUM(V189:V211)</f>
        <v>15</v>
      </c>
      <c r="W212" s="25">
        <f>SUM(W189:W211)</f>
        <v>0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61" t="s">
        <v>2244</v>
      </c>
      <c r="C216" s="362"/>
      <c r="D216" s="362"/>
      <c r="E216" s="362"/>
      <c r="F216" s="362"/>
      <c r="G216" s="362"/>
      <c r="H216" s="362"/>
      <c r="I216" s="362"/>
      <c r="J216" s="363"/>
      <c r="K216" s="153"/>
    </row>
    <row r="217" spans="1:23" ht="16.2" thickBot="1" x14ac:dyDescent="0.35">
      <c r="A217" s="147"/>
      <c r="B217" s="364" t="s">
        <v>3946</v>
      </c>
      <c r="C217" s="365"/>
      <c r="D217" s="365"/>
      <c r="E217" s="365"/>
      <c r="F217" s="365"/>
      <c r="G217" s="365"/>
      <c r="H217" s="365"/>
      <c r="I217" s="365"/>
      <c r="J217" s="366"/>
      <c r="K217" s="153"/>
    </row>
    <row r="218" spans="1:23" ht="16.2" thickBot="1" x14ac:dyDescent="0.35">
      <c r="A218" s="147"/>
      <c r="B218" s="367" t="s">
        <v>1076</v>
      </c>
      <c r="C218" s="368"/>
      <c r="D218" s="368"/>
      <c r="E218" s="368"/>
      <c r="F218" s="368"/>
      <c r="G218" s="368"/>
      <c r="H218" s="368"/>
      <c r="I218" s="368"/>
      <c r="J218" s="369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44837</v>
      </c>
      <c r="D220" s="185" t="s">
        <v>9</v>
      </c>
      <c r="E220" s="185" t="s">
        <v>3949</v>
      </c>
      <c r="F220" s="231">
        <v>100</v>
      </c>
      <c r="G220" s="231">
        <v>75</v>
      </c>
      <c r="H220" s="231">
        <v>-25</v>
      </c>
      <c r="I220" s="219">
        <v>475</v>
      </c>
      <c r="J220" s="246">
        <f t="shared" ref="J220:J243" si="34">I220*H220</f>
        <v>-11875</v>
      </c>
      <c r="K220" s="153"/>
      <c r="V220" s="25">
        <f>IF($J220&gt;0,1,0)</f>
        <v>0</v>
      </c>
      <c r="W220" s="25">
        <f>IF($J220&lt;0,1,0)</f>
        <v>1</v>
      </c>
    </row>
    <row r="221" spans="1:23" x14ac:dyDescent="0.3">
      <c r="A221" s="147"/>
      <c r="B221" s="205">
        <f>B220+1</f>
        <v>2</v>
      </c>
      <c r="C221" s="218">
        <v>44838</v>
      </c>
      <c r="D221" s="185" t="s">
        <v>9</v>
      </c>
      <c r="E221" s="185" t="s">
        <v>3950</v>
      </c>
      <c r="F221" s="231">
        <v>73</v>
      </c>
      <c r="G221" s="231">
        <v>63</v>
      </c>
      <c r="H221" s="231">
        <v>-10</v>
      </c>
      <c r="I221" s="219">
        <v>407</v>
      </c>
      <c r="J221" s="242">
        <f>I221*H221</f>
        <v>-4070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 t="shared" ref="B222:B243" si="35">B221+1</f>
        <v>3</v>
      </c>
      <c r="C222" s="206">
        <v>44840</v>
      </c>
      <c r="D222" s="161" t="s">
        <v>9</v>
      </c>
      <c r="E222" s="161" t="s">
        <v>3951</v>
      </c>
      <c r="F222" s="222">
        <v>175</v>
      </c>
      <c r="G222" s="222">
        <v>205</v>
      </c>
      <c r="H222" s="222">
        <f>205-175</f>
        <v>30</v>
      </c>
      <c r="I222" s="207">
        <v>125</v>
      </c>
      <c r="J222" s="242">
        <f t="shared" si="34"/>
        <v>3750</v>
      </c>
      <c r="K222" s="153"/>
      <c r="V222" s="25">
        <f t="shared" ref="V222:V243" si="36">IF($J222&gt;0,1,0)</f>
        <v>1</v>
      </c>
      <c r="W222" s="25">
        <f t="shared" ref="W222:W243" si="37">IF($J222&lt;0,1,0)</f>
        <v>0</v>
      </c>
    </row>
    <row r="223" spans="1:23" x14ac:dyDescent="0.3">
      <c r="A223" s="147"/>
      <c r="B223" s="205">
        <f t="shared" si="35"/>
        <v>4</v>
      </c>
      <c r="C223" s="206">
        <v>44841</v>
      </c>
      <c r="D223" s="161" t="s">
        <v>9</v>
      </c>
      <c r="E223" s="161" t="s">
        <v>3952</v>
      </c>
      <c r="F223" s="222">
        <v>47</v>
      </c>
      <c r="G223" s="222">
        <v>50.3</v>
      </c>
      <c r="H223" s="222">
        <f>50.3-47</f>
        <v>3.2999999999999972</v>
      </c>
      <c r="I223" s="207">
        <v>300</v>
      </c>
      <c r="J223" s="242">
        <f t="shared" si="34"/>
        <v>989.99999999999909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5</v>
      </c>
      <c r="C224" s="206">
        <v>44844</v>
      </c>
      <c r="D224" s="161" t="s">
        <v>9</v>
      </c>
      <c r="E224" s="161" t="s">
        <v>3953</v>
      </c>
      <c r="F224" s="222">
        <v>48</v>
      </c>
      <c r="G224" s="222">
        <v>54</v>
      </c>
      <c r="H224" s="222">
        <f>54-48</f>
        <v>6</v>
      </c>
      <c r="I224" s="207">
        <v>1000</v>
      </c>
      <c r="J224" s="242">
        <f t="shared" si="34"/>
        <v>6000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6</v>
      </c>
      <c r="C225" s="206">
        <v>44845</v>
      </c>
      <c r="D225" s="161" t="s">
        <v>9</v>
      </c>
      <c r="E225" s="161" t="s">
        <v>3954</v>
      </c>
      <c r="F225" s="222">
        <v>155</v>
      </c>
      <c r="G225" s="222">
        <v>169</v>
      </c>
      <c r="H225" s="222">
        <f>169-155</f>
        <v>14</v>
      </c>
      <c r="I225" s="207">
        <v>500</v>
      </c>
      <c r="J225" s="242">
        <f t="shared" si="34"/>
        <v>7000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7</v>
      </c>
      <c r="C226" s="206">
        <v>44846</v>
      </c>
      <c r="D226" s="161" t="s">
        <v>9</v>
      </c>
      <c r="E226" s="161" t="s">
        <v>3955</v>
      </c>
      <c r="F226" s="222">
        <v>135</v>
      </c>
      <c r="G226" s="222">
        <v>164</v>
      </c>
      <c r="H226" s="222">
        <f>164-135</f>
        <v>29</v>
      </c>
      <c r="I226" s="207">
        <v>500</v>
      </c>
      <c r="J226" s="242">
        <f t="shared" si="34"/>
        <v>14500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8</v>
      </c>
      <c r="C227" s="206">
        <v>44847</v>
      </c>
      <c r="D227" s="161" t="s">
        <v>9</v>
      </c>
      <c r="E227" s="161" t="s">
        <v>3956</v>
      </c>
      <c r="F227" s="222">
        <v>20</v>
      </c>
      <c r="G227" s="222">
        <v>22</v>
      </c>
      <c r="H227" s="222">
        <v>2</v>
      </c>
      <c r="I227" s="207">
        <v>700</v>
      </c>
      <c r="J227" s="242">
        <f t="shared" si="34"/>
        <v>1400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9</v>
      </c>
      <c r="C228" s="206">
        <v>44848</v>
      </c>
      <c r="D228" s="161" t="s">
        <v>9</v>
      </c>
      <c r="E228" s="161" t="s">
        <v>3854</v>
      </c>
      <c r="F228" s="222">
        <v>44</v>
      </c>
      <c r="G228" s="222">
        <v>60</v>
      </c>
      <c r="H228" s="255">
        <f>60-44</f>
        <v>16</v>
      </c>
      <c r="I228" s="207">
        <v>250</v>
      </c>
      <c r="J228" s="242">
        <f t="shared" si="34"/>
        <v>4000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10</v>
      </c>
      <c r="C229" s="206">
        <v>44851</v>
      </c>
      <c r="D229" s="161" t="s">
        <v>9</v>
      </c>
      <c r="E229" s="161" t="s">
        <v>3962</v>
      </c>
      <c r="F229" s="222">
        <v>100</v>
      </c>
      <c r="G229" s="222">
        <v>107</v>
      </c>
      <c r="H229" s="255">
        <v>7</v>
      </c>
      <c r="I229" s="207">
        <v>500</v>
      </c>
      <c r="J229" s="242">
        <f t="shared" si="34"/>
        <v>3500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11</v>
      </c>
      <c r="C230" s="206">
        <v>44852</v>
      </c>
      <c r="D230" s="161" t="s">
        <v>9</v>
      </c>
      <c r="E230" s="161" t="s">
        <v>3965</v>
      </c>
      <c r="F230" s="222">
        <v>30</v>
      </c>
      <c r="G230" s="222">
        <v>36</v>
      </c>
      <c r="H230" s="255">
        <v>6</v>
      </c>
      <c r="I230" s="207">
        <v>900</v>
      </c>
      <c r="J230" s="242">
        <f t="shared" si="34"/>
        <v>5400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12</v>
      </c>
      <c r="C231" s="206">
        <v>44853</v>
      </c>
      <c r="D231" s="161" t="s">
        <v>9</v>
      </c>
      <c r="E231" s="161" t="s">
        <v>3966</v>
      </c>
      <c r="F231" s="222">
        <v>18</v>
      </c>
      <c r="G231" s="222">
        <v>22.95</v>
      </c>
      <c r="H231" s="255">
        <f>22.95-18</f>
        <v>4.9499999999999993</v>
      </c>
      <c r="I231" s="207">
        <v>1200</v>
      </c>
      <c r="J231" s="242">
        <f t="shared" si="34"/>
        <v>5939.9999999999991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13</v>
      </c>
      <c r="C232" s="206">
        <v>44854</v>
      </c>
      <c r="D232" s="161" t="s">
        <v>9</v>
      </c>
      <c r="E232" s="161" t="s">
        <v>3967</v>
      </c>
      <c r="F232" s="222">
        <v>7.5</v>
      </c>
      <c r="G232" s="222">
        <v>9.0500000000000007</v>
      </c>
      <c r="H232" s="255">
        <f>9.05-7.5</f>
        <v>1.5500000000000007</v>
      </c>
      <c r="I232" s="207">
        <v>1500</v>
      </c>
      <c r="J232" s="242">
        <f t="shared" si="34"/>
        <v>2325.0000000000009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14</v>
      </c>
      <c r="C233" s="206">
        <v>44855</v>
      </c>
      <c r="D233" s="161" t="s">
        <v>9</v>
      </c>
      <c r="E233" s="161" t="s">
        <v>3968</v>
      </c>
      <c r="F233" s="222">
        <v>78</v>
      </c>
      <c r="G233" s="222">
        <v>89.5</v>
      </c>
      <c r="H233" s="255">
        <f>89.5-78</f>
        <v>11.5</v>
      </c>
      <c r="I233" s="207">
        <v>100</v>
      </c>
      <c r="J233" s="242">
        <f>I233*H233</f>
        <v>1150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15</v>
      </c>
      <c r="C234" s="206">
        <v>44865</v>
      </c>
      <c r="D234" s="161" t="s">
        <v>9</v>
      </c>
      <c r="E234" s="161" t="s">
        <v>3970</v>
      </c>
      <c r="F234" s="222">
        <v>100</v>
      </c>
      <c r="G234" s="222">
        <v>97</v>
      </c>
      <c r="H234" s="255">
        <v>-3</v>
      </c>
      <c r="I234" s="207">
        <v>250</v>
      </c>
      <c r="J234" s="242">
        <f t="shared" si="34"/>
        <v>-750</v>
      </c>
      <c r="K234" s="153"/>
      <c r="V234" s="25">
        <f t="shared" si="36"/>
        <v>0</v>
      </c>
      <c r="W234" s="25">
        <f t="shared" si="37"/>
        <v>1</v>
      </c>
    </row>
    <row r="235" spans="1:23" x14ac:dyDescent="0.3">
      <c r="A235" s="147"/>
      <c r="B235" s="205">
        <f t="shared" si="35"/>
        <v>16</v>
      </c>
      <c r="C235" s="206"/>
      <c r="D235" s="161"/>
      <c r="E235" s="161"/>
      <c r="F235" s="222"/>
      <c r="G235" s="222"/>
      <c r="H235" s="222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17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18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19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x14ac:dyDescent="0.3">
      <c r="A239" s="147"/>
      <c r="B239" s="205">
        <f t="shared" si="35"/>
        <v>20</v>
      </c>
      <c r="C239" s="206"/>
      <c r="D239" s="161"/>
      <c r="E239" s="161"/>
      <c r="F239" s="222"/>
      <c r="G239" s="222"/>
      <c r="H239" s="222"/>
      <c r="I239" s="207"/>
      <c r="J239" s="242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x14ac:dyDescent="0.3">
      <c r="A240" s="147"/>
      <c r="B240" s="205">
        <f t="shared" si="35"/>
        <v>21</v>
      </c>
      <c r="C240" s="206"/>
      <c r="D240" s="161"/>
      <c r="E240" s="161"/>
      <c r="F240" s="222"/>
      <c r="G240" s="222"/>
      <c r="H240" s="222"/>
      <c r="I240" s="207"/>
      <c r="J240" s="242">
        <f t="shared" si="34"/>
        <v>0</v>
      </c>
      <c r="K240" s="153"/>
      <c r="V240" s="25">
        <f t="shared" si="36"/>
        <v>0</v>
      </c>
      <c r="W240" s="25">
        <f t="shared" si="37"/>
        <v>0</v>
      </c>
    </row>
    <row r="241" spans="1:23" x14ac:dyDescent="0.3">
      <c r="A241" s="147"/>
      <c r="B241" s="205">
        <f t="shared" si="35"/>
        <v>22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ht="15" thickBot="1" x14ac:dyDescent="0.35">
      <c r="A243" s="147"/>
      <c r="B243" s="208">
        <f t="shared" si="35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24" thickBot="1" x14ac:dyDescent="0.5">
      <c r="A244" s="147"/>
      <c r="B244" s="370" t="s">
        <v>2254</v>
      </c>
      <c r="C244" s="371"/>
      <c r="D244" s="371"/>
      <c r="E244" s="371"/>
      <c r="F244" s="371"/>
      <c r="G244" s="371"/>
      <c r="H244" s="372"/>
      <c r="I244" s="211" t="s">
        <v>2255</v>
      </c>
      <c r="J244" s="212">
        <f>SUM(J220:J243)</f>
        <v>39260</v>
      </c>
      <c r="K244" s="153"/>
      <c r="V244" s="25">
        <f>SUM(V220:V243)</f>
        <v>12</v>
      </c>
      <c r="W244" s="25">
        <f>SUM(W220:W243)</f>
        <v>3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</mergeCells>
  <hyperlinks>
    <hyperlink ref="B86" r:id="rId1" xr:uid="{00000000-0004-0000-7200-000000000000}"/>
    <hyperlink ref="B117" r:id="rId2" xr:uid="{00000000-0004-0000-7200-000001000000}"/>
    <hyperlink ref="B150" r:id="rId3" xr:uid="{00000000-0004-0000-7200-000002000000}"/>
    <hyperlink ref="B181" r:id="rId4" xr:uid="{00000000-0004-0000-7200-000003000000}"/>
    <hyperlink ref="B212" r:id="rId5" xr:uid="{00000000-0004-0000-7200-000004000000}"/>
    <hyperlink ref="B244" r:id="rId6" xr:uid="{00000000-0004-0000-7200-000005000000}"/>
    <hyperlink ref="M1" location="'MASTER '!A1" display="Back" xr:uid="{00000000-0004-0000-7200-000006000000}"/>
    <hyperlink ref="M6:M7" location="'SEP-2022'!A77" display="STOCK FUTURE" xr:uid="{00000000-0004-0000-7200-000007000000}"/>
    <hyperlink ref="M12:M13" location="'SEP-2022'!A170" display="BANK NIFTY" xr:uid="{00000000-0004-0000-7200-000008000000}"/>
    <hyperlink ref="M10:M11" location="'SEP-2022'!A139" display="NF. OPTION" xr:uid="{00000000-0004-0000-7200-000009000000}"/>
    <hyperlink ref="M8:M9" location="'SEP-2022'!A108" display="NIFTY FUTURE" xr:uid="{00000000-0004-0000-7200-00000A000000}"/>
    <hyperlink ref="M4:M5" location="'SEP-2022'!A1" display="CASH" xr:uid="{00000000-0004-0000-7200-00000B000000}"/>
    <hyperlink ref="M14:M15" location="'SEP-2022'!A201" display="B.NIFTY OPTION" xr:uid="{00000000-0004-0000-7200-00000C000000}"/>
    <hyperlink ref="M16:M17" location="'SEP-2022'!A216" display="STOCK OPTION" xr:uid="{00000000-0004-0000-7200-00000D000000}"/>
    <hyperlink ref="B52" r:id="rId7" xr:uid="{00000000-0004-0000-7200-00000E000000}"/>
  </hyperlinks>
  <pageMargins left="0" right="0" top="0" bottom="0" header="0" footer="0"/>
  <pageSetup scale="95" orientation="portrait" r:id="rId8"/>
  <drawing r:id="rId9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W245"/>
  <sheetViews>
    <sheetView topLeftCell="A233" zoomScaleNormal="100" workbookViewId="0">
      <selection activeCell="H77" sqref="H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3971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36</v>
      </c>
      <c r="P4" s="386">
        <f>W52</f>
        <v>6</v>
      </c>
      <c r="Q4" s="387">
        <f>N4-O4-P4</f>
        <v>0</v>
      </c>
      <c r="R4" s="380">
        <f>O4/N4</f>
        <v>0.8571428571428571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44866</v>
      </c>
      <c r="D6" s="158" t="s">
        <v>9</v>
      </c>
      <c r="E6" s="158" t="s">
        <v>814</v>
      </c>
      <c r="F6" s="230">
        <v>515</v>
      </c>
      <c r="G6" s="222">
        <v>517.20000000000005</v>
      </c>
      <c r="H6" s="222">
        <f>517.2-515</f>
        <v>2.2000000000000455</v>
      </c>
      <c r="I6" s="207">
        <f t="shared" ref="I6:I7" si="0">300000/F6</f>
        <v>582.52427184466023</v>
      </c>
      <c r="J6" s="161">
        <f t="shared" ref="J6:J7" si="1">H6*I6</f>
        <v>1281.5533980582791</v>
      </c>
      <c r="K6" s="153"/>
      <c r="M6" s="394" t="s">
        <v>450</v>
      </c>
      <c r="N6" s="344">
        <f>COUNT(C60:C85)</f>
        <v>22</v>
      </c>
      <c r="O6" s="346">
        <f>V86</f>
        <v>21</v>
      </c>
      <c r="P6" s="346">
        <f>W86</f>
        <v>0</v>
      </c>
      <c r="Q6" s="374">
        <f>N6-O6-P6</f>
        <v>1</v>
      </c>
      <c r="R6" s="376">
        <f t="shared" ref="R6" si="2">O6/N6</f>
        <v>0.95454545454545459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44866</v>
      </c>
      <c r="D7" s="161" t="s">
        <v>8</v>
      </c>
      <c r="E7" s="161" t="s">
        <v>95</v>
      </c>
      <c r="F7" s="222">
        <v>911</v>
      </c>
      <c r="G7" s="231">
        <v>899.55</v>
      </c>
      <c r="H7" s="255">
        <f>911-899.55</f>
        <v>11.450000000000045</v>
      </c>
      <c r="I7" s="207">
        <f t="shared" si="0"/>
        <v>329.3084522502744</v>
      </c>
      <c r="J7" s="161">
        <f t="shared" si="1"/>
        <v>3770.5817782656568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44867</v>
      </c>
      <c r="D8" s="161" t="s">
        <v>9</v>
      </c>
      <c r="E8" s="161" t="s">
        <v>2204</v>
      </c>
      <c r="F8" s="222">
        <v>1075</v>
      </c>
      <c r="G8" s="222">
        <v>1065</v>
      </c>
      <c r="H8" s="222">
        <v>-10</v>
      </c>
      <c r="I8" s="207">
        <f t="shared" ref="I8:I47" si="6">300000/F8</f>
        <v>279.06976744186045</v>
      </c>
      <c r="J8" s="161">
        <f t="shared" ref="J8:J47" si="7">H8*I8</f>
        <v>-2790.6976744186045</v>
      </c>
      <c r="K8" s="153"/>
      <c r="M8" s="394" t="s">
        <v>451</v>
      </c>
      <c r="N8" s="344">
        <f>COUNT(C94:C116)</f>
        <v>21</v>
      </c>
      <c r="O8" s="346">
        <f>V117</f>
        <v>19</v>
      </c>
      <c r="P8" s="346">
        <f>W117</f>
        <v>2</v>
      </c>
      <c r="Q8" s="374">
        <f>N8-O8-P8</f>
        <v>0</v>
      </c>
      <c r="R8" s="376">
        <f t="shared" ref="R8" si="8">O8/N8</f>
        <v>0.90476190476190477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44867</v>
      </c>
      <c r="D9" s="161" t="s">
        <v>8</v>
      </c>
      <c r="E9" s="161" t="s">
        <v>395</v>
      </c>
      <c r="F9" s="222">
        <v>4580</v>
      </c>
      <c r="G9" s="231">
        <v>4560</v>
      </c>
      <c r="H9" s="255">
        <v>20</v>
      </c>
      <c r="I9" s="207">
        <f t="shared" si="6"/>
        <v>65.502183406113531</v>
      </c>
      <c r="J9" s="161">
        <f t="shared" si="7"/>
        <v>1310.0436681222707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44868</v>
      </c>
      <c r="D10" s="161" t="s">
        <v>9</v>
      </c>
      <c r="E10" s="161" t="s">
        <v>2107</v>
      </c>
      <c r="F10" s="222">
        <v>848</v>
      </c>
      <c r="G10" s="222">
        <v>868</v>
      </c>
      <c r="H10" s="222">
        <v>20</v>
      </c>
      <c r="I10" s="207">
        <f t="shared" si="6"/>
        <v>353.77358490566036</v>
      </c>
      <c r="J10" s="161">
        <f t="shared" si="7"/>
        <v>7075.4716981132069</v>
      </c>
      <c r="K10" s="153"/>
      <c r="M10" s="394" t="s">
        <v>1176</v>
      </c>
      <c r="N10" s="344">
        <f>COUNT(C125:C149)</f>
        <v>23</v>
      </c>
      <c r="O10" s="346">
        <f>V150</f>
        <v>17</v>
      </c>
      <c r="P10" s="346">
        <f>W150</f>
        <v>6</v>
      </c>
      <c r="Q10" s="374">
        <f>N10-O10-P10</f>
        <v>0</v>
      </c>
      <c r="R10" s="376">
        <f t="shared" ref="R10:R16" si="9">O10/N10</f>
        <v>0.73913043478260865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44868</v>
      </c>
      <c r="D11" s="161" t="s">
        <v>9</v>
      </c>
      <c r="E11" s="161" t="s">
        <v>275</v>
      </c>
      <c r="F11" s="222">
        <v>307</v>
      </c>
      <c r="G11" s="222">
        <v>305</v>
      </c>
      <c r="H11" s="255">
        <v>-2</v>
      </c>
      <c r="I11" s="207">
        <f t="shared" si="6"/>
        <v>977.19869706840393</v>
      </c>
      <c r="J11" s="161">
        <f t="shared" si="7"/>
        <v>-1954.3973941368079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44869</v>
      </c>
      <c r="D12" s="161" t="s">
        <v>9</v>
      </c>
      <c r="E12" s="161" t="s">
        <v>3706</v>
      </c>
      <c r="F12" s="222">
        <v>708</v>
      </c>
      <c r="G12" s="222">
        <v>700</v>
      </c>
      <c r="H12" s="222">
        <v>-8</v>
      </c>
      <c r="I12" s="207">
        <f t="shared" si="6"/>
        <v>423.72881355932202</v>
      </c>
      <c r="J12" s="161">
        <f t="shared" si="7"/>
        <v>-3389.8305084745762</v>
      </c>
      <c r="K12" s="153"/>
      <c r="M12" s="394" t="s">
        <v>41</v>
      </c>
      <c r="N12" s="344">
        <f>COUNT(C158:C180)</f>
        <v>22</v>
      </c>
      <c r="O12" s="346">
        <f>V181</f>
        <v>18</v>
      </c>
      <c r="P12" s="346">
        <f>W181</f>
        <v>4</v>
      </c>
      <c r="Q12" s="374">
        <f t="shared" ref="Q12" si="10">N12-O12-P12</f>
        <v>0</v>
      </c>
      <c r="R12" s="376">
        <f t="shared" si="9"/>
        <v>0.81818181818181823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44869</v>
      </c>
      <c r="D13" s="161" t="s">
        <v>8</v>
      </c>
      <c r="E13" s="161" t="s">
        <v>2093</v>
      </c>
      <c r="F13" s="222">
        <v>715</v>
      </c>
      <c r="G13" s="222">
        <v>708</v>
      </c>
      <c r="H13" s="255">
        <v>7</v>
      </c>
      <c r="I13" s="207">
        <f t="shared" si="6"/>
        <v>419.58041958041957</v>
      </c>
      <c r="J13" s="161">
        <f t="shared" si="7"/>
        <v>2937.0629370629372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44872</v>
      </c>
      <c r="D14" s="161" t="s">
        <v>9</v>
      </c>
      <c r="E14" s="161" t="s">
        <v>361</v>
      </c>
      <c r="F14" s="222">
        <v>294</v>
      </c>
      <c r="G14" s="222">
        <v>300</v>
      </c>
      <c r="H14" s="222">
        <f>300-294</f>
        <v>6</v>
      </c>
      <c r="I14" s="207">
        <f t="shared" si="6"/>
        <v>1020.4081632653061</v>
      </c>
      <c r="J14" s="161">
        <f t="shared" si="7"/>
        <v>6122.4489795918371</v>
      </c>
      <c r="K14" s="153"/>
      <c r="M14" s="394" t="s">
        <v>1175</v>
      </c>
      <c r="N14" s="344">
        <f>COUNT(C189:C211)</f>
        <v>22</v>
      </c>
      <c r="O14" s="346">
        <f>V212</f>
        <v>17</v>
      </c>
      <c r="P14" s="346">
        <f>W212</f>
        <v>5</v>
      </c>
      <c r="Q14" s="374">
        <f t="shared" ref="Q14" si="11">N14-O14-P14</f>
        <v>0</v>
      </c>
      <c r="R14" s="376">
        <f t="shared" si="9"/>
        <v>0.77272727272727271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44872</v>
      </c>
      <c r="D15" s="161" t="s">
        <v>9</v>
      </c>
      <c r="E15" s="161" t="s">
        <v>95</v>
      </c>
      <c r="F15" s="222">
        <v>910</v>
      </c>
      <c r="G15" s="222">
        <v>917.25</v>
      </c>
      <c r="H15" s="222">
        <f>917.25-910</f>
        <v>7.25</v>
      </c>
      <c r="I15" s="207">
        <f t="shared" si="6"/>
        <v>329.67032967032969</v>
      </c>
      <c r="J15" s="161">
        <f t="shared" si="7"/>
        <v>2390.1098901098903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44874</v>
      </c>
      <c r="D16" s="161" t="s">
        <v>9</v>
      </c>
      <c r="E16" s="161" t="s">
        <v>3232</v>
      </c>
      <c r="F16" s="222">
        <v>740</v>
      </c>
      <c r="G16" s="222">
        <v>743</v>
      </c>
      <c r="H16" s="222">
        <v>3</v>
      </c>
      <c r="I16" s="207">
        <f t="shared" si="6"/>
        <v>405.40540540540542</v>
      </c>
      <c r="J16" s="161">
        <f t="shared" si="7"/>
        <v>1216.2162162162163</v>
      </c>
      <c r="K16" s="153"/>
      <c r="L16" s="25" t="s">
        <v>2008</v>
      </c>
      <c r="M16" s="394" t="s">
        <v>1090</v>
      </c>
      <c r="N16" s="344">
        <f>COUNT(C220:C243)</f>
        <v>21</v>
      </c>
      <c r="O16" s="346">
        <f>V244</f>
        <v>18</v>
      </c>
      <c r="P16" s="346">
        <f>W244</f>
        <v>3</v>
      </c>
      <c r="Q16" s="374">
        <v>0</v>
      </c>
      <c r="R16" s="376">
        <f t="shared" si="9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44874</v>
      </c>
      <c r="D17" s="161" t="s">
        <v>8</v>
      </c>
      <c r="E17" s="161" t="s">
        <v>95</v>
      </c>
      <c r="F17" s="222">
        <v>913</v>
      </c>
      <c r="G17" s="222">
        <v>907</v>
      </c>
      <c r="H17" s="222">
        <v>6</v>
      </c>
      <c r="I17" s="207">
        <f t="shared" si="6"/>
        <v>328.58707557502737</v>
      </c>
      <c r="J17" s="161">
        <f t="shared" si="7"/>
        <v>1971.5224534501642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44875</v>
      </c>
      <c r="D18" s="161" t="s">
        <v>9</v>
      </c>
      <c r="E18" s="161" t="s">
        <v>3464</v>
      </c>
      <c r="F18" s="222">
        <v>140</v>
      </c>
      <c r="G18" s="222">
        <v>141.6</v>
      </c>
      <c r="H18" s="222">
        <v>1.6</v>
      </c>
      <c r="I18" s="207">
        <f t="shared" si="6"/>
        <v>2142.8571428571427</v>
      </c>
      <c r="J18" s="161">
        <f t="shared" si="7"/>
        <v>3428.5714285714284</v>
      </c>
      <c r="K18" s="153"/>
      <c r="M18" s="392" t="s">
        <v>946</v>
      </c>
      <c r="N18" s="378">
        <f>SUM(N4:N17)</f>
        <v>173</v>
      </c>
      <c r="O18" s="378">
        <f t="shared" ref="O18:Q18" si="12">SUM(O4:O17)</f>
        <v>146</v>
      </c>
      <c r="P18" s="378">
        <f t="shared" si="12"/>
        <v>26</v>
      </c>
      <c r="Q18" s="378">
        <f t="shared" si="12"/>
        <v>1</v>
      </c>
      <c r="R18" s="380">
        <f t="shared" ref="R18" si="13">O18/N18</f>
        <v>0.84393063583815031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44875</v>
      </c>
      <c r="D19" s="161" t="s">
        <v>8</v>
      </c>
      <c r="E19" s="161" t="s">
        <v>19</v>
      </c>
      <c r="F19" s="222">
        <v>607</v>
      </c>
      <c r="G19" s="222">
        <v>602.54999999999995</v>
      </c>
      <c r="H19" s="222">
        <f>607-602.55</f>
        <v>4.4500000000000455</v>
      </c>
      <c r="I19" s="207">
        <f t="shared" si="6"/>
        <v>494.23393739703459</v>
      </c>
      <c r="J19" s="161">
        <f t="shared" si="7"/>
        <v>2199.3410214168266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44876</v>
      </c>
      <c r="D20" s="161" t="s">
        <v>9</v>
      </c>
      <c r="E20" s="161" t="s">
        <v>2563</v>
      </c>
      <c r="F20" s="222">
        <v>1730</v>
      </c>
      <c r="G20" s="222">
        <v>1758</v>
      </c>
      <c r="H20" s="222">
        <f>1758-1730</f>
        <v>28</v>
      </c>
      <c r="I20" s="207">
        <f t="shared" si="6"/>
        <v>173.41040462427745</v>
      </c>
      <c r="J20" s="161">
        <f t="shared" si="7"/>
        <v>4855.4913294797689</v>
      </c>
      <c r="K20" s="153"/>
      <c r="M20" s="316" t="s">
        <v>2253</v>
      </c>
      <c r="N20" s="317"/>
      <c r="O20" s="318"/>
      <c r="P20" s="325">
        <f>R18</f>
        <v>0.84393063583815031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44876</v>
      </c>
      <c r="D21" s="161" t="s">
        <v>8</v>
      </c>
      <c r="E21" s="161" t="s">
        <v>95</v>
      </c>
      <c r="F21" s="222">
        <v>923</v>
      </c>
      <c r="G21" s="222">
        <v>910</v>
      </c>
      <c r="H21" s="222">
        <f>923-910</f>
        <v>13</v>
      </c>
      <c r="I21" s="207">
        <f t="shared" si="6"/>
        <v>325.02708559046584</v>
      </c>
      <c r="J21" s="161">
        <f t="shared" si="7"/>
        <v>4225.3521126760561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44879</v>
      </c>
      <c r="D22" s="161" t="s">
        <v>9</v>
      </c>
      <c r="E22" s="161" t="s">
        <v>2004</v>
      </c>
      <c r="F22" s="222">
        <v>765</v>
      </c>
      <c r="G22" s="222">
        <v>770</v>
      </c>
      <c r="H22" s="222">
        <f>770-765</f>
        <v>5</v>
      </c>
      <c r="I22" s="207">
        <f t="shared" si="6"/>
        <v>392.15686274509807</v>
      </c>
      <c r="J22" s="161">
        <f t="shared" si="7"/>
        <v>1960.7843137254904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44879</v>
      </c>
      <c r="D23" s="161" t="s">
        <v>8</v>
      </c>
      <c r="E23" s="161" t="s">
        <v>95</v>
      </c>
      <c r="F23" s="222">
        <v>900</v>
      </c>
      <c r="G23" s="222">
        <v>893</v>
      </c>
      <c r="H23" s="222">
        <f>900-893</f>
        <v>7</v>
      </c>
      <c r="I23" s="207">
        <f t="shared" si="6"/>
        <v>333.33333333333331</v>
      </c>
      <c r="J23" s="161">
        <f t="shared" si="7"/>
        <v>2333.333333333333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44880</v>
      </c>
      <c r="D24" s="161" t="s">
        <v>9</v>
      </c>
      <c r="E24" s="161" t="s">
        <v>2203</v>
      </c>
      <c r="F24" s="222">
        <v>892</v>
      </c>
      <c r="G24" s="222">
        <v>910</v>
      </c>
      <c r="H24" s="222">
        <f>910-892</f>
        <v>18</v>
      </c>
      <c r="I24" s="207">
        <f t="shared" si="6"/>
        <v>336.32286995515693</v>
      </c>
      <c r="J24" s="161">
        <f t="shared" si="7"/>
        <v>6053.8116591928247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44880</v>
      </c>
      <c r="D25" s="161" t="s">
        <v>8</v>
      </c>
      <c r="E25" s="161" t="s">
        <v>3188</v>
      </c>
      <c r="F25" s="222">
        <v>1122</v>
      </c>
      <c r="G25" s="222">
        <v>1116.5999999999999</v>
      </c>
      <c r="H25" s="222">
        <f>1122-1116.6</f>
        <v>5.4000000000000909</v>
      </c>
      <c r="I25" s="207">
        <f t="shared" si="6"/>
        <v>267.37967914438502</v>
      </c>
      <c r="J25" s="161">
        <f t="shared" si="7"/>
        <v>1443.8502673797034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44881</v>
      </c>
      <c r="D26" s="161" t="s">
        <v>9</v>
      </c>
      <c r="E26" s="161" t="s">
        <v>2203</v>
      </c>
      <c r="F26" s="222">
        <v>905</v>
      </c>
      <c r="G26" s="222">
        <v>914</v>
      </c>
      <c r="H26" s="222">
        <f>914-905</f>
        <v>9</v>
      </c>
      <c r="I26" s="207">
        <f t="shared" si="6"/>
        <v>331.49171270718233</v>
      </c>
      <c r="J26" s="161">
        <f t="shared" si="7"/>
        <v>2983.4254143646408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44881</v>
      </c>
      <c r="D27" s="161" t="s">
        <v>9</v>
      </c>
      <c r="E27" s="161" t="s">
        <v>95</v>
      </c>
      <c r="F27" s="222">
        <v>910</v>
      </c>
      <c r="G27" s="222">
        <v>916</v>
      </c>
      <c r="H27" s="222">
        <v>6</v>
      </c>
      <c r="I27" s="207">
        <f t="shared" si="6"/>
        <v>329.67032967032969</v>
      </c>
      <c r="J27" s="161">
        <f t="shared" si="7"/>
        <v>1978.0219780219782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44882</v>
      </c>
      <c r="D28" s="161" t="s">
        <v>9</v>
      </c>
      <c r="E28" s="161" t="s">
        <v>85</v>
      </c>
      <c r="F28" s="222">
        <v>843</v>
      </c>
      <c r="G28" s="222">
        <v>849</v>
      </c>
      <c r="H28" s="222">
        <v>6</v>
      </c>
      <c r="I28" s="207">
        <f t="shared" si="6"/>
        <v>355.87188612099646</v>
      </c>
      <c r="J28" s="161">
        <f t="shared" si="7"/>
        <v>2135.231316725979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44882</v>
      </c>
      <c r="D29" s="161" t="s">
        <v>8</v>
      </c>
      <c r="E29" s="161" t="s">
        <v>586</v>
      </c>
      <c r="F29" s="222">
        <v>1715</v>
      </c>
      <c r="G29" s="222">
        <v>1697</v>
      </c>
      <c r="H29" s="222">
        <f>1715-1697</f>
        <v>18</v>
      </c>
      <c r="I29" s="207">
        <f t="shared" si="6"/>
        <v>174.9271137026239</v>
      </c>
      <c r="J29" s="161">
        <f t="shared" si="7"/>
        <v>3148.6880466472303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44883</v>
      </c>
      <c r="D30" s="161" t="s">
        <v>9</v>
      </c>
      <c r="E30" s="161" t="s">
        <v>433</v>
      </c>
      <c r="F30" s="222">
        <v>417</v>
      </c>
      <c r="G30" s="222">
        <v>427</v>
      </c>
      <c r="H30" s="222">
        <v>10</v>
      </c>
      <c r="I30" s="207">
        <f t="shared" si="6"/>
        <v>719.42446043165467</v>
      </c>
      <c r="J30" s="161">
        <f t="shared" si="7"/>
        <v>7194.2446043165464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44883</v>
      </c>
      <c r="D31" s="161" t="s">
        <v>9</v>
      </c>
      <c r="E31" s="161" t="s">
        <v>58</v>
      </c>
      <c r="F31" s="222">
        <v>864</v>
      </c>
      <c r="G31" s="222">
        <v>856</v>
      </c>
      <c r="H31" s="222">
        <v>-8</v>
      </c>
      <c r="I31" s="207">
        <f t="shared" si="6"/>
        <v>347.22222222222223</v>
      </c>
      <c r="J31" s="161">
        <f t="shared" si="7"/>
        <v>-2777.7777777777778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44886</v>
      </c>
      <c r="D32" s="161" t="s">
        <v>9</v>
      </c>
      <c r="E32" s="161" t="s">
        <v>837</v>
      </c>
      <c r="F32" s="222">
        <v>1288</v>
      </c>
      <c r="G32" s="222">
        <v>1303</v>
      </c>
      <c r="H32" s="222">
        <f>1303-1288</f>
        <v>15</v>
      </c>
      <c r="I32" s="207">
        <f t="shared" si="6"/>
        <v>232.91925465838509</v>
      </c>
      <c r="J32" s="161">
        <f t="shared" si="7"/>
        <v>3493.7888198757764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44886</v>
      </c>
      <c r="D33" s="161" t="s">
        <v>9</v>
      </c>
      <c r="E33" s="161" t="s">
        <v>95</v>
      </c>
      <c r="F33" s="222">
        <v>920</v>
      </c>
      <c r="G33" s="222">
        <v>924.65</v>
      </c>
      <c r="H33" s="222">
        <v>4.6500000000000004</v>
      </c>
      <c r="I33" s="207">
        <f t="shared" si="6"/>
        <v>326.08695652173913</v>
      </c>
      <c r="J33" s="161">
        <f t="shared" si="7"/>
        <v>1516.304347826087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44887</v>
      </c>
      <c r="D34" s="161" t="s">
        <v>9</v>
      </c>
      <c r="E34" s="161" t="s">
        <v>124</v>
      </c>
      <c r="F34" s="222">
        <v>422</v>
      </c>
      <c r="G34" s="222">
        <v>425.5</v>
      </c>
      <c r="H34" s="222">
        <v>3.5</v>
      </c>
      <c r="I34" s="207">
        <f t="shared" si="6"/>
        <v>710.90047393364932</v>
      </c>
      <c r="J34" s="161">
        <f t="shared" si="7"/>
        <v>2488.1516587677725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44887</v>
      </c>
      <c r="D35" s="161" t="s">
        <v>9</v>
      </c>
      <c r="E35" s="161" t="s">
        <v>3515</v>
      </c>
      <c r="F35" s="222">
        <v>2695</v>
      </c>
      <c r="G35" s="222">
        <v>2711</v>
      </c>
      <c r="H35" s="222">
        <f>2711-2695</f>
        <v>16</v>
      </c>
      <c r="I35" s="207">
        <f t="shared" si="6"/>
        <v>111.31725417439704</v>
      </c>
      <c r="J35" s="161">
        <f t="shared" si="7"/>
        <v>1781.0760667903526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44888</v>
      </c>
      <c r="D36" s="161" t="s">
        <v>9</v>
      </c>
      <c r="E36" s="161" t="s">
        <v>800</v>
      </c>
      <c r="F36" s="222">
        <v>1685</v>
      </c>
      <c r="G36" s="222">
        <v>1696</v>
      </c>
      <c r="H36" s="222">
        <f>1696-1685</f>
        <v>11</v>
      </c>
      <c r="I36" s="207">
        <f t="shared" si="6"/>
        <v>178.04154302670622</v>
      </c>
      <c r="J36" s="161">
        <f t="shared" si="7"/>
        <v>1958.4569732937684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44888</v>
      </c>
      <c r="D37" s="161" t="s">
        <v>8</v>
      </c>
      <c r="E37" s="161" t="s">
        <v>168</v>
      </c>
      <c r="F37" s="222">
        <v>1237</v>
      </c>
      <c r="G37" s="222">
        <v>1229</v>
      </c>
      <c r="H37" s="222">
        <f>1237-1229</f>
        <v>8</v>
      </c>
      <c r="I37" s="207">
        <f t="shared" si="6"/>
        <v>242.52223120452709</v>
      </c>
      <c r="J37" s="161">
        <f t="shared" si="7"/>
        <v>1940.1778496362167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44889</v>
      </c>
      <c r="D38" s="161" t="s">
        <v>9</v>
      </c>
      <c r="E38" s="161" t="s">
        <v>2563</v>
      </c>
      <c r="F38" s="222">
        <v>1960</v>
      </c>
      <c r="G38" s="222">
        <v>1940</v>
      </c>
      <c r="H38" s="222">
        <v>-20</v>
      </c>
      <c r="I38" s="207">
        <f t="shared" si="6"/>
        <v>153.0612244897959</v>
      </c>
      <c r="J38" s="161">
        <f t="shared" si="7"/>
        <v>-3061.2244897959181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44889</v>
      </c>
      <c r="D39" s="161" t="s">
        <v>9</v>
      </c>
      <c r="E39" s="161" t="s">
        <v>2999</v>
      </c>
      <c r="F39" s="222">
        <v>560</v>
      </c>
      <c r="G39" s="222">
        <v>572</v>
      </c>
      <c r="H39" s="222">
        <v>12</v>
      </c>
      <c r="I39" s="207">
        <f t="shared" si="6"/>
        <v>535.71428571428567</v>
      </c>
      <c r="J39" s="161">
        <f t="shared" si="7"/>
        <v>6428.5714285714275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44890</v>
      </c>
      <c r="D40" s="161" t="s">
        <v>9</v>
      </c>
      <c r="E40" s="161" t="s">
        <v>4005</v>
      </c>
      <c r="F40" s="222">
        <v>1182</v>
      </c>
      <c r="G40" s="222">
        <v>1192</v>
      </c>
      <c r="H40" s="222">
        <v>10</v>
      </c>
      <c r="I40" s="207">
        <f t="shared" si="6"/>
        <v>253.80710659898477</v>
      </c>
      <c r="J40" s="161">
        <f t="shared" si="7"/>
        <v>2538.0710659898477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44890</v>
      </c>
      <c r="D41" s="161" t="s">
        <v>8</v>
      </c>
      <c r="E41" s="161" t="s">
        <v>173</v>
      </c>
      <c r="F41" s="222">
        <v>3085</v>
      </c>
      <c r="G41" s="223">
        <v>3105</v>
      </c>
      <c r="H41" s="222">
        <f>3105-3085</f>
        <v>20</v>
      </c>
      <c r="I41" s="207">
        <f t="shared" si="6"/>
        <v>97.244732576985413</v>
      </c>
      <c r="J41" s="161">
        <f t="shared" si="7"/>
        <v>1944.8946515397083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44893</v>
      </c>
      <c r="D42" s="161" t="s">
        <v>9</v>
      </c>
      <c r="E42" s="161" t="s">
        <v>4005</v>
      </c>
      <c r="F42" s="222">
        <v>1190</v>
      </c>
      <c r="G42" s="222">
        <v>1203.8</v>
      </c>
      <c r="H42" s="222">
        <f>1203.8-1190</f>
        <v>13.799999999999955</v>
      </c>
      <c r="I42" s="207">
        <f t="shared" si="6"/>
        <v>252.10084033613447</v>
      </c>
      <c r="J42" s="161">
        <f t="shared" si="7"/>
        <v>3478.9915966386443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44893</v>
      </c>
      <c r="D43" s="161" t="s">
        <v>9</v>
      </c>
      <c r="E43" s="161" t="s">
        <v>184</v>
      </c>
      <c r="F43" s="222">
        <v>405</v>
      </c>
      <c r="G43" s="222">
        <v>409.4</v>
      </c>
      <c r="H43" s="222">
        <v>4.4000000000000004</v>
      </c>
      <c r="I43" s="207">
        <f t="shared" si="6"/>
        <v>740.74074074074076</v>
      </c>
      <c r="J43" s="161">
        <f t="shared" si="7"/>
        <v>3259.2592592592596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44894</v>
      </c>
      <c r="D44" s="161" t="s">
        <v>9</v>
      </c>
      <c r="E44" s="161" t="s">
        <v>37</v>
      </c>
      <c r="F44" s="222">
        <v>438</v>
      </c>
      <c r="G44" s="222">
        <v>440.3</v>
      </c>
      <c r="H44" s="222">
        <v>2.2999999999999998</v>
      </c>
      <c r="I44" s="207">
        <f t="shared" si="6"/>
        <v>684.93150684931504</v>
      </c>
      <c r="J44" s="161">
        <f t="shared" si="7"/>
        <v>1575.3424657534244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44894</v>
      </c>
      <c r="D45" s="161" t="s">
        <v>8</v>
      </c>
      <c r="E45" s="161" t="s">
        <v>837</v>
      </c>
      <c r="F45" s="222">
        <v>1265</v>
      </c>
      <c r="G45" s="222">
        <v>1275</v>
      </c>
      <c r="H45" s="222">
        <v>-10</v>
      </c>
      <c r="I45" s="207">
        <f t="shared" si="6"/>
        <v>237.15415019762847</v>
      </c>
      <c r="J45" s="161">
        <f t="shared" si="7"/>
        <v>-2371.5415019762845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44895</v>
      </c>
      <c r="D46" s="161" t="s">
        <v>9</v>
      </c>
      <c r="E46" s="161" t="s">
        <v>26</v>
      </c>
      <c r="F46" s="222">
        <v>397</v>
      </c>
      <c r="G46" s="222">
        <v>403</v>
      </c>
      <c r="H46" s="222">
        <f>403-397</f>
        <v>6</v>
      </c>
      <c r="I46" s="207">
        <f t="shared" si="6"/>
        <v>755.66750629722924</v>
      </c>
      <c r="J46" s="161">
        <f t="shared" si="7"/>
        <v>4534.0050377833759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44895</v>
      </c>
      <c r="D47" s="161" t="s">
        <v>9</v>
      </c>
      <c r="E47" s="161" t="s">
        <v>1407</v>
      </c>
      <c r="F47" s="222">
        <v>1380</v>
      </c>
      <c r="G47" s="222">
        <v>1395</v>
      </c>
      <c r="H47" s="222">
        <f>1395-1380</f>
        <v>15</v>
      </c>
      <c r="I47" s="207">
        <f t="shared" si="6"/>
        <v>217.39130434782609</v>
      </c>
      <c r="J47" s="161">
        <f t="shared" si="7"/>
        <v>3260.8695652173915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95867.649285205334</v>
      </c>
      <c r="K52" s="153"/>
      <c r="V52" s="25">
        <f>SUM(V6:V51)</f>
        <v>36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3972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44866</v>
      </c>
      <c r="D60" s="161" t="s">
        <v>8</v>
      </c>
      <c r="E60" s="161" t="s">
        <v>3562</v>
      </c>
      <c r="F60" s="222">
        <v>4550</v>
      </c>
      <c r="G60" s="222">
        <v>4510</v>
      </c>
      <c r="H60" s="222">
        <v>40</v>
      </c>
      <c r="I60" s="207">
        <v>125</v>
      </c>
      <c r="J60" s="241">
        <f t="shared" ref="J60:J85" si="14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44867</v>
      </c>
      <c r="D61" s="161" t="s">
        <v>8</v>
      </c>
      <c r="E61" s="161" t="s">
        <v>51</v>
      </c>
      <c r="F61" s="222">
        <v>900</v>
      </c>
      <c r="G61" s="222">
        <v>891.9</v>
      </c>
      <c r="H61" s="222">
        <f>900-891.9</f>
        <v>8.1000000000000227</v>
      </c>
      <c r="I61" s="207">
        <v>500</v>
      </c>
      <c r="J61" s="242">
        <f t="shared" si="14"/>
        <v>4050.0000000000114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44868</v>
      </c>
      <c r="D62" s="161" t="s">
        <v>8</v>
      </c>
      <c r="E62" s="161" t="s">
        <v>3562</v>
      </c>
      <c r="F62" s="222">
        <v>4580</v>
      </c>
      <c r="G62" s="222">
        <v>4550</v>
      </c>
      <c r="H62" s="222">
        <v>30</v>
      </c>
      <c r="I62" s="207">
        <v>125</v>
      </c>
      <c r="J62" s="242">
        <f t="shared" si="14"/>
        <v>3750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44868</v>
      </c>
      <c r="D63" s="161" t="s">
        <v>8</v>
      </c>
      <c r="E63" s="161" t="s">
        <v>3563</v>
      </c>
      <c r="F63" s="222">
        <v>1498</v>
      </c>
      <c r="G63" s="222">
        <v>1483.5</v>
      </c>
      <c r="H63" s="222">
        <f>1498-1483.5</f>
        <v>14.5</v>
      </c>
      <c r="I63" s="207">
        <v>400</v>
      </c>
      <c r="J63" s="242">
        <f>I63*H63</f>
        <v>5800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44869</v>
      </c>
      <c r="D64" s="161" t="s">
        <v>9</v>
      </c>
      <c r="E64" s="161" t="s">
        <v>365</v>
      </c>
      <c r="F64" s="222">
        <v>694</v>
      </c>
      <c r="G64" s="222">
        <v>707</v>
      </c>
      <c r="H64" s="222">
        <f>707-694</f>
        <v>13</v>
      </c>
      <c r="I64" s="207">
        <v>1350</v>
      </c>
      <c r="J64" s="242">
        <f>I64*H64</f>
        <v>17550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44872</v>
      </c>
      <c r="D65" s="161" t="s">
        <v>9</v>
      </c>
      <c r="E65" s="161" t="s">
        <v>299</v>
      </c>
      <c r="F65" s="222">
        <v>3955</v>
      </c>
      <c r="G65" s="222">
        <v>3995</v>
      </c>
      <c r="H65" s="222">
        <f>3995-3955</f>
        <v>40</v>
      </c>
      <c r="I65" s="207">
        <v>250</v>
      </c>
      <c r="J65" s="242">
        <f>I65*H65</f>
        <v>10000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44874</v>
      </c>
      <c r="D66" s="161" t="s">
        <v>9</v>
      </c>
      <c r="E66" s="161" t="s">
        <v>531</v>
      </c>
      <c r="F66" s="222">
        <v>3530</v>
      </c>
      <c r="G66" s="222">
        <v>3552</v>
      </c>
      <c r="H66" s="222">
        <f>3552-3530</f>
        <v>22</v>
      </c>
      <c r="I66" s="207">
        <v>200</v>
      </c>
      <c r="J66" s="242">
        <f t="shared" si="14"/>
        <v>4400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44875</v>
      </c>
      <c r="D67" s="161" t="s">
        <v>9</v>
      </c>
      <c r="E67" s="161" t="s">
        <v>3746</v>
      </c>
      <c r="F67" s="222">
        <v>224</v>
      </c>
      <c r="G67" s="222">
        <v>225.5</v>
      </c>
      <c r="H67" s="222">
        <v>1.5</v>
      </c>
      <c r="I67" s="207">
        <v>2300</v>
      </c>
      <c r="J67" s="242">
        <f>I67*H67</f>
        <v>3450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44876</v>
      </c>
      <c r="D68" s="161" t="s">
        <v>8</v>
      </c>
      <c r="E68" s="161" t="s">
        <v>299</v>
      </c>
      <c r="F68" s="222">
        <v>4030</v>
      </c>
      <c r="G68" s="222">
        <v>4018</v>
      </c>
      <c r="H68" s="222">
        <f>4030-4018</f>
        <v>12</v>
      </c>
      <c r="I68" s="207">
        <v>250</v>
      </c>
      <c r="J68" s="242">
        <f>I68*H68</f>
        <v>3000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44879</v>
      </c>
      <c r="D69" s="161" t="s">
        <v>9</v>
      </c>
      <c r="E69" s="161" t="s">
        <v>531</v>
      </c>
      <c r="F69" s="222">
        <v>3740</v>
      </c>
      <c r="G69" s="222">
        <v>3798</v>
      </c>
      <c r="H69" s="222">
        <f>3798-3740</f>
        <v>58</v>
      </c>
      <c r="I69" s="207">
        <v>200</v>
      </c>
      <c r="J69" s="242">
        <f>I69*H69</f>
        <v>11600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44880</v>
      </c>
      <c r="D70" s="161" t="s">
        <v>9</v>
      </c>
      <c r="E70" s="161" t="s">
        <v>2204</v>
      </c>
      <c r="F70" s="161">
        <v>1105</v>
      </c>
      <c r="G70" s="222">
        <v>1125</v>
      </c>
      <c r="H70" s="222">
        <f>1125-1105</f>
        <v>20</v>
      </c>
      <c r="I70" s="207">
        <v>375</v>
      </c>
      <c r="J70" s="242">
        <f t="shared" si="14"/>
        <v>7500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44881</v>
      </c>
      <c r="D71" s="161" t="s">
        <v>9</v>
      </c>
      <c r="E71" s="161" t="s">
        <v>2563</v>
      </c>
      <c r="F71" s="222">
        <v>1795</v>
      </c>
      <c r="G71" s="222">
        <v>1775</v>
      </c>
      <c r="H71" s="222">
        <v>20</v>
      </c>
      <c r="I71" s="207">
        <v>300</v>
      </c>
      <c r="J71" s="242">
        <f t="shared" si="14"/>
        <v>6000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44882</v>
      </c>
      <c r="D72" s="161" t="s">
        <v>9</v>
      </c>
      <c r="E72" s="161" t="s">
        <v>3515</v>
      </c>
      <c r="F72" s="222">
        <v>2690</v>
      </c>
      <c r="G72" s="222">
        <v>2697</v>
      </c>
      <c r="H72" s="222">
        <v>7</v>
      </c>
      <c r="I72" s="207">
        <v>475</v>
      </c>
      <c r="J72" s="242">
        <f t="shared" si="14"/>
        <v>3325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44883</v>
      </c>
      <c r="D73" s="161" t="s">
        <v>9</v>
      </c>
      <c r="E73" s="161" t="s">
        <v>124</v>
      </c>
      <c r="F73" s="223">
        <v>425</v>
      </c>
      <c r="G73" s="222">
        <v>427.45</v>
      </c>
      <c r="H73" s="255">
        <f>427.45-425</f>
        <v>2.4499999999999886</v>
      </c>
      <c r="I73" s="207">
        <v>1425</v>
      </c>
      <c r="J73" s="242">
        <f t="shared" si="14"/>
        <v>3491.2499999999836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44886</v>
      </c>
      <c r="D74" s="161" t="s">
        <v>9</v>
      </c>
      <c r="E74" s="161" t="s">
        <v>124</v>
      </c>
      <c r="F74" s="222">
        <v>427</v>
      </c>
      <c r="G74" s="222">
        <v>428</v>
      </c>
      <c r="H74" s="222">
        <v>1</v>
      </c>
      <c r="I74" s="207">
        <v>428</v>
      </c>
      <c r="J74" s="242">
        <f t="shared" si="14"/>
        <v>428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44887</v>
      </c>
      <c r="D75" s="161" t="s">
        <v>9</v>
      </c>
      <c r="E75" s="161" t="s">
        <v>183</v>
      </c>
      <c r="F75" s="223">
        <v>2515</v>
      </c>
      <c r="G75" s="222">
        <v>2526</v>
      </c>
      <c r="H75" s="255">
        <f>2526-2515</f>
        <v>11</v>
      </c>
      <c r="I75" s="207">
        <v>300</v>
      </c>
      <c r="J75" s="242">
        <f t="shared" si="14"/>
        <v>3300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44888</v>
      </c>
      <c r="D76" s="161" t="s">
        <v>9</v>
      </c>
      <c r="E76" s="161" t="s">
        <v>2563</v>
      </c>
      <c r="F76" s="222">
        <v>1860</v>
      </c>
      <c r="G76" s="222">
        <v>1886.5</v>
      </c>
      <c r="H76" s="222">
        <v>6.5</v>
      </c>
      <c r="I76" s="207">
        <v>300</v>
      </c>
      <c r="J76" s="242">
        <f t="shared" si="14"/>
        <v>1950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44889</v>
      </c>
      <c r="D77" s="161" t="s">
        <v>8</v>
      </c>
      <c r="E77" s="161" t="s">
        <v>119</v>
      </c>
      <c r="F77" s="222">
        <v>1940</v>
      </c>
      <c r="G77" s="222">
        <v>1935</v>
      </c>
      <c r="H77" s="222">
        <v>5</v>
      </c>
      <c r="I77" s="207">
        <v>400</v>
      </c>
      <c r="J77" s="242">
        <f t="shared" si="14"/>
        <v>2000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44890</v>
      </c>
      <c r="D78" s="161" t="s">
        <v>9</v>
      </c>
      <c r="E78" s="161" t="s">
        <v>3248</v>
      </c>
      <c r="F78" s="223">
        <v>1292</v>
      </c>
      <c r="G78" s="222">
        <v>1307</v>
      </c>
      <c r="H78" s="255">
        <f>1307-1292</f>
        <v>15</v>
      </c>
      <c r="I78" s="207">
        <v>325</v>
      </c>
      <c r="J78" s="242">
        <f t="shared" si="14"/>
        <v>4875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44893</v>
      </c>
      <c r="D79" s="161" t="s">
        <v>8</v>
      </c>
      <c r="E79" s="161" t="s">
        <v>4009</v>
      </c>
      <c r="F79" s="222">
        <v>1615</v>
      </c>
      <c r="G79" s="222">
        <v>1608.75</v>
      </c>
      <c r="H79" s="222">
        <f>1615-1608.75</f>
        <v>6.25</v>
      </c>
      <c r="I79" s="207">
        <v>550</v>
      </c>
      <c r="J79" s="242">
        <f t="shared" si="14"/>
        <v>3437.5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44894</v>
      </c>
      <c r="D80" s="161" t="s">
        <v>9</v>
      </c>
      <c r="E80" s="161" t="s">
        <v>4010</v>
      </c>
      <c r="F80" s="222">
        <v>870</v>
      </c>
      <c r="G80" s="222">
        <v>884</v>
      </c>
      <c r="H80" s="222">
        <f>884-870</f>
        <v>14</v>
      </c>
      <c r="I80" s="207">
        <v>1000</v>
      </c>
      <c r="J80" s="242">
        <f t="shared" si="14"/>
        <v>14000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44895</v>
      </c>
      <c r="D81" s="161" t="s">
        <v>9</v>
      </c>
      <c r="E81" s="161" t="s">
        <v>4011</v>
      </c>
      <c r="F81" s="222">
        <v>1548</v>
      </c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118906.75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3971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44866</v>
      </c>
      <c r="D94" s="185" t="s">
        <v>9</v>
      </c>
      <c r="E94" s="185" t="s">
        <v>39</v>
      </c>
      <c r="F94" s="219">
        <v>18160</v>
      </c>
      <c r="G94" s="219">
        <v>18215</v>
      </c>
      <c r="H94" s="185">
        <f>18215-18160</f>
        <v>55</v>
      </c>
      <c r="I94" s="219">
        <v>150</v>
      </c>
      <c r="J94" s="246">
        <f t="shared" ref="J94:J116" si="18">I94*H94</f>
        <v>8250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44867</v>
      </c>
      <c r="D95" s="185" t="s">
        <v>8</v>
      </c>
      <c r="E95" s="185" t="s">
        <v>39</v>
      </c>
      <c r="F95" s="219">
        <v>18180</v>
      </c>
      <c r="G95" s="219">
        <v>18125</v>
      </c>
      <c r="H95" s="185">
        <v>55</v>
      </c>
      <c r="I95" s="219">
        <v>150</v>
      </c>
      <c r="J95" s="242">
        <f t="shared" si="18"/>
        <v>8250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44868</v>
      </c>
      <c r="D96" s="161" t="s">
        <v>9</v>
      </c>
      <c r="E96" s="161" t="s">
        <v>39</v>
      </c>
      <c r="F96" s="207">
        <v>18130</v>
      </c>
      <c r="G96" s="207">
        <v>18150</v>
      </c>
      <c r="H96" s="161">
        <v>20</v>
      </c>
      <c r="I96" s="207">
        <v>150</v>
      </c>
      <c r="J96" s="242">
        <f t="shared" si="18"/>
        <v>3000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44869</v>
      </c>
      <c r="D97" s="161" t="s">
        <v>9</v>
      </c>
      <c r="E97" s="161" t="s">
        <v>39</v>
      </c>
      <c r="F97" s="207">
        <v>18100</v>
      </c>
      <c r="G97" s="207">
        <v>18180</v>
      </c>
      <c r="H97" s="161">
        <v>80</v>
      </c>
      <c r="I97" s="207">
        <v>150</v>
      </c>
      <c r="J97" s="242">
        <f t="shared" si="18"/>
        <v>12000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44872</v>
      </c>
      <c r="D98" s="161" t="s">
        <v>8</v>
      </c>
      <c r="E98" s="161" t="s">
        <v>39</v>
      </c>
      <c r="F98" s="207">
        <v>18230</v>
      </c>
      <c r="G98" s="207">
        <v>18150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44874</v>
      </c>
      <c r="D99" s="161" t="s">
        <v>8</v>
      </c>
      <c r="E99" s="161" t="s">
        <v>39</v>
      </c>
      <c r="F99" s="207">
        <v>18300</v>
      </c>
      <c r="G99" s="207">
        <v>18220</v>
      </c>
      <c r="H99" s="161">
        <v>80</v>
      </c>
      <c r="I99" s="207">
        <v>150</v>
      </c>
      <c r="J99" s="242">
        <f t="shared" si="18"/>
        <v>12000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44875</v>
      </c>
      <c r="D100" s="161" t="s">
        <v>8</v>
      </c>
      <c r="E100" s="161" t="s">
        <v>39</v>
      </c>
      <c r="F100" s="207">
        <v>18100</v>
      </c>
      <c r="G100" s="207">
        <v>18040</v>
      </c>
      <c r="H100" s="161">
        <f>18100-18040</f>
        <v>60</v>
      </c>
      <c r="I100" s="207">
        <v>150</v>
      </c>
      <c r="J100" s="242">
        <f t="shared" si="18"/>
        <v>9000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44876</v>
      </c>
      <c r="D101" s="161" t="s">
        <v>9</v>
      </c>
      <c r="E101" s="161" t="s">
        <v>39</v>
      </c>
      <c r="F101" s="207">
        <v>18360</v>
      </c>
      <c r="G101" s="207">
        <v>18414</v>
      </c>
      <c r="H101" s="161">
        <v>54</v>
      </c>
      <c r="I101" s="207">
        <v>150</v>
      </c>
      <c r="J101" s="242">
        <f t="shared" si="18"/>
        <v>8100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44879</v>
      </c>
      <c r="D102" s="161" t="s">
        <v>8</v>
      </c>
      <c r="E102" s="161" t="s">
        <v>39</v>
      </c>
      <c r="F102" s="207">
        <v>18400</v>
      </c>
      <c r="G102" s="207">
        <v>18382</v>
      </c>
      <c r="H102" s="161">
        <f>18400-18382</f>
        <v>18</v>
      </c>
      <c r="I102" s="207">
        <v>150</v>
      </c>
      <c r="J102" s="242">
        <f t="shared" si="18"/>
        <v>2700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44880</v>
      </c>
      <c r="D103" s="161" t="s">
        <v>8</v>
      </c>
      <c r="E103" s="161" t="s">
        <v>39</v>
      </c>
      <c r="F103" s="207">
        <v>18360</v>
      </c>
      <c r="G103" s="207">
        <v>18343</v>
      </c>
      <c r="H103" s="161">
        <f>18360-18343</f>
        <v>17</v>
      </c>
      <c r="I103" s="207">
        <v>150</v>
      </c>
      <c r="J103" s="242">
        <f t="shared" si="18"/>
        <v>2550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44881</v>
      </c>
      <c r="D104" s="161" t="s">
        <v>9</v>
      </c>
      <c r="E104" s="161" t="s">
        <v>39</v>
      </c>
      <c r="F104" s="207">
        <v>18410</v>
      </c>
      <c r="G104" s="207">
        <v>18490</v>
      </c>
      <c r="H104" s="161">
        <f>18490-18410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44882</v>
      </c>
      <c r="D105" s="161" t="s">
        <v>9</v>
      </c>
      <c r="E105" s="161" t="s">
        <v>39</v>
      </c>
      <c r="F105" s="207">
        <v>18410</v>
      </c>
      <c r="G105" s="207">
        <v>18470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44883</v>
      </c>
      <c r="D106" s="161" t="s">
        <v>8</v>
      </c>
      <c r="E106" s="161" t="s">
        <v>39</v>
      </c>
      <c r="F106" s="207">
        <v>18360</v>
      </c>
      <c r="G106" s="207">
        <v>18280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44886</v>
      </c>
      <c r="D107" s="161" t="s">
        <v>8</v>
      </c>
      <c r="E107" s="161" t="s">
        <v>39</v>
      </c>
      <c r="F107" s="207">
        <v>18220</v>
      </c>
      <c r="G107" s="207">
        <v>18165</v>
      </c>
      <c r="H107" s="161">
        <f>18220-18165</f>
        <v>55</v>
      </c>
      <c r="I107" s="207">
        <v>150</v>
      </c>
      <c r="J107" s="242">
        <f t="shared" si="18"/>
        <v>8250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44887</v>
      </c>
      <c r="D108" s="161" t="s">
        <v>9</v>
      </c>
      <c r="E108" s="161" t="s">
        <v>39</v>
      </c>
      <c r="F108" s="207">
        <v>18240</v>
      </c>
      <c r="G108" s="207">
        <v>18280</v>
      </c>
      <c r="H108" s="161">
        <v>40</v>
      </c>
      <c r="I108" s="207">
        <v>150</v>
      </c>
      <c r="J108" s="242">
        <f t="shared" si="18"/>
        <v>6000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44888</v>
      </c>
      <c r="D109" s="161" t="s">
        <v>8</v>
      </c>
      <c r="E109" s="161" t="s">
        <v>39</v>
      </c>
      <c r="F109" s="207">
        <v>18300</v>
      </c>
      <c r="G109" s="207">
        <v>18340</v>
      </c>
      <c r="H109" s="161">
        <v>-40</v>
      </c>
      <c r="I109" s="207">
        <v>150</v>
      </c>
      <c r="J109" s="242">
        <f t="shared" si="18"/>
        <v>-6000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17</v>
      </c>
      <c r="C110" s="206">
        <v>44889</v>
      </c>
      <c r="D110" s="161" t="s">
        <v>9</v>
      </c>
      <c r="E110" s="161" t="s">
        <v>39</v>
      </c>
      <c r="F110" s="207">
        <v>18340</v>
      </c>
      <c r="G110" s="207">
        <v>18420</v>
      </c>
      <c r="H110" s="161"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44890</v>
      </c>
      <c r="D111" s="161" t="s">
        <v>9</v>
      </c>
      <c r="E111" s="161" t="s">
        <v>39</v>
      </c>
      <c r="F111" s="207">
        <v>18620</v>
      </c>
      <c r="G111" s="207">
        <v>18660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44893</v>
      </c>
      <c r="D112" s="161" t="s">
        <v>9</v>
      </c>
      <c r="E112" s="161" t="s">
        <v>39</v>
      </c>
      <c r="F112" s="207">
        <v>18660</v>
      </c>
      <c r="G112" s="207">
        <v>18740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44894</v>
      </c>
      <c r="D113" s="161" t="s">
        <v>9</v>
      </c>
      <c r="E113" s="161" t="s">
        <v>39</v>
      </c>
      <c r="F113" s="207">
        <v>18730</v>
      </c>
      <c r="G113" s="207">
        <v>18790</v>
      </c>
      <c r="H113" s="161">
        <v>60</v>
      </c>
      <c r="I113" s="207">
        <v>150</v>
      </c>
      <c r="J113" s="242">
        <f t="shared" si="18"/>
        <v>9000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44895</v>
      </c>
      <c r="D114" s="161" t="s">
        <v>8</v>
      </c>
      <c r="E114" s="161" t="s">
        <v>39</v>
      </c>
      <c r="F114" s="207">
        <v>18740</v>
      </c>
      <c r="G114" s="207">
        <v>18780</v>
      </c>
      <c r="H114" s="161">
        <v>-40</v>
      </c>
      <c r="I114" s="207">
        <v>150</v>
      </c>
      <c r="J114" s="242">
        <f t="shared" si="18"/>
        <v>-6000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152100</v>
      </c>
      <c r="K117" s="153"/>
      <c r="V117" s="25">
        <f>SUM(V94:V116)</f>
        <v>19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3973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44866</v>
      </c>
      <c r="D125" s="185" t="s">
        <v>9</v>
      </c>
      <c r="E125" s="185" t="s">
        <v>3550</v>
      </c>
      <c r="F125" s="219">
        <v>115</v>
      </c>
      <c r="G125" s="231">
        <v>140</v>
      </c>
      <c r="H125" s="231">
        <f>140-115</f>
        <v>25</v>
      </c>
      <c r="I125" s="219">
        <v>300</v>
      </c>
      <c r="J125" s="246">
        <f t="shared" ref="J125:J149" si="22">I125*H125</f>
        <v>7500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44867</v>
      </c>
      <c r="D126" s="185" t="s">
        <v>9</v>
      </c>
      <c r="E126" s="185" t="s">
        <v>1909</v>
      </c>
      <c r="F126" s="219">
        <v>130</v>
      </c>
      <c r="G126" s="219">
        <v>164</v>
      </c>
      <c r="H126" s="185">
        <f>164-130</f>
        <v>34</v>
      </c>
      <c r="I126" s="219">
        <v>300</v>
      </c>
      <c r="J126" s="242">
        <f t="shared" si="22"/>
        <v>10200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44868</v>
      </c>
      <c r="D127" s="161" t="s">
        <v>9</v>
      </c>
      <c r="E127" s="161" t="s">
        <v>3553</v>
      </c>
      <c r="F127" s="207">
        <v>115</v>
      </c>
      <c r="G127" s="207">
        <v>150</v>
      </c>
      <c r="H127" s="161">
        <f>150-115</f>
        <v>35</v>
      </c>
      <c r="I127" s="207">
        <v>300</v>
      </c>
      <c r="J127" s="242">
        <f t="shared" si="22"/>
        <v>10500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44868</v>
      </c>
      <c r="D128" s="161" t="s">
        <v>9</v>
      </c>
      <c r="E128" s="161" t="s">
        <v>3529</v>
      </c>
      <c r="F128" s="207">
        <v>105</v>
      </c>
      <c r="G128" s="207">
        <v>75</v>
      </c>
      <c r="H128" s="161">
        <v>-25</v>
      </c>
      <c r="I128" s="207">
        <v>300</v>
      </c>
      <c r="J128" s="242">
        <f t="shared" si="22"/>
        <v>-7500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5</v>
      </c>
      <c r="C129" s="206">
        <v>44869</v>
      </c>
      <c r="D129" s="161" t="s">
        <v>9</v>
      </c>
      <c r="E129" s="161" t="s">
        <v>3565</v>
      </c>
      <c r="F129" s="207">
        <v>125</v>
      </c>
      <c r="G129" s="207">
        <v>180</v>
      </c>
      <c r="H129" s="161">
        <f>180-125</f>
        <v>55</v>
      </c>
      <c r="I129" s="207">
        <v>300</v>
      </c>
      <c r="J129" s="242">
        <f t="shared" si="22"/>
        <v>16500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44872</v>
      </c>
      <c r="D130" s="161" t="s">
        <v>9</v>
      </c>
      <c r="E130" s="161" t="s">
        <v>3547</v>
      </c>
      <c r="F130" s="207">
        <v>140</v>
      </c>
      <c r="G130" s="222">
        <v>195</v>
      </c>
      <c r="H130" s="222">
        <f>195-140</f>
        <v>55</v>
      </c>
      <c r="I130" s="207">
        <v>300</v>
      </c>
      <c r="J130" s="242">
        <f t="shared" si="22"/>
        <v>16500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44874</v>
      </c>
      <c r="D131" s="161" t="s">
        <v>9</v>
      </c>
      <c r="E131" s="161" t="s">
        <v>3981</v>
      </c>
      <c r="F131" s="207">
        <v>145</v>
      </c>
      <c r="G131" s="207">
        <v>200</v>
      </c>
      <c r="H131" s="161">
        <f>200-145</f>
        <v>55</v>
      </c>
      <c r="I131" s="207">
        <v>300</v>
      </c>
      <c r="J131" s="242">
        <f t="shared" si="22"/>
        <v>16500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44875</v>
      </c>
      <c r="D132" s="161" t="s">
        <v>9</v>
      </c>
      <c r="E132" s="161" t="s">
        <v>1909</v>
      </c>
      <c r="F132" s="207">
        <v>170</v>
      </c>
      <c r="G132" s="268">
        <v>187.5</v>
      </c>
      <c r="H132" s="268">
        <f>187.5-170</f>
        <v>17.5</v>
      </c>
      <c r="I132" s="207">
        <v>300</v>
      </c>
      <c r="J132" s="242">
        <f t="shared" si="22"/>
        <v>5250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44876</v>
      </c>
      <c r="D133" s="161" t="s">
        <v>9</v>
      </c>
      <c r="E133" s="161" t="s">
        <v>1650</v>
      </c>
      <c r="F133" s="207">
        <v>120</v>
      </c>
      <c r="G133" s="222">
        <v>155</v>
      </c>
      <c r="H133" s="161">
        <f>155-120</f>
        <v>35</v>
      </c>
      <c r="I133" s="207">
        <v>300</v>
      </c>
      <c r="J133" s="242">
        <f t="shared" si="22"/>
        <v>10500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44879</v>
      </c>
      <c r="D134" s="161" t="s">
        <v>9</v>
      </c>
      <c r="E134" s="161" t="s">
        <v>1650</v>
      </c>
      <c r="F134" s="207">
        <v>145</v>
      </c>
      <c r="G134" s="222">
        <v>123</v>
      </c>
      <c r="H134" s="222">
        <v>-22</v>
      </c>
      <c r="I134" s="207">
        <v>300</v>
      </c>
      <c r="J134" s="242">
        <f t="shared" si="22"/>
        <v>-6600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11</v>
      </c>
      <c r="C135" s="206">
        <v>44880</v>
      </c>
      <c r="D135" s="161" t="s">
        <v>9</v>
      </c>
      <c r="E135" s="161" t="s">
        <v>1885</v>
      </c>
      <c r="F135" s="207">
        <v>130</v>
      </c>
      <c r="G135" s="222">
        <v>100</v>
      </c>
      <c r="H135" s="222">
        <v>-30</v>
      </c>
      <c r="I135" s="207">
        <v>300</v>
      </c>
      <c r="J135" s="242">
        <f t="shared" si="22"/>
        <v>-9000</v>
      </c>
      <c r="K135" s="153"/>
      <c r="V135" s="25">
        <f t="shared" si="23"/>
        <v>0</v>
      </c>
      <c r="W135" s="25">
        <f t="shared" si="24"/>
        <v>1</v>
      </c>
    </row>
    <row r="136" spans="1:23" x14ac:dyDescent="0.3">
      <c r="A136" s="147"/>
      <c r="B136" s="205">
        <f t="shared" si="25"/>
        <v>12</v>
      </c>
      <c r="C136" s="206">
        <v>44881</v>
      </c>
      <c r="D136" s="161" t="s">
        <v>9</v>
      </c>
      <c r="E136" s="161" t="s">
        <v>1650</v>
      </c>
      <c r="F136" s="207">
        <v>120</v>
      </c>
      <c r="G136" s="222">
        <v>168</v>
      </c>
      <c r="H136" s="222">
        <f>168-120</f>
        <v>48</v>
      </c>
      <c r="I136" s="207">
        <v>300</v>
      </c>
      <c r="J136" s="242">
        <f t="shared" si="22"/>
        <v>14400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44882</v>
      </c>
      <c r="D137" s="161" t="s">
        <v>9</v>
      </c>
      <c r="E137" s="161" t="s">
        <v>3552</v>
      </c>
      <c r="F137" s="207">
        <v>150</v>
      </c>
      <c r="G137" s="207">
        <v>120</v>
      </c>
      <c r="H137" s="161">
        <v>-30</v>
      </c>
      <c r="I137" s="207">
        <v>300</v>
      </c>
      <c r="J137" s="242">
        <f t="shared" si="22"/>
        <v>-9000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14</v>
      </c>
      <c r="C138" s="206">
        <v>44883</v>
      </c>
      <c r="D138" s="161" t="s">
        <v>9</v>
      </c>
      <c r="E138" s="161" t="s">
        <v>1885</v>
      </c>
      <c r="F138" s="207">
        <v>135</v>
      </c>
      <c r="G138" s="207">
        <v>190</v>
      </c>
      <c r="H138" s="161">
        <f>190-135</f>
        <v>55</v>
      </c>
      <c r="I138" s="207">
        <v>300</v>
      </c>
      <c r="J138" s="242">
        <f t="shared" si="22"/>
        <v>16500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44886</v>
      </c>
      <c r="D139" s="161" t="s">
        <v>9</v>
      </c>
      <c r="E139" s="161" t="s">
        <v>1888</v>
      </c>
      <c r="F139" s="207">
        <v>145</v>
      </c>
      <c r="G139" s="207">
        <v>170</v>
      </c>
      <c r="H139" s="161">
        <f>170-145</f>
        <v>25</v>
      </c>
      <c r="I139" s="207">
        <v>300</v>
      </c>
      <c r="J139" s="242">
        <f t="shared" si="22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44887</v>
      </c>
      <c r="D140" s="161" t="s">
        <v>9</v>
      </c>
      <c r="E140" s="161" t="s">
        <v>3550</v>
      </c>
      <c r="F140" s="207">
        <v>165</v>
      </c>
      <c r="G140" s="268">
        <v>199.5</v>
      </c>
      <c r="H140" s="161">
        <f>199.5-165</f>
        <v>34.5</v>
      </c>
      <c r="I140" s="207">
        <v>300</v>
      </c>
      <c r="J140" s="242">
        <f t="shared" si="22"/>
        <v>10350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44888</v>
      </c>
      <c r="D141" s="161" t="s">
        <v>9</v>
      </c>
      <c r="E141" s="161" t="s">
        <v>1885</v>
      </c>
      <c r="F141" s="207">
        <v>125</v>
      </c>
      <c r="G141" s="207">
        <v>113</v>
      </c>
      <c r="H141" s="161">
        <v>-12</v>
      </c>
      <c r="I141" s="207">
        <v>300</v>
      </c>
      <c r="J141" s="242">
        <f t="shared" si="22"/>
        <v>-3600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18</v>
      </c>
      <c r="C142" s="206">
        <v>44888</v>
      </c>
      <c r="D142" s="161" t="s">
        <v>9</v>
      </c>
      <c r="E142" s="161" t="s">
        <v>1649</v>
      </c>
      <c r="F142" s="207">
        <v>125</v>
      </c>
      <c r="G142" s="222">
        <v>150</v>
      </c>
      <c r="H142" s="222">
        <v>25</v>
      </c>
      <c r="I142" s="207">
        <v>300</v>
      </c>
      <c r="J142" s="242">
        <f t="shared" si="22"/>
        <v>7500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44889</v>
      </c>
      <c r="D143" s="161" t="s">
        <v>9</v>
      </c>
      <c r="E143" s="161" t="s">
        <v>1649</v>
      </c>
      <c r="F143" s="207">
        <v>160</v>
      </c>
      <c r="G143" s="222">
        <v>215</v>
      </c>
      <c r="H143" s="222">
        <f>215-160</f>
        <v>55</v>
      </c>
      <c r="I143" s="207">
        <v>300</v>
      </c>
      <c r="J143" s="242">
        <f t="shared" si="22"/>
        <v>16500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44890</v>
      </c>
      <c r="D144" s="161" t="s">
        <v>9</v>
      </c>
      <c r="E144" s="161" t="s">
        <v>1651</v>
      </c>
      <c r="F144" s="207">
        <v>160</v>
      </c>
      <c r="G144" s="222">
        <v>195</v>
      </c>
      <c r="H144" s="222">
        <f>195-160</f>
        <v>35</v>
      </c>
      <c r="I144" s="207">
        <v>300</v>
      </c>
      <c r="J144" s="242">
        <f t="shared" si="22"/>
        <v>10500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44893</v>
      </c>
      <c r="D145" s="161" t="s">
        <v>9</v>
      </c>
      <c r="E145" s="161" t="s">
        <v>1651</v>
      </c>
      <c r="F145" s="207">
        <v>175</v>
      </c>
      <c r="G145" s="222">
        <v>230</v>
      </c>
      <c r="H145" s="222">
        <f>230-175</f>
        <v>55</v>
      </c>
      <c r="I145" s="207">
        <v>300</v>
      </c>
      <c r="J145" s="242">
        <f t="shared" si="22"/>
        <v>16500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44894</v>
      </c>
      <c r="D146" s="161" t="s">
        <v>9</v>
      </c>
      <c r="E146" s="161" t="s">
        <v>1910</v>
      </c>
      <c r="F146" s="207">
        <v>155</v>
      </c>
      <c r="G146" s="222">
        <v>190</v>
      </c>
      <c r="H146" s="222">
        <f>190-155</f>
        <v>35</v>
      </c>
      <c r="I146" s="207">
        <v>300</v>
      </c>
      <c r="J146" s="242">
        <f t="shared" si="22"/>
        <v>10500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>
        <v>44895</v>
      </c>
      <c r="D147" s="161" t="s">
        <v>9</v>
      </c>
      <c r="E147" s="161" t="s">
        <v>4012</v>
      </c>
      <c r="F147" s="207">
        <v>140</v>
      </c>
      <c r="G147" s="222">
        <v>110</v>
      </c>
      <c r="H147" s="161">
        <v>-30</v>
      </c>
      <c r="I147" s="207">
        <v>300</v>
      </c>
      <c r="J147" s="242">
        <f t="shared" si="22"/>
        <v>-9000</v>
      </c>
      <c r="K147" s="153"/>
      <c r="V147" s="25">
        <f t="shared" si="23"/>
        <v>0</v>
      </c>
      <c r="W147" s="25">
        <f t="shared" si="24"/>
        <v>1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159000</v>
      </c>
      <c r="K150" s="153"/>
      <c r="V150" s="25">
        <f>SUM(V125:V149)</f>
        <v>17</v>
      </c>
      <c r="W150" s="25">
        <f>SUM(W125:W149)</f>
        <v>6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3971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44866</v>
      </c>
      <c r="D158" s="185" t="s">
        <v>9</v>
      </c>
      <c r="E158" s="185" t="s">
        <v>301</v>
      </c>
      <c r="F158" s="219">
        <v>41800</v>
      </c>
      <c r="G158" s="231">
        <v>41650</v>
      </c>
      <c r="H158" s="185">
        <v>-150</v>
      </c>
      <c r="I158" s="219">
        <v>50</v>
      </c>
      <c r="J158" s="246">
        <f t="shared" ref="J158:J180" si="26">I158*H158</f>
        <v>-7500</v>
      </c>
      <c r="K158" s="153"/>
      <c r="V158" s="25">
        <f>IF($J158&gt;0,1,0)</f>
        <v>0</v>
      </c>
      <c r="W158" s="25">
        <f>IF($J158&lt;0,1,0)</f>
        <v>1</v>
      </c>
    </row>
    <row r="159" spans="1:23" x14ac:dyDescent="0.3">
      <c r="A159" s="147"/>
      <c r="B159" s="205">
        <f>B158+1</f>
        <v>2</v>
      </c>
      <c r="C159" s="218">
        <v>44867</v>
      </c>
      <c r="D159" s="185" t="s">
        <v>8</v>
      </c>
      <c r="E159" s="185" t="s">
        <v>301</v>
      </c>
      <c r="F159" s="219">
        <v>41550</v>
      </c>
      <c r="G159" s="219">
        <v>41250</v>
      </c>
      <c r="H159" s="185">
        <v>300</v>
      </c>
      <c r="I159" s="219">
        <v>50</v>
      </c>
      <c r="J159" s="242">
        <f t="shared" si="26"/>
        <v>15000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44868</v>
      </c>
      <c r="D160" s="161" t="s">
        <v>9</v>
      </c>
      <c r="E160" s="161" t="s">
        <v>301</v>
      </c>
      <c r="F160" s="207">
        <v>41500</v>
      </c>
      <c r="G160" s="207">
        <v>41600</v>
      </c>
      <c r="H160" s="161">
        <v>100</v>
      </c>
      <c r="I160" s="207">
        <v>50</v>
      </c>
      <c r="J160" s="242">
        <f t="shared" si="26"/>
        <v>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44869</v>
      </c>
      <c r="D161" s="161" t="s">
        <v>9</v>
      </c>
      <c r="E161" s="161" t="s">
        <v>301</v>
      </c>
      <c r="F161" s="207">
        <v>41550</v>
      </c>
      <c r="G161" s="207">
        <v>41400</v>
      </c>
      <c r="H161" s="161">
        <v>-150</v>
      </c>
      <c r="I161" s="207">
        <v>50</v>
      </c>
      <c r="J161" s="242">
        <f t="shared" si="26"/>
        <v>-7500</v>
      </c>
      <c r="K161" s="153"/>
      <c r="V161" s="25">
        <f t="shared" si="27"/>
        <v>0</v>
      </c>
      <c r="W161" s="25">
        <f t="shared" si="28"/>
        <v>1</v>
      </c>
    </row>
    <row r="162" spans="1:23" x14ac:dyDescent="0.3">
      <c r="A162" s="147"/>
      <c r="B162" s="205">
        <f t="shared" si="29"/>
        <v>5</v>
      </c>
      <c r="C162" s="206">
        <v>44872</v>
      </c>
      <c r="D162" s="161" t="s">
        <v>9</v>
      </c>
      <c r="E162" s="161" t="s">
        <v>301</v>
      </c>
      <c r="F162" s="207">
        <v>41800</v>
      </c>
      <c r="G162" s="207">
        <v>41650</v>
      </c>
      <c r="H162" s="161">
        <v>-150</v>
      </c>
      <c r="I162" s="207">
        <v>50</v>
      </c>
      <c r="J162" s="242">
        <f t="shared" si="26"/>
        <v>-7500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6</v>
      </c>
      <c r="C163" s="206">
        <v>44872</v>
      </c>
      <c r="D163" s="161" t="s">
        <v>8</v>
      </c>
      <c r="E163" s="161" t="s">
        <v>301</v>
      </c>
      <c r="F163" s="207">
        <v>41650</v>
      </c>
      <c r="G163" s="207">
        <v>41500</v>
      </c>
      <c r="H163" s="161">
        <v>150</v>
      </c>
      <c r="I163" s="207">
        <v>50</v>
      </c>
      <c r="J163" s="242">
        <f t="shared" si="26"/>
        <v>7500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44874</v>
      </c>
      <c r="D164" s="161" t="s">
        <v>8</v>
      </c>
      <c r="E164" s="161" t="s">
        <v>301</v>
      </c>
      <c r="F164" s="207">
        <v>41950</v>
      </c>
      <c r="G164" s="207">
        <v>41845</v>
      </c>
      <c r="H164" s="161">
        <f>41950-41845</f>
        <v>105</v>
      </c>
      <c r="I164" s="207">
        <v>50</v>
      </c>
      <c r="J164" s="242">
        <f t="shared" si="26"/>
        <v>5250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44875</v>
      </c>
      <c r="D165" s="161" t="s">
        <v>8</v>
      </c>
      <c r="E165" s="161" t="s">
        <v>301</v>
      </c>
      <c r="F165" s="207">
        <v>41650</v>
      </c>
      <c r="G165" s="207">
        <v>41500</v>
      </c>
      <c r="H165" s="161">
        <v>150</v>
      </c>
      <c r="I165" s="207">
        <v>50</v>
      </c>
      <c r="J165" s="242">
        <f t="shared" si="26"/>
        <v>7500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44876</v>
      </c>
      <c r="D166" s="161" t="s">
        <v>8</v>
      </c>
      <c r="E166" s="161" t="s">
        <v>301</v>
      </c>
      <c r="F166" s="207">
        <v>42200</v>
      </c>
      <c r="G166" s="207">
        <v>42061</v>
      </c>
      <c r="H166" s="161">
        <f>42200-42061</f>
        <v>139</v>
      </c>
      <c r="I166" s="207">
        <v>50</v>
      </c>
      <c r="J166" s="242">
        <f t="shared" si="26"/>
        <v>6950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44879</v>
      </c>
      <c r="D167" s="161" t="s">
        <v>8</v>
      </c>
      <c r="E167" s="161" t="s">
        <v>301</v>
      </c>
      <c r="F167" s="207">
        <v>42150</v>
      </c>
      <c r="G167" s="207">
        <v>42300</v>
      </c>
      <c r="H167" s="161">
        <v>-150</v>
      </c>
      <c r="I167" s="207">
        <v>50</v>
      </c>
      <c r="J167" s="242">
        <f t="shared" si="26"/>
        <v>-7500</v>
      </c>
      <c r="K167" s="153"/>
      <c r="V167" s="25">
        <f t="shared" si="27"/>
        <v>0</v>
      </c>
      <c r="W167" s="25">
        <f t="shared" si="28"/>
        <v>1</v>
      </c>
    </row>
    <row r="168" spans="1:23" x14ac:dyDescent="0.3">
      <c r="A168" s="147"/>
      <c r="B168" s="205">
        <f t="shared" si="29"/>
        <v>11</v>
      </c>
      <c r="C168" s="206">
        <v>44880</v>
      </c>
      <c r="D168" s="161" t="s">
        <v>8</v>
      </c>
      <c r="E168" s="161" t="s">
        <v>301</v>
      </c>
      <c r="F168" s="207">
        <v>42300</v>
      </c>
      <c r="G168" s="207">
        <v>42258</v>
      </c>
      <c r="H168" s="161">
        <f>42300-42258</f>
        <v>42</v>
      </c>
      <c r="I168" s="207">
        <v>50</v>
      </c>
      <c r="J168" s="242">
        <f t="shared" si="26"/>
        <v>2100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44881</v>
      </c>
      <c r="D169" s="161" t="s">
        <v>9</v>
      </c>
      <c r="E169" s="161" t="s">
        <v>301</v>
      </c>
      <c r="F169" s="207">
        <v>42500</v>
      </c>
      <c r="G169" s="207">
        <v>42650</v>
      </c>
      <c r="H169" s="161">
        <v>150</v>
      </c>
      <c r="I169" s="207">
        <v>50</v>
      </c>
      <c r="J169" s="242">
        <f t="shared" si="26"/>
        <v>7500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44882</v>
      </c>
      <c r="D170" s="161" t="s">
        <v>9</v>
      </c>
      <c r="E170" s="161" t="s">
        <v>301</v>
      </c>
      <c r="F170" s="207">
        <v>42550</v>
      </c>
      <c r="G170" s="207">
        <v>42643</v>
      </c>
      <c r="H170" s="161">
        <f>42643-42550</f>
        <v>93</v>
      </c>
      <c r="I170" s="207">
        <v>50</v>
      </c>
      <c r="J170" s="242">
        <f t="shared" si="26"/>
        <v>4650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44883</v>
      </c>
      <c r="D171" s="161" t="s">
        <v>8</v>
      </c>
      <c r="E171" s="161" t="s">
        <v>301</v>
      </c>
      <c r="F171" s="207">
        <v>42550</v>
      </c>
      <c r="G171" s="207">
        <v>42300</v>
      </c>
      <c r="H171" s="161">
        <f>42550-42300</f>
        <v>250</v>
      </c>
      <c r="I171" s="207">
        <v>50</v>
      </c>
      <c r="J171" s="242">
        <f t="shared" si="26"/>
        <v>12500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44886</v>
      </c>
      <c r="D172" s="161" t="s">
        <v>8</v>
      </c>
      <c r="E172" s="161" t="s">
        <v>301</v>
      </c>
      <c r="F172" s="207">
        <v>42300</v>
      </c>
      <c r="G172" s="207">
        <v>42260</v>
      </c>
      <c r="H172" s="161">
        <f>42300-42260</f>
        <v>40</v>
      </c>
      <c r="I172" s="207">
        <v>50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44887</v>
      </c>
      <c r="D173" s="161" t="s">
        <v>9</v>
      </c>
      <c r="E173" s="161" t="s">
        <v>301</v>
      </c>
      <c r="F173" s="207">
        <v>42450</v>
      </c>
      <c r="G173" s="207">
        <v>42498</v>
      </c>
      <c r="H173" s="161">
        <f>42498-42450</f>
        <v>48</v>
      </c>
      <c r="I173" s="207">
        <v>50</v>
      </c>
      <c r="J173" s="242">
        <f t="shared" si="26"/>
        <v>2400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44888</v>
      </c>
      <c r="D174" s="161" t="s">
        <v>9</v>
      </c>
      <c r="E174" s="161" t="s">
        <v>301</v>
      </c>
      <c r="F174" s="207">
        <v>42650</v>
      </c>
      <c r="G174" s="207">
        <v>42865</v>
      </c>
      <c r="H174" s="161">
        <f>42865-42650</f>
        <v>215</v>
      </c>
      <c r="I174" s="207">
        <v>50</v>
      </c>
      <c r="J174" s="242">
        <f t="shared" si="26"/>
        <v>10750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44889</v>
      </c>
      <c r="D175" s="161" t="s">
        <v>9</v>
      </c>
      <c r="E175" s="161" t="s">
        <v>301</v>
      </c>
      <c r="F175" s="207">
        <v>42900</v>
      </c>
      <c r="G175" s="207">
        <v>43050</v>
      </c>
      <c r="H175" s="161">
        <f>43050-42900</f>
        <v>150</v>
      </c>
      <c r="I175" s="207">
        <v>50</v>
      </c>
      <c r="J175" s="242">
        <f t="shared" si="26"/>
        <v>7500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44890</v>
      </c>
      <c r="D176" s="161" t="s">
        <v>8</v>
      </c>
      <c r="E176" s="161" t="s">
        <v>301</v>
      </c>
      <c r="F176" s="207">
        <v>43250</v>
      </c>
      <c r="G176" s="207">
        <v>43175</v>
      </c>
      <c r="H176" s="161">
        <f>43250-43175</f>
        <v>75</v>
      </c>
      <c r="I176" s="207">
        <v>50</v>
      </c>
      <c r="J176" s="242">
        <f t="shared" si="26"/>
        <v>3750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44893</v>
      </c>
      <c r="D177" s="161" t="s">
        <v>9</v>
      </c>
      <c r="E177" s="161" t="s">
        <v>301</v>
      </c>
      <c r="F177" s="207">
        <v>43150</v>
      </c>
      <c r="G177" s="207">
        <v>43375</v>
      </c>
      <c r="H177" s="161">
        <f>43375-43150</f>
        <v>225</v>
      </c>
      <c r="I177" s="207">
        <v>50</v>
      </c>
      <c r="J177" s="242">
        <f t="shared" si="26"/>
        <v>11250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44894</v>
      </c>
      <c r="D178" s="161" t="s">
        <v>9</v>
      </c>
      <c r="E178" s="161" t="s">
        <v>301</v>
      </c>
      <c r="F178" s="207">
        <v>43400</v>
      </c>
      <c r="G178" s="207">
        <v>43460</v>
      </c>
      <c r="H178" s="161">
        <v>60</v>
      </c>
      <c r="I178" s="207">
        <v>50</v>
      </c>
      <c r="J178" s="242">
        <f t="shared" si="26"/>
        <v>3000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>
        <v>44895</v>
      </c>
      <c r="D179" s="161" t="s">
        <v>8</v>
      </c>
      <c r="E179" s="161" t="s">
        <v>301</v>
      </c>
      <c r="F179" s="207">
        <v>43300</v>
      </c>
      <c r="G179" s="207">
        <v>43152</v>
      </c>
      <c r="H179" s="161">
        <f>43300-43152</f>
        <v>148</v>
      </c>
      <c r="I179" s="207">
        <v>50</v>
      </c>
      <c r="J179" s="242">
        <f t="shared" si="26"/>
        <v>7400</v>
      </c>
      <c r="K179" s="153"/>
      <c r="V179" s="25">
        <f t="shared" si="27"/>
        <v>1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92000</v>
      </c>
      <c r="K181" s="153"/>
      <c r="V181" s="25">
        <f>SUM(V158:V180)</f>
        <v>18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3602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44866</v>
      </c>
      <c r="D189" s="185" t="s">
        <v>9</v>
      </c>
      <c r="E189" s="185" t="s">
        <v>3974</v>
      </c>
      <c r="F189" s="219">
        <v>280</v>
      </c>
      <c r="G189" s="219">
        <v>180</v>
      </c>
      <c r="H189" s="185">
        <v>-100</v>
      </c>
      <c r="I189" s="219">
        <v>100</v>
      </c>
      <c r="J189" s="246">
        <f t="shared" ref="J189:J211" si="30">I189*H189</f>
        <v>-10000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44867</v>
      </c>
      <c r="D190" s="185" t="s">
        <v>9</v>
      </c>
      <c r="E190" s="185" t="s">
        <v>3975</v>
      </c>
      <c r="F190" s="219">
        <v>360</v>
      </c>
      <c r="G190" s="219">
        <v>560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1" si="31">IF($J190&gt;0,1,0)</f>
        <v>1</v>
      </c>
      <c r="W190" s="25">
        <f t="shared" ref="W190:W211" si="32">IF($J190&lt;0,1,0)</f>
        <v>0</v>
      </c>
    </row>
    <row r="191" spans="1:23" x14ac:dyDescent="0.3">
      <c r="A191" s="147"/>
      <c r="B191" s="205">
        <f t="shared" ref="B191:B211" si="33">B190+1</f>
        <v>3</v>
      </c>
      <c r="C191" s="206">
        <v>44868</v>
      </c>
      <c r="D191" s="161" t="s">
        <v>9</v>
      </c>
      <c r="E191" s="161" t="s">
        <v>3976</v>
      </c>
      <c r="F191" s="207">
        <v>230</v>
      </c>
      <c r="G191" s="207">
        <v>310</v>
      </c>
      <c r="H191" s="161">
        <f>310-230</f>
        <v>80</v>
      </c>
      <c r="I191" s="207">
        <v>100</v>
      </c>
      <c r="J191" s="242">
        <f t="shared" si="30"/>
        <v>8000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44869</v>
      </c>
      <c r="D192" s="161" t="s">
        <v>9</v>
      </c>
      <c r="E192" s="161" t="s">
        <v>3976</v>
      </c>
      <c r="F192" s="207">
        <v>370</v>
      </c>
      <c r="G192" s="207">
        <v>420</v>
      </c>
      <c r="H192" s="161">
        <f>420-370</f>
        <v>50</v>
      </c>
      <c r="I192" s="207">
        <v>100</v>
      </c>
      <c r="J192" s="242">
        <f t="shared" si="30"/>
        <v>5000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44872</v>
      </c>
      <c r="D193" s="161" t="s">
        <v>9</v>
      </c>
      <c r="E193" s="161" t="s">
        <v>3984</v>
      </c>
      <c r="F193" s="207">
        <v>370</v>
      </c>
      <c r="G193" s="207">
        <v>520</v>
      </c>
      <c r="H193" s="161">
        <f>520-370</f>
        <v>150</v>
      </c>
      <c r="I193" s="207">
        <v>100</v>
      </c>
      <c r="J193" s="242">
        <f t="shared" si="30"/>
        <v>15000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44874</v>
      </c>
      <c r="D194" s="161" t="s">
        <v>9</v>
      </c>
      <c r="E194" s="161" t="s">
        <v>3982</v>
      </c>
      <c r="F194" s="207">
        <v>320</v>
      </c>
      <c r="G194" s="207">
        <v>355</v>
      </c>
      <c r="H194" s="161">
        <f>355-320</f>
        <v>35</v>
      </c>
      <c r="I194" s="207">
        <v>100</v>
      </c>
      <c r="J194" s="242">
        <f t="shared" si="30"/>
        <v>3500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44875</v>
      </c>
      <c r="D195" s="161" t="s">
        <v>9</v>
      </c>
      <c r="E195" s="161" t="s">
        <v>3984</v>
      </c>
      <c r="F195" s="207">
        <v>300</v>
      </c>
      <c r="G195" s="207">
        <v>450</v>
      </c>
      <c r="H195" s="161"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44876</v>
      </c>
      <c r="D196" s="161" t="s">
        <v>9</v>
      </c>
      <c r="E196" s="161" t="s">
        <v>3986</v>
      </c>
      <c r="F196" s="207">
        <v>380</v>
      </c>
      <c r="G196" s="207">
        <v>450</v>
      </c>
      <c r="H196" s="161">
        <f>450-380</f>
        <v>70</v>
      </c>
      <c r="I196" s="207">
        <v>100</v>
      </c>
      <c r="J196" s="242">
        <f t="shared" si="30"/>
        <v>7000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44879</v>
      </c>
      <c r="D197" s="161" t="s">
        <v>9</v>
      </c>
      <c r="E197" s="161" t="s">
        <v>3986</v>
      </c>
      <c r="F197" s="207">
        <v>350</v>
      </c>
      <c r="G197" s="207">
        <v>268</v>
      </c>
      <c r="H197" s="161">
        <v>-82</v>
      </c>
      <c r="I197" s="207">
        <v>100</v>
      </c>
      <c r="J197" s="242">
        <f t="shared" si="30"/>
        <v>-8200</v>
      </c>
      <c r="K197" s="153"/>
      <c r="V197" s="25">
        <f t="shared" si="31"/>
        <v>0</v>
      </c>
      <c r="W197" s="25">
        <f t="shared" si="32"/>
        <v>1</v>
      </c>
    </row>
    <row r="198" spans="1:23" x14ac:dyDescent="0.3">
      <c r="A198" s="147"/>
      <c r="B198" s="205">
        <f t="shared" si="33"/>
        <v>10</v>
      </c>
      <c r="C198" s="206">
        <v>44880</v>
      </c>
      <c r="D198" s="161" t="s">
        <v>9</v>
      </c>
      <c r="E198" s="161" t="s">
        <v>3993</v>
      </c>
      <c r="F198" s="207">
        <v>280</v>
      </c>
      <c r="G198" s="207">
        <v>240</v>
      </c>
      <c r="H198" s="161">
        <v>-40</v>
      </c>
      <c r="I198" s="207">
        <v>100</v>
      </c>
      <c r="J198" s="242">
        <f t="shared" si="30"/>
        <v>-4000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44881</v>
      </c>
      <c r="D199" s="161" t="s">
        <v>9</v>
      </c>
      <c r="E199" s="161" t="s">
        <v>3994</v>
      </c>
      <c r="F199" s="207">
        <v>300</v>
      </c>
      <c r="G199" s="207">
        <v>433</v>
      </c>
      <c r="H199" s="161">
        <f>433-300</f>
        <v>133</v>
      </c>
      <c r="I199" s="207">
        <v>100</v>
      </c>
      <c r="J199" s="242">
        <f t="shared" si="30"/>
        <v>13300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44882</v>
      </c>
      <c r="D200" s="161" t="s">
        <v>9</v>
      </c>
      <c r="E200" s="161" t="s">
        <v>3995</v>
      </c>
      <c r="F200" s="207">
        <v>410</v>
      </c>
      <c r="G200" s="207">
        <v>443</v>
      </c>
      <c r="H200" s="161">
        <f>443-410</f>
        <v>33</v>
      </c>
      <c r="I200" s="207">
        <v>100</v>
      </c>
      <c r="J200" s="242">
        <f t="shared" si="30"/>
        <v>3300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44883</v>
      </c>
      <c r="D201" s="161" t="s">
        <v>9</v>
      </c>
      <c r="E201" s="161" t="s">
        <v>3996</v>
      </c>
      <c r="F201" s="207">
        <v>330</v>
      </c>
      <c r="G201" s="207">
        <v>460</v>
      </c>
      <c r="H201" s="161">
        <f>460-330</f>
        <v>130</v>
      </c>
      <c r="I201" s="207">
        <v>100</v>
      </c>
      <c r="J201" s="242">
        <f t="shared" si="30"/>
        <v>13000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44886</v>
      </c>
      <c r="D202" s="161" t="s">
        <v>9</v>
      </c>
      <c r="E202" s="161" t="s">
        <v>3998</v>
      </c>
      <c r="F202" s="207">
        <v>300</v>
      </c>
      <c r="G202" s="222">
        <v>275</v>
      </c>
      <c r="H202" s="161">
        <v>-25</v>
      </c>
      <c r="I202" s="207">
        <v>100</v>
      </c>
      <c r="J202" s="242">
        <f t="shared" si="30"/>
        <v>-2500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15</v>
      </c>
      <c r="C203" s="206">
        <v>44887</v>
      </c>
      <c r="D203" s="161" t="s">
        <v>9</v>
      </c>
      <c r="E203" s="161" t="s">
        <v>3999</v>
      </c>
      <c r="F203" s="207">
        <v>250</v>
      </c>
      <c r="G203" s="207">
        <v>270</v>
      </c>
      <c r="H203" s="161">
        <v>20</v>
      </c>
      <c r="I203" s="207">
        <v>100</v>
      </c>
      <c r="J203" s="242">
        <f t="shared" si="30"/>
        <v>2000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44888</v>
      </c>
      <c r="D204" s="161" t="s">
        <v>9</v>
      </c>
      <c r="E204" s="161" t="s">
        <v>4000</v>
      </c>
      <c r="F204" s="207">
        <v>240</v>
      </c>
      <c r="G204" s="207">
        <v>370</v>
      </c>
      <c r="H204" s="161">
        <f>370-240</f>
        <v>130</v>
      </c>
      <c r="I204" s="207">
        <v>100</v>
      </c>
      <c r="J204" s="242">
        <f t="shared" si="30"/>
        <v>13000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44889</v>
      </c>
      <c r="D205" s="161" t="s">
        <v>9</v>
      </c>
      <c r="E205" s="161" t="s">
        <v>4001</v>
      </c>
      <c r="F205" s="207">
        <v>330</v>
      </c>
      <c r="G205" s="207">
        <v>465</v>
      </c>
      <c r="H205" s="161">
        <f>465-330</f>
        <v>135</v>
      </c>
      <c r="I205" s="207">
        <v>100</v>
      </c>
      <c r="J205" s="242">
        <f t="shared" si="30"/>
        <v>13500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44890</v>
      </c>
      <c r="D206" s="161" t="s">
        <v>9</v>
      </c>
      <c r="E206" s="161" t="s">
        <v>4006</v>
      </c>
      <c r="F206" s="207">
        <v>320</v>
      </c>
      <c r="G206" s="207">
        <v>260</v>
      </c>
      <c r="H206" s="161">
        <v>-60</v>
      </c>
      <c r="I206" s="207">
        <v>100</v>
      </c>
      <c r="J206" s="242">
        <f t="shared" si="30"/>
        <v>-6000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19</v>
      </c>
      <c r="C207" s="206">
        <v>44890</v>
      </c>
      <c r="D207" s="161" t="s">
        <v>9</v>
      </c>
      <c r="E207" s="161" t="s">
        <v>4007</v>
      </c>
      <c r="F207" s="207">
        <v>380</v>
      </c>
      <c r="G207" s="207">
        <v>480</v>
      </c>
      <c r="H207" s="161">
        <v>100</v>
      </c>
      <c r="I207" s="207">
        <v>100</v>
      </c>
      <c r="J207" s="242">
        <f t="shared" si="30"/>
        <v>10000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44893</v>
      </c>
      <c r="D208" s="161" t="s">
        <v>9</v>
      </c>
      <c r="E208" s="161" t="s">
        <v>4013</v>
      </c>
      <c r="F208" s="207">
        <v>300</v>
      </c>
      <c r="G208" s="207">
        <v>450</v>
      </c>
      <c r="H208" s="161">
        <v>150</v>
      </c>
      <c r="I208" s="207">
        <v>100</v>
      </c>
      <c r="J208" s="242">
        <f t="shared" si="30"/>
        <v>15000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>
        <v>44894</v>
      </c>
      <c r="D209" s="161" t="s">
        <v>9</v>
      </c>
      <c r="E209" s="161" t="s">
        <v>4014</v>
      </c>
      <c r="F209" s="207">
        <v>300</v>
      </c>
      <c r="G209" s="207">
        <v>360</v>
      </c>
      <c r="H209" s="161">
        <v>60</v>
      </c>
      <c r="I209" s="207">
        <v>100</v>
      </c>
      <c r="J209" s="242">
        <f t="shared" si="30"/>
        <v>6000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44895</v>
      </c>
      <c r="D210" s="161" t="s">
        <v>9</v>
      </c>
      <c r="E210" s="161" t="s">
        <v>4015</v>
      </c>
      <c r="F210" s="207">
        <v>330</v>
      </c>
      <c r="G210" s="207">
        <v>465</v>
      </c>
      <c r="H210" s="161">
        <f>465-330</f>
        <v>135</v>
      </c>
      <c r="I210" s="207">
        <v>100</v>
      </c>
      <c r="J210" s="242">
        <f t="shared" si="30"/>
        <v>13500</v>
      </c>
      <c r="K210" s="153"/>
      <c r="V210" s="25">
        <f t="shared" si="31"/>
        <v>1</v>
      </c>
      <c r="W210" s="25">
        <f t="shared" si="32"/>
        <v>0</v>
      </c>
    </row>
    <row r="211" spans="1:23" ht="15" thickBot="1" x14ac:dyDescent="0.35">
      <c r="A211" s="147"/>
      <c r="B211" s="208">
        <f t="shared" si="33"/>
        <v>23</v>
      </c>
      <c r="C211" s="209"/>
      <c r="D211" s="166"/>
      <c r="E211" s="166"/>
      <c r="F211" s="210"/>
      <c r="G211" s="210"/>
      <c r="H211" s="166"/>
      <c r="I211" s="210"/>
      <c r="J211" s="244">
        <f t="shared" si="30"/>
        <v>0</v>
      </c>
      <c r="K211" s="153"/>
      <c r="V211" s="25">
        <f t="shared" si="31"/>
        <v>0</v>
      </c>
      <c r="W211" s="25">
        <f t="shared" si="32"/>
        <v>0</v>
      </c>
    </row>
    <row r="212" spans="1:23" ht="24" thickBot="1" x14ac:dyDescent="0.5">
      <c r="A212" s="147"/>
      <c r="B212" s="370" t="s">
        <v>2254</v>
      </c>
      <c r="C212" s="371"/>
      <c r="D212" s="371"/>
      <c r="E212" s="371"/>
      <c r="F212" s="371"/>
      <c r="G212" s="371"/>
      <c r="H212" s="372"/>
      <c r="I212" s="211" t="s">
        <v>2255</v>
      </c>
      <c r="J212" s="212">
        <f>SUM(J189:J211)</f>
        <v>145400</v>
      </c>
      <c r="K212" s="153"/>
      <c r="V212" s="25">
        <f>SUM(V189:V211)</f>
        <v>17</v>
      </c>
      <c r="W212" s="25">
        <f>SUM(W189:W211)</f>
        <v>5</v>
      </c>
    </row>
    <row r="213" spans="1:23" ht="30" customHeight="1" thickBot="1" x14ac:dyDescent="0.35">
      <c r="A213" s="213"/>
      <c r="B213" s="172"/>
      <c r="C213" s="172"/>
      <c r="D213" s="172"/>
      <c r="E213" s="172"/>
      <c r="F213" s="172"/>
      <c r="G213" s="172"/>
      <c r="H213" s="235"/>
      <c r="I213" s="172"/>
      <c r="J213" s="235"/>
      <c r="K213" s="214"/>
    </row>
    <row r="214" spans="1:23" ht="15" thickBot="1" x14ac:dyDescent="0.35"/>
    <row r="215" spans="1:23" ht="30" customHeight="1" thickBot="1" x14ac:dyDescent="0.35">
      <c r="A215" s="198"/>
      <c r="B215" s="143"/>
      <c r="C215" s="143"/>
      <c r="D215" s="143"/>
      <c r="E215" s="143"/>
      <c r="F215" s="143"/>
      <c r="G215" s="143"/>
      <c r="H215" s="232"/>
      <c r="I215" s="143"/>
      <c r="J215" s="232"/>
      <c r="K215" s="199"/>
    </row>
    <row r="216" spans="1:23" ht="25.2" thickBot="1" x14ac:dyDescent="0.35">
      <c r="A216" s="147" t="s">
        <v>0</v>
      </c>
      <c r="B216" s="361" t="s">
        <v>2244</v>
      </c>
      <c r="C216" s="362"/>
      <c r="D216" s="362"/>
      <c r="E216" s="362"/>
      <c r="F216" s="362"/>
      <c r="G216" s="362"/>
      <c r="H216" s="362"/>
      <c r="I216" s="362"/>
      <c r="J216" s="363"/>
      <c r="K216" s="153"/>
    </row>
    <row r="217" spans="1:23" ht="16.2" thickBot="1" x14ac:dyDescent="0.35">
      <c r="A217" s="147"/>
      <c r="B217" s="364" t="s">
        <v>3973</v>
      </c>
      <c r="C217" s="365"/>
      <c r="D217" s="365"/>
      <c r="E217" s="365"/>
      <c r="F217" s="365"/>
      <c r="G217" s="365"/>
      <c r="H217" s="365"/>
      <c r="I217" s="365"/>
      <c r="J217" s="366"/>
      <c r="K217" s="153"/>
    </row>
    <row r="218" spans="1:23" ht="16.2" thickBot="1" x14ac:dyDescent="0.35">
      <c r="A218" s="147"/>
      <c r="B218" s="367" t="s">
        <v>1076</v>
      </c>
      <c r="C218" s="368"/>
      <c r="D218" s="368"/>
      <c r="E218" s="368"/>
      <c r="F218" s="368"/>
      <c r="G218" s="368"/>
      <c r="H218" s="368"/>
      <c r="I218" s="368"/>
      <c r="J218" s="369"/>
      <c r="K218" s="153"/>
    </row>
    <row r="219" spans="1:23" ht="15" thickBot="1" x14ac:dyDescent="0.35">
      <c r="A219" s="175"/>
      <c r="B219" s="178" t="s">
        <v>2248</v>
      </c>
      <c r="C219" s="179" t="s">
        <v>1</v>
      </c>
      <c r="D219" s="180" t="s">
        <v>5</v>
      </c>
      <c r="E219" s="180" t="s">
        <v>6</v>
      </c>
      <c r="F219" s="181" t="s">
        <v>2249</v>
      </c>
      <c r="G219" s="181" t="s">
        <v>2250</v>
      </c>
      <c r="H219" s="239" t="s">
        <v>2251</v>
      </c>
      <c r="I219" s="181" t="s">
        <v>2257</v>
      </c>
      <c r="J219" s="245" t="s">
        <v>4</v>
      </c>
      <c r="K219" s="176"/>
      <c r="L219" s="215"/>
      <c r="V219" s="201" t="s">
        <v>454</v>
      </c>
      <c r="W219" s="201" t="s">
        <v>455</v>
      </c>
    </row>
    <row r="220" spans="1:23" x14ac:dyDescent="0.3">
      <c r="A220" s="147"/>
      <c r="B220" s="217">
        <v>1</v>
      </c>
      <c r="C220" s="218">
        <v>44866</v>
      </c>
      <c r="D220" s="185" t="s">
        <v>9</v>
      </c>
      <c r="E220" s="185" t="s">
        <v>3977</v>
      </c>
      <c r="F220" s="231">
        <v>14.5</v>
      </c>
      <c r="G220" s="231">
        <v>10.5</v>
      </c>
      <c r="H220" s="231">
        <v>-4</v>
      </c>
      <c r="I220" s="219">
        <v>1000</v>
      </c>
      <c r="J220" s="246">
        <f t="shared" ref="J220:J243" si="34">I220*H220</f>
        <v>-4000</v>
      </c>
      <c r="K220" s="153"/>
      <c r="V220" s="25">
        <f>IF($J220&gt;0,1,0)</f>
        <v>0</v>
      </c>
      <c r="W220" s="25">
        <f>IF($J220&lt;0,1,0)</f>
        <v>1</v>
      </c>
    </row>
    <row r="221" spans="1:23" x14ac:dyDescent="0.3">
      <c r="A221" s="147"/>
      <c r="B221" s="205">
        <f>B220+1</f>
        <v>2</v>
      </c>
      <c r="C221" s="218">
        <v>44867</v>
      </c>
      <c r="D221" s="185" t="s">
        <v>9</v>
      </c>
      <c r="E221" s="185" t="s">
        <v>3978</v>
      </c>
      <c r="F221" s="231">
        <v>28</v>
      </c>
      <c r="G221" s="231">
        <v>30.5</v>
      </c>
      <c r="H221" s="231">
        <v>2.5</v>
      </c>
      <c r="I221" s="219">
        <v>500</v>
      </c>
      <c r="J221" s="242">
        <f>I221*H221</f>
        <v>1250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 t="shared" ref="B222:B243" si="35">B221+1</f>
        <v>3</v>
      </c>
      <c r="C222" s="206">
        <v>44868</v>
      </c>
      <c r="D222" s="161" t="s">
        <v>9</v>
      </c>
      <c r="E222" s="161" t="s">
        <v>3979</v>
      </c>
      <c r="F222" s="222">
        <v>28</v>
      </c>
      <c r="G222" s="222">
        <v>48</v>
      </c>
      <c r="H222" s="222">
        <v>20</v>
      </c>
      <c r="I222" s="207">
        <v>275</v>
      </c>
      <c r="J222" s="242">
        <f t="shared" si="34"/>
        <v>5500</v>
      </c>
      <c r="K222" s="153"/>
      <c r="V222" s="25">
        <f t="shared" ref="V222:V243" si="36">IF($J222&gt;0,1,0)</f>
        <v>1</v>
      </c>
      <c r="W222" s="25">
        <f t="shared" ref="W222:W243" si="37">IF($J222&lt;0,1,0)</f>
        <v>0</v>
      </c>
    </row>
    <row r="223" spans="1:23" x14ac:dyDescent="0.3">
      <c r="A223" s="147"/>
      <c r="B223" s="205">
        <f t="shared" si="35"/>
        <v>4</v>
      </c>
      <c r="C223" s="206">
        <v>44869</v>
      </c>
      <c r="D223" s="161" t="s">
        <v>9</v>
      </c>
      <c r="E223" s="161" t="s">
        <v>3980</v>
      </c>
      <c r="F223" s="222">
        <v>16</v>
      </c>
      <c r="G223" s="222">
        <v>21.7</v>
      </c>
      <c r="H223" s="222">
        <v>5.7</v>
      </c>
      <c r="I223" s="207">
        <v>1350</v>
      </c>
      <c r="J223" s="242">
        <f t="shared" si="34"/>
        <v>7695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5</v>
      </c>
      <c r="C224" s="206">
        <v>44872</v>
      </c>
      <c r="D224" s="161" t="s">
        <v>9</v>
      </c>
      <c r="E224" s="161" t="s">
        <v>3983</v>
      </c>
      <c r="F224" s="222">
        <v>140</v>
      </c>
      <c r="G224" s="222">
        <v>150</v>
      </c>
      <c r="H224" s="222">
        <v>10</v>
      </c>
      <c r="I224" s="207">
        <v>250</v>
      </c>
      <c r="J224" s="242">
        <f t="shared" si="34"/>
        <v>2500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6</v>
      </c>
      <c r="C225" s="206">
        <v>44874</v>
      </c>
      <c r="D225" s="161" t="s">
        <v>9</v>
      </c>
      <c r="E225" s="161" t="s">
        <v>3985</v>
      </c>
      <c r="F225" s="222">
        <v>13</v>
      </c>
      <c r="G225" s="222">
        <v>14.5</v>
      </c>
      <c r="H225" s="222">
        <v>1.5</v>
      </c>
      <c r="I225" s="207">
        <v>1500</v>
      </c>
      <c r="J225" s="242">
        <f t="shared" si="34"/>
        <v>2250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7</v>
      </c>
      <c r="C226" s="206">
        <v>44875</v>
      </c>
      <c r="D226" s="161" t="s">
        <v>9</v>
      </c>
      <c r="E226" s="161" t="s">
        <v>3987</v>
      </c>
      <c r="F226" s="222">
        <v>180</v>
      </c>
      <c r="G226" s="222">
        <v>150</v>
      </c>
      <c r="H226" s="222">
        <v>-30</v>
      </c>
      <c r="I226" s="207">
        <v>125</v>
      </c>
      <c r="J226" s="242">
        <f t="shared" si="34"/>
        <v>-3750</v>
      </c>
      <c r="K226" s="153"/>
      <c r="V226" s="25">
        <f t="shared" si="36"/>
        <v>0</v>
      </c>
      <c r="W226" s="25">
        <f t="shared" si="37"/>
        <v>1</v>
      </c>
    </row>
    <row r="227" spans="1:23" x14ac:dyDescent="0.3">
      <c r="A227" s="147"/>
      <c r="B227" s="205">
        <f t="shared" si="35"/>
        <v>8</v>
      </c>
      <c r="C227" s="206">
        <v>44876</v>
      </c>
      <c r="D227" s="161" t="s">
        <v>9</v>
      </c>
      <c r="E227" s="161" t="s">
        <v>3988</v>
      </c>
      <c r="F227" s="222">
        <v>25</v>
      </c>
      <c r="G227" s="222">
        <v>28.9</v>
      </c>
      <c r="H227" s="222">
        <f>28.9-25</f>
        <v>3.8999999999999986</v>
      </c>
      <c r="I227" s="207">
        <v>1300</v>
      </c>
      <c r="J227" s="242">
        <f t="shared" si="34"/>
        <v>5069.9999999999982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9</v>
      </c>
      <c r="C228" s="206">
        <v>44879</v>
      </c>
      <c r="D228" s="161" t="s">
        <v>9</v>
      </c>
      <c r="E228" s="161" t="s">
        <v>3989</v>
      </c>
      <c r="F228" s="222">
        <v>15</v>
      </c>
      <c r="G228" s="222">
        <v>17.5</v>
      </c>
      <c r="H228" s="255">
        <v>2.5</v>
      </c>
      <c r="I228" s="207">
        <v>1375</v>
      </c>
      <c r="J228" s="242">
        <f t="shared" si="34"/>
        <v>3437.5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10</v>
      </c>
      <c r="C229" s="206">
        <v>44880</v>
      </c>
      <c r="D229" s="161" t="s">
        <v>9</v>
      </c>
      <c r="E229" s="161" t="s">
        <v>3990</v>
      </c>
      <c r="F229" s="222">
        <v>23</v>
      </c>
      <c r="G229" s="222">
        <v>28</v>
      </c>
      <c r="H229" s="255">
        <v>5</v>
      </c>
      <c r="I229" s="207">
        <v>800</v>
      </c>
      <c r="J229" s="242">
        <f t="shared" si="34"/>
        <v>4000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11</v>
      </c>
      <c r="C230" s="206">
        <v>44881</v>
      </c>
      <c r="D230" s="161" t="s">
        <v>9</v>
      </c>
      <c r="E230" s="161" t="s">
        <v>3991</v>
      </c>
      <c r="F230" s="222">
        <v>115</v>
      </c>
      <c r="G230" s="222">
        <v>85</v>
      </c>
      <c r="H230" s="255">
        <v>-30</v>
      </c>
      <c r="I230" s="207">
        <v>100</v>
      </c>
      <c r="J230" s="242">
        <f t="shared" si="34"/>
        <v>-3000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12</v>
      </c>
      <c r="C231" s="206">
        <v>44882</v>
      </c>
      <c r="D231" s="161" t="s">
        <v>9</v>
      </c>
      <c r="E231" s="161" t="s">
        <v>3992</v>
      </c>
      <c r="F231" s="222">
        <v>24</v>
      </c>
      <c r="G231" s="222">
        <v>26.8</v>
      </c>
      <c r="H231" s="255">
        <v>2.8</v>
      </c>
      <c r="I231" s="207">
        <v>475</v>
      </c>
      <c r="J231" s="242">
        <f t="shared" si="34"/>
        <v>1330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13</v>
      </c>
      <c r="C232" s="206">
        <v>44883</v>
      </c>
      <c r="D232" s="161" t="s">
        <v>9</v>
      </c>
      <c r="E232" s="161" t="s">
        <v>3997</v>
      </c>
      <c r="F232" s="222">
        <v>8.5</v>
      </c>
      <c r="G232" s="222">
        <v>14.5</v>
      </c>
      <c r="H232" s="255">
        <v>6</v>
      </c>
      <c r="I232" s="207">
        <v>1375</v>
      </c>
      <c r="J232" s="242">
        <f t="shared" si="34"/>
        <v>8250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14</v>
      </c>
      <c r="C233" s="206">
        <v>44886</v>
      </c>
      <c r="D233" s="161" t="s">
        <v>9</v>
      </c>
      <c r="E233" s="161" t="s">
        <v>4002</v>
      </c>
      <c r="F233" s="222">
        <v>17</v>
      </c>
      <c r="G233" s="222">
        <v>21</v>
      </c>
      <c r="H233" s="255">
        <v>4</v>
      </c>
      <c r="I233" s="207">
        <v>400</v>
      </c>
      <c r="J233" s="242">
        <f>I233*H233</f>
        <v>1600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15</v>
      </c>
      <c r="C234" s="206">
        <v>44887</v>
      </c>
      <c r="D234" s="161" t="s">
        <v>9</v>
      </c>
      <c r="E234" s="161" t="s">
        <v>4003</v>
      </c>
      <c r="F234" s="222">
        <v>15</v>
      </c>
      <c r="G234" s="222">
        <v>18.5</v>
      </c>
      <c r="H234" s="255">
        <v>3.5</v>
      </c>
      <c r="I234" s="207">
        <v>400</v>
      </c>
      <c r="J234" s="242">
        <f t="shared" si="34"/>
        <v>1400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16</v>
      </c>
      <c r="C235" s="206">
        <v>44888</v>
      </c>
      <c r="D235" s="161" t="s">
        <v>9</v>
      </c>
      <c r="E235" s="161" t="s">
        <v>3541</v>
      </c>
      <c r="F235" s="222">
        <v>11</v>
      </c>
      <c r="G235" s="222">
        <v>13.8</v>
      </c>
      <c r="H235" s="222">
        <v>2.8</v>
      </c>
      <c r="I235" s="207">
        <v>400</v>
      </c>
      <c r="J235" s="242">
        <f t="shared" si="34"/>
        <v>1120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17</v>
      </c>
      <c r="C236" s="206">
        <v>44889</v>
      </c>
      <c r="D236" s="161" t="s">
        <v>9</v>
      </c>
      <c r="E236" s="161" t="s">
        <v>4004</v>
      </c>
      <c r="F236" s="222">
        <v>60</v>
      </c>
      <c r="G236" s="222">
        <v>100</v>
      </c>
      <c r="H236" s="222">
        <v>40</v>
      </c>
      <c r="I236" s="207">
        <v>125</v>
      </c>
      <c r="J236" s="242">
        <f t="shared" si="34"/>
        <v>5000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18</v>
      </c>
      <c r="C237" s="206">
        <v>44890</v>
      </c>
      <c r="D237" s="161" t="s">
        <v>9</v>
      </c>
      <c r="E237" s="161" t="s">
        <v>4008</v>
      </c>
      <c r="F237" s="222">
        <v>95</v>
      </c>
      <c r="G237" s="222">
        <v>103</v>
      </c>
      <c r="H237" s="222">
        <f>103-95</f>
        <v>8</v>
      </c>
      <c r="I237" s="207">
        <v>200</v>
      </c>
      <c r="J237" s="242">
        <f t="shared" si="34"/>
        <v>1600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19</v>
      </c>
      <c r="C238" s="206">
        <v>44893</v>
      </c>
      <c r="D238" s="161" t="s">
        <v>9</v>
      </c>
      <c r="E238" s="161" t="s">
        <v>4016</v>
      </c>
      <c r="F238" s="222">
        <v>180</v>
      </c>
      <c r="G238" s="222">
        <v>192</v>
      </c>
      <c r="H238" s="222">
        <v>12</v>
      </c>
      <c r="I238" s="207">
        <v>100</v>
      </c>
      <c r="J238" s="242">
        <f t="shared" si="34"/>
        <v>1200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20</v>
      </c>
      <c r="C239" s="206">
        <v>44894</v>
      </c>
      <c r="D239" s="161" t="s">
        <v>9</v>
      </c>
      <c r="E239" s="161" t="s">
        <v>4017</v>
      </c>
      <c r="F239" s="222">
        <v>24</v>
      </c>
      <c r="G239" s="222">
        <v>30</v>
      </c>
      <c r="H239" s="222">
        <f>30-24</f>
        <v>6</v>
      </c>
      <c r="I239" s="207">
        <v>1000</v>
      </c>
      <c r="J239" s="242">
        <f t="shared" si="34"/>
        <v>6000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21</v>
      </c>
      <c r="C240" s="206">
        <v>44895</v>
      </c>
      <c r="D240" s="161" t="s">
        <v>9</v>
      </c>
      <c r="E240" s="161" t="s">
        <v>4018</v>
      </c>
      <c r="F240" s="222">
        <v>49</v>
      </c>
      <c r="G240" s="222">
        <v>55</v>
      </c>
      <c r="H240" s="222">
        <f>55-49</f>
        <v>6</v>
      </c>
      <c r="I240" s="207">
        <v>600</v>
      </c>
      <c r="J240" s="242">
        <f t="shared" si="34"/>
        <v>3600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22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23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ht="15" thickBot="1" x14ac:dyDescent="0.35">
      <c r="A243" s="147"/>
      <c r="B243" s="208">
        <f t="shared" si="35"/>
        <v>24</v>
      </c>
      <c r="C243" s="209"/>
      <c r="D243" s="166"/>
      <c r="E243" s="166"/>
      <c r="F243" s="222"/>
      <c r="G243" s="222"/>
      <c r="H243" s="166"/>
      <c r="I243" s="210"/>
      <c r="J243" s="244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24" thickBot="1" x14ac:dyDescent="0.5">
      <c r="A244" s="147"/>
      <c r="B244" s="370" t="s">
        <v>2254</v>
      </c>
      <c r="C244" s="371"/>
      <c r="D244" s="371"/>
      <c r="E244" s="371"/>
      <c r="F244" s="371"/>
      <c r="G244" s="371"/>
      <c r="H244" s="372"/>
      <c r="I244" s="211" t="s">
        <v>2255</v>
      </c>
      <c r="J244" s="212">
        <f>SUM(J220:J243)</f>
        <v>52052.5</v>
      </c>
      <c r="K244" s="153"/>
      <c r="V244" s="25">
        <f>SUM(V220:V243)</f>
        <v>18</v>
      </c>
      <c r="W244" s="25">
        <f>SUM(W220:W243)</f>
        <v>3</v>
      </c>
    </row>
    <row r="245" spans="1:23" ht="30" customHeight="1" thickBot="1" x14ac:dyDescent="0.35">
      <c r="A245" s="213"/>
      <c r="B245" s="172"/>
      <c r="C245" s="172"/>
      <c r="D245" s="172"/>
      <c r="E245" s="172"/>
      <c r="F245" s="172"/>
      <c r="G245" s="172"/>
      <c r="H245" s="235"/>
      <c r="I245" s="172"/>
      <c r="J245" s="235"/>
      <c r="K245" s="214"/>
    </row>
  </sheetData>
  <mergeCells count="84">
    <mergeCell ref="B217:J217"/>
    <mergeCell ref="B218:J218"/>
    <mergeCell ref="B244:H244"/>
    <mergeCell ref="B181:H181"/>
    <mergeCell ref="B185:J185"/>
    <mergeCell ref="B186:J186"/>
    <mergeCell ref="B187:J187"/>
    <mergeCell ref="B212:H212"/>
    <mergeCell ref="B216:J216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300-000000000000}"/>
    <hyperlink ref="B117" r:id="rId2" xr:uid="{00000000-0004-0000-7300-000001000000}"/>
    <hyperlink ref="B150" r:id="rId3" xr:uid="{00000000-0004-0000-7300-000002000000}"/>
    <hyperlink ref="B181" r:id="rId4" xr:uid="{00000000-0004-0000-7300-000003000000}"/>
    <hyperlink ref="B212" r:id="rId5" xr:uid="{00000000-0004-0000-7300-000004000000}"/>
    <hyperlink ref="B244" r:id="rId6" xr:uid="{00000000-0004-0000-7300-000005000000}"/>
    <hyperlink ref="M1" location="'MASTER '!A1" display="Back" xr:uid="{00000000-0004-0000-7300-000006000000}"/>
    <hyperlink ref="M6:M7" location="'NOV 2022'!A77" display="STOCK FUTURE" xr:uid="{00000000-0004-0000-7300-000007000000}"/>
    <hyperlink ref="M12:M13" location="'NOV 2022'!A170" display="BANK NIFTY" xr:uid="{00000000-0004-0000-7300-000008000000}"/>
    <hyperlink ref="M10:M11" location="'NOV 2022'!A139" display="NF. OPTION" xr:uid="{00000000-0004-0000-7300-000009000000}"/>
    <hyperlink ref="M8:M9" location="'NOV 2022'!A108" display="NIFTY FUTURE" xr:uid="{00000000-0004-0000-7300-00000A000000}"/>
    <hyperlink ref="M4:M5" location="'NOV 2022'!A1" display="CASH" xr:uid="{00000000-0004-0000-7300-00000B000000}"/>
    <hyperlink ref="M14:M15" location="'NOV 2022'!A201" display="B.NIFTY OPTION" xr:uid="{00000000-0004-0000-7300-00000C000000}"/>
    <hyperlink ref="M16:M17" location="'NOV 2022'!A216" display="STOCK OPTION" xr:uid="{00000000-0004-0000-7300-00000D000000}"/>
    <hyperlink ref="B52" r:id="rId7" xr:uid="{00000000-0004-0000-7300-00000E000000}"/>
  </hyperlinks>
  <pageMargins left="0" right="0" top="0" bottom="0" header="0" footer="0"/>
  <pageSetup scale="95" orientation="portrait" r:id="rId8"/>
  <drawing r:id="rId9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W246"/>
  <sheetViews>
    <sheetView topLeftCell="A25" zoomScaleNormal="100" workbookViewId="0">
      <selection activeCell="M29" sqref="M2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4019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34</v>
      </c>
      <c r="P4" s="386">
        <f>W52</f>
        <v>10</v>
      </c>
      <c r="Q4" s="387">
        <f>N4-O4-P4</f>
        <v>0</v>
      </c>
      <c r="R4" s="380">
        <f>O4/N4</f>
        <v>0.77272727272727271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44896</v>
      </c>
      <c r="D6" s="158" t="s">
        <v>9</v>
      </c>
      <c r="E6" s="158" t="s">
        <v>94</v>
      </c>
      <c r="F6" s="230">
        <v>1630</v>
      </c>
      <c r="G6" s="222">
        <v>1636</v>
      </c>
      <c r="H6" s="222">
        <v>6</v>
      </c>
      <c r="I6" s="207">
        <f t="shared" ref="I6:I7" si="0">300000/F6</f>
        <v>184.04907975460122</v>
      </c>
      <c r="J6" s="161">
        <f t="shared" ref="J6:J7" si="1">H6*I6</f>
        <v>1104.2944785276072</v>
      </c>
      <c r="K6" s="153"/>
      <c r="M6" s="394" t="s">
        <v>450</v>
      </c>
      <c r="N6" s="344">
        <f>COUNT(C60:C85)</f>
        <v>22</v>
      </c>
      <c r="O6" s="346">
        <f>V86</f>
        <v>19</v>
      </c>
      <c r="P6" s="346">
        <f>W86</f>
        <v>2</v>
      </c>
      <c r="Q6" s="374">
        <f>N6-O6-P6</f>
        <v>1</v>
      </c>
      <c r="R6" s="376">
        <f t="shared" ref="R6" si="2">O6/N6</f>
        <v>0.86363636363636365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44896</v>
      </c>
      <c r="D7" s="161" t="s">
        <v>8</v>
      </c>
      <c r="E7" s="161" t="s">
        <v>502</v>
      </c>
      <c r="F7" s="222">
        <v>1288</v>
      </c>
      <c r="G7" s="231">
        <v>1278</v>
      </c>
      <c r="H7" s="255">
        <v>10</v>
      </c>
      <c r="I7" s="207">
        <f t="shared" si="0"/>
        <v>232.91925465838509</v>
      </c>
      <c r="J7" s="161">
        <f t="shared" si="1"/>
        <v>2329.1925465838508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44897</v>
      </c>
      <c r="D8" s="161" t="s">
        <v>9</v>
      </c>
      <c r="E8" s="161" t="s">
        <v>2203</v>
      </c>
      <c r="F8" s="222">
        <v>912</v>
      </c>
      <c r="G8" s="222">
        <v>918</v>
      </c>
      <c r="H8" s="222">
        <v>6</v>
      </c>
      <c r="I8" s="207">
        <f t="shared" ref="I8:I12" si="6">300000/F8</f>
        <v>328.94736842105266</v>
      </c>
      <c r="J8" s="161">
        <f t="shared" ref="J8:J12" si="7">H8*I8</f>
        <v>1973.6842105263158</v>
      </c>
      <c r="K8" s="153"/>
      <c r="M8" s="394" t="s">
        <v>451</v>
      </c>
      <c r="N8" s="344">
        <f>COUNT(C94:C116)</f>
        <v>22</v>
      </c>
      <c r="O8" s="346">
        <f>V117</f>
        <v>20</v>
      </c>
      <c r="P8" s="346">
        <f>W117</f>
        <v>2</v>
      </c>
      <c r="Q8" s="374">
        <f>N8-O8-P8</f>
        <v>0</v>
      </c>
      <c r="R8" s="376">
        <f t="shared" ref="R8" si="8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44897</v>
      </c>
      <c r="D9" s="161" t="s">
        <v>9</v>
      </c>
      <c r="E9" s="161" t="s">
        <v>3801</v>
      </c>
      <c r="F9" s="222">
        <v>512</v>
      </c>
      <c r="G9" s="231">
        <v>522</v>
      </c>
      <c r="H9" s="255">
        <v>10</v>
      </c>
      <c r="I9" s="207">
        <f t="shared" si="6"/>
        <v>585.9375</v>
      </c>
      <c r="J9" s="161">
        <f t="shared" si="7"/>
        <v>5859.375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44900</v>
      </c>
      <c r="D10" s="161" t="s">
        <v>9</v>
      </c>
      <c r="E10" s="161" t="s">
        <v>3718</v>
      </c>
      <c r="F10" s="222">
        <v>190</v>
      </c>
      <c r="G10" s="222">
        <v>187</v>
      </c>
      <c r="H10" s="222">
        <v>-3</v>
      </c>
      <c r="I10" s="207">
        <f t="shared" si="6"/>
        <v>1578.9473684210527</v>
      </c>
      <c r="J10" s="161">
        <f t="shared" si="7"/>
        <v>-4736.8421052631584</v>
      </c>
      <c r="K10" s="153"/>
      <c r="M10" s="394" t="s">
        <v>1176</v>
      </c>
      <c r="N10" s="344">
        <f>COUNT(C125:C149)</f>
        <v>25</v>
      </c>
      <c r="O10" s="346">
        <f>V150</f>
        <v>18</v>
      </c>
      <c r="P10" s="346">
        <f>W150</f>
        <v>7</v>
      </c>
      <c r="Q10" s="374">
        <f>N10-O10-P10</f>
        <v>0</v>
      </c>
      <c r="R10" s="376">
        <f t="shared" ref="R10:R16" si="9">O10/N10</f>
        <v>0.72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44900</v>
      </c>
      <c r="D11" s="161" t="s">
        <v>9</v>
      </c>
      <c r="E11" s="161" t="s">
        <v>834</v>
      </c>
      <c r="F11" s="222">
        <v>321</v>
      </c>
      <c r="G11" s="222">
        <v>317</v>
      </c>
      <c r="H11" s="255">
        <v>-4</v>
      </c>
      <c r="I11" s="207">
        <f t="shared" si="6"/>
        <v>934.57943925233644</v>
      </c>
      <c r="J11" s="161">
        <f t="shared" si="7"/>
        <v>-3738.3177570093458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44901</v>
      </c>
      <c r="D12" s="161" t="s">
        <v>9</v>
      </c>
      <c r="E12" s="161" t="s">
        <v>299</v>
      </c>
      <c r="F12" s="222">
        <v>4020</v>
      </c>
      <c r="G12" s="222">
        <v>4054.5</v>
      </c>
      <c r="H12" s="222">
        <f>4054.5-4020</f>
        <v>34.5</v>
      </c>
      <c r="I12" s="207">
        <f t="shared" si="6"/>
        <v>74.626865671641795</v>
      </c>
      <c r="J12" s="161">
        <f t="shared" si="7"/>
        <v>2574.626865671642</v>
      </c>
      <c r="K12" s="153"/>
      <c r="M12" s="394" t="s">
        <v>41</v>
      </c>
      <c r="N12" s="344">
        <f>COUNT(C158:C180)</f>
        <v>22</v>
      </c>
      <c r="O12" s="346">
        <f>V181</f>
        <v>17</v>
      </c>
      <c r="P12" s="346">
        <f>W181</f>
        <v>5</v>
      </c>
      <c r="Q12" s="374">
        <f t="shared" ref="Q12" si="10">N12-O12-P12</f>
        <v>0</v>
      </c>
      <c r="R12" s="376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44901</v>
      </c>
      <c r="D13" s="161" t="s">
        <v>8</v>
      </c>
      <c r="E13" s="161" t="s">
        <v>3746</v>
      </c>
      <c r="F13" s="222">
        <v>235</v>
      </c>
      <c r="G13" s="222">
        <v>233.6</v>
      </c>
      <c r="H13" s="255">
        <f>235-233.6</f>
        <v>1.4000000000000057</v>
      </c>
      <c r="I13" s="207">
        <f t="shared" ref="I13:I29" si="11">300000/F13</f>
        <v>1276.5957446808511</v>
      </c>
      <c r="J13" s="161">
        <f t="shared" ref="J13:J29" si="12">H13*I13</f>
        <v>1787.2340425531988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44902</v>
      </c>
      <c r="D14" s="161" t="s">
        <v>9</v>
      </c>
      <c r="E14" s="161" t="s">
        <v>502</v>
      </c>
      <c r="F14" s="222">
        <v>1338</v>
      </c>
      <c r="G14" s="222">
        <v>1365</v>
      </c>
      <c r="H14" s="222">
        <f>1365-1338</f>
        <v>27</v>
      </c>
      <c r="I14" s="207">
        <f t="shared" si="11"/>
        <v>224.2152466367713</v>
      </c>
      <c r="J14" s="161">
        <f t="shared" si="12"/>
        <v>6053.8116591928247</v>
      </c>
      <c r="K14" s="153"/>
      <c r="M14" s="394" t="s">
        <v>1175</v>
      </c>
      <c r="N14" s="344">
        <f>COUNT(C189:C212)</f>
        <v>24</v>
      </c>
      <c r="O14" s="346">
        <f>V213</f>
        <v>18</v>
      </c>
      <c r="P14" s="346">
        <f>W213</f>
        <v>5</v>
      </c>
      <c r="Q14" s="374">
        <f t="shared" ref="Q14" si="13">N14-O14-P14</f>
        <v>1</v>
      </c>
      <c r="R14" s="376">
        <f t="shared" si="9"/>
        <v>0.75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44902</v>
      </c>
      <c r="D15" s="161" t="s">
        <v>8</v>
      </c>
      <c r="E15" s="161" t="s">
        <v>26</v>
      </c>
      <c r="F15" s="222">
        <v>412</v>
      </c>
      <c r="G15" s="222">
        <v>406.5</v>
      </c>
      <c r="H15" s="222">
        <f>412-406.5</f>
        <v>5.5</v>
      </c>
      <c r="I15" s="207">
        <f t="shared" si="11"/>
        <v>728.15533980582529</v>
      </c>
      <c r="J15" s="161">
        <f t="shared" si="12"/>
        <v>4004.8543689320391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44903</v>
      </c>
      <c r="D16" s="161" t="s">
        <v>9</v>
      </c>
      <c r="E16" s="161" t="s">
        <v>19</v>
      </c>
      <c r="F16" s="222">
        <v>610</v>
      </c>
      <c r="G16" s="222">
        <v>613</v>
      </c>
      <c r="H16" s="222">
        <v>3</v>
      </c>
      <c r="I16" s="207">
        <f t="shared" si="11"/>
        <v>491.80327868852459</v>
      </c>
      <c r="J16" s="161">
        <f t="shared" si="12"/>
        <v>1475.4098360655737</v>
      </c>
      <c r="K16" s="153"/>
      <c r="L16" s="25" t="s">
        <v>2008</v>
      </c>
      <c r="M16" s="394" t="s">
        <v>1090</v>
      </c>
      <c r="N16" s="344">
        <f>COUNT(C221:C244)</f>
        <v>21</v>
      </c>
      <c r="O16" s="346">
        <f>V245</f>
        <v>18</v>
      </c>
      <c r="P16" s="346">
        <f>W245</f>
        <v>3</v>
      </c>
      <c r="Q16" s="374">
        <v>0</v>
      </c>
      <c r="R16" s="376">
        <f t="shared" si="9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44903</v>
      </c>
      <c r="D17" s="161" t="s">
        <v>9</v>
      </c>
      <c r="E17" s="161" t="s">
        <v>16</v>
      </c>
      <c r="F17" s="222">
        <v>2605</v>
      </c>
      <c r="G17" s="222">
        <v>2585</v>
      </c>
      <c r="H17" s="222">
        <v>-20</v>
      </c>
      <c r="I17" s="207">
        <f t="shared" si="11"/>
        <v>115.16314779270634</v>
      </c>
      <c r="J17" s="161">
        <f t="shared" si="12"/>
        <v>-2303.2629558541266</v>
      </c>
      <c r="K17" s="153"/>
      <c r="M17" s="395"/>
      <c r="N17" s="385"/>
      <c r="O17" s="373"/>
      <c r="P17" s="373"/>
      <c r="Q17" s="375"/>
      <c r="R17" s="377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44904</v>
      </c>
      <c r="D18" s="161" t="s">
        <v>9</v>
      </c>
      <c r="E18" s="161" t="s">
        <v>108</v>
      </c>
      <c r="F18" s="222">
        <v>435</v>
      </c>
      <c r="G18" s="222">
        <v>441.5</v>
      </c>
      <c r="H18" s="222">
        <f>441.5-435</f>
        <v>6.5</v>
      </c>
      <c r="I18" s="207">
        <f t="shared" si="11"/>
        <v>689.65517241379314</v>
      </c>
      <c r="J18" s="161">
        <f t="shared" si="12"/>
        <v>4482.7586206896558</v>
      </c>
      <c r="K18" s="153"/>
      <c r="M18" s="392" t="s">
        <v>946</v>
      </c>
      <c r="N18" s="378">
        <f>SUM(N4:N17)</f>
        <v>180</v>
      </c>
      <c r="O18" s="378">
        <f t="shared" ref="O18:Q18" si="14">SUM(O4:O17)</f>
        <v>144</v>
      </c>
      <c r="P18" s="378">
        <f t="shared" si="14"/>
        <v>34</v>
      </c>
      <c r="Q18" s="378">
        <f t="shared" si="14"/>
        <v>2</v>
      </c>
      <c r="R18" s="380">
        <f t="shared" ref="R18" si="15">O18/N18</f>
        <v>0.8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44904</v>
      </c>
      <c r="D19" s="161" t="s">
        <v>8</v>
      </c>
      <c r="E19" s="161" t="s">
        <v>31</v>
      </c>
      <c r="F19" s="222">
        <v>2645</v>
      </c>
      <c r="G19" s="222">
        <v>2605</v>
      </c>
      <c r="H19" s="222">
        <f>2645-2605</f>
        <v>40</v>
      </c>
      <c r="I19" s="207">
        <f t="shared" si="11"/>
        <v>113.42155009451795</v>
      </c>
      <c r="J19" s="161">
        <f t="shared" si="12"/>
        <v>4536.8620037807177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44907</v>
      </c>
      <c r="D20" s="161" t="s">
        <v>9</v>
      </c>
      <c r="E20" s="161" t="s">
        <v>3563</v>
      </c>
      <c r="F20" s="222">
        <v>1570</v>
      </c>
      <c r="G20" s="222">
        <v>1585</v>
      </c>
      <c r="H20" s="222">
        <v>15</v>
      </c>
      <c r="I20" s="207">
        <f t="shared" si="11"/>
        <v>191.08280254777071</v>
      </c>
      <c r="J20" s="161">
        <f t="shared" si="12"/>
        <v>2866.2420382165606</v>
      </c>
      <c r="K20" s="153"/>
      <c r="M20" s="316" t="s">
        <v>2253</v>
      </c>
      <c r="N20" s="317"/>
      <c r="O20" s="318"/>
      <c r="P20" s="325">
        <f>R18</f>
        <v>0.8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44907</v>
      </c>
      <c r="D21" s="161" t="s">
        <v>9</v>
      </c>
      <c r="E21" s="161" t="s">
        <v>95</v>
      </c>
      <c r="F21" s="222">
        <v>930</v>
      </c>
      <c r="G21" s="222">
        <v>933.8</v>
      </c>
      <c r="H21" s="222">
        <v>3.8</v>
      </c>
      <c r="I21" s="207">
        <f t="shared" si="11"/>
        <v>322.58064516129031</v>
      </c>
      <c r="J21" s="161">
        <f t="shared" si="12"/>
        <v>1225.8064516129032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44908</v>
      </c>
      <c r="D22" s="161" t="s">
        <v>9</v>
      </c>
      <c r="E22" s="161" t="s">
        <v>3445</v>
      </c>
      <c r="F22" s="222">
        <v>2965</v>
      </c>
      <c r="G22" s="222">
        <v>2985</v>
      </c>
      <c r="H22" s="222">
        <v>20</v>
      </c>
      <c r="I22" s="207">
        <f t="shared" si="11"/>
        <v>101.1804384485666</v>
      </c>
      <c r="J22" s="161">
        <f t="shared" si="12"/>
        <v>2023.6087689713322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44908</v>
      </c>
      <c r="D23" s="161" t="s">
        <v>8</v>
      </c>
      <c r="E23" s="161" t="s">
        <v>133</v>
      </c>
      <c r="F23" s="222">
        <v>742</v>
      </c>
      <c r="G23" s="222">
        <v>738.2</v>
      </c>
      <c r="H23" s="222">
        <f>742-738.2</f>
        <v>3.7999999999999545</v>
      </c>
      <c r="I23" s="207">
        <f t="shared" si="11"/>
        <v>404.31266846361189</v>
      </c>
      <c r="J23" s="161">
        <f t="shared" si="12"/>
        <v>1536.3881401617068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44909</v>
      </c>
      <c r="D24" s="161" t="s">
        <v>9</v>
      </c>
      <c r="E24" s="161" t="s">
        <v>1361</v>
      </c>
      <c r="F24" s="222">
        <v>882</v>
      </c>
      <c r="G24" s="222">
        <v>886.5</v>
      </c>
      <c r="H24" s="222">
        <v>4.5</v>
      </c>
      <c r="I24" s="207">
        <f t="shared" si="11"/>
        <v>340.13605442176873</v>
      </c>
      <c r="J24" s="161">
        <f t="shared" si="12"/>
        <v>1530.6122448979593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44909</v>
      </c>
      <c r="D25" s="161" t="s">
        <v>9</v>
      </c>
      <c r="E25" s="161" t="s">
        <v>94</v>
      </c>
      <c r="F25" s="222">
        <v>1655</v>
      </c>
      <c r="G25" s="222">
        <v>1665</v>
      </c>
      <c r="H25" s="222">
        <v>10</v>
      </c>
      <c r="I25" s="207">
        <f t="shared" si="11"/>
        <v>181.26888217522659</v>
      </c>
      <c r="J25" s="161">
        <f t="shared" si="12"/>
        <v>1812.688821752266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44910</v>
      </c>
      <c r="D26" s="161" t="s">
        <v>9</v>
      </c>
      <c r="E26" s="161" t="s">
        <v>3063</v>
      </c>
      <c r="F26" s="222">
        <v>1284</v>
      </c>
      <c r="G26" s="222">
        <v>1289</v>
      </c>
      <c r="H26" s="222">
        <v>5</v>
      </c>
      <c r="I26" s="207">
        <f t="shared" si="11"/>
        <v>233.64485981308411</v>
      </c>
      <c r="J26" s="161">
        <f t="shared" si="12"/>
        <v>1168.2242990654206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44910</v>
      </c>
      <c r="D27" s="161" t="s">
        <v>9</v>
      </c>
      <c r="E27" s="161" t="s">
        <v>4041</v>
      </c>
      <c r="F27" s="222">
        <v>63.5</v>
      </c>
      <c r="G27" s="222">
        <v>64.099999999999994</v>
      </c>
      <c r="H27" s="222">
        <f>64.1-63.5</f>
        <v>0.59999999999999432</v>
      </c>
      <c r="I27" s="207">
        <f t="shared" si="11"/>
        <v>4724.4094488188975</v>
      </c>
      <c r="J27" s="161">
        <f t="shared" si="12"/>
        <v>2834.6456692913116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44911</v>
      </c>
      <c r="D28" s="161" t="s">
        <v>9</v>
      </c>
      <c r="E28" s="161" t="s">
        <v>85</v>
      </c>
      <c r="F28" s="222">
        <v>828</v>
      </c>
      <c r="G28" s="222">
        <v>831.35</v>
      </c>
      <c r="H28" s="222">
        <f>831.35-828</f>
        <v>3.3500000000000227</v>
      </c>
      <c r="I28" s="207">
        <f t="shared" si="11"/>
        <v>362.31884057971013</v>
      </c>
      <c r="J28" s="161">
        <f t="shared" si="12"/>
        <v>1213.7681159420372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44911</v>
      </c>
      <c r="D29" s="161" t="s">
        <v>8</v>
      </c>
      <c r="E29" s="161" t="s">
        <v>94</v>
      </c>
      <c r="F29" s="222">
        <v>1612</v>
      </c>
      <c r="G29" s="222">
        <v>1625</v>
      </c>
      <c r="H29" s="222">
        <v>-13</v>
      </c>
      <c r="I29" s="207">
        <f t="shared" si="11"/>
        <v>186.10421836228286</v>
      </c>
      <c r="J29" s="161">
        <f t="shared" si="12"/>
        <v>-2419.3548387096771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44914</v>
      </c>
      <c r="D30" s="161" t="s">
        <v>9</v>
      </c>
      <c r="E30" s="161" t="s">
        <v>95</v>
      </c>
      <c r="F30" s="222">
        <v>908</v>
      </c>
      <c r="G30" s="222">
        <v>907</v>
      </c>
      <c r="H30" s="222">
        <v>-1</v>
      </c>
      <c r="I30" s="207">
        <f t="shared" ref="I30:I49" si="16">300000/F30</f>
        <v>330.39647577092512</v>
      </c>
      <c r="J30" s="161">
        <f t="shared" ref="J30:J49" si="17">H30*I30</f>
        <v>-330.39647577092512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44914</v>
      </c>
      <c r="D31" s="161" t="s">
        <v>8</v>
      </c>
      <c r="E31" s="161" t="s">
        <v>4047</v>
      </c>
      <c r="F31" s="223">
        <v>310</v>
      </c>
      <c r="G31" s="222">
        <v>305.8</v>
      </c>
      <c r="H31" s="255">
        <f>310-305.8</f>
        <v>4.1999999999999886</v>
      </c>
      <c r="I31" s="207">
        <f t="shared" si="16"/>
        <v>967.74193548387098</v>
      </c>
      <c r="J31" s="161">
        <f t="shared" si="17"/>
        <v>4064.5161290322471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44915</v>
      </c>
      <c r="D32" s="161" t="s">
        <v>9</v>
      </c>
      <c r="E32" s="161" t="s">
        <v>94</v>
      </c>
      <c r="F32" s="222">
        <v>1635</v>
      </c>
      <c r="G32" s="222">
        <v>1636</v>
      </c>
      <c r="H32" s="222">
        <v>1</v>
      </c>
      <c r="I32" s="207">
        <f t="shared" si="16"/>
        <v>183.48623853211009</v>
      </c>
      <c r="J32" s="161">
        <f t="shared" si="17"/>
        <v>183.48623853211009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44915</v>
      </c>
      <c r="D33" s="161" t="s">
        <v>8</v>
      </c>
      <c r="E33" s="161" t="s">
        <v>3651</v>
      </c>
      <c r="F33" s="223">
        <v>1838</v>
      </c>
      <c r="G33" s="222">
        <v>1858</v>
      </c>
      <c r="H33" s="255">
        <v>-20</v>
      </c>
      <c r="I33" s="207">
        <f t="shared" si="16"/>
        <v>163.22089227421111</v>
      </c>
      <c r="J33" s="161">
        <f t="shared" si="17"/>
        <v>-3264.4178454842222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44916</v>
      </c>
      <c r="D34" s="161" t="s">
        <v>9</v>
      </c>
      <c r="E34" s="161" t="s">
        <v>982</v>
      </c>
      <c r="F34" s="222">
        <v>888</v>
      </c>
      <c r="G34" s="222">
        <v>878</v>
      </c>
      <c r="H34" s="222">
        <v>-1</v>
      </c>
      <c r="I34" s="207">
        <f t="shared" si="16"/>
        <v>337.83783783783781</v>
      </c>
      <c r="J34" s="161">
        <f t="shared" si="17"/>
        <v>-337.83783783783781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44916</v>
      </c>
      <c r="D35" s="161" t="s">
        <v>9</v>
      </c>
      <c r="E35" s="161" t="s">
        <v>175</v>
      </c>
      <c r="F35" s="222">
        <v>450</v>
      </c>
      <c r="G35" s="222">
        <v>456.8</v>
      </c>
      <c r="H35" s="222">
        <v>6.8</v>
      </c>
      <c r="I35" s="207">
        <f t="shared" si="16"/>
        <v>666.66666666666663</v>
      </c>
      <c r="J35" s="161">
        <f t="shared" si="17"/>
        <v>4533.333333333333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44917</v>
      </c>
      <c r="D36" s="161" t="s">
        <v>9</v>
      </c>
      <c r="E36" s="161" t="s">
        <v>578</v>
      </c>
      <c r="F36" s="222">
        <v>1525</v>
      </c>
      <c r="G36" s="222">
        <v>1530</v>
      </c>
      <c r="H36" s="222">
        <v>5</v>
      </c>
      <c r="I36" s="207">
        <f t="shared" si="16"/>
        <v>196.72131147540983</v>
      </c>
      <c r="J36" s="161">
        <f t="shared" si="17"/>
        <v>983.60655737704917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44917</v>
      </c>
      <c r="D37" s="161" t="s">
        <v>8</v>
      </c>
      <c r="E37" s="161" t="s">
        <v>3188</v>
      </c>
      <c r="F37" s="222">
        <v>1215</v>
      </c>
      <c r="G37" s="222">
        <v>1225</v>
      </c>
      <c r="H37" s="222">
        <v>-10</v>
      </c>
      <c r="I37" s="207">
        <f t="shared" si="16"/>
        <v>246.91358024691357</v>
      </c>
      <c r="J37" s="161">
        <f t="shared" si="17"/>
        <v>-2469.1358024691358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44918</v>
      </c>
      <c r="D38" s="161" t="s">
        <v>8</v>
      </c>
      <c r="E38" s="161" t="s">
        <v>19</v>
      </c>
      <c r="F38" s="222">
        <v>582</v>
      </c>
      <c r="G38" s="222">
        <v>574</v>
      </c>
      <c r="H38" s="222">
        <f>582-574</f>
        <v>8</v>
      </c>
      <c r="I38" s="207">
        <f t="shared" si="16"/>
        <v>515.46391752577324</v>
      </c>
      <c r="J38" s="161">
        <f t="shared" si="17"/>
        <v>4123.7113402061859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44918</v>
      </c>
      <c r="D39" s="161" t="s">
        <v>8</v>
      </c>
      <c r="E39" s="161" t="s">
        <v>14</v>
      </c>
      <c r="F39" s="222">
        <v>872</v>
      </c>
      <c r="G39" s="222">
        <v>866</v>
      </c>
      <c r="H39" s="222">
        <f>872-866</f>
        <v>6</v>
      </c>
      <c r="I39" s="207">
        <f t="shared" si="16"/>
        <v>344.0366972477064</v>
      </c>
      <c r="J39" s="161">
        <f t="shared" si="17"/>
        <v>2064.2201834862385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44921</v>
      </c>
      <c r="D40" s="161" t="s">
        <v>9</v>
      </c>
      <c r="E40" s="161" t="s">
        <v>1847</v>
      </c>
      <c r="F40" s="222">
        <v>519</v>
      </c>
      <c r="G40" s="222">
        <v>521.5</v>
      </c>
      <c r="H40" s="222">
        <v>2.5</v>
      </c>
      <c r="I40" s="207">
        <f t="shared" si="16"/>
        <v>578.03468208092488</v>
      </c>
      <c r="J40" s="161">
        <f t="shared" si="17"/>
        <v>1445.0867052023123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44921</v>
      </c>
      <c r="D41" s="161" t="s">
        <v>9</v>
      </c>
      <c r="E41" s="161" t="s">
        <v>3942</v>
      </c>
      <c r="F41" s="222">
        <v>1512</v>
      </c>
      <c r="G41" s="223">
        <v>1540</v>
      </c>
      <c r="H41" s="222">
        <f>1540-1512</f>
        <v>28</v>
      </c>
      <c r="I41" s="207">
        <f t="shared" si="16"/>
        <v>198.4126984126984</v>
      </c>
      <c r="J41" s="161">
        <f t="shared" si="17"/>
        <v>5555.5555555555557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44922</v>
      </c>
      <c r="D42" s="161" t="s">
        <v>9</v>
      </c>
      <c r="E42" s="161" t="s">
        <v>1361</v>
      </c>
      <c r="F42" s="222">
        <v>898</v>
      </c>
      <c r="G42" s="222">
        <v>902</v>
      </c>
      <c r="H42" s="222">
        <f>902-898</f>
        <v>4</v>
      </c>
      <c r="I42" s="207">
        <f t="shared" si="16"/>
        <v>334.07572383073494</v>
      </c>
      <c r="J42" s="161">
        <f t="shared" si="17"/>
        <v>1336.3028953229398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44922</v>
      </c>
      <c r="D43" s="161" t="s">
        <v>9</v>
      </c>
      <c r="E43" s="161" t="s">
        <v>365</v>
      </c>
      <c r="F43" s="222">
        <v>753</v>
      </c>
      <c r="G43" s="222">
        <v>768</v>
      </c>
      <c r="H43" s="222">
        <f>768-753</f>
        <v>15</v>
      </c>
      <c r="I43" s="207">
        <f t="shared" si="16"/>
        <v>398.40637450199205</v>
      </c>
      <c r="J43" s="161">
        <f t="shared" si="17"/>
        <v>5976.0956175298807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44923</v>
      </c>
      <c r="D44" s="161" t="s">
        <v>9</v>
      </c>
      <c r="E44" s="161" t="s">
        <v>3706</v>
      </c>
      <c r="F44" s="222">
        <v>538</v>
      </c>
      <c r="G44" s="222">
        <v>548</v>
      </c>
      <c r="H44" s="222">
        <v>10</v>
      </c>
      <c r="I44" s="207">
        <f t="shared" si="16"/>
        <v>557.62081784386612</v>
      </c>
      <c r="J44" s="161">
        <f t="shared" si="17"/>
        <v>5576.208178438661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44923</v>
      </c>
      <c r="D45" s="161" t="s">
        <v>9</v>
      </c>
      <c r="E45" s="161" t="s">
        <v>107</v>
      </c>
      <c r="F45" s="222">
        <v>3570</v>
      </c>
      <c r="G45" s="222">
        <v>3600</v>
      </c>
      <c r="H45" s="222">
        <f>3600-3570</f>
        <v>30</v>
      </c>
      <c r="I45" s="207">
        <f t="shared" si="16"/>
        <v>84.033613445378151</v>
      </c>
      <c r="J45" s="161">
        <f t="shared" si="17"/>
        <v>2521.0084033613443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44924</v>
      </c>
      <c r="D46" s="161" t="s">
        <v>9</v>
      </c>
      <c r="E46" s="161" t="s">
        <v>299</v>
      </c>
      <c r="F46" s="222">
        <v>3800</v>
      </c>
      <c r="G46" s="222">
        <v>3760</v>
      </c>
      <c r="H46" s="222">
        <v>-40</v>
      </c>
      <c r="I46" s="207">
        <f t="shared" si="16"/>
        <v>78.94736842105263</v>
      </c>
      <c r="J46" s="161">
        <f t="shared" si="17"/>
        <v>-3157.894736842105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44924</v>
      </c>
      <c r="D47" s="161" t="s">
        <v>9</v>
      </c>
      <c r="E47" s="161" t="s">
        <v>25</v>
      </c>
      <c r="F47" s="222">
        <v>110.5</v>
      </c>
      <c r="G47" s="222">
        <v>111.7</v>
      </c>
      <c r="H47" s="222">
        <f>111.7-110.5</f>
        <v>1.2000000000000028</v>
      </c>
      <c r="I47" s="207">
        <f t="shared" si="16"/>
        <v>2714.9321266968327</v>
      </c>
      <c r="J47" s="161">
        <f t="shared" si="17"/>
        <v>3257.9185520362071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44925</v>
      </c>
      <c r="D48" s="161" t="s">
        <v>9</v>
      </c>
      <c r="E48" s="161" t="s">
        <v>2298</v>
      </c>
      <c r="F48" s="222">
        <v>2125</v>
      </c>
      <c r="G48" s="222">
        <v>2160</v>
      </c>
      <c r="H48" s="222">
        <f>2160-2125</f>
        <v>35</v>
      </c>
      <c r="I48" s="207">
        <f t="shared" si="16"/>
        <v>141.1764705882353</v>
      </c>
      <c r="J48" s="161">
        <f t="shared" si="17"/>
        <v>4941.176470588236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44925</v>
      </c>
      <c r="D49" s="161" t="s">
        <v>9</v>
      </c>
      <c r="E49" s="161" t="s">
        <v>19</v>
      </c>
      <c r="F49" s="222">
        <v>619</v>
      </c>
      <c r="G49" s="222">
        <v>613</v>
      </c>
      <c r="H49" s="222">
        <v>-6</v>
      </c>
      <c r="I49" s="207">
        <f t="shared" si="16"/>
        <v>484.65266558966073</v>
      </c>
      <c r="J49" s="161">
        <f t="shared" si="17"/>
        <v>-2907.9159935379644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73290.937993658707</v>
      </c>
      <c r="K52" s="153"/>
      <c r="V52" s="25">
        <f>SUM(V6:V51)</f>
        <v>34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4020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44896</v>
      </c>
      <c r="D60" s="161" t="s">
        <v>9</v>
      </c>
      <c r="E60" s="161" t="s">
        <v>982</v>
      </c>
      <c r="F60" s="222">
        <v>892</v>
      </c>
      <c r="G60" s="222">
        <v>904</v>
      </c>
      <c r="H60" s="222">
        <f>904-892</f>
        <v>12</v>
      </c>
      <c r="I60" s="207">
        <v>625</v>
      </c>
      <c r="J60" s="241">
        <f t="shared" ref="J60:J85" si="18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44897</v>
      </c>
      <c r="D61" s="161" t="s">
        <v>9</v>
      </c>
      <c r="E61" s="161" t="s">
        <v>3476</v>
      </c>
      <c r="F61" s="222">
        <v>1950</v>
      </c>
      <c r="G61" s="222">
        <v>1990</v>
      </c>
      <c r="H61" s="222">
        <v>40</v>
      </c>
      <c r="I61" s="207">
        <v>275</v>
      </c>
      <c r="J61" s="242">
        <f t="shared" si="18"/>
        <v>11000</v>
      </c>
      <c r="K61" s="153"/>
      <c r="O61" s="25" t="s">
        <v>2008</v>
      </c>
      <c r="V61" s="25">
        <f t="shared" ref="V61:V85" si="19">IF($J61&gt;0,1,0)</f>
        <v>1</v>
      </c>
      <c r="W61" s="25">
        <f t="shared" ref="W61:W85" si="20">IF($J61&lt;0,1,0)</f>
        <v>0</v>
      </c>
    </row>
    <row r="62" spans="1:23" x14ac:dyDescent="0.3">
      <c r="A62" s="147"/>
      <c r="B62" s="205">
        <f t="shared" ref="B62:B82" si="21">B61+1</f>
        <v>3</v>
      </c>
      <c r="C62" s="206">
        <v>44900</v>
      </c>
      <c r="D62" s="161" t="s">
        <v>9</v>
      </c>
      <c r="E62" s="161" t="s">
        <v>800</v>
      </c>
      <c r="F62" s="222">
        <v>1750</v>
      </c>
      <c r="G62" s="222">
        <v>1773.5</v>
      </c>
      <c r="H62" s="222">
        <f>1773.5-1750</f>
        <v>23.5</v>
      </c>
      <c r="I62" s="207">
        <v>400</v>
      </c>
      <c r="J62" s="242">
        <f t="shared" si="18"/>
        <v>9400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44901</v>
      </c>
      <c r="D63" s="161" t="s">
        <v>9</v>
      </c>
      <c r="E63" s="161" t="s">
        <v>3515</v>
      </c>
      <c r="F63" s="222">
        <v>2805</v>
      </c>
      <c r="G63" s="222">
        <v>2825</v>
      </c>
      <c r="H63" s="222">
        <v>20</v>
      </c>
      <c r="I63" s="207">
        <v>475</v>
      </c>
      <c r="J63" s="242">
        <f>I63*H63</f>
        <v>9500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44902</v>
      </c>
      <c r="D64" s="161" t="s">
        <v>9</v>
      </c>
      <c r="E64" s="161" t="s">
        <v>4030</v>
      </c>
      <c r="F64" s="222">
        <v>175.5</v>
      </c>
      <c r="G64" s="222">
        <v>177.5</v>
      </c>
      <c r="H64" s="222">
        <v>2</v>
      </c>
      <c r="I64" s="207">
        <v>5850</v>
      </c>
      <c r="J64" s="242">
        <f>I64*H64</f>
        <v>11700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44903</v>
      </c>
      <c r="D65" s="161" t="s">
        <v>9</v>
      </c>
      <c r="E65" s="161" t="s">
        <v>3436</v>
      </c>
      <c r="F65" s="222">
        <v>715</v>
      </c>
      <c r="G65" s="222">
        <v>720.25</v>
      </c>
      <c r="H65" s="222">
        <f>720.25-715</f>
        <v>5.25</v>
      </c>
      <c r="I65" s="207">
        <v>875</v>
      </c>
      <c r="J65" s="242">
        <f>I65*H65</f>
        <v>4593.75</v>
      </c>
      <c r="K65" s="153"/>
      <c r="V65" s="25">
        <f t="shared" si="19"/>
        <v>1</v>
      </c>
      <c r="W65" s="25">
        <f t="shared" si="20"/>
        <v>0</v>
      </c>
    </row>
    <row r="66" spans="1:23" x14ac:dyDescent="0.3">
      <c r="A66" s="147"/>
      <c r="B66" s="205">
        <f t="shared" si="21"/>
        <v>7</v>
      </c>
      <c r="C66" s="206">
        <v>44904</v>
      </c>
      <c r="D66" s="161" t="s">
        <v>9</v>
      </c>
      <c r="E66" s="161" t="s">
        <v>16</v>
      </c>
      <c r="F66" s="222">
        <v>2615</v>
      </c>
      <c r="G66" s="222">
        <v>2642.5</v>
      </c>
      <c r="H66" s="222">
        <f>2642.5-2615</f>
        <v>27.5</v>
      </c>
      <c r="I66" s="207">
        <v>375</v>
      </c>
      <c r="J66" s="242">
        <f t="shared" si="18"/>
        <v>10312.5</v>
      </c>
      <c r="K66" s="153"/>
      <c r="V66" s="25">
        <f t="shared" si="19"/>
        <v>1</v>
      </c>
      <c r="W66" s="25">
        <f t="shared" si="20"/>
        <v>0</v>
      </c>
    </row>
    <row r="67" spans="1:23" x14ac:dyDescent="0.3">
      <c r="A67" s="147"/>
      <c r="B67" s="205">
        <f t="shared" si="21"/>
        <v>8</v>
      </c>
      <c r="C67" s="206">
        <v>44907</v>
      </c>
      <c r="D67" s="161" t="s">
        <v>9</v>
      </c>
      <c r="E67" s="161" t="s">
        <v>112</v>
      </c>
      <c r="F67" s="222">
        <v>264.5</v>
      </c>
      <c r="G67" s="222">
        <v>265.5</v>
      </c>
      <c r="H67" s="222">
        <v>1</v>
      </c>
      <c r="I67" s="207">
        <v>3000</v>
      </c>
      <c r="J67" s="242">
        <f>I67*H67</f>
        <v>3000</v>
      </c>
      <c r="K67" s="153"/>
      <c r="V67" s="25">
        <f t="shared" si="19"/>
        <v>1</v>
      </c>
      <c r="W67" s="25">
        <f t="shared" si="20"/>
        <v>0</v>
      </c>
    </row>
    <row r="68" spans="1:23" x14ac:dyDescent="0.3">
      <c r="A68" s="147"/>
      <c r="B68" s="205">
        <f t="shared" si="21"/>
        <v>9</v>
      </c>
      <c r="C68" s="206">
        <v>44908</v>
      </c>
      <c r="D68" s="161" t="s">
        <v>8</v>
      </c>
      <c r="E68" s="161" t="s">
        <v>4037</v>
      </c>
      <c r="F68" s="222">
        <v>555</v>
      </c>
      <c r="G68" s="222">
        <v>545</v>
      </c>
      <c r="H68" s="222">
        <v>10</v>
      </c>
      <c r="I68" s="207">
        <v>975</v>
      </c>
      <c r="J68" s="242">
        <f>I68*H68</f>
        <v>9750</v>
      </c>
      <c r="K68" s="153"/>
      <c r="V68" s="25">
        <f t="shared" si="19"/>
        <v>1</v>
      </c>
      <c r="W68" s="25">
        <f t="shared" si="20"/>
        <v>0</v>
      </c>
    </row>
    <row r="69" spans="1:23" x14ac:dyDescent="0.3">
      <c r="A69" s="147"/>
      <c r="B69" s="205">
        <f t="shared" si="21"/>
        <v>10</v>
      </c>
      <c r="C69" s="206">
        <v>44909</v>
      </c>
      <c r="D69" s="161" t="s">
        <v>9</v>
      </c>
      <c r="E69" s="161" t="s">
        <v>3248</v>
      </c>
      <c r="F69" s="222">
        <v>1320</v>
      </c>
      <c r="G69" s="222">
        <v>1339.5</v>
      </c>
      <c r="H69" s="222">
        <f>1339.5-1320</f>
        <v>19.5</v>
      </c>
      <c r="I69" s="207">
        <v>325</v>
      </c>
      <c r="J69" s="242">
        <f>I69*H69</f>
        <v>6337.5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44910</v>
      </c>
      <c r="D70" s="161" t="s">
        <v>9</v>
      </c>
      <c r="E70" s="161" t="s">
        <v>365</v>
      </c>
      <c r="F70" s="161">
        <v>763</v>
      </c>
      <c r="G70" s="222">
        <v>755</v>
      </c>
      <c r="H70" s="222">
        <v>-8</v>
      </c>
      <c r="I70" s="207">
        <v>1350</v>
      </c>
      <c r="J70" s="242">
        <f t="shared" si="18"/>
        <v>-10800</v>
      </c>
      <c r="K70" s="153"/>
      <c r="V70" s="25">
        <f t="shared" si="19"/>
        <v>0</v>
      </c>
      <c r="W70" s="25">
        <f t="shared" si="20"/>
        <v>1</v>
      </c>
    </row>
    <row r="71" spans="1:23" x14ac:dyDescent="0.3">
      <c r="A71" s="147"/>
      <c r="B71" s="205">
        <f t="shared" si="21"/>
        <v>12</v>
      </c>
      <c r="C71" s="206">
        <v>44911</v>
      </c>
      <c r="D71" s="161" t="s">
        <v>9</v>
      </c>
      <c r="E71" s="161" t="s">
        <v>3262</v>
      </c>
      <c r="F71" s="222">
        <v>3320</v>
      </c>
      <c r="G71" s="222">
        <v>3350</v>
      </c>
      <c r="H71" s="222">
        <v>30</v>
      </c>
      <c r="I71" s="207">
        <v>175</v>
      </c>
      <c r="J71" s="242">
        <f t="shared" si="18"/>
        <v>5250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44914</v>
      </c>
      <c r="D72" s="161" t="s">
        <v>9</v>
      </c>
      <c r="E72" s="161" t="s">
        <v>365</v>
      </c>
      <c r="F72" s="222">
        <v>747</v>
      </c>
      <c r="G72" s="222">
        <v>751</v>
      </c>
      <c r="H72" s="222">
        <f>751-747</f>
        <v>4</v>
      </c>
      <c r="I72" s="207">
        <v>1350</v>
      </c>
      <c r="J72" s="242">
        <f t="shared" ref="J72:J75" si="22">I72*H72</f>
        <v>5400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44915</v>
      </c>
      <c r="D73" s="161" t="s">
        <v>9</v>
      </c>
      <c r="E73" s="161" t="s">
        <v>299</v>
      </c>
      <c r="F73" s="223">
        <v>4105</v>
      </c>
      <c r="G73" s="222">
        <v>4164.8500000000004</v>
      </c>
      <c r="H73" s="255">
        <v>59.85</v>
      </c>
      <c r="I73" s="207">
        <v>250</v>
      </c>
      <c r="J73" s="242">
        <f t="shared" si="22"/>
        <v>14962.5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44916</v>
      </c>
      <c r="D74" s="161" t="s">
        <v>9</v>
      </c>
      <c r="E74" s="161" t="s">
        <v>3445</v>
      </c>
      <c r="F74" s="222">
        <v>2765</v>
      </c>
      <c r="G74" s="222">
        <v>2740</v>
      </c>
      <c r="H74" s="222">
        <v>-25</v>
      </c>
      <c r="I74" s="207">
        <v>650</v>
      </c>
      <c r="J74" s="242">
        <f t="shared" si="22"/>
        <v>-16250</v>
      </c>
      <c r="K74" s="153"/>
      <c r="V74" s="25">
        <f t="shared" si="19"/>
        <v>0</v>
      </c>
      <c r="W74" s="25">
        <f t="shared" si="20"/>
        <v>1</v>
      </c>
    </row>
    <row r="75" spans="1:23" x14ac:dyDescent="0.3">
      <c r="A75" s="147"/>
      <c r="B75" s="205">
        <f t="shared" si="21"/>
        <v>16</v>
      </c>
      <c r="C75" s="206">
        <v>44917</v>
      </c>
      <c r="D75" s="161" t="s">
        <v>9</v>
      </c>
      <c r="E75" s="161" t="s">
        <v>578</v>
      </c>
      <c r="F75" s="223">
        <v>1527</v>
      </c>
      <c r="G75" s="222">
        <v>1532</v>
      </c>
      <c r="H75" s="255">
        <f>1532-1527</f>
        <v>5</v>
      </c>
      <c r="I75" s="207">
        <v>300</v>
      </c>
      <c r="J75" s="242">
        <f t="shared" si="22"/>
        <v>1500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44918</v>
      </c>
      <c r="D76" s="161" t="s">
        <v>9</v>
      </c>
      <c r="E76" s="161" t="s">
        <v>3515</v>
      </c>
      <c r="F76" s="222">
        <v>2505</v>
      </c>
      <c r="G76" s="222">
        <v>2525</v>
      </c>
      <c r="H76" s="222">
        <f>2525-2505</f>
        <v>20</v>
      </c>
      <c r="I76" s="207">
        <v>475</v>
      </c>
      <c r="J76" s="242">
        <f t="shared" si="18"/>
        <v>9500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44921</v>
      </c>
      <c r="D77" s="161" t="s">
        <v>9</v>
      </c>
      <c r="E77" s="161" t="s">
        <v>552</v>
      </c>
      <c r="F77" s="222">
        <v>1170</v>
      </c>
      <c r="G77" s="222">
        <v>1190</v>
      </c>
      <c r="H77" s="222">
        <v>20</v>
      </c>
      <c r="I77" s="207">
        <v>450</v>
      </c>
      <c r="J77" s="242">
        <f t="shared" si="18"/>
        <v>9000</v>
      </c>
      <c r="K77" s="153"/>
      <c r="V77" s="25">
        <f t="shared" si="19"/>
        <v>1</v>
      </c>
      <c r="W77" s="25">
        <f t="shared" si="20"/>
        <v>0</v>
      </c>
    </row>
    <row r="78" spans="1:23" x14ac:dyDescent="0.3">
      <c r="A78" s="147"/>
      <c r="B78" s="205">
        <f t="shared" si="21"/>
        <v>19</v>
      </c>
      <c r="C78" s="206">
        <v>44922</v>
      </c>
      <c r="D78" s="161" t="s">
        <v>8</v>
      </c>
      <c r="E78" s="161" t="s">
        <v>26</v>
      </c>
      <c r="F78" s="223">
        <v>370</v>
      </c>
      <c r="G78" s="222">
        <v>367.65</v>
      </c>
      <c r="H78" s="255">
        <f>370-367.65</f>
        <v>2.3500000000000227</v>
      </c>
      <c r="I78" s="207">
        <v>1650</v>
      </c>
      <c r="J78" s="242">
        <f t="shared" si="18"/>
        <v>3877.5000000000373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44923</v>
      </c>
      <c r="D79" s="161" t="s">
        <v>9</v>
      </c>
      <c r="E79" s="161" t="s">
        <v>549</v>
      </c>
      <c r="F79" s="222">
        <v>1052</v>
      </c>
      <c r="G79" s="222">
        <v>1072</v>
      </c>
      <c r="H79" s="222">
        <v>20</v>
      </c>
      <c r="I79" s="207">
        <v>700</v>
      </c>
      <c r="J79" s="242">
        <f t="shared" si="18"/>
        <v>14000</v>
      </c>
      <c r="K79" s="153"/>
      <c r="V79" s="25">
        <f t="shared" si="19"/>
        <v>1</v>
      </c>
      <c r="W79" s="25">
        <f t="shared" si="20"/>
        <v>0</v>
      </c>
    </row>
    <row r="80" spans="1:23" x14ac:dyDescent="0.3">
      <c r="A80" s="147"/>
      <c r="B80" s="205">
        <f t="shared" si="21"/>
        <v>21</v>
      </c>
      <c r="C80" s="206">
        <v>44924</v>
      </c>
      <c r="D80" s="161" t="s">
        <v>8</v>
      </c>
      <c r="E80" s="161" t="s">
        <v>95</v>
      </c>
      <c r="F80" s="222">
        <v>895</v>
      </c>
      <c r="G80" s="222">
        <v>889.25</v>
      </c>
      <c r="H80" s="222">
        <v>5.75</v>
      </c>
      <c r="I80" s="207">
        <v>1375</v>
      </c>
      <c r="J80" s="242">
        <f t="shared" si="18"/>
        <v>7906.25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>
        <v>44925</v>
      </c>
      <c r="D81" s="161" t="s">
        <v>9</v>
      </c>
      <c r="E81" s="161" t="s">
        <v>299</v>
      </c>
      <c r="F81" s="222">
        <v>3865</v>
      </c>
      <c r="G81" s="222">
        <v>3906</v>
      </c>
      <c r="H81" s="222">
        <f>3906-3865</f>
        <v>41</v>
      </c>
      <c r="I81" s="207">
        <v>250</v>
      </c>
      <c r="J81" s="242">
        <f t="shared" si="18"/>
        <v>10250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8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8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8"/>
        <v>0</v>
      </c>
      <c r="K85" s="153"/>
      <c r="V85" s="25">
        <f t="shared" si="19"/>
        <v>0</v>
      </c>
      <c r="W85" s="25">
        <f t="shared" si="20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137690.00000000006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4019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44896</v>
      </c>
      <c r="D94" s="185" t="s">
        <v>9</v>
      </c>
      <c r="E94" s="185" t="s">
        <v>39</v>
      </c>
      <c r="F94" s="219">
        <v>18950</v>
      </c>
      <c r="G94" s="219">
        <v>18986</v>
      </c>
      <c r="H94" s="185">
        <v>36</v>
      </c>
      <c r="I94" s="219">
        <v>150</v>
      </c>
      <c r="J94" s="246">
        <f t="shared" ref="J94:J116" si="23">I94*H94</f>
        <v>5400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44897</v>
      </c>
      <c r="D95" s="185" t="s">
        <v>8</v>
      </c>
      <c r="E95" s="185" t="s">
        <v>39</v>
      </c>
      <c r="F95" s="219">
        <v>18860</v>
      </c>
      <c r="G95" s="219">
        <v>18780</v>
      </c>
      <c r="H95" s="185">
        <v>80</v>
      </c>
      <c r="I95" s="219">
        <v>150</v>
      </c>
      <c r="J95" s="242">
        <f t="shared" si="23"/>
        <v>12000</v>
      </c>
      <c r="K95" s="153"/>
      <c r="V95" s="25">
        <f t="shared" ref="V95:V116" si="24">IF($J95&gt;0,1,0)</f>
        <v>1</v>
      </c>
      <c r="W95" s="25">
        <f t="shared" ref="W95:W116" si="25">IF($J95&lt;0,1,0)</f>
        <v>0</v>
      </c>
    </row>
    <row r="96" spans="1:23" x14ac:dyDescent="0.3">
      <c r="A96" s="147"/>
      <c r="B96" s="205">
        <f t="shared" ref="B96:B116" si="26">B95+1</f>
        <v>3</v>
      </c>
      <c r="C96" s="206">
        <v>44900</v>
      </c>
      <c r="D96" s="161" t="s">
        <v>8</v>
      </c>
      <c r="E96" s="161" t="s">
        <v>39</v>
      </c>
      <c r="F96" s="207">
        <v>18790</v>
      </c>
      <c r="G96" s="207">
        <v>18710</v>
      </c>
      <c r="H96" s="161">
        <v>80</v>
      </c>
      <c r="I96" s="207">
        <v>150</v>
      </c>
      <c r="J96" s="242">
        <f t="shared" si="23"/>
        <v>12000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4</v>
      </c>
      <c r="C97" s="206">
        <v>44901</v>
      </c>
      <c r="D97" s="161" t="s">
        <v>9</v>
      </c>
      <c r="E97" s="161" t="s">
        <v>39</v>
      </c>
      <c r="F97" s="207">
        <v>18720</v>
      </c>
      <c r="G97" s="207">
        <v>18790</v>
      </c>
      <c r="H97" s="161">
        <v>70</v>
      </c>
      <c r="I97" s="207">
        <v>150</v>
      </c>
      <c r="J97" s="242">
        <f t="shared" si="23"/>
        <v>10500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5</v>
      </c>
      <c r="C98" s="206">
        <v>44902</v>
      </c>
      <c r="D98" s="161" t="s">
        <v>9</v>
      </c>
      <c r="E98" s="161" t="s">
        <v>39</v>
      </c>
      <c r="F98" s="207">
        <v>18720</v>
      </c>
      <c r="G98" s="207">
        <v>18774</v>
      </c>
      <c r="H98" s="161">
        <f>18774-18720</f>
        <v>54</v>
      </c>
      <c r="I98" s="207">
        <v>150</v>
      </c>
      <c r="J98" s="242">
        <f t="shared" si="23"/>
        <v>8100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6</v>
      </c>
      <c r="C99" s="206">
        <v>44903</v>
      </c>
      <c r="D99" s="161" t="s">
        <v>9</v>
      </c>
      <c r="E99" s="161" t="s">
        <v>39</v>
      </c>
      <c r="F99" s="207">
        <v>18670</v>
      </c>
      <c r="G99" s="207">
        <v>18724</v>
      </c>
      <c r="H99" s="161">
        <f>18724-18670</f>
        <v>54</v>
      </c>
      <c r="I99" s="207">
        <v>150</v>
      </c>
      <c r="J99" s="242">
        <f t="shared" si="23"/>
        <v>8100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7</v>
      </c>
      <c r="C100" s="206">
        <v>44904</v>
      </c>
      <c r="D100" s="161" t="s">
        <v>8</v>
      </c>
      <c r="E100" s="161" t="s">
        <v>39</v>
      </c>
      <c r="F100" s="207">
        <v>18690</v>
      </c>
      <c r="G100" s="207">
        <v>18610</v>
      </c>
      <c r="H100" s="161">
        <f>18690-18610</f>
        <v>80</v>
      </c>
      <c r="I100" s="207">
        <v>150</v>
      </c>
      <c r="J100" s="242">
        <f t="shared" si="23"/>
        <v>12000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8</v>
      </c>
      <c r="C101" s="206">
        <v>44907</v>
      </c>
      <c r="D101" s="161" t="s">
        <v>9</v>
      </c>
      <c r="E101" s="161" t="s">
        <v>39</v>
      </c>
      <c r="F101" s="207">
        <v>18590</v>
      </c>
      <c r="G101" s="207">
        <v>18630</v>
      </c>
      <c r="H101" s="161">
        <f>18630-18590</f>
        <v>40</v>
      </c>
      <c r="I101" s="207">
        <v>150</v>
      </c>
      <c r="J101" s="242">
        <f t="shared" si="23"/>
        <v>6000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9</v>
      </c>
      <c r="C102" s="206">
        <v>44908</v>
      </c>
      <c r="D102" s="161" t="s">
        <v>9</v>
      </c>
      <c r="E102" s="161" t="s">
        <v>39</v>
      </c>
      <c r="F102" s="207">
        <v>18620</v>
      </c>
      <c r="G102" s="207">
        <v>18700</v>
      </c>
      <c r="H102" s="161">
        <f>18700-18620</f>
        <v>80</v>
      </c>
      <c r="I102" s="207">
        <v>150</v>
      </c>
      <c r="J102" s="242">
        <f t="shared" si="23"/>
        <v>12000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10</v>
      </c>
      <c r="C103" s="206">
        <v>44909</v>
      </c>
      <c r="D103" s="161" t="s">
        <v>9</v>
      </c>
      <c r="E103" s="161" t="s">
        <v>39</v>
      </c>
      <c r="F103" s="207">
        <v>18790</v>
      </c>
      <c r="G103" s="207">
        <v>18805</v>
      </c>
      <c r="H103" s="161">
        <f>18805-18790</f>
        <v>15</v>
      </c>
      <c r="I103" s="207">
        <v>150</v>
      </c>
      <c r="J103" s="242">
        <f t="shared" si="23"/>
        <v>2250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11</v>
      </c>
      <c r="C104" s="206">
        <v>44910</v>
      </c>
      <c r="D104" s="161" t="s">
        <v>8</v>
      </c>
      <c r="E104" s="161" t="s">
        <v>39</v>
      </c>
      <c r="F104" s="207">
        <v>18660</v>
      </c>
      <c r="G104" s="207">
        <v>18580</v>
      </c>
      <c r="H104" s="161">
        <f>18660-18580</f>
        <v>80</v>
      </c>
      <c r="I104" s="207">
        <v>150</v>
      </c>
      <c r="J104" s="242">
        <f t="shared" si="23"/>
        <v>12000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12</v>
      </c>
      <c r="C105" s="206">
        <v>44911</v>
      </c>
      <c r="D105" s="161" t="s">
        <v>9</v>
      </c>
      <c r="E105" s="161" t="s">
        <v>39</v>
      </c>
      <c r="F105" s="207">
        <v>18460</v>
      </c>
      <c r="G105" s="207">
        <v>18488</v>
      </c>
      <c r="H105" s="161">
        <f>18488-18460</f>
        <v>28</v>
      </c>
      <c r="I105" s="207">
        <v>150</v>
      </c>
      <c r="J105" s="242">
        <f t="shared" si="23"/>
        <v>4200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13</v>
      </c>
      <c r="C106" s="206">
        <v>44914</v>
      </c>
      <c r="D106" s="161" t="s">
        <v>9</v>
      </c>
      <c r="E106" s="161" t="s">
        <v>39</v>
      </c>
      <c r="F106" s="207">
        <v>18400</v>
      </c>
      <c r="G106" s="207">
        <v>18480</v>
      </c>
      <c r="H106" s="161">
        <v>80</v>
      </c>
      <c r="I106" s="207">
        <v>150</v>
      </c>
      <c r="J106" s="242">
        <f t="shared" si="23"/>
        <v>12000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14</v>
      </c>
      <c r="C107" s="206">
        <v>44915</v>
      </c>
      <c r="D107" s="161" t="s">
        <v>8</v>
      </c>
      <c r="E107" s="161" t="s">
        <v>39</v>
      </c>
      <c r="F107" s="207">
        <v>18270</v>
      </c>
      <c r="G107" s="207">
        <v>18232</v>
      </c>
      <c r="H107" s="161">
        <v>38</v>
      </c>
      <c r="I107" s="207">
        <v>150</v>
      </c>
      <c r="J107" s="242">
        <f t="shared" si="23"/>
        <v>5700</v>
      </c>
      <c r="K107" s="153"/>
      <c r="V107" s="25">
        <f t="shared" si="24"/>
        <v>1</v>
      </c>
      <c r="W107" s="25">
        <f t="shared" si="25"/>
        <v>0</v>
      </c>
    </row>
    <row r="108" spans="1:23" x14ac:dyDescent="0.3">
      <c r="A108" s="147"/>
      <c r="B108" s="205">
        <f t="shared" si="26"/>
        <v>15</v>
      </c>
      <c r="C108" s="206">
        <v>44916</v>
      </c>
      <c r="D108" s="161" t="s">
        <v>8</v>
      </c>
      <c r="E108" s="161" t="s">
        <v>39</v>
      </c>
      <c r="F108" s="207">
        <v>18480</v>
      </c>
      <c r="G108" s="207">
        <v>18400</v>
      </c>
      <c r="H108" s="161">
        <v>80</v>
      </c>
      <c r="I108" s="207">
        <v>150</v>
      </c>
      <c r="J108" s="242">
        <f t="shared" si="23"/>
        <v>12000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16</v>
      </c>
      <c r="C109" s="206">
        <v>44917</v>
      </c>
      <c r="D109" s="161" t="s">
        <v>8</v>
      </c>
      <c r="E109" s="161" t="s">
        <v>39</v>
      </c>
      <c r="F109" s="207">
        <v>18260</v>
      </c>
      <c r="G109" s="207">
        <v>18180</v>
      </c>
      <c r="H109" s="161">
        <v>80</v>
      </c>
      <c r="I109" s="207">
        <v>150</v>
      </c>
      <c r="J109" s="242">
        <f t="shared" si="23"/>
        <v>12000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17</v>
      </c>
      <c r="C110" s="206">
        <v>44918</v>
      </c>
      <c r="D110" s="161" t="s">
        <v>8</v>
      </c>
      <c r="E110" s="161" t="s">
        <v>39</v>
      </c>
      <c r="F110" s="207">
        <v>18050</v>
      </c>
      <c r="G110" s="207">
        <v>17970</v>
      </c>
      <c r="H110" s="161">
        <f>18050-17970</f>
        <v>80</v>
      </c>
      <c r="I110" s="207">
        <v>150</v>
      </c>
      <c r="J110" s="242">
        <f t="shared" si="23"/>
        <v>12000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18</v>
      </c>
      <c r="C111" s="206">
        <v>44921</v>
      </c>
      <c r="D111" s="161" t="s">
        <v>9</v>
      </c>
      <c r="E111" s="161" t="s">
        <v>39</v>
      </c>
      <c r="F111" s="207">
        <v>17930</v>
      </c>
      <c r="G111" s="207">
        <v>17988</v>
      </c>
      <c r="H111" s="161">
        <f>17988-17930</f>
        <v>58</v>
      </c>
      <c r="I111" s="207">
        <v>150</v>
      </c>
      <c r="J111" s="242">
        <f t="shared" si="23"/>
        <v>8700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19</v>
      </c>
      <c r="C112" s="206">
        <v>44922</v>
      </c>
      <c r="D112" s="161" t="s">
        <v>8</v>
      </c>
      <c r="E112" s="161" t="s">
        <v>39</v>
      </c>
      <c r="F112" s="207">
        <v>18000</v>
      </c>
      <c r="G112" s="207">
        <v>18040</v>
      </c>
      <c r="H112" s="161">
        <v>-40</v>
      </c>
      <c r="I112" s="207">
        <v>150</v>
      </c>
      <c r="J112" s="242">
        <f>I112*H112</f>
        <v>-6000</v>
      </c>
      <c r="K112" s="153"/>
      <c r="V112" s="25">
        <f t="shared" si="24"/>
        <v>0</v>
      </c>
      <c r="W112" s="25">
        <f t="shared" si="25"/>
        <v>1</v>
      </c>
    </row>
    <row r="113" spans="1:23" x14ac:dyDescent="0.3">
      <c r="A113" s="147"/>
      <c r="B113" s="205">
        <f t="shared" si="26"/>
        <v>20</v>
      </c>
      <c r="C113" s="206">
        <v>44923</v>
      </c>
      <c r="D113" s="161" t="s">
        <v>8</v>
      </c>
      <c r="E113" s="161" t="s">
        <v>39</v>
      </c>
      <c r="F113" s="207">
        <v>18110</v>
      </c>
      <c r="G113" s="207">
        <v>18150</v>
      </c>
      <c r="H113" s="161">
        <v>-40</v>
      </c>
      <c r="I113" s="207">
        <v>150</v>
      </c>
      <c r="J113" s="242">
        <f t="shared" si="23"/>
        <v>-6000</v>
      </c>
      <c r="K113" s="153"/>
      <c r="V113" s="25">
        <f t="shared" si="24"/>
        <v>0</v>
      </c>
      <c r="W113" s="25">
        <f t="shared" si="25"/>
        <v>1</v>
      </c>
    </row>
    <row r="114" spans="1:23" x14ac:dyDescent="0.3">
      <c r="A114" s="147"/>
      <c r="B114" s="205">
        <f t="shared" si="26"/>
        <v>21</v>
      </c>
      <c r="C114" s="206">
        <v>44924</v>
      </c>
      <c r="D114" s="161" t="s">
        <v>8</v>
      </c>
      <c r="E114" s="161" t="s">
        <v>39</v>
      </c>
      <c r="F114" s="207">
        <v>18020</v>
      </c>
      <c r="G114" s="207">
        <v>17985</v>
      </c>
      <c r="H114" s="161">
        <f>18020-17985</f>
        <v>35</v>
      </c>
      <c r="I114" s="207">
        <v>150</v>
      </c>
      <c r="J114" s="242">
        <f t="shared" si="23"/>
        <v>5250</v>
      </c>
      <c r="K114" s="153"/>
      <c r="V114" s="25">
        <f t="shared" si="24"/>
        <v>1</v>
      </c>
      <c r="W114" s="25">
        <f t="shared" si="25"/>
        <v>0</v>
      </c>
    </row>
    <row r="115" spans="1:23" x14ac:dyDescent="0.3">
      <c r="A115" s="147"/>
      <c r="B115" s="205">
        <f t="shared" si="26"/>
        <v>22</v>
      </c>
      <c r="C115" s="206">
        <v>44925</v>
      </c>
      <c r="D115" s="161" t="s">
        <v>9</v>
      </c>
      <c r="E115" s="161" t="s">
        <v>39</v>
      </c>
      <c r="F115" s="207">
        <v>18350</v>
      </c>
      <c r="G115" s="207">
        <v>18370</v>
      </c>
      <c r="H115" s="161">
        <v>20</v>
      </c>
      <c r="I115" s="207">
        <v>150</v>
      </c>
      <c r="J115" s="242">
        <f t="shared" si="23"/>
        <v>3000</v>
      </c>
      <c r="K115" s="153"/>
      <c r="V115" s="25">
        <f t="shared" si="24"/>
        <v>1</v>
      </c>
      <c r="W115" s="25">
        <f t="shared" si="25"/>
        <v>0</v>
      </c>
    </row>
    <row r="116" spans="1:23" ht="15" thickBot="1" x14ac:dyDescent="0.35">
      <c r="A116" s="147"/>
      <c r="B116" s="208">
        <f t="shared" si="26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3"/>
        <v>0</v>
      </c>
      <c r="K116" s="153"/>
      <c r="V116" s="25">
        <f t="shared" si="24"/>
        <v>0</v>
      </c>
      <c r="W116" s="25">
        <f t="shared" si="25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163200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4021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44896</v>
      </c>
      <c r="D125" s="185" t="s">
        <v>9</v>
      </c>
      <c r="E125" s="185" t="s">
        <v>4022</v>
      </c>
      <c r="F125" s="219">
        <v>165</v>
      </c>
      <c r="G125" s="231">
        <v>185</v>
      </c>
      <c r="H125" s="231">
        <v>20</v>
      </c>
      <c r="I125" s="219">
        <v>300</v>
      </c>
      <c r="J125" s="246">
        <f t="shared" ref="J125:J149" si="27">I125*H125</f>
        <v>6000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44897</v>
      </c>
      <c r="D126" s="185" t="s">
        <v>9</v>
      </c>
      <c r="E126" s="185" t="s">
        <v>4025</v>
      </c>
      <c r="F126" s="219">
        <v>150</v>
      </c>
      <c r="G126" s="219">
        <v>184</v>
      </c>
      <c r="H126" s="185">
        <f>184-150</f>
        <v>34</v>
      </c>
      <c r="I126" s="219">
        <v>300</v>
      </c>
      <c r="J126" s="242">
        <f t="shared" si="27"/>
        <v>10200</v>
      </c>
      <c r="K126" s="153"/>
      <c r="V126" s="25">
        <f t="shared" ref="V126:V149" si="28">IF($J126&gt;0,1,0)</f>
        <v>1</v>
      </c>
      <c r="W126" s="25">
        <f t="shared" ref="W126:W149" si="29">IF($J126&lt;0,1,0)</f>
        <v>0</v>
      </c>
    </row>
    <row r="127" spans="1:23" x14ac:dyDescent="0.3">
      <c r="A127" s="147"/>
      <c r="B127" s="205">
        <f>B126+1</f>
        <v>3</v>
      </c>
      <c r="C127" s="206">
        <v>44900</v>
      </c>
      <c r="D127" s="161" t="s">
        <v>9</v>
      </c>
      <c r="E127" s="161" t="s">
        <v>1654</v>
      </c>
      <c r="F127" s="207">
        <v>155</v>
      </c>
      <c r="G127" s="207">
        <v>210</v>
      </c>
      <c r="H127" s="161">
        <f>210-155</f>
        <v>55</v>
      </c>
      <c r="I127" s="207">
        <v>300</v>
      </c>
      <c r="J127" s="242">
        <f t="shared" si="27"/>
        <v>16500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ref="B128:B149" si="30">B127+1</f>
        <v>4</v>
      </c>
      <c r="C128" s="206">
        <v>44901</v>
      </c>
      <c r="D128" s="161" t="s">
        <v>9</v>
      </c>
      <c r="E128" s="161" t="s">
        <v>4029</v>
      </c>
      <c r="F128" s="207">
        <v>140</v>
      </c>
      <c r="G128" s="207">
        <v>178</v>
      </c>
      <c r="H128" s="161">
        <f>178-140</f>
        <v>38</v>
      </c>
      <c r="I128" s="207">
        <v>300</v>
      </c>
      <c r="J128" s="242">
        <f t="shared" si="27"/>
        <v>11400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5</v>
      </c>
      <c r="C129" s="206">
        <v>44902</v>
      </c>
      <c r="D129" s="161" t="s">
        <v>9</v>
      </c>
      <c r="E129" s="161" t="s">
        <v>4029</v>
      </c>
      <c r="F129" s="207">
        <v>130</v>
      </c>
      <c r="G129" s="207">
        <v>155</v>
      </c>
      <c r="H129" s="161">
        <v>25</v>
      </c>
      <c r="I129" s="207">
        <v>300</v>
      </c>
      <c r="J129" s="242">
        <f t="shared" si="27"/>
        <v>7500</v>
      </c>
      <c r="K129" s="153"/>
      <c r="M129" s="25" t="s">
        <v>2008</v>
      </c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6</v>
      </c>
      <c r="C130" s="206">
        <v>44903</v>
      </c>
      <c r="D130" s="161" t="s">
        <v>9</v>
      </c>
      <c r="E130" s="161" t="s">
        <v>3530</v>
      </c>
      <c r="F130" s="207">
        <v>135</v>
      </c>
      <c r="G130" s="222">
        <v>185</v>
      </c>
      <c r="H130" s="222">
        <f>185-135</f>
        <v>50</v>
      </c>
      <c r="I130" s="207">
        <v>300</v>
      </c>
      <c r="J130" s="242">
        <f t="shared" si="27"/>
        <v>15000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7</v>
      </c>
      <c r="C131" s="206">
        <v>44904</v>
      </c>
      <c r="D131" s="161" t="s">
        <v>9</v>
      </c>
      <c r="E131" s="161" t="s">
        <v>2985</v>
      </c>
      <c r="F131" s="207">
        <v>150</v>
      </c>
      <c r="G131" s="207">
        <v>205</v>
      </c>
      <c r="H131" s="161">
        <f>205-150</f>
        <v>55</v>
      </c>
      <c r="I131" s="207">
        <v>300</v>
      </c>
      <c r="J131" s="242">
        <f t="shared" si="27"/>
        <v>16500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8</v>
      </c>
      <c r="C132" s="206">
        <v>44907</v>
      </c>
      <c r="D132" s="161" t="s">
        <v>9</v>
      </c>
      <c r="E132" s="161" t="s">
        <v>1651</v>
      </c>
      <c r="F132" s="207">
        <v>145</v>
      </c>
      <c r="G132" s="268">
        <v>184</v>
      </c>
      <c r="H132" s="268">
        <f>184-145</f>
        <v>39</v>
      </c>
      <c r="I132" s="207">
        <v>300</v>
      </c>
      <c r="J132" s="242">
        <f t="shared" si="27"/>
        <v>11700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9</v>
      </c>
      <c r="C133" s="206">
        <v>44908</v>
      </c>
      <c r="D133" s="161" t="s">
        <v>9</v>
      </c>
      <c r="E133" s="161" t="s">
        <v>3530</v>
      </c>
      <c r="F133" s="207">
        <v>130</v>
      </c>
      <c r="G133" s="222">
        <v>185</v>
      </c>
      <c r="H133" s="161">
        <f>185-130</f>
        <v>55</v>
      </c>
      <c r="I133" s="207">
        <v>300</v>
      </c>
      <c r="J133" s="242">
        <f t="shared" si="27"/>
        <v>16500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10</v>
      </c>
      <c r="C134" s="206">
        <v>44909</v>
      </c>
      <c r="D134" s="161" t="s">
        <v>9</v>
      </c>
      <c r="E134" s="161" t="s">
        <v>1653</v>
      </c>
      <c r="F134" s="207">
        <v>135</v>
      </c>
      <c r="G134" s="222">
        <v>105</v>
      </c>
      <c r="H134" s="222">
        <v>-30</v>
      </c>
      <c r="I134" s="207">
        <v>300</v>
      </c>
      <c r="J134" s="242">
        <f t="shared" si="27"/>
        <v>-9000</v>
      </c>
      <c r="K134" s="153"/>
      <c r="V134" s="25">
        <f t="shared" si="28"/>
        <v>0</v>
      </c>
      <c r="W134" s="25">
        <f t="shared" si="29"/>
        <v>1</v>
      </c>
    </row>
    <row r="135" spans="1:23" x14ac:dyDescent="0.3">
      <c r="A135" s="147"/>
      <c r="B135" s="205">
        <f t="shared" si="30"/>
        <v>11</v>
      </c>
      <c r="C135" s="206">
        <v>44910</v>
      </c>
      <c r="D135" s="161" t="s">
        <v>9</v>
      </c>
      <c r="E135" s="161" t="s">
        <v>1654</v>
      </c>
      <c r="F135" s="207">
        <v>160</v>
      </c>
      <c r="G135" s="222">
        <v>215</v>
      </c>
      <c r="H135" s="222">
        <f>215-160</f>
        <v>55</v>
      </c>
      <c r="I135" s="207">
        <v>300</v>
      </c>
      <c r="J135" s="242">
        <f t="shared" si="27"/>
        <v>16500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12</v>
      </c>
      <c r="C136" s="206">
        <v>44910</v>
      </c>
      <c r="D136" s="161" t="s">
        <v>9</v>
      </c>
      <c r="E136" s="161" t="s">
        <v>4012</v>
      </c>
      <c r="F136" s="207">
        <v>160</v>
      </c>
      <c r="G136" s="222">
        <v>215</v>
      </c>
      <c r="H136" s="222">
        <v>55</v>
      </c>
      <c r="I136" s="207">
        <v>300</v>
      </c>
      <c r="J136" s="242">
        <f t="shared" si="27"/>
        <v>16500</v>
      </c>
      <c r="K136" s="153"/>
      <c r="V136" s="25">
        <f t="shared" si="28"/>
        <v>1</v>
      </c>
      <c r="W136" s="25">
        <f t="shared" si="29"/>
        <v>0</v>
      </c>
    </row>
    <row r="137" spans="1:23" x14ac:dyDescent="0.3">
      <c r="A137" s="147"/>
      <c r="B137" s="205">
        <f t="shared" si="30"/>
        <v>13</v>
      </c>
      <c r="C137" s="206">
        <v>44911</v>
      </c>
      <c r="D137" s="161" t="s">
        <v>9</v>
      </c>
      <c r="E137" s="161" t="s">
        <v>4046</v>
      </c>
      <c r="F137" s="207">
        <v>135</v>
      </c>
      <c r="G137" s="207">
        <v>105</v>
      </c>
      <c r="H137" s="161">
        <v>-30</v>
      </c>
      <c r="I137" s="207">
        <v>300</v>
      </c>
      <c r="J137" s="242">
        <f t="shared" si="27"/>
        <v>-9000</v>
      </c>
      <c r="K137" s="153"/>
      <c r="V137" s="25">
        <f t="shared" si="28"/>
        <v>0</v>
      </c>
      <c r="W137" s="25">
        <f t="shared" si="29"/>
        <v>1</v>
      </c>
    </row>
    <row r="138" spans="1:23" x14ac:dyDescent="0.3">
      <c r="A138" s="147"/>
      <c r="B138" s="205">
        <f t="shared" si="30"/>
        <v>14</v>
      </c>
      <c r="C138" s="206">
        <v>44911</v>
      </c>
      <c r="D138" s="161" t="s">
        <v>9</v>
      </c>
      <c r="E138" s="161" t="s">
        <v>3981</v>
      </c>
      <c r="F138" s="207">
        <v>135</v>
      </c>
      <c r="G138" s="207">
        <v>105</v>
      </c>
      <c r="H138" s="161">
        <v>-30</v>
      </c>
      <c r="I138" s="207">
        <v>300</v>
      </c>
      <c r="J138" s="242">
        <f t="shared" si="27"/>
        <v>-9000</v>
      </c>
      <c r="K138" s="153"/>
      <c r="V138" s="25">
        <f>IF($J138&gt;0,1,0)</f>
        <v>0</v>
      </c>
      <c r="W138" s="25">
        <f>IF($J138&lt;0,1,0)</f>
        <v>1</v>
      </c>
    </row>
    <row r="139" spans="1:23" x14ac:dyDescent="0.3">
      <c r="A139" s="147"/>
      <c r="B139" s="205">
        <f t="shared" si="30"/>
        <v>15</v>
      </c>
      <c r="C139" s="206">
        <v>44914</v>
      </c>
      <c r="D139" s="161" t="s">
        <v>9</v>
      </c>
      <c r="E139" s="161" t="s">
        <v>1650</v>
      </c>
      <c r="F139" s="207">
        <v>130</v>
      </c>
      <c r="G139" s="207">
        <v>185</v>
      </c>
      <c r="H139" s="161">
        <f>185-130</f>
        <v>55</v>
      </c>
      <c r="I139" s="207">
        <v>300</v>
      </c>
      <c r="J139" s="242">
        <f t="shared" si="27"/>
        <v>16500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30"/>
        <v>16</v>
      </c>
      <c r="C140" s="206">
        <v>44915</v>
      </c>
      <c r="D140" s="161" t="s">
        <v>9</v>
      </c>
      <c r="E140" s="161" t="s">
        <v>3981</v>
      </c>
      <c r="F140" s="207">
        <v>155</v>
      </c>
      <c r="G140" s="207">
        <v>175</v>
      </c>
      <c r="H140" s="161">
        <v>20</v>
      </c>
      <c r="I140" s="207">
        <v>300</v>
      </c>
      <c r="J140" s="242">
        <f t="shared" si="27"/>
        <v>6000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17</v>
      </c>
      <c r="C141" s="206">
        <v>44916</v>
      </c>
      <c r="D141" s="161" t="s">
        <v>9</v>
      </c>
      <c r="E141" s="161" t="s">
        <v>4049</v>
      </c>
      <c r="F141" s="207">
        <v>150</v>
      </c>
      <c r="G141" s="207">
        <v>205</v>
      </c>
      <c r="H141" s="161">
        <f>205-150</f>
        <v>55</v>
      </c>
      <c r="I141" s="207">
        <v>300</v>
      </c>
      <c r="J141" s="242">
        <f t="shared" si="27"/>
        <v>16500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18</v>
      </c>
      <c r="C142" s="206">
        <v>44917</v>
      </c>
      <c r="D142" s="161" t="s">
        <v>9</v>
      </c>
      <c r="E142" s="161" t="s">
        <v>1888</v>
      </c>
      <c r="F142" s="207">
        <v>150</v>
      </c>
      <c r="G142" s="222">
        <v>205</v>
      </c>
      <c r="H142" s="222">
        <f>205-150</f>
        <v>55</v>
      </c>
      <c r="I142" s="207">
        <v>300</v>
      </c>
      <c r="J142" s="242">
        <f t="shared" si="27"/>
        <v>16500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19</v>
      </c>
      <c r="C143" s="206">
        <v>44918</v>
      </c>
      <c r="D143" s="161" t="s">
        <v>9</v>
      </c>
      <c r="E143" s="161" t="s">
        <v>3756</v>
      </c>
      <c r="F143" s="207">
        <v>150</v>
      </c>
      <c r="G143" s="222">
        <v>205</v>
      </c>
      <c r="H143" s="222">
        <v>55</v>
      </c>
      <c r="I143" s="207">
        <v>300</v>
      </c>
      <c r="J143" s="242">
        <f t="shared" si="27"/>
        <v>16500</v>
      </c>
      <c r="K143" s="153"/>
      <c r="V143" s="25">
        <f t="shared" si="28"/>
        <v>1</v>
      </c>
      <c r="W143" s="25">
        <f t="shared" si="29"/>
        <v>0</v>
      </c>
    </row>
    <row r="144" spans="1:23" x14ac:dyDescent="0.3">
      <c r="A144" s="147"/>
      <c r="B144" s="205">
        <f t="shared" si="30"/>
        <v>20</v>
      </c>
      <c r="C144" s="206">
        <v>44921</v>
      </c>
      <c r="D144" s="161" t="s">
        <v>9</v>
      </c>
      <c r="E144" s="161" t="s">
        <v>3491</v>
      </c>
      <c r="F144" s="207">
        <v>160</v>
      </c>
      <c r="G144" s="222">
        <v>215</v>
      </c>
      <c r="H144" s="222">
        <f>215-160</f>
        <v>55</v>
      </c>
      <c r="I144" s="207">
        <v>300</v>
      </c>
      <c r="J144" s="242">
        <f t="shared" si="27"/>
        <v>16500</v>
      </c>
      <c r="K144" s="153"/>
      <c r="V144" s="25">
        <f t="shared" si="28"/>
        <v>1</v>
      </c>
      <c r="W144" s="25">
        <f t="shared" si="29"/>
        <v>0</v>
      </c>
    </row>
    <row r="145" spans="1:23" x14ac:dyDescent="0.3">
      <c r="A145" s="147"/>
      <c r="B145" s="205">
        <f t="shared" si="30"/>
        <v>21</v>
      </c>
      <c r="C145" s="206">
        <v>44922</v>
      </c>
      <c r="D145" s="161" t="s">
        <v>9</v>
      </c>
      <c r="E145" s="161" t="s">
        <v>1918</v>
      </c>
      <c r="F145" s="207">
        <v>160</v>
      </c>
      <c r="G145" s="222">
        <v>130</v>
      </c>
      <c r="H145" s="222">
        <v>-30</v>
      </c>
      <c r="I145" s="207">
        <v>300</v>
      </c>
      <c r="J145" s="242">
        <f t="shared" si="27"/>
        <v>-9000</v>
      </c>
      <c r="K145" s="153"/>
      <c r="V145" s="25">
        <f t="shared" si="28"/>
        <v>0</v>
      </c>
      <c r="W145" s="25">
        <f t="shared" si="29"/>
        <v>1</v>
      </c>
    </row>
    <row r="146" spans="1:23" x14ac:dyDescent="0.3">
      <c r="A146" s="147"/>
      <c r="B146" s="205">
        <f t="shared" si="30"/>
        <v>22</v>
      </c>
      <c r="C146" s="206">
        <v>44922</v>
      </c>
      <c r="D146" s="161" t="s">
        <v>9</v>
      </c>
      <c r="E146" s="161" t="s">
        <v>1918</v>
      </c>
      <c r="F146" s="207">
        <v>120</v>
      </c>
      <c r="G146" s="222">
        <v>97</v>
      </c>
      <c r="H146" s="222">
        <v>-23</v>
      </c>
      <c r="I146" s="207">
        <v>300</v>
      </c>
      <c r="J146" s="242">
        <f t="shared" si="27"/>
        <v>-6900</v>
      </c>
      <c r="K146" s="153"/>
      <c r="V146" s="25">
        <f t="shared" si="28"/>
        <v>0</v>
      </c>
      <c r="W146" s="25">
        <f t="shared" si="29"/>
        <v>1</v>
      </c>
    </row>
    <row r="147" spans="1:23" x14ac:dyDescent="0.3">
      <c r="A147" s="147"/>
      <c r="B147" s="205">
        <f t="shared" si="30"/>
        <v>23</v>
      </c>
      <c r="C147" s="206">
        <v>44923</v>
      </c>
      <c r="D147" s="161" t="s">
        <v>9</v>
      </c>
      <c r="E147" s="161" t="s">
        <v>1909</v>
      </c>
      <c r="F147" s="207">
        <v>125</v>
      </c>
      <c r="G147" s="222">
        <v>99</v>
      </c>
      <c r="H147" s="161">
        <v>-26</v>
      </c>
      <c r="I147" s="207">
        <v>300</v>
      </c>
      <c r="J147" s="242">
        <f t="shared" si="27"/>
        <v>-7800</v>
      </c>
      <c r="K147" s="153"/>
      <c r="V147" s="25">
        <f t="shared" si="28"/>
        <v>0</v>
      </c>
      <c r="W147" s="25">
        <f t="shared" si="29"/>
        <v>1</v>
      </c>
    </row>
    <row r="148" spans="1:23" x14ac:dyDescent="0.3">
      <c r="A148" s="147"/>
      <c r="B148" s="205">
        <f t="shared" si="30"/>
        <v>24</v>
      </c>
      <c r="C148" s="264">
        <v>44924</v>
      </c>
      <c r="D148" s="265" t="s">
        <v>9</v>
      </c>
      <c r="E148" s="265" t="s">
        <v>3553</v>
      </c>
      <c r="F148" s="266">
        <v>145</v>
      </c>
      <c r="G148" s="267">
        <v>168</v>
      </c>
      <c r="H148" s="265">
        <f>168-145</f>
        <v>23</v>
      </c>
      <c r="I148" s="266">
        <v>300</v>
      </c>
      <c r="J148" s="242">
        <f t="shared" si="27"/>
        <v>6900</v>
      </c>
      <c r="K148" s="153"/>
      <c r="V148" s="25">
        <f t="shared" si="28"/>
        <v>1</v>
      </c>
      <c r="W148" s="25">
        <f t="shared" si="29"/>
        <v>0</v>
      </c>
    </row>
    <row r="149" spans="1:23" ht="15" thickBot="1" x14ac:dyDescent="0.35">
      <c r="A149" s="147"/>
      <c r="B149" s="205">
        <f t="shared" si="30"/>
        <v>25</v>
      </c>
      <c r="C149" s="209">
        <v>44925</v>
      </c>
      <c r="D149" s="166" t="s">
        <v>9</v>
      </c>
      <c r="E149" s="166" t="s">
        <v>1649</v>
      </c>
      <c r="F149" s="210">
        <v>140</v>
      </c>
      <c r="G149" s="210">
        <v>123</v>
      </c>
      <c r="H149" s="166">
        <v>-17</v>
      </c>
      <c r="I149" s="210">
        <v>300</v>
      </c>
      <c r="J149" s="244">
        <f t="shared" si="27"/>
        <v>-5100</v>
      </c>
      <c r="K149" s="153"/>
      <c r="V149" s="25">
        <f t="shared" si="28"/>
        <v>0</v>
      </c>
      <c r="W149" s="25">
        <f t="shared" si="29"/>
        <v>1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183900</v>
      </c>
      <c r="K150" s="153"/>
      <c r="V150" s="25">
        <f>SUM(V125:V149)</f>
        <v>18</v>
      </c>
      <c r="W150" s="25">
        <f>SUM(W125:W149)</f>
        <v>7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4019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44896</v>
      </c>
      <c r="D158" s="185" t="s">
        <v>8</v>
      </c>
      <c r="E158" s="185" t="s">
        <v>301</v>
      </c>
      <c r="F158" s="219">
        <v>43600</v>
      </c>
      <c r="G158" s="231">
        <v>43390</v>
      </c>
      <c r="H158" s="185">
        <f>43600-43390</f>
        <v>210</v>
      </c>
      <c r="I158" s="219">
        <v>50</v>
      </c>
      <c r="J158" s="246">
        <f t="shared" ref="J158:J180" si="31">I158*H158</f>
        <v>10500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44897</v>
      </c>
      <c r="D159" s="185" t="s">
        <v>8</v>
      </c>
      <c r="E159" s="185" t="s">
        <v>301</v>
      </c>
      <c r="F159" s="219">
        <v>43300</v>
      </c>
      <c r="G159" s="219">
        <v>43176</v>
      </c>
      <c r="H159" s="185">
        <f>43300-43176</f>
        <v>124</v>
      </c>
      <c r="I159" s="219">
        <v>50</v>
      </c>
      <c r="J159" s="242">
        <f t="shared" si="31"/>
        <v>6200</v>
      </c>
      <c r="K159" s="153"/>
      <c r="V159" s="25">
        <f t="shared" ref="V159:V180" si="32">IF($J159&gt;0,1,0)</f>
        <v>1</v>
      </c>
      <c r="W159" s="25">
        <f t="shared" ref="W159:W180" si="33">IF($J159&lt;0,1,0)</f>
        <v>0</v>
      </c>
    </row>
    <row r="160" spans="1:23" x14ac:dyDescent="0.3">
      <c r="A160" s="147"/>
      <c r="B160" s="205">
        <f t="shared" ref="B160:B180" si="34">B159+1</f>
        <v>3</v>
      </c>
      <c r="C160" s="206">
        <v>44900</v>
      </c>
      <c r="D160" s="161" t="s">
        <v>8</v>
      </c>
      <c r="E160" s="161" t="s">
        <v>301</v>
      </c>
      <c r="F160" s="207">
        <v>43250</v>
      </c>
      <c r="G160" s="207">
        <v>43400</v>
      </c>
      <c r="H160" s="161">
        <v>-150</v>
      </c>
      <c r="I160" s="207">
        <v>50</v>
      </c>
      <c r="J160" s="242">
        <f t="shared" si="31"/>
        <v>-7500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4</v>
      </c>
      <c r="C161" s="206">
        <v>44901</v>
      </c>
      <c r="D161" s="161" t="s">
        <v>9</v>
      </c>
      <c r="E161" s="161" t="s">
        <v>301</v>
      </c>
      <c r="F161" s="207">
        <v>43500</v>
      </c>
      <c r="G161" s="207">
        <v>43350</v>
      </c>
      <c r="H161" s="161">
        <v>-150</v>
      </c>
      <c r="I161" s="207">
        <v>50</v>
      </c>
      <c r="J161" s="242">
        <f t="shared" si="31"/>
        <v>-7500</v>
      </c>
      <c r="K161" s="153"/>
      <c r="V161" s="25">
        <f t="shared" si="32"/>
        <v>0</v>
      </c>
      <c r="W161" s="25">
        <f t="shared" si="33"/>
        <v>1</v>
      </c>
    </row>
    <row r="162" spans="1:23" x14ac:dyDescent="0.3">
      <c r="A162" s="147"/>
      <c r="B162" s="205">
        <f t="shared" si="34"/>
        <v>5</v>
      </c>
      <c r="C162" s="206">
        <v>44902</v>
      </c>
      <c r="D162" s="161" t="s">
        <v>9</v>
      </c>
      <c r="E162" s="161" t="s">
        <v>301</v>
      </c>
      <c r="F162" s="207">
        <v>43400</v>
      </c>
      <c r="G162" s="207">
        <v>43495</v>
      </c>
      <c r="H162" s="161">
        <v>95</v>
      </c>
      <c r="I162" s="207">
        <v>50</v>
      </c>
      <c r="J162" s="242">
        <f t="shared" si="31"/>
        <v>4750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6</v>
      </c>
      <c r="C163" s="206">
        <v>44903</v>
      </c>
      <c r="D163" s="161" t="s">
        <v>9</v>
      </c>
      <c r="E163" s="161" t="s">
        <v>301</v>
      </c>
      <c r="F163" s="207">
        <v>43450</v>
      </c>
      <c r="G163" s="207">
        <v>43750</v>
      </c>
      <c r="H163" s="161">
        <v>300</v>
      </c>
      <c r="I163" s="207">
        <v>50</v>
      </c>
      <c r="J163" s="242">
        <f t="shared" si="31"/>
        <v>15000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7</v>
      </c>
      <c r="C164" s="206">
        <v>44904</v>
      </c>
      <c r="D164" s="161" t="s">
        <v>9</v>
      </c>
      <c r="E164" s="161" t="s">
        <v>301</v>
      </c>
      <c r="F164" s="207">
        <v>43900</v>
      </c>
      <c r="G164" s="207">
        <v>43960</v>
      </c>
      <c r="H164" s="161">
        <v>60</v>
      </c>
      <c r="I164" s="207">
        <v>50</v>
      </c>
      <c r="J164" s="242">
        <f t="shared" si="31"/>
        <v>3000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8</v>
      </c>
      <c r="C165" s="206">
        <v>44907</v>
      </c>
      <c r="D165" s="161" t="s">
        <v>9</v>
      </c>
      <c r="E165" s="161" t="s">
        <v>301</v>
      </c>
      <c r="F165" s="207">
        <v>43800</v>
      </c>
      <c r="G165" s="207">
        <v>43935</v>
      </c>
      <c r="H165" s="161">
        <v>135</v>
      </c>
      <c r="I165" s="207">
        <v>50</v>
      </c>
      <c r="J165" s="242">
        <f t="shared" si="31"/>
        <v>6750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9</v>
      </c>
      <c r="C166" s="206">
        <v>44908</v>
      </c>
      <c r="D166" s="161" t="s">
        <v>9</v>
      </c>
      <c r="E166" s="161" t="s">
        <v>301</v>
      </c>
      <c r="F166" s="207">
        <v>44000</v>
      </c>
      <c r="G166" s="207">
        <v>44080</v>
      </c>
      <c r="H166" s="161">
        <v>80</v>
      </c>
      <c r="I166" s="207">
        <v>50</v>
      </c>
      <c r="J166" s="242">
        <f t="shared" si="31"/>
        <v>4000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10</v>
      </c>
      <c r="C167" s="206">
        <v>44909</v>
      </c>
      <c r="D167" s="161" t="s">
        <v>9</v>
      </c>
      <c r="E167" s="161" t="s">
        <v>301</v>
      </c>
      <c r="F167" s="207">
        <v>44200</v>
      </c>
      <c r="G167" s="207">
        <v>44240</v>
      </c>
      <c r="H167" s="161">
        <v>40</v>
      </c>
      <c r="I167" s="207">
        <v>50</v>
      </c>
      <c r="J167" s="242">
        <f t="shared" si="31"/>
        <v>2000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11</v>
      </c>
      <c r="C168" s="206">
        <v>44910</v>
      </c>
      <c r="D168" s="161" t="s">
        <v>8</v>
      </c>
      <c r="E168" s="161" t="s">
        <v>301</v>
      </c>
      <c r="F168" s="207">
        <v>44150</v>
      </c>
      <c r="G168" s="207">
        <v>43850</v>
      </c>
      <c r="H168" s="161">
        <f>44150-43850</f>
        <v>300</v>
      </c>
      <c r="I168" s="207">
        <v>50</v>
      </c>
      <c r="J168" s="242">
        <f t="shared" si="31"/>
        <v>15000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12</v>
      </c>
      <c r="C169" s="206">
        <v>44911</v>
      </c>
      <c r="D169" s="161" t="s">
        <v>9</v>
      </c>
      <c r="E169" s="161" t="s">
        <v>301</v>
      </c>
      <c r="F169" s="207">
        <v>43600</v>
      </c>
      <c r="G169" s="207">
        <v>43450</v>
      </c>
      <c r="H169" s="161">
        <v>-150</v>
      </c>
      <c r="I169" s="207">
        <v>50</v>
      </c>
      <c r="J169" s="242">
        <f t="shared" si="31"/>
        <v>-7500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13</v>
      </c>
      <c r="C170" s="206">
        <v>44914</v>
      </c>
      <c r="D170" s="161" t="s">
        <v>8</v>
      </c>
      <c r="E170" s="161" t="s">
        <v>301</v>
      </c>
      <c r="F170" s="207">
        <v>43300</v>
      </c>
      <c r="G170" s="207">
        <v>43250</v>
      </c>
      <c r="H170" s="161">
        <v>50</v>
      </c>
      <c r="I170" s="207">
        <v>50</v>
      </c>
      <c r="J170" s="242">
        <f t="shared" si="31"/>
        <v>2500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14</v>
      </c>
      <c r="C171" s="206">
        <v>44915</v>
      </c>
      <c r="D171" s="161" t="s">
        <v>8</v>
      </c>
      <c r="E171" s="161" t="s">
        <v>301</v>
      </c>
      <c r="F171" s="207">
        <v>43300</v>
      </c>
      <c r="G171" s="207">
        <v>43045</v>
      </c>
      <c r="H171" s="161">
        <v>255</v>
      </c>
      <c r="I171" s="207">
        <v>50</v>
      </c>
      <c r="J171" s="242">
        <f t="shared" si="31"/>
        <v>12750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15</v>
      </c>
      <c r="C172" s="206">
        <v>44916</v>
      </c>
      <c r="D172" s="161" t="s">
        <v>8</v>
      </c>
      <c r="E172" s="161" t="s">
        <v>301</v>
      </c>
      <c r="F172" s="207">
        <v>43600</v>
      </c>
      <c r="G172" s="207">
        <v>43300</v>
      </c>
      <c r="H172" s="161">
        <v>300</v>
      </c>
      <c r="I172" s="207">
        <v>50</v>
      </c>
      <c r="J172" s="242">
        <f t="shared" si="31"/>
        <v>15000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16</v>
      </c>
      <c r="C173" s="206">
        <v>44917</v>
      </c>
      <c r="D173" s="161" t="s">
        <v>8</v>
      </c>
      <c r="E173" s="161" t="s">
        <v>301</v>
      </c>
      <c r="F173" s="207">
        <v>42700</v>
      </c>
      <c r="G173" s="207">
        <v>42400</v>
      </c>
      <c r="H173" s="161">
        <v>300</v>
      </c>
      <c r="I173" s="207">
        <v>50</v>
      </c>
      <c r="J173" s="242">
        <f t="shared" si="31"/>
        <v>15000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17</v>
      </c>
      <c r="C174" s="206">
        <v>44918</v>
      </c>
      <c r="D174" s="161" t="s">
        <v>8</v>
      </c>
      <c r="E174" s="161" t="s">
        <v>301</v>
      </c>
      <c r="F174" s="207">
        <v>42050</v>
      </c>
      <c r="G174" s="207">
        <v>41750</v>
      </c>
      <c r="H174" s="161">
        <v>300</v>
      </c>
      <c r="I174" s="207">
        <v>50</v>
      </c>
      <c r="J174" s="242">
        <f t="shared" si="31"/>
        <v>15000</v>
      </c>
      <c r="K174" s="153"/>
      <c r="V174" s="25">
        <f t="shared" si="32"/>
        <v>1</v>
      </c>
      <c r="W174" s="25">
        <f t="shared" si="33"/>
        <v>0</v>
      </c>
    </row>
    <row r="175" spans="1:23" x14ac:dyDescent="0.3">
      <c r="A175" s="147"/>
      <c r="B175" s="205">
        <f t="shared" si="34"/>
        <v>18</v>
      </c>
      <c r="C175" s="206">
        <v>44921</v>
      </c>
      <c r="D175" s="161" t="s">
        <v>9</v>
      </c>
      <c r="E175" s="161" t="s">
        <v>301</v>
      </c>
      <c r="F175" s="207">
        <v>42100</v>
      </c>
      <c r="G175" s="207">
        <v>42400</v>
      </c>
      <c r="H175" s="161">
        <v>300</v>
      </c>
      <c r="I175" s="207">
        <v>50</v>
      </c>
      <c r="J175" s="242">
        <f t="shared" si="31"/>
        <v>15000</v>
      </c>
      <c r="K175" s="153"/>
      <c r="V175" s="25">
        <f t="shared" si="32"/>
        <v>1</v>
      </c>
      <c r="W175" s="25">
        <f t="shared" si="33"/>
        <v>0</v>
      </c>
    </row>
    <row r="176" spans="1:23" x14ac:dyDescent="0.3">
      <c r="A176" s="147"/>
      <c r="B176" s="205">
        <f t="shared" si="34"/>
        <v>19</v>
      </c>
      <c r="C176" s="206">
        <v>44922</v>
      </c>
      <c r="D176" s="161" t="s">
        <v>8</v>
      </c>
      <c r="E176" s="161" t="s">
        <v>301</v>
      </c>
      <c r="F176" s="207">
        <v>42450</v>
      </c>
      <c r="G176" s="207">
        <v>45600</v>
      </c>
      <c r="H176" s="161">
        <v>-150</v>
      </c>
      <c r="I176" s="207">
        <v>50</v>
      </c>
      <c r="J176" s="242">
        <f t="shared" si="31"/>
        <v>-7500</v>
      </c>
      <c r="K176" s="153"/>
      <c r="V176" s="25">
        <f t="shared" si="32"/>
        <v>0</v>
      </c>
      <c r="W176" s="25">
        <f t="shared" si="33"/>
        <v>1</v>
      </c>
    </row>
    <row r="177" spans="1:23" x14ac:dyDescent="0.3">
      <c r="A177" s="147"/>
      <c r="B177" s="205">
        <f t="shared" si="34"/>
        <v>20</v>
      </c>
      <c r="C177" s="206">
        <v>44923</v>
      </c>
      <c r="D177" s="161" t="s">
        <v>8</v>
      </c>
      <c r="E177" s="161" t="s">
        <v>301</v>
      </c>
      <c r="F177" s="207">
        <v>42800</v>
      </c>
      <c r="G177" s="207">
        <v>42950</v>
      </c>
      <c r="H177" s="161">
        <v>-150</v>
      </c>
      <c r="I177" s="207">
        <v>50</v>
      </c>
      <c r="J177" s="242">
        <f t="shared" si="31"/>
        <v>-7500</v>
      </c>
      <c r="K177" s="153"/>
      <c r="V177" s="25">
        <f t="shared" si="32"/>
        <v>0</v>
      </c>
      <c r="W177" s="25">
        <f t="shared" si="33"/>
        <v>1</v>
      </c>
    </row>
    <row r="178" spans="1:23" x14ac:dyDescent="0.3">
      <c r="A178" s="147"/>
      <c r="B178" s="205">
        <f t="shared" si="34"/>
        <v>21</v>
      </c>
      <c r="C178" s="206">
        <v>44924</v>
      </c>
      <c r="D178" s="161" t="s">
        <v>8</v>
      </c>
      <c r="E178" s="161" t="s">
        <v>301</v>
      </c>
      <c r="F178" s="207">
        <v>42550</v>
      </c>
      <c r="G178" s="207">
        <v>42500</v>
      </c>
      <c r="H178" s="161">
        <v>50</v>
      </c>
      <c r="I178" s="207">
        <v>50</v>
      </c>
      <c r="J178" s="242">
        <f t="shared" si="31"/>
        <v>2500</v>
      </c>
      <c r="K178" s="153"/>
      <c r="V178" s="25">
        <f t="shared" si="32"/>
        <v>1</v>
      </c>
      <c r="W178" s="25">
        <f t="shared" si="33"/>
        <v>0</v>
      </c>
    </row>
    <row r="179" spans="1:23" x14ac:dyDescent="0.3">
      <c r="A179" s="147"/>
      <c r="B179" s="205">
        <f t="shared" si="34"/>
        <v>22</v>
      </c>
      <c r="C179" s="206">
        <v>44925</v>
      </c>
      <c r="D179" s="161" t="s">
        <v>9</v>
      </c>
      <c r="E179" s="161" t="s">
        <v>301</v>
      </c>
      <c r="F179" s="207">
        <v>43400</v>
      </c>
      <c r="G179" s="207">
        <v>43445</v>
      </c>
      <c r="H179" s="161">
        <f>43445-43400</f>
        <v>45</v>
      </c>
      <c r="I179" s="207">
        <v>50</v>
      </c>
      <c r="J179" s="242">
        <f t="shared" si="31"/>
        <v>2250</v>
      </c>
      <c r="K179" s="153"/>
      <c r="V179" s="25">
        <f t="shared" si="32"/>
        <v>1</v>
      </c>
      <c r="W179" s="25">
        <f t="shared" si="33"/>
        <v>0</v>
      </c>
    </row>
    <row r="180" spans="1:23" ht="15" thickBot="1" x14ac:dyDescent="0.35">
      <c r="A180" s="147"/>
      <c r="B180" s="208">
        <f t="shared" si="34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31"/>
        <v>0</v>
      </c>
      <c r="K180" s="153"/>
      <c r="V180" s="25">
        <f t="shared" si="32"/>
        <v>0</v>
      </c>
      <c r="W180" s="25">
        <f t="shared" si="33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109700</v>
      </c>
      <c r="K181" s="153"/>
      <c r="V181" s="25">
        <f>SUM(V158:V180)</f>
        <v>17</v>
      </c>
      <c r="W181" s="25">
        <f>SUM(W158:W180)</f>
        <v>5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3605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44896</v>
      </c>
      <c r="D189" s="185" t="s">
        <v>9</v>
      </c>
      <c r="E189" s="185" t="s">
        <v>4023</v>
      </c>
      <c r="F189" s="219">
        <v>290</v>
      </c>
      <c r="G189" s="219">
        <v>490</v>
      </c>
      <c r="H189" s="185">
        <v>200</v>
      </c>
      <c r="I189" s="219">
        <v>100</v>
      </c>
      <c r="J189" s="246">
        <f t="shared" ref="J189:J212" si="35">I189*H189</f>
        <v>20000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44897</v>
      </c>
      <c r="D190" s="185" t="s">
        <v>9</v>
      </c>
      <c r="E190" s="185" t="s">
        <v>4007</v>
      </c>
      <c r="F190" s="219">
        <v>370</v>
      </c>
      <c r="G190" s="219">
        <v>462</v>
      </c>
      <c r="H190" s="185">
        <f>462-370</f>
        <v>92</v>
      </c>
      <c r="I190" s="219">
        <v>100</v>
      </c>
      <c r="J190" s="242">
        <f t="shared" si="35"/>
        <v>9200</v>
      </c>
      <c r="K190" s="153"/>
      <c r="V190" s="25">
        <f t="shared" ref="V190:V212" si="36">IF($J190&gt;0,1,0)</f>
        <v>1</v>
      </c>
      <c r="W190" s="25">
        <f t="shared" ref="W190:W212" si="37">IF($J190&lt;0,1,0)</f>
        <v>0</v>
      </c>
    </row>
    <row r="191" spans="1:23" x14ac:dyDescent="0.3">
      <c r="A191" s="147"/>
      <c r="B191" s="205">
        <f t="shared" ref="B191:B210" si="38">B190+1</f>
        <v>3</v>
      </c>
      <c r="C191" s="206">
        <v>44900</v>
      </c>
      <c r="D191" s="161" t="s">
        <v>9</v>
      </c>
      <c r="E191" s="161" t="s">
        <v>4007</v>
      </c>
      <c r="F191" s="207">
        <v>360</v>
      </c>
      <c r="G191" s="207">
        <v>260</v>
      </c>
      <c r="H191" s="161">
        <v>-100</v>
      </c>
      <c r="I191" s="207">
        <v>100</v>
      </c>
      <c r="J191" s="242">
        <f t="shared" si="35"/>
        <v>-10000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4</v>
      </c>
      <c r="C192" s="206">
        <v>44900</v>
      </c>
      <c r="D192" s="161" t="s">
        <v>9</v>
      </c>
      <c r="E192" s="161" t="s">
        <v>4026</v>
      </c>
      <c r="F192" s="207">
        <v>260</v>
      </c>
      <c r="G192" s="207">
        <v>305</v>
      </c>
      <c r="H192" s="161">
        <f>305-260</f>
        <v>45</v>
      </c>
      <c r="I192" s="207">
        <v>100</v>
      </c>
      <c r="J192" s="242">
        <f t="shared" si="35"/>
        <v>4500</v>
      </c>
      <c r="K192" s="153"/>
      <c r="V192" s="25">
        <f t="shared" si="36"/>
        <v>1</v>
      </c>
      <c r="W192" s="25">
        <f t="shared" si="37"/>
        <v>0</v>
      </c>
    </row>
    <row r="193" spans="1:23" x14ac:dyDescent="0.3">
      <c r="A193" s="147"/>
      <c r="B193" s="205">
        <f t="shared" si="38"/>
        <v>5</v>
      </c>
      <c r="C193" s="206">
        <v>44901</v>
      </c>
      <c r="D193" s="161" t="s">
        <v>9</v>
      </c>
      <c r="E193" s="161" t="s">
        <v>4014</v>
      </c>
      <c r="F193" s="207">
        <v>380</v>
      </c>
      <c r="G193" s="207">
        <v>435</v>
      </c>
      <c r="H193" s="161">
        <f>435-380</f>
        <v>55</v>
      </c>
      <c r="I193" s="207">
        <v>100</v>
      </c>
      <c r="J193" s="242">
        <f t="shared" si="35"/>
        <v>5500</v>
      </c>
      <c r="K193" s="153"/>
      <c r="O193" s="25" t="s">
        <v>2008</v>
      </c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6</v>
      </c>
      <c r="C194" s="206">
        <v>44902</v>
      </c>
      <c r="D194" s="161" t="s">
        <v>9</v>
      </c>
      <c r="E194" s="161" t="s">
        <v>4014</v>
      </c>
      <c r="F194" s="207">
        <v>360</v>
      </c>
      <c r="G194" s="207">
        <v>413</v>
      </c>
      <c r="H194" s="161">
        <f>413-360</f>
        <v>53</v>
      </c>
      <c r="I194" s="207">
        <v>100</v>
      </c>
      <c r="J194" s="242">
        <f t="shared" si="35"/>
        <v>5300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7</v>
      </c>
      <c r="C195" s="206">
        <v>44903</v>
      </c>
      <c r="D195" s="161" t="s">
        <v>9</v>
      </c>
      <c r="E195" s="161" t="s">
        <v>4014</v>
      </c>
      <c r="F195" s="207">
        <v>300</v>
      </c>
      <c r="G195" s="207">
        <v>500</v>
      </c>
      <c r="H195" s="161">
        <v>200</v>
      </c>
      <c r="I195" s="207">
        <v>100</v>
      </c>
      <c r="J195" s="242">
        <f t="shared" si="35"/>
        <v>20000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8</v>
      </c>
      <c r="C196" s="206">
        <v>44904</v>
      </c>
      <c r="D196" s="161" t="s">
        <v>9</v>
      </c>
      <c r="E196" s="161" t="s">
        <v>4033</v>
      </c>
      <c r="F196" s="207">
        <v>290</v>
      </c>
      <c r="G196" s="207">
        <v>330</v>
      </c>
      <c r="H196" s="161">
        <f>330-290</f>
        <v>40</v>
      </c>
      <c r="I196" s="207">
        <v>100</v>
      </c>
      <c r="J196" s="242">
        <f t="shared" si="35"/>
        <v>4000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9</v>
      </c>
      <c r="C197" s="206">
        <v>44907</v>
      </c>
      <c r="D197" s="161" t="s">
        <v>9</v>
      </c>
      <c r="E197" s="161" t="s">
        <v>4036</v>
      </c>
      <c r="F197" s="207">
        <v>320</v>
      </c>
      <c r="G197" s="207">
        <v>390</v>
      </c>
      <c r="H197" s="161">
        <v>70</v>
      </c>
      <c r="I197" s="207">
        <v>100</v>
      </c>
      <c r="J197" s="242">
        <f t="shared" si="35"/>
        <v>7000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10</v>
      </c>
      <c r="C198" s="206">
        <v>44908</v>
      </c>
      <c r="D198" s="161" t="s">
        <v>9</v>
      </c>
      <c r="E198" s="161" t="s">
        <v>4033</v>
      </c>
      <c r="F198" s="207">
        <v>290</v>
      </c>
      <c r="G198" s="207">
        <v>355</v>
      </c>
      <c r="H198" s="161">
        <f>355-290</f>
        <v>65</v>
      </c>
      <c r="I198" s="207">
        <v>100</v>
      </c>
      <c r="J198" s="242">
        <f t="shared" si="35"/>
        <v>6500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11</v>
      </c>
      <c r="C199" s="206">
        <v>44909</v>
      </c>
      <c r="D199" s="161" t="s">
        <v>9</v>
      </c>
      <c r="E199" s="161" t="s">
        <v>4040</v>
      </c>
      <c r="F199" s="207">
        <v>250</v>
      </c>
      <c r="G199" s="207">
        <v>280</v>
      </c>
      <c r="H199" s="161">
        <v>30</v>
      </c>
      <c r="I199" s="207">
        <v>100</v>
      </c>
      <c r="J199" s="242">
        <f t="shared" si="35"/>
        <v>3000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12</v>
      </c>
      <c r="C200" s="206">
        <v>44910</v>
      </c>
      <c r="D200" s="161" t="s">
        <v>9</v>
      </c>
      <c r="E200" s="161" t="s">
        <v>4042</v>
      </c>
      <c r="F200" s="207">
        <v>270</v>
      </c>
      <c r="G200" s="207">
        <v>470</v>
      </c>
      <c r="H200" s="161">
        <v>200</v>
      </c>
      <c r="I200" s="207">
        <v>100</v>
      </c>
      <c r="J200" s="242">
        <f t="shared" si="35"/>
        <v>20000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13</v>
      </c>
      <c r="C201" s="206">
        <v>44911</v>
      </c>
      <c r="D201" s="161" t="s">
        <v>9</v>
      </c>
      <c r="E201" s="161" t="s">
        <v>4045</v>
      </c>
      <c r="F201" s="207">
        <v>310</v>
      </c>
      <c r="G201" s="207">
        <v>210</v>
      </c>
      <c r="H201" s="161">
        <v>-100</v>
      </c>
      <c r="I201" s="207">
        <v>100</v>
      </c>
      <c r="J201" s="242">
        <f t="shared" si="35"/>
        <v>-10000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14</v>
      </c>
      <c r="C202" s="206">
        <v>44914</v>
      </c>
      <c r="D202" s="161" t="s">
        <v>9</v>
      </c>
      <c r="E202" s="161" t="s">
        <v>4007</v>
      </c>
      <c r="F202" s="207">
        <v>300</v>
      </c>
      <c r="G202" s="222">
        <v>225</v>
      </c>
      <c r="H202" s="161">
        <v>-75</v>
      </c>
      <c r="I202" s="207">
        <v>100</v>
      </c>
      <c r="J202" s="242">
        <f t="shared" si="35"/>
        <v>-7500</v>
      </c>
      <c r="K202" s="153"/>
      <c r="V202" s="25">
        <f t="shared" si="36"/>
        <v>0</v>
      </c>
      <c r="W202" s="25">
        <f t="shared" si="37"/>
        <v>1</v>
      </c>
    </row>
    <row r="203" spans="1:23" x14ac:dyDescent="0.3">
      <c r="A203" s="147"/>
      <c r="B203" s="205">
        <f t="shared" si="38"/>
        <v>15</v>
      </c>
      <c r="C203" s="206">
        <v>44914</v>
      </c>
      <c r="D203" s="161" t="s">
        <v>9</v>
      </c>
      <c r="E203" s="161" t="s">
        <v>4055</v>
      </c>
      <c r="F203" s="207">
        <v>250</v>
      </c>
      <c r="G203" s="207">
        <v>307</v>
      </c>
      <c r="H203" s="161">
        <f>307-250</f>
        <v>57</v>
      </c>
      <c r="I203" s="207">
        <v>100</v>
      </c>
      <c r="J203" s="242">
        <f t="shared" si="35"/>
        <v>5700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16</v>
      </c>
      <c r="C204" s="206">
        <v>44915</v>
      </c>
      <c r="D204" s="161" t="s">
        <v>9</v>
      </c>
      <c r="E204" s="161" t="s">
        <v>4015</v>
      </c>
      <c r="F204" s="207">
        <v>320</v>
      </c>
      <c r="G204" s="207">
        <v>480</v>
      </c>
      <c r="H204" s="161">
        <v>160</v>
      </c>
      <c r="I204" s="207">
        <v>100</v>
      </c>
      <c r="J204" s="242">
        <v>16000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17</v>
      </c>
      <c r="C205" s="206">
        <v>44916</v>
      </c>
      <c r="D205" s="161" t="s">
        <v>9</v>
      </c>
      <c r="E205" s="161" t="s">
        <v>4050</v>
      </c>
      <c r="F205" s="207">
        <v>320</v>
      </c>
      <c r="G205" s="207">
        <v>520</v>
      </c>
      <c r="H205" s="161">
        <v>200</v>
      </c>
      <c r="I205" s="207">
        <v>100</v>
      </c>
      <c r="J205" s="242">
        <v>20000</v>
      </c>
      <c r="K205" s="153"/>
      <c r="V205" s="25">
        <f t="shared" si="36"/>
        <v>1</v>
      </c>
      <c r="W205" s="25">
        <f t="shared" si="37"/>
        <v>0</v>
      </c>
    </row>
    <row r="206" spans="1:23" x14ac:dyDescent="0.3">
      <c r="A206" s="147"/>
      <c r="B206" s="205">
        <f t="shared" si="38"/>
        <v>18</v>
      </c>
      <c r="C206" s="206">
        <v>44917</v>
      </c>
      <c r="D206" s="161" t="s">
        <v>9</v>
      </c>
      <c r="E206" s="161" t="s">
        <v>4053</v>
      </c>
      <c r="F206" s="207">
        <v>300</v>
      </c>
      <c r="G206" s="207">
        <v>368</v>
      </c>
      <c r="H206" s="161">
        <v>68</v>
      </c>
      <c r="I206" s="207">
        <v>100</v>
      </c>
      <c r="J206" s="242">
        <v>6800</v>
      </c>
      <c r="K206" s="153"/>
      <c r="V206" s="25">
        <f t="shared" si="36"/>
        <v>1</v>
      </c>
      <c r="W206" s="25">
        <f t="shared" si="37"/>
        <v>0</v>
      </c>
    </row>
    <row r="207" spans="1:23" x14ac:dyDescent="0.3">
      <c r="A207" s="147"/>
      <c r="B207" s="205">
        <f t="shared" si="38"/>
        <v>19</v>
      </c>
      <c r="C207" s="206">
        <v>44918</v>
      </c>
      <c r="D207" s="161" t="s">
        <v>9</v>
      </c>
      <c r="E207" s="161" t="s">
        <v>4054</v>
      </c>
      <c r="F207" s="207">
        <v>390</v>
      </c>
      <c r="G207" s="207">
        <v>590</v>
      </c>
      <c r="H207" s="161">
        <v>200</v>
      </c>
      <c r="I207" s="207">
        <v>100</v>
      </c>
      <c r="J207" s="242">
        <v>20000</v>
      </c>
      <c r="K207" s="153"/>
      <c r="V207" s="25">
        <f t="shared" si="36"/>
        <v>1</v>
      </c>
      <c r="W207" s="25">
        <f t="shared" si="37"/>
        <v>0</v>
      </c>
    </row>
    <row r="208" spans="1:23" ht="15" thickBot="1" x14ac:dyDescent="0.35">
      <c r="A208" s="147"/>
      <c r="B208" s="205">
        <f t="shared" si="38"/>
        <v>20</v>
      </c>
      <c r="C208" s="206">
        <v>44921</v>
      </c>
      <c r="D208" s="161" t="s">
        <v>9</v>
      </c>
      <c r="E208" s="161" t="s">
        <v>4056</v>
      </c>
      <c r="F208" s="207">
        <v>380</v>
      </c>
      <c r="G208" s="207">
        <v>580</v>
      </c>
      <c r="H208" s="161">
        <v>200</v>
      </c>
      <c r="I208" s="207">
        <v>100</v>
      </c>
      <c r="J208" s="244">
        <f t="shared" si="35"/>
        <v>20000</v>
      </c>
      <c r="K208" s="153"/>
      <c r="V208" s="25">
        <f t="shared" si="36"/>
        <v>1</v>
      </c>
      <c r="W208" s="25">
        <f t="shared" si="37"/>
        <v>0</v>
      </c>
    </row>
    <row r="209" spans="1:23" ht="15" thickBot="1" x14ac:dyDescent="0.35">
      <c r="A209" s="147"/>
      <c r="B209" s="205">
        <f t="shared" si="38"/>
        <v>21</v>
      </c>
      <c r="C209" s="206">
        <v>44922</v>
      </c>
      <c r="D209" s="161" t="s">
        <v>9</v>
      </c>
      <c r="E209" s="161" t="s">
        <v>4059</v>
      </c>
      <c r="F209" s="207">
        <v>300</v>
      </c>
      <c r="G209" s="207">
        <v>200</v>
      </c>
      <c r="H209" s="161">
        <v>-100</v>
      </c>
      <c r="I209" s="207">
        <v>100</v>
      </c>
      <c r="J209" s="244">
        <f t="shared" si="35"/>
        <v>-10000</v>
      </c>
      <c r="K209" s="153"/>
      <c r="V209" s="25">
        <f t="shared" si="36"/>
        <v>0</v>
      </c>
      <c r="W209" s="25">
        <f t="shared" si="37"/>
        <v>1</v>
      </c>
    </row>
    <row r="210" spans="1:23" ht="15" thickBot="1" x14ac:dyDescent="0.35">
      <c r="A210" s="147"/>
      <c r="B210" s="205">
        <f t="shared" si="38"/>
        <v>22</v>
      </c>
      <c r="C210" s="206">
        <v>44923</v>
      </c>
      <c r="D210" s="161" t="s">
        <v>9</v>
      </c>
      <c r="E210" s="161" t="s">
        <v>4013</v>
      </c>
      <c r="F210" s="207">
        <v>250</v>
      </c>
      <c r="G210" s="207">
        <v>290</v>
      </c>
      <c r="H210" s="161">
        <v>40</v>
      </c>
      <c r="I210" s="207">
        <v>100</v>
      </c>
      <c r="J210" s="244">
        <f t="shared" si="35"/>
        <v>4000</v>
      </c>
      <c r="K210" s="153"/>
      <c r="V210" s="25">
        <f t="shared" si="36"/>
        <v>1</v>
      </c>
      <c r="W210" s="25">
        <f t="shared" si="37"/>
        <v>0</v>
      </c>
    </row>
    <row r="211" spans="1:23" ht="15" thickBot="1" x14ac:dyDescent="0.35">
      <c r="A211" s="147"/>
      <c r="B211" s="269">
        <v>23</v>
      </c>
      <c r="C211" s="264">
        <v>44924</v>
      </c>
      <c r="D211" s="265" t="s">
        <v>9</v>
      </c>
      <c r="E211" s="265" t="s">
        <v>4053</v>
      </c>
      <c r="F211" s="266">
        <v>220</v>
      </c>
      <c r="G211" s="266">
        <v>120</v>
      </c>
      <c r="H211" s="265">
        <v>-100</v>
      </c>
      <c r="I211" s="266">
        <v>100</v>
      </c>
      <c r="J211" s="244">
        <f t="shared" si="35"/>
        <v>-10000</v>
      </c>
      <c r="K211" s="153"/>
    </row>
    <row r="212" spans="1:23" ht="15" thickBot="1" x14ac:dyDescent="0.35">
      <c r="A212" s="147"/>
      <c r="B212" s="208">
        <v>24</v>
      </c>
      <c r="C212" s="209">
        <v>44925</v>
      </c>
      <c r="D212" s="166" t="s">
        <v>9</v>
      </c>
      <c r="E212" s="166" t="s">
        <v>4055</v>
      </c>
      <c r="F212" s="210">
        <v>320</v>
      </c>
      <c r="G212" s="210">
        <v>270</v>
      </c>
      <c r="H212" s="166">
        <v>-50</v>
      </c>
      <c r="I212" s="210">
        <v>100</v>
      </c>
      <c r="J212" s="244">
        <f t="shared" si="35"/>
        <v>-5000</v>
      </c>
      <c r="K212" s="153"/>
      <c r="V212" s="25">
        <f t="shared" si="36"/>
        <v>0</v>
      </c>
      <c r="W212" s="25">
        <f t="shared" si="37"/>
        <v>1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145000</v>
      </c>
      <c r="K213" s="153"/>
      <c r="V213" s="25">
        <f>SUM(V189:V212)</f>
        <v>18</v>
      </c>
      <c r="W213" s="25">
        <f>SUM(W189:W212)</f>
        <v>5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4021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44896</v>
      </c>
      <c r="D221" s="185" t="s">
        <v>9</v>
      </c>
      <c r="E221" s="185" t="s">
        <v>3771</v>
      </c>
      <c r="F221" s="231">
        <v>64</v>
      </c>
      <c r="G221" s="231">
        <v>54</v>
      </c>
      <c r="H221" s="231">
        <v>-10</v>
      </c>
      <c r="I221" s="219">
        <v>250</v>
      </c>
      <c r="J221" s="246">
        <f t="shared" ref="J221:J244" si="39">I221*H221</f>
        <v>-2500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>B221+1</f>
        <v>2</v>
      </c>
      <c r="C222" s="218">
        <v>44897</v>
      </c>
      <c r="D222" s="185" t="s">
        <v>9</v>
      </c>
      <c r="E222" s="185" t="s">
        <v>4024</v>
      </c>
      <c r="F222" s="231">
        <v>155</v>
      </c>
      <c r="G222" s="231">
        <v>205</v>
      </c>
      <c r="H222" s="231">
        <f>205-155</f>
        <v>50</v>
      </c>
      <c r="I222" s="219">
        <v>200</v>
      </c>
      <c r="J222" s="242">
        <f>I222*H222</f>
        <v>10000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40">B222+1</f>
        <v>3</v>
      </c>
      <c r="C223" s="206">
        <v>44900</v>
      </c>
      <c r="D223" s="161" t="s">
        <v>9</v>
      </c>
      <c r="E223" s="161" t="s">
        <v>4027</v>
      </c>
      <c r="F223" s="222">
        <v>57</v>
      </c>
      <c r="G223" s="222">
        <v>66.400000000000006</v>
      </c>
      <c r="H223" s="222">
        <f>66.4-57</f>
        <v>9.4000000000000057</v>
      </c>
      <c r="I223" s="207">
        <v>400</v>
      </c>
      <c r="J223" s="242">
        <f t="shared" si="39"/>
        <v>3760.0000000000023</v>
      </c>
      <c r="K223" s="153"/>
      <c r="V223" s="25">
        <f t="shared" ref="V223:V244" si="41">IF($J223&gt;0,1,0)</f>
        <v>1</v>
      </c>
      <c r="W223" s="25">
        <f t="shared" ref="W223:W244" si="42">IF($J223&lt;0,1,0)</f>
        <v>0</v>
      </c>
    </row>
    <row r="224" spans="1:23" x14ac:dyDescent="0.3">
      <c r="A224" s="147"/>
      <c r="B224" s="205">
        <f t="shared" si="40"/>
        <v>4</v>
      </c>
      <c r="C224" s="206">
        <v>44901</v>
      </c>
      <c r="D224" s="161" t="s">
        <v>9</v>
      </c>
      <c r="E224" s="161" t="s">
        <v>4028</v>
      </c>
      <c r="F224" s="222">
        <v>100</v>
      </c>
      <c r="G224" s="222">
        <v>107</v>
      </c>
      <c r="H224" s="222">
        <v>7</v>
      </c>
      <c r="I224" s="207">
        <v>475</v>
      </c>
      <c r="J224" s="242">
        <f t="shared" si="39"/>
        <v>3325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5</v>
      </c>
      <c r="C225" s="206">
        <v>44902</v>
      </c>
      <c r="D225" s="161" t="s">
        <v>9</v>
      </c>
      <c r="E225" s="161" t="s">
        <v>4031</v>
      </c>
      <c r="F225" s="222">
        <v>11.5</v>
      </c>
      <c r="G225" s="222">
        <v>14.4</v>
      </c>
      <c r="H225" s="222">
        <f>14.4-11.5</f>
        <v>2.9000000000000004</v>
      </c>
      <c r="I225" s="207">
        <v>1650</v>
      </c>
      <c r="J225" s="242">
        <f t="shared" si="39"/>
        <v>4785.0000000000009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6</v>
      </c>
      <c r="C226" s="206">
        <v>44903</v>
      </c>
      <c r="D226" s="161" t="s">
        <v>9</v>
      </c>
      <c r="E226" s="161" t="s">
        <v>4032</v>
      </c>
      <c r="F226" s="222">
        <v>24</v>
      </c>
      <c r="G226" s="222">
        <v>25.5</v>
      </c>
      <c r="H226" s="222">
        <v>1.5</v>
      </c>
      <c r="I226" s="207">
        <v>875</v>
      </c>
      <c r="J226" s="242">
        <f t="shared" si="39"/>
        <v>1312.5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7</v>
      </c>
      <c r="C227" s="206">
        <v>44904</v>
      </c>
      <c r="D227" s="161" t="s">
        <v>9</v>
      </c>
      <c r="E227" s="161" t="s">
        <v>4034</v>
      </c>
      <c r="F227" s="222">
        <v>135</v>
      </c>
      <c r="G227" s="222">
        <v>151</v>
      </c>
      <c r="H227" s="222">
        <f>151-135</f>
        <v>16</v>
      </c>
      <c r="I227" s="207">
        <v>250</v>
      </c>
      <c r="J227" s="242">
        <f t="shared" si="39"/>
        <v>4000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8</v>
      </c>
      <c r="C228" s="206">
        <v>44907</v>
      </c>
      <c r="D228" s="161" t="s">
        <v>9</v>
      </c>
      <c r="E228" s="161" t="s">
        <v>4035</v>
      </c>
      <c r="F228" s="222">
        <v>26</v>
      </c>
      <c r="G228" s="222">
        <v>29.65</v>
      </c>
      <c r="H228" s="222">
        <f>29.65-26</f>
        <v>3.6499999999999986</v>
      </c>
      <c r="I228" s="207">
        <v>550</v>
      </c>
      <c r="J228" s="242">
        <f t="shared" si="39"/>
        <v>2007.4999999999993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9</v>
      </c>
      <c r="C229" s="206">
        <v>44908</v>
      </c>
      <c r="D229" s="161" t="s">
        <v>9</v>
      </c>
      <c r="E229" s="161" t="s">
        <v>4038</v>
      </c>
      <c r="F229" s="222">
        <v>60</v>
      </c>
      <c r="G229" s="222">
        <v>80</v>
      </c>
      <c r="H229" s="255">
        <v>20</v>
      </c>
      <c r="I229" s="207">
        <v>300</v>
      </c>
      <c r="J229" s="242">
        <f t="shared" si="39"/>
        <v>6000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10</v>
      </c>
      <c r="C230" s="206">
        <v>44909</v>
      </c>
      <c r="D230" s="161" t="s">
        <v>9</v>
      </c>
      <c r="E230" s="161" t="s">
        <v>4039</v>
      </c>
      <c r="F230" s="222">
        <v>85</v>
      </c>
      <c r="G230" s="222">
        <v>91</v>
      </c>
      <c r="H230" s="255">
        <f>91-85</f>
        <v>6</v>
      </c>
      <c r="I230" s="207">
        <v>125</v>
      </c>
      <c r="J230" s="242">
        <f t="shared" si="39"/>
        <v>750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11</v>
      </c>
      <c r="C231" s="206">
        <v>44910</v>
      </c>
      <c r="D231" s="161" t="s">
        <v>9</v>
      </c>
      <c r="E231" s="161" t="s">
        <v>4043</v>
      </c>
      <c r="F231" s="222">
        <v>2.4</v>
      </c>
      <c r="G231" s="222">
        <v>2.6</v>
      </c>
      <c r="H231" s="255">
        <f>2.6-2.4</f>
        <v>0.20000000000000018</v>
      </c>
      <c r="I231" s="207">
        <v>15000</v>
      </c>
      <c r="J231" s="242">
        <f t="shared" si="39"/>
        <v>3000.0000000000027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12</v>
      </c>
      <c r="C232" s="206">
        <v>44911</v>
      </c>
      <c r="D232" s="161" t="s">
        <v>9</v>
      </c>
      <c r="E232" s="161" t="s">
        <v>4044</v>
      </c>
      <c r="F232" s="222">
        <v>80</v>
      </c>
      <c r="G232" s="222">
        <v>97</v>
      </c>
      <c r="H232" s="255">
        <f>97-80</f>
        <v>17</v>
      </c>
      <c r="I232" s="207">
        <v>175</v>
      </c>
      <c r="J232" s="242">
        <f t="shared" si="39"/>
        <v>2975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13</v>
      </c>
      <c r="C233" s="206">
        <v>44914</v>
      </c>
      <c r="D233" s="161" t="s">
        <v>9</v>
      </c>
      <c r="E233" s="161" t="s">
        <v>4048</v>
      </c>
      <c r="F233" s="222">
        <v>7.5</v>
      </c>
      <c r="G233" s="222">
        <v>10.8</v>
      </c>
      <c r="H233" s="255">
        <f>10.8-7.5</f>
        <v>3.3000000000000007</v>
      </c>
      <c r="I233" s="207">
        <v>1500</v>
      </c>
      <c r="J233" s="242">
        <f t="shared" si="39"/>
        <v>4950.0000000000009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14</v>
      </c>
      <c r="C234" s="206">
        <v>44915</v>
      </c>
      <c r="D234" s="161" t="s">
        <v>9</v>
      </c>
      <c r="E234" s="161" t="s">
        <v>4034</v>
      </c>
      <c r="F234" s="222">
        <v>100</v>
      </c>
      <c r="G234" s="222">
        <v>133.5</v>
      </c>
      <c r="H234" s="255">
        <v>33.5</v>
      </c>
      <c r="I234" s="207">
        <v>250</v>
      </c>
      <c r="J234" s="242">
        <f>I234*H234</f>
        <v>8375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15</v>
      </c>
      <c r="C235" s="206">
        <v>44916</v>
      </c>
      <c r="D235" s="161" t="s">
        <v>9</v>
      </c>
      <c r="E235" s="161" t="s">
        <v>4051</v>
      </c>
      <c r="F235" s="222">
        <v>22</v>
      </c>
      <c r="G235" s="222">
        <v>17</v>
      </c>
      <c r="H235" s="255">
        <v>-5</v>
      </c>
      <c r="I235" s="207">
        <v>625</v>
      </c>
      <c r="J235" s="242">
        <f t="shared" si="39"/>
        <v>-3125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16</v>
      </c>
      <c r="C236" s="206">
        <v>44918</v>
      </c>
      <c r="D236" s="161" t="s">
        <v>9</v>
      </c>
      <c r="E236" s="161" t="s">
        <v>4052</v>
      </c>
      <c r="F236" s="222">
        <v>47</v>
      </c>
      <c r="G236" s="222">
        <v>56.85</v>
      </c>
      <c r="H236" s="222">
        <f>56.85-47</f>
        <v>9.8500000000000014</v>
      </c>
      <c r="I236" s="207">
        <v>475</v>
      </c>
      <c r="J236" s="242">
        <f t="shared" si="39"/>
        <v>4678.7500000000009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17</v>
      </c>
      <c r="C237" s="206">
        <v>44921</v>
      </c>
      <c r="D237" s="161" t="s">
        <v>9</v>
      </c>
      <c r="E237" s="161" t="s">
        <v>3571</v>
      </c>
      <c r="F237" s="222">
        <v>11</v>
      </c>
      <c r="G237" s="222">
        <v>21</v>
      </c>
      <c r="H237" s="222">
        <f>21-11</f>
        <v>10</v>
      </c>
      <c r="I237" s="207">
        <v>450</v>
      </c>
      <c r="J237" s="242">
        <f t="shared" si="39"/>
        <v>4500</v>
      </c>
      <c r="K237" s="153"/>
      <c r="V237" s="25">
        <f t="shared" si="41"/>
        <v>1</v>
      </c>
      <c r="W237" s="25">
        <f t="shared" si="42"/>
        <v>0</v>
      </c>
    </row>
    <row r="238" spans="1:23" x14ac:dyDescent="0.3">
      <c r="A238" s="147"/>
      <c r="B238" s="205">
        <f t="shared" si="40"/>
        <v>18</v>
      </c>
      <c r="C238" s="206">
        <v>44922</v>
      </c>
      <c r="D238" s="161" t="s">
        <v>9</v>
      </c>
      <c r="E238" s="161" t="s">
        <v>4057</v>
      </c>
      <c r="F238" s="222">
        <v>8</v>
      </c>
      <c r="G238" s="222">
        <v>3.8</v>
      </c>
      <c r="H238" s="222">
        <v>-4.2</v>
      </c>
      <c r="I238" s="207">
        <v>1000</v>
      </c>
      <c r="J238" s="242">
        <f t="shared" si="39"/>
        <v>-4200</v>
      </c>
      <c r="K238" s="153"/>
      <c r="V238" s="25">
        <f t="shared" si="41"/>
        <v>0</v>
      </c>
      <c r="W238" s="25">
        <f t="shared" si="42"/>
        <v>1</v>
      </c>
    </row>
    <row r="239" spans="1:23" x14ac:dyDescent="0.3">
      <c r="A239" s="147"/>
      <c r="B239" s="205">
        <f t="shared" si="40"/>
        <v>19</v>
      </c>
      <c r="C239" s="206">
        <v>44923</v>
      </c>
      <c r="D239" s="161" t="s">
        <v>9</v>
      </c>
      <c r="E239" s="161" t="s">
        <v>4058</v>
      </c>
      <c r="F239" s="222">
        <v>6</v>
      </c>
      <c r="G239" s="222">
        <v>12</v>
      </c>
      <c r="H239" s="222">
        <v>6</v>
      </c>
      <c r="I239" s="207">
        <v>1300</v>
      </c>
      <c r="J239" s="242">
        <f t="shared" si="39"/>
        <v>7800</v>
      </c>
      <c r="K239" s="153"/>
      <c r="V239" s="25">
        <f t="shared" si="41"/>
        <v>1</v>
      </c>
      <c r="W239" s="25">
        <f t="shared" si="42"/>
        <v>0</v>
      </c>
    </row>
    <row r="240" spans="1:23" x14ac:dyDescent="0.3">
      <c r="A240" s="147"/>
      <c r="B240" s="205">
        <f t="shared" si="40"/>
        <v>20</v>
      </c>
      <c r="C240" s="206">
        <v>44924</v>
      </c>
      <c r="D240" s="161" t="s">
        <v>9</v>
      </c>
      <c r="E240" s="161" t="s">
        <v>3989</v>
      </c>
      <c r="F240" s="222">
        <v>7</v>
      </c>
      <c r="G240" s="222">
        <v>11.4</v>
      </c>
      <c r="H240" s="222">
        <v>4.4000000000000004</v>
      </c>
      <c r="I240" s="207">
        <v>1375</v>
      </c>
      <c r="J240" s="242">
        <f t="shared" si="39"/>
        <v>6050.0000000000009</v>
      </c>
      <c r="K240" s="153"/>
      <c r="V240" s="25">
        <f t="shared" si="41"/>
        <v>1</v>
      </c>
      <c r="W240" s="25">
        <f t="shared" si="42"/>
        <v>0</v>
      </c>
    </row>
    <row r="241" spans="1:23" x14ac:dyDescent="0.3">
      <c r="A241" s="147"/>
      <c r="B241" s="205">
        <f t="shared" si="40"/>
        <v>21</v>
      </c>
      <c r="C241" s="206">
        <v>44925</v>
      </c>
      <c r="D241" s="161" t="s">
        <v>9</v>
      </c>
      <c r="E241" s="161" t="s">
        <v>4060</v>
      </c>
      <c r="F241" s="222">
        <v>62</v>
      </c>
      <c r="G241" s="222">
        <v>77.400000000000006</v>
      </c>
      <c r="H241" s="222">
        <f>77.4-62</f>
        <v>15.400000000000006</v>
      </c>
      <c r="I241" s="207">
        <v>375</v>
      </c>
      <c r="J241" s="242">
        <f t="shared" si="39"/>
        <v>5775.0000000000018</v>
      </c>
      <c r="K241" s="153"/>
      <c r="V241" s="25">
        <f t="shared" si="41"/>
        <v>1</v>
      </c>
      <c r="W241" s="25">
        <f t="shared" si="42"/>
        <v>0</v>
      </c>
    </row>
    <row r="242" spans="1:23" x14ac:dyDescent="0.3">
      <c r="A242" s="147"/>
      <c r="B242" s="205">
        <f t="shared" si="40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9"/>
        <v>0</v>
      </c>
      <c r="K242" s="153"/>
      <c r="V242" s="25">
        <f t="shared" si="41"/>
        <v>0</v>
      </c>
      <c r="W242" s="25">
        <f t="shared" si="42"/>
        <v>0</v>
      </c>
    </row>
    <row r="243" spans="1:23" x14ac:dyDescent="0.3">
      <c r="A243" s="147"/>
      <c r="B243" s="205">
        <f t="shared" si="40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9"/>
        <v>0</v>
      </c>
      <c r="K243" s="153"/>
      <c r="V243" s="25">
        <f t="shared" si="41"/>
        <v>0</v>
      </c>
      <c r="W243" s="25">
        <f t="shared" si="42"/>
        <v>0</v>
      </c>
    </row>
    <row r="244" spans="1:23" ht="15" thickBot="1" x14ac:dyDescent="0.35">
      <c r="A244" s="147"/>
      <c r="B244" s="208">
        <f t="shared" si="40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9"/>
        <v>0</v>
      </c>
      <c r="K244" s="153"/>
      <c r="V244" s="25">
        <f t="shared" si="41"/>
        <v>0</v>
      </c>
      <c r="W244" s="25">
        <f t="shared" si="42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74218.75</v>
      </c>
      <c r="K245" s="153"/>
      <c r="V245" s="25">
        <f>SUM(V221:V244)</f>
        <v>18</v>
      </c>
      <c r="W245" s="25">
        <f>SUM(W221:W244)</f>
        <v>3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400-000000000000}"/>
    <hyperlink ref="B117" r:id="rId2" xr:uid="{00000000-0004-0000-7400-000001000000}"/>
    <hyperlink ref="B150" r:id="rId3" xr:uid="{00000000-0004-0000-7400-000002000000}"/>
    <hyperlink ref="B181" r:id="rId4" xr:uid="{00000000-0004-0000-7400-000003000000}"/>
    <hyperlink ref="B213" r:id="rId5" xr:uid="{00000000-0004-0000-7400-000004000000}"/>
    <hyperlink ref="B245" r:id="rId6" xr:uid="{00000000-0004-0000-7400-000005000000}"/>
    <hyperlink ref="M1" location="'MASTER '!A1" display="Back" xr:uid="{00000000-0004-0000-7400-000006000000}"/>
    <hyperlink ref="M6:M7" location="'DEC 2022'!A77" display="STOCK FUTURE" xr:uid="{00000000-0004-0000-7400-000007000000}"/>
    <hyperlink ref="M12:M13" location="'DEC 2022'!A170" display="BANK NIFTY" xr:uid="{00000000-0004-0000-7400-000008000000}"/>
    <hyperlink ref="M10:M11" location="'DEC 2022'!A139" display="NF. OPTION" xr:uid="{00000000-0004-0000-7400-000009000000}"/>
    <hyperlink ref="M8:M9" location="'DEC 2022'!A108" display="NIFTY FUTURE" xr:uid="{00000000-0004-0000-7400-00000A000000}"/>
    <hyperlink ref="M4:M5" location="'NOV 2022'!A1" display="CASH" xr:uid="{00000000-0004-0000-7400-00000B000000}"/>
    <hyperlink ref="M14:M15" location="'DEC 2022'!A201" display="B.NIFTY OPTION" xr:uid="{00000000-0004-0000-7400-00000C000000}"/>
    <hyperlink ref="M16:M17" location="'DEC 2022'!A216" display="STOCK OPTION" xr:uid="{00000000-0004-0000-7400-00000D000000}"/>
    <hyperlink ref="B52" r:id="rId7" xr:uid="{00000000-0004-0000-7400-00000E000000}"/>
  </hyperlinks>
  <pageMargins left="0" right="0" top="0" bottom="0" header="0" footer="0"/>
  <pageSetup scale="95" orientation="portrait" r:id="rId8"/>
  <drawing r:id="rId9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W246"/>
  <sheetViews>
    <sheetView topLeftCell="A4" zoomScaleNormal="100" workbookViewId="0">
      <selection activeCell="O95" sqref="O9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4061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35</v>
      </c>
      <c r="P4" s="386">
        <f>W52</f>
        <v>7</v>
      </c>
      <c r="Q4" s="387">
        <f>N4-O4-P4</f>
        <v>0</v>
      </c>
      <c r="R4" s="380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44928</v>
      </c>
      <c r="D6" s="158" t="s">
        <v>9</v>
      </c>
      <c r="E6" s="158" t="s">
        <v>4064</v>
      </c>
      <c r="F6" s="230">
        <v>140.5</v>
      </c>
      <c r="G6" s="222">
        <v>138.5</v>
      </c>
      <c r="H6" s="222">
        <v>-2</v>
      </c>
      <c r="I6" s="207">
        <f t="shared" ref="I6:I7" si="0">300000/F6</f>
        <v>2135.2313167259786</v>
      </c>
      <c r="J6" s="161">
        <f t="shared" ref="J6:J7" si="1">H6*I6</f>
        <v>-4270.4626334519571</v>
      </c>
      <c r="K6" s="153"/>
      <c r="M6" s="394" t="s">
        <v>450</v>
      </c>
      <c r="N6" s="344">
        <f>COUNT(C60:C85)</f>
        <v>22</v>
      </c>
      <c r="O6" s="346">
        <f>V86</f>
        <v>20</v>
      </c>
      <c r="P6" s="346">
        <f>W86</f>
        <v>1</v>
      </c>
      <c r="Q6" s="374">
        <f>N6-O6-P6</f>
        <v>1</v>
      </c>
      <c r="R6" s="376">
        <f t="shared" ref="R6" si="2">O6/N6</f>
        <v>0.90909090909090906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44928</v>
      </c>
      <c r="D7" s="161" t="s">
        <v>9</v>
      </c>
      <c r="E7" s="161" t="s">
        <v>157</v>
      </c>
      <c r="F7" s="222">
        <v>888</v>
      </c>
      <c r="G7" s="231">
        <v>891</v>
      </c>
      <c r="H7" s="255">
        <f>891-888</f>
        <v>3</v>
      </c>
      <c r="I7" s="207">
        <f t="shared" si="0"/>
        <v>337.83783783783781</v>
      </c>
      <c r="J7" s="161">
        <f t="shared" si="1"/>
        <v>1013.5135135135134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44929</v>
      </c>
      <c r="D8" s="161" t="s">
        <v>9</v>
      </c>
      <c r="E8" s="161" t="s">
        <v>95</v>
      </c>
      <c r="F8" s="222">
        <v>903</v>
      </c>
      <c r="G8" s="222">
        <v>900</v>
      </c>
      <c r="H8" s="222">
        <v>-3</v>
      </c>
      <c r="I8" s="207">
        <f t="shared" ref="I8:I47" si="6">300000/F8</f>
        <v>332.22591362126246</v>
      </c>
      <c r="J8" s="161">
        <f t="shared" ref="J8:J47" si="7">H8*I8</f>
        <v>-996.67774086378745</v>
      </c>
      <c r="K8" s="153"/>
      <c r="M8" s="394" t="s">
        <v>451</v>
      </c>
      <c r="N8" s="344">
        <f>COUNT(C94:C116)</f>
        <v>21</v>
      </c>
      <c r="O8" s="346">
        <f>V117</f>
        <v>20</v>
      </c>
      <c r="P8" s="346">
        <f>W117</f>
        <v>1</v>
      </c>
      <c r="Q8" s="374">
        <f>N8-O8-P8</f>
        <v>0</v>
      </c>
      <c r="R8" s="376">
        <f t="shared" ref="R8" si="8">O8/N8</f>
        <v>0.95238095238095233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44929</v>
      </c>
      <c r="D9" s="161" t="s">
        <v>8</v>
      </c>
      <c r="E9" s="161" t="s">
        <v>250</v>
      </c>
      <c r="F9" s="222">
        <v>2435</v>
      </c>
      <c r="G9" s="231">
        <v>2428</v>
      </c>
      <c r="H9" s="255">
        <f>2435-2428</f>
        <v>7</v>
      </c>
      <c r="I9" s="207">
        <f t="shared" si="6"/>
        <v>123.20328542094455</v>
      </c>
      <c r="J9" s="161">
        <f t="shared" si="7"/>
        <v>862.42299794661187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44930</v>
      </c>
      <c r="D10" s="161" t="s">
        <v>9</v>
      </c>
      <c r="E10" s="161" t="s">
        <v>3706</v>
      </c>
      <c r="F10" s="222">
        <v>581</v>
      </c>
      <c r="G10" s="222">
        <v>586</v>
      </c>
      <c r="H10" s="222">
        <v>5</v>
      </c>
      <c r="I10" s="207">
        <f t="shared" si="6"/>
        <v>516.35111876075734</v>
      </c>
      <c r="J10" s="161">
        <f t="shared" si="7"/>
        <v>2581.7555938037867</v>
      </c>
      <c r="K10" s="153"/>
      <c r="M10" s="394" t="s">
        <v>1176</v>
      </c>
      <c r="N10" s="344">
        <f>COUNT(C125:C149)</f>
        <v>21</v>
      </c>
      <c r="O10" s="346">
        <f>V150</f>
        <v>18</v>
      </c>
      <c r="P10" s="346">
        <f>W150</f>
        <v>3</v>
      </c>
      <c r="Q10" s="374">
        <f>N10-O10-P10</f>
        <v>0</v>
      </c>
      <c r="R10" s="376">
        <f t="shared" ref="R10:R16" si="9">O10/N10</f>
        <v>0.8571428571428571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44930</v>
      </c>
      <c r="D11" s="161" t="s">
        <v>9</v>
      </c>
      <c r="E11" s="161" t="s">
        <v>3453</v>
      </c>
      <c r="F11" s="222">
        <v>1370</v>
      </c>
      <c r="G11" s="222">
        <v>1355</v>
      </c>
      <c r="H11" s="255">
        <v>-15</v>
      </c>
      <c r="I11" s="207">
        <f t="shared" si="6"/>
        <v>218.97810218978103</v>
      </c>
      <c r="J11" s="161">
        <f t="shared" si="7"/>
        <v>-3284.6715328467153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44931</v>
      </c>
      <c r="D12" s="161" t="s">
        <v>9</v>
      </c>
      <c r="E12" s="161" t="s">
        <v>2298</v>
      </c>
      <c r="F12" s="222">
        <v>2160</v>
      </c>
      <c r="G12" s="222">
        <v>2200</v>
      </c>
      <c r="H12" s="222">
        <f>2200-2160</f>
        <v>40</v>
      </c>
      <c r="I12" s="207">
        <f t="shared" si="6"/>
        <v>138.88888888888889</v>
      </c>
      <c r="J12" s="161">
        <f t="shared" si="7"/>
        <v>5555.5555555555557</v>
      </c>
      <c r="K12" s="153"/>
      <c r="M12" s="394" t="s">
        <v>41</v>
      </c>
      <c r="N12" s="344">
        <f>COUNT(C158:C180)</f>
        <v>21</v>
      </c>
      <c r="O12" s="346">
        <f>V181</f>
        <v>20</v>
      </c>
      <c r="P12" s="346">
        <f>W181</f>
        <v>1</v>
      </c>
      <c r="Q12" s="374">
        <f t="shared" ref="Q12" si="10">N12-O12-P12</f>
        <v>0</v>
      </c>
      <c r="R12" s="376">
        <f t="shared" si="9"/>
        <v>0.95238095238095233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44931</v>
      </c>
      <c r="D13" s="161" t="s">
        <v>8</v>
      </c>
      <c r="E13" s="161" t="s">
        <v>95</v>
      </c>
      <c r="F13" s="222">
        <v>890</v>
      </c>
      <c r="G13" s="222">
        <v>875.5</v>
      </c>
      <c r="H13" s="255">
        <f>890-875.5</f>
        <v>14.5</v>
      </c>
      <c r="I13" s="207">
        <f t="shared" si="6"/>
        <v>337.07865168539325</v>
      </c>
      <c r="J13" s="161">
        <f t="shared" si="7"/>
        <v>4887.6404494382023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44932</v>
      </c>
      <c r="D14" s="161" t="s">
        <v>9</v>
      </c>
      <c r="E14" s="161" t="s">
        <v>3706</v>
      </c>
      <c r="F14" s="222">
        <v>578</v>
      </c>
      <c r="G14" s="222">
        <v>586.20000000000005</v>
      </c>
      <c r="H14" s="222">
        <v>8.1999999999999993</v>
      </c>
      <c r="I14" s="207">
        <f t="shared" si="6"/>
        <v>519.03114186851212</v>
      </c>
      <c r="J14" s="161">
        <f t="shared" si="7"/>
        <v>4256.0553633217987</v>
      </c>
      <c r="K14" s="153"/>
      <c r="M14" s="394" t="s">
        <v>1175</v>
      </c>
      <c r="N14" s="344">
        <f>COUNT(C189:C212)</f>
        <v>21</v>
      </c>
      <c r="O14" s="346">
        <f>V213</f>
        <v>17</v>
      </c>
      <c r="P14" s="346">
        <f>W213</f>
        <v>4</v>
      </c>
      <c r="Q14" s="374">
        <f t="shared" ref="Q14" si="11">N14-O14-P14</f>
        <v>0</v>
      </c>
      <c r="R14" s="376">
        <f t="shared" si="9"/>
        <v>0.80952380952380953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44932</v>
      </c>
      <c r="D15" s="161" t="s">
        <v>8</v>
      </c>
      <c r="E15" s="161" t="s">
        <v>814</v>
      </c>
      <c r="F15" s="222">
        <v>585</v>
      </c>
      <c r="G15" s="222">
        <v>586</v>
      </c>
      <c r="H15" s="222">
        <v>-1</v>
      </c>
      <c r="I15" s="207">
        <f t="shared" si="6"/>
        <v>512.82051282051282</v>
      </c>
      <c r="J15" s="161">
        <f t="shared" si="7"/>
        <v>-512.82051282051282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44935</v>
      </c>
      <c r="D16" s="161" t="s">
        <v>9</v>
      </c>
      <c r="E16" s="161" t="s">
        <v>3628</v>
      </c>
      <c r="F16" s="222">
        <v>2010</v>
      </c>
      <c r="G16" s="222">
        <v>2028</v>
      </c>
      <c r="H16" s="222">
        <f>2028-2010</f>
        <v>18</v>
      </c>
      <c r="I16" s="207">
        <f t="shared" si="6"/>
        <v>149.25373134328359</v>
      </c>
      <c r="J16" s="161">
        <f t="shared" si="7"/>
        <v>2686.5671641791046</v>
      </c>
      <c r="K16" s="153"/>
      <c r="L16" s="25" t="s">
        <v>2008</v>
      </c>
      <c r="M16" s="394" t="s">
        <v>1090</v>
      </c>
      <c r="N16" s="344">
        <f>COUNT(C221:C244)</f>
        <v>22</v>
      </c>
      <c r="O16" s="346">
        <f>V245</f>
        <v>20</v>
      </c>
      <c r="P16" s="346">
        <f>W245</f>
        <v>2</v>
      </c>
      <c r="Q16" s="374">
        <v>0</v>
      </c>
      <c r="R16" s="376">
        <f t="shared" si="9"/>
        <v>0.90909090909090906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44935</v>
      </c>
      <c r="D17" s="161" t="s">
        <v>8</v>
      </c>
      <c r="E17" s="161" t="s">
        <v>2093</v>
      </c>
      <c r="F17" s="222">
        <v>737</v>
      </c>
      <c r="G17" s="222">
        <v>730</v>
      </c>
      <c r="H17" s="222">
        <v>7</v>
      </c>
      <c r="I17" s="207">
        <f t="shared" si="6"/>
        <v>407.05563093622794</v>
      </c>
      <c r="J17" s="161">
        <f t="shared" si="7"/>
        <v>2849.3894165535958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44936</v>
      </c>
      <c r="D18" s="161" t="s">
        <v>9</v>
      </c>
      <c r="E18" s="161" t="s">
        <v>78</v>
      </c>
      <c r="F18" s="222">
        <v>2125</v>
      </c>
      <c r="G18" s="222">
        <v>2105</v>
      </c>
      <c r="H18" s="222">
        <v>-20</v>
      </c>
      <c r="I18" s="207">
        <f t="shared" si="6"/>
        <v>141.1764705882353</v>
      </c>
      <c r="J18" s="161">
        <f t="shared" si="7"/>
        <v>-2823.5294117647063</v>
      </c>
      <c r="K18" s="153"/>
      <c r="M18" s="392" t="s">
        <v>946</v>
      </c>
      <c r="N18" s="378">
        <f>SUM(N4:N17)</f>
        <v>170</v>
      </c>
      <c r="O18" s="378">
        <f t="shared" ref="O18:Q18" si="12">SUM(O4:O17)</f>
        <v>150</v>
      </c>
      <c r="P18" s="378">
        <f t="shared" si="12"/>
        <v>19</v>
      </c>
      <c r="Q18" s="378">
        <f t="shared" si="12"/>
        <v>1</v>
      </c>
      <c r="R18" s="380">
        <f t="shared" ref="R18" si="13">O18/N18</f>
        <v>0.88235294117647056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44936</v>
      </c>
      <c r="D19" s="161" t="s">
        <v>9</v>
      </c>
      <c r="E19" s="161" t="s">
        <v>3456</v>
      </c>
      <c r="F19" s="222">
        <v>717</v>
      </c>
      <c r="G19" s="222">
        <v>710</v>
      </c>
      <c r="H19" s="222">
        <v>-7</v>
      </c>
      <c r="I19" s="207">
        <f t="shared" si="6"/>
        <v>418.41004184100416</v>
      </c>
      <c r="J19" s="161">
        <f t="shared" si="7"/>
        <v>-2928.8702928870289</v>
      </c>
      <c r="K19" s="153"/>
      <c r="M19" s="393"/>
      <c r="N19" s="379"/>
      <c r="O19" s="379"/>
      <c r="P19" s="379"/>
      <c r="Q19" s="379"/>
      <c r="R19" s="377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44937</v>
      </c>
      <c r="D20" s="161" t="s">
        <v>8</v>
      </c>
      <c r="E20" s="161" t="s">
        <v>137</v>
      </c>
      <c r="F20" s="222">
        <v>2608</v>
      </c>
      <c r="G20" s="222">
        <v>2590.5</v>
      </c>
      <c r="H20" s="222">
        <v>17.2</v>
      </c>
      <c r="I20" s="207">
        <f t="shared" si="6"/>
        <v>115.03067484662577</v>
      </c>
      <c r="J20" s="161">
        <f t="shared" si="7"/>
        <v>1978.5276073619632</v>
      </c>
      <c r="K20" s="153"/>
      <c r="M20" s="316" t="s">
        <v>2253</v>
      </c>
      <c r="N20" s="317"/>
      <c r="O20" s="318"/>
      <c r="P20" s="325">
        <f>R18</f>
        <v>0.88235294117647056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44937</v>
      </c>
      <c r="D21" s="161" t="s">
        <v>8</v>
      </c>
      <c r="E21" s="161" t="s">
        <v>4073</v>
      </c>
      <c r="F21" s="222">
        <v>374</v>
      </c>
      <c r="G21" s="222">
        <v>366</v>
      </c>
      <c r="H21" s="222">
        <f>374-366</f>
        <v>8</v>
      </c>
      <c r="I21" s="207">
        <f t="shared" si="6"/>
        <v>802.13903743315507</v>
      </c>
      <c r="J21" s="161">
        <f t="shared" si="7"/>
        <v>6417.1122994652405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44938</v>
      </c>
      <c r="D22" s="161" t="s">
        <v>9</v>
      </c>
      <c r="E22" s="161" t="s">
        <v>365</v>
      </c>
      <c r="F22" s="222">
        <v>761</v>
      </c>
      <c r="G22" s="222">
        <v>763</v>
      </c>
      <c r="H22" s="222">
        <v>2</v>
      </c>
      <c r="I22" s="207">
        <f t="shared" si="6"/>
        <v>394.21813403416559</v>
      </c>
      <c r="J22" s="161">
        <f t="shared" si="7"/>
        <v>788.43626806833117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44938</v>
      </c>
      <c r="D23" s="161" t="s">
        <v>8</v>
      </c>
      <c r="E23" s="161" t="s">
        <v>98</v>
      </c>
      <c r="F23" s="222">
        <v>2685</v>
      </c>
      <c r="G23" s="222">
        <v>2665</v>
      </c>
      <c r="H23" s="222">
        <v>20</v>
      </c>
      <c r="I23" s="207">
        <f t="shared" si="6"/>
        <v>111.73184357541899</v>
      </c>
      <c r="J23" s="161">
        <f t="shared" si="7"/>
        <v>2234.63687150838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44939</v>
      </c>
      <c r="D24" s="161" t="s">
        <v>8</v>
      </c>
      <c r="E24" s="161" t="s">
        <v>119</v>
      </c>
      <c r="F24" s="222">
        <v>1772</v>
      </c>
      <c r="G24" s="222">
        <v>1759</v>
      </c>
      <c r="H24" s="222">
        <f>1772-1759</f>
        <v>13</v>
      </c>
      <c r="I24" s="207">
        <f t="shared" si="6"/>
        <v>169.30022573363431</v>
      </c>
      <c r="J24" s="161">
        <f t="shared" si="7"/>
        <v>2200.902934537246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44939</v>
      </c>
      <c r="D25" s="161" t="s">
        <v>8</v>
      </c>
      <c r="E25" s="161" t="s">
        <v>1407</v>
      </c>
      <c r="F25" s="222">
        <v>1465</v>
      </c>
      <c r="G25" s="222">
        <v>1457</v>
      </c>
      <c r="H25" s="222">
        <f>1465-1457</f>
        <v>8</v>
      </c>
      <c r="I25" s="207">
        <f t="shared" si="6"/>
        <v>204.77815699658703</v>
      </c>
      <c r="J25" s="161">
        <f t="shared" si="7"/>
        <v>1638.2252559726962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44942</v>
      </c>
      <c r="D26" s="161" t="s">
        <v>9</v>
      </c>
      <c r="E26" s="161" t="s">
        <v>3443</v>
      </c>
      <c r="F26" s="222">
        <v>1955</v>
      </c>
      <c r="G26" s="222">
        <v>1935</v>
      </c>
      <c r="H26" s="222">
        <v>-20</v>
      </c>
      <c r="I26" s="207">
        <f t="shared" si="6"/>
        <v>153.45268542199489</v>
      </c>
      <c r="J26" s="161">
        <f t="shared" si="7"/>
        <v>-3069.0537084398975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44942</v>
      </c>
      <c r="D27" s="161" t="s">
        <v>9</v>
      </c>
      <c r="E27" s="161" t="s">
        <v>3248</v>
      </c>
      <c r="F27" s="222">
        <v>1250</v>
      </c>
      <c r="G27" s="222">
        <v>1255</v>
      </c>
      <c r="H27" s="222">
        <v>5</v>
      </c>
      <c r="I27" s="207">
        <f t="shared" si="6"/>
        <v>240</v>
      </c>
      <c r="J27" s="161">
        <f t="shared" si="7"/>
        <v>1200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44943</v>
      </c>
      <c r="D28" s="161" t="s">
        <v>9</v>
      </c>
      <c r="E28" s="161" t="s">
        <v>3456</v>
      </c>
      <c r="F28" s="222">
        <v>712</v>
      </c>
      <c r="G28" s="222">
        <v>715</v>
      </c>
      <c r="H28" s="222">
        <v>3</v>
      </c>
      <c r="I28" s="207">
        <f t="shared" si="6"/>
        <v>421.34831460674155</v>
      </c>
      <c r="J28" s="161">
        <f t="shared" si="7"/>
        <v>1264.0449438202247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44943</v>
      </c>
      <c r="D29" s="161" t="s">
        <v>8</v>
      </c>
      <c r="E29" s="161" t="s">
        <v>184</v>
      </c>
      <c r="F29" s="222">
        <v>399</v>
      </c>
      <c r="G29" s="222">
        <v>393</v>
      </c>
      <c r="H29" s="222">
        <f>399-393</f>
        <v>6</v>
      </c>
      <c r="I29" s="207">
        <f t="shared" si="6"/>
        <v>751.87969924812035</v>
      </c>
      <c r="J29" s="161">
        <f t="shared" si="7"/>
        <v>4511.2781954887223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44944</v>
      </c>
      <c r="D30" s="161" t="s">
        <v>9</v>
      </c>
      <c r="E30" s="161" t="s">
        <v>3689</v>
      </c>
      <c r="F30" s="222">
        <v>403</v>
      </c>
      <c r="G30" s="222">
        <v>406.5</v>
      </c>
      <c r="H30" s="222">
        <v>3.5</v>
      </c>
      <c r="I30" s="207">
        <f t="shared" si="6"/>
        <v>744.41687344913146</v>
      </c>
      <c r="J30" s="161">
        <f t="shared" si="7"/>
        <v>2605.4590570719602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44944</v>
      </c>
      <c r="D31" s="161" t="s">
        <v>9</v>
      </c>
      <c r="E31" s="161" t="s">
        <v>119</v>
      </c>
      <c r="F31" s="223">
        <v>1818</v>
      </c>
      <c r="G31" s="222">
        <v>1823</v>
      </c>
      <c r="H31" s="255">
        <f>1823-1818</f>
        <v>5</v>
      </c>
      <c r="I31" s="207">
        <f t="shared" si="6"/>
        <v>165.01650165016503</v>
      </c>
      <c r="J31" s="161">
        <f t="shared" si="7"/>
        <v>825.08250825082519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44945</v>
      </c>
      <c r="D32" s="161" t="s">
        <v>9</v>
      </c>
      <c r="E32" s="161" t="s">
        <v>308</v>
      </c>
      <c r="F32" s="222">
        <v>245</v>
      </c>
      <c r="G32" s="222">
        <v>248</v>
      </c>
      <c r="H32" s="222">
        <v>3</v>
      </c>
      <c r="I32" s="207">
        <f t="shared" si="6"/>
        <v>1224.4897959183672</v>
      </c>
      <c r="J32" s="161">
        <f t="shared" si="7"/>
        <v>3673.4693877551017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44945</v>
      </c>
      <c r="D33" s="161" t="s">
        <v>8</v>
      </c>
      <c r="E33" s="161" t="s">
        <v>4079</v>
      </c>
      <c r="F33" s="223">
        <v>2920</v>
      </c>
      <c r="G33" s="222">
        <v>2909</v>
      </c>
      <c r="H33" s="255">
        <f>2920-2909</f>
        <v>11</v>
      </c>
      <c r="I33" s="207">
        <f t="shared" si="6"/>
        <v>102.73972602739725</v>
      </c>
      <c r="J33" s="161">
        <f t="shared" si="7"/>
        <v>1130.1369863013697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44946</v>
      </c>
      <c r="D34" s="161" t="s">
        <v>9</v>
      </c>
      <c r="E34" s="161" t="s">
        <v>2203</v>
      </c>
      <c r="F34" s="222">
        <v>870</v>
      </c>
      <c r="G34" s="222">
        <v>881</v>
      </c>
      <c r="H34" s="222">
        <v>11</v>
      </c>
      <c r="I34" s="207">
        <f t="shared" si="6"/>
        <v>344.82758620689657</v>
      </c>
      <c r="J34" s="161">
        <f t="shared" si="7"/>
        <v>3793.1034482758623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44946</v>
      </c>
      <c r="D35" s="161" t="s">
        <v>9</v>
      </c>
      <c r="E35" s="161" t="s">
        <v>129</v>
      </c>
      <c r="F35" s="222">
        <v>2720</v>
      </c>
      <c r="G35" s="222">
        <v>2732</v>
      </c>
      <c r="H35" s="222">
        <v>12</v>
      </c>
      <c r="I35" s="207">
        <f t="shared" si="6"/>
        <v>110.29411764705883</v>
      </c>
      <c r="J35" s="161">
        <f t="shared" si="7"/>
        <v>1323.5294117647059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44949</v>
      </c>
      <c r="D36" s="161" t="s">
        <v>9</v>
      </c>
      <c r="E36" s="161" t="s">
        <v>94</v>
      </c>
      <c r="F36" s="222">
        <v>1675</v>
      </c>
      <c r="G36" s="222">
        <v>1680</v>
      </c>
      <c r="H36" s="222">
        <v>5</v>
      </c>
      <c r="I36" s="207">
        <f t="shared" si="6"/>
        <v>179.1044776119403</v>
      </c>
      <c r="J36" s="161">
        <f t="shared" si="7"/>
        <v>895.52238805970148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44949</v>
      </c>
      <c r="D37" s="161" t="s">
        <v>9</v>
      </c>
      <c r="E37" s="161" t="s">
        <v>31</v>
      </c>
      <c r="F37" s="222">
        <v>2455</v>
      </c>
      <c r="G37" s="222">
        <v>2466</v>
      </c>
      <c r="H37" s="222">
        <f>2466-2455</f>
        <v>11</v>
      </c>
      <c r="I37" s="207">
        <f t="shared" si="6"/>
        <v>122.19959266802444</v>
      </c>
      <c r="J37" s="161">
        <f t="shared" si="7"/>
        <v>1344.1955193482688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44950</v>
      </c>
      <c r="D38" s="161" t="s">
        <v>9</v>
      </c>
      <c r="E38" s="161" t="s">
        <v>94</v>
      </c>
      <c r="F38" s="222">
        <v>1685</v>
      </c>
      <c r="G38" s="222">
        <v>1700</v>
      </c>
      <c r="H38" s="222">
        <f>1700-1685</f>
        <v>15</v>
      </c>
      <c r="I38" s="207">
        <f t="shared" si="6"/>
        <v>178.04154302670622</v>
      </c>
      <c r="J38" s="161">
        <f t="shared" si="7"/>
        <v>2670.6231454005933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44950</v>
      </c>
      <c r="D39" s="161" t="s">
        <v>8</v>
      </c>
      <c r="E39" s="161" t="s">
        <v>58</v>
      </c>
      <c r="F39" s="222">
        <v>916</v>
      </c>
      <c r="G39" s="222">
        <v>904</v>
      </c>
      <c r="H39" s="222">
        <f>916-904</f>
        <v>12</v>
      </c>
      <c r="I39" s="207">
        <f t="shared" si="6"/>
        <v>327.51091703056767</v>
      </c>
      <c r="J39" s="161">
        <f t="shared" si="7"/>
        <v>3930.1310043668118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44951</v>
      </c>
      <c r="D40" s="161" t="s">
        <v>9</v>
      </c>
      <c r="E40" s="161" t="s">
        <v>183</v>
      </c>
      <c r="F40" s="222">
        <v>2615</v>
      </c>
      <c r="G40" s="222">
        <v>2636</v>
      </c>
      <c r="H40" s="222">
        <f>2636-2615</f>
        <v>21</v>
      </c>
      <c r="I40" s="207">
        <f t="shared" si="6"/>
        <v>114.72275334608031</v>
      </c>
      <c r="J40" s="161">
        <f t="shared" si="7"/>
        <v>2409.1778202676865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44951</v>
      </c>
      <c r="D41" s="161" t="s">
        <v>8</v>
      </c>
      <c r="E41" s="161" t="s">
        <v>2999</v>
      </c>
      <c r="F41" s="222">
        <v>588</v>
      </c>
      <c r="G41" s="223">
        <v>580</v>
      </c>
      <c r="H41" s="222">
        <v>8</v>
      </c>
      <c r="I41" s="207">
        <f t="shared" si="6"/>
        <v>510.20408163265307</v>
      </c>
      <c r="J41" s="161">
        <f t="shared" si="7"/>
        <v>4081.6326530612246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44953</v>
      </c>
      <c r="D42" s="161" t="s">
        <v>9</v>
      </c>
      <c r="E42" s="161" t="s">
        <v>2203</v>
      </c>
      <c r="F42" s="222">
        <v>870</v>
      </c>
      <c r="G42" s="222">
        <v>874.4</v>
      </c>
      <c r="H42" s="222">
        <f>874.4-870</f>
        <v>4.3999999999999773</v>
      </c>
      <c r="I42" s="207">
        <f t="shared" si="6"/>
        <v>344.82758620689657</v>
      </c>
      <c r="J42" s="161">
        <f t="shared" si="7"/>
        <v>1517.2413793103372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44953</v>
      </c>
      <c r="D43" s="161" t="s">
        <v>8</v>
      </c>
      <c r="E43" s="161" t="s">
        <v>31</v>
      </c>
      <c r="F43" s="222">
        <v>2340</v>
      </c>
      <c r="G43" s="222">
        <v>2312</v>
      </c>
      <c r="H43" s="222">
        <f>2340-2312</f>
        <v>28</v>
      </c>
      <c r="I43" s="207">
        <f t="shared" si="6"/>
        <v>128.2051282051282</v>
      </c>
      <c r="J43" s="161">
        <f t="shared" si="7"/>
        <v>3589.7435897435898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44956</v>
      </c>
      <c r="D44" s="161" t="s">
        <v>9</v>
      </c>
      <c r="E44" s="161" t="s">
        <v>90</v>
      </c>
      <c r="F44" s="222">
        <v>1038</v>
      </c>
      <c r="G44" s="222">
        <v>1047</v>
      </c>
      <c r="H44" s="222">
        <f>1047-1038</f>
        <v>9</v>
      </c>
      <c r="I44" s="207">
        <f t="shared" si="6"/>
        <v>289.01734104046244</v>
      </c>
      <c r="J44" s="161">
        <f t="shared" si="7"/>
        <v>2601.1560693641618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44956</v>
      </c>
      <c r="D45" s="161" t="s">
        <v>8</v>
      </c>
      <c r="E45" s="161" t="s">
        <v>19</v>
      </c>
      <c r="F45" s="222">
        <v>533</v>
      </c>
      <c r="G45" s="222">
        <v>525.20000000000005</v>
      </c>
      <c r="H45" s="222">
        <v>7.8</v>
      </c>
      <c r="I45" s="207">
        <f t="shared" si="6"/>
        <v>562.85178236397746</v>
      </c>
      <c r="J45" s="161">
        <f t="shared" si="7"/>
        <v>4390.2439024390242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44957</v>
      </c>
      <c r="D46" s="161" t="s">
        <v>9</v>
      </c>
      <c r="E46" s="161" t="s">
        <v>834</v>
      </c>
      <c r="F46" s="222">
        <v>326</v>
      </c>
      <c r="G46" s="222">
        <v>334</v>
      </c>
      <c r="H46" s="222">
        <f>334-326</f>
        <v>8</v>
      </c>
      <c r="I46" s="207">
        <f t="shared" si="6"/>
        <v>920.24539877300617</v>
      </c>
      <c r="J46" s="161">
        <f t="shared" si="7"/>
        <v>7361.9631901840494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44957</v>
      </c>
      <c r="D47" s="161" t="s">
        <v>9</v>
      </c>
      <c r="E47" s="161" t="s">
        <v>299</v>
      </c>
      <c r="F47" s="222">
        <v>2970</v>
      </c>
      <c r="G47" s="222">
        <v>3030</v>
      </c>
      <c r="H47" s="222">
        <f>3030-2970</f>
        <v>60</v>
      </c>
      <c r="I47" s="207">
        <f t="shared" si="6"/>
        <v>101.01010101010101</v>
      </c>
      <c r="J47" s="161">
        <f t="shared" si="7"/>
        <v>6060.606060606061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83242.996119031712</v>
      </c>
      <c r="K52" s="153"/>
      <c r="V52" s="25">
        <f>SUM(V6:V51)</f>
        <v>35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4062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44928</v>
      </c>
      <c r="D60" s="161" t="s">
        <v>9</v>
      </c>
      <c r="E60" s="161" t="s">
        <v>16</v>
      </c>
      <c r="F60" s="222">
        <v>2612</v>
      </c>
      <c r="G60" s="222">
        <v>2592</v>
      </c>
      <c r="H60" s="222">
        <v>-20</v>
      </c>
      <c r="I60" s="207">
        <v>375</v>
      </c>
      <c r="J60" s="241">
        <f t="shared" ref="J60:J85" si="14">I60*H60</f>
        <v>-7500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44929</v>
      </c>
      <c r="D61" s="161" t="s">
        <v>9</v>
      </c>
      <c r="E61" s="161" t="s">
        <v>4072</v>
      </c>
      <c r="F61" s="222">
        <v>1462</v>
      </c>
      <c r="G61" s="222">
        <v>1486</v>
      </c>
      <c r="H61" s="222">
        <f>1486-1462</f>
        <v>24</v>
      </c>
      <c r="I61" s="207">
        <v>400</v>
      </c>
      <c r="J61" s="242">
        <f t="shared" si="14"/>
        <v>9600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44930</v>
      </c>
      <c r="D62" s="161" t="s">
        <v>9</v>
      </c>
      <c r="E62" s="161" t="s">
        <v>2999</v>
      </c>
      <c r="F62" s="222">
        <v>600</v>
      </c>
      <c r="G62" s="222">
        <v>611.29999999999995</v>
      </c>
      <c r="H62" s="222">
        <v>11.3</v>
      </c>
      <c r="I62" s="207">
        <v>1100</v>
      </c>
      <c r="J62" s="242">
        <f t="shared" si="14"/>
        <v>12430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44931</v>
      </c>
      <c r="D63" s="161" t="s">
        <v>9</v>
      </c>
      <c r="E63" s="161" t="s">
        <v>2995</v>
      </c>
      <c r="F63" s="222">
        <v>770</v>
      </c>
      <c r="G63" s="222">
        <v>780.8</v>
      </c>
      <c r="H63" s="222">
        <f>780.8-770</f>
        <v>10.799999999999955</v>
      </c>
      <c r="I63" s="207">
        <v>900</v>
      </c>
      <c r="J63" s="242">
        <f>I63*H63</f>
        <v>9719.99999999996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44932</v>
      </c>
      <c r="D64" s="161" t="s">
        <v>9</v>
      </c>
      <c r="E64" s="161" t="s">
        <v>3706</v>
      </c>
      <c r="F64" s="222">
        <v>589</v>
      </c>
      <c r="G64" s="222">
        <v>593</v>
      </c>
      <c r="H64" s="222">
        <v>4</v>
      </c>
      <c r="I64" s="207">
        <v>1300</v>
      </c>
      <c r="J64" s="242">
        <f>I64*H64</f>
        <v>5200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44935</v>
      </c>
      <c r="D65" s="161" t="s">
        <v>8</v>
      </c>
      <c r="E65" s="161" t="s">
        <v>3515</v>
      </c>
      <c r="F65" s="222">
        <v>2520</v>
      </c>
      <c r="G65" s="222">
        <v>2500</v>
      </c>
      <c r="H65" s="222">
        <v>20</v>
      </c>
      <c r="I65" s="207">
        <v>300</v>
      </c>
      <c r="J65" s="242">
        <f>I65*H65</f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44936</v>
      </c>
      <c r="D66" s="161" t="s">
        <v>9</v>
      </c>
      <c r="E66" s="161" t="s">
        <v>2563</v>
      </c>
      <c r="F66" s="222">
        <v>2045</v>
      </c>
      <c r="G66" s="222">
        <v>2079</v>
      </c>
      <c r="H66" s="222">
        <f>2079-2045</f>
        <v>34</v>
      </c>
      <c r="I66" s="207">
        <v>300</v>
      </c>
      <c r="J66" s="242">
        <f t="shared" si="14"/>
        <v>10200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44937</v>
      </c>
      <c r="D67" s="161" t="s">
        <v>8</v>
      </c>
      <c r="E67" s="161" t="s">
        <v>3476</v>
      </c>
      <c r="F67" s="222">
        <v>2080</v>
      </c>
      <c r="G67" s="222">
        <v>2065</v>
      </c>
      <c r="H67" s="222">
        <f>2085-2065</f>
        <v>20</v>
      </c>
      <c r="I67" s="207">
        <v>275</v>
      </c>
      <c r="J67" s="242">
        <f>I67*H67</f>
        <v>5500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44938</v>
      </c>
      <c r="D68" s="161" t="s">
        <v>8</v>
      </c>
      <c r="E68" s="161" t="s">
        <v>58</v>
      </c>
      <c r="F68" s="222">
        <v>942</v>
      </c>
      <c r="G68" s="222">
        <v>931.6</v>
      </c>
      <c r="H68" s="222">
        <f>942-931.6</f>
        <v>10.399999999999977</v>
      </c>
      <c r="I68" s="207">
        <v>1200</v>
      </c>
      <c r="J68" s="242">
        <f>I68*H68</f>
        <v>12479.999999999973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44939</v>
      </c>
      <c r="D69" s="161" t="s">
        <v>9</v>
      </c>
      <c r="E69" s="161" t="s">
        <v>3063</v>
      </c>
      <c r="F69" s="222">
        <v>1320</v>
      </c>
      <c r="G69" s="222">
        <v>1325</v>
      </c>
      <c r="H69" s="222">
        <v>5</v>
      </c>
      <c r="I69" s="207">
        <v>750</v>
      </c>
      <c r="J69" s="242">
        <f>I69*H69</f>
        <v>3750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44942</v>
      </c>
      <c r="D70" s="161" t="s">
        <v>8</v>
      </c>
      <c r="E70" s="161" t="s">
        <v>299</v>
      </c>
      <c r="F70" s="161">
        <v>3695</v>
      </c>
      <c r="G70" s="222">
        <v>3635</v>
      </c>
      <c r="H70" s="222">
        <f>3695-3635</f>
        <v>60</v>
      </c>
      <c r="I70" s="207">
        <v>250</v>
      </c>
      <c r="J70" s="242">
        <f t="shared" si="14"/>
        <v>15000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44943</v>
      </c>
      <c r="D71" s="161" t="s">
        <v>8</v>
      </c>
      <c r="E71" s="161" t="s">
        <v>365</v>
      </c>
      <c r="F71" s="222">
        <v>757</v>
      </c>
      <c r="G71" s="222">
        <v>747</v>
      </c>
      <c r="H71" s="222">
        <v>10</v>
      </c>
      <c r="I71" s="207">
        <v>1350</v>
      </c>
      <c r="J71" s="242">
        <f t="shared" si="14"/>
        <v>13500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44944</v>
      </c>
      <c r="D72" s="161" t="s">
        <v>8</v>
      </c>
      <c r="E72" s="161" t="s">
        <v>94</v>
      </c>
      <c r="F72" s="222">
        <v>1630</v>
      </c>
      <c r="G72" s="222">
        <v>1635</v>
      </c>
      <c r="H72" s="222">
        <v>5</v>
      </c>
      <c r="I72" s="207">
        <v>550</v>
      </c>
      <c r="J72" s="242">
        <f t="shared" si="14"/>
        <v>2750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44945</v>
      </c>
      <c r="D73" s="161" t="s">
        <v>9</v>
      </c>
      <c r="E73" s="161" t="s">
        <v>94</v>
      </c>
      <c r="F73" s="223">
        <v>1640</v>
      </c>
      <c r="G73" s="222">
        <v>1649</v>
      </c>
      <c r="H73" s="255">
        <v>9</v>
      </c>
      <c r="I73" s="207">
        <v>550</v>
      </c>
      <c r="J73" s="242">
        <f t="shared" si="14"/>
        <v>4950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44946</v>
      </c>
      <c r="D74" s="161" t="s">
        <v>9</v>
      </c>
      <c r="E74" s="161" t="s">
        <v>2563</v>
      </c>
      <c r="F74" s="222">
        <v>2150</v>
      </c>
      <c r="G74" s="222">
        <v>2163</v>
      </c>
      <c r="H74" s="222">
        <v>13</v>
      </c>
      <c r="I74" s="207">
        <v>300</v>
      </c>
      <c r="J74" s="242">
        <f t="shared" si="14"/>
        <v>3900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44949</v>
      </c>
      <c r="D75" s="161" t="s">
        <v>9</v>
      </c>
      <c r="E75" s="161" t="s">
        <v>2470</v>
      </c>
      <c r="F75" s="223">
        <v>714</v>
      </c>
      <c r="G75" s="222">
        <v>717.5</v>
      </c>
      <c r="H75" s="255">
        <f>717.5-714</f>
        <v>3.5</v>
      </c>
      <c r="I75" s="207">
        <v>1250</v>
      </c>
      <c r="J75" s="242">
        <f t="shared" si="14"/>
        <v>4375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44950</v>
      </c>
      <c r="D76" s="161" t="s">
        <v>9</v>
      </c>
      <c r="E76" s="161" t="s">
        <v>3516</v>
      </c>
      <c r="F76" s="222">
        <v>1192</v>
      </c>
      <c r="G76" s="222">
        <v>1207</v>
      </c>
      <c r="H76" s="222">
        <f>1207-1192</f>
        <v>15</v>
      </c>
      <c r="I76" s="207">
        <v>400</v>
      </c>
      <c r="J76" s="242">
        <f t="shared" si="14"/>
        <v>6000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44951</v>
      </c>
      <c r="D77" s="161" t="s">
        <v>8</v>
      </c>
      <c r="E77" s="161" t="s">
        <v>4085</v>
      </c>
      <c r="F77" s="222">
        <v>3370</v>
      </c>
      <c r="G77" s="222">
        <v>3326</v>
      </c>
      <c r="H77" s="222">
        <f>3370-3326</f>
        <v>44</v>
      </c>
      <c r="I77" s="207">
        <v>250</v>
      </c>
      <c r="J77" s="242">
        <f t="shared" si="14"/>
        <v>11000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44953</v>
      </c>
      <c r="D78" s="161" t="s">
        <v>9</v>
      </c>
      <c r="E78" s="161" t="s">
        <v>109</v>
      </c>
      <c r="F78" s="223">
        <v>1335</v>
      </c>
      <c r="G78" s="222">
        <v>1338</v>
      </c>
      <c r="H78" s="255">
        <v>3</v>
      </c>
      <c r="I78" s="207">
        <v>700</v>
      </c>
      <c r="J78" s="242">
        <f t="shared" si="14"/>
        <v>2100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44956</v>
      </c>
      <c r="D79" s="161" t="s">
        <v>9</v>
      </c>
      <c r="E79" s="161" t="s">
        <v>109</v>
      </c>
      <c r="F79" s="222">
        <v>1334</v>
      </c>
      <c r="G79" s="222">
        <v>1348</v>
      </c>
      <c r="H79" s="222">
        <v>14</v>
      </c>
      <c r="I79" s="207">
        <v>700</v>
      </c>
      <c r="J79" s="242">
        <f t="shared" si="14"/>
        <v>9800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44956</v>
      </c>
      <c r="D80" s="161" t="s">
        <v>8</v>
      </c>
      <c r="E80" s="161" t="s">
        <v>299</v>
      </c>
      <c r="F80" s="222">
        <v>2880</v>
      </c>
      <c r="G80" s="222">
        <v>2820</v>
      </c>
      <c r="H80" s="222">
        <f>2880-2820</f>
        <v>60</v>
      </c>
      <c r="I80" s="207">
        <v>250</v>
      </c>
      <c r="J80" s="242">
        <f t="shared" si="14"/>
        <v>15000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44957</v>
      </c>
      <c r="D81" s="161" t="s">
        <v>9</v>
      </c>
      <c r="E81" s="161" t="s">
        <v>3515</v>
      </c>
      <c r="F81" s="222">
        <v>2535</v>
      </c>
      <c r="G81" s="222">
        <v>2575</v>
      </c>
      <c r="H81" s="222">
        <f>2575-2535</f>
        <v>40</v>
      </c>
      <c r="I81" s="207">
        <v>300</v>
      </c>
      <c r="J81" s="242">
        <f t="shared" si="14"/>
        <v>12000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167754.99999999994</v>
      </c>
      <c r="K86" s="153"/>
      <c r="V86" s="25">
        <f>SUM(V60:V85)</f>
        <v>20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4061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44928</v>
      </c>
      <c r="D94" s="185" t="s">
        <v>9</v>
      </c>
      <c r="E94" s="185" t="s">
        <v>39</v>
      </c>
      <c r="F94" s="219">
        <v>18240</v>
      </c>
      <c r="G94" s="219">
        <v>18273</v>
      </c>
      <c r="H94" s="185">
        <v>33</v>
      </c>
      <c r="I94" s="219">
        <v>150</v>
      </c>
      <c r="J94" s="246">
        <f t="shared" ref="J94:J116" si="18">I94*H94</f>
        <v>4950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44929</v>
      </c>
      <c r="D95" s="185" t="s">
        <v>9</v>
      </c>
      <c r="E95" s="185" t="s">
        <v>39</v>
      </c>
      <c r="F95" s="219">
        <v>18250</v>
      </c>
      <c r="G95" s="219">
        <v>18330</v>
      </c>
      <c r="H95" s="185">
        <f>18330-18250</f>
        <v>80</v>
      </c>
      <c r="I95" s="219">
        <v>150</v>
      </c>
      <c r="J95" s="242">
        <f t="shared" si="18"/>
        <v>12000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44930</v>
      </c>
      <c r="D96" s="161" t="s">
        <v>8</v>
      </c>
      <c r="E96" s="161" t="s">
        <v>39</v>
      </c>
      <c r="F96" s="207">
        <v>18180</v>
      </c>
      <c r="G96" s="207">
        <v>18100</v>
      </c>
      <c r="H96" s="161"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44931</v>
      </c>
      <c r="D97" s="161" t="s">
        <v>8</v>
      </c>
      <c r="E97" s="161" t="s">
        <v>39</v>
      </c>
      <c r="F97" s="207">
        <v>18110</v>
      </c>
      <c r="G97" s="207">
        <v>18083</v>
      </c>
      <c r="H97" s="161">
        <f>18110-18083</f>
        <v>27</v>
      </c>
      <c r="I97" s="207">
        <v>150</v>
      </c>
      <c r="J97" s="242">
        <f t="shared" si="18"/>
        <v>4050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44932</v>
      </c>
      <c r="D98" s="161" t="s">
        <v>8</v>
      </c>
      <c r="E98" s="161" t="s">
        <v>39</v>
      </c>
      <c r="F98" s="207">
        <v>18050</v>
      </c>
      <c r="G98" s="207">
        <v>17970</v>
      </c>
      <c r="H98" s="161"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44935</v>
      </c>
      <c r="D99" s="161" t="s">
        <v>9</v>
      </c>
      <c r="E99" s="161" t="s">
        <v>39</v>
      </c>
      <c r="F99" s="207">
        <v>18150</v>
      </c>
      <c r="G99" s="207">
        <v>18225</v>
      </c>
      <c r="H99" s="161">
        <f>18225-18150</f>
        <v>75</v>
      </c>
      <c r="I99" s="207">
        <v>150</v>
      </c>
      <c r="J99" s="242">
        <f t="shared" si="18"/>
        <v>11250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44936</v>
      </c>
      <c r="D100" s="161" t="s">
        <v>8</v>
      </c>
      <c r="E100" s="161" t="s">
        <v>39</v>
      </c>
      <c r="F100" s="207">
        <v>18040</v>
      </c>
      <c r="G100" s="207">
        <v>17960</v>
      </c>
      <c r="H100" s="161"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44937</v>
      </c>
      <c r="D101" s="161" t="s">
        <v>9</v>
      </c>
      <c r="E101" s="161" t="s">
        <v>39</v>
      </c>
      <c r="F101" s="207">
        <v>17980</v>
      </c>
      <c r="G101" s="207">
        <v>18060</v>
      </c>
      <c r="H101" s="161"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44938</v>
      </c>
      <c r="D102" s="161" t="s">
        <v>8</v>
      </c>
      <c r="E102" s="161" t="s">
        <v>39</v>
      </c>
      <c r="F102" s="207">
        <v>17970</v>
      </c>
      <c r="G102" s="207">
        <v>17890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44939</v>
      </c>
      <c r="D103" s="161" t="s">
        <v>8</v>
      </c>
      <c r="E103" s="161" t="s">
        <v>39</v>
      </c>
      <c r="F103" s="207">
        <v>17860</v>
      </c>
      <c r="G103" s="207">
        <v>17840</v>
      </c>
      <c r="H103" s="161">
        <v>20</v>
      </c>
      <c r="I103" s="207">
        <v>150</v>
      </c>
      <c r="J103" s="242">
        <f t="shared" si="18"/>
        <v>3000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44942</v>
      </c>
      <c r="D104" s="161" t="s">
        <v>8</v>
      </c>
      <c r="E104" s="161" t="s">
        <v>39</v>
      </c>
      <c r="F104" s="207">
        <v>18030</v>
      </c>
      <c r="G104" s="207">
        <v>17950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44943</v>
      </c>
      <c r="D105" s="161" t="s">
        <v>9</v>
      </c>
      <c r="E105" s="161" t="s">
        <v>39</v>
      </c>
      <c r="F105" s="207">
        <v>18040</v>
      </c>
      <c r="G105" s="207">
        <v>18072</v>
      </c>
      <c r="H105" s="161">
        <f>18072-18040</f>
        <v>32</v>
      </c>
      <c r="I105" s="207">
        <v>150</v>
      </c>
      <c r="J105" s="242">
        <f t="shared" si="18"/>
        <v>4800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44944</v>
      </c>
      <c r="D106" s="161" t="s">
        <v>9</v>
      </c>
      <c r="E106" s="161" t="s">
        <v>39</v>
      </c>
      <c r="F106" s="207">
        <v>18130</v>
      </c>
      <c r="G106" s="207">
        <v>18210</v>
      </c>
      <c r="H106" s="161"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44945</v>
      </c>
      <c r="D107" s="161" t="s">
        <v>8</v>
      </c>
      <c r="E107" s="161" t="s">
        <v>39</v>
      </c>
      <c r="F107" s="207">
        <v>18120</v>
      </c>
      <c r="G107" s="207">
        <v>18090</v>
      </c>
      <c r="H107" s="161">
        <f>18120-18090</f>
        <v>30</v>
      </c>
      <c r="I107" s="207">
        <v>150</v>
      </c>
      <c r="J107" s="242">
        <f t="shared" si="18"/>
        <v>4500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44946</v>
      </c>
      <c r="D108" s="161" t="s">
        <v>8</v>
      </c>
      <c r="E108" s="161" t="s">
        <v>39</v>
      </c>
      <c r="F108" s="207">
        <v>18100</v>
      </c>
      <c r="G108" s="207">
        <v>18140</v>
      </c>
      <c r="H108" s="161">
        <v>-40</v>
      </c>
      <c r="I108" s="207">
        <v>150</v>
      </c>
      <c r="J108" s="242">
        <f t="shared" si="18"/>
        <v>-6000</v>
      </c>
      <c r="K108" s="153"/>
      <c r="V108" s="25">
        <f t="shared" si="19"/>
        <v>0</v>
      </c>
      <c r="W108" s="25">
        <f t="shared" si="20"/>
        <v>1</v>
      </c>
    </row>
    <row r="109" spans="1:23" x14ac:dyDescent="0.3">
      <c r="A109" s="147"/>
      <c r="B109" s="205">
        <f t="shared" si="21"/>
        <v>16</v>
      </c>
      <c r="C109" s="206">
        <v>44949</v>
      </c>
      <c r="D109" s="161" t="s">
        <v>9</v>
      </c>
      <c r="E109" s="161" t="s">
        <v>39</v>
      </c>
      <c r="F109" s="207">
        <v>18150</v>
      </c>
      <c r="G109" s="207">
        <v>18170</v>
      </c>
      <c r="H109" s="161">
        <v>20</v>
      </c>
      <c r="I109" s="207">
        <v>150</v>
      </c>
      <c r="J109" s="242">
        <f t="shared" si="18"/>
        <v>3000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44950</v>
      </c>
      <c r="D110" s="161" t="s">
        <v>8</v>
      </c>
      <c r="E110" s="161" t="s">
        <v>39</v>
      </c>
      <c r="F110" s="207">
        <v>18180</v>
      </c>
      <c r="G110" s="207">
        <v>18100</v>
      </c>
      <c r="H110" s="161"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44951</v>
      </c>
      <c r="D111" s="161" t="s">
        <v>8</v>
      </c>
      <c r="E111" s="161" t="s">
        <v>39</v>
      </c>
      <c r="F111" s="207">
        <v>18040</v>
      </c>
      <c r="G111" s="207">
        <v>17960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44953</v>
      </c>
      <c r="D112" s="161" t="s">
        <v>8</v>
      </c>
      <c r="E112" s="161" t="s">
        <v>39</v>
      </c>
      <c r="F112" s="207">
        <v>17880</v>
      </c>
      <c r="G112" s="207">
        <v>17800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44956</v>
      </c>
      <c r="D113" s="161" t="s">
        <v>8</v>
      </c>
      <c r="E113" s="161" t="s">
        <v>39</v>
      </c>
      <c r="F113" s="207">
        <v>17720</v>
      </c>
      <c r="G113" s="207">
        <v>17640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44957</v>
      </c>
      <c r="D114" s="161" t="s">
        <v>8</v>
      </c>
      <c r="E114" s="161" t="s">
        <v>39</v>
      </c>
      <c r="F114" s="207">
        <v>17700</v>
      </c>
      <c r="G114" s="207">
        <v>17645</v>
      </c>
      <c r="H114" s="161">
        <f>17700-17645</f>
        <v>55</v>
      </c>
      <c r="I114" s="207">
        <v>150</v>
      </c>
      <c r="J114" s="242">
        <f t="shared" si="18"/>
        <v>8250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181800</v>
      </c>
      <c r="K117" s="153"/>
      <c r="V117" s="25">
        <f>SUM(V94:V116)</f>
        <v>20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4063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44928</v>
      </c>
      <c r="D125" s="185" t="s">
        <v>9</v>
      </c>
      <c r="E125" s="185" t="s">
        <v>1909</v>
      </c>
      <c r="F125" s="219">
        <v>145</v>
      </c>
      <c r="G125" s="231">
        <v>160.5</v>
      </c>
      <c r="H125" s="231">
        <f>160.5-145</f>
        <v>15.5</v>
      </c>
      <c r="I125" s="219">
        <v>300</v>
      </c>
      <c r="J125" s="246">
        <f t="shared" ref="J125:J149" si="22">I125*H125</f>
        <v>4650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44929</v>
      </c>
      <c r="D126" s="185" t="s">
        <v>9</v>
      </c>
      <c r="E126" s="185" t="s">
        <v>3550</v>
      </c>
      <c r="F126" s="219">
        <v>150</v>
      </c>
      <c r="G126" s="219">
        <v>175</v>
      </c>
      <c r="H126" s="185">
        <v>25</v>
      </c>
      <c r="I126" s="219">
        <v>300</v>
      </c>
      <c r="J126" s="242">
        <f t="shared" si="22"/>
        <v>7500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44930</v>
      </c>
      <c r="D127" s="161" t="s">
        <v>9</v>
      </c>
      <c r="E127" s="161" t="s">
        <v>1909</v>
      </c>
      <c r="F127" s="207">
        <v>125</v>
      </c>
      <c r="G127" s="207">
        <v>180</v>
      </c>
      <c r="H127" s="161">
        <f>180-125</f>
        <v>55</v>
      </c>
      <c r="I127" s="207">
        <v>300</v>
      </c>
      <c r="J127" s="242">
        <f t="shared" si="22"/>
        <v>16500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44931</v>
      </c>
      <c r="D128" s="161" t="s">
        <v>9</v>
      </c>
      <c r="E128" s="161" t="s">
        <v>3553</v>
      </c>
      <c r="F128" s="207">
        <v>125</v>
      </c>
      <c r="G128" s="207">
        <v>180</v>
      </c>
      <c r="H128" s="161">
        <f>180-125</f>
        <v>55</v>
      </c>
      <c r="I128" s="207">
        <v>300</v>
      </c>
      <c r="J128" s="242">
        <f t="shared" si="22"/>
        <v>16500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44932</v>
      </c>
      <c r="D129" s="161" t="s">
        <v>9</v>
      </c>
      <c r="E129" s="161" t="s">
        <v>1605</v>
      </c>
      <c r="F129" s="207">
        <v>130</v>
      </c>
      <c r="G129" s="207">
        <v>185</v>
      </c>
      <c r="H129" s="161">
        <v>55</v>
      </c>
      <c r="I129" s="207">
        <v>300</v>
      </c>
      <c r="J129" s="242">
        <f t="shared" si="22"/>
        <v>16500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44935</v>
      </c>
      <c r="D130" s="161" t="s">
        <v>9</v>
      </c>
      <c r="E130" s="161" t="s">
        <v>3565</v>
      </c>
      <c r="F130" s="207">
        <v>130</v>
      </c>
      <c r="G130" s="222">
        <v>155</v>
      </c>
      <c r="H130" s="222">
        <f>155-130</f>
        <v>25</v>
      </c>
      <c r="I130" s="207">
        <v>300</v>
      </c>
      <c r="J130" s="242">
        <f t="shared" si="22"/>
        <v>7500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44936</v>
      </c>
      <c r="D131" s="161" t="s">
        <v>9</v>
      </c>
      <c r="E131" s="161" t="s">
        <v>1918</v>
      </c>
      <c r="F131" s="207">
        <v>150</v>
      </c>
      <c r="G131" s="207">
        <v>205</v>
      </c>
      <c r="H131" s="161">
        <f>205-150</f>
        <v>55</v>
      </c>
      <c r="I131" s="207">
        <v>300</v>
      </c>
      <c r="J131" s="242">
        <f t="shared" si="22"/>
        <v>16500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44937</v>
      </c>
      <c r="D132" s="161" t="s">
        <v>9</v>
      </c>
      <c r="E132" s="161" t="s">
        <v>3501</v>
      </c>
      <c r="F132" s="207">
        <v>140</v>
      </c>
      <c r="G132" s="207">
        <v>180</v>
      </c>
      <c r="H132" s="161">
        <v>40</v>
      </c>
      <c r="I132" s="207">
        <v>300</v>
      </c>
      <c r="J132" s="242">
        <f t="shared" si="22"/>
        <v>12000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44938</v>
      </c>
      <c r="D133" s="161" t="s">
        <v>9</v>
      </c>
      <c r="E133" s="161" t="s">
        <v>1605</v>
      </c>
      <c r="F133" s="207">
        <v>125</v>
      </c>
      <c r="G133" s="222">
        <v>180</v>
      </c>
      <c r="H133" s="161">
        <v>55</v>
      </c>
      <c r="I133" s="207">
        <v>300</v>
      </c>
      <c r="J133" s="242">
        <f t="shared" si="22"/>
        <v>16500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44939</v>
      </c>
      <c r="D134" s="161" t="s">
        <v>9</v>
      </c>
      <c r="E134" s="161" t="s">
        <v>3502</v>
      </c>
      <c r="F134" s="207">
        <v>150</v>
      </c>
      <c r="G134" s="222">
        <v>120</v>
      </c>
      <c r="H134" s="222">
        <v>-30</v>
      </c>
      <c r="I134" s="207">
        <v>300</v>
      </c>
      <c r="J134" s="242">
        <f t="shared" si="22"/>
        <v>-9000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11</v>
      </c>
      <c r="C135" s="206">
        <v>44942</v>
      </c>
      <c r="D135" s="161" t="s">
        <v>9</v>
      </c>
      <c r="E135" s="161" t="s">
        <v>3756</v>
      </c>
      <c r="F135" s="207">
        <v>135</v>
      </c>
      <c r="G135" s="222">
        <v>160</v>
      </c>
      <c r="H135" s="222">
        <f>160-135</f>
        <v>25</v>
      </c>
      <c r="I135" s="207">
        <v>300</v>
      </c>
      <c r="J135" s="242">
        <f t="shared" si="22"/>
        <v>7500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44943</v>
      </c>
      <c r="D136" s="161" t="s">
        <v>9</v>
      </c>
      <c r="E136" s="161" t="s">
        <v>3491</v>
      </c>
      <c r="F136" s="207">
        <v>155</v>
      </c>
      <c r="G136" s="222">
        <v>174</v>
      </c>
      <c r="H136" s="222">
        <f>174-155</f>
        <v>19</v>
      </c>
      <c r="I136" s="207">
        <v>300</v>
      </c>
      <c r="J136" s="242">
        <f t="shared" si="22"/>
        <v>5700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44944</v>
      </c>
      <c r="D137" s="161" t="s">
        <v>9</v>
      </c>
      <c r="E137" s="161" t="s">
        <v>3529</v>
      </c>
      <c r="F137" s="207">
        <v>145</v>
      </c>
      <c r="G137" s="207">
        <v>190</v>
      </c>
      <c r="H137" s="161">
        <v>45</v>
      </c>
      <c r="I137" s="207">
        <v>300</v>
      </c>
      <c r="J137" s="242">
        <f t="shared" si="22"/>
        <v>13500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44945</v>
      </c>
      <c r="D138" s="161" t="s">
        <v>9</v>
      </c>
      <c r="E138" s="161" t="s">
        <v>1909</v>
      </c>
      <c r="F138" s="207">
        <v>135</v>
      </c>
      <c r="G138" s="207">
        <v>105</v>
      </c>
      <c r="H138" s="161">
        <v>-30</v>
      </c>
      <c r="I138" s="207">
        <v>300</v>
      </c>
      <c r="J138" s="242">
        <f t="shared" si="22"/>
        <v>-9000</v>
      </c>
      <c r="K138" s="153"/>
      <c r="V138" s="25">
        <f>IF($J138&gt;0,1,0)</f>
        <v>0</v>
      </c>
      <c r="W138" s="25">
        <f>IF($J138&lt;0,1,0)</f>
        <v>1</v>
      </c>
    </row>
    <row r="139" spans="1:23" x14ac:dyDescent="0.3">
      <c r="A139" s="147"/>
      <c r="B139" s="205">
        <f t="shared" si="25"/>
        <v>15</v>
      </c>
      <c r="C139" s="206">
        <v>44946</v>
      </c>
      <c r="D139" s="161" t="s">
        <v>9</v>
      </c>
      <c r="E139" s="161" t="s">
        <v>3547</v>
      </c>
      <c r="F139" s="207">
        <v>160</v>
      </c>
      <c r="G139" s="207">
        <v>215</v>
      </c>
      <c r="H139" s="161">
        <f>215-160</f>
        <v>55</v>
      </c>
      <c r="I139" s="207">
        <v>300</v>
      </c>
      <c r="J139" s="242">
        <f t="shared" si="22"/>
        <v>16500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44949</v>
      </c>
      <c r="D140" s="161" t="s">
        <v>9</v>
      </c>
      <c r="E140" s="161" t="s">
        <v>3578</v>
      </c>
      <c r="F140" s="207">
        <v>130</v>
      </c>
      <c r="G140" s="207">
        <v>146</v>
      </c>
      <c r="H140" s="161">
        <v>16</v>
      </c>
      <c r="I140" s="207">
        <v>300</v>
      </c>
      <c r="J140" s="242">
        <f t="shared" si="22"/>
        <v>4800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44950</v>
      </c>
      <c r="D141" s="161" t="s">
        <v>9</v>
      </c>
      <c r="E141" s="161" t="s">
        <v>3550</v>
      </c>
      <c r="F141" s="207">
        <v>130</v>
      </c>
      <c r="G141" s="207">
        <v>100</v>
      </c>
      <c r="H141" s="161">
        <v>-30</v>
      </c>
      <c r="I141" s="207">
        <v>300</v>
      </c>
      <c r="J141" s="242">
        <f t="shared" si="22"/>
        <v>-9000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18</v>
      </c>
      <c r="C142" s="206">
        <v>44951</v>
      </c>
      <c r="D142" s="161" t="s">
        <v>9</v>
      </c>
      <c r="E142" s="161" t="s">
        <v>1918</v>
      </c>
      <c r="F142" s="207">
        <v>155</v>
      </c>
      <c r="G142" s="222">
        <v>210</v>
      </c>
      <c r="H142" s="222">
        <f>210-155</f>
        <v>55</v>
      </c>
      <c r="I142" s="207">
        <v>300</v>
      </c>
      <c r="J142" s="242">
        <f t="shared" si="22"/>
        <v>16500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44953</v>
      </c>
      <c r="D143" s="161" t="s">
        <v>9</v>
      </c>
      <c r="E143" s="161" t="s">
        <v>1604</v>
      </c>
      <c r="F143" s="207">
        <v>195</v>
      </c>
      <c r="G143" s="222">
        <v>250</v>
      </c>
      <c r="H143" s="222">
        <v>55</v>
      </c>
      <c r="I143" s="207">
        <v>300</v>
      </c>
      <c r="J143" s="242">
        <f t="shared" si="22"/>
        <v>16500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44956</v>
      </c>
      <c r="D144" s="161" t="s">
        <v>9</v>
      </c>
      <c r="E144" s="161" t="s">
        <v>3692</v>
      </c>
      <c r="F144" s="207">
        <v>145</v>
      </c>
      <c r="G144" s="222">
        <v>200</v>
      </c>
      <c r="H144" s="222">
        <f>200-145</f>
        <v>55</v>
      </c>
      <c r="I144" s="207">
        <v>300</v>
      </c>
      <c r="J144" s="242">
        <f t="shared" si="22"/>
        <v>16500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44957</v>
      </c>
      <c r="D145" s="161" t="s">
        <v>9</v>
      </c>
      <c r="E145" s="161" t="s">
        <v>3692</v>
      </c>
      <c r="F145" s="207">
        <v>145</v>
      </c>
      <c r="G145" s="222">
        <v>159</v>
      </c>
      <c r="H145" s="222">
        <f>159-145</f>
        <v>14</v>
      </c>
      <c r="I145" s="207">
        <v>300</v>
      </c>
      <c r="J145" s="242">
        <f t="shared" si="22"/>
        <v>4200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188850</v>
      </c>
      <c r="K150" s="153"/>
      <c r="V150" s="25">
        <f>SUM(V125:V149)</f>
        <v>18</v>
      </c>
      <c r="W150" s="25">
        <f>SUM(W125:W149)</f>
        <v>3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4061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44928</v>
      </c>
      <c r="D158" s="185" t="s">
        <v>9</v>
      </c>
      <c r="E158" s="185" t="s">
        <v>301</v>
      </c>
      <c r="F158" s="219">
        <v>43450</v>
      </c>
      <c r="G158" s="231">
        <v>43510</v>
      </c>
      <c r="H158" s="185">
        <f>43510-43450</f>
        <v>60</v>
      </c>
      <c r="I158" s="219">
        <v>50</v>
      </c>
      <c r="J158" s="246">
        <f t="shared" ref="J158:J180" si="26">I158*H158</f>
        <v>3000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44929</v>
      </c>
      <c r="D159" s="185" t="s">
        <v>9</v>
      </c>
      <c r="E159" s="185" t="s">
        <v>301</v>
      </c>
      <c r="F159" s="219">
        <v>43500</v>
      </c>
      <c r="G159" s="219">
        <v>43600</v>
      </c>
      <c r="H159" s="185">
        <v>100</v>
      </c>
      <c r="I159" s="219">
        <v>50</v>
      </c>
      <c r="J159" s="242">
        <f t="shared" si="26"/>
        <v>5000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44930</v>
      </c>
      <c r="D160" s="161" t="s">
        <v>8</v>
      </c>
      <c r="E160" s="161" t="s">
        <v>301</v>
      </c>
      <c r="F160" s="207">
        <v>43500</v>
      </c>
      <c r="G160" s="207">
        <v>43200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44931</v>
      </c>
      <c r="D161" s="161" t="s">
        <v>8</v>
      </c>
      <c r="E161" s="161" t="s">
        <v>301</v>
      </c>
      <c r="F161" s="207">
        <v>42950</v>
      </c>
      <c r="G161" s="207">
        <v>43650</v>
      </c>
      <c r="H161" s="161">
        <v>300</v>
      </c>
      <c r="I161" s="207">
        <v>50</v>
      </c>
      <c r="J161" s="242">
        <f t="shared" si="26"/>
        <v>15000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44932</v>
      </c>
      <c r="D162" s="161" t="s">
        <v>8</v>
      </c>
      <c r="E162" s="161" t="s">
        <v>301</v>
      </c>
      <c r="F162" s="207">
        <v>42650</v>
      </c>
      <c r="G162" s="207">
        <v>42350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44935</v>
      </c>
      <c r="D163" s="161" t="s">
        <v>9</v>
      </c>
      <c r="E163" s="161" t="s">
        <v>301</v>
      </c>
      <c r="F163" s="207">
        <v>42700</v>
      </c>
      <c r="G163" s="207">
        <v>42900</v>
      </c>
      <c r="H163" s="161">
        <v>200</v>
      </c>
      <c r="I163" s="207">
        <v>50</v>
      </c>
      <c r="J163" s="242">
        <f t="shared" si="26"/>
        <v>10000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44936</v>
      </c>
      <c r="D164" s="161" t="s">
        <v>8</v>
      </c>
      <c r="E164" s="161" t="s">
        <v>301</v>
      </c>
      <c r="F164" s="207">
        <v>42450</v>
      </c>
      <c r="G164" s="207">
        <v>42150</v>
      </c>
      <c r="H164" s="161">
        <v>300</v>
      </c>
      <c r="I164" s="207">
        <v>50</v>
      </c>
      <c r="J164" s="242">
        <f t="shared" si="26"/>
        <v>15000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44937</v>
      </c>
      <c r="D165" s="161" t="s">
        <v>9</v>
      </c>
      <c r="E165" s="161" t="s">
        <v>301</v>
      </c>
      <c r="F165" s="207">
        <v>42300</v>
      </c>
      <c r="G165" s="207">
        <v>42450</v>
      </c>
      <c r="H165" s="161">
        <v>150</v>
      </c>
      <c r="I165" s="207">
        <v>50</v>
      </c>
      <c r="J165" s="242">
        <f t="shared" si="26"/>
        <v>7500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44938</v>
      </c>
      <c r="D166" s="161" t="s">
        <v>8</v>
      </c>
      <c r="E166" s="161" t="s">
        <v>301</v>
      </c>
      <c r="F166" s="207">
        <v>42350</v>
      </c>
      <c r="G166" s="207">
        <v>42100</v>
      </c>
      <c r="H166" s="161">
        <v>250</v>
      </c>
      <c r="I166" s="207">
        <v>50</v>
      </c>
      <c r="J166" s="242">
        <f t="shared" si="26"/>
        <v>12500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44939</v>
      </c>
      <c r="D167" s="161" t="s">
        <v>8</v>
      </c>
      <c r="E167" s="161" t="s">
        <v>301</v>
      </c>
      <c r="F167" s="207">
        <v>42100</v>
      </c>
      <c r="G167" s="207">
        <v>42035</v>
      </c>
      <c r="H167" s="161">
        <f>42100-42035</f>
        <v>65</v>
      </c>
      <c r="I167" s="207">
        <v>50</v>
      </c>
      <c r="J167" s="242">
        <f t="shared" si="26"/>
        <v>3250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44942</v>
      </c>
      <c r="D168" s="161" t="s">
        <v>8</v>
      </c>
      <c r="E168" s="161" t="s">
        <v>301</v>
      </c>
      <c r="F168" s="207">
        <v>42650</v>
      </c>
      <c r="G168" s="207">
        <v>42455</v>
      </c>
      <c r="H168" s="161">
        <f>42650-42455</f>
        <v>195</v>
      </c>
      <c r="I168" s="207">
        <v>50</v>
      </c>
      <c r="J168" s="242">
        <f t="shared" si="26"/>
        <v>9750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44943</v>
      </c>
      <c r="D169" s="161" t="s">
        <v>9</v>
      </c>
      <c r="E169" s="161" t="s">
        <v>301</v>
      </c>
      <c r="F169" s="207">
        <v>42450</v>
      </c>
      <c r="G169" s="207">
        <v>42300</v>
      </c>
      <c r="H169" s="161">
        <v>-150</v>
      </c>
      <c r="I169" s="207">
        <v>50</v>
      </c>
      <c r="J169" s="242">
        <f t="shared" si="26"/>
        <v>-7500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13</v>
      </c>
      <c r="C170" s="206">
        <v>44944</v>
      </c>
      <c r="D170" s="161" t="s">
        <v>9</v>
      </c>
      <c r="E170" s="161" t="s">
        <v>301</v>
      </c>
      <c r="F170" s="207">
        <v>42450</v>
      </c>
      <c r="G170" s="207">
        <v>42600</v>
      </c>
      <c r="H170" s="161">
        <v>150</v>
      </c>
      <c r="I170" s="207">
        <v>50</v>
      </c>
      <c r="J170" s="242">
        <f t="shared" si="26"/>
        <v>7500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44945</v>
      </c>
      <c r="D171" s="161" t="s">
        <v>8</v>
      </c>
      <c r="E171" s="161" t="s">
        <v>301</v>
      </c>
      <c r="F171" s="207">
        <v>42350</v>
      </c>
      <c r="G171" s="207">
        <v>42290</v>
      </c>
      <c r="H171" s="161">
        <f>42350-42290</f>
        <v>60</v>
      </c>
      <c r="I171" s="207">
        <v>50</v>
      </c>
      <c r="J171" s="242">
        <f t="shared" si="26"/>
        <v>3000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44946</v>
      </c>
      <c r="D172" s="161" t="s">
        <v>9</v>
      </c>
      <c r="E172" s="161" t="s">
        <v>301</v>
      </c>
      <c r="F172" s="207">
        <v>42650</v>
      </c>
      <c r="G172" s="207">
        <v>42705</v>
      </c>
      <c r="H172" s="161">
        <v>55</v>
      </c>
      <c r="I172" s="207">
        <v>50</v>
      </c>
      <c r="J172" s="242">
        <f t="shared" si="26"/>
        <v>2750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44949</v>
      </c>
      <c r="D173" s="161" t="s">
        <v>9</v>
      </c>
      <c r="E173" s="161" t="s">
        <v>301</v>
      </c>
      <c r="F173" s="207">
        <v>42900</v>
      </c>
      <c r="G173" s="207">
        <v>42995</v>
      </c>
      <c r="H173" s="161">
        <v>95</v>
      </c>
      <c r="I173" s="207">
        <v>50</v>
      </c>
      <c r="J173" s="242">
        <f t="shared" si="26"/>
        <v>4750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44950</v>
      </c>
      <c r="D174" s="161" t="s">
        <v>8</v>
      </c>
      <c r="E174" s="161" t="s">
        <v>301</v>
      </c>
      <c r="F174" s="207">
        <v>42950</v>
      </c>
      <c r="G174" s="207">
        <v>42655</v>
      </c>
      <c r="H174" s="161">
        <f>42950-42655</f>
        <v>295</v>
      </c>
      <c r="I174" s="207">
        <v>50</v>
      </c>
      <c r="J174" s="242">
        <f t="shared" si="26"/>
        <v>14750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44951</v>
      </c>
      <c r="D175" s="161" t="s">
        <v>8</v>
      </c>
      <c r="E175" s="161" t="s">
        <v>301</v>
      </c>
      <c r="F175" s="207">
        <v>42450</v>
      </c>
      <c r="G175" s="207">
        <v>42150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44953</v>
      </c>
      <c r="D176" s="161" t="s">
        <v>8</v>
      </c>
      <c r="E176" s="161" t="s">
        <v>301</v>
      </c>
      <c r="F176" s="207">
        <v>41200</v>
      </c>
      <c r="G176" s="207">
        <v>40900</v>
      </c>
      <c r="H176" s="161">
        <v>300</v>
      </c>
      <c r="I176" s="207">
        <v>50</v>
      </c>
      <c r="J176" s="242">
        <f t="shared" si="26"/>
        <v>15000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44956</v>
      </c>
      <c r="D177" s="161" t="s">
        <v>8</v>
      </c>
      <c r="E177" s="161" t="s">
        <v>301</v>
      </c>
      <c r="F177" s="207">
        <v>40650</v>
      </c>
      <c r="G177" s="207">
        <v>40350</v>
      </c>
      <c r="H177" s="161">
        <v>300</v>
      </c>
      <c r="I177" s="207">
        <v>50</v>
      </c>
      <c r="J177" s="242">
        <f t="shared" si="26"/>
        <v>15000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44957</v>
      </c>
      <c r="D178" s="161" t="s">
        <v>8</v>
      </c>
      <c r="E178" s="161" t="s">
        <v>301</v>
      </c>
      <c r="F178" s="207">
        <v>40650</v>
      </c>
      <c r="G178" s="207">
        <v>40500</v>
      </c>
      <c r="H178" s="161">
        <v>150</v>
      </c>
      <c r="I178" s="207">
        <v>50</v>
      </c>
      <c r="J178" s="242">
        <f t="shared" si="26"/>
        <v>7500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188750</v>
      </c>
      <c r="K181" s="153"/>
      <c r="V181" s="25">
        <f>SUM(V158:V180)</f>
        <v>20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4063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44928</v>
      </c>
      <c r="D189" s="185" t="s">
        <v>9</v>
      </c>
      <c r="E189" s="185" t="s">
        <v>4065</v>
      </c>
      <c r="F189" s="219">
        <v>260</v>
      </c>
      <c r="G189" s="219">
        <v>192</v>
      </c>
      <c r="H189" s="185">
        <v>-68</v>
      </c>
      <c r="I189" s="219">
        <v>100</v>
      </c>
      <c r="J189" s="246">
        <f t="shared" ref="J189:J212" si="30">I189*H189</f>
        <v>-6800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44929</v>
      </c>
      <c r="D190" s="185" t="s">
        <v>9</v>
      </c>
      <c r="E190" s="185" t="s">
        <v>4065</v>
      </c>
      <c r="F190" s="219">
        <v>240</v>
      </c>
      <c r="G190" s="219">
        <v>200</v>
      </c>
      <c r="H190" s="185">
        <v>-40</v>
      </c>
      <c r="I190" s="219">
        <v>100</v>
      </c>
      <c r="J190" s="242">
        <f t="shared" si="30"/>
        <v>-4000</v>
      </c>
      <c r="K190" s="153"/>
      <c r="V190" s="25">
        <f t="shared" ref="V190:V212" si="31">IF($J190&gt;0,1,0)</f>
        <v>0</v>
      </c>
      <c r="W190" s="25">
        <f t="shared" ref="W190:W212" si="32">IF($J190&lt;0,1,0)</f>
        <v>1</v>
      </c>
    </row>
    <row r="191" spans="1:23" x14ac:dyDescent="0.3">
      <c r="A191" s="147"/>
      <c r="B191" s="205">
        <f t="shared" ref="B191:B210" si="33">B190+1</f>
        <v>3</v>
      </c>
      <c r="C191" s="206">
        <v>44930</v>
      </c>
      <c r="D191" s="161" t="s">
        <v>9</v>
      </c>
      <c r="E191" s="161" t="s">
        <v>4015</v>
      </c>
      <c r="F191" s="207">
        <v>260</v>
      </c>
      <c r="G191" s="207">
        <v>460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44931</v>
      </c>
      <c r="D192" s="161" t="s">
        <v>9</v>
      </c>
      <c r="E192" s="161" t="s">
        <v>4071</v>
      </c>
      <c r="F192" s="207">
        <v>250</v>
      </c>
      <c r="G192" s="207">
        <v>450</v>
      </c>
      <c r="H192" s="161">
        <v>200</v>
      </c>
      <c r="I192" s="207">
        <v>100</v>
      </c>
      <c r="J192" s="242">
        <f t="shared" si="30"/>
        <v>20000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44932</v>
      </c>
      <c r="D193" s="161" t="s">
        <v>9</v>
      </c>
      <c r="E193" s="161" t="s">
        <v>3996</v>
      </c>
      <c r="F193" s="207">
        <v>430</v>
      </c>
      <c r="G193" s="207">
        <v>630</v>
      </c>
      <c r="H193" s="161">
        <v>200</v>
      </c>
      <c r="I193" s="207">
        <v>100</v>
      </c>
      <c r="J193" s="242">
        <f t="shared" si="30"/>
        <v>20000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44935</v>
      </c>
      <c r="D194" s="161" t="s">
        <v>9</v>
      </c>
      <c r="E194" s="161" t="s">
        <v>4000</v>
      </c>
      <c r="F194" s="207">
        <v>340</v>
      </c>
      <c r="G194" s="207">
        <v>414</v>
      </c>
      <c r="H194" s="161">
        <f>414-340</f>
        <v>74</v>
      </c>
      <c r="I194" s="207">
        <v>100</v>
      </c>
      <c r="J194" s="242">
        <f t="shared" si="30"/>
        <v>7400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44936</v>
      </c>
      <c r="D195" s="161" t="s">
        <v>9</v>
      </c>
      <c r="E195" s="161" t="s">
        <v>4059</v>
      </c>
      <c r="F195" s="207">
        <v>400</v>
      </c>
      <c r="G195" s="207">
        <v>600</v>
      </c>
      <c r="H195" s="161">
        <v>200</v>
      </c>
      <c r="I195" s="207">
        <v>100</v>
      </c>
      <c r="J195" s="242">
        <f t="shared" si="30"/>
        <v>20000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44937</v>
      </c>
      <c r="D196" s="161" t="s">
        <v>9</v>
      </c>
      <c r="E196" s="161" t="s">
        <v>4056</v>
      </c>
      <c r="F196" s="207">
        <v>330</v>
      </c>
      <c r="G196" s="207">
        <v>427</v>
      </c>
      <c r="H196" s="161">
        <v>97</v>
      </c>
      <c r="I196" s="207">
        <v>100</v>
      </c>
      <c r="J196" s="242">
        <f t="shared" si="30"/>
        <v>9700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44938</v>
      </c>
      <c r="D197" s="161" t="s">
        <v>9</v>
      </c>
      <c r="E197" s="161" t="s">
        <v>4059</v>
      </c>
      <c r="F197" s="207">
        <v>320</v>
      </c>
      <c r="G197" s="207">
        <v>520</v>
      </c>
      <c r="H197" s="161">
        <v>200</v>
      </c>
      <c r="I197" s="207">
        <v>100</v>
      </c>
      <c r="J197" s="242">
        <f t="shared" si="30"/>
        <v>20000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44939</v>
      </c>
      <c r="D198" s="161" t="s">
        <v>9</v>
      </c>
      <c r="E198" s="161" t="s">
        <v>3982</v>
      </c>
      <c r="F198" s="207">
        <v>370</v>
      </c>
      <c r="G198" s="207">
        <v>300</v>
      </c>
      <c r="H198" s="161">
        <v>-70</v>
      </c>
      <c r="I198" s="207">
        <v>100</v>
      </c>
      <c r="J198" s="242">
        <f t="shared" si="30"/>
        <v>-7000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44942</v>
      </c>
      <c r="D199" s="161" t="s">
        <v>9</v>
      </c>
      <c r="E199" s="161" t="s">
        <v>4053</v>
      </c>
      <c r="F199" s="207">
        <v>360</v>
      </c>
      <c r="G199" s="207">
        <v>505</v>
      </c>
      <c r="H199" s="161">
        <f>505-360</f>
        <v>145</v>
      </c>
      <c r="I199" s="207">
        <v>100</v>
      </c>
      <c r="J199" s="242">
        <f t="shared" si="30"/>
        <v>14500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44943</v>
      </c>
      <c r="D200" s="161" t="s">
        <v>9</v>
      </c>
      <c r="E200" s="161" t="s">
        <v>3998</v>
      </c>
      <c r="F200" s="207">
        <v>350</v>
      </c>
      <c r="G200" s="207">
        <v>550</v>
      </c>
      <c r="H200" s="161">
        <v>200</v>
      </c>
      <c r="I200" s="207">
        <v>100</v>
      </c>
      <c r="J200" s="242">
        <f t="shared" si="30"/>
        <v>20000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44944</v>
      </c>
      <c r="D201" s="161" t="s">
        <v>9</v>
      </c>
      <c r="E201" s="161" t="s">
        <v>3994</v>
      </c>
      <c r="F201" s="207">
        <v>350</v>
      </c>
      <c r="G201" s="207">
        <v>420</v>
      </c>
      <c r="H201" s="161">
        <f>420-350</f>
        <v>70</v>
      </c>
      <c r="I201" s="207">
        <v>100</v>
      </c>
      <c r="J201" s="242">
        <f t="shared" si="30"/>
        <v>7000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14</v>
      </c>
      <c r="C202" s="206">
        <v>44945</v>
      </c>
      <c r="D202" s="161" t="s">
        <v>9</v>
      </c>
      <c r="E202" s="161" t="s">
        <v>3996</v>
      </c>
      <c r="F202" s="207">
        <v>320</v>
      </c>
      <c r="G202" s="222">
        <v>370</v>
      </c>
      <c r="H202" s="161">
        <v>50</v>
      </c>
      <c r="I202" s="207">
        <v>100</v>
      </c>
      <c r="J202" s="242">
        <f t="shared" si="30"/>
        <v>5000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44946</v>
      </c>
      <c r="D203" s="161" t="s">
        <v>9</v>
      </c>
      <c r="E203" s="161" t="s">
        <v>4053</v>
      </c>
      <c r="F203" s="207">
        <v>340</v>
      </c>
      <c r="G203" s="207">
        <v>370</v>
      </c>
      <c r="H203" s="161">
        <v>30</v>
      </c>
      <c r="I203" s="207">
        <v>100</v>
      </c>
      <c r="J203" s="242">
        <f t="shared" si="30"/>
        <v>3000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44949</v>
      </c>
      <c r="D204" s="161" t="s">
        <v>9</v>
      </c>
      <c r="E204" s="161" t="s">
        <v>4086</v>
      </c>
      <c r="F204" s="207">
        <v>400</v>
      </c>
      <c r="G204" s="207">
        <v>300</v>
      </c>
      <c r="H204" s="161">
        <v>-100</v>
      </c>
      <c r="I204" s="207">
        <v>100</v>
      </c>
      <c r="J204" s="242">
        <f t="shared" si="30"/>
        <v>-10000</v>
      </c>
      <c r="K204" s="153"/>
      <c r="V204" s="25">
        <f t="shared" si="31"/>
        <v>0</v>
      </c>
      <c r="W204" s="25">
        <f t="shared" si="32"/>
        <v>1</v>
      </c>
    </row>
    <row r="205" spans="1:23" x14ac:dyDescent="0.3">
      <c r="A205" s="147"/>
      <c r="B205" s="205">
        <f t="shared" si="33"/>
        <v>17</v>
      </c>
      <c r="C205" s="206">
        <v>44950</v>
      </c>
      <c r="D205" s="161" t="s">
        <v>9</v>
      </c>
      <c r="E205" s="161" t="s">
        <v>4015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0"/>
        <v>20000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44951</v>
      </c>
      <c r="D206" s="161" t="s">
        <v>9</v>
      </c>
      <c r="E206" s="161" t="s">
        <v>4053</v>
      </c>
      <c r="F206" s="207">
        <v>350</v>
      </c>
      <c r="G206" s="207">
        <v>550</v>
      </c>
      <c r="H206" s="161">
        <v>200</v>
      </c>
      <c r="I206" s="207">
        <v>100</v>
      </c>
      <c r="J206" s="242">
        <f t="shared" si="30"/>
        <v>20000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>
        <v>44953</v>
      </c>
      <c r="D207" s="161" t="s">
        <v>9</v>
      </c>
      <c r="E207" s="161" t="s">
        <v>4089</v>
      </c>
      <c r="F207" s="207">
        <v>510</v>
      </c>
      <c r="G207" s="207">
        <v>710</v>
      </c>
      <c r="H207" s="161">
        <v>200</v>
      </c>
      <c r="I207" s="207">
        <v>100</v>
      </c>
      <c r="J207" s="242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ht="15" thickBot="1" x14ac:dyDescent="0.35">
      <c r="A208" s="147"/>
      <c r="B208" s="205">
        <f t="shared" si="33"/>
        <v>20</v>
      </c>
      <c r="C208" s="206">
        <v>44956</v>
      </c>
      <c r="D208" s="161" t="s">
        <v>9</v>
      </c>
      <c r="E208" s="161" t="s">
        <v>3911</v>
      </c>
      <c r="F208" s="207">
        <v>500</v>
      </c>
      <c r="G208" s="207">
        <v>700</v>
      </c>
      <c r="H208" s="161">
        <v>200</v>
      </c>
      <c r="I208" s="207">
        <v>100</v>
      </c>
      <c r="J208" s="244">
        <f t="shared" si="30"/>
        <v>20000</v>
      </c>
      <c r="K208" s="153"/>
      <c r="V208" s="25">
        <f t="shared" si="31"/>
        <v>1</v>
      </c>
      <c r="W208" s="25">
        <f t="shared" si="32"/>
        <v>0</v>
      </c>
    </row>
    <row r="209" spans="1:23" ht="15" thickBot="1" x14ac:dyDescent="0.35">
      <c r="A209" s="147"/>
      <c r="B209" s="205">
        <f t="shared" si="33"/>
        <v>21</v>
      </c>
      <c r="C209" s="206">
        <v>44957</v>
      </c>
      <c r="D209" s="161" t="s">
        <v>9</v>
      </c>
      <c r="E209" s="161" t="s">
        <v>3914</v>
      </c>
      <c r="F209" s="207">
        <v>450</v>
      </c>
      <c r="G209" s="207">
        <v>534</v>
      </c>
      <c r="H209" s="161">
        <f>534-450</f>
        <v>84</v>
      </c>
      <c r="I209" s="207">
        <v>100</v>
      </c>
      <c r="J209" s="244">
        <f t="shared" si="30"/>
        <v>8400</v>
      </c>
      <c r="K209" s="153"/>
      <c r="V209" s="25">
        <f t="shared" si="31"/>
        <v>1</v>
      </c>
      <c r="W209" s="25">
        <f t="shared" si="32"/>
        <v>0</v>
      </c>
    </row>
    <row r="210" spans="1:23" ht="15" thickBot="1" x14ac:dyDescent="0.35">
      <c r="A210" s="147"/>
      <c r="B210" s="205">
        <f t="shared" si="33"/>
        <v>22</v>
      </c>
      <c r="C210" s="206"/>
      <c r="D210" s="161"/>
      <c r="E210" s="161"/>
      <c r="F210" s="207"/>
      <c r="G210" s="207"/>
      <c r="H210" s="161"/>
      <c r="I210" s="207"/>
      <c r="J210" s="244">
        <f t="shared" si="30"/>
        <v>0</v>
      </c>
      <c r="K210" s="153"/>
      <c r="V210" s="25">
        <f t="shared" si="31"/>
        <v>0</v>
      </c>
      <c r="W210" s="25">
        <f t="shared" si="32"/>
        <v>0</v>
      </c>
    </row>
    <row r="211" spans="1:23" ht="15" thickBot="1" x14ac:dyDescent="0.35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244">
        <f t="shared" si="3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44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227200</v>
      </c>
      <c r="K213" s="153"/>
      <c r="V213" s="25">
        <f>SUM(V189:V212)</f>
        <v>17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3647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44928</v>
      </c>
      <c r="D221" s="185" t="s">
        <v>9</v>
      </c>
      <c r="E221" s="185" t="s">
        <v>4066</v>
      </c>
      <c r="F221" s="231">
        <v>20</v>
      </c>
      <c r="G221" s="231">
        <v>21.5</v>
      </c>
      <c r="H221" s="231">
        <v>1.5</v>
      </c>
      <c r="I221" s="219">
        <v>1200</v>
      </c>
      <c r="J221" s="246">
        <f t="shared" ref="J221:J244" si="34">I221*H221</f>
        <v>1800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44929</v>
      </c>
      <c r="D222" s="185" t="s">
        <v>9</v>
      </c>
      <c r="E222" s="185" t="s">
        <v>4067</v>
      </c>
      <c r="F222" s="231">
        <v>43</v>
      </c>
      <c r="G222" s="231">
        <v>52</v>
      </c>
      <c r="H222" s="231">
        <f>52-43</f>
        <v>9</v>
      </c>
      <c r="I222" s="219">
        <v>400</v>
      </c>
      <c r="J222" s="242">
        <f>I222*H222</f>
        <v>3600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44930</v>
      </c>
      <c r="D223" s="161" t="s">
        <v>9</v>
      </c>
      <c r="E223" s="161" t="s">
        <v>4068</v>
      </c>
      <c r="F223" s="222">
        <v>15</v>
      </c>
      <c r="G223" s="222">
        <v>10.7</v>
      </c>
      <c r="H223" s="222">
        <v>-4.3</v>
      </c>
      <c r="I223" s="207">
        <v>1100</v>
      </c>
      <c r="J223" s="242">
        <f t="shared" si="34"/>
        <v>-4730</v>
      </c>
      <c r="K223" s="153"/>
      <c r="V223" s="25">
        <f t="shared" ref="V223:V244" si="36">IF($J223&gt;0,1,0)</f>
        <v>0</v>
      </c>
      <c r="W223" s="25">
        <f t="shared" ref="W223:W244" si="37">IF($J223&lt;0,1,0)</f>
        <v>1</v>
      </c>
    </row>
    <row r="224" spans="1:23" x14ac:dyDescent="0.3">
      <c r="A224" s="147"/>
      <c r="B224" s="205">
        <f t="shared" si="35"/>
        <v>4</v>
      </c>
      <c r="C224" s="206">
        <v>44931</v>
      </c>
      <c r="D224" s="161" t="s">
        <v>9</v>
      </c>
      <c r="E224" s="161" t="s">
        <v>4069</v>
      </c>
      <c r="F224" s="222">
        <v>65</v>
      </c>
      <c r="G224" s="222">
        <v>95</v>
      </c>
      <c r="H224" s="222">
        <v>30</v>
      </c>
      <c r="I224" s="207">
        <v>300</v>
      </c>
      <c r="J224" s="242">
        <f t="shared" si="34"/>
        <v>9000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44932</v>
      </c>
      <c r="D225" s="161" t="s">
        <v>9</v>
      </c>
      <c r="E225" s="161" t="s">
        <v>4070</v>
      </c>
      <c r="F225" s="222">
        <v>22</v>
      </c>
      <c r="G225" s="222">
        <v>27</v>
      </c>
      <c r="H225" s="222">
        <v>5</v>
      </c>
      <c r="I225" s="207">
        <v>1300</v>
      </c>
      <c r="J225" s="242">
        <f t="shared" si="34"/>
        <v>6500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44935</v>
      </c>
      <c r="D226" s="161" t="s">
        <v>9</v>
      </c>
      <c r="E226" s="161" t="s">
        <v>4074</v>
      </c>
      <c r="F226" s="222">
        <v>46</v>
      </c>
      <c r="G226" s="222">
        <v>50</v>
      </c>
      <c r="H226" s="222">
        <f>50-46</f>
        <v>4</v>
      </c>
      <c r="I226" s="207">
        <v>300</v>
      </c>
      <c r="J226" s="242">
        <f t="shared" si="34"/>
        <v>1200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44936</v>
      </c>
      <c r="D227" s="161" t="s">
        <v>9</v>
      </c>
      <c r="E227" s="161" t="s">
        <v>4076</v>
      </c>
      <c r="F227" s="222">
        <v>52</v>
      </c>
      <c r="G227" s="222">
        <v>66</v>
      </c>
      <c r="H227" s="222">
        <f>66-52</f>
        <v>14</v>
      </c>
      <c r="I227" s="207">
        <v>300</v>
      </c>
      <c r="J227" s="242">
        <f t="shared" si="34"/>
        <v>4200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44937</v>
      </c>
      <c r="D228" s="161" t="s">
        <v>9</v>
      </c>
      <c r="E228" s="161" t="s">
        <v>4075</v>
      </c>
      <c r="F228" s="222">
        <v>12.5</v>
      </c>
      <c r="G228" s="222">
        <v>19</v>
      </c>
      <c r="H228" s="222">
        <f>19-12.5</f>
        <v>6.5</v>
      </c>
      <c r="I228" s="207">
        <v>1100</v>
      </c>
      <c r="J228" s="242">
        <f t="shared" si="34"/>
        <v>7150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44938</v>
      </c>
      <c r="D229" s="161" t="s">
        <v>9</v>
      </c>
      <c r="E229" s="161" t="s">
        <v>4077</v>
      </c>
      <c r="F229" s="222">
        <v>135</v>
      </c>
      <c r="G229" s="222">
        <v>105</v>
      </c>
      <c r="H229" s="255">
        <v>-30</v>
      </c>
      <c r="I229" s="207">
        <v>250</v>
      </c>
      <c r="J229" s="242">
        <f t="shared" si="34"/>
        <v>-7500</v>
      </c>
      <c r="K229" s="153"/>
      <c r="V229" s="25">
        <f t="shared" si="36"/>
        <v>0</v>
      </c>
      <c r="W229" s="25">
        <f t="shared" si="37"/>
        <v>1</v>
      </c>
    </row>
    <row r="230" spans="1:23" x14ac:dyDescent="0.3">
      <c r="A230" s="147"/>
      <c r="B230" s="205">
        <f t="shared" si="35"/>
        <v>10</v>
      </c>
      <c r="C230" s="206">
        <v>44939</v>
      </c>
      <c r="D230" s="161" t="s">
        <v>9</v>
      </c>
      <c r="E230" s="161" t="s">
        <v>4078</v>
      </c>
      <c r="F230" s="222">
        <v>16</v>
      </c>
      <c r="G230" s="222">
        <v>17.600000000000001</v>
      </c>
      <c r="H230" s="255">
        <v>1.6</v>
      </c>
      <c r="I230" s="207">
        <v>1200</v>
      </c>
      <c r="J230" s="242">
        <f t="shared" si="34"/>
        <v>1920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11</v>
      </c>
      <c r="C231" s="206">
        <v>44942</v>
      </c>
      <c r="D231" s="161" t="s">
        <v>9</v>
      </c>
      <c r="E231" s="161" t="s">
        <v>4080</v>
      </c>
      <c r="F231" s="222">
        <v>85</v>
      </c>
      <c r="G231" s="222">
        <v>125</v>
      </c>
      <c r="H231" s="255">
        <f>125-85</f>
        <v>40</v>
      </c>
      <c r="I231" s="207">
        <v>250</v>
      </c>
      <c r="J231" s="242">
        <f t="shared" si="34"/>
        <v>10000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44943</v>
      </c>
      <c r="D232" s="161" t="s">
        <v>9</v>
      </c>
      <c r="E232" s="161" t="s">
        <v>4081</v>
      </c>
      <c r="F232" s="222">
        <v>6.5</v>
      </c>
      <c r="G232" s="222">
        <v>8.3000000000000007</v>
      </c>
      <c r="H232" s="255">
        <f>8.3-6.5</f>
        <v>1.8000000000000007</v>
      </c>
      <c r="I232" s="207">
        <v>2600</v>
      </c>
      <c r="J232" s="242">
        <f t="shared" si="34"/>
        <v>4680.0000000000018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44944</v>
      </c>
      <c r="D233" s="161" t="s">
        <v>9</v>
      </c>
      <c r="E233" s="161" t="s">
        <v>4082</v>
      </c>
      <c r="F233" s="222">
        <v>55</v>
      </c>
      <c r="G233" s="222">
        <v>58</v>
      </c>
      <c r="H233" s="255">
        <v>3</v>
      </c>
      <c r="I233" s="207">
        <v>125</v>
      </c>
      <c r="J233" s="242">
        <f t="shared" si="34"/>
        <v>375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44945</v>
      </c>
      <c r="D234" s="161" t="s">
        <v>9</v>
      </c>
      <c r="E234" s="161" t="s">
        <v>4083</v>
      </c>
      <c r="F234" s="222">
        <v>50</v>
      </c>
      <c r="G234" s="222">
        <v>55</v>
      </c>
      <c r="H234" s="255">
        <v>5</v>
      </c>
      <c r="I234" s="207">
        <v>250</v>
      </c>
      <c r="J234" s="242">
        <f>I234*H234</f>
        <v>1250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44946</v>
      </c>
      <c r="D235" s="161" t="s">
        <v>9</v>
      </c>
      <c r="E235" s="161" t="s">
        <v>4084</v>
      </c>
      <c r="F235" s="222">
        <v>40</v>
      </c>
      <c r="G235" s="222">
        <v>45.5</v>
      </c>
      <c r="H235" s="255">
        <v>5.5</v>
      </c>
      <c r="I235" s="207">
        <v>300</v>
      </c>
      <c r="J235" s="242">
        <f t="shared" si="34"/>
        <v>1650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44949</v>
      </c>
      <c r="D236" s="161" t="s">
        <v>9</v>
      </c>
      <c r="E236" s="161" t="s">
        <v>3460</v>
      </c>
      <c r="F236" s="222">
        <v>20</v>
      </c>
      <c r="G236" s="222">
        <v>28</v>
      </c>
      <c r="H236" s="222">
        <v>8</v>
      </c>
      <c r="I236" s="207">
        <v>300</v>
      </c>
      <c r="J236" s="242">
        <f t="shared" si="34"/>
        <v>2400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44950</v>
      </c>
      <c r="D237" s="161" t="s">
        <v>9</v>
      </c>
      <c r="E237" s="161" t="s">
        <v>4087</v>
      </c>
      <c r="F237" s="222">
        <v>10</v>
      </c>
      <c r="G237" s="222">
        <v>12.15</v>
      </c>
      <c r="H237" s="222">
        <v>2.15</v>
      </c>
      <c r="I237" s="207">
        <v>400</v>
      </c>
      <c r="J237" s="242">
        <f t="shared" si="34"/>
        <v>860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44951</v>
      </c>
      <c r="D238" s="161" t="s">
        <v>9</v>
      </c>
      <c r="E238" s="161" t="s">
        <v>4088</v>
      </c>
      <c r="F238" s="222">
        <v>4</v>
      </c>
      <c r="G238" s="222">
        <v>10</v>
      </c>
      <c r="H238" s="222">
        <v>6</v>
      </c>
      <c r="I238" s="207">
        <v>1200</v>
      </c>
      <c r="J238" s="242">
        <f t="shared" si="34"/>
        <v>7200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44953</v>
      </c>
      <c r="D239" s="161" t="s">
        <v>9</v>
      </c>
      <c r="E239" s="161" t="s">
        <v>4090</v>
      </c>
      <c r="F239" s="222">
        <v>17</v>
      </c>
      <c r="G239" s="222">
        <v>27</v>
      </c>
      <c r="H239" s="222">
        <v>10</v>
      </c>
      <c r="I239" s="207">
        <v>1500</v>
      </c>
      <c r="J239" s="242">
        <f t="shared" si="34"/>
        <v>15000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20</v>
      </c>
      <c r="C240" s="206">
        <v>44956</v>
      </c>
      <c r="D240" s="161" t="s">
        <v>9</v>
      </c>
      <c r="E240" s="161" t="s">
        <v>4091</v>
      </c>
      <c r="F240" s="222">
        <v>40</v>
      </c>
      <c r="G240" s="222">
        <v>45</v>
      </c>
      <c r="H240" s="222">
        <v>5</v>
      </c>
      <c r="I240" s="207">
        <v>600</v>
      </c>
      <c r="J240" s="242">
        <f t="shared" si="34"/>
        <v>3000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>
        <v>44956</v>
      </c>
      <c r="D241" s="161" t="s">
        <v>9</v>
      </c>
      <c r="E241" s="161" t="s">
        <v>3872</v>
      </c>
      <c r="F241" s="222">
        <v>22</v>
      </c>
      <c r="G241" s="222">
        <v>25</v>
      </c>
      <c r="H241" s="222">
        <v>3</v>
      </c>
      <c r="I241" s="207">
        <v>1500</v>
      </c>
      <c r="J241" s="242">
        <f t="shared" si="34"/>
        <v>4500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>
        <v>44957</v>
      </c>
      <c r="D242" s="161" t="s">
        <v>9</v>
      </c>
      <c r="E242" s="161" t="s">
        <v>4092</v>
      </c>
      <c r="F242" s="222">
        <v>23</v>
      </c>
      <c r="G242" s="222">
        <v>25</v>
      </c>
      <c r="H242" s="222">
        <v>2</v>
      </c>
      <c r="I242" s="207">
        <v>700</v>
      </c>
      <c r="J242" s="242">
        <f t="shared" si="34"/>
        <v>1400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75455</v>
      </c>
      <c r="K245" s="153"/>
      <c r="V245" s="25">
        <f>SUM(V221:V244)</f>
        <v>20</v>
      </c>
      <c r="W245" s="25">
        <f>SUM(W221:W244)</f>
        <v>2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500-000000000000}"/>
    <hyperlink ref="B117" r:id="rId2" xr:uid="{00000000-0004-0000-7500-000001000000}"/>
    <hyperlink ref="B150" r:id="rId3" xr:uid="{00000000-0004-0000-7500-000002000000}"/>
    <hyperlink ref="B181" r:id="rId4" xr:uid="{00000000-0004-0000-7500-000003000000}"/>
    <hyperlink ref="B213" r:id="rId5" xr:uid="{00000000-0004-0000-7500-000004000000}"/>
    <hyperlink ref="B245" r:id="rId6" xr:uid="{00000000-0004-0000-7500-000005000000}"/>
    <hyperlink ref="M1" location="'MASTER '!A1" display="Back" xr:uid="{00000000-0004-0000-7500-000006000000}"/>
    <hyperlink ref="M6:M7" location="'JAN 2023'!A77" display="STOCK FUTURE" xr:uid="{00000000-0004-0000-7500-000007000000}"/>
    <hyperlink ref="M12:M13" location="'JAN 2023'!A170" display="BANK NIFTY" xr:uid="{00000000-0004-0000-7500-000008000000}"/>
    <hyperlink ref="M10:M11" location="'JAN 2023'!A139" display="NF. OPTION" xr:uid="{00000000-0004-0000-7500-000009000000}"/>
    <hyperlink ref="M8:M9" location="'JAN 2023'!A108" display="NIFTY FUTURE" xr:uid="{00000000-0004-0000-7500-00000A000000}"/>
    <hyperlink ref="M4:M5" location="'JAN 2023'!A1" display="CASH" xr:uid="{00000000-0004-0000-7500-00000B000000}"/>
    <hyperlink ref="M14:M15" location="'JAN 2023'!A201" display="B.NIFTY OPTION" xr:uid="{00000000-0004-0000-7500-00000C000000}"/>
    <hyperlink ref="M16:M17" location="'JAN 2023'!A216" display="STOCK OPTION" xr:uid="{00000000-0004-0000-7500-00000D000000}"/>
    <hyperlink ref="B52" r:id="rId7" xr:uid="{00000000-0004-0000-7500-00000E000000}"/>
  </hyperlinks>
  <pageMargins left="0" right="0" top="0" bottom="0" header="0" footer="0"/>
  <pageSetup scale="95" orientation="portrait" r:id="rId8"/>
  <drawing r:id="rId9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W246"/>
  <sheetViews>
    <sheetView topLeftCell="A124" zoomScaleNormal="100" workbookViewId="0">
      <selection activeCell="M142" sqref="M14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4093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39</v>
      </c>
      <c r="O4" s="386">
        <f>V52</f>
        <v>34</v>
      </c>
      <c r="P4" s="386">
        <f>W52</f>
        <v>5</v>
      </c>
      <c r="Q4" s="387">
        <f>N4-O4-P4</f>
        <v>0</v>
      </c>
      <c r="R4" s="380">
        <f>O4/N4</f>
        <v>0.87179487179487181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44958</v>
      </c>
      <c r="D6" s="158" t="s">
        <v>9</v>
      </c>
      <c r="E6" s="158" t="s">
        <v>109</v>
      </c>
      <c r="F6" s="230">
        <v>1370</v>
      </c>
      <c r="G6" s="222">
        <v>1390</v>
      </c>
      <c r="H6" s="222">
        <v>20</v>
      </c>
      <c r="I6" s="207">
        <f t="shared" ref="I6:I7" si="0">300000/F6</f>
        <v>218.97810218978103</v>
      </c>
      <c r="J6" s="161">
        <f t="shared" ref="J6:J7" si="1">H6*I6</f>
        <v>4379.5620437956204</v>
      </c>
      <c r="K6" s="153"/>
      <c r="M6" s="394" t="s">
        <v>450</v>
      </c>
      <c r="N6" s="344">
        <f>COUNT(C60:C85)</f>
        <v>20</v>
      </c>
      <c r="O6" s="346">
        <f>V86</f>
        <v>18</v>
      </c>
      <c r="P6" s="346">
        <f>W86</f>
        <v>2</v>
      </c>
      <c r="Q6" s="374">
        <f>N6-O6-P6</f>
        <v>0</v>
      </c>
      <c r="R6" s="376">
        <f t="shared" ref="R6" si="2">O6/N6</f>
        <v>0.9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44958</v>
      </c>
      <c r="D7" s="161" t="s">
        <v>9</v>
      </c>
      <c r="E7" s="161" t="s">
        <v>95</v>
      </c>
      <c r="F7" s="222">
        <v>855</v>
      </c>
      <c r="G7" s="231">
        <v>875</v>
      </c>
      <c r="H7" s="255">
        <v>20</v>
      </c>
      <c r="I7" s="207">
        <f t="shared" si="0"/>
        <v>350.87719298245617</v>
      </c>
      <c r="J7" s="161">
        <f t="shared" si="1"/>
        <v>7017.5438596491231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44959</v>
      </c>
      <c r="D8" s="161" t="s">
        <v>9</v>
      </c>
      <c r="E8" s="161" t="s">
        <v>95</v>
      </c>
      <c r="F8" s="222">
        <v>845</v>
      </c>
      <c r="G8" s="222">
        <v>860</v>
      </c>
      <c r="H8" s="222">
        <f>860-845</f>
        <v>15</v>
      </c>
      <c r="I8" s="207">
        <f t="shared" ref="I8:I44" si="6">300000/F8</f>
        <v>355.02958579881658</v>
      </c>
      <c r="J8" s="161">
        <f t="shared" ref="J8:J44" si="7">H8*I8</f>
        <v>5325.4437869822486</v>
      </c>
      <c r="K8" s="153"/>
      <c r="M8" s="394" t="s">
        <v>451</v>
      </c>
      <c r="N8" s="344">
        <f>COUNT(C94:C116)</f>
        <v>20</v>
      </c>
      <c r="O8" s="346">
        <f>V117</f>
        <v>18</v>
      </c>
      <c r="P8" s="346">
        <f>W117</f>
        <v>2</v>
      </c>
      <c r="Q8" s="374">
        <f>N8-O8-P8</f>
        <v>0</v>
      </c>
      <c r="R8" s="376">
        <f t="shared" ref="R8" si="8">O8/N8</f>
        <v>0.9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44959</v>
      </c>
      <c r="D9" s="161" t="s">
        <v>9</v>
      </c>
      <c r="E9" s="161" t="s">
        <v>109</v>
      </c>
      <c r="F9" s="222">
        <v>1360</v>
      </c>
      <c r="G9" s="231">
        <v>1375</v>
      </c>
      <c r="H9" s="255">
        <v>15</v>
      </c>
      <c r="I9" s="207">
        <f t="shared" si="6"/>
        <v>220.58823529411765</v>
      </c>
      <c r="J9" s="161">
        <f t="shared" si="7"/>
        <v>3308.8235294117649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44960</v>
      </c>
      <c r="D10" s="161" t="s">
        <v>9</v>
      </c>
      <c r="E10" s="161" t="s">
        <v>95</v>
      </c>
      <c r="F10" s="222">
        <v>870</v>
      </c>
      <c r="G10" s="222">
        <v>860</v>
      </c>
      <c r="H10" s="222">
        <v>-10</v>
      </c>
      <c r="I10" s="207">
        <f t="shared" si="6"/>
        <v>344.82758620689657</v>
      </c>
      <c r="J10" s="161">
        <f t="shared" si="7"/>
        <v>-3448.2758620689656</v>
      </c>
      <c r="K10" s="153"/>
      <c r="M10" s="394" t="s">
        <v>1176</v>
      </c>
      <c r="N10" s="344">
        <f>COUNT(C125:C149)</f>
        <v>22</v>
      </c>
      <c r="O10" s="346">
        <f>V150</f>
        <v>22</v>
      </c>
      <c r="P10" s="346">
        <f>W150</f>
        <v>0</v>
      </c>
      <c r="Q10" s="374">
        <f>N10-O10-P10</f>
        <v>0</v>
      </c>
      <c r="R10" s="376">
        <f t="shared" ref="R10:R16" si="9">O10/N10</f>
        <v>1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44960</v>
      </c>
      <c r="D11" s="161" t="s">
        <v>8</v>
      </c>
      <c r="E11" s="161" t="s">
        <v>175</v>
      </c>
      <c r="F11" s="222">
        <v>405</v>
      </c>
      <c r="G11" s="222">
        <v>398</v>
      </c>
      <c r="H11" s="255">
        <f>405-398</f>
        <v>7</v>
      </c>
      <c r="I11" s="207">
        <f t="shared" si="6"/>
        <v>740.74074074074076</v>
      </c>
      <c r="J11" s="161">
        <f t="shared" si="7"/>
        <v>5185.1851851851852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44963</v>
      </c>
      <c r="D12" s="161" t="s">
        <v>9</v>
      </c>
      <c r="E12" s="161" t="s">
        <v>3801</v>
      </c>
      <c r="F12" s="222">
        <v>472</v>
      </c>
      <c r="G12" s="222">
        <v>477</v>
      </c>
      <c r="H12" s="222">
        <v>-5</v>
      </c>
      <c r="I12" s="207">
        <f t="shared" si="6"/>
        <v>635.59322033898309</v>
      </c>
      <c r="J12" s="161">
        <f t="shared" si="7"/>
        <v>-3177.9661016949153</v>
      </c>
      <c r="K12" s="153"/>
      <c r="M12" s="394" t="s">
        <v>41</v>
      </c>
      <c r="N12" s="344">
        <f>COUNT(C158:C180)</f>
        <v>20</v>
      </c>
      <c r="O12" s="346">
        <f>V181</f>
        <v>16</v>
      </c>
      <c r="P12" s="346">
        <f>W181</f>
        <v>3</v>
      </c>
      <c r="Q12" s="374">
        <f t="shared" ref="Q12" si="10">N12-O12-P12</f>
        <v>1</v>
      </c>
      <c r="R12" s="376">
        <f t="shared" si="9"/>
        <v>0.8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44963</v>
      </c>
      <c r="D13" s="161" t="s">
        <v>9</v>
      </c>
      <c r="E13" s="161" t="s">
        <v>16</v>
      </c>
      <c r="F13" s="222">
        <v>2455</v>
      </c>
      <c r="G13" s="222">
        <v>2470</v>
      </c>
      <c r="H13" s="255">
        <f>2470-2455</f>
        <v>15</v>
      </c>
      <c r="I13" s="207">
        <f t="shared" si="6"/>
        <v>122.19959266802444</v>
      </c>
      <c r="J13" s="161">
        <f t="shared" si="7"/>
        <v>1832.9938900203665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45053</v>
      </c>
      <c r="D14" s="161" t="s">
        <v>9</v>
      </c>
      <c r="E14" s="161" t="s">
        <v>299</v>
      </c>
      <c r="F14" s="222">
        <v>1640</v>
      </c>
      <c r="G14" s="222">
        <v>1680</v>
      </c>
      <c r="H14" s="222">
        <v>40</v>
      </c>
      <c r="I14" s="207">
        <f t="shared" si="6"/>
        <v>182.92682926829269</v>
      </c>
      <c r="J14" s="161">
        <f t="shared" si="7"/>
        <v>7317.0731707317082</v>
      </c>
      <c r="K14" s="153"/>
      <c r="M14" s="394" t="s">
        <v>1175</v>
      </c>
      <c r="N14" s="344">
        <f>COUNT(C189:C212)</f>
        <v>23</v>
      </c>
      <c r="O14" s="346">
        <f>V213</f>
        <v>19</v>
      </c>
      <c r="P14" s="346">
        <f>W213</f>
        <v>3</v>
      </c>
      <c r="Q14" s="374">
        <f t="shared" ref="Q14" si="11">N14-O14-P14</f>
        <v>1</v>
      </c>
      <c r="R14" s="376">
        <f t="shared" si="9"/>
        <v>0.82608695652173914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44964</v>
      </c>
      <c r="D15" s="161" t="s">
        <v>8</v>
      </c>
      <c r="E15" s="161" t="s">
        <v>25</v>
      </c>
      <c r="F15" s="222">
        <v>114.5</v>
      </c>
      <c r="G15" s="222">
        <v>111.5</v>
      </c>
      <c r="H15" s="222">
        <f>114.5-111.5</f>
        <v>3</v>
      </c>
      <c r="I15" s="207">
        <f t="shared" si="6"/>
        <v>2620.0873362445413</v>
      </c>
      <c r="J15" s="161">
        <f t="shared" si="7"/>
        <v>7860.2620087336236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44965</v>
      </c>
      <c r="D16" s="161" t="s">
        <v>9</v>
      </c>
      <c r="E16" s="161" t="s">
        <v>168</v>
      </c>
      <c r="F16" s="222">
        <v>1202</v>
      </c>
      <c r="G16" s="222">
        <v>1222</v>
      </c>
      <c r="H16" s="222">
        <v>20</v>
      </c>
      <c r="I16" s="207">
        <f t="shared" si="6"/>
        <v>249.58402662229616</v>
      </c>
      <c r="J16" s="161">
        <f t="shared" si="7"/>
        <v>4991.6805324459237</v>
      </c>
      <c r="K16" s="153"/>
      <c r="L16" s="25" t="s">
        <v>2008</v>
      </c>
      <c r="M16" s="394" t="s">
        <v>1090</v>
      </c>
      <c r="N16" s="344">
        <f>COUNT(C221:C244)</f>
        <v>20</v>
      </c>
      <c r="O16" s="346">
        <f>V245</f>
        <v>19</v>
      </c>
      <c r="P16" s="346">
        <f>W245</f>
        <v>1</v>
      </c>
      <c r="Q16" s="374">
        <v>0</v>
      </c>
      <c r="R16" s="376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44965</v>
      </c>
      <c r="D17" s="161" t="s">
        <v>8</v>
      </c>
      <c r="E17" s="161" t="s">
        <v>58</v>
      </c>
      <c r="F17" s="222">
        <v>870</v>
      </c>
      <c r="G17" s="222">
        <v>872</v>
      </c>
      <c r="H17" s="222">
        <v>2</v>
      </c>
      <c r="I17" s="207">
        <f t="shared" si="6"/>
        <v>344.82758620689657</v>
      </c>
      <c r="J17" s="161">
        <f t="shared" si="7"/>
        <v>689.65517241379314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44966</v>
      </c>
      <c r="D18" s="161" t="s">
        <v>9</v>
      </c>
      <c r="E18" s="161" t="s">
        <v>4105</v>
      </c>
      <c r="F18" s="222">
        <v>1170</v>
      </c>
      <c r="G18" s="222">
        <v>1185</v>
      </c>
      <c r="H18" s="222">
        <v>15</v>
      </c>
      <c r="I18" s="207">
        <f t="shared" si="6"/>
        <v>256.41025641025641</v>
      </c>
      <c r="J18" s="161">
        <f t="shared" si="7"/>
        <v>3846.1538461538462</v>
      </c>
      <c r="K18" s="153"/>
      <c r="M18" s="392" t="s">
        <v>946</v>
      </c>
      <c r="N18" s="378">
        <f>SUM(N4:N17)</f>
        <v>164</v>
      </c>
      <c r="O18" s="378">
        <f t="shared" ref="O18:Q18" si="12">SUM(O4:O17)</f>
        <v>146</v>
      </c>
      <c r="P18" s="378">
        <f t="shared" si="12"/>
        <v>16</v>
      </c>
      <c r="Q18" s="378">
        <f t="shared" si="12"/>
        <v>2</v>
      </c>
      <c r="R18" s="380">
        <f t="shared" ref="R18" si="13">O18/N18</f>
        <v>0.8902439024390244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44966</v>
      </c>
      <c r="D19" s="161" t="s">
        <v>9</v>
      </c>
      <c r="E19" s="161" t="s">
        <v>2563</v>
      </c>
      <c r="F19" s="222">
        <v>2060</v>
      </c>
      <c r="G19" s="222">
        <v>2040</v>
      </c>
      <c r="H19" s="222">
        <v>20</v>
      </c>
      <c r="I19" s="207">
        <f t="shared" si="6"/>
        <v>145.63106796116506</v>
      </c>
      <c r="J19" s="161">
        <f t="shared" si="7"/>
        <v>2912.6213592233012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44967</v>
      </c>
      <c r="D20" s="161" t="s">
        <v>9</v>
      </c>
      <c r="E20" s="161" t="s">
        <v>2107</v>
      </c>
      <c r="F20" s="222">
        <v>854</v>
      </c>
      <c r="G20" s="222">
        <v>874</v>
      </c>
      <c r="H20" s="222">
        <f>874-854</f>
        <v>20</v>
      </c>
      <c r="I20" s="207">
        <f t="shared" si="6"/>
        <v>351.28805620608898</v>
      </c>
      <c r="J20" s="161">
        <f t="shared" si="7"/>
        <v>7025.7611241217801</v>
      </c>
      <c r="K20" s="153"/>
      <c r="M20" s="316" t="s">
        <v>2253</v>
      </c>
      <c r="N20" s="317"/>
      <c r="O20" s="318"/>
      <c r="P20" s="325">
        <f>R18</f>
        <v>0.8902439024390244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44967</v>
      </c>
      <c r="D21" s="161" t="s">
        <v>9</v>
      </c>
      <c r="E21" s="161" t="s">
        <v>2814</v>
      </c>
      <c r="F21" s="222">
        <v>1700</v>
      </c>
      <c r="G21" s="222">
        <v>1710</v>
      </c>
      <c r="H21" s="222">
        <v>10</v>
      </c>
      <c r="I21" s="207">
        <f t="shared" si="6"/>
        <v>176.47058823529412</v>
      </c>
      <c r="J21" s="161">
        <f t="shared" si="7"/>
        <v>1764.7058823529412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44970</v>
      </c>
      <c r="D22" s="161" t="s">
        <v>9</v>
      </c>
      <c r="E22" s="161" t="s">
        <v>46</v>
      </c>
      <c r="F22" s="222">
        <v>147.5</v>
      </c>
      <c r="G22" s="222">
        <v>148.5</v>
      </c>
      <c r="H22" s="222">
        <v>1</v>
      </c>
      <c r="I22" s="207">
        <f t="shared" si="6"/>
        <v>2033.8983050847457</v>
      </c>
      <c r="J22" s="161">
        <f t="shared" si="7"/>
        <v>2033.8983050847457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44970</v>
      </c>
      <c r="D23" s="161" t="s">
        <v>8</v>
      </c>
      <c r="E23" s="161" t="s">
        <v>395</v>
      </c>
      <c r="F23" s="222">
        <v>4520</v>
      </c>
      <c r="G23" s="222">
        <v>4512</v>
      </c>
      <c r="H23" s="222">
        <f>4520-4512</f>
        <v>8</v>
      </c>
      <c r="I23" s="207">
        <f t="shared" si="6"/>
        <v>66.371681415929203</v>
      </c>
      <c r="J23" s="161">
        <f t="shared" si="7"/>
        <v>530.97345132743362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44971</v>
      </c>
      <c r="D24" s="161" t="s">
        <v>9</v>
      </c>
      <c r="E24" s="161" t="s">
        <v>129</v>
      </c>
      <c r="F24" s="222">
        <v>2715</v>
      </c>
      <c r="G24" s="222">
        <v>2700</v>
      </c>
      <c r="H24" s="222">
        <v>-15</v>
      </c>
      <c r="I24" s="207">
        <f t="shared" si="6"/>
        <v>110.49723756906077</v>
      </c>
      <c r="J24" s="161">
        <f t="shared" si="7"/>
        <v>-1657.4585635359115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44971</v>
      </c>
      <c r="D25" s="161" t="s">
        <v>8</v>
      </c>
      <c r="E25" s="161" t="s">
        <v>3563</v>
      </c>
      <c r="F25" s="222">
        <v>1390</v>
      </c>
      <c r="G25" s="222">
        <v>1382</v>
      </c>
      <c r="H25" s="222">
        <f>1390-1382</f>
        <v>8</v>
      </c>
      <c r="I25" s="207">
        <f t="shared" si="6"/>
        <v>215.82733812949641</v>
      </c>
      <c r="J25" s="161">
        <f t="shared" si="7"/>
        <v>1726.6187050359713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44972</v>
      </c>
      <c r="D26" s="161" t="s">
        <v>9</v>
      </c>
      <c r="E26" s="161" t="s">
        <v>31</v>
      </c>
      <c r="F26" s="222">
        <v>2405</v>
      </c>
      <c r="G26" s="222">
        <v>2430</v>
      </c>
      <c r="H26" s="222">
        <f>2430-2405</f>
        <v>25</v>
      </c>
      <c r="I26" s="207">
        <f t="shared" si="6"/>
        <v>124.74012474012474</v>
      </c>
      <c r="J26" s="161">
        <f t="shared" si="7"/>
        <v>3118.5031185031185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44972</v>
      </c>
      <c r="D27" s="161" t="s">
        <v>9</v>
      </c>
      <c r="E27" s="161" t="s">
        <v>3262</v>
      </c>
      <c r="F27" s="222">
        <v>3290</v>
      </c>
      <c r="G27" s="222">
        <v>3330</v>
      </c>
      <c r="H27" s="222">
        <f>3330-3290</f>
        <v>40</v>
      </c>
      <c r="I27" s="207">
        <f t="shared" si="6"/>
        <v>91.1854103343465</v>
      </c>
      <c r="J27" s="161">
        <f t="shared" si="7"/>
        <v>3647.41641337386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44973</v>
      </c>
      <c r="D28" s="161" t="s">
        <v>9</v>
      </c>
      <c r="E28" s="161" t="s">
        <v>3435</v>
      </c>
      <c r="F28" s="222">
        <v>1520</v>
      </c>
      <c r="G28" s="222">
        <v>1505</v>
      </c>
      <c r="H28" s="222">
        <v>-15</v>
      </c>
      <c r="I28" s="207">
        <f t="shared" si="6"/>
        <v>197.36842105263159</v>
      </c>
      <c r="J28" s="161">
        <f t="shared" si="7"/>
        <v>-2960.5263157894738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44973</v>
      </c>
      <c r="D29" s="161" t="s">
        <v>9</v>
      </c>
      <c r="E29" s="161" t="s">
        <v>3515</v>
      </c>
      <c r="F29" s="222">
        <v>2505</v>
      </c>
      <c r="G29" s="222">
        <v>2545</v>
      </c>
      <c r="H29" s="222">
        <f>2545-2505</f>
        <v>40</v>
      </c>
      <c r="I29" s="207">
        <f t="shared" si="6"/>
        <v>119.76047904191617</v>
      </c>
      <c r="J29" s="161">
        <f t="shared" si="7"/>
        <v>4790.4191616766466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44974</v>
      </c>
      <c r="D30" s="161" t="s">
        <v>9</v>
      </c>
      <c r="E30" s="161" t="s">
        <v>3515</v>
      </c>
      <c r="F30" s="222">
        <v>2680</v>
      </c>
      <c r="G30" s="222">
        <v>2720</v>
      </c>
      <c r="H30" s="222">
        <f>2720-2680</f>
        <v>40</v>
      </c>
      <c r="I30" s="207">
        <f t="shared" si="6"/>
        <v>111.94029850746269</v>
      </c>
      <c r="J30" s="161">
        <f t="shared" si="7"/>
        <v>4477.6119402985078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44977</v>
      </c>
      <c r="D31" s="161" t="s">
        <v>9</v>
      </c>
      <c r="E31" s="161" t="s">
        <v>29</v>
      </c>
      <c r="F31" s="223">
        <v>1125</v>
      </c>
      <c r="G31" s="222">
        <v>1133.5</v>
      </c>
      <c r="H31" s="255">
        <f>1133.5-1125</f>
        <v>8.5</v>
      </c>
      <c r="I31" s="207">
        <f t="shared" si="6"/>
        <v>266.66666666666669</v>
      </c>
      <c r="J31" s="161">
        <f t="shared" si="7"/>
        <v>2266.666666666667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44977</v>
      </c>
      <c r="D32" s="161" t="s">
        <v>8</v>
      </c>
      <c r="E32" s="161" t="s">
        <v>800</v>
      </c>
      <c r="F32" s="222">
        <v>1460</v>
      </c>
      <c r="G32" s="222">
        <v>1475</v>
      </c>
      <c r="H32" s="222">
        <v>-15</v>
      </c>
      <c r="I32" s="207">
        <f t="shared" si="6"/>
        <v>205.47945205479451</v>
      </c>
      <c r="J32" s="161">
        <f t="shared" si="7"/>
        <v>-3082.1917808219177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44978</v>
      </c>
      <c r="D33" s="161" t="s">
        <v>9</v>
      </c>
      <c r="E33" s="161" t="s">
        <v>3515</v>
      </c>
      <c r="F33" s="223">
        <v>2635</v>
      </c>
      <c r="G33" s="222">
        <v>2654</v>
      </c>
      <c r="H33" s="255">
        <f>2654-2635</f>
        <v>19</v>
      </c>
      <c r="I33" s="207">
        <f t="shared" si="6"/>
        <v>113.85199240986718</v>
      </c>
      <c r="J33" s="161">
        <f t="shared" si="7"/>
        <v>2163.1878557874766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44978</v>
      </c>
      <c r="D34" s="161" t="s">
        <v>8</v>
      </c>
      <c r="E34" s="161" t="s">
        <v>578</v>
      </c>
      <c r="F34" s="222">
        <v>1588</v>
      </c>
      <c r="G34" s="222">
        <v>1578.6</v>
      </c>
      <c r="H34" s="222">
        <v>9.4</v>
      </c>
      <c r="I34" s="207">
        <f t="shared" si="6"/>
        <v>188.91687657430731</v>
      </c>
      <c r="J34" s="161">
        <f t="shared" si="7"/>
        <v>1775.8186397984887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44979</v>
      </c>
      <c r="D35" s="161" t="s">
        <v>9</v>
      </c>
      <c r="E35" s="161" t="s">
        <v>1361</v>
      </c>
      <c r="F35" s="222">
        <v>940</v>
      </c>
      <c r="G35" s="222">
        <v>944</v>
      </c>
      <c r="H35" s="222">
        <v>4</v>
      </c>
      <c r="I35" s="207">
        <f t="shared" si="6"/>
        <v>319.14893617021278</v>
      </c>
      <c r="J35" s="161">
        <f t="shared" si="7"/>
        <v>1276.5957446808511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44979</v>
      </c>
      <c r="D36" s="161" t="s">
        <v>8</v>
      </c>
      <c r="E36" s="161" t="s">
        <v>2203</v>
      </c>
      <c r="F36" s="222">
        <v>884</v>
      </c>
      <c r="G36" s="222">
        <v>880.5</v>
      </c>
      <c r="H36" s="222">
        <f>884-880.5</f>
        <v>3.5</v>
      </c>
      <c r="I36" s="207">
        <f t="shared" si="6"/>
        <v>339.36651583710409</v>
      </c>
      <c r="J36" s="161">
        <f t="shared" si="7"/>
        <v>1187.7828054298643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44980</v>
      </c>
      <c r="D37" s="161" t="s">
        <v>9</v>
      </c>
      <c r="E37" s="161" t="s">
        <v>31</v>
      </c>
      <c r="F37" s="222">
        <v>2390</v>
      </c>
      <c r="G37" s="222">
        <v>2394</v>
      </c>
      <c r="H37" s="222">
        <v>4</v>
      </c>
      <c r="I37" s="207">
        <f t="shared" si="6"/>
        <v>125.52301255230125</v>
      </c>
      <c r="J37" s="161">
        <f t="shared" si="7"/>
        <v>502.09205020920501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44980</v>
      </c>
      <c r="D38" s="161" t="s">
        <v>8</v>
      </c>
      <c r="E38" s="161" t="s">
        <v>78</v>
      </c>
      <c r="F38" s="222">
        <v>2180</v>
      </c>
      <c r="G38" s="222">
        <v>2172</v>
      </c>
      <c r="H38" s="222">
        <f>2180-2172</f>
        <v>8</v>
      </c>
      <c r="I38" s="207">
        <f t="shared" si="6"/>
        <v>137.61467889908258</v>
      </c>
      <c r="J38" s="161">
        <f t="shared" si="7"/>
        <v>1100.9174311926606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44981</v>
      </c>
      <c r="D39" s="161" t="s">
        <v>9</v>
      </c>
      <c r="E39" s="161" t="s">
        <v>4117</v>
      </c>
      <c r="F39" s="222">
        <v>435</v>
      </c>
      <c r="G39" s="222">
        <v>438</v>
      </c>
      <c r="H39" s="222">
        <v>3</v>
      </c>
      <c r="I39" s="207">
        <f t="shared" si="6"/>
        <v>689.65517241379314</v>
      </c>
      <c r="J39" s="161">
        <f t="shared" si="7"/>
        <v>2068.9655172413795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44981</v>
      </c>
      <c r="D40" s="161" t="s">
        <v>8</v>
      </c>
      <c r="E40" s="161" t="s">
        <v>37</v>
      </c>
      <c r="F40" s="222">
        <v>419</v>
      </c>
      <c r="G40" s="222">
        <v>415</v>
      </c>
      <c r="H40" s="222">
        <v>4</v>
      </c>
      <c r="I40" s="207">
        <f t="shared" si="6"/>
        <v>715.99045346062053</v>
      </c>
      <c r="J40" s="161">
        <f t="shared" si="7"/>
        <v>2863.9618138424821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44984</v>
      </c>
      <c r="D41" s="161" t="s">
        <v>9</v>
      </c>
      <c r="E41" s="161" t="s">
        <v>129</v>
      </c>
      <c r="F41" s="222">
        <v>2580</v>
      </c>
      <c r="G41" s="223">
        <v>2600</v>
      </c>
      <c r="H41" s="222">
        <v>20</v>
      </c>
      <c r="I41" s="207">
        <f t="shared" si="6"/>
        <v>116.27906976744185</v>
      </c>
      <c r="J41" s="161">
        <f t="shared" si="7"/>
        <v>2325.5813953488368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44984</v>
      </c>
      <c r="D42" s="161" t="s">
        <v>8</v>
      </c>
      <c r="E42" s="161" t="s">
        <v>58</v>
      </c>
      <c r="F42" s="222">
        <v>848</v>
      </c>
      <c r="G42" s="222">
        <v>846</v>
      </c>
      <c r="H42" s="222">
        <v>2</v>
      </c>
      <c r="I42" s="207">
        <f t="shared" si="6"/>
        <v>353.77358490566036</v>
      </c>
      <c r="J42" s="161">
        <f t="shared" si="7"/>
        <v>707.54716981132071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44985</v>
      </c>
      <c r="D43" s="161" t="s">
        <v>8</v>
      </c>
      <c r="E43" s="161" t="s">
        <v>2093</v>
      </c>
      <c r="F43" s="222">
        <v>693</v>
      </c>
      <c r="G43" s="222">
        <v>693</v>
      </c>
      <c r="H43" s="222">
        <v>3</v>
      </c>
      <c r="I43" s="207">
        <f t="shared" si="6"/>
        <v>432.90043290043292</v>
      </c>
      <c r="J43" s="161">
        <f t="shared" si="7"/>
        <v>1298.7012987012988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44985</v>
      </c>
      <c r="D44" s="161" t="s">
        <v>8</v>
      </c>
      <c r="E44" s="161" t="s">
        <v>4121</v>
      </c>
      <c r="F44" s="222">
        <v>1078</v>
      </c>
      <c r="G44" s="222">
        <v>1068</v>
      </c>
      <c r="H44" s="222">
        <v>10</v>
      </c>
      <c r="I44" s="207">
        <f t="shared" si="6"/>
        <v>278.29313543599255</v>
      </c>
      <c r="J44" s="161">
        <f t="shared" si="7"/>
        <v>2782.9313543599255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91777.237605680784</v>
      </c>
      <c r="K52" s="153"/>
      <c r="V52" s="25">
        <f>SUM(V6:V51)</f>
        <v>34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4094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44958</v>
      </c>
      <c r="D60" s="161" t="s">
        <v>9</v>
      </c>
      <c r="E60" s="161" t="s">
        <v>3515</v>
      </c>
      <c r="F60" s="222">
        <v>2585</v>
      </c>
      <c r="G60" s="222">
        <v>2602</v>
      </c>
      <c r="H60" s="222">
        <f>2602-2585</f>
        <v>17</v>
      </c>
      <c r="I60" s="207">
        <v>300</v>
      </c>
      <c r="J60" s="241">
        <f t="shared" ref="J60:J85" si="14">I60*H60</f>
        <v>5100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44959</v>
      </c>
      <c r="D61" s="161" t="s">
        <v>8</v>
      </c>
      <c r="E61" s="161" t="s">
        <v>550</v>
      </c>
      <c r="F61" s="222">
        <v>590</v>
      </c>
      <c r="G61" s="222">
        <v>576</v>
      </c>
      <c r="H61" s="222">
        <f>590-576</f>
        <v>14</v>
      </c>
      <c r="I61" s="207">
        <v>1250</v>
      </c>
      <c r="J61" s="242">
        <f t="shared" si="14"/>
        <v>17500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44960</v>
      </c>
      <c r="D62" s="161" t="s">
        <v>9</v>
      </c>
      <c r="E62" s="161" t="s">
        <v>2563</v>
      </c>
      <c r="F62" s="222">
        <v>2155</v>
      </c>
      <c r="G62" s="222">
        <v>2170</v>
      </c>
      <c r="H62" s="222">
        <f>2170-2155</f>
        <v>15</v>
      </c>
      <c r="I62" s="207">
        <v>300</v>
      </c>
      <c r="J62" s="242">
        <f t="shared" si="14"/>
        <v>4500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44963</v>
      </c>
      <c r="D63" s="161" t="s">
        <v>9</v>
      </c>
      <c r="E63" s="161" t="s">
        <v>94</v>
      </c>
      <c r="F63" s="222">
        <v>1670</v>
      </c>
      <c r="G63" s="222">
        <v>1655</v>
      </c>
      <c r="H63" s="222">
        <v>-15</v>
      </c>
      <c r="I63" s="207">
        <v>550</v>
      </c>
      <c r="J63" s="242">
        <f>I63*H63</f>
        <v>-8250</v>
      </c>
      <c r="K63" s="153"/>
      <c r="L63" s="25" t="s">
        <v>2008</v>
      </c>
      <c r="V63" s="25">
        <f t="shared" si="15"/>
        <v>0</v>
      </c>
      <c r="W63" s="25">
        <f t="shared" si="16"/>
        <v>1</v>
      </c>
    </row>
    <row r="64" spans="1:23" x14ac:dyDescent="0.3">
      <c r="A64" s="147"/>
      <c r="B64" s="205">
        <f t="shared" si="17"/>
        <v>5</v>
      </c>
      <c r="C64" s="206">
        <v>44964</v>
      </c>
      <c r="D64" s="161" t="s">
        <v>9</v>
      </c>
      <c r="E64" s="161" t="s">
        <v>476</v>
      </c>
      <c r="F64" s="222">
        <v>1012</v>
      </c>
      <c r="G64" s="222">
        <v>1035</v>
      </c>
      <c r="H64" s="222">
        <f>1035-1012</f>
        <v>23</v>
      </c>
      <c r="I64" s="207">
        <v>500</v>
      </c>
      <c r="J64" s="242">
        <f>I64*H64</f>
        <v>11500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44965</v>
      </c>
      <c r="D65" s="161" t="s">
        <v>8</v>
      </c>
      <c r="E65" s="161" t="s">
        <v>341</v>
      </c>
      <c r="F65" s="222">
        <v>536</v>
      </c>
      <c r="G65" s="222">
        <v>532</v>
      </c>
      <c r="H65" s="222">
        <v>4</v>
      </c>
      <c r="I65" s="207">
        <v>1250</v>
      </c>
      <c r="J65" s="242">
        <f>I65*H65</f>
        <v>5000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44966</v>
      </c>
      <c r="D66" s="161" t="s">
        <v>9</v>
      </c>
      <c r="E66" s="161" t="s">
        <v>173</v>
      </c>
      <c r="F66" s="222">
        <v>2777</v>
      </c>
      <c r="G66" s="222">
        <v>2817</v>
      </c>
      <c r="H66" s="222">
        <f>2817-2777</f>
        <v>40</v>
      </c>
      <c r="I66" s="207">
        <v>200</v>
      </c>
      <c r="J66" s="242">
        <f t="shared" si="14"/>
        <v>8000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44967</v>
      </c>
      <c r="D67" s="161" t="s">
        <v>8</v>
      </c>
      <c r="E67" s="161" t="s">
        <v>58</v>
      </c>
      <c r="F67" s="222">
        <v>870</v>
      </c>
      <c r="G67" s="222">
        <v>864</v>
      </c>
      <c r="H67" s="222">
        <f>870-864</f>
        <v>6</v>
      </c>
      <c r="I67" s="207">
        <v>1200</v>
      </c>
      <c r="J67" s="242">
        <f>I67*H67</f>
        <v>7200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44970</v>
      </c>
      <c r="D68" s="161" t="s">
        <v>9</v>
      </c>
      <c r="E68" s="161" t="s">
        <v>3248</v>
      </c>
      <c r="F68" s="222">
        <v>1215</v>
      </c>
      <c r="G68" s="222">
        <v>1221</v>
      </c>
      <c r="H68" s="222">
        <v>6</v>
      </c>
      <c r="I68" s="207">
        <v>425</v>
      </c>
      <c r="J68" s="242">
        <f>I68*H68</f>
        <v>2550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44971</v>
      </c>
      <c r="D69" s="161" t="s">
        <v>8</v>
      </c>
      <c r="E69" s="161" t="s">
        <v>19</v>
      </c>
      <c r="F69" s="222">
        <v>535</v>
      </c>
      <c r="G69" s="222">
        <v>532.5</v>
      </c>
      <c r="H69" s="222">
        <f>535-532.5</f>
        <v>2.5</v>
      </c>
      <c r="I69" s="207">
        <v>1500</v>
      </c>
      <c r="J69" s="242">
        <f>I69*H69</f>
        <v>3750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44972</v>
      </c>
      <c r="D70" s="161" t="s">
        <v>9</v>
      </c>
      <c r="E70" s="161" t="s">
        <v>3262</v>
      </c>
      <c r="F70" s="161">
        <v>3260</v>
      </c>
      <c r="G70" s="222">
        <v>3320</v>
      </c>
      <c r="H70" s="222">
        <v>40</v>
      </c>
      <c r="I70" s="207">
        <v>175</v>
      </c>
      <c r="J70" s="242">
        <f t="shared" si="14"/>
        <v>7000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44973</v>
      </c>
      <c r="D71" s="161" t="s">
        <v>8</v>
      </c>
      <c r="E71" s="161" t="s">
        <v>58</v>
      </c>
      <c r="F71" s="222">
        <v>873</v>
      </c>
      <c r="G71" s="222">
        <v>865</v>
      </c>
      <c r="H71" s="222">
        <f>873-865</f>
        <v>8</v>
      </c>
      <c r="I71" s="207">
        <v>1200</v>
      </c>
      <c r="J71" s="242">
        <f t="shared" si="14"/>
        <v>9600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44974</v>
      </c>
      <c r="D72" s="161" t="s">
        <v>9</v>
      </c>
      <c r="E72" s="161" t="s">
        <v>3436</v>
      </c>
      <c r="F72" s="222">
        <v>647</v>
      </c>
      <c r="G72" s="222">
        <v>649.5</v>
      </c>
      <c r="H72" s="222">
        <f>649.5-647</f>
        <v>2.5</v>
      </c>
      <c r="I72" s="207">
        <v>875</v>
      </c>
      <c r="J72" s="242">
        <f t="shared" si="14"/>
        <v>2187.5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44978</v>
      </c>
      <c r="D73" s="161" t="s">
        <v>9</v>
      </c>
      <c r="E73" s="161" t="s">
        <v>3515</v>
      </c>
      <c r="F73" s="222">
        <v>2615</v>
      </c>
      <c r="G73" s="222">
        <v>2646</v>
      </c>
      <c r="H73" s="255">
        <v>31</v>
      </c>
      <c r="I73" s="207">
        <v>300</v>
      </c>
      <c r="J73" s="242">
        <f t="shared" si="14"/>
        <v>9300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44979</v>
      </c>
      <c r="D74" s="265" t="s">
        <v>9</v>
      </c>
      <c r="E74" s="265" t="s">
        <v>796</v>
      </c>
      <c r="F74" s="277">
        <v>4510</v>
      </c>
      <c r="G74" s="267">
        <v>4531</v>
      </c>
      <c r="H74" s="222">
        <f>4531-4510</f>
        <v>21</v>
      </c>
      <c r="I74" s="207">
        <v>125</v>
      </c>
      <c r="J74" s="242">
        <f t="shared" si="14"/>
        <v>2625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44980</v>
      </c>
      <c r="D75" s="265" t="s">
        <v>9</v>
      </c>
      <c r="E75" s="265" t="s">
        <v>2023</v>
      </c>
      <c r="F75" s="277">
        <v>6130</v>
      </c>
      <c r="G75" s="267">
        <v>6170</v>
      </c>
      <c r="H75" s="222">
        <v>-40</v>
      </c>
      <c r="I75" s="207">
        <v>125</v>
      </c>
      <c r="J75" s="242">
        <f t="shared" si="14"/>
        <v>-5000</v>
      </c>
      <c r="K75" s="153"/>
      <c r="V75" s="25">
        <f t="shared" si="15"/>
        <v>0</v>
      </c>
      <c r="W75" s="25">
        <f t="shared" si="16"/>
        <v>1</v>
      </c>
    </row>
    <row r="76" spans="1:23" x14ac:dyDescent="0.3">
      <c r="A76" s="147"/>
      <c r="B76" s="205">
        <f t="shared" si="17"/>
        <v>17</v>
      </c>
      <c r="C76" s="206">
        <v>44980</v>
      </c>
      <c r="D76" s="161" t="s">
        <v>8</v>
      </c>
      <c r="E76" s="161" t="s">
        <v>550</v>
      </c>
      <c r="F76" s="222">
        <v>577</v>
      </c>
      <c r="G76" s="222">
        <v>575.75</v>
      </c>
      <c r="H76" s="222">
        <f>577-575.5</f>
        <v>1.5</v>
      </c>
      <c r="I76" s="207">
        <v>1250</v>
      </c>
      <c r="J76" s="242">
        <f t="shared" si="14"/>
        <v>1875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44981</v>
      </c>
      <c r="D77" s="161" t="s">
        <v>9</v>
      </c>
      <c r="E77" s="161" t="s">
        <v>433</v>
      </c>
      <c r="F77" s="222">
        <v>440</v>
      </c>
      <c r="G77" s="222">
        <v>443.95</v>
      </c>
      <c r="H77" s="222">
        <v>3.95</v>
      </c>
      <c r="I77" s="207">
        <v>1375</v>
      </c>
      <c r="J77" s="242">
        <f t="shared" si="14"/>
        <v>5431.25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44984</v>
      </c>
      <c r="D78" s="161" t="s">
        <v>9</v>
      </c>
      <c r="E78" s="161" t="s">
        <v>3562</v>
      </c>
      <c r="F78" s="223">
        <v>2790</v>
      </c>
      <c r="G78" s="222">
        <v>2800</v>
      </c>
      <c r="H78" s="255">
        <v>10</v>
      </c>
      <c r="I78" s="207">
        <v>125</v>
      </c>
      <c r="J78" s="242">
        <f t="shared" si="14"/>
        <v>1250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44985</v>
      </c>
      <c r="D79" s="161" t="s">
        <v>9</v>
      </c>
      <c r="E79" s="161" t="s">
        <v>16</v>
      </c>
      <c r="F79" s="222">
        <v>2422</v>
      </c>
      <c r="G79" s="222">
        <v>2434</v>
      </c>
      <c r="H79" s="222">
        <f>2434-2422</f>
        <v>12</v>
      </c>
      <c r="I79" s="207">
        <v>375</v>
      </c>
      <c r="J79" s="242">
        <f t="shared" si="14"/>
        <v>4500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95618.75</v>
      </c>
      <c r="K86" s="153"/>
      <c r="V86" s="25">
        <f>SUM(V60:V85)</f>
        <v>18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4093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44958</v>
      </c>
      <c r="D94" s="185" t="s">
        <v>9</v>
      </c>
      <c r="E94" s="185" t="s">
        <v>39</v>
      </c>
      <c r="F94" s="219">
        <v>17910</v>
      </c>
      <c r="G94" s="219">
        <v>17945</v>
      </c>
      <c r="H94" s="185">
        <f>17945-17910</f>
        <v>35</v>
      </c>
      <c r="I94" s="219">
        <v>150</v>
      </c>
      <c r="J94" s="246">
        <f t="shared" ref="J94:J116" si="18">I94*H94</f>
        <v>5250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44959</v>
      </c>
      <c r="D95" s="185" t="s">
        <v>9</v>
      </c>
      <c r="E95" s="185" t="s">
        <v>39</v>
      </c>
      <c r="F95" s="219">
        <v>17640</v>
      </c>
      <c r="G95" s="219">
        <v>17680</v>
      </c>
      <c r="H95" s="185">
        <v>40</v>
      </c>
      <c r="I95" s="219">
        <v>150</v>
      </c>
      <c r="J95" s="242">
        <f t="shared" si="18"/>
        <v>6000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44960</v>
      </c>
      <c r="D96" s="161" t="s">
        <v>8</v>
      </c>
      <c r="E96" s="161" t="s">
        <v>39</v>
      </c>
      <c r="F96" s="207">
        <v>17720</v>
      </c>
      <c r="G96" s="207">
        <v>17640</v>
      </c>
      <c r="H96" s="161">
        <f>17720-17640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44963</v>
      </c>
      <c r="D97" s="161" t="s">
        <v>9</v>
      </c>
      <c r="E97" s="161" t="s">
        <v>39</v>
      </c>
      <c r="F97" s="207">
        <v>17820</v>
      </c>
      <c r="G97" s="207">
        <v>17813</v>
      </c>
      <c r="H97" s="161">
        <f>17820-17813</f>
        <v>7</v>
      </c>
      <c r="I97" s="207">
        <v>150</v>
      </c>
      <c r="J97" s="242">
        <f t="shared" si="18"/>
        <v>1050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44964</v>
      </c>
      <c r="D98" s="161" t="s">
        <v>8</v>
      </c>
      <c r="E98" s="161" t="s">
        <v>39</v>
      </c>
      <c r="F98" s="207">
        <v>17830</v>
      </c>
      <c r="G98" s="207">
        <v>17750</v>
      </c>
      <c r="H98" s="161">
        <f>17830-17750</f>
        <v>80</v>
      </c>
      <c r="I98" s="207">
        <v>150</v>
      </c>
      <c r="J98" s="242">
        <f t="shared" si="18"/>
        <v>12000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44965</v>
      </c>
      <c r="D99" s="161" t="s">
        <v>8</v>
      </c>
      <c r="E99" s="161" t="s">
        <v>39</v>
      </c>
      <c r="F99" s="207">
        <v>17900</v>
      </c>
      <c r="G99" s="207">
        <v>17860</v>
      </c>
      <c r="H99" s="161">
        <f>17900-17860</f>
        <v>40</v>
      </c>
      <c r="I99" s="207">
        <v>150</v>
      </c>
      <c r="J99" s="242">
        <f t="shared" si="18"/>
        <v>6000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44966</v>
      </c>
      <c r="D100" s="161" t="s">
        <v>8</v>
      </c>
      <c r="E100" s="161" t="s">
        <v>39</v>
      </c>
      <c r="F100" s="207">
        <v>17860</v>
      </c>
      <c r="G100" s="207">
        <v>17820</v>
      </c>
      <c r="H100" s="161"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44967</v>
      </c>
      <c r="D101" s="161" t="s">
        <v>8</v>
      </c>
      <c r="E101" s="161" t="s">
        <v>39</v>
      </c>
      <c r="F101" s="207">
        <v>17840</v>
      </c>
      <c r="G101" s="207">
        <v>17820</v>
      </c>
      <c r="H101" s="161">
        <v>20</v>
      </c>
      <c r="I101" s="207">
        <v>150</v>
      </c>
      <c r="J101" s="242">
        <f t="shared" si="18"/>
        <v>3000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44970</v>
      </c>
      <c r="D102" s="161" t="s">
        <v>8</v>
      </c>
      <c r="E102" s="161" t="s">
        <v>39</v>
      </c>
      <c r="F102" s="207">
        <v>17840</v>
      </c>
      <c r="G102" s="207">
        <v>17760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44971</v>
      </c>
      <c r="D103" s="161" t="s">
        <v>8</v>
      </c>
      <c r="E103" s="161" t="s">
        <v>39</v>
      </c>
      <c r="F103" s="207">
        <v>17860</v>
      </c>
      <c r="G103" s="207">
        <v>17900</v>
      </c>
      <c r="H103" s="161">
        <v>-40</v>
      </c>
      <c r="I103" s="207">
        <v>150</v>
      </c>
      <c r="J103" s="242">
        <f t="shared" si="18"/>
        <v>-6000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44972</v>
      </c>
      <c r="D104" s="161" t="s">
        <v>8</v>
      </c>
      <c r="E104" s="161" t="s">
        <v>39</v>
      </c>
      <c r="F104" s="207">
        <v>17950</v>
      </c>
      <c r="G104" s="207">
        <v>18030</v>
      </c>
      <c r="H104" s="161">
        <f>18030-17950</f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44973</v>
      </c>
      <c r="D105" s="161" t="s">
        <v>8</v>
      </c>
      <c r="E105" s="161" t="s">
        <v>39</v>
      </c>
      <c r="F105" s="207">
        <v>18120</v>
      </c>
      <c r="G105" s="207">
        <v>18060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44974</v>
      </c>
      <c r="D106" s="161" t="s">
        <v>9</v>
      </c>
      <c r="E106" s="161" t="s">
        <v>39</v>
      </c>
      <c r="F106" s="207">
        <v>18010</v>
      </c>
      <c r="G106" s="207">
        <v>18045</v>
      </c>
      <c r="H106" s="161">
        <f>18045-18010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44977</v>
      </c>
      <c r="D107" s="161" t="s">
        <v>9</v>
      </c>
      <c r="E107" s="161" t="s">
        <v>39</v>
      </c>
      <c r="F107" s="207">
        <v>17970</v>
      </c>
      <c r="G107" s="207">
        <v>17990</v>
      </c>
      <c r="H107" s="161">
        <v>20</v>
      </c>
      <c r="I107" s="207">
        <v>150</v>
      </c>
      <c r="J107" s="242">
        <f t="shared" si="18"/>
        <v>3000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44978</v>
      </c>
      <c r="D108" s="161" t="s">
        <v>8</v>
      </c>
      <c r="E108" s="161" t="s">
        <v>39</v>
      </c>
      <c r="F108" s="207">
        <v>17910</v>
      </c>
      <c r="G108" s="207">
        <v>17830</v>
      </c>
      <c r="H108" s="161">
        <f>17910-17830</f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44979</v>
      </c>
      <c r="D109" s="161" t="s">
        <v>8</v>
      </c>
      <c r="E109" s="161" t="s">
        <v>39</v>
      </c>
      <c r="F109" s="207">
        <v>17690</v>
      </c>
      <c r="G109" s="207">
        <v>17610</v>
      </c>
      <c r="H109" s="161"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44980</v>
      </c>
      <c r="D110" s="161" t="s">
        <v>8</v>
      </c>
      <c r="E110" s="161" t="s">
        <v>39</v>
      </c>
      <c r="F110" s="207">
        <v>17500</v>
      </c>
      <c r="G110" s="207">
        <v>17461</v>
      </c>
      <c r="H110" s="161">
        <f>17500-17461</f>
        <v>39</v>
      </c>
      <c r="I110" s="207">
        <v>150</v>
      </c>
      <c r="J110" s="242">
        <f t="shared" si="18"/>
        <v>5850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44981</v>
      </c>
      <c r="D111" s="161" t="s">
        <v>8</v>
      </c>
      <c r="E111" s="161" t="s">
        <v>39</v>
      </c>
      <c r="F111" s="207">
        <v>17640</v>
      </c>
      <c r="G111" s="207">
        <v>17560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44984</v>
      </c>
      <c r="D112" s="161" t="s">
        <v>9</v>
      </c>
      <c r="E112" s="161" t="s">
        <v>39</v>
      </c>
      <c r="F112" s="207">
        <v>17520</v>
      </c>
      <c r="G112" s="207">
        <v>17480</v>
      </c>
      <c r="H112" s="161">
        <v>-40</v>
      </c>
      <c r="I112" s="207">
        <v>150</v>
      </c>
      <c r="J112" s="242">
        <f>I112*H112</f>
        <v>-6000</v>
      </c>
      <c r="K112" s="153"/>
      <c r="V112" s="25">
        <f t="shared" si="19"/>
        <v>0</v>
      </c>
      <c r="W112" s="25">
        <f t="shared" si="20"/>
        <v>1</v>
      </c>
    </row>
    <row r="113" spans="1:23" x14ac:dyDescent="0.3">
      <c r="A113" s="147"/>
      <c r="B113" s="205">
        <f t="shared" si="21"/>
        <v>20</v>
      </c>
      <c r="C113" s="206">
        <v>44985</v>
      </c>
      <c r="D113" s="161" t="s">
        <v>8</v>
      </c>
      <c r="E113" s="161" t="s">
        <v>39</v>
      </c>
      <c r="F113" s="207">
        <v>17460</v>
      </c>
      <c r="G113" s="207">
        <v>17380</v>
      </c>
      <c r="H113" s="161">
        <v>80</v>
      </c>
      <c r="I113" s="207">
        <v>150</v>
      </c>
      <c r="J113" s="242">
        <f t="shared" si="18"/>
        <v>12000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134400</v>
      </c>
      <c r="K117" s="153"/>
      <c r="V117" s="25">
        <f>SUM(V94:V116)</f>
        <v>18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4095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44958</v>
      </c>
      <c r="D125" s="185" t="s">
        <v>9</v>
      </c>
      <c r="E125" s="185" t="s">
        <v>1541</v>
      </c>
      <c r="F125" s="219">
        <v>140</v>
      </c>
      <c r="G125" s="231">
        <v>152</v>
      </c>
      <c r="H125" s="231">
        <v>12</v>
      </c>
      <c r="I125" s="219">
        <v>300</v>
      </c>
      <c r="J125" s="246">
        <f t="shared" ref="J125:J149" si="22">I125*H125</f>
        <v>3600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44958</v>
      </c>
      <c r="D126" s="185" t="s">
        <v>9</v>
      </c>
      <c r="E126" s="185" t="s">
        <v>1585</v>
      </c>
      <c r="F126" s="219">
        <v>150</v>
      </c>
      <c r="G126" s="219">
        <v>205</v>
      </c>
      <c r="H126" s="185">
        <f>205-150</f>
        <v>55</v>
      </c>
      <c r="I126" s="219">
        <v>300</v>
      </c>
      <c r="J126" s="242">
        <f t="shared" si="22"/>
        <v>16500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44959</v>
      </c>
      <c r="D127" s="161" t="s">
        <v>9</v>
      </c>
      <c r="E127" s="161" t="s">
        <v>2954</v>
      </c>
      <c r="F127" s="207">
        <v>125</v>
      </c>
      <c r="G127" s="207">
        <v>159</v>
      </c>
      <c r="H127" s="161">
        <f>159-125</f>
        <v>34</v>
      </c>
      <c r="I127" s="207">
        <v>300</v>
      </c>
      <c r="J127" s="242">
        <f t="shared" si="22"/>
        <v>10200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44960</v>
      </c>
      <c r="D128" s="161" t="s">
        <v>9</v>
      </c>
      <c r="E128" s="161" t="s">
        <v>1585</v>
      </c>
      <c r="F128" s="207">
        <v>140</v>
      </c>
      <c r="G128" s="207">
        <v>195</v>
      </c>
      <c r="H128" s="161">
        <f>195-140</f>
        <v>55</v>
      </c>
      <c r="I128" s="207">
        <v>300</v>
      </c>
      <c r="J128" s="242">
        <f t="shared" si="22"/>
        <v>16500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44963</v>
      </c>
      <c r="D129" s="161" t="s">
        <v>9</v>
      </c>
      <c r="E129" s="161" t="s">
        <v>1584</v>
      </c>
      <c r="F129" s="207">
        <v>125</v>
      </c>
      <c r="G129" s="207">
        <v>150</v>
      </c>
      <c r="H129" s="161">
        <v>25</v>
      </c>
      <c r="I129" s="207">
        <v>300</v>
      </c>
      <c r="J129" s="242">
        <f t="shared" si="22"/>
        <v>7500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44964</v>
      </c>
      <c r="D130" s="161" t="s">
        <v>9</v>
      </c>
      <c r="E130" s="161" t="s">
        <v>3502</v>
      </c>
      <c r="F130" s="207">
        <v>145</v>
      </c>
      <c r="G130" s="222">
        <v>200</v>
      </c>
      <c r="H130" s="222">
        <f>200-145</f>
        <v>55</v>
      </c>
      <c r="I130" s="207">
        <v>300</v>
      </c>
      <c r="J130" s="242">
        <f t="shared" si="22"/>
        <v>16500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44965</v>
      </c>
      <c r="D131" s="161" t="s">
        <v>9</v>
      </c>
      <c r="E131" s="161" t="s">
        <v>1605</v>
      </c>
      <c r="F131" s="207">
        <v>170</v>
      </c>
      <c r="G131" s="207">
        <v>210</v>
      </c>
      <c r="H131" s="161">
        <f>210-170</f>
        <v>40</v>
      </c>
      <c r="I131" s="207">
        <v>300</v>
      </c>
      <c r="J131" s="242">
        <f t="shared" si="22"/>
        <v>12000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44966</v>
      </c>
      <c r="D132" s="161" t="s">
        <v>9</v>
      </c>
      <c r="E132" s="161" t="s">
        <v>1605</v>
      </c>
      <c r="F132" s="207">
        <v>140</v>
      </c>
      <c r="G132" s="207">
        <v>175</v>
      </c>
      <c r="H132" s="161">
        <f>175-140</f>
        <v>35</v>
      </c>
      <c r="I132" s="207">
        <v>300</v>
      </c>
      <c r="J132" s="242">
        <f t="shared" si="22"/>
        <v>10500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44967</v>
      </c>
      <c r="D133" s="161" t="s">
        <v>9</v>
      </c>
      <c r="E133" s="161" t="s">
        <v>3757</v>
      </c>
      <c r="F133" s="207">
        <v>145</v>
      </c>
      <c r="G133" s="222">
        <v>158</v>
      </c>
      <c r="H133" s="161">
        <f>158-145</f>
        <v>13</v>
      </c>
      <c r="I133" s="207">
        <v>300</v>
      </c>
      <c r="J133" s="242">
        <f t="shared" si="22"/>
        <v>3900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44970</v>
      </c>
      <c r="D134" s="161" t="s">
        <v>9</v>
      </c>
      <c r="E134" s="161" t="s">
        <v>3757</v>
      </c>
      <c r="F134" s="207">
        <v>130</v>
      </c>
      <c r="G134" s="222">
        <v>185</v>
      </c>
      <c r="H134" s="222">
        <f>185-130</f>
        <v>55</v>
      </c>
      <c r="I134" s="207">
        <v>300</v>
      </c>
      <c r="J134" s="242">
        <f t="shared" si="22"/>
        <v>16500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44971</v>
      </c>
      <c r="D135" s="161" t="s">
        <v>9</v>
      </c>
      <c r="E135" s="161" t="s">
        <v>3566</v>
      </c>
      <c r="F135" s="207">
        <v>140</v>
      </c>
      <c r="G135" s="222">
        <v>110</v>
      </c>
      <c r="H135" s="222">
        <f>140-110</f>
        <v>30</v>
      </c>
      <c r="I135" s="207">
        <v>300</v>
      </c>
      <c r="J135" s="242">
        <f t="shared" si="22"/>
        <v>9000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44972</v>
      </c>
      <c r="D136" s="161" t="s">
        <v>9</v>
      </c>
      <c r="E136" s="161" t="s">
        <v>1605</v>
      </c>
      <c r="F136" s="207">
        <v>145</v>
      </c>
      <c r="G136" s="222">
        <v>155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44973</v>
      </c>
      <c r="D137" s="161" t="s">
        <v>9</v>
      </c>
      <c r="E137" s="161" t="s">
        <v>3547</v>
      </c>
      <c r="F137" s="207">
        <v>145</v>
      </c>
      <c r="G137" s="207">
        <v>200</v>
      </c>
      <c r="H137" s="161">
        <f>200-145</f>
        <v>55</v>
      </c>
      <c r="I137" s="207">
        <v>300</v>
      </c>
      <c r="J137" s="242">
        <f t="shared" si="22"/>
        <v>16500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44974</v>
      </c>
      <c r="D138" s="161" t="s">
        <v>9</v>
      </c>
      <c r="E138" s="161" t="s">
        <v>3529</v>
      </c>
      <c r="F138" s="207">
        <v>100</v>
      </c>
      <c r="G138" s="207">
        <v>125</v>
      </c>
      <c r="H138" s="161">
        <v>25</v>
      </c>
      <c r="I138" s="207">
        <v>300</v>
      </c>
      <c r="J138" s="242">
        <f t="shared" si="22"/>
        <v>7500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44977</v>
      </c>
      <c r="D139" s="161" t="s">
        <v>9</v>
      </c>
      <c r="E139" s="161" t="s">
        <v>3491</v>
      </c>
      <c r="F139" s="207">
        <v>120</v>
      </c>
      <c r="G139" s="207">
        <v>130</v>
      </c>
      <c r="H139" s="161">
        <v>10</v>
      </c>
      <c r="I139" s="207">
        <v>300</v>
      </c>
      <c r="J139" s="242">
        <f t="shared" si="22"/>
        <v>3000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44977</v>
      </c>
      <c r="D140" s="161" t="s">
        <v>9</v>
      </c>
      <c r="E140" s="161" t="s">
        <v>1605</v>
      </c>
      <c r="F140" s="207">
        <v>140</v>
      </c>
      <c r="G140" s="207">
        <v>195</v>
      </c>
      <c r="H140" s="161">
        <f>195-140</f>
        <v>55</v>
      </c>
      <c r="I140" s="207">
        <v>300</v>
      </c>
      <c r="J140" s="242">
        <f t="shared" si="22"/>
        <v>16500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44978</v>
      </c>
      <c r="D141" s="161" t="s">
        <v>9</v>
      </c>
      <c r="E141" s="161" t="s">
        <v>1605</v>
      </c>
      <c r="F141" s="207">
        <v>150</v>
      </c>
      <c r="G141" s="207">
        <v>205</v>
      </c>
      <c r="H141" s="161">
        <f>205-150</f>
        <v>55</v>
      </c>
      <c r="I141" s="207">
        <v>300</v>
      </c>
      <c r="J141" s="242">
        <f t="shared" si="22"/>
        <v>16500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>
        <v>44979</v>
      </c>
      <c r="D142" s="161" t="s">
        <v>9</v>
      </c>
      <c r="E142" s="161" t="s">
        <v>1604</v>
      </c>
      <c r="F142" s="207">
        <v>145</v>
      </c>
      <c r="G142" s="222">
        <v>200</v>
      </c>
      <c r="H142" s="222">
        <f>200-145</f>
        <v>55</v>
      </c>
      <c r="I142" s="207">
        <v>300</v>
      </c>
      <c r="J142" s="242">
        <f t="shared" si="22"/>
        <v>16500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44980</v>
      </c>
      <c r="D143" s="161" t="s">
        <v>9</v>
      </c>
      <c r="E143" s="161" t="s">
        <v>2954</v>
      </c>
      <c r="F143" s="207">
        <v>110</v>
      </c>
      <c r="G143" s="222">
        <v>135</v>
      </c>
      <c r="H143" s="222">
        <f>135-110</f>
        <v>25</v>
      </c>
      <c r="I143" s="207">
        <v>300</v>
      </c>
      <c r="J143" s="242">
        <f t="shared" si="22"/>
        <v>7500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44981</v>
      </c>
      <c r="D144" s="161" t="s">
        <v>9</v>
      </c>
      <c r="E144" s="161" t="s">
        <v>1540</v>
      </c>
      <c r="F144" s="207">
        <v>130</v>
      </c>
      <c r="G144" s="222">
        <v>185</v>
      </c>
      <c r="H144" s="222">
        <f>185-130</f>
        <v>55</v>
      </c>
      <c r="I144" s="207">
        <v>300</v>
      </c>
      <c r="J144" s="242">
        <f t="shared" si="22"/>
        <v>16500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44984</v>
      </c>
      <c r="D145" s="161" t="s">
        <v>9</v>
      </c>
      <c r="E145" s="161" t="s">
        <v>3907</v>
      </c>
      <c r="F145" s="207">
        <v>160</v>
      </c>
      <c r="G145" s="222">
        <v>179</v>
      </c>
      <c r="H145" s="222">
        <v>19</v>
      </c>
      <c r="I145" s="207">
        <v>300</v>
      </c>
      <c r="J145" s="242">
        <f t="shared" si="22"/>
        <v>5700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44985</v>
      </c>
      <c r="D146" s="161" t="s">
        <v>9</v>
      </c>
      <c r="E146" s="161" t="s">
        <v>1539</v>
      </c>
      <c r="F146" s="207">
        <v>145</v>
      </c>
      <c r="G146" s="222">
        <v>195</v>
      </c>
      <c r="H146" s="222">
        <f>195-145</f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246900</v>
      </c>
      <c r="K150" s="153"/>
      <c r="V150" s="25">
        <f>SUM(V125:V149)</f>
        <v>22</v>
      </c>
      <c r="W150" s="25">
        <f>SUM(W125:W149)</f>
        <v>0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4093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44958</v>
      </c>
      <c r="D158" s="185" t="s">
        <v>9</v>
      </c>
      <c r="E158" s="185" t="s">
        <v>301</v>
      </c>
      <c r="F158" s="219">
        <v>41450</v>
      </c>
      <c r="G158" s="231">
        <v>41598</v>
      </c>
      <c r="H158" s="185">
        <f>41598-41450</f>
        <v>148</v>
      </c>
      <c r="I158" s="219">
        <v>50</v>
      </c>
      <c r="J158" s="246">
        <f t="shared" ref="J158:J180" si="26">I158*H158</f>
        <v>7400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44959</v>
      </c>
      <c r="D159" s="185" t="s">
        <v>9</v>
      </c>
      <c r="E159" s="185" t="s">
        <v>301</v>
      </c>
      <c r="F159" s="219">
        <v>40600</v>
      </c>
      <c r="G159" s="219">
        <v>40650</v>
      </c>
      <c r="H159" s="185">
        <v>50</v>
      </c>
      <c r="I159" s="219">
        <v>50</v>
      </c>
      <c r="J159" s="242">
        <f t="shared" si="26"/>
        <v>2500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44960</v>
      </c>
      <c r="D160" s="161" t="s">
        <v>8</v>
      </c>
      <c r="E160" s="161" t="s">
        <v>301</v>
      </c>
      <c r="F160" s="207">
        <v>41250</v>
      </c>
      <c r="G160" s="207">
        <v>40950</v>
      </c>
      <c r="H160" s="161">
        <f>41250-40950</f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44963</v>
      </c>
      <c r="D161" s="161" t="s">
        <v>9</v>
      </c>
      <c r="E161" s="161" t="s">
        <v>301</v>
      </c>
      <c r="F161" s="207">
        <v>41750</v>
      </c>
      <c r="G161" s="207">
        <v>41800</v>
      </c>
      <c r="H161" s="161">
        <v>50</v>
      </c>
      <c r="I161" s="207">
        <v>50</v>
      </c>
      <c r="J161" s="242">
        <f t="shared" si="26"/>
        <v>2500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44964</v>
      </c>
      <c r="D162" s="161" t="s">
        <v>8</v>
      </c>
      <c r="E162" s="161" t="s">
        <v>301</v>
      </c>
      <c r="F162" s="207">
        <v>41550</v>
      </c>
      <c r="G162" s="207">
        <v>41250</v>
      </c>
      <c r="H162" s="161">
        <v>300</v>
      </c>
      <c r="I162" s="207">
        <v>50</v>
      </c>
      <c r="J162" s="242">
        <f t="shared" si="26"/>
        <v>15000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44965</v>
      </c>
      <c r="D163" s="161" t="s">
        <v>8</v>
      </c>
      <c r="E163" s="161" t="s">
        <v>301</v>
      </c>
      <c r="F163" s="207">
        <v>41800</v>
      </c>
      <c r="G163" s="207">
        <v>41570</v>
      </c>
      <c r="H163" s="161">
        <f>41800-41570</f>
        <v>230</v>
      </c>
      <c r="I163" s="207">
        <v>50</v>
      </c>
      <c r="J163" s="242">
        <f t="shared" si="26"/>
        <v>11500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44966</v>
      </c>
      <c r="D164" s="161" t="s">
        <v>8</v>
      </c>
      <c r="E164" s="161" t="s">
        <v>301</v>
      </c>
      <c r="F164" s="207">
        <v>41450</v>
      </c>
      <c r="G164" s="207">
        <v>41390</v>
      </c>
      <c r="H164" s="161">
        <f>41450-41390</f>
        <v>60</v>
      </c>
      <c r="I164" s="207">
        <v>50</v>
      </c>
      <c r="J164" s="242">
        <f t="shared" si="26"/>
        <v>3000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44967</v>
      </c>
      <c r="D165" s="161" t="s">
        <v>8</v>
      </c>
      <c r="E165" s="161" t="s">
        <v>301</v>
      </c>
      <c r="F165" s="207">
        <v>41600</v>
      </c>
      <c r="G165" s="207">
        <v>41600</v>
      </c>
      <c r="H165" s="161">
        <v>0</v>
      </c>
      <c r="I165" s="207">
        <v>50</v>
      </c>
      <c r="J165" s="242">
        <f t="shared" si="26"/>
        <v>0</v>
      </c>
      <c r="K165" s="153"/>
      <c r="V165" s="25">
        <f t="shared" si="27"/>
        <v>0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44970</v>
      </c>
      <c r="D166" s="161" t="s">
        <v>8</v>
      </c>
      <c r="E166" s="161" t="s">
        <v>301</v>
      </c>
      <c r="F166" s="207">
        <v>41550</v>
      </c>
      <c r="G166" s="207">
        <v>41250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44971</v>
      </c>
      <c r="D167" s="161" t="s">
        <v>8</v>
      </c>
      <c r="E167" s="161" t="s">
        <v>301</v>
      </c>
      <c r="F167" s="207">
        <v>41300</v>
      </c>
      <c r="G167" s="207">
        <v>41450</v>
      </c>
      <c r="H167" s="161">
        <v>-150</v>
      </c>
      <c r="I167" s="207">
        <v>50</v>
      </c>
      <c r="J167" s="242">
        <f t="shared" si="26"/>
        <v>-7500</v>
      </c>
      <c r="K167" s="153"/>
      <c r="V167" s="25">
        <f t="shared" si="27"/>
        <v>0</v>
      </c>
      <c r="W167" s="25">
        <f t="shared" si="28"/>
        <v>1</v>
      </c>
    </row>
    <row r="168" spans="1:23" x14ac:dyDescent="0.3">
      <c r="A168" s="147"/>
      <c r="B168" s="205">
        <f t="shared" si="29"/>
        <v>11</v>
      </c>
      <c r="C168" s="206">
        <v>44972</v>
      </c>
      <c r="D168" s="161" t="s">
        <v>8</v>
      </c>
      <c r="E168" s="161" t="s">
        <v>301</v>
      </c>
      <c r="F168" s="207">
        <v>41550</v>
      </c>
      <c r="G168" s="207">
        <v>41700</v>
      </c>
      <c r="H168" s="161">
        <v>-150</v>
      </c>
      <c r="I168" s="207">
        <v>50</v>
      </c>
      <c r="J168" s="242">
        <f t="shared" si="26"/>
        <v>-7500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12</v>
      </c>
      <c r="C169" s="206">
        <v>44973</v>
      </c>
      <c r="D169" s="161" t="s">
        <v>8</v>
      </c>
      <c r="E169" s="161" t="s">
        <v>301</v>
      </c>
      <c r="F169" s="207">
        <v>41950</v>
      </c>
      <c r="G169" s="207">
        <v>41750</v>
      </c>
      <c r="H169" s="161">
        <v>200</v>
      </c>
      <c r="I169" s="207">
        <v>50</v>
      </c>
      <c r="J169" s="242">
        <f t="shared" si="26"/>
        <v>10000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44974</v>
      </c>
      <c r="D170" s="161" t="s">
        <v>9</v>
      </c>
      <c r="E170" s="161" t="s">
        <v>301</v>
      </c>
      <c r="F170" s="207">
        <v>41500</v>
      </c>
      <c r="G170" s="207">
        <v>41545</v>
      </c>
      <c r="H170" s="161">
        <v>45</v>
      </c>
      <c r="I170" s="207">
        <v>50</v>
      </c>
      <c r="J170" s="242">
        <f t="shared" si="26"/>
        <v>2250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44977</v>
      </c>
      <c r="D171" s="161" t="s">
        <v>9</v>
      </c>
      <c r="E171" s="161" t="s">
        <v>301</v>
      </c>
      <c r="F171" s="207">
        <v>41200</v>
      </c>
      <c r="G171" s="207">
        <v>41250</v>
      </c>
      <c r="H171" s="161">
        <v>50</v>
      </c>
      <c r="I171" s="207">
        <v>50</v>
      </c>
      <c r="J171" s="242">
        <f t="shared" si="26"/>
        <v>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44978</v>
      </c>
      <c r="D172" s="161" t="s">
        <v>8</v>
      </c>
      <c r="E172" s="161" t="s">
        <v>301</v>
      </c>
      <c r="F172" s="207">
        <v>40900</v>
      </c>
      <c r="G172" s="207">
        <v>40700</v>
      </c>
      <c r="H172" s="161">
        <v>200</v>
      </c>
      <c r="I172" s="207">
        <v>50</v>
      </c>
      <c r="J172" s="242">
        <f t="shared" si="26"/>
        <v>10000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44979</v>
      </c>
      <c r="D173" s="161" t="s">
        <v>8</v>
      </c>
      <c r="E173" s="161" t="s">
        <v>301</v>
      </c>
      <c r="F173" s="207">
        <v>40400</v>
      </c>
      <c r="G173" s="207">
        <v>40100</v>
      </c>
      <c r="H173" s="161">
        <v>300</v>
      </c>
      <c r="I173" s="207">
        <v>50</v>
      </c>
      <c r="J173" s="242">
        <f t="shared" si="26"/>
        <v>15000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44980</v>
      </c>
      <c r="D174" s="161" t="s">
        <v>8</v>
      </c>
      <c r="E174" s="161" t="s">
        <v>301</v>
      </c>
      <c r="F174" s="207">
        <v>39800</v>
      </c>
      <c r="G174" s="207">
        <v>39600</v>
      </c>
      <c r="H174" s="161">
        <v>200</v>
      </c>
      <c r="I174" s="207">
        <v>50</v>
      </c>
      <c r="J174" s="242">
        <f t="shared" si="26"/>
        <v>10000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44981</v>
      </c>
      <c r="D175" s="161" t="s">
        <v>8</v>
      </c>
      <c r="E175" s="161" t="s">
        <v>301</v>
      </c>
      <c r="F175" s="207">
        <v>40350</v>
      </c>
      <c r="G175" s="207">
        <v>40150</v>
      </c>
      <c r="H175" s="161">
        <v>300</v>
      </c>
      <c r="I175" s="207">
        <v>50</v>
      </c>
      <c r="J175" s="242">
        <f t="shared" si="26"/>
        <v>15000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44984</v>
      </c>
      <c r="D176" s="161" t="s">
        <v>9</v>
      </c>
      <c r="E176" s="161" t="s">
        <v>301</v>
      </c>
      <c r="F176" s="207">
        <v>40300</v>
      </c>
      <c r="G176" s="207">
        <v>40150</v>
      </c>
      <c r="H176" s="161">
        <v>-150</v>
      </c>
      <c r="I176" s="207">
        <v>50</v>
      </c>
      <c r="J176" s="242">
        <f t="shared" si="26"/>
        <v>-7500</v>
      </c>
      <c r="K176" s="153"/>
      <c r="V176" s="25">
        <f t="shared" si="27"/>
        <v>0</v>
      </c>
      <c r="W176" s="25">
        <f t="shared" si="28"/>
        <v>1</v>
      </c>
    </row>
    <row r="177" spans="1:23" x14ac:dyDescent="0.3">
      <c r="A177" s="147"/>
      <c r="B177" s="205">
        <f t="shared" si="29"/>
        <v>20</v>
      </c>
      <c r="C177" s="206">
        <v>44985</v>
      </c>
      <c r="D177" s="161" t="s">
        <v>8</v>
      </c>
      <c r="E177" s="161" t="s">
        <v>301</v>
      </c>
      <c r="F177" s="207">
        <v>40500</v>
      </c>
      <c r="G177" s="207">
        <v>40300</v>
      </c>
      <c r="H177" s="161">
        <v>200</v>
      </c>
      <c r="I177" s="207">
        <v>50</v>
      </c>
      <c r="J177" s="242">
        <f t="shared" si="26"/>
        <v>10000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26"/>
        <v>0</v>
      </c>
      <c r="K178" s="153"/>
      <c r="V178" s="25">
        <f t="shared" si="27"/>
        <v>0</v>
      </c>
      <c r="W178" s="25">
        <f t="shared" si="28"/>
        <v>0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124150</v>
      </c>
      <c r="K181" s="153"/>
      <c r="V181" s="25">
        <f>SUM(V158:V180)</f>
        <v>16</v>
      </c>
      <c r="W181" s="25">
        <f>SUM(W158:W180)</f>
        <v>3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4095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44958</v>
      </c>
      <c r="D189" s="185" t="s">
        <v>9</v>
      </c>
      <c r="E189" s="185" t="s">
        <v>3976</v>
      </c>
      <c r="F189" s="219">
        <v>430</v>
      </c>
      <c r="G189" s="219">
        <v>470</v>
      </c>
      <c r="H189" s="185">
        <v>40</v>
      </c>
      <c r="I189" s="219">
        <v>100</v>
      </c>
      <c r="J189" s="246">
        <f t="shared" ref="J189:J212" si="30">I189*H189</f>
        <v>4000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44958</v>
      </c>
      <c r="D190" s="185" t="s">
        <v>9</v>
      </c>
      <c r="E190" s="185" t="s">
        <v>3975</v>
      </c>
      <c r="F190" s="219">
        <v>450</v>
      </c>
      <c r="G190" s="219">
        <v>650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2" si="31">IF($J190&gt;0,1,0)</f>
        <v>1</v>
      </c>
      <c r="W190" s="25">
        <f t="shared" ref="W190:W212" si="32">IF($J190&lt;0,1,0)</f>
        <v>0</v>
      </c>
    </row>
    <row r="191" spans="1:23" x14ac:dyDescent="0.3">
      <c r="A191" s="147"/>
      <c r="B191" s="205">
        <f t="shared" ref="B191:B210" si="33">B190+1</f>
        <v>3</v>
      </c>
      <c r="C191" s="206">
        <v>44959</v>
      </c>
      <c r="D191" s="161" t="s">
        <v>9</v>
      </c>
      <c r="E191" s="161" t="s">
        <v>4098</v>
      </c>
      <c r="F191" s="207">
        <v>380</v>
      </c>
      <c r="G191" s="207">
        <v>540</v>
      </c>
      <c r="H191" s="161">
        <f>540-380</f>
        <v>160</v>
      </c>
      <c r="I191" s="207">
        <v>100</v>
      </c>
      <c r="J191" s="242">
        <f t="shared" si="30"/>
        <v>16000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44960</v>
      </c>
      <c r="D192" s="161" t="s">
        <v>9</v>
      </c>
      <c r="E192" s="161" t="s">
        <v>4099</v>
      </c>
      <c r="F192" s="207">
        <v>480</v>
      </c>
      <c r="G192" s="207">
        <v>680</v>
      </c>
      <c r="H192" s="161">
        <v>200</v>
      </c>
      <c r="I192" s="207">
        <v>100</v>
      </c>
      <c r="J192" s="242">
        <f t="shared" si="30"/>
        <v>20000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44963</v>
      </c>
      <c r="D193" s="161" t="s">
        <v>9</v>
      </c>
      <c r="E193" s="161" t="s">
        <v>4102</v>
      </c>
      <c r="F193" s="207">
        <v>470</v>
      </c>
      <c r="G193" s="207">
        <v>540</v>
      </c>
      <c r="H193" s="161">
        <f>540-470</f>
        <v>70</v>
      </c>
      <c r="I193" s="207">
        <v>100</v>
      </c>
      <c r="J193" s="242">
        <f t="shared" si="30"/>
        <v>7000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44963</v>
      </c>
      <c r="D194" s="161" t="s">
        <v>9</v>
      </c>
      <c r="E194" s="161" t="s">
        <v>3976</v>
      </c>
      <c r="F194" s="207">
        <v>480</v>
      </c>
      <c r="G194" s="207">
        <v>563</v>
      </c>
      <c r="H194" s="161">
        <f>563-450</f>
        <v>113</v>
      </c>
      <c r="I194" s="207">
        <v>100</v>
      </c>
      <c r="J194" s="242">
        <f t="shared" si="30"/>
        <v>11300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44964</v>
      </c>
      <c r="D195" s="161" t="s">
        <v>9</v>
      </c>
      <c r="E195" s="161" t="s">
        <v>3924</v>
      </c>
      <c r="F195" s="207">
        <v>350</v>
      </c>
      <c r="G195" s="207">
        <v>483</v>
      </c>
      <c r="H195" s="161">
        <f>483-350</f>
        <v>133</v>
      </c>
      <c r="I195" s="207">
        <v>100</v>
      </c>
      <c r="J195" s="242">
        <f t="shared" si="30"/>
        <v>13300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44965</v>
      </c>
      <c r="D196" s="161" t="s">
        <v>9</v>
      </c>
      <c r="E196" s="161" t="s">
        <v>3982</v>
      </c>
      <c r="F196" s="207">
        <v>450</v>
      </c>
      <c r="G196" s="207">
        <v>610</v>
      </c>
      <c r="H196" s="161">
        <f>610-450</f>
        <v>160</v>
      </c>
      <c r="I196" s="207">
        <v>100</v>
      </c>
      <c r="J196" s="242">
        <f t="shared" si="30"/>
        <v>16000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44966</v>
      </c>
      <c r="D197" s="161" t="s">
        <v>9</v>
      </c>
      <c r="E197" s="161" t="s">
        <v>4106</v>
      </c>
      <c r="F197" s="207">
        <v>340</v>
      </c>
      <c r="G197" s="207">
        <v>431</v>
      </c>
      <c r="H197" s="161">
        <f>431-340</f>
        <v>91</v>
      </c>
      <c r="I197" s="207">
        <v>100</v>
      </c>
      <c r="J197" s="242">
        <f t="shared" si="30"/>
        <v>9100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44967</v>
      </c>
      <c r="D198" s="161" t="s">
        <v>9</v>
      </c>
      <c r="E198" s="161" t="s">
        <v>3975</v>
      </c>
      <c r="F198" s="207">
        <v>320</v>
      </c>
      <c r="G198" s="207">
        <v>308</v>
      </c>
      <c r="H198" s="161">
        <v>-12</v>
      </c>
      <c r="I198" s="207">
        <v>100</v>
      </c>
      <c r="J198" s="242">
        <f t="shared" si="30"/>
        <v>-1200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11</v>
      </c>
      <c r="C199" s="206">
        <v>44970</v>
      </c>
      <c r="D199" s="161" t="s">
        <v>9</v>
      </c>
      <c r="E199" s="161" t="s">
        <v>3924</v>
      </c>
      <c r="F199" s="207">
        <v>270</v>
      </c>
      <c r="G199" s="207">
        <v>470</v>
      </c>
      <c r="H199" s="161">
        <v>200</v>
      </c>
      <c r="I199" s="207">
        <v>100</v>
      </c>
      <c r="J199" s="242">
        <f t="shared" si="30"/>
        <v>20000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44971</v>
      </c>
      <c r="D200" s="161" t="s">
        <v>9</v>
      </c>
      <c r="E200" s="161" t="s">
        <v>3924</v>
      </c>
      <c r="F200" s="207">
        <v>350</v>
      </c>
      <c r="G200" s="207">
        <v>400</v>
      </c>
      <c r="H200" s="161">
        <v>50</v>
      </c>
      <c r="I200" s="207">
        <v>100</v>
      </c>
      <c r="J200" s="242">
        <f t="shared" si="30"/>
        <v>5000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44972</v>
      </c>
      <c r="D201" s="161" t="s">
        <v>9</v>
      </c>
      <c r="E201" s="161" t="s">
        <v>4106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30"/>
        <v>-10000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14</v>
      </c>
      <c r="C202" s="206">
        <v>44973</v>
      </c>
      <c r="D202" s="161" t="s">
        <v>9</v>
      </c>
      <c r="E202" s="161" t="s">
        <v>4054</v>
      </c>
      <c r="F202" s="207">
        <v>280</v>
      </c>
      <c r="G202" s="222">
        <v>430</v>
      </c>
      <c r="H202" s="161">
        <f>430-280</f>
        <v>150</v>
      </c>
      <c r="I202" s="207">
        <v>100</v>
      </c>
      <c r="J202" s="242">
        <f t="shared" si="30"/>
        <v>15000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44974</v>
      </c>
      <c r="D203" s="161" t="s">
        <v>9</v>
      </c>
      <c r="E203" s="161" t="s">
        <v>4108</v>
      </c>
      <c r="F203" s="207">
        <v>320</v>
      </c>
      <c r="G203" s="207">
        <v>520</v>
      </c>
      <c r="H203" s="161">
        <v>200</v>
      </c>
      <c r="I203" s="207">
        <v>100</v>
      </c>
      <c r="J203" s="242">
        <f t="shared" si="30"/>
        <v>20000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44977</v>
      </c>
      <c r="D204" s="161" t="s">
        <v>9</v>
      </c>
      <c r="E204" s="161" t="s">
        <v>3928</v>
      </c>
      <c r="F204" s="207">
        <v>300</v>
      </c>
      <c r="G204" s="207">
        <v>368</v>
      </c>
      <c r="H204" s="161">
        <v>68</v>
      </c>
      <c r="I204" s="207">
        <v>100</v>
      </c>
      <c r="J204" s="242">
        <f t="shared" si="30"/>
        <v>6800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44977</v>
      </c>
      <c r="D205" s="161" t="s">
        <v>9</v>
      </c>
      <c r="E205" s="161" t="s">
        <v>4113</v>
      </c>
      <c r="F205" s="207">
        <v>280</v>
      </c>
      <c r="G205" s="207">
        <v>480</v>
      </c>
      <c r="H205" s="161">
        <v>200</v>
      </c>
      <c r="I205" s="207">
        <v>100</v>
      </c>
      <c r="J205" s="242">
        <f t="shared" si="30"/>
        <v>20000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18</v>
      </c>
      <c r="C206" s="206">
        <v>44978</v>
      </c>
      <c r="D206" s="161" t="s">
        <v>9</v>
      </c>
      <c r="E206" s="161" t="s">
        <v>3926</v>
      </c>
      <c r="F206" s="207">
        <v>320</v>
      </c>
      <c r="G206" s="207">
        <v>396</v>
      </c>
      <c r="H206" s="161">
        <f>396-320</f>
        <v>76</v>
      </c>
      <c r="I206" s="207">
        <v>100</v>
      </c>
      <c r="J206" s="242">
        <f t="shared" si="30"/>
        <v>7600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19</v>
      </c>
      <c r="C207" s="206">
        <v>44979</v>
      </c>
      <c r="D207" s="161" t="s">
        <v>9</v>
      </c>
      <c r="E207" s="161" t="s">
        <v>4098</v>
      </c>
      <c r="F207" s="207">
        <v>340</v>
      </c>
      <c r="G207" s="207">
        <v>540</v>
      </c>
      <c r="H207" s="161">
        <v>200</v>
      </c>
      <c r="I207" s="207">
        <v>100</v>
      </c>
      <c r="J207" s="161">
        <f t="shared" si="30"/>
        <v>20000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44980</v>
      </c>
      <c r="D208" s="161" t="s">
        <v>9</v>
      </c>
      <c r="E208" s="161" t="s">
        <v>3914</v>
      </c>
      <c r="F208" s="207">
        <v>270</v>
      </c>
      <c r="G208" s="207">
        <v>400</v>
      </c>
      <c r="H208" s="161">
        <f>400-270</f>
        <v>130</v>
      </c>
      <c r="I208" s="207">
        <v>100</v>
      </c>
      <c r="J208" s="161">
        <f t="shared" si="30"/>
        <v>13000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21</v>
      </c>
      <c r="C209" s="206">
        <v>44981</v>
      </c>
      <c r="D209" s="161" t="s">
        <v>9</v>
      </c>
      <c r="E209" s="161" t="s">
        <v>4118</v>
      </c>
      <c r="F209" s="207">
        <v>350</v>
      </c>
      <c r="G209" s="207">
        <v>450</v>
      </c>
      <c r="H209" s="161">
        <v>100</v>
      </c>
      <c r="I209" s="207">
        <v>100</v>
      </c>
      <c r="J209" s="161">
        <f t="shared" si="30"/>
        <v>10000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44984</v>
      </c>
      <c r="D210" s="161" t="s">
        <v>9</v>
      </c>
      <c r="E210" s="161" t="s">
        <v>4118</v>
      </c>
      <c r="F210" s="207">
        <v>380</v>
      </c>
      <c r="G210" s="207">
        <v>280</v>
      </c>
      <c r="H210" s="161">
        <v>-100</v>
      </c>
      <c r="I210" s="207">
        <v>100</v>
      </c>
      <c r="J210" s="161">
        <f t="shared" si="30"/>
        <v>-10000</v>
      </c>
      <c r="K210" s="153"/>
      <c r="V210" s="25">
        <f t="shared" si="31"/>
        <v>0</v>
      </c>
      <c r="W210" s="25">
        <f t="shared" si="32"/>
        <v>1</v>
      </c>
    </row>
    <row r="211" spans="1:23" x14ac:dyDescent="0.3">
      <c r="A211" s="147"/>
      <c r="B211" s="269">
        <v>23</v>
      </c>
      <c r="C211" s="264">
        <v>44985</v>
      </c>
      <c r="D211" s="265" t="s">
        <v>9</v>
      </c>
      <c r="E211" s="265" t="s">
        <v>3556</v>
      </c>
      <c r="F211" s="266">
        <v>340</v>
      </c>
      <c r="G211" s="266">
        <v>440</v>
      </c>
      <c r="H211" s="265">
        <v>100</v>
      </c>
      <c r="I211" s="266">
        <v>100</v>
      </c>
      <c r="J211" s="161">
        <f t="shared" si="30"/>
        <v>10000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242900</v>
      </c>
      <c r="K213" s="153"/>
      <c r="V213" s="25">
        <f>SUM(V189:V212)</f>
        <v>19</v>
      </c>
      <c r="W213" s="25">
        <f>SUM(W189:W212)</f>
        <v>3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3678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44958</v>
      </c>
      <c r="D221" s="185" t="s">
        <v>9</v>
      </c>
      <c r="E221" s="185" t="s">
        <v>4096</v>
      </c>
      <c r="F221" s="231">
        <v>85</v>
      </c>
      <c r="G221" s="231">
        <v>95</v>
      </c>
      <c r="H221" s="231">
        <v>10</v>
      </c>
      <c r="I221" s="219">
        <v>300</v>
      </c>
      <c r="J221" s="246">
        <f t="shared" ref="J221:J244" si="34">I221*H221</f>
        <v>3000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44959</v>
      </c>
      <c r="D222" s="185" t="s">
        <v>9</v>
      </c>
      <c r="E222" s="185" t="s">
        <v>4097</v>
      </c>
      <c r="F222" s="231">
        <v>18</v>
      </c>
      <c r="G222" s="231">
        <v>25</v>
      </c>
      <c r="H222" s="231">
        <f>25-18</f>
        <v>7</v>
      </c>
      <c r="I222" s="219">
        <v>1250</v>
      </c>
      <c r="J222" s="242">
        <f>I222*H222</f>
        <v>8750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44960</v>
      </c>
      <c r="D223" s="161" t="s">
        <v>9</v>
      </c>
      <c r="E223" s="161" t="s">
        <v>4100</v>
      </c>
      <c r="F223" s="222">
        <v>12</v>
      </c>
      <c r="G223" s="222">
        <v>16</v>
      </c>
      <c r="H223" s="222">
        <v>4</v>
      </c>
      <c r="I223" s="207">
        <v>1000</v>
      </c>
      <c r="J223" s="242">
        <f t="shared" si="34"/>
        <v>4000</v>
      </c>
      <c r="K223" s="153"/>
      <c r="V223" s="25">
        <f t="shared" ref="V223:V244" si="36">IF($J223&gt;0,1,0)</f>
        <v>1</v>
      </c>
      <c r="W223" s="25">
        <f t="shared" ref="W223:W244" si="37">IF($J223&lt;0,1,0)</f>
        <v>0</v>
      </c>
    </row>
    <row r="224" spans="1:23" x14ac:dyDescent="0.3">
      <c r="A224" s="147"/>
      <c r="B224" s="205">
        <f t="shared" si="35"/>
        <v>4</v>
      </c>
      <c r="C224" s="206">
        <v>44963</v>
      </c>
      <c r="D224" s="161" t="s">
        <v>9</v>
      </c>
      <c r="E224" s="161" t="s">
        <v>4101</v>
      </c>
      <c r="F224" s="222">
        <v>53</v>
      </c>
      <c r="G224" s="222">
        <v>56.5</v>
      </c>
      <c r="H224" s="222">
        <v>3.5</v>
      </c>
      <c r="I224" s="207">
        <v>375</v>
      </c>
      <c r="J224" s="242">
        <f t="shared" si="34"/>
        <v>1312.5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44964</v>
      </c>
      <c r="D225" s="161" t="s">
        <v>9</v>
      </c>
      <c r="E225" s="161" t="s">
        <v>4103</v>
      </c>
      <c r="F225" s="222">
        <v>4</v>
      </c>
      <c r="G225" s="222">
        <v>5.4</v>
      </c>
      <c r="H225" s="222">
        <v>1.4</v>
      </c>
      <c r="I225" s="207">
        <v>5500</v>
      </c>
      <c r="J225" s="242">
        <f t="shared" si="34"/>
        <v>7699.9999999999991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44965</v>
      </c>
      <c r="D226" s="161" t="s">
        <v>9</v>
      </c>
      <c r="E226" s="161" t="s">
        <v>4104</v>
      </c>
      <c r="F226" s="222">
        <v>16</v>
      </c>
      <c r="G226" s="222">
        <v>20</v>
      </c>
      <c r="H226" s="222">
        <v>4</v>
      </c>
      <c r="I226" s="207">
        <v>1200</v>
      </c>
      <c r="J226" s="242">
        <f t="shared" si="34"/>
        <v>4800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44966</v>
      </c>
      <c r="D227" s="161" t="s">
        <v>9</v>
      </c>
      <c r="E227" s="161" t="s">
        <v>4107</v>
      </c>
      <c r="F227" s="222">
        <v>21</v>
      </c>
      <c r="G227" s="222">
        <v>25</v>
      </c>
      <c r="H227" s="222">
        <v>4</v>
      </c>
      <c r="I227" s="207">
        <v>750</v>
      </c>
      <c r="J227" s="242">
        <f t="shared" si="34"/>
        <v>3000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44967</v>
      </c>
      <c r="D228" s="161" t="s">
        <v>9</v>
      </c>
      <c r="E228" s="161" t="s">
        <v>3979</v>
      </c>
      <c r="F228" s="222">
        <v>22</v>
      </c>
      <c r="G228" s="222">
        <v>34</v>
      </c>
      <c r="H228" s="222">
        <v>12</v>
      </c>
      <c r="I228" s="207">
        <v>550</v>
      </c>
      <c r="J228" s="242">
        <f t="shared" si="34"/>
        <v>6600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44970</v>
      </c>
      <c r="D229" s="161" t="s">
        <v>9</v>
      </c>
      <c r="E229" s="161" t="s">
        <v>4109</v>
      </c>
      <c r="F229" s="222">
        <v>23</v>
      </c>
      <c r="G229" s="222">
        <v>27</v>
      </c>
      <c r="H229" s="255">
        <v>4</v>
      </c>
      <c r="I229" s="207">
        <v>425</v>
      </c>
      <c r="J229" s="242">
        <f t="shared" si="34"/>
        <v>1700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10</v>
      </c>
      <c r="C230" s="206">
        <v>44971</v>
      </c>
      <c r="D230" s="161" t="s">
        <v>9</v>
      </c>
      <c r="E230" s="161" t="s">
        <v>4110</v>
      </c>
      <c r="F230" s="222">
        <v>31</v>
      </c>
      <c r="G230" s="222">
        <v>41.7</v>
      </c>
      <c r="H230" s="255">
        <v>10.7</v>
      </c>
      <c r="I230" s="207">
        <v>300</v>
      </c>
      <c r="J230" s="242">
        <f t="shared" si="34"/>
        <v>3210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11</v>
      </c>
      <c r="C231" s="206">
        <v>44972</v>
      </c>
      <c r="D231" s="161" t="s">
        <v>9</v>
      </c>
      <c r="E231" s="161" t="s">
        <v>4111</v>
      </c>
      <c r="F231" s="222">
        <v>36</v>
      </c>
      <c r="G231" s="222">
        <v>46</v>
      </c>
      <c r="H231" s="255">
        <v>10</v>
      </c>
      <c r="I231" s="207">
        <v>250</v>
      </c>
      <c r="J231" s="242">
        <f t="shared" si="34"/>
        <v>2500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44973</v>
      </c>
      <c r="D232" s="161" t="s">
        <v>9</v>
      </c>
      <c r="E232" s="161" t="s">
        <v>4052</v>
      </c>
      <c r="F232" s="222">
        <v>43</v>
      </c>
      <c r="G232" s="222">
        <v>63</v>
      </c>
      <c r="H232" s="255">
        <v>20</v>
      </c>
      <c r="I232" s="207">
        <v>300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44974</v>
      </c>
      <c r="D233" s="161" t="s">
        <v>9</v>
      </c>
      <c r="E233" s="161" t="s">
        <v>4112</v>
      </c>
      <c r="F233" s="222">
        <v>6.5</v>
      </c>
      <c r="G233" s="222">
        <v>7.5</v>
      </c>
      <c r="H233" s="255">
        <v>1</v>
      </c>
      <c r="I233" s="207">
        <v>875</v>
      </c>
      <c r="J233" s="242">
        <f t="shared" si="34"/>
        <v>875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44977</v>
      </c>
      <c r="D234" s="161" t="s">
        <v>9</v>
      </c>
      <c r="E234" s="161" t="s">
        <v>4114</v>
      </c>
      <c r="F234" s="222">
        <v>9</v>
      </c>
      <c r="G234" s="222">
        <v>10.6</v>
      </c>
      <c r="H234" s="255">
        <v>1.6</v>
      </c>
      <c r="I234" s="207">
        <v>700</v>
      </c>
      <c r="J234" s="242">
        <f>I234*H234</f>
        <v>1120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44978</v>
      </c>
      <c r="D235" s="161" t="s">
        <v>9</v>
      </c>
      <c r="E235" s="161" t="s">
        <v>4115</v>
      </c>
      <c r="F235" s="222">
        <v>28</v>
      </c>
      <c r="G235" s="222">
        <v>44</v>
      </c>
      <c r="H235" s="255">
        <f>44-28</f>
        <v>16</v>
      </c>
      <c r="I235" s="207">
        <v>300</v>
      </c>
      <c r="J235" s="242">
        <f t="shared" si="34"/>
        <v>4800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44979</v>
      </c>
      <c r="D236" s="161" t="s">
        <v>9</v>
      </c>
      <c r="E236" s="161" t="s">
        <v>4116</v>
      </c>
      <c r="F236" s="222">
        <v>34</v>
      </c>
      <c r="G236" s="222">
        <v>44</v>
      </c>
      <c r="H236" s="222">
        <v>10</v>
      </c>
      <c r="I236" s="207">
        <v>800</v>
      </c>
      <c r="J236" s="242">
        <f t="shared" si="34"/>
        <v>8000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44980</v>
      </c>
      <c r="D237" s="161" t="s">
        <v>9</v>
      </c>
      <c r="E237" s="161" t="s">
        <v>4119</v>
      </c>
      <c r="F237" s="222">
        <v>3</v>
      </c>
      <c r="G237" s="222">
        <v>6.9</v>
      </c>
      <c r="H237" s="222">
        <v>3.9</v>
      </c>
      <c r="I237" s="207">
        <v>1200</v>
      </c>
      <c r="J237" s="242">
        <f t="shared" si="34"/>
        <v>4680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44981</v>
      </c>
      <c r="D238" s="161" t="s">
        <v>9</v>
      </c>
      <c r="E238" s="161" t="s">
        <v>4120</v>
      </c>
      <c r="F238" s="222">
        <v>160</v>
      </c>
      <c r="G238" s="222">
        <v>190</v>
      </c>
      <c r="H238" s="222">
        <v>30</v>
      </c>
      <c r="I238" s="207">
        <v>250</v>
      </c>
      <c r="J238" s="242">
        <f t="shared" si="34"/>
        <v>7500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44984</v>
      </c>
      <c r="D239" s="161" t="s">
        <v>9</v>
      </c>
      <c r="E239" s="161" t="s">
        <v>4122</v>
      </c>
      <c r="F239" s="222">
        <v>110</v>
      </c>
      <c r="G239" s="222">
        <v>90</v>
      </c>
      <c r="H239" s="222">
        <v>-20</v>
      </c>
      <c r="I239" s="207">
        <v>125</v>
      </c>
      <c r="J239" s="242">
        <f t="shared" si="34"/>
        <v>-2500</v>
      </c>
      <c r="K239" s="153"/>
      <c r="V239" s="25">
        <f t="shared" si="36"/>
        <v>0</v>
      </c>
      <c r="W239" s="25">
        <f t="shared" si="37"/>
        <v>1</v>
      </c>
    </row>
    <row r="240" spans="1:23" x14ac:dyDescent="0.3">
      <c r="A240" s="147"/>
      <c r="B240" s="205">
        <f t="shared" si="35"/>
        <v>20</v>
      </c>
      <c r="C240" s="206">
        <v>44985</v>
      </c>
      <c r="D240" s="161" t="s">
        <v>9</v>
      </c>
      <c r="E240" s="161" t="s">
        <v>4123</v>
      </c>
      <c r="F240" s="222">
        <v>19</v>
      </c>
      <c r="G240" s="222">
        <v>21.2</v>
      </c>
      <c r="H240" s="222">
        <v>2.2000000000000002</v>
      </c>
      <c r="I240" s="207">
        <v>850</v>
      </c>
      <c r="J240" s="242">
        <f t="shared" si="34"/>
        <v>1870.0000000000002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78917.5</v>
      </c>
      <c r="K245" s="153"/>
      <c r="V245" s="25">
        <f>SUM(V221:V244)</f>
        <v>19</v>
      </c>
      <c r="W245" s="25">
        <f>SUM(W221:W244)</f>
        <v>1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600-000000000000}"/>
    <hyperlink ref="B117" r:id="rId2" xr:uid="{00000000-0004-0000-7600-000001000000}"/>
    <hyperlink ref="B150" r:id="rId3" xr:uid="{00000000-0004-0000-7600-000002000000}"/>
    <hyperlink ref="B181" r:id="rId4" xr:uid="{00000000-0004-0000-7600-000003000000}"/>
    <hyperlink ref="B213" r:id="rId5" xr:uid="{00000000-0004-0000-7600-000004000000}"/>
    <hyperlink ref="B245" r:id="rId6" xr:uid="{00000000-0004-0000-7600-000005000000}"/>
    <hyperlink ref="M1" location="'MASTER '!A1" display="Back" xr:uid="{00000000-0004-0000-7600-000006000000}"/>
    <hyperlink ref="M6:M7" location="'FEB 2023'!A77" display="STOCK FUTURE" xr:uid="{00000000-0004-0000-7600-000007000000}"/>
    <hyperlink ref="M12:M13" location="'FEB 2023'!A170" display="BANK NIFTY" xr:uid="{00000000-0004-0000-7600-000008000000}"/>
    <hyperlink ref="M10:M11" location="'FEB 2023'!A139" display="NF. OPTION" xr:uid="{00000000-0004-0000-7600-000009000000}"/>
    <hyperlink ref="M8:M9" location="'FEB 2023'!A108" display="NIFTY FUTURE" xr:uid="{00000000-0004-0000-7600-00000A000000}"/>
    <hyperlink ref="M4:M5" location="'FEB 2023'!A1" display="CASH" xr:uid="{00000000-0004-0000-7600-00000B000000}"/>
    <hyperlink ref="M14:M15" location="'FEB 2023'!A201" display="B.NIFTY OPTION" xr:uid="{00000000-0004-0000-7600-00000C000000}"/>
    <hyperlink ref="M16:M17" location="'FEB 2023'!A216" display="STOCK OPTION" xr:uid="{00000000-0004-0000-7600-00000D000000}"/>
    <hyperlink ref="B52" r:id="rId7" xr:uid="{00000000-0004-0000-7600-00000E000000}"/>
  </hyperlinks>
  <pageMargins left="0" right="0" top="0" bottom="0" header="0" footer="0"/>
  <pageSetup scale="95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282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41701</v>
      </c>
      <c r="C6" s="2" t="s">
        <v>8</v>
      </c>
      <c r="D6" s="2" t="s">
        <v>107</v>
      </c>
      <c r="E6" s="41" t="s">
        <v>283</v>
      </c>
      <c r="F6" s="40" t="s">
        <v>289</v>
      </c>
      <c r="G6" s="5">
        <v>156</v>
      </c>
      <c r="H6" s="41">
        <v>624</v>
      </c>
      <c r="K6" s="16"/>
    </row>
    <row r="7" spans="1:11" x14ac:dyDescent="0.3">
      <c r="B7" s="43">
        <v>41702</v>
      </c>
      <c r="C7" s="2" t="s">
        <v>11</v>
      </c>
      <c r="D7" s="28" t="s">
        <v>22</v>
      </c>
      <c r="E7" s="30">
        <v>97.1</v>
      </c>
      <c r="F7" s="30">
        <v>98.5</v>
      </c>
      <c r="G7" s="30">
        <v>3089</v>
      </c>
      <c r="H7" s="41">
        <v>4324</v>
      </c>
      <c r="K7" s="16"/>
    </row>
    <row r="8" spans="1:11" x14ac:dyDescent="0.3">
      <c r="B8" s="43">
        <v>41703</v>
      </c>
      <c r="C8" s="2" t="s">
        <v>8</v>
      </c>
      <c r="D8" s="28" t="s">
        <v>109</v>
      </c>
      <c r="E8" s="30">
        <v>947</v>
      </c>
      <c r="F8" s="30">
        <v>943</v>
      </c>
      <c r="G8" s="30">
        <v>316</v>
      </c>
      <c r="H8" s="30">
        <v>1264</v>
      </c>
      <c r="K8" s="16"/>
    </row>
    <row r="9" spans="1:11" x14ac:dyDescent="0.3">
      <c r="B9" s="43">
        <v>41704</v>
      </c>
      <c r="C9" s="2" t="s">
        <v>9</v>
      </c>
      <c r="D9" s="28" t="s">
        <v>290</v>
      </c>
      <c r="E9" s="30">
        <v>158.69999999999999</v>
      </c>
      <c r="F9" s="30">
        <v>156</v>
      </c>
      <c r="G9" s="30">
        <v>1890</v>
      </c>
      <c r="H9" s="30">
        <v>-5103</v>
      </c>
      <c r="K9" s="16"/>
    </row>
    <row r="10" spans="1:11" x14ac:dyDescent="0.3">
      <c r="B10" s="43">
        <v>41705</v>
      </c>
      <c r="C10" s="2" t="s">
        <v>9</v>
      </c>
      <c r="D10" s="28" t="s">
        <v>19</v>
      </c>
      <c r="E10" s="30">
        <v>1615</v>
      </c>
      <c r="F10" s="30">
        <v>1650</v>
      </c>
      <c r="G10" s="30">
        <v>185</v>
      </c>
      <c r="H10" s="30">
        <v>6475</v>
      </c>
      <c r="K10" s="16"/>
    </row>
    <row r="11" spans="1:11" x14ac:dyDescent="0.3">
      <c r="B11" s="43">
        <v>41708</v>
      </c>
      <c r="C11" s="2" t="s">
        <v>9</v>
      </c>
      <c r="D11" s="28" t="s">
        <v>26</v>
      </c>
      <c r="E11" s="30">
        <v>169</v>
      </c>
      <c r="F11" s="30">
        <v>172</v>
      </c>
      <c r="G11" s="30">
        <v>1775</v>
      </c>
      <c r="H11" s="30">
        <v>5325</v>
      </c>
      <c r="K11" s="16"/>
    </row>
    <row r="12" spans="1:11" x14ac:dyDescent="0.3">
      <c r="B12" s="43">
        <v>41709</v>
      </c>
      <c r="C12" s="2" t="s">
        <v>8</v>
      </c>
      <c r="D12" s="28" t="s">
        <v>295</v>
      </c>
      <c r="E12" s="30">
        <v>58.2</v>
      </c>
      <c r="F12" s="30">
        <v>57.1</v>
      </c>
      <c r="G12" s="30">
        <v>5154</v>
      </c>
      <c r="H12" s="30">
        <v>5669</v>
      </c>
      <c r="K12" s="16"/>
    </row>
    <row r="13" spans="1:11" x14ac:dyDescent="0.3">
      <c r="B13" s="43">
        <v>41710</v>
      </c>
      <c r="C13" s="2" t="s">
        <v>9</v>
      </c>
      <c r="D13" s="28" t="s">
        <v>98</v>
      </c>
      <c r="E13" s="30">
        <v>2045</v>
      </c>
      <c r="F13" s="30">
        <v>2060</v>
      </c>
      <c r="G13" s="30">
        <v>146</v>
      </c>
      <c r="H13" s="30">
        <v>2190</v>
      </c>
      <c r="K13" s="16"/>
    </row>
    <row r="14" spans="1:11" x14ac:dyDescent="0.3">
      <c r="B14" s="43">
        <v>41711</v>
      </c>
      <c r="C14" s="2" t="s">
        <v>9</v>
      </c>
      <c r="D14" s="28" t="s">
        <v>19</v>
      </c>
      <c r="E14" s="30">
        <v>1685</v>
      </c>
      <c r="F14" s="30">
        <v>1665</v>
      </c>
      <c r="G14" s="30">
        <v>178</v>
      </c>
      <c r="H14" s="30">
        <v>-3560</v>
      </c>
      <c r="K14" s="16"/>
    </row>
    <row r="15" spans="1:11" x14ac:dyDescent="0.3">
      <c r="B15" s="43">
        <v>41712</v>
      </c>
      <c r="C15" s="2" t="s">
        <v>8</v>
      </c>
      <c r="D15" s="28" t="s">
        <v>22</v>
      </c>
      <c r="E15" s="30">
        <v>109</v>
      </c>
      <c r="F15" s="30">
        <v>111</v>
      </c>
      <c r="G15" s="30">
        <v>2752</v>
      </c>
      <c r="H15" s="30">
        <v>-5504</v>
      </c>
      <c r="K15" s="16"/>
    </row>
    <row r="16" spans="1:11" x14ac:dyDescent="0.3">
      <c r="B16" s="43">
        <v>41716</v>
      </c>
      <c r="C16" s="2" t="s">
        <v>9</v>
      </c>
      <c r="D16" s="28" t="s">
        <v>173</v>
      </c>
      <c r="E16" s="30">
        <v>501</v>
      </c>
      <c r="F16" s="30">
        <v>504.5</v>
      </c>
      <c r="G16" s="30">
        <v>598</v>
      </c>
      <c r="H16" s="30">
        <v>2392</v>
      </c>
      <c r="K16" s="16"/>
    </row>
    <row r="17" spans="2:11" x14ac:dyDescent="0.3">
      <c r="B17" s="43">
        <v>41717</v>
      </c>
      <c r="C17" s="2" t="s">
        <v>8</v>
      </c>
      <c r="D17" s="28" t="s">
        <v>98</v>
      </c>
      <c r="E17" s="30">
        <v>2118</v>
      </c>
      <c r="F17" s="30">
        <v>2105</v>
      </c>
      <c r="G17" s="30">
        <v>141</v>
      </c>
      <c r="H17" s="30">
        <v>1833</v>
      </c>
      <c r="K17" s="16"/>
    </row>
    <row r="18" spans="2:11" x14ac:dyDescent="0.3">
      <c r="B18" s="43">
        <v>41718</v>
      </c>
      <c r="C18" s="2" t="s">
        <v>9</v>
      </c>
      <c r="D18" s="28" t="s">
        <v>298</v>
      </c>
      <c r="E18" s="30">
        <v>232</v>
      </c>
      <c r="F18" s="30">
        <v>229</v>
      </c>
      <c r="G18" s="30">
        <v>1293</v>
      </c>
      <c r="H18" s="30">
        <v>-3879</v>
      </c>
      <c r="K18" s="16"/>
    </row>
    <row r="19" spans="2:11" x14ac:dyDescent="0.3">
      <c r="B19" s="43">
        <v>41719</v>
      </c>
      <c r="C19" s="2" t="s">
        <v>9</v>
      </c>
      <c r="D19" s="28" t="s">
        <v>192</v>
      </c>
      <c r="E19" s="30">
        <v>243.3</v>
      </c>
      <c r="F19" s="30">
        <v>241.2</v>
      </c>
      <c r="G19" s="30">
        <v>1233</v>
      </c>
      <c r="H19" s="30">
        <v>-2466</v>
      </c>
      <c r="K19" s="16"/>
    </row>
    <row r="20" spans="2:11" x14ac:dyDescent="0.3">
      <c r="B20" s="43">
        <v>41722</v>
      </c>
      <c r="C20" s="2" t="s">
        <v>9</v>
      </c>
      <c r="D20" s="28" t="s">
        <v>98</v>
      </c>
      <c r="E20" s="30">
        <v>2095</v>
      </c>
      <c r="F20" s="30">
        <v>2118</v>
      </c>
      <c r="G20" s="30">
        <v>143</v>
      </c>
      <c r="H20" s="30">
        <v>3289</v>
      </c>
      <c r="K20" s="16"/>
    </row>
    <row r="21" spans="2:11" x14ac:dyDescent="0.3">
      <c r="B21" s="43">
        <v>41723</v>
      </c>
      <c r="C21" s="2" t="s">
        <v>9</v>
      </c>
      <c r="D21" s="28" t="s">
        <v>98</v>
      </c>
      <c r="E21" s="30">
        <v>2130</v>
      </c>
      <c r="F21" s="30">
        <v>2165</v>
      </c>
      <c r="G21" s="30">
        <v>140</v>
      </c>
      <c r="H21" s="30">
        <v>4900</v>
      </c>
      <c r="K21" s="16"/>
    </row>
    <row r="22" spans="2:11" x14ac:dyDescent="0.3">
      <c r="B22" s="43">
        <v>41724</v>
      </c>
      <c r="C22" s="30" t="s">
        <v>8</v>
      </c>
      <c r="D22" s="28" t="s">
        <v>99</v>
      </c>
      <c r="E22" s="30">
        <v>358.5</v>
      </c>
      <c r="F22" s="30">
        <v>355</v>
      </c>
      <c r="G22" s="30">
        <v>836</v>
      </c>
      <c r="H22" s="30">
        <v>2926</v>
      </c>
      <c r="K22" s="16"/>
    </row>
    <row r="23" spans="2:11" x14ac:dyDescent="0.3">
      <c r="B23" s="43">
        <v>41725</v>
      </c>
      <c r="C23" s="28" t="s">
        <v>9</v>
      </c>
      <c r="D23" s="28" t="s">
        <v>98</v>
      </c>
      <c r="E23" s="30">
        <v>2190</v>
      </c>
      <c r="F23" s="30">
        <v>2240</v>
      </c>
      <c r="G23" s="30">
        <v>136</v>
      </c>
      <c r="H23" s="30">
        <v>6800</v>
      </c>
      <c r="K23" s="16"/>
    </row>
    <row r="24" spans="2:11" x14ac:dyDescent="0.3">
      <c r="B24" s="43">
        <v>41726</v>
      </c>
      <c r="C24" s="28" t="s">
        <v>8</v>
      </c>
      <c r="D24" s="30" t="s">
        <v>99</v>
      </c>
      <c r="E24" s="30">
        <v>356</v>
      </c>
      <c r="F24" s="30">
        <v>359</v>
      </c>
      <c r="G24" s="30">
        <v>842</v>
      </c>
      <c r="H24" s="30">
        <v>-2526</v>
      </c>
      <c r="K24" s="16"/>
    </row>
    <row r="25" spans="2:11" x14ac:dyDescent="0.3">
      <c r="B25" s="43">
        <v>41729</v>
      </c>
      <c r="C25" s="28" t="s">
        <v>9</v>
      </c>
      <c r="D25" s="30" t="s">
        <v>98</v>
      </c>
      <c r="E25" s="30">
        <v>2270</v>
      </c>
      <c r="F25" s="30">
        <v>2300</v>
      </c>
      <c r="G25" s="30">
        <v>132</v>
      </c>
      <c r="H25" s="30">
        <v>3960</v>
      </c>
    </row>
    <row r="26" spans="2:11" ht="15.6" x14ac:dyDescent="0.3">
      <c r="B26" s="43"/>
      <c r="C26" s="28"/>
      <c r="D26" s="28"/>
      <c r="E26" s="28"/>
      <c r="F26" s="28"/>
      <c r="G26" s="28"/>
      <c r="H26" s="34">
        <v>28933</v>
      </c>
    </row>
    <row r="28" spans="2:11" ht="15.6" x14ac:dyDescent="0.3">
      <c r="B28" s="48" t="s">
        <v>62</v>
      </c>
      <c r="C28" s="48"/>
      <c r="D28" s="48"/>
      <c r="E28" s="48"/>
      <c r="F28" s="48"/>
      <c r="G28" s="48"/>
      <c r="H28" s="48"/>
    </row>
    <row r="29" spans="2:11" x14ac:dyDescent="0.3">
      <c r="B29" s="43">
        <v>41701</v>
      </c>
      <c r="C29" s="2" t="s">
        <v>8</v>
      </c>
      <c r="D29" s="2" t="s">
        <v>13</v>
      </c>
      <c r="E29" s="41" t="s">
        <v>284</v>
      </c>
      <c r="F29" s="40" t="s">
        <v>285</v>
      </c>
      <c r="G29" s="5">
        <v>1000</v>
      </c>
      <c r="H29" s="40">
        <v>5000</v>
      </c>
    </row>
    <row r="30" spans="2:11" x14ac:dyDescent="0.3">
      <c r="B30" s="43">
        <v>41702</v>
      </c>
      <c r="C30" s="30" t="s">
        <v>9</v>
      </c>
      <c r="D30" s="30" t="s">
        <v>290</v>
      </c>
      <c r="E30" s="30">
        <v>157.5</v>
      </c>
      <c r="F30" s="30">
        <v>158.19999999999999</v>
      </c>
      <c r="G30" s="30">
        <v>4000</v>
      </c>
      <c r="H30" s="30">
        <v>3000</v>
      </c>
    </row>
    <row r="31" spans="2:11" x14ac:dyDescent="0.3">
      <c r="B31" s="43">
        <v>41703</v>
      </c>
      <c r="C31" s="30" t="s">
        <v>9</v>
      </c>
      <c r="D31" s="30" t="s">
        <v>22</v>
      </c>
      <c r="E31" s="30">
        <v>102.5</v>
      </c>
      <c r="F31" s="30">
        <v>104</v>
      </c>
      <c r="G31" s="30">
        <v>4000</v>
      </c>
      <c r="H31" s="30">
        <v>6000</v>
      </c>
    </row>
    <row r="32" spans="2:11" x14ac:dyDescent="0.3">
      <c r="B32" s="43">
        <v>41704</v>
      </c>
      <c r="C32" s="30" t="s">
        <v>9</v>
      </c>
      <c r="D32" s="30" t="s">
        <v>98</v>
      </c>
      <c r="E32" s="30">
        <v>2015</v>
      </c>
      <c r="F32" s="30">
        <v>2025</v>
      </c>
      <c r="G32" s="30">
        <v>125</v>
      </c>
      <c r="H32" s="30">
        <v>1250</v>
      </c>
    </row>
    <row r="33" spans="2:8" x14ac:dyDescent="0.3">
      <c r="B33" s="43">
        <v>41705</v>
      </c>
      <c r="C33" s="30" t="s">
        <v>9</v>
      </c>
      <c r="D33" s="30" t="s">
        <v>26</v>
      </c>
      <c r="E33" s="30">
        <v>156</v>
      </c>
      <c r="F33" s="30">
        <v>160</v>
      </c>
      <c r="G33" s="30">
        <v>2000</v>
      </c>
      <c r="H33" s="30">
        <v>8000</v>
      </c>
    </row>
    <row r="34" spans="2:8" x14ac:dyDescent="0.3">
      <c r="B34" s="43">
        <v>41708</v>
      </c>
      <c r="C34" s="30" t="s">
        <v>9</v>
      </c>
      <c r="D34" s="30" t="s">
        <v>22</v>
      </c>
      <c r="E34" s="30">
        <v>108.5</v>
      </c>
      <c r="F34" s="30">
        <v>110.5</v>
      </c>
      <c r="G34" s="30">
        <v>4000</v>
      </c>
      <c r="H34" s="30">
        <v>8000</v>
      </c>
    </row>
    <row r="35" spans="2:8" x14ac:dyDescent="0.3">
      <c r="B35" s="43">
        <v>41709</v>
      </c>
      <c r="C35" s="30" t="s">
        <v>8</v>
      </c>
      <c r="D35" s="30" t="s">
        <v>139</v>
      </c>
      <c r="E35" s="30">
        <v>371</v>
      </c>
      <c r="F35" s="30">
        <v>375</v>
      </c>
      <c r="G35" s="30">
        <v>1000</v>
      </c>
      <c r="H35" s="30">
        <v>-4000</v>
      </c>
    </row>
    <row r="36" spans="2:8" x14ac:dyDescent="0.3">
      <c r="B36" s="43">
        <v>41710</v>
      </c>
      <c r="C36" s="30" t="s">
        <v>8</v>
      </c>
      <c r="D36" s="30" t="s">
        <v>78</v>
      </c>
      <c r="E36" s="30">
        <v>1215</v>
      </c>
      <c r="F36" s="30">
        <v>1226</v>
      </c>
      <c r="G36" s="30">
        <v>500</v>
      </c>
      <c r="H36" s="30">
        <v>-5500</v>
      </c>
    </row>
    <row r="37" spans="2:8" x14ac:dyDescent="0.3">
      <c r="B37" s="43">
        <v>41711</v>
      </c>
      <c r="C37" s="30" t="s">
        <v>9</v>
      </c>
      <c r="D37" s="30" t="s">
        <v>22</v>
      </c>
      <c r="E37" s="30">
        <v>115.5</v>
      </c>
      <c r="F37" s="30">
        <v>116.25</v>
      </c>
      <c r="G37" s="30">
        <v>4000</v>
      </c>
      <c r="H37" s="30">
        <v>3000</v>
      </c>
    </row>
    <row r="38" spans="2:8" x14ac:dyDescent="0.3">
      <c r="B38" s="43">
        <v>41712</v>
      </c>
      <c r="C38" s="30" t="s">
        <v>9</v>
      </c>
      <c r="D38" s="30" t="s">
        <v>78</v>
      </c>
      <c r="E38" s="30">
        <v>1215</v>
      </c>
      <c r="F38" s="30">
        <v>1230</v>
      </c>
      <c r="G38" s="30">
        <v>500</v>
      </c>
      <c r="H38" s="30">
        <v>-7500</v>
      </c>
    </row>
    <row r="39" spans="2:8" x14ac:dyDescent="0.3">
      <c r="B39" s="43">
        <v>41716</v>
      </c>
      <c r="C39" s="30" t="s">
        <v>8</v>
      </c>
      <c r="D39" s="30" t="s">
        <v>109</v>
      </c>
      <c r="E39" s="30">
        <v>1020</v>
      </c>
      <c r="F39" s="30">
        <v>1016</v>
      </c>
      <c r="G39" s="30">
        <v>250</v>
      </c>
      <c r="H39" s="30">
        <v>1000</v>
      </c>
    </row>
    <row r="40" spans="2:8" x14ac:dyDescent="0.3">
      <c r="B40" s="43">
        <v>41717</v>
      </c>
      <c r="C40" s="30" t="s">
        <v>8</v>
      </c>
      <c r="D40" s="30" t="s">
        <v>184</v>
      </c>
      <c r="E40" s="30">
        <v>536</v>
      </c>
      <c r="F40" s="30">
        <v>532</v>
      </c>
      <c r="G40" s="30">
        <v>1000</v>
      </c>
      <c r="H40" s="30">
        <v>4000</v>
      </c>
    </row>
    <row r="41" spans="2:8" x14ac:dyDescent="0.3">
      <c r="B41" s="43">
        <v>41718</v>
      </c>
      <c r="C41" s="30" t="s">
        <v>8</v>
      </c>
      <c r="D41" s="30" t="s">
        <v>299</v>
      </c>
      <c r="E41" s="30">
        <v>320</v>
      </c>
      <c r="F41" s="30">
        <v>316</v>
      </c>
      <c r="G41" s="30">
        <v>2000</v>
      </c>
      <c r="H41" s="30">
        <v>8000</v>
      </c>
    </row>
    <row r="42" spans="2:8" x14ac:dyDescent="0.3">
      <c r="B42" s="43">
        <v>41719</v>
      </c>
      <c r="C42" s="30" t="s">
        <v>8</v>
      </c>
      <c r="D42" s="30" t="s">
        <v>46</v>
      </c>
      <c r="E42" s="30">
        <v>308</v>
      </c>
      <c r="F42" s="30">
        <v>304.7</v>
      </c>
      <c r="G42" s="30">
        <v>1000</v>
      </c>
      <c r="H42" s="30">
        <v>3300</v>
      </c>
    </row>
    <row r="43" spans="2:8" x14ac:dyDescent="0.3">
      <c r="B43" s="43">
        <v>41722</v>
      </c>
      <c r="C43" s="30" t="s">
        <v>8</v>
      </c>
      <c r="D43" s="30" t="s">
        <v>189</v>
      </c>
      <c r="E43" s="30">
        <v>187.5</v>
      </c>
      <c r="F43" s="30">
        <v>186</v>
      </c>
      <c r="G43" s="30">
        <v>2000</v>
      </c>
      <c r="H43" s="30">
        <v>3000</v>
      </c>
    </row>
    <row r="44" spans="2:8" x14ac:dyDescent="0.3">
      <c r="B44" s="43">
        <v>41723</v>
      </c>
      <c r="C44" s="30" t="s">
        <v>8</v>
      </c>
      <c r="D44" s="30" t="s">
        <v>22</v>
      </c>
      <c r="E44" s="30">
        <v>111.5</v>
      </c>
      <c r="F44" s="30">
        <v>111.2</v>
      </c>
      <c r="G44" s="30">
        <v>4000</v>
      </c>
      <c r="H44" s="30">
        <v>1200</v>
      </c>
    </row>
    <row r="45" spans="2:8" x14ac:dyDescent="0.3">
      <c r="B45" s="43">
        <v>41724</v>
      </c>
      <c r="C45" s="30" t="s">
        <v>8</v>
      </c>
      <c r="D45" s="30" t="s">
        <v>122</v>
      </c>
      <c r="E45" s="30">
        <v>1120</v>
      </c>
      <c r="F45" s="30">
        <v>1110.2</v>
      </c>
      <c r="G45" s="30">
        <v>250</v>
      </c>
      <c r="H45" s="30">
        <v>2450</v>
      </c>
    </row>
    <row r="46" spans="2:8" x14ac:dyDescent="0.3">
      <c r="B46" s="43">
        <v>41725</v>
      </c>
      <c r="C46" s="30" t="s">
        <v>9</v>
      </c>
      <c r="D46" s="30" t="s">
        <v>308</v>
      </c>
      <c r="E46" s="30">
        <v>304</v>
      </c>
      <c r="F46" s="30">
        <v>308</v>
      </c>
      <c r="G46" s="30">
        <v>2000</v>
      </c>
      <c r="H46" s="30">
        <v>8000</v>
      </c>
    </row>
    <row r="47" spans="2:8" x14ac:dyDescent="0.3">
      <c r="B47" s="43">
        <v>41726</v>
      </c>
      <c r="C47" s="30" t="s">
        <v>8</v>
      </c>
      <c r="D47" s="30" t="s">
        <v>310</v>
      </c>
      <c r="E47" s="30">
        <v>2655</v>
      </c>
      <c r="F47" s="30">
        <v>2640</v>
      </c>
      <c r="G47" s="30">
        <v>125</v>
      </c>
      <c r="H47" s="30">
        <v>1875</v>
      </c>
    </row>
    <row r="48" spans="2:8" x14ac:dyDescent="0.3">
      <c r="B48" s="43">
        <v>41729</v>
      </c>
      <c r="C48" s="30" t="s">
        <v>8</v>
      </c>
      <c r="D48" s="30" t="s">
        <v>26</v>
      </c>
      <c r="E48" s="30">
        <v>177.5</v>
      </c>
      <c r="F48" s="30">
        <v>180</v>
      </c>
      <c r="G48" s="30">
        <v>2000</v>
      </c>
      <c r="H48" s="30">
        <v>-5000</v>
      </c>
    </row>
    <row r="49" spans="2:10" ht="15.6" x14ac:dyDescent="0.3">
      <c r="B49" s="1"/>
      <c r="H49" s="34">
        <v>45075</v>
      </c>
    </row>
    <row r="50" spans="2:10" x14ac:dyDescent="0.3">
      <c r="B50" s="1"/>
    </row>
    <row r="51" spans="2:10" ht="15.6" x14ac:dyDescent="0.3">
      <c r="B51" s="48" t="s">
        <v>63</v>
      </c>
      <c r="C51" s="48"/>
      <c r="D51" s="48"/>
      <c r="E51" s="48"/>
      <c r="F51" s="48"/>
      <c r="G51" s="48"/>
      <c r="H51" s="48"/>
    </row>
    <row r="52" spans="2:10" x14ac:dyDescent="0.3">
      <c r="B52" s="43">
        <v>41701</v>
      </c>
      <c r="C52" s="2" t="s">
        <v>8</v>
      </c>
      <c r="D52" s="2" t="s">
        <v>39</v>
      </c>
      <c r="E52" s="41" t="s">
        <v>286</v>
      </c>
      <c r="F52" s="40" t="s">
        <v>287</v>
      </c>
      <c r="G52" s="41">
        <v>100</v>
      </c>
      <c r="H52" s="41" t="s">
        <v>311</v>
      </c>
    </row>
    <row r="53" spans="2:10" x14ac:dyDescent="0.3">
      <c r="B53" s="43">
        <v>41702</v>
      </c>
      <c r="C53" s="30" t="s">
        <v>9</v>
      </c>
      <c r="D53" s="30" t="s">
        <v>39</v>
      </c>
      <c r="E53" s="30">
        <v>6270</v>
      </c>
      <c r="F53" s="30">
        <v>6310</v>
      </c>
      <c r="G53" s="30">
        <v>100</v>
      </c>
      <c r="H53" s="30">
        <v>4000</v>
      </c>
    </row>
    <row r="54" spans="2:10" x14ac:dyDescent="0.3">
      <c r="B54" s="43">
        <v>41703</v>
      </c>
      <c r="C54" s="30" t="s">
        <v>8</v>
      </c>
      <c r="D54" s="30" t="s">
        <v>39</v>
      </c>
      <c r="E54" s="30">
        <v>6330</v>
      </c>
      <c r="F54" s="30">
        <v>6310</v>
      </c>
      <c r="G54" s="30">
        <v>100</v>
      </c>
      <c r="H54" s="30">
        <v>2000</v>
      </c>
    </row>
    <row r="55" spans="2:10" x14ac:dyDescent="0.3">
      <c r="B55" s="43">
        <v>41704</v>
      </c>
      <c r="C55" s="30" t="s">
        <v>8</v>
      </c>
      <c r="D55" s="30" t="s">
        <v>39</v>
      </c>
      <c r="E55" s="30">
        <v>6375</v>
      </c>
      <c r="F55" s="30">
        <v>6395</v>
      </c>
      <c r="G55" s="30">
        <v>100</v>
      </c>
      <c r="H55" s="30">
        <v>-2000</v>
      </c>
    </row>
    <row r="56" spans="2:10" x14ac:dyDescent="0.3">
      <c r="B56" s="43">
        <v>41705</v>
      </c>
      <c r="C56" s="30" t="s">
        <v>9</v>
      </c>
      <c r="D56" s="30" t="s">
        <v>39</v>
      </c>
      <c r="E56" s="30">
        <v>6480</v>
      </c>
      <c r="F56" s="30">
        <v>6520</v>
      </c>
      <c r="G56" s="30">
        <v>100</v>
      </c>
      <c r="H56" s="30">
        <v>4000</v>
      </c>
    </row>
    <row r="57" spans="2:10" x14ac:dyDescent="0.3">
      <c r="B57" s="43">
        <v>41708</v>
      </c>
      <c r="C57" s="30" t="s">
        <v>8</v>
      </c>
      <c r="D57" s="30" t="s">
        <v>39</v>
      </c>
      <c r="E57" s="30">
        <v>6545</v>
      </c>
      <c r="F57" s="30">
        <v>6570</v>
      </c>
      <c r="G57" s="30">
        <v>100</v>
      </c>
      <c r="H57" s="30">
        <v>-2500</v>
      </c>
    </row>
    <row r="58" spans="2:10" x14ac:dyDescent="0.3">
      <c r="B58" s="43">
        <v>41709</v>
      </c>
      <c r="C58" s="30" t="s">
        <v>8</v>
      </c>
      <c r="D58" s="30" t="s">
        <v>39</v>
      </c>
      <c r="E58" s="30">
        <v>6545</v>
      </c>
      <c r="F58" s="30">
        <v>6525</v>
      </c>
      <c r="G58" s="30">
        <v>100</v>
      </c>
      <c r="H58" s="30">
        <v>2000</v>
      </c>
      <c r="J58" s="1"/>
    </row>
    <row r="59" spans="2:10" x14ac:dyDescent="0.3">
      <c r="B59" s="43">
        <v>41710</v>
      </c>
      <c r="C59" s="30" t="s">
        <v>9</v>
      </c>
      <c r="D59" s="30" t="s">
        <v>39</v>
      </c>
      <c r="E59" s="30">
        <v>6555</v>
      </c>
      <c r="F59" s="30">
        <v>6535</v>
      </c>
      <c r="G59" s="30">
        <v>100</v>
      </c>
      <c r="H59" s="30">
        <v>-2000</v>
      </c>
      <c r="J59" s="1"/>
    </row>
    <row r="60" spans="2:10" x14ac:dyDescent="0.3">
      <c r="B60" s="43">
        <v>41712</v>
      </c>
      <c r="C60" s="30" t="s">
        <v>8</v>
      </c>
      <c r="D60" s="30" t="s">
        <v>39</v>
      </c>
      <c r="E60" s="30">
        <v>6480</v>
      </c>
      <c r="F60" s="30">
        <v>6500</v>
      </c>
      <c r="G60" s="30">
        <v>100</v>
      </c>
      <c r="H60" s="30">
        <v>-2000</v>
      </c>
      <c r="J60" s="1"/>
    </row>
    <row r="61" spans="2:10" x14ac:dyDescent="0.3">
      <c r="B61" s="43">
        <v>41716</v>
      </c>
      <c r="C61" s="30" t="s">
        <v>9</v>
      </c>
      <c r="D61" s="30" t="s">
        <v>39</v>
      </c>
      <c r="E61" s="30">
        <v>6585</v>
      </c>
      <c r="F61" s="30">
        <v>6560</v>
      </c>
      <c r="G61" s="30">
        <v>100</v>
      </c>
      <c r="H61" s="30">
        <v>-2500</v>
      </c>
      <c r="J61" s="1"/>
    </row>
    <row r="62" spans="2:10" x14ac:dyDescent="0.3">
      <c r="B62" s="43">
        <v>41717</v>
      </c>
      <c r="C62" s="30" t="s">
        <v>8</v>
      </c>
      <c r="D62" s="30" t="s">
        <v>39</v>
      </c>
      <c r="E62" s="30">
        <v>6555</v>
      </c>
      <c r="F62" s="30">
        <v>6535</v>
      </c>
      <c r="G62" s="30">
        <v>100</v>
      </c>
      <c r="H62" s="30">
        <v>2000</v>
      </c>
      <c r="J62" s="1"/>
    </row>
    <row r="63" spans="2:10" x14ac:dyDescent="0.3">
      <c r="B63" s="43">
        <v>41718</v>
      </c>
      <c r="C63" s="30" t="s">
        <v>8</v>
      </c>
      <c r="D63" s="30" t="s">
        <v>39</v>
      </c>
      <c r="E63" s="30">
        <v>6535</v>
      </c>
      <c r="F63" s="30">
        <v>6500</v>
      </c>
      <c r="G63" s="30">
        <v>100</v>
      </c>
      <c r="H63" s="30">
        <v>3500</v>
      </c>
      <c r="J63" s="1"/>
    </row>
    <row r="64" spans="2:10" x14ac:dyDescent="0.3">
      <c r="B64" s="43">
        <v>41719</v>
      </c>
      <c r="C64" s="30" t="s">
        <v>9</v>
      </c>
      <c r="D64" s="30" t="s">
        <v>301</v>
      </c>
      <c r="E64" s="30">
        <v>12150</v>
      </c>
      <c r="F64" s="30">
        <v>12180</v>
      </c>
      <c r="G64" s="30">
        <v>50</v>
      </c>
      <c r="H64" s="30">
        <v>1500</v>
      </c>
      <c r="J64" s="46"/>
    </row>
    <row r="65" spans="2:10" x14ac:dyDescent="0.3">
      <c r="B65" s="43">
        <v>41722</v>
      </c>
      <c r="C65" s="30" t="s">
        <v>8</v>
      </c>
      <c r="D65" s="30" t="s">
        <v>39</v>
      </c>
      <c r="E65" s="30">
        <v>6090</v>
      </c>
      <c r="F65" s="30">
        <v>6110</v>
      </c>
      <c r="G65" s="30">
        <v>100</v>
      </c>
      <c r="H65" s="30">
        <v>-2000</v>
      </c>
      <c r="J65" s="46"/>
    </row>
    <row r="66" spans="2:10" x14ac:dyDescent="0.3">
      <c r="B66" s="43">
        <v>41723</v>
      </c>
      <c r="C66" s="30" t="s">
        <v>9</v>
      </c>
      <c r="D66" s="30" t="s">
        <v>39</v>
      </c>
      <c r="E66" s="30">
        <v>6590</v>
      </c>
      <c r="F66" s="30">
        <v>6605</v>
      </c>
      <c r="G66" s="30">
        <v>100</v>
      </c>
      <c r="H66" s="30">
        <v>1500</v>
      </c>
      <c r="J66" s="46"/>
    </row>
    <row r="67" spans="2:10" x14ac:dyDescent="0.3">
      <c r="B67" s="43">
        <v>41724</v>
      </c>
      <c r="C67" s="30" t="s">
        <v>8</v>
      </c>
      <c r="D67" s="30" t="s">
        <v>306</v>
      </c>
      <c r="E67" s="30">
        <v>6625</v>
      </c>
      <c r="F67" s="30">
        <v>6590</v>
      </c>
      <c r="G67" s="30">
        <v>100</v>
      </c>
      <c r="H67" s="30">
        <v>3500</v>
      </c>
      <c r="J67" s="46"/>
    </row>
    <row r="68" spans="2:10" x14ac:dyDescent="0.3">
      <c r="B68" s="43">
        <v>41725</v>
      </c>
      <c r="C68" s="30" t="s">
        <v>9</v>
      </c>
      <c r="D68" s="30" t="s">
        <v>39</v>
      </c>
      <c r="E68" s="30">
        <v>6020</v>
      </c>
      <c r="F68" s="30">
        <v>6060</v>
      </c>
      <c r="G68" s="30">
        <v>100</v>
      </c>
      <c r="H68" s="30">
        <v>4000</v>
      </c>
      <c r="J68" s="46"/>
    </row>
    <row r="69" spans="2:10" x14ac:dyDescent="0.3">
      <c r="B69" s="43">
        <v>41726</v>
      </c>
      <c r="C69" s="30" t="s">
        <v>8</v>
      </c>
      <c r="D69" s="30" t="s">
        <v>39</v>
      </c>
      <c r="E69" s="30">
        <v>6690</v>
      </c>
      <c r="F69" s="30">
        <v>6710</v>
      </c>
      <c r="G69" s="30">
        <v>100</v>
      </c>
      <c r="H69" s="30">
        <v>-2000</v>
      </c>
      <c r="J69" s="46"/>
    </row>
    <row r="70" spans="2:10" x14ac:dyDescent="0.3">
      <c r="B70" s="43">
        <v>41729</v>
      </c>
      <c r="C70" s="30" t="s">
        <v>8</v>
      </c>
      <c r="D70" s="30" t="s">
        <v>39</v>
      </c>
      <c r="E70" s="30">
        <v>6745</v>
      </c>
      <c r="F70" s="30">
        <v>6710</v>
      </c>
      <c r="G70" s="30">
        <v>100</v>
      </c>
      <c r="H70" s="30">
        <v>3500</v>
      </c>
      <c r="J70" s="46"/>
    </row>
    <row r="71" spans="2:10" ht="15.6" x14ac:dyDescent="0.3">
      <c r="B71" s="43"/>
      <c r="C71" s="30"/>
      <c r="D71" s="30"/>
      <c r="E71" s="30"/>
      <c r="F71" s="30"/>
      <c r="G71" s="30"/>
      <c r="H71" s="34">
        <v>16500</v>
      </c>
      <c r="J71" s="47"/>
    </row>
    <row r="72" spans="2:10" x14ac:dyDescent="0.3">
      <c r="B72" s="43"/>
      <c r="C72" s="28"/>
      <c r="D72" s="30"/>
      <c r="E72" s="28"/>
      <c r="F72" s="28"/>
      <c r="G72" s="28"/>
      <c r="H72" s="28"/>
      <c r="J72" s="46"/>
    </row>
    <row r="73" spans="2:10" ht="15.6" x14ac:dyDescent="0.3">
      <c r="B73" s="48" t="s">
        <v>64</v>
      </c>
      <c r="C73" s="61"/>
      <c r="D73" s="61"/>
      <c r="E73" s="61"/>
      <c r="F73" s="61"/>
      <c r="G73" s="61"/>
      <c r="H73" s="61"/>
      <c r="J73" s="46"/>
    </row>
    <row r="74" spans="2:10" x14ac:dyDescent="0.3">
      <c r="B74" s="43">
        <v>41701</v>
      </c>
      <c r="C74" s="3" t="s">
        <v>9</v>
      </c>
      <c r="D74" s="3" t="s">
        <v>270</v>
      </c>
      <c r="E74" s="40" t="s">
        <v>288</v>
      </c>
      <c r="F74" s="40" t="s">
        <v>215</v>
      </c>
      <c r="G74" s="30">
        <v>200</v>
      </c>
      <c r="H74" s="8">
        <v>-3000</v>
      </c>
      <c r="J74" s="46"/>
    </row>
    <row r="75" spans="2:10" x14ac:dyDescent="0.3">
      <c r="B75" s="43">
        <v>41702</v>
      </c>
      <c r="C75" s="3" t="s">
        <v>9</v>
      </c>
      <c r="D75" s="3" t="s">
        <v>270</v>
      </c>
      <c r="E75" s="30">
        <v>95</v>
      </c>
      <c r="F75" s="30">
        <v>117</v>
      </c>
      <c r="G75" s="30">
        <v>200</v>
      </c>
      <c r="H75" s="30">
        <v>4400</v>
      </c>
    </row>
    <row r="76" spans="2:10" x14ac:dyDescent="0.3">
      <c r="B76" s="43">
        <v>41703</v>
      </c>
      <c r="C76" s="30" t="s">
        <v>9</v>
      </c>
      <c r="D76" s="30" t="s">
        <v>291</v>
      </c>
      <c r="E76" s="30">
        <v>95</v>
      </c>
      <c r="F76" s="30">
        <v>80</v>
      </c>
      <c r="G76" s="30">
        <v>200</v>
      </c>
      <c r="H76" s="30">
        <v>-3000</v>
      </c>
    </row>
    <row r="77" spans="2:10" x14ac:dyDescent="0.3">
      <c r="B77" s="43">
        <v>41704</v>
      </c>
      <c r="C77" s="30" t="s">
        <v>9</v>
      </c>
      <c r="D77" s="30" t="s">
        <v>292</v>
      </c>
      <c r="E77" s="30">
        <v>85</v>
      </c>
      <c r="F77" s="30">
        <v>75</v>
      </c>
      <c r="G77" s="30">
        <v>200</v>
      </c>
      <c r="H77" s="30">
        <v>-2000</v>
      </c>
    </row>
    <row r="78" spans="2:10" x14ac:dyDescent="0.3">
      <c r="B78" s="43">
        <v>41705</v>
      </c>
      <c r="C78" s="30" t="s">
        <v>9</v>
      </c>
      <c r="D78" s="30" t="s">
        <v>293</v>
      </c>
      <c r="E78" s="30">
        <v>135</v>
      </c>
      <c r="F78" s="30">
        <v>170</v>
      </c>
      <c r="G78" s="30">
        <v>200</v>
      </c>
      <c r="H78" s="30">
        <v>7000</v>
      </c>
    </row>
    <row r="79" spans="2:10" x14ac:dyDescent="0.3">
      <c r="B79" s="43">
        <v>41708</v>
      </c>
      <c r="C79" s="30" t="s">
        <v>9</v>
      </c>
      <c r="D79" s="30" t="s">
        <v>294</v>
      </c>
      <c r="E79" s="30">
        <v>120</v>
      </c>
      <c r="F79" s="30">
        <v>110</v>
      </c>
      <c r="G79" s="30">
        <v>200</v>
      </c>
      <c r="H79" s="30">
        <v>2000</v>
      </c>
    </row>
    <row r="80" spans="2:10" x14ac:dyDescent="0.3">
      <c r="B80" s="43">
        <v>41709</v>
      </c>
      <c r="C80" s="30" t="s">
        <v>9</v>
      </c>
      <c r="D80" s="30" t="s">
        <v>294</v>
      </c>
      <c r="E80" s="30">
        <v>105</v>
      </c>
      <c r="F80" s="30">
        <v>120</v>
      </c>
      <c r="G80" s="30">
        <v>200</v>
      </c>
      <c r="H80" s="30">
        <v>3000</v>
      </c>
    </row>
    <row r="81" spans="2:8" x14ac:dyDescent="0.3">
      <c r="B81" s="43">
        <v>41710</v>
      </c>
      <c r="C81" s="30" t="s">
        <v>9</v>
      </c>
      <c r="D81" s="30" t="s">
        <v>296</v>
      </c>
      <c r="E81" s="30">
        <v>110</v>
      </c>
      <c r="F81" s="30">
        <v>95</v>
      </c>
      <c r="G81" s="30">
        <v>200</v>
      </c>
      <c r="H81" s="30">
        <v>-3000</v>
      </c>
    </row>
    <row r="82" spans="2:8" x14ac:dyDescent="0.3">
      <c r="B82" s="43">
        <v>41712</v>
      </c>
      <c r="C82" s="30" t="s">
        <v>9</v>
      </c>
      <c r="D82" s="30" t="s">
        <v>297</v>
      </c>
      <c r="E82" s="30">
        <v>80</v>
      </c>
      <c r="F82" s="30">
        <v>70</v>
      </c>
      <c r="G82" s="30">
        <v>200</v>
      </c>
      <c r="H82" s="30">
        <v>-2000</v>
      </c>
    </row>
    <row r="83" spans="2:8" x14ac:dyDescent="0.3">
      <c r="B83" s="43">
        <v>41717</v>
      </c>
      <c r="C83" s="30" t="s">
        <v>9</v>
      </c>
      <c r="D83" s="30" t="s">
        <v>294</v>
      </c>
      <c r="E83" s="30">
        <v>80</v>
      </c>
      <c r="F83" s="30">
        <v>89</v>
      </c>
      <c r="G83" s="30">
        <v>200</v>
      </c>
      <c r="H83" s="30">
        <v>1800</v>
      </c>
    </row>
    <row r="84" spans="2:8" x14ac:dyDescent="0.3">
      <c r="B84" s="43">
        <v>41718</v>
      </c>
      <c r="C84" s="30" t="s">
        <v>9</v>
      </c>
      <c r="D84" s="30" t="s">
        <v>300</v>
      </c>
      <c r="E84" s="30">
        <v>30</v>
      </c>
      <c r="F84" s="30">
        <v>40</v>
      </c>
      <c r="G84" s="30">
        <v>250</v>
      </c>
      <c r="H84" s="30">
        <v>2500</v>
      </c>
    </row>
    <row r="85" spans="2:8" x14ac:dyDescent="0.3">
      <c r="B85" s="43">
        <v>41718</v>
      </c>
      <c r="C85" s="30" t="s">
        <v>9</v>
      </c>
      <c r="D85" s="30" t="s">
        <v>294</v>
      </c>
      <c r="E85" s="30">
        <v>85</v>
      </c>
      <c r="F85" s="30">
        <v>115</v>
      </c>
      <c r="G85" s="30">
        <v>200</v>
      </c>
      <c r="H85" s="30">
        <v>6000</v>
      </c>
    </row>
    <row r="86" spans="2:8" x14ac:dyDescent="0.3">
      <c r="B86" s="43">
        <v>41719</v>
      </c>
      <c r="C86" s="30" t="s">
        <v>9</v>
      </c>
      <c r="D86" s="30" t="s">
        <v>302</v>
      </c>
      <c r="E86" s="30">
        <v>120</v>
      </c>
      <c r="F86" s="30">
        <v>130</v>
      </c>
      <c r="G86" s="30">
        <v>100</v>
      </c>
      <c r="H86" s="30">
        <v>1000</v>
      </c>
    </row>
    <row r="87" spans="2:8" x14ac:dyDescent="0.3">
      <c r="B87" s="43">
        <v>41722</v>
      </c>
      <c r="C87" s="30" t="s">
        <v>9</v>
      </c>
      <c r="D87" s="30" t="s">
        <v>303</v>
      </c>
      <c r="E87" s="30">
        <v>60</v>
      </c>
      <c r="F87" s="30">
        <v>70</v>
      </c>
      <c r="G87" s="30">
        <v>250</v>
      </c>
      <c r="H87" s="30">
        <v>2500</v>
      </c>
    </row>
    <row r="88" spans="2:8" x14ac:dyDescent="0.3">
      <c r="B88" s="43">
        <v>41723</v>
      </c>
      <c r="C88" s="30" t="s">
        <v>9</v>
      </c>
      <c r="D88" s="30" t="s">
        <v>304</v>
      </c>
      <c r="E88" s="30">
        <v>19</v>
      </c>
      <c r="F88" s="30">
        <v>27</v>
      </c>
      <c r="G88" s="30">
        <v>250</v>
      </c>
      <c r="H88" s="30">
        <v>2000</v>
      </c>
    </row>
    <row r="89" spans="2:8" x14ac:dyDescent="0.3">
      <c r="B89" s="43">
        <v>41724</v>
      </c>
      <c r="C89" s="30" t="s">
        <v>9</v>
      </c>
      <c r="D89" s="30" t="s">
        <v>305</v>
      </c>
      <c r="E89" s="30">
        <v>85</v>
      </c>
      <c r="F89" s="30">
        <v>95</v>
      </c>
      <c r="G89" s="30">
        <v>200</v>
      </c>
      <c r="H89" s="30">
        <v>2000</v>
      </c>
    </row>
    <row r="90" spans="2:8" x14ac:dyDescent="0.3">
      <c r="B90" s="43">
        <v>41724</v>
      </c>
      <c r="C90" s="30" t="s">
        <v>9</v>
      </c>
      <c r="D90" s="30" t="s">
        <v>303</v>
      </c>
      <c r="E90" s="30">
        <v>38</v>
      </c>
      <c r="F90" s="30">
        <v>54</v>
      </c>
      <c r="G90" s="30">
        <v>250</v>
      </c>
      <c r="H90" s="30">
        <v>4000</v>
      </c>
    </row>
    <row r="91" spans="2:8" x14ac:dyDescent="0.3">
      <c r="B91" s="43">
        <v>41725</v>
      </c>
      <c r="C91" s="30" t="s">
        <v>9</v>
      </c>
      <c r="D91" s="30" t="s">
        <v>307</v>
      </c>
      <c r="E91" s="30">
        <v>155</v>
      </c>
      <c r="F91" s="30">
        <v>180</v>
      </c>
      <c r="G91" s="30">
        <v>200</v>
      </c>
      <c r="H91" s="30">
        <v>5000</v>
      </c>
    </row>
    <row r="92" spans="2:8" x14ac:dyDescent="0.3">
      <c r="B92" s="43">
        <v>41726</v>
      </c>
      <c r="C92" s="30" t="s">
        <v>9</v>
      </c>
      <c r="D92" s="30" t="s">
        <v>309</v>
      </c>
      <c r="E92" s="30">
        <v>110</v>
      </c>
      <c r="F92" s="30">
        <v>100</v>
      </c>
      <c r="G92" s="30">
        <v>200</v>
      </c>
      <c r="H92" s="30">
        <v>0</v>
      </c>
    </row>
    <row r="93" spans="2:8" x14ac:dyDescent="0.3">
      <c r="B93" s="43">
        <v>41729</v>
      </c>
      <c r="C93" s="30" t="s">
        <v>9</v>
      </c>
      <c r="D93" s="30" t="s">
        <v>312</v>
      </c>
      <c r="E93" s="30">
        <v>95</v>
      </c>
      <c r="F93" s="30">
        <v>105</v>
      </c>
      <c r="G93" s="30">
        <v>200</v>
      </c>
      <c r="H93" s="30">
        <v>2000</v>
      </c>
    </row>
    <row r="94" spans="2:8" x14ac:dyDescent="0.3">
      <c r="B94" s="1"/>
      <c r="C94" s="28" t="s">
        <v>9</v>
      </c>
      <c r="D94" s="28" t="s">
        <v>313</v>
      </c>
      <c r="E94" s="28">
        <v>90</v>
      </c>
      <c r="F94" s="28">
        <v>104.9</v>
      </c>
      <c r="G94" s="28">
        <v>250</v>
      </c>
      <c r="H94" s="49">
        <v>3725</v>
      </c>
    </row>
    <row r="95" spans="2:8" ht="15.6" x14ac:dyDescent="0.3">
      <c r="B95" s="1"/>
      <c r="C95" s="28"/>
      <c r="D95" s="28"/>
      <c r="E95" s="28"/>
      <c r="F95" s="28"/>
      <c r="G95" s="28"/>
      <c r="H95" s="34">
        <v>35925</v>
      </c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9"/>
    </row>
    <row r="103" spans="2:8" x14ac:dyDescent="0.3">
      <c r="B103" s="1"/>
    </row>
    <row r="104" spans="2:8" x14ac:dyDescent="0.3">
      <c r="B104" s="1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</sheetData>
  <mergeCells count="3">
    <mergeCell ref="B1:H1"/>
    <mergeCell ref="B2:H2"/>
    <mergeCell ref="B3:H3"/>
  </mergeCells>
  <hyperlinks>
    <hyperlink ref="J2" location="'MASTER '!A1" display="Back" xr:uid="{00000000-0004-0000-0B00-000000000000}"/>
  </hyperlinks>
  <pageMargins left="0.7" right="0.7" top="0.75" bottom="0.75" header="0.3" footer="0.3"/>
  <pageSetup orientation="portrait" horizontalDpi="300" verticalDpi="0" r:id="rId1"/>
  <ignoredErrors>
    <ignoredError sqref="E6:F6 E29:F29 E74:F74 E52:F52 H52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W246"/>
  <sheetViews>
    <sheetView topLeftCell="A191" zoomScaleNormal="100" workbookViewId="0">
      <selection activeCell="P203" sqref="P203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4124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35</v>
      </c>
      <c r="P4" s="386">
        <f>W52</f>
        <v>7</v>
      </c>
      <c r="Q4" s="387">
        <f>N4-O4-P4</f>
        <v>0</v>
      </c>
      <c r="R4" s="380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44986</v>
      </c>
      <c r="D6" s="158" t="s">
        <v>9</v>
      </c>
      <c r="E6" s="158" t="s">
        <v>3248</v>
      </c>
      <c r="F6" s="230">
        <v>1114</v>
      </c>
      <c r="G6" s="222">
        <v>1124</v>
      </c>
      <c r="H6" s="222">
        <v>10</v>
      </c>
      <c r="I6" s="207">
        <f t="shared" ref="I6:I7" si="0">300000/F6</f>
        <v>269.29982046678634</v>
      </c>
      <c r="J6" s="161">
        <f t="shared" ref="J6:J7" si="1">H6*I6</f>
        <v>2692.9982046678633</v>
      </c>
      <c r="K6" s="153"/>
      <c r="M6" s="394" t="s">
        <v>450</v>
      </c>
      <c r="N6" s="344">
        <f>COUNT(C60:C85)</f>
        <v>22</v>
      </c>
      <c r="O6" s="346">
        <f>V86</f>
        <v>21</v>
      </c>
      <c r="P6" s="346">
        <f>W86</f>
        <v>0</v>
      </c>
      <c r="Q6" s="374">
        <f>N6-O6-P6</f>
        <v>1</v>
      </c>
      <c r="R6" s="376">
        <f t="shared" ref="R6" si="2">O6/N6</f>
        <v>0.95454545454545459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44986</v>
      </c>
      <c r="D7" s="161" t="s">
        <v>9</v>
      </c>
      <c r="E7" s="161" t="s">
        <v>3443</v>
      </c>
      <c r="F7" s="222">
        <v>1825</v>
      </c>
      <c r="G7" s="231">
        <v>1853</v>
      </c>
      <c r="H7" s="255">
        <f>1853-1825</f>
        <v>28</v>
      </c>
      <c r="I7" s="207">
        <f t="shared" si="0"/>
        <v>164.38356164383561</v>
      </c>
      <c r="J7" s="161">
        <f t="shared" si="1"/>
        <v>4602.7397260273974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44987</v>
      </c>
      <c r="D8" s="161" t="s">
        <v>9</v>
      </c>
      <c r="E8" s="161" t="s">
        <v>117</v>
      </c>
      <c r="F8" s="222">
        <v>364</v>
      </c>
      <c r="G8" s="222">
        <v>372</v>
      </c>
      <c r="H8" s="222">
        <f>372-364</f>
        <v>8</v>
      </c>
      <c r="I8" s="207">
        <f t="shared" ref="I8:I47" si="6">300000/F8</f>
        <v>824.17582417582423</v>
      </c>
      <c r="J8" s="161">
        <f t="shared" ref="J8:J47" si="7">H8*I8</f>
        <v>6593.4065934065939</v>
      </c>
      <c r="K8" s="153"/>
      <c r="M8" s="394" t="s">
        <v>451</v>
      </c>
      <c r="N8" s="344">
        <f>COUNT(C94:C116)</f>
        <v>21</v>
      </c>
      <c r="O8" s="346">
        <f>V117</f>
        <v>20</v>
      </c>
      <c r="P8" s="346">
        <f>W117</f>
        <v>1</v>
      </c>
      <c r="Q8" s="374">
        <f>N8-O8-P8</f>
        <v>0</v>
      </c>
      <c r="R8" s="376">
        <f t="shared" ref="R8" si="8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44987</v>
      </c>
      <c r="D9" s="161" t="s">
        <v>8</v>
      </c>
      <c r="E9" s="161" t="s">
        <v>58</v>
      </c>
      <c r="F9" s="222">
        <v>850</v>
      </c>
      <c r="G9" s="231">
        <v>847</v>
      </c>
      <c r="H9" s="255">
        <v>3</v>
      </c>
      <c r="I9" s="207">
        <f t="shared" si="6"/>
        <v>352.94117647058823</v>
      </c>
      <c r="J9" s="161">
        <f t="shared" si="7"/>
        <v>1058.8235294117646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44988</v>
      </c>
      <c r="D10" s="161" t="s">
        <v>9</v>
      </c>
      <c r="E10" s="161" t="s">
        <v>2203</v>
      </c>
      <c r="F10" s="222">
        <v>914</v>
      </c>
      <c r="G10" s="222">
        <v>917</v>
      </c>
      <c r="H10" s="222">
        <v>3</v>
      </c>
      <c r="I10" s="207">
        <f t="shared" si="6"/>
        <v>328.22757111597372</v>
      </c>
      <c r="J10" s="161">
        <f t="shared" si="7"/>
        <v>984.68271334792121</v>
      </c>
      <c r="K10" s="153"/>
      <c r="M10" s="394" t="s">
        <v>1176</v>
      </c>
      <c r="N10" s="344">
        <f>COUNT(C125:C149)</f>
        <v>23</v>
      </c>
      <c r="O10" s="346">
        <f>V150</f>
        <v>22</v>
      </c>
      <c r="P10" s="346">
        <f>W150</f>
        <v>1</v>
      </c>
      <c r="Q10" s="374">
        <f>N10-O10-P10</f>
        <v>0</v>
      </c>
      <c r="R10" s="376">
        <f t="shared" ref="R10:R16" si="9">O10/N10</f>
        <v>0.95652173913043481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44988</v>
      </c>
      <c r="D11" s="161" t="s">
        <v>8</v>
      </c>
      <c r="E11" s="161" t="s">
        <v>371</v>
      </c>
      <c r="F11" s="222">
        <v>252</v>
      </c>
      <c r="G11" s="222">
        <v>249.8</v>
      </c>
      <c r="H11" s="255">
        <f>252-249.8</f>
        <v>2.1999999999999886</v>
      </c>
      <c r="I11" s="207">
        <f t="shared" si="6"/>
        <v>1190.4761904761904</v>
      </c>
      <c r="J11" s="161">
        <f t="shared" si="7"/>
        <v>2619.0476190476052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44991</v>
      </c>
      <c r="D12" s="161" t="s">
        <v>9</v>
      </c>
      <c r="E12" s="161" t="s">
        <v>3528</v>
      </c>
      <c r="F12" s="222">
        <v>210</v>
      </c>
      <c r="G12" s="222">
        <v>212.3</v>
      </c>
      <c r="H12" s="222">
        <v>2.2999999999999998</v>
      </c>
      <c r="I12" s="207">
        <f t="shared" si="6"/>
        <v>1428.5714285714287</v>
      </c>
      <c r="J12" s="161">
        <f t="shared" si="7"/>
        <v>3285.7142857142858</v>
      </c>
      <c r="K12" s="153"/>
      <c r="M12" s="394" t="s">
        <v>41</v>
      </c>
      <c r="N12" s="344">
        <f>COUNT(C158:C180)</f>
        <v>21</v>
      </c>
      <c r="O12" s="346">
        <f>V181</f>
        <v>20</v>
      </c>
      <c r="P12" s="346">
        <f>W181</f>
        <v>1</v>
      </c>
      <c r="Q12" s="374">
        <f t="shared" ref="Q12" si="10">N12-O12-P12</f>
        <v>0</v>
      </c>
      <c r="R12" s="376">
        <f t="shared" si="9"/>
        <v>0.95238095238095233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44991</v>
      </c>
      <c r="D13" s="161" t="s">
        <v>9</v>
      </c>
      <c r="E13" s="161" t="s">
        <v>4131</v>
      </c>
      <c r="F13" s="222">
        <v>1635</v>
      </c>
      <c r="G13" s="222">
        <v>1625</v>
      </c>
      <c r="H13" s="255">
        <v>-10</v>
      </c>
      <c r="I13" s="207">
        <f t="shared" si="6"/>
        <v>183.48623853211009</v>
      </c>
      <c r="J13" s="161">
        <f t="shared" si="7"/>
        <v>-1834.8623853211009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44993</v>
      </c>
      <c r="D14" s="161" t="s">
        <v>9</v>
      </c>
      <c r="E14" s="161" t="s">
        <v>4135</v>
      </c>
      <c r="F14" s="222">
        <v>1266</v>
      </c>
      <c r="G14" s="222">
        <v>1286</v>
      </c>
      <c r="H14" s="222">
        <v>20</v>
      </c>
      <c r="I14" s="207">
        <f t="shared" si="6"/>
        <v>236.96682464454977</v>
      </c>
      <c r="J14" s="161">
        <f t="shared" si="7"/>
        <v>4739.3364928909959</v>
      </c>
      <c r="K14" s="153"/>
      <c r="M14" s="394" t="s">
        <v>1175</v>
      </c>
      <c r="N14" s="344">
        <f>COUNT(C189:C212)</f>
        <v>22</v>
      </c>
      <c r="O14" s="346">
        <f>V213</f>
        <v>17</v>
      </c>
      <c r="P14" s="346">
        <f>W213</f>
        <v>5</v>
      </c>
      <c r="Q14" s="374">
        <f t="shared" ref="Q14" si="11">N14-O14-P14</f>
        <v>0</v>
      </c>
      <c r="R14" s="376">
        <f t="shared" si="9"/>
        <v>0.77272727272727271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44993</v>
      </c>
      <c r="D15" s="161" t="s">
        <v>9</v>
      </c>
      <c r="E15" s="161" t="s">
        <v>3515</v>
      </c>
      <c r="F15" s="222">
        <v>2790</v>
      </c>
      <c r="G15" s="222">
        <v>2830</v>
      </c>
      <c r="H15" s="222">
        <v>40</v>
      </c>
      <c r="I15" s="207">
        <f t="shared" si="6"/>
        <v>107.52688172043011</v>
      </c>
      <c r="J15" s="161">
        <f t="shared" si="7"/>
        <v>4301.0752688172042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44994</v>
      </c>
      <c r="D16" s="161" t="s">
        <v>9</v>
      </c>
      <c r="E16" s="161" t="s">
        <v>3515</v>
      </c>
      <c r="F16" s="222">
        <v>2880</v>
      </c>
      <c r="G16" s="222">
        <v>2888</v>
      </c>
      <c r="H16" s="222">
        <v>8</v>
      </c>
      <c r="I16" s="207">
        <f t="shared" si="6"/>
        <v>104.16666666666667</v>
      </c>
      <c r="J16" s="161">
        <f t="shared" si="7"/>
        <v>833.33333333333337</v>
      </c>
      <c r="K16" s="153"/>
      <c r="L16" s="25" t="s">
        <v>2008</v>
      </c>
      <c r="M16" s="394" t="s">
        <v>1090</v>
      </c>
      <c r="N16" s="344">
        <f>COUNT(C221:C244)</f>
        <v>20</v>
      </c>
      <c r="O16" s="346">
        <f>V245</f>
        <v>19</v>
      </c>
      <c r="P16" s="346">
        <f>W245</f>
        <v>1</v>
      </c>
      <c r="Q16" s="374">
        <v>0</v>
      </c>
      <c r="R16" s="376">
        <f t="shared" si="9"/>
        <v>0.95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44994</v>
      </c>
      <c r="D17" s="161" t="s">
        <v>8</v>
      </c>
      <c r="E17" s="161" t="s">
        <v>4136</v>
      </c>
      <c r="F17" s="222">
        <v>306</v>
      </c>
      <c r="G17" s="222">
        <v>300.2</v>
      </c>
      <c r="H17" s="222">
        <f>306-300.2</f>
        <v>5.8000000000000114</v>
      </c>
      <c r="I17" s="207">
        <f t="shared" si="6"/>
        <v>980.39215686274508</v>
      </c>
      <c r="J17" s="161">
        <f t="shared" si="7"/>
        <v>5686.2745098039322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44995</v>
      </c>
      <c r="D18" s="161" t="s">
        <v>8</v>
      </c>
      <c r="E18" s="161" t="s">
        <v>94</v>
      </c>
      <c r="F18" s="222">
        <v>1592</v>
      </c>
      <c r="G18" s="222">
        <v>1588</v>
      </c>
      <c r="H18" s="222">
        <f>1592-1588</f>
        <v>4</v>
      </c>
      <c r="I18" s="207">
        <f t="shared" si="6"/>
        <v>188.44221105527637</v>
      </c>
      <c r="J18" s="161">
        <f t="shared" si="7"/>
        <v>753.7688442211055</v>
      </c>
      <c r="K18" s="153"/>
      <c r="M18" s="392" t="s">
        <v>946</v>
      </c>
      <c r="N18" s="378">
        <f>SUM(N4:N17)</f>
        <v>171</v>
      </c>
      <c r="O18" s="378">
        <f t="shared" ref="O18:Q18" si="12">SUM(O4:O17)</f>
        <v>154</v>
      </c>
      <c r="P18" s="378">
        <f t="shared" si="12"/>
        <v>16</v>
      </c>
      <c r="Q18" s="378">
        <f t="shared" si="12"/>
        <v>1</v>
      </c>
      <c r="R18" s="380">
        <f t="shared" ref="R18" si="13">O18/N18</f>
        <v>0.90058479532163738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44995</v>
      </c>
      <c r="D19" s="161" t="s">
        <v>8</v>
      </c>
      <c r="E19" s="161" t="s">
        <v>58</v>
      </c>
      <c r="F19" s="222">
        <v>851</v>
      </c>
      <c r="G19" s="222">
        <v>846</v>
      </c>
      <c r="H19" s="222">
        <f>851-846</f>
        <v>5</v>
      </c>
      <c r="I19" s="207">
        <f t="shared" si="6"/>
        <v>352.52643948296122</v>
      </c>
      <c r="J19" s="161">
        <f t="shared" si="7"/>
        <v>1762.6321974148061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44998</v>
      </c>
      <c r="D20" s="161" t="s">
        <v>9</v>
      </c>
      <c r="E20" s="161" t="s">
        <v>95</v>
      </c>
      <c r="F20" s="222">
        <v>852</v>
      </c>
      <c r="G20" s="222">
        <v>844</v>
      </c>
      <c r="H20" s="222">
        <v>-8</v>
      </c>
      <c r="I20" s="207">
        <f t="shared" si="6"/>
        <v>352.11267605633805</v>
      </c>
      <c r="J20" s="161">
        <f t="shared" si="7"/>
        <v>-2816.9014084507044</v>
      </c>
      <c r="K20" s="153"/>
      <c r="M20" s="316" t="s">
        <v>2253</v>
      </c>
      <c r="N20" s="317"/>
      <c r="O20" s="318"/>
      <c r="P20" s="325">
        <f>R18</f>
        <v>0.90058479532163738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44998</v>
      </c>
      <c r="D21" s="161" t="s">
        <v>9</v>
      </c>
      <c r="E21" s="161" t="s">
        <v>90</v>
      </c>
      <c r="F21" s="222">
        <v>1150</v>
      </c>
      <c r="G21" s="222">
        <v>1155</v>
      </c>
      <c r="H21" s="222">
        <v>5</v>
      </c>
      <c r="I21" s="207">
        <f t="shared" si="6"/>
        <v>260.86956521739131</v>
      </c>
      <c r="J21" s="161">
        <f t="shared" si="7"/>
        <v>1304.3478260869565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44999</v>
      </c>
      <c r="D22" s="161" t="s">
        <v>9</v>
      </c>
      <c r="E22" s="161" t="s">
        <v>1916</v>
      </c>
      <c r="F22" s="222">
        <v>1512</v>
      </c>
      <c r="G22" s="222">
        <v>1524</v>
      </c>
      <c r="H22" s="222">
        <f>1524-1512</f>
        <v>12</v>
      </c>
      <c r="I22" s="207">
        <f t="shared" si="6"/>
        <v>198.4126984126984</v>
      </c>
      <c r="J22" s="161">
        <f t="shared" si="7"/>
        <v>2380.9523809523807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44999</v>
      </c>
      <c r="D23" s="161" t="s">
        <v>8</v>
      </c>
      <c r="E23" s="161" t="s">
        <v>3650</v>
      </c>
      <c r="F23" s="222">
        <v>272</v>
      </c>
      <c r="G23" s="222">
        <v>276</v>
      </c>
      <c r="H23" s="222">
        <v>-4</v>
      </c>
      <c r="I23" s="207">
        <f t="shared" si="6"/>
        <v>1102.9411764705883</v>
      </c>
      <c r="J23" s="161">
        <f t="shared" si="7"/>
        <v>-4411.7647058823532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45000</v>
      </c>
      <c r="D24" s="161" t="s">
        <v>9</v>
      </c>
      <c r="E24" s="161" t="s">
        <v>275</v>
      </c>
      <c r="F24" s="222">
        <v>330</v>
      </c>
      <c r="G24" s="222">
        <v>333.4</v>
      </c>
      <c r="H24" s="222">
        <v>3.4</v>
      </c>
      <c r="I24" s="207">
        <f t="shared" si="6"/>
        <v>909.09090909090912</v>
      </c>
      <c r="J24" s="161">
        <f t="shared" si="7"/>
        <v>3090.909090909091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45000</v>
      </c>
      <c r="D25" s="161" t="s">
        <v>8</v>
      </c>
      <c r="E25" s="161" t="s">
        <v>58</v>
      </c>
      <c r="F25" s="222">
        <v>835</v>
      </c>
      <c r="G25" s="222">
        <v>822</v>
      </c>
      <c r="H25" s="222">
        <f>835-822</f>
        <v>13</v>
      </c>
      <c r="I25" s="207">
        <f t="shared" si="6"/>
        <v>359.28143712574848</v>
      </c>
      <c r="J25" s="161">
        <f t="shared" si="7"/>
        <v>4670.6586826347302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45001</v>
      </c>
      <c r="D26" s="161" t="s">
        <v>9</v>
      </c>
      <c r="E26" s="161" t="s">
        <v>2563</v>
      </c>
      <c r="F26" s="222">
        <v>1855</v>
      </c>
      <c r="G26" s="222">
        <v>1875</v>
      </c>
      <c r="H26" s="222">
        <v>20</v>
      </c>
      <c r="I26" s="207">
        <f t="shared" si="6"/>
        <v>161.72506738544473</v>
      </c>
      <c r="J26" s="161">
        <f t="shared" si="7"/>
        <v>3234.5013477088946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45001</v>
      </c>
      <c r="D27" s="161" t="s">
        <v>8</v>
      </c>
      <c r="E27" s="161" t="s">
        <v>19</v>
      </c>
      <c r="F27" s="222">
        <v>520</v>
      </c>
      <c r="G27" s="222">
        <v>517</v>
      </c>
      <c r="H27" s="222">
        <v>3</v>
      </c>
      <c r="I27" s="207">
        <f t="shared" si="6"/>
        <v>576.92307692307691</v>
      </c>
      <c r="J27" s="161">
        <f t="shared" si="7"/>
        <v>1730.7692307692307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45002</v>
      </c>
      <c r="D28" s="161" t="s">
        <v>9</v>
      </c>
      <c r="E28" s="161" t="s">
        <v>2563</v>
      </c>
      <c r="F28" s="222">
        <v>1885</v>
      </c>
      <c r="G28" s="222">
        <v>1865</v>
      </c>
      <c r="H28" s="222">
        <v>-20</v>
      </c>
      <c r="I28" s="207">
        <f t="shared" si="6"/>
        <v>159.15119363395226</v>
      </c>
      <c r="J28" s="161">
        <f t="shared" si="7"/>
        <v>-3183.0238726790453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45002</v>
      </c>
      <c r="D29" s="161" t="s">
        <v>8</v>
      </c>
      <c r="E29" s="161" t="s">
        <v>85</v>
      </c>
      <c r="F29" s="222">
        <v>743</v>
      </c>
      <c r="G29" s="222">
        <v>739.8</v>
      </c>
      <c r="H29" s="222">
        <f>743-739.8</f>
        <v>3.2000000000000455</v>
      </c>
      <c r="I29" s="207">
        <f t="shared" si="6"/>
        <v>403.7685060565276</v>
      </c>
      <c r="J29" s="161">
        <f t="shared" si="7"/>
        <v>1292.0592193809066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45005</v>
      </c>
      <c r="D30" s="161" t="s">
        <v>9</v>
      </c>
      <c r="E30" s="161" t="s">
        <v>795</v>
      </c>
      <c r="F30" s="222">
        <v>1490</v>
      </c>
      <c r="G30" s="222">
        <v>1510</v>
      </c>
      <c r="H30" s="222">
        <f>1510-1490</f>
        <v>20</v>
      </c>
      <c r="I30" s="207">
        <f t="shared" si="6"/>
        <v>201.34228187919464</v>
      </c>
      <c r="J30" s="161">
        <f t="shared" si="7"/>
        <v>4026.8456375838928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45005</v>
      </c>
      <c r="D31" s="161" t="s">
        <v>8</v>
      </c>
      <c r="E31" s="161" t="s">
        <v>19</v>
      </c>
      <c r="F31" s="223">
        <v>518</v>
      </c>
      <c r="G31" s="222">
        <v>515</v>
      </c>
      <c r="H31" s="255">
        <v>3</v>
      </c>
      <c r="I31" s="207">
        <f t="shared" si="6"/>
        <v>579.15057915057912</v>
      </c>
      <c r="J31" s="161">
        <f t="shared" si="7"/>
        <v>1737.4517374517372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45006</v>
      </c>
      <c r="D32" s="161" t="s">
        <v>9</v>
      </c>
      <c r="E32" s="161" t="s">
        <v>2563</v>
      </c>
      <c r="F32" s="222">
        <v>1890</v>
      </c>
      <c r="G32" s="222">
        <v>1870</v>
      </c>
      <c r="H32" s="222">
        <v>-20</v>
      </c>
      <c r="I32" s="207">
        <f t="shared" si="6"/>
        <v>158.73015873015873</v>
      </c>
      <c r="J32" s="161">
        <f t="shared" si="7"/>
        <v>-3174.6031746031749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45006</v>
      </c>
      <c r="D33" s="161" t="s">
        <v>9</v>
      </c>
      <c r="E33" s="161" t="s">
        <v>78</v>
      </c>
      <c r="F33" s="223">
        <v>2195</v>
      </c>
      <c r="G33" s="222">
        <v>2222</v>
      </c>
      <c r="H33" s="255">
        <f>2222-2195</f>
        <v>27</v>
      </c>
      <c r="I33" s="207">
        <f t="shared" si="6"/>
        <v>136.67425968109339</v>
      </c>
      <c r="J33" s="161">
        <f t="shared" si="7"/>
        <v>3690.2050113895216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45007</v>
      </c>
      <c r="D34" s="161" t="s">
        <v>9</v>
      </c>
      <c r="E34" s="161" t="s">
        <v>78</v>
      </c>
      <c r="F34" s="222">
        <v>2240</v>
      </c>
      <c r="G34" s="222">
        <v>2220</v>
      </c>
      <c r="H34" s="222">
        <v>-20</v>
      </c>
      <c r="I34" s="207">
        <f t="shared" si="6"/>
        <v>133.92857142857142</v>
      </c>
      <c r="J34" s="161">
        <f t="shared" si="7"/>
        <v>-2678.5714285714284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45007</v>
      </c>
      <c r="D35" s="161" t="s">
        <v>8</v>
      </c>
      <c r="E35" s="161" t="s">
        <v>58</v>
      </c>
      <c r="F35" s="222">
        <v>850</v>
      </c>
      <c r="G35" s="222">
        <v>847.05</v>
      </c>
      <c r="H35" s="222">
        <f>850-847.05</f>
        <v>2.9500000000000455</v>
      </c>
      <c r="I35" s="207">
        <f t="shared" si="6"/>
        <v>352.94117647058823</v>
      </c>
      <c r="J35" s="161">
        <f t="shared" si="7"/>
        <v>1041.1764705882513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45008</v>
      </c>
      <c r="D36" s="161" t="s">
        <v>9</v>
      </c>
      <c r="E36" s="161" t="s">
        <v>433</v>
      </c>
      <c r="F36" s="222">
        <v>442</v>
      </c>
      <c r="G36" s="222">
        <v>447</v>
      </c>
      <c r="H36" s="222">
        <v>5</v>
      </c>
      <c r="I36" s="207">
        <f t="shared" si="6"/>
        <v>678.73303167420818</v>
      </c>
      <c r="J36" s="161">
        <f t="shared" si="7"/>
        <v>3393.6651583710409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45008</v>
      </c>
      <c r="D37" s="161" t="s">
        <v>9</v>
      </c>
      <c r="E37" s="161" t="s">
        <v>982</v>
      </c>
      <c r="F37" s="222">
        <v>664</v>
      </c>
      <c r="G37" s="222">
        <v>667.3</v>
      </c>
      <c r="H37" s="222">
        <v>3.3</v>
      </c>
      <c r="I37" s="207">
        <f t="shared" si="6"/>
        <v>451.80722891566268</v>
      </c>
      <c r="J37" s="161">
        <f t="shared" si="7"/>
        <v>1490.9638554216867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45009</v>
      </c>
      <c r="D38" s="161" t="s">
        <v>8</v>
      </c>
      <c r="E38" s="161" t="s">
        <v>183</v>
      </c>
      <c r="F38" s="222">
        <v>2490</v>
      </c>
      <c r="G38" s="222">
        <v>2497</v>
      </c>
      <c r="H38" s="222">
        <v>7</v>
      </c>
      <c r="I38" s="207">
        <f t="shared" si="6"/>
        <v>120.48192771084338</v>
      </c>
      <c r="J38" s="161">
        <f t="shared" si="7"/>
        <v>843.37349397590367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45009</v>
      </c>
      <c r="D39" s="161" t="s">
        <v>8</v>
      </c>
      <c r="E39" s="161" t="s">
        <v>3479</v>
      </c>
      <c r="F39" s="222">
        <v>207</v>
      </c>
      <c r="G39" s="222">
        <v>203</v>
      </c>
      <c r="H39" s="222">
        <v>4</v>
      </c>
      <c r="I39" s="207">
        <f t="shared" si="6"/>
        <v>1449.2753623188405</v>
      </c>
      <c r="J39" s="161">
        <f t="shared" si="7"/>
        <v>5797.101449275362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45012</v>
      </c>
      <c r="D40" s="161" t="s">
        <v>9</v>
      </c>
      <c r="E40" s="161" t="s">
        <v>175</v>
      </c>
      <c r="F40" s="222">
        <v>513</v>
      </c>
      <c r="G40" s="222">
        <v>519</v>
      </c>
      <c r="H40" s="222">
        <v>6</v>
      </c>
      <c r="I40" s="207">
        <f t="shared" si="6"/>
        <v>584.79532163742692</v>
      </c>
      <c r="J40" s="161">
        <f t="shared" si="7"/>
        <v>3508.7719298245615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45012</v>
      </c>
      <c r="D41" s="161" t="s">
        <v>8</v>
      </c>
      <c r="E41" s="161" t="s">
        <v>3334</v>
      </c>
      <c r="F41" s="222">
        <v>1648</v>
      </c>
      <c r="G41" s="223">
        <v>1635</v>
      </c>
      <c r="H41" s="222">
        <f>1648-1635</f>
        <v>13</v>
      </c>
      <c r="I41" s="207">
        <f t="shared" si="6"/>
        <v>182.03883495145632</v>
      </c>
      <c r="J41" s="161">
        <f t="shared" si="7"/>
        <v>2366.5048543689322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45013</v>
      </c>
      <c r="D42" s="161" t="s">
        <v>8</v>
      </c>
      <c r="E42" s="161" t="s">
        <v>3651</v>
      </c>
      <c r="F42" s="222">
        <v>1850</v>
      </c>
      <c r="G42" s="222">
        <v>1830</v>
      </c>
      <c r="H42" s="222">
        <v>20</v>
      </c>
      <c r="I42" s="207">
        <f t="shared" si="6"/>
        <v>162.16216216216216</v>
      </c>
      <c r="J42" s="161">
        <f t="shared" si="7"/>
        <v>3243.2432432432433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45013</v>
      </c>
      <c r="D43" s="161" t="s">
        <v>8</v>
      </c>
      <c r="E43" s="161" t="s">
        <v>3546</v>
      </c>
      <c r="F43" s="222">
        <v>207</v>
      </c>
      <c r="G43" s="222">
        <v>208</v>
      </c>
      <c r="H43" s="222">
        <v>-1</v>
      </c>
      <c r="I43" s="207">
        <f t="shared" si="6"/>
        <v>1449.2753623188405</v>
      </c>
      <c r="J43" s="161">
        <f t="shared" si="7"/>
        <v>-1449.2753623188405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45014</v>
      </c>
      <c r="D44" s="161" t="s">
        <v>9</v>
      </c>
      <c r="E44" s="161" t="s">
        <v>3563</v>
      </c>
      <c r="F44" s="222">
        <v>1500</v>
      </c>
      <c r="G44" s="222">
        <v>1505</v>
      </c>
      <c r="H44" s="222">
        <v>5</v>
      </c>
      <c r="I44" s="207">
        <f t="shared" si="6"/>
        <v>200</v>
      </c>
      <c r="J44" s="161">
        <f t="shared" si="7"/>
        <v>1000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45014</v>
      </c>
      <c r="D45" s="161" t="s">
        <v>8</v>
      </c>
      <c r="E45" s="161" t="s">
        <v>95</v>
      </c>
      <c r="F45" s="222">
        <v>853</v>
      </c>
      <c r="G45" s="222">
        <v>848</v>
      </c>
      <c r="H45" s="222">
        <f>853-848</f>
        <v>5</v>
      </c>
      <c r="I45" s="207">
        <f t="shared" si="6"/>
        <v>351.69988276670574</v>
      </c>
      <c r="J45" s="161">
        <f t="shared" si="7"/>
        <v>1758.4994138335287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45016</v>
      </c>
      <c r="D46" s="161" t="s">
        <v>9</v>
      </c>
      <c r="E46" s="161" t="s">
        <v>95</v>
      </c>
      <c r="F46" s="222">
        <v>872</v>
      </c>
      <c r="G46" s="222">
        <v>878</v>
      </c>
      <c r="H46" s="222">
        <v>6</v>
      </c>
      <c r="I46" s="207">
        <f t="shared" si="6"/>
        <v>344.0366972477064</v>
      </c>
      <c r="J46" s="161">
        <f t="shared" si="7"/>
        <v>2064.2201834862385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45016</v>
      </c>
      <c r="D47" s="161" t="s">
        <v>8</v>
      </c>
      <c r="E47" s="161" t="s">
        <v>126</v>
      </c>
      <c r="F47" s="222">
        <v>3160</v>
      </c>
      <c r="G47" s="222">
        <v>3152</v>
      </c>
      <c r="H47" s="222">
        <f>3160-3152</f>
        <v>8</v>
      </c>
      <c r="I47" s="207">
        <f t="shared" si="6"/>
        <v>94.936708860759495</v>
      </c>
      <c r="J47" s="161">
        <f t="shared" si="7"/>
        <v>759.49367088607596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74790.544868420329</v>
      </c>
      <c r="K52" s="153"/>
      <c r="V52" s="25">
        <f>SUM(V6:V51)</f>
        <v>35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4125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44986</v>
      </c>
      <c r="D60" s="161" t="s">
        <v>9</v>
      </c>
      <c r="E60" s="161" t="s">
        <v>3436</v>
      </c>
      <c r="F60" s="222">
        <v>613</v>
      </c>
      <c r="G60" s="222">
        <v>617.5</v>
      </c>
      <c r="H60" s="222">
        <v>4.5</v>
      </c>
      <c r="I60" s="207">
        <v>875</v>
      </c>
      <c r="J60" s="241">
        <f t="shared" ref="J60:J85" si="14">I60*H60</f>
        <v>3937.5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44987</v>
      </c>
      <c r="D61" s="161" t="s">
        <v>8</v>
      </c>
      <c r="E61" s="161" t="s">
        <v>85</v>
      </c>
      <c r="F61" s="222">
        <v>749</v>
      </c>
      <c r="G61" s="222">
        <v>740.7</v>
      </c>
      <c r="H61" s="222">
        <f>749-740.7</f>
        <v>8.2999999999999545</v>
      </c>
      <c r="I61" s="207">
        <v>950</v>
      </c>
      <c r="J61" s="242">
        <f t="shared" si="14"/>
        <v>7884.9999999999563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44988</v>
      </c>
      <c r="D62" s="161" t="s">
        <v>8</v>
      </c>
      <c r="E62" s="161" t="s">
        <v>3443</v>
      </c>
      <c r="F62" s="222">
        <v>1828</v>
      </c>
      <c r="G62" s="222">
        <v>1822</v>
      </c>
      <c r="H62" s="222">
        <v>6</v>
      </c>
      <c r="I62" s="207">
        <v>250</v>
      </c>
      <c r="J62" s="242">
        <f t="shared" si="14"/>
        <v>1500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44991</v>
      </c>
      <c r="D63" s="161" t="s">
        <v>8</v>
      </c>
      <c r="E63" s="161" t="s">
        <v>112</v>
      </c>
      <c r="F63" s="222">
        <v>200</v>
      </c>
      <c r="G63" s="222">
        <v>196</v>
      </c>
      <c r="H63" s="222">
        <v>4</v>
      </c>
      <c r="I63" s="207">
        <v>3000</v>
      </c>
      <c r="J63" s="242">
        <f>I63*H63</f>
        <v>12000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44993</v>
      </c>
      <c r="D64" s="161" t="s">
        <v>9</v>
      </c>
      <c r="E64" s="161" t="s">
        <v>3343</v>
      </c>
      <c r="F64" s="222">
        <v>617</v>
      </c>
      <c r="G64" s="222">
        <v>625.4</v>
      </c>
      <c r="H64" s="222">
        <f>625.4-617</f>
        <v>8.3999999999999773</v>
      </c>
      <c r="I64" s="207">
        <v>1000</v>
      </c>
      <c r="J64" s="242">
        <f>I64*H64</f>
        <v>8399.9999999999782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44994</v>
      </c>
      <c r="D65" s="161" t="s">
        <v>8</v>
      </c>
      <c r="E65" s="161" t="s">
        <v>3063</v>
      </c>
      <c r="F65" s="222">
        <v>1118</v>
      </c>
      <c r="G65" s="222">
        <v>1098</v>
      </c>
      <c r="H65" s="222">
        <f>1118-1098</f>
        <v>20</v>
      </c>
      <c r="I65" s="207">
        <v>750</v>
      </c>
      <c r="J65" s="242">
        <f>I65*H65</f>
        <v>15000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44995</v>
      </c>
      <c r="D66" s="161" t="s">
        <v>8</v>
      </c>
      <c r="E66" s="161" t="s">
        <v>3063</v>
      </c>
      <c r="F66" s="222">
        <v>1090</v>
      </c>
      <c r="G66" s="222">
        <v>1086</v>
      </c>
      <c r="H66" s="222">
        <v>4</v>
      </c>
      <c r="I66" s="207">
        <v>750</v>
      </c>
      <c r="J66" s="242">
        <f t="shared" si="14"/>
        <v>3000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44998</v>
      </c>
      <c r="D67" s="161" t="s">
        <v>8</v>
      </c>
      <c r="E67" s="161" t="s">
        <v>3630</v>
      </c>
      <c r="F67" s="222">
        <v>305</v>
      </c>
      <c r="G67" s="222">
        <v>304</v>
      </c>
      <c r="H67" s="222">
        <v>1</v>
      </c>
      <c r="I67" s="207">
        <v>1100</v>
      </c>
      <c r="J67" s="242">
        <f>I67*H67</f>
        <v>1100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44998</v>
      </c>
      <c r="D68" s="161" t="s">
        <v>9</v>
      </c>
      <c r="E68" s="161" t="s">
        <v>3562</v>
      </c>
      <c r="F68" s="222">
        <v>2895</v>
      </c>
      <c r="G68" s="222">
        <v>2925</v>
      </c>
      <c r="H68" s="222">
        <v>30</v>
      </c>
      <c r="I68" s="207">
        <v>125</v>
      </c>
      <c r="J68" s="242">
        <f>I68*H68</f>
        <v>3750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44999</v>
      </c>
      <c r="D69" s="161" t="s">
        <v>9</v>
      </c>
      <c r="E69" s="161" t="s">
        <v>864</v>
      </c>
      <c r="F69" s="222">
        <v>2300</v>
      </c>
      <c r="G69" s="222">
        <v>2313</v>
      </c>
      <c r="H69" s="222">
        <v>13</v>
      </c>
      <c r="I69" s="207">
        <v>375</v>
      </c>
      <c r="J69" s="242">
        <f>I69*H69</f>
        <v>4875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45000</v>
      </c>
      <c r="D70" s="161" t="s">
        <v>9</v>
      </c>
      <c r="E70" s="161" t="s">
        <v>4139</v>
      </c>
      <c r="F70" s="161">
        <v>2330</v>
      </c>
      <c r="G70" s="222">
        <v>2347</v>
      </c>
      <c r="H70" s="222">
        <f>2347-2330</f>
        <v>17</v>
      </c>
      <c r="I70" s="207">
        <v>250</v>
      </c>
      <c r="J70" s="242">
        <f t="shared" si="14"/>
        <v>4250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45001</v>
      </c>
      <c r="D71" s="161" t="s">
        <v>9</v>
      </c>
      <c r="E71" s="161" t="s">
        <v>16</v>
      </c>
      <c r="F71" s="222">
        <v>2450</v>
      </c>
      <c r="G71" s="222">
        <v>2478</v>
      </c>
      <c r="H71" s="222">
        <f>2478-2450</f>
        <v>28</v>
      </c>
      <c r="I71" s="207">
        <v>375</v>
      </c>
      <c r="J71" s="242">
        <f t="shared" si="14"/>
        <v>10500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45002</v>
      </c>
      <c r="D72" s="161" t="s">
        <v>9</v>
      </c>
      <c r="E72" s="161" t="s">
        <v>3562</v>
      </c>
      <c r="F72" s="222">
        <v>2890</v>
      </c>
      <c r="G72" s="222">
        <v>2908</v>
      </c>
      <c r="H72" s="222">
        <f>2908-2890</f>
        <v>18</v>
      </c>
      <c r="I72" s="207">
        <v>125</v>
      </c>
      <c r="J72" s="242">
        <f t="shared" si="14"/>
        <v>2250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45005</v>
      </c>
      <c r="D73" s="161" t="s">
        <v>8</v>
      </c>
      <c r="E73" s="161" t="s">
        <v>4011</v>
      </c>
      <c r="F73" s="222">
        <v>1335</v>
      </c>
      <c r="G73" s="222">
        <v>1330</v>
      </c>
      <c r="H73" s="255">
        <v>5</v>
      </c>
      <c r="I73" s="207">
        <v>350</v>
      </c>
      <c r="J73" s="242">
        <f t="shared" si="14"/>
        <v>1750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45006</v>
      </c>
      <c r="D74" s="265" t="s">
        <v>8</v>
      </c>
      <c r="E74" s="265" t="s">
        <v>3515</v>
      </c>
      <c r="F74" s="277">
        <v>2615</v>
      </c>
      <c r="G74" s="267">
        <v>2610</v>
      </c>
      <c r="H74" s="222">
        <v>5</v>
      </c>
      <c r="I74" s="207">
        <v>300</v>
      </c>
      <c r="J74" s="242">
        <f t="shared" si="14"/>
        <v>1500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45007</v>
      </c>
      <c r="D75" s="265" t="s">
        <v>8</v>
      </c>
      <c r="E75" s="265" t="s">
        <v>796</v>
      </c>
      <c r="F75" s="277">
        <v>4270</v>
      </c>
      <c r="G75" s="267">
        <v>4220</v>
      </c>
      <c r="H75" s="222">
        <v>50</v>
      </c>
      <c r="I75" s="207">
        <v>125</v>
      </c>
      <c r="J75" s="242">
        <f t="shared" si="14"/>
        <v>6250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45008</v>
      </c>
      <c r="D76" s="161" t="s">
        <v>9</v>
      </c>
      <c r="E76" s="161" t="s">
        <v>2563</v>
      </c>
      <c r="F76" s="222">
        <v>1905</v>
      </c>
      <c r="G76" s="222">
        <v>1925</v>
      </c>
      <c r="H76" s="222">
        <f>1925-1905</f>
        <v>20</v>
      </c>
      <c r="I76" s="207">
        <v>300</v>
      </c>
      <c r="J76" s="242">
        <f t="shared" si="14"/>
        <v>6000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45009</v>
      </c>
      <c r="D77" s="161" t="s">
        <v>9</v>
      </c>
      <c r="E77" s="161" t="s">
        <v>2563</v>
      </c>
      <c r="F77" s="222">
        <v>1915</v>
      </c>
      <c r="G77" s="222">
        <v>1923.5</v>
      </c>
      <c r="H77" s="222">
        <f>1923.5-1915</f>
        <v>8.5</v>
      </c>
      <c r="I77" s="207">
        <v>300</v>
      </c>
      <c r="J77" s="242">
        <f t="shared" si="14"/>
        <v>2550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45012</v>
      </c>
      <c r="D78" s="161" t="s">
        <v>9</v>
      </c>
      <c r="E78" s="161" t="s">
        <v>3651</v>
      </c>
      <c r="F78" s="223">
        <v>1845</v>
      </c>
      <c r="G78" s="222">
        <v>1870</v>
      </c>
      <c r="H78" s="255">
        <f>1870-1845</f>
        <v>25</v>
      </c>
      <c r="I78" s="207">
        <v>500</v>
      </c>
      <c r="J78" s="242">
        <f t="shared" si="14"/>
        <v>12500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45013</v>
      </c>
      <c r="D79" s="161" t="s">
        <v>9</v>
      </c>
      <c r="E79" s="161" t="s">
        <v>4154</v>
      </c>
      <c r="F79" s="222">
        <v>982</v>
      </c>
      <c r="G79" s="222">
        <v>987</v>
      </c>
      <c r="H79" s="222">
        <v>5</v>
      </c>
      <c r="I79" s="207">
        <v>700</v>
      </c>
      <c r="J79" s="242">
        <f t="shared" si="14"/>
        <v>3500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45014</v>
      </c>
      <c r="D80" s="161" t="s">
        <v>9</v>
      </c>
      <c r="E80" s="161" t="s">
        <v>796</v>
      </c>
      <c r="F80" s="222">
        <v>4340</v>
      </c>
      <c r="G80" s="222">
        <v>4354</v>
      </c>
      <c r="H80" s="222">
        <v>14</v>
      </c>
      <c r="I80" s="207">
        <v>125</v>
      </c>
      <c r="J80" s="242">
        <f t="shared" si="14"/>
        <v>1750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45016</v>
      </c>
      <c r="D81" s="161" t="s">
        <v>9</v>
      </c>
      <c r="E81" s="161" t="s">
        <v>90</v>
      </c>
      <c r="F81" s="222">
        <v>1108</v>
      </c>
      <c r="G81" s="222">
        <v>1112</v>
      </c>
      <c r="H81" s="222">
        <v>4</v>
      </c>
      <c r="I81" s="207">
        <v>600</v>
      </c>
      <c r="J81" s="242">
        <f t="shared" si="14"/>
        <v>2400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116647.49999999994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4124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44986</v>
      </c>
      <c r="D94" s="185" t="s">
        <v>9</v>
      </c>
      <c r="E94" s="185" t="s">
        <v>39</v>
      </c>
      <c r="F94" s="219">
        <v>17480</v>
      </c>
      <c r="G94" s="219">
        <v>17545</v>
      </c>
      <c r="H94" s="185">
        <f>17545-17480</f>
        <v>65</v>
      </c>
      <c r="I94" s="219">
        <v>150</v>
      </c>
      <c r="J94" s="246">
        <f t="shared" ref="J94:J116" si="18">I94*H94</f>
        <v>9750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44987</v>
      </c>
      <c r="D95" s="185" t="s">
        <v>8</v>
      </c>
      <c r="E95" s="185" t="s">
        <v>39</v>
      </c>
      <c r="F95" s="219">
        <v>17440</v>
      </c>
      <c r="G95" s="219">
        <v>17383</v>
      </c>
      <c r="H95" s="185">
        <f>17440-17383</f>
        <v>57</v>
      </c>
      <c r="I95" s="219">
        <v>150</v>
      </c>
      <c r="J95" s="242">
        <f t="shared" si="18"/>
        <v>8550</v>
      </c>
      <c r="K95" s="153"/>
      <c r="V95" s="25">
        <f t="shared" ref="V95:V116" si="19">IF($J95&gt;0,1,0)</f>
        <v>1</v>
      </c>
      <c r="W95" s="25">
        <f t="shared" ref="W95:W116" si="20">IF($J95&lt;0,1,0)</f>
        <v>0</v>
      </c>
    </row>
    <row r="96" spans="1:23" x14ac:dyDescent="0.3">
      <c r="A96" s="147"/>
      <c r="B96" s="205">
        <f t="shared" ref="B96:B116" si="21">B95+1</f>
        <v>3</v>
      </c>
      <c r="C96" s="206">
        <v>44988</v>
      </c>
      <c r="D96" s="161" t="s">
        <v>9</v>
      </c>
      <c r="E96" s="161" t="s">
        <v>39</v>
      </c>
      <c r="F96" s="207">
        <v>17600</v>
      </c>
      <c r="G96" s="207">
        <v>17680</v>
      </c>
      <c r="H96" s="161"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44991</v>
      </c>
      <c r="D97" s="161" t="s">
        <v>9</v>
      </c>
      <c r="E97" s="161" t="s">
        <v>39</v>
      </c>
      <c r="F97" s="207">
        <v>17830</v>
      </c>
      <c r="G97" s="207">
        <v>17863</v>
      </c>
      <c r="H97" s="161">
        <f>17863-17830</f>
        <v>33</v>
      </c>
      <c r="I97" s="207">
        <v>150</v>
      </c>
      <c r="J97" s="242">
        <f t="shared" si="18"/>
        <v>4950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44993</v>
      </c>
      <c r="D98" s="161" t="s">
        <v>9</v>
      </c>
      <c r="E98" s="161" t="s">
        <v>39</v>
      </c>
      <c r="F98" s="207">
        <v>17740</v>
      </c>
      <c r="G98" s="207">
        <v>17765</v>
      </c>
      <c r="H98" s="161">
        <f>17765-17740</f>
        <v>25</v>
      </c>
      <c r="I98" s="207">
        <v>150</v>
      </c>
      <c r="J98" s="242">
        <f t="shared" si="18"/>
        <v>3750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44994</v>
      </c>
      <c r="D99" s="161" t="s">
        <v>8</v>
      </c>
      <c r="E99" s="161" t="s">
        <v>39</v>
      </c>
      <c r="F99" s="207">
        <v>17760</v>
      </c>
      <c r="G99" s="207">
        <v>17700</v>
      </c>
      <c r="H99" s="161">
        <v>60</v>
      </c>
      <c r="I99" s="207">
        <v>150</v>
      </c>
      <c r="J99" s="242">
        <f t="shared" si="18"/>
        <v>9000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44995</v>
      </c>
      <c r="D100" s="161" t="s">
        <v>8</v>
      </c>
      <c r="E100" s="161" t="s">
        <v>39</v>
      </c>
      <c r="F100" s="207">
        <v>17420</v>
      </c>
      <c r="G100" s="207">
        <v>17380</v>
      </c>
      <c r="H100" s="161">
        <f>17420-17380</f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44998</v>
      </c>
      <c r="D101" s="161" t="s">
        <v>8</v>
      </c>
      <c r="E101" s="161" t="s">
        <v>39</v>
      </c>
      <c r="F101" s="207">
        <v>17370</v>
      </c>
      <c r="G101" s="207">
        <v>17290</v>
      </c>
      <c r="H101" s="161">
        <f>17370-17290</f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44999</v>
      </c>
      <c r="D102" s="161" t="s">
        <v>8</v>
      </c>
      <c r="E102" s="161" t="s">
        <v>39</v>
      </c>
      <c r="F102" s="207">
        <v>17200</v>
      </c>
      <c r="G102" s="207">
        <v>17120</v>
      </c>
      <c r="H102" s="161"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45000</v>
      </c>
      <c r="D103" s="161" t="s">
        <v>8</v>
      </c>
      <c r="E103" s="161" t="s">
        <v>39</v>
      </c>
      <c r="F103" s="207">
        <v>17200</v>
      </c>
      <c r="G103" s="207">
        <v>17120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45001</v>
      </c>
      <c r="D104" s="161" t="s">
        <v>9</v>
      </c>
      <c r="E104" s="161" t="s">
        <v>39</v>
      </c>
      <c r="F104" s="207">
        <v>17050</v>
      </c>
      <c r="G104" s="207">
        <v>17105</v>
      </c>
      <c r="H104" s="161">
        <f>17105-17050</f>
        <v>55</v>
      </c>
      <c r="I104" s="207">
        <v>150</v>
      </c>
      <c r="J104" s="242">
        <f t="shared" si="18"/>
        <v>8250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45002</v>
      </c>
      <c r="D105" s="161" t="s">
        <v>8</v>
      </c>
      <c r="E105" s="161" t="s">
        <v>39</v>
      </c>
      <c r="F105" s="207">
        <v>17140</v>
      </c>
      <c r="G105" s="207">
        <v>17060</v>
      </c>
      <c r="H105" s="161">
        <v>80</v>
      </c>
      <c r="I105" s="207">
        <v>150</v>
      </c>
      <c r="J105" s="242">
        <f t="shared" si="18"/>
        <v>12000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45005</v>
      </c>
      <c r="D106" s="161" t="s">
        <v>8</v>
      </c>
      <c r="E106" s="161" t="s">
        <v>39</v>
      </c>
      <c r="F106" s="207">
        <v>16960</v>
      </c>
      <c r="G106" s="207">
        <v>16925</v>
      </c>
      <c r="H106" s="161">
        <f>16960-16925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45006</v>
      </c>
      <c r="D107" s="161" t="s">
        <v>8</v>
      </c>
      <c r="E107" s="161" t="s">
        <v>39</v>
      </c>
      <c r="F107" s="207">
        <v>17080</v>
      </c>
      <c r="G107" s="207">
        <v>17060</v>
      </c>
      <c r="H107" s="161">
        <v>20</v>
      </c>
      <c r="I107" s="207">
        <v>150</v>
      </c>
      <c r="J107" s="242">
        <f t="shared" si="18"/>
        <v>3000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45007</v>
      </c>
      <c r="D108" s="161" t="s">
        <v>8</v>
      </c>
      <c r="E108" s="161" t="s">
        <v>39</v>
      </c>
      <c r="F108" s="207">
        <v>17200</v>
      </c>
      <c r="G108" s="207">
        <v>17145</v>
      </c>
      <c r="H108" s="161">
        <f>17200-17145</f>
        <v>55</v>
      </c>
      <c r="I108" s="207">
        <v>150</v>
      </c>
      <c r="J108" s="242">
        <f t="shared" si="18"/>
        <v>8250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45008</v>
      </c>
      <c r="D109" s="161" t="s">
        <v>9</v>
      </c>
      <c r="E109" s="161" t="s">
        <v>39</v>
      </c>
      <c r="F109" s="207">
        <v>17170</v>
      </c>
      <c r="G109" s="207">
        <v>17225</v>
      </c>
      <c r="H109" s="161">
        <f>17225-17170</f>
        <v>55</v>
      </c>
      <c r="I109" s="207">
        <v>150</v>
      </c>
      <c r="J109" s="242">
        <f t="shared" si="18"/>
        <v>8250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45009</v>
      </c>
      <c r="D110" s="161" t="s">
        <v>8</v>
      </c>
      <c r="E110" s="161" t="s">
        <v>39</v>
      </c>
      <c r="F110" s="207">
        <v>17050</v>
      </c>
      <c r="G110" s="207">
        <v>17030</v>
      </c>
      <c r="H110" s="161">
        <v>20</v>
      </c>
      <c r="I110" s="207">
        <v>150</v>
      </c>
      <c r="J110" s="242">
        <f t="shared" si="18"/>
        <v>3000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45012</v>
      </c>
      <c r="D111" s="161" t="s">
        <v>9</v>
      </c>
      <c r="E111" s="161" t="s">
        <v>39</v>
      </c>
      <c r="F111" s="207">
        <v>17050</v>
      </c>
      <c r="G111" s="207">
        <v>17065</v>
      </c>
      <c r="H111" s="161">
        <v>15</v>
      </c>
      <c r="I111" s="207">
        <v>150</v>
      </c>
      <c r="J111" s="242">
        <f t="shared" si="18"/>
        <v>2250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45013</v>
      </c>
      <c r="D112" s="161" t="s">
        <v>8</v>
      </c>
      <c r="E112" s="161" t="s">
        <v>39</v>
      </c>
      <c r="F112" s="207">
        <v>17020</v>
      </c>
      <c r="G112" s="207">
        <v>17000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45014</v>
      </c>
      <c r="D113" s="161" t="s">
        <v>9</v>
      </c>
      <c r="E113" s="161" t="s">
        <v>39</v>
      </c>
      <c r="F113" s="207">
        <v>17020</v>
      </c>
      <c r="G113" s="207">
        <v>17050</v>
      </c>
      <c r="H113" s="161">
        <v>30</v>
      </c>
      <c r="I113" s="207">
        <v>150</v>
      </c>
      <c r="J113" s="242">
        <f t="shared" si="18"/>
        <v>4500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45016</v>
      </c>
      <c r="D114" s="161" t="s">
        <v>9</v>
      </c>
      <c r="E114" s="161" t="s">
        <v>39</v>
      </c>
      <c r="F114" s="207">
        <v>17370</v>
      </c>
      <c r="G114" s="207">
        <v>17335</v>
      </c>
      <c r="H114" s="161">
        <v>-35</v>
      </c>
      <c r="I114" s="207">
        <v>150</v>
      </c>
      <c r="J114" s="242">
        <f t="shared" si="18"/>
        <v>-5250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t="15" thickBot="1" x14ac:dyDescent="0.35">
      <c r="A116" s="147"/>
      <c r="B116" s="208">
        <f t="shared" si="2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142500</v>
      </c>
      <c r="K117" s="153"/>
      <c r="V117" s="25">
        <f>SUM(V94:V116)</f>
        <v>20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4126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44986</v>
      </c>
      <c r="D125" s="185" t="s">
        <v>9</v>
      </c>
      <c r="E125" s="185" t="s">
        <v>3462</v>
      </c>
      <c r="F125" s="219">
        <v>140</v>
      </c>
      <c r="G125" s="231">
        <v>174</v>
      </c>
      <c r="H125" s="231">
        <f>174-140</f>
        <v>34</v>
      </c>
      <c r="I125" s="219">
        <v>300</v>
      </c>
      <c r="J125" s="246">
        <f t="shared" ref="J125:J149" si="22">I125*H125</f>
        <v>10200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44987</v>
      </c>
      <c r="D126" s="185" t="s">
        <v>9</v>
      </c>
      <c r="E126" s="185" t="s">
        <v>1539</v>
      </c>
      <c r="F126" s="219">
        <v>135</v>
      </c>
      <c r="G126" s="219">
        <v>154</v>
      </c>
      <c r="H126" s="185">
        <f>154-135</f>
        <v>19</v>
      </c>
      <c r="I126" s="219">
        <v>300</v>
      </c>
      <c r="J126" s="242">
        <f t="shared" si="22"/>
        <v>5700</v>
      </c>
      <c r="K126" s="153"/>
      <c r="V126" s="25">
        <f t="shared" ref="V126:V149" si="23">IF($J126&gt;0,1,0)</f>
        <v>1</v>
      </c>
      <c r="W126" s="25">
        <f t="shared" ref="W126:W149" si="24">IF($J126&lt;0,1,0)</f>
        <v>0</v>
      </c>
    </row>
    <row r="127" spans="1:23" x14ac:dyDescent="0.3">
      <c r="A127" s="147"/>
      <c r="B127" s="205">
        <f>B126+1</f>
        <v>3</v>
      </c>
      <c r="C127" s="206">
        <v>44988</v>
      </c>
      <c r="D127" s="161" t="s">
        <v>9</v>
      </c>
      <c r="E127" s="161" t="s">
        <v>3486</v>
      </c>
      <c r="F127" s="207">
        <v>140</v>
      </c>
      <c r="G127" s="207">
        <v>190</v>
      </c>
      <c r="H127" s="161">
        <v>50</v>
      </c>
      <c r="I127" s="207">
        <v>300</v>
      </c>
      <c r="J127" s="242">
        <f t="shared" si="22"/>
        <v>15000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ref="B128:B149" si="25">B127+1</f>
        <v>4</v>
      </c>
      <c r="C128" s="206">
        <v>44991</v>
      </c>
      <c r="D128" s="161" t="s">
        <v>9</v>
      </c>
      <c r="E128" s="161" t="s">
        <v>3504</v>
      </c>
      <c r="F128" s="207">
        <v>145</v>
      </c>
      <c r="G128" s="207">
        <v>170</v>
      </c>
      <c r="H128" s="161">
        <f>170-145</f>
        <v>25</v>
      </c>
      <c r="I128" s="207">
        <v>300</v>
      </c>
      <c r="J128" s="242">
        <f t="shared" si="22"/>
        <v>7500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5</v>
      </c>
      <c r="C129" s="206">
        <v>44993</v>
      </c>
      <c r="D129" s="161" t="s">
        <v>9</v>
      </c>
      <c r="E129" s="161" t="s">
        <v>3490</v>
      </c>
      <c r="F129" s="207">
        <v>155</v>
      </c>
      <c r="G129" s="207">
        <v>172</v>
      </c>
      <c r="H129" s="161">
        <f>172-155</f>
        <v>17</v>
      </c>
      <c r="I129" s="207">
        <v>300</v>
      </c>
      <c r="J129" s="242">
        <f t="shared" si="22"/>
        <v>5100</v>
      </c>
      <c r="K129" s="153"/>
      <c r="M129" s="25" t="s">
        <v>2008</v>
      </c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6</v>
      </c>
      <c r="C130" s="206">
        <v>44994</v>
      </c>
      <c r="D130" s="161" t="s">
        <v>9</v>
      </c>
      <c r="E130" s="161" t="s">
        <v>1604</v>
      </c>
      <c r="F130" s="207">
        <v>125</v>
      </c>
      <c r="G130" s="222">
        <v>136</v>
      </c>
      <c r="H130" s="222">
        <f>136-125</f>
        <v>11</v>
      </c>
      <c r="I130" s="207">
        <v>300</v>
      </c>
      <c r="J130" s="242">
        <f t="shared" si="22"/>
        <v>3300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7</v>
      </c>
      <c r="C131" s="206">
        <v>44995</v>
      </c>
      <c r="D131" s="161" t="s">
        <v>9</v>
      </c>
      <c r="E131" s="161" t="s">
        <v>3907</v>
      </c>
      <c r="F131" s="207">
        <v>150</v>
      </c>
      <c r="G131" s="207">
        <v>175</v>
      </c>
      <c r="H131" s="161">
        <v>25</v>
      </c>
      <c r="I131" s="207">
        <v>300</v>
      </c>
      <c r="J131" s="242">
        <f t="shared" si="22"/>
        <v>7500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8</v>
      </c>
      <c r="C132" s="206">
        <v>44998</v>
      </c>
      <c r="D132" s="161" t="s">
        <v>9</v>
      </c>
      <c r="E132" s="161" t="s">
        <v>1539</v>
      </c>
      <c r="F132" s="207">
        <v>135</v>
      </c>
      <c r="G132" s="207">
        <v>185</v>
      </c>
      <c r="H132" s="161">
        <f>185-135</f>
        <v>50</v>
      </c>
      <c r="I132" s="207">
        <v>300</v>
      </c>
      <c r="J132" s="242">
        <f t="shared" si="22"/>
        <v>15000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9</v>
      </c>
      <c r="C133" s="206">
        <v>44999</v>
      </c>
      <c r="D133" s="161" t="s">
        <v>9</v>
      </c>
      <c r="E133" s="161" t="s">
        <v>3768</v>
      </c>
      <c r="F133" s="207">
        <v>135</v>
      </c>
      <c r="G133" s="222">
        <v>150</v>
      </c>
      <c r="H133" s="161">
        <f>150-135</f>
        <v>15</v>
      </c>
      <c r="I133" s="207">
        <v>300</v>
      </c>
      <c r="J133" s="242">
        <f t="shared" si="22"/>
        <v>4500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10</v>
      </c>
      <c r="C134" s="206">
        <v>45000</v>
      </c>
      <c r="D134" s="161" t="s">
        <v>9</v>
      </c>
      <c r="E134" s="161" t="s">
        <v>3623</v>
      </c>
      <c r="F134" s="207">
        <v>135</v>
      </c>
      <c r="G134" s="222">
        <v>185</v>
      </c>
      <c r="H134" s="222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11</v>
      </c>
      <c r="C135" s="206">
        <v>45001</v>
      </c>
      <c r="D135" s="161" t="s">
        <v>9</v>
      </c>
      <c r="E135" s="161" t="s">
        <v>3768</v>
      </c>
      <c r="F135" s="207">
        <v>150</v>
      </c>
      <c r="G135" s="222">
        <v>200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12</v>
      </c>
      <c r="C136" s="206">
        <v>45002</v>
      </c>
      <c r="D136" s="161" t="s">
        <v>9</v>
      </c>
      <c r="E136" s="161" t="s">
        <v>3744</v>
      </c>
      <c r="F136" s="207">
        <v>135</v>
      </c>
      <c r="G136" s="222">
        <v>185</v>
      </c>
      <c r="H136" s="222">
        <v>50</v>
      </c>
      <c r="I136" s="207">
        <v>300</v>
      </c>
      <c r="J136" s="242">
        <f t="shared" si="22"/>
        <v>15000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13</v>
      </c>
      <c r="C137" s="206">
        <v>45005</v>
      </c>
      <c r="D137" s="161" t="s">
        <v>9</v>
      </c>
      <c r="E137" s="161" t="s">
        <v>3634</v>
      </c>
      <c r="F137" s="207">
        <v>135</v>
      </c>
      <c r="G137" s="207">
        <v>152</v>
      </c>
      <c r="H137" s="161">
        <f>152-135</f>
        <v>17</v>
      </c>
      <c r="I137" s="207">
        <v>300</v>
      </c>
      <c r="J137" s="242">
        <f t="shared" si="22"/>
        <v>5100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14</v>
      </c>
      <c r="C138" s="206">
        <v>45006</v>
      </c>
      <c r="D138" s="161" t="s">
        <v>9</v>
      </c>
      <c r="E138" s="161" t="s">
        <v>3768</v>
      </c>
      <c r="F138" s="207">
        <v>140</v>
      </c>
      <c r="G138" s="207">
        <v>165</v>
      </c>
      <c r="H138" s="161">
        <v>25</v>
      </c>
      <c r="I138" s="207">
        <v>300</v>
      </c>
      <c r="J138" s="242">
        <f t="shared" si="22"/>
        <v>7500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5"/>
        <v>15</v>
      </c>
      <c r="C139" s="206">
        <v>45007</v>
      </c>
      <c r="D139" s="161" t="s">
        <v>9</v>
      </c>
      <c r="E139" s="161" t="s">
        <v>3623</v>
      </c>
      <c r="F139" s="207">
        <v>130</v>
      </c>
      <c r="G139" s="207">
        <v>155</v>
      </c>
      <c r="H139" s="161">
        <v>25</v>
      </c>
      <c r="I139" s="207">
        <v>300</v>
      </c>
      <c r="J139" s="242">
        <f t="shared" si="22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16</v>
      </c>
      <c r="C140" s="206">
        <v>45008</v>
      </c>
      <c r="D140" s="161" t="s">
        <v>9</v>
      </c>
      <c r="E140" s="161" t="s">
        <v>3633</v>
      </c>
      <c r="F140" s="207">
        <v>155</v>
      </c>
      <c r="G140" s="207">
        <v>205</v>
      </c>
      <c r="H140" s="161">
        <f>205-155</f>
        <v>50</v>
      </c>
      <c r="I140" s="207">
        <v>300</v>
      </c>
      <c r="J140" s="242">
        <f t="shared" si="22"/>
        <v>15000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17</v>
      </c>
      <c r="C141" s="206">
        <v>45009</v>
      </c>
      <c r="D141" s="161" t="s">
        <v>9</v>
      </c>
      <c r="E141" s="161" t="s">
        <v>3458</v>
      </c>
      <c r="F141" s="207">
        <v>135</v>
      </c>
      <c r="G141" s="207">
        <v>145</v>
      </c>
      <c r="H141" s="161">
        <v>10</v>
      </c>
      <c r="I141" s="207">
        <v>300</v>
      </c>
      <c r="J141" s="242">
        <f t="shared" si="22"/>
        <v>3000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18</v>
      </c>
      <c r="C142" s="206">
        <v>45009</v>
      </c>
      <c r="D142" s="161" t="s">
        <v>9</v>
      </c>
      <c r="E142" s="161" t="s">
        <v>3458</v>
      </c>
      <c r="F142" s="207">
        <v>130</v>
      </c>
      <c r="G142" s="222">
        <v>180</v>
      </c>
      <c r="H142" s="222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19</v>
      </c>
      <c r="C143" s="206">
        <v>45012</v>
      </c>
      <c r="D143" s="161" t="s">
        <v>9</v>
      </c>
      <c r="E143" s="161" t="s">
        <v>3744</v>
      </c>
      <c r="F143" s="207">
        <v>140</v>
      </c>
      <c r="G143" s="222">
        <v>158</v>
      </c>
      <c r="H143" s="222">
        <v>18</v>
      </c>
      <c r="I143" s="207">
        <v>300</v>
      </c>
      <c r="J143" s="242">
        <f t="shared" si="22"/>
        <v>5400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20</v>
      </c>
      <c r="C144" s="206">
        <v>45013</v>
      </c>
      <c r="D144" s="161" t="s">
        <v>9</v>
      </c>
      <c r="E144" s="161" t="s">
        <v>3744</v>
      </c>
      <c r="F144" s="207">
        <v>145</v>
      </c>
      <c r="G144" s="222">
        <v>155</v>
      </c>
      <c r="H144" s="222">
        <v>10</v>
      </c>
      <c r="I144" s="207">
        <v>300</v>
      </c>
      <c r="J144" s="242">
        <f t="shared" si="22"/>
        <v>3000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21</v>
      </c>
      <c r="C145" s="206">
        <v>45014</v>
      </c>
      <c r="D145" s="161" t="s">
        <v>9</v>
      </c>
      <c r="E145" s="161" t="s">
        <v>1388</v>
      </c>
      <c r="F145" s="207">
        <v>125</v>
      </c>
      <c r="G145" s="222">
        <v>150</v>
      </c>
      <c r="H145" s="222"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22</v>
      </c>
      <c r="C146" s="206">
        <v>45016</v>
      </c>
      <c r="D146" s="161" t="s">
        <v>9</v>
      </c>
      <c r="E146" s="161" t="s">
        <v>1492</v>
      </c>
      <c r="F146" s="207">
        <v>125</v>
      </c>
      <c r="G146" s="222">
        <v>100</v>
      </c>
      <c r="H146" s="222">
        <v>-25</v>
      </c>
      <c r="I146" s="207">
        <v>300</v>
      </c>
      <c r="J146" s="242">
        <f t="shared" si="22"/>
        <v>-7500</v>
      </c>
      <c r="K146" s="153"/>
      <c r="V146" s="25">
        <f t="shared" si="23"/>
        <v>0</v>
      </c>
      <c r="W146" s="25">
        <f t="shared" si="24"/>
        <v>1</v>
      </c>
    </row>
    <row r="147" spans="1:23" x14ac:dyDescent="0.3">
      <c r="A147" s="147"/>
      <c r="B147" s="205">
        <f t="shared" si="25"/>
        <v>23</v>
      </c>
      <c r="C147" s="206">
        <v>45016</v>
      </c>
      <c r="D147" s="161" t="s">
        <v>9</v>
      </c>
      <c r="E147" s="161" t="s">
        <v>3462</v>
      </c>
      <c r="F147" s="207">
        <v>135</v>
      </c>
      <c r="G147" s="222">
        <v>158</v>
      </c>
      <c r="H147" s="161">
        <f>158-135</f>
        <v>23</v>
      </c>
      <c r="I147" s="207">
        <v>300</v>
      </c>
      <c r="J147" s="242">
        <f t="shared" si="22"/>
        <v>6900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t="15" thickBot="1" x14ac:dyDescent="0.35">
      <c r="A149" s="147"/>
      <c r="B149" s="205">
        <f t="shared" si="2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187200</v>
      </c>
      <c r="K150" s="153"/>
      <c r="V150" s="25">
        <f>SUM(V125:V149)</f>
        <v>22</v>
      </c>
      <c r="W150" s="25">
        <f>SUM(W125:W149)</f>
        <v>1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4124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44986</v>
      </c>
      <c r="D158" s="185" t="s">
        <v>9</v>
      </c>
      <c r="E158" s="185" t="s">
        <v>301</v>
      </c>
      <c r="F158" s="219">
        <v>40700</v>
      </c>
      <c r="G158" s="231">
        <v>40899</v>
      </c>
      <c r="H158" s="185">
        <f>40899-40700</f>
        <v>199</v>
      </c>
      <c r="I158" s="219">
        <v>50</v>
      </c>
      <c r="J158" s="246">
        <f t="shared" ref="J158:J180" si="26">I158*H158</f>
        <v>9950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44987</v>
      </c>
      <c r="D159" s="185" t="s">
        <v>8</v>
      </c>
      <c r="E159" s="185" t="s">
        <v>301</v>
      </c>
      <c r="F159" s="219">
        <v>40850</v>
      </c>
      <c r="G159" s="219">
        <v>40645</v>
      </c>
      <c r="H159" s="185">
        <f>40850-40645</f>
        <v>205</v>
      </c>
      <c r="I159" s="219">
        <v>50</v>
      </c>
      <c r="J159" s="242">
        <f t="shared" si="26"/>
        <v>10250</v>
      </c>
      <c r="K159" s="153"/>
      <c r="V159" s="25">
        <f t="shared" ref="V159:V180" si="27">IF($J159&gt;0,1,0)</f>
        <v>1</v>
      </c>
      <c r="W159" s="25">
        <f t="shared" ref="W159:W180" si="28">IF($J159&lt;0,1,0)</f>
        <v>0</v>
      </c>
    </row>
    <row r="160" spans="1:23" x14ac:dyDescent="0.3">
      <c r="A160" s="147"/>
      <c r="B160" s="205">
        <f t="shared" ref="B160:B180" si="29">B159+1</f>
        <v>3</v>
      </c>
      <c r="C160" s="206">
        <v>44988</v>
      </c>
      <c r="D160" s="161" t="s">
        <v>9</v>
      </c>
      <c r="E160" s="161" t="s">
        <v>301</v>
      </c>
      <c r="F160" s="207">
        <v>41250</v>
      </c>
      <c r="G160" s="207">
        <v>41550</v>
      </c>
      <c r="H160" s="161">
        <v>300</v>
      </c>
      <c r="I160" s="207">
        <v>50</v>
      </c>
      <c r="J160" s="242">
        <f t="shared" si="26"/>
        <v>15000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4</v>
      </c>
      <c r="C161" s="206">
        <v>44991</v>
      </c>
      <c r="D161" s="161" t="s">
        <v>9</v>
      </c>
      <c r="E161" s="161" t="s">
        <v>301</v>
      </c>
      <c r="F161" s="207">
        <v>41700</v>
      </c>
      <c r="G161" s="207">
        <v>41795</v>
      </c>
      <c r="H161" s="161">
        <v>95</v>
      </c>
      <c r="I161" s="207">
        <v>50</v>
      </c>
      <c r="J161" s="242">
        <f t="shared" si="26"/>
        <v>4750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5</v>
      </c>
      <c r="C162" s="206">
        <v>44993</v>
      </c>
      <c r="D162" s="161" t="s">
        <v>9</v>
      </c>
      <c r="E162" s="161" t="s">
        <v>301</v>
      </c>
      <c r="F162" s="207">
        <v>41400</v>
      </c>
      <c r="G162" s="207">
        <v>41590</v>
      </c>
      <c r="H162" s="161">
        <v>190</v>
      </c>
      <c r="I162" s="207">
        <v>50</v>
      </c>
      <c r="J162" s="242">
        <f t="shared" si="26"/>
        <v>9500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6</v>
      </c>
      <c r="C163" s="206">
        <v>44994</v>
      </c>
      <c r="D163" s="161" t="s">
        <v>8</v>
      </c>
      <c r="E163" s="161" t="s">
        <v>301</v>
      </c>
      <c r="F163" s="207">
        <v>41600</v>
      </c>
      <c r="G163" s="207">
        <v>41540</v>
      </c>
      <c r="H163" s="161">
        <f>41600-41540</f>
        <v>60</v>
      </c>
      <c r="I163" s="207">
        <v>50</v>
      </c>
      <c r="J163" s="242">
        <f t="shared" si="26"/>
        <v>3000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7</v>
      </c>
      <c r="C164" s="206">
        <v>44995</v>
      </c>
      <c r="D164" s="161" t="s">
        <v>8</v>
      </c>
      <c r="E164" s="161" t="s">
        <v>301</v>
      </c>
      <c r="F164" s="207">
        <v>40600</v>
      </c>
      <c r="G164" s="207">
        <v>40520</v>
      </c>
      <c r="H164" s="161">
        <f>40600-40520</f>
        <v>80</v>
      </c>
      <c r="I164" s="207">
        <v>50</v>
      </c>
      <c r="J164" s="242">
        <f t="shared" si="26"/>
        <v>4000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8</v>
      </c>
      <c r="C165" s="206">
        <v>44998</v>
      </c>
      <c r="D165" s="161" t="s">
        <v>9</v>
      </c>
      <c r="E165" s="161" t="s">
        <v>301</v>
      </c>
      <c r="F165" s="207">
        <v>40650</v>
      </c>
      <c r="G165" s="207">
        <v>40700</v>
      </c>
      <c r="H165" s="161">
        <v>50</v>
      </c>
      <c r="I165" s="207">
        <v>50</v>
      </c>
      <c r="J165" s="242">
        <f t="shared" si="26"/>
        <v>2500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9</v>
      </c>
      <c r="C166" s="206">
        <v>44999</v>
      </c>
      <c r="D166" s="161" t="s">
        <v>8</v>
      </c>
      <c r="E166" s="161" t="s">
        <v>301</v>
      </c>
      <c r="F166" s="207">
        <v>39700</v>
      </c>
      <c r="G166" s="207">
        <v>39400</v>
      </c>
      <c r="H166" s="161">
        <v>300</v>
      </c>
      <c r="I166" s="207">
        <v>50</v>
      </c>
      <c r="J166" s="242">
        <f t="shared" si="26"/>
        <v>15000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10</v>
      </c>
      <c r="C167" s="206">
        <v>45000</v>
      </c>
      <c r="D167" s="161" t="s">
        <v>8</v>
      </c>
      <c r="E167" s="161" t="s">
        <v>301</v>
      </c>
      <c r="F167" s="207">
        <v>39850</v>
      </c>
      <c r="G167" s="207">
        <v>39550</v>
      </c>
      <c r="H167" s="161">
        <v>300</v>
      </c>
      <c r="I167" s="207">
        <v>50</v>
      </c>
      <c r="J167" s="242">
        <f t="shared" si="26"/>
        <v>15000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11</v>
      </c>
      <c r="C168" s="206">
        <v>45001</v>
      </c>
      <c r="D168" s="161" t="s">
        <v>8</v>
      </c>
      <c r="E168" s="161" t="s">
        <v>301</v>
      </c>
      <c r="F168" s="207">
        <v>38900</v>
      </c>
      <c r="G168" s="207">
        <v>38850</v>
      </c>
      <c r="H168" s="161">
        <v>50</v>
      </c>
      <c r="I168" s="207">
        <v>50</v>
      </c>
      <c r="J168" s="242">
        <f t="shared" si="26"/>
        <v>2500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12</v>
      </c>
      <c r="C169" s="206">
        <v>45002</v>
      </c>
      <c r="D169" s="161" t="s">
        <v>8</v>
      </c>
      <c r="E169" s="161" t="s">
        <v>301</v>
      </c>
      <c r="F169" s="207">
        <v>39500</v>
      </c>
      <c r="G169" s="207">
        <v>39200</v>
      </c>
      <c r="H169" s="161">
        <v>300</v>
      </c>
      <c r="I169" s="207">
        <v>50</v>
      </c>
      <c r="J169" s="242">
        <f t="shared" si="26"/>
        <v>15000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13</v>
      </c>
      <c r="C170" s="206">
        <v>45005</v>
      </c>
      <c r="D170" s="161" t="s">
        <v>8</v>
      </c>
      <c r="E170" s="161" t="s">
        <v>301</v>
      </c>
      <c r="F170" s="207">
        <v>39300</v>
      </c>
      <c r="G170" s="207">
        <v>39195</v>
      </c>
      <c r="H170" s="161">
        <f>39300-39195</f>
        <v>105</v>
      </c>
      <c r="I170" s="207">
        <v>50</v>
      </c>
      <c r="J170" s="242">
        <f t="shared" si="26"/>
        <v>5250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14</v>
      </c>
      <c r="C171" s="206">
        <v>45006</v>
      </c>
      <c r="D171" s="161" t="s">
        <v>8</v>
      </c>
      <c r="E171" s="161" t="s">
        <v>301</v>
      </c>
      <c r="F171" s="207">
        <v>39550</v>
      </c>
      <c r="G171" s="207">
        <v>39500</v>
      </c>
      <c r="H171" s="161">
        <v>50</v>
      </c>
      <c r="I171" s="207">
        <v>50</v>
      </c>
      <c r="J171" s="242">
        <f t="shared" si="26"/>
        <v>2500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15</v>
      </c>
      <c r="C172" s="206">
        <v>45007</v>
      </c>
      <c r="D172" s="161" t="s">
        <v>8</v>
      </c>
      <c r="E172" s="161" t="s">
        <v>301</v>
      </c>
      <c r="F172" s="207">
        <v>40050</v>
      </c>
      <c r="G172" s="207">
        <v>40010</v>
      </c>
      <c r="H172" s="161">
        <v>40</v>
      </c>
      <c r="I172" s="207">
        <v>50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16</v>
      </c>
      <c r="C173" s="206">
        <v>45008</v>
      </c>
      <c r="D173" s="161" t="s">
        <v>8</v>
      </c>
      <c r="E173" s="161" t="s">
        <v>301</v>
      </c>
      <c r="F173" s="207">
        <v>40100</v>
      </c>
      <c r="G173" s="207">
        <v>40250</v>
      </c>
      <c r="H173" s="161">
        <v>150</v>
      </c>
      <c r="I173" s="207">
        <v>50</v>
      </c>
      <c r="J173" s="242">
        <f t="shared" si="26"/>
        <v>7500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17</v>
      </c>
      <c r="C174" s="206">
        <v>45009</v>
      </c>
      <c r="D174" s="161" t="s">
        <v>8</v>
      </c>
      <c r="E174" s="161" t="s">
        <v>301</v>
      </c>
      <c r="F174" s="207">
        <v>39600</v>
      </c>
      <c r="G174" s="207">
        <v>39545</v>
      </c>
      <c r="H174" s="161">
        <f>39600-39545</f>
        <v>55</v>
      </c>
      <c r="I174" s="207">
        <v>50</v>
      </c>
      <c r="J174" s="242">
        <f t="shared" si="26"/>
        <v>2750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18</v>
      </c>
      <c r="C175" s="206">
        <v>45012</v>
      </c>
      <c r="D175" s="161" t="s">
        <v>8</v>
      </c>
      <c r="E175" s="161" t="s">
        <v>301</v>
      </c>
      <c r="F175" s="207">
        <v>39450</v>
      </c>
      <c r="G175" s="207">
        <v>39340</v>
      </c>
      <c r="H175" s="161">
        <f>39450-39340</f>
        <v>110</v>
      </c>
      <c r="I175" s="207">
        <v>50</v>
      </c>
      <c r="J175" s="242">
        <f t="shared" si="26"/>
        <v>5500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19</v>
      </c>
      <c r="C176" s="206">
        <v>45013</v>
      </c>
      <c r="D176" s="161" t="s">
        <v>8</v>
      </c>
      <c r="E176" s="161" t="s">
        <v>301</v>
      </c>
      <c r="F176" s="207">
        <v>39500</v>
      </c>
      <c r="G176" s="207">
        <v>39400</v>
      </c>
      <c r="H176" s="161">
        <v>100</v>
      </c>
      <c r="I176" s="207">
        <v>50</v>
      </c>
      <c r="J176" s="242">
        <f t="shared" si="26"/>
        <v>5000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20</v>
      </c>
      <c r="C177" s="206">
        <v>45014</v>
      </c>
      <c r="D177" s="161" t="s">
        <v>9</v>
      </c>
      <c r="E177" s="161" t="s">
        <v>301</v>
      </c>
      <c r="F177" s="207">
        <v>39700</v>
      </c>
      <c r="G177" s="207">
        <v>39910</v>
      </c>
      <c r="H177" s="161">
        <f>39910-39700</f>
        <v>210</v>
      </c>
      <c r="I177" s="207">
        <v>50</v>
      </c>
      <c r="J177" s="242">
        <f t="shared" si="26"/>
        <v>10500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21</v>
      </c>
      <c r="C178" s="206">
        <v>45016</v>
      </c>
      <c r="D178" s="161" t="s">
        <v>9</v>
      </c>
      <c r="E178" s="161" t="s">
        <v>301</v>
      </c>
      <c r="F178" s="207">
        <v>40750</v>
      </c>
      <c r="G178" s="207">
        <v>40650</v>
      </c>
      <c r="H178" s="161">
        <v>-100</v>
      </c>
      <c r="I178" s="207">
        <v>50</v>
      </c>
      <c r="J178" s="242">
        <f t="shared" si="26"/>
        <v>-5000</v>
      </c>
      <c r="K178" s="153"/>
      <c r="V178" s="25">
        <f t="shared" si="27"/>
        <v>0</v>
      </c>
      <c r="W178" s="25">
        <f t="shared" si="28"/>
        <v>1</v>
      </c>
    </row>
    <row r="179" spans="1:23" x14ac:dyDescent="0.3">
      <c r="A179" s="147"/>
      <c r="B179" s="205">
        <f t="shared" si="2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ht="15" thickBot="1" x14ac:dyDescent="0.35">
      <c r="A180" s="147"/>
      <c r="B180" s="208">
        <f t="shared" si="2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142450</v>
      </c>
      <c r="K181" s="153"/>
      <c r="V181" s="25">
        <f>SUM(V158:V180)</f>
        <v>20</v>
      </c>
      <c r="W181" s="25">
        <f>SUM(W158:W180)</f>
        <v>1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4126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44986</v>
      </c>
      <c r="D189" s="185" t="s">
        <v>9</v>
      </c>
      <c r="E189" s="185" t="s">
        <v>4127</v>
      </c>
      <c r="F189" s="219">
        <v>330</v>
      </c>
      <c r="G189" s="219">
        <v>430</v>
      </c>
      <c r="H189" s="185">
        <v>100</v>
      </c>
      <c r="I189" s="219">
        <v>100</v>
      </c>
      <c r="J189" s="246">
        <f t="shared" ref="J189:J212" si="30">I189*H189</f>
        <v>10000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44987</v>
      </c>
      <c r="D190" s="185" t="s">
        <v>9</v>
      </c>
      <c r="E190" s="185" t="s">
        <v>4113</v>
      </c>
      <c r="F190" s="219">
        <v>360</v>
      </c>
      <c r="G190" s="219">
        <v>560</v>
      </c>
      <c r="H190" s="185">
        <v>200</v>
      </c>
      <c r="I190" s="219">
        <v>100</v>
      </c>
      <c r="J190" s="242">
        <f t="shared" si="30"/>
        <v>20000</v>
      </c>
      <c r="K190" s="153"/>
      <c r="V190" s="25">
        <f t="shared" ref="V190:V212" si="31">IF($J190&gt;0,1,0)</f>
        <v>1</v>
      </c>
      <c r="W190" s="25">
        <f t="shared" ref="W190:W212" si="32">IF($J190&lt;0,1,0)</f>
        <v>0</v>
      </c>
    </row>
    <row r="191" spans="1:23" x14ac:dyDescent="0.3">
      <c r="A191" s="147"/>
      <c r="B191" s="205">
        <f t="shared" ref="B191:B210" si="33">B190+1</f>
        <v>3</v>
      </c>
      <c r="C191" s="206">
        <v>44988</v>
      </c>
      <c r="D191" s="161" t="s">
        <v>9</v>
      </c>
      <c r="E191" s="161" t="s">
        <v>3549</v>
      </c>
      <c r="F191" s="207">
        <v>390</v>
      </c>
      <c r="G191" s="207">
        <v>590</v>
      </c>
      <c r="H191" s="161">
        <v>200</v>
      </c>
      <c r="I191" s="207">
        <v>100</v>
      </c>
      <c r="J191" s="242">
        <f t="shared" si="30"/>
        <v>20000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4</v>
      </c>
      <c r="C192" s="206">
        <v>44991</v>
      </c>
      <c r="D192" s="161" t="s">
        <v>9</v>
      </c>
      <c r="E192" s="161" t="s">
        <v>3975</v>
      </c>
      <c r="F192" s="207">
        <v>350</v>
      </c>
      <c r="G192" s="207">
        <v>395</v>
      </c>
      <c r="H192" s="161">
        <f>395-350</f>
        <v>45</v>
      </c>
      <c r="I192" s="207">
        <v>100</v>
      </c>
      <c r="J192" s="242">
        <f t="shared" si="30"/>
        <v>4500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5</v>
      </c>
      <c r="C193" s="206">
        <v>44993</v>
      </c>
      <c r="D193" s="161" t="s">
        <v>9</v>
      </c>
      <c r="E193" s="161" t="s">
        <v>3928</v>
      </c>
      <c r="F193" s="207">
        <v>240</v>
      </c>
      <c r="G193" s="207">
        <v>417</v>
      </c>
      <c r="H193" s="161">
        <f>417-240</f>
        <v>177</v>
      </c>
      <c r="I193" s="207">
        <v>100</v>
      </c>
      <c r="J193" s="242">
        <f t="shared" si="30"/>
        <v>17700</v>
      </c>
      <c r="K193" s="153"/>
      <c r="O193" s="25" t="s">
        <v>2008</v>
      </c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6</v>
      </c>
      <c r="C194" s="206">
        <v>44994</v>
      </c>
      <c r="D194" s="161" t="s">
        <v>9</v>
      </c>
      <c r="E194" s="161" t="s">
        <v>3984</v>
      </c>
      <c r="F194" s="207">
        <v>340</v>
      </c>
      <c r="G194" s="207">
        <v>540</v>
      </c>
      <c r="H194" s="161">
        <v>200</v>
      </c>
      <c r="I194" s="207">
        <v>100</v>
      </c>
      <c r="J194" s="242">
        <f t="shared" si="30"/>
        <v>20000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7</v>
      </c>
      <c r="C195" s="206">
        <v>44995</v>
      </c>
      <c r="D195" s="161" t="s">
        <v>9</v>
      </c>
      <c r="E195" s="161" t="s">
        <v>4089</v>
      </c>
      <c r="F195" s="207">
        <v>350</v>
      </c>
      <c r="G195" s="207">
        <v>500</v>
      </c>
      <c r="H195" s="161">
        <f>500-350</f>
        <v>150</v>
      </c>
      <c r="I195" s="207">
        <v>100</v>
      </c>
      <c r="J195" s="242">
        <f t="shared" si="30"/>
        <v>15000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8</v>
      </c>
      <c r="C196" s="206">
        <v>44998</v>
      </c>
      <c r="D196" s="161" t="s">
        <v>9</v>
      </c>
      <c r="E196" s="161" t="s">
        <v>4137</v>
      </c>
      <c r="F196" s="207">
        <v>330</v>
      </c>
      <c r="G196" s="207">
        <v>530</v>
      </c>
      <c r="H196" s="161">
        <v>200</v>
      </c>
      <c r="I196" s="207">
        <v>100</v>
      </c>
      <c r="J196" s="242">
        <f t="shared" si="30"/>
        <v>20000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9</v>
      </c>
      <c r="C197" s="206">
        <v>44999</v>
      </c>
      <c r="D197" s="161" t="s">
        <v>9</v>
      </c>
      <c r="E197" s="161" t="s">
        <v>3681</v>
      </c>
      <c r="F197" s="207">
        <v>300</v>
      </c>
      <c r="G197" s="207">
        <v>400</v>
      </c>
      <c r="H197" s="161">
        <v>100</v>
      </c>
      <c r="I197" s="207">
        <v>100</v>
      </c>
      <c r="J197" s="242">
        <f t="shared" si="30"/>
        <v>10000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10</v>
      </c>
      <c r="C198" s="206">
        <v>45000</v>
      </c>
      <c r="D198" s="161" t="s">
        <v>9</v>
      </c>
      <c r="E198" s="161" t="s">
        <v>4140</v>
      </c>
      <c r="F198" s="207">
        <v>320</v>
      </c>
      <c r="G198" s="207">
        <v>520</v>
      </c>
      <c r="H198" s="161">
        <v>200</v>
      </c>
      <c r="I198" s="207">
        <v>100</v>
      </c>
      <c r="J198" s="242">
        <f t="shared" si="30"/>
        <v>20000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11</v>
      </c>
      <c r="C199" s="206">
        <v>45001</v>
      </c>
      <c r="D199" s="161" t="s">
        <v>9</v>
      </c>
      <c r="E199" s="161" t="s">
        <v>4142</v>
      </c>
      <c r="F199" s="207">
        <v>300</v>
      </c>
      <c r="G199" s="207">
        <v>450</v>
      </c>
      <c r="H199" s="161">
        <v>150</v>
      </c>
      <c r="I199" s="207">
        <v>100</v>
      </c>
      <c r="J199" s="242">
        <f t="shared" si="30"/>
        <v>15000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12</v>
      </c>
      <c r="C200" s="206">
        <v>45002</v>
      </c>
      <c r="D200" s="161" t="s">
        <v>9</v>
      </c>
      <c r="E200" s="161" t="s">
        <v>4142</v>
      </c>
      <c r="F200" s="207">
        <v>340</v>
      </c>
      <c r="G200" s="207">
        <v>500</v>
      </c>
      <c r="H200" s="161">
        <f>500-340</f>
        <v>160</v>
      </c>
      <c r="I200" s="207">
        <v>100</v>
      </c>
      <c r="J200" s="242">
        <f t="shared" si="30"/>
        <v>16000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13</v>
      </c>
      <c r="C201" s="206">
        <v>45005</v>
      </c>
      <c r="D201" s="161" t="s">
        <v>9</v>
      </c>
      <c r="E201" s="161" t="s">
        <v>4145</v>
      </c>
      <c r="F201" s="207">
        <v>350</v>
      </c>
      <c r="G201" s="207">
        <v>250</v>
      </c>
      <c r="H201" s="161">
        <v>-100</v>
      </c>
      <c r="I201" s="207">
        <v>100</v>
      </c>
      <c r="J201" s="242">
        <f t="shared" si="30"/>
        <v>-10000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14</v>
      </c>
      <c r="C202" s="206">
        <v>45005</v>
      </c>
      <c r="D202" s="161" t="s">
        <v>9</v>
      </c>
      <c r="E202" s="161" t="s">
        <v>3948</v>
      </c>
      <c r="F202" s="207">
        <v>310</v>
      </c>
      <c r="G202" s="222">
        <v>410</v>
      </c>
      <c r="H202" s="161">
        <v>100</v>
      </c>
      <c r="I202" s="207">
        <v>100</v>
      </c>
      <c r="J202" s="242">
        <f t="shared" si="30"/>
        <v>10000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15</v>
      </c>
      <c r="C203" s="206">
        <v>45006</v>
      </c>
      <c r="D203" s="161" t="s">
        <v>9</v>
      </c>
      <c r="E203" s="161" t="s">
        <v>4150</v>
      </c>
      <c r="F203" s="207">
        <v>340</v>
      </c>
      <c r="G203" s="207">
        <v>380</v>
      </c>
      <c r="H203" s="161">
        <v>40</v>
      </c>
      <c r="I203" s="207">
        <v>100</v>
      </c>
      <c r="J203" s="242">
        <f t="shared" si="30"/>
        <v>4000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16</v>
      </c>
      <c r="C204" s="206">
        <v>45007</v>
      </c>
      <c r="D204" s="161" t="s">
        <v>9</v>
      </c>
      <c r="E204" s="161" t="s">
        <v>4118</v>
      </c>
      <c r="F204" s="207">
        <v>300</v>
      </c>
      <c r="G204" s="207">
        <v>335</v>
      </c>
      <c r="H204" s="161">
        <v>35</v>
      </c>
      <c r="I204" s="207">
        <v>100</v>
      </c>
      <c r="J204" s="242">
        <f t="shared" si="30"/>
        <v>3500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17</v>
      </c>
      <c r="C205" s="206">
        <v>45008</v>
      </c>
      <c r="D205" s="161" t="s">
        <v>9</v>
      </c>
      <c r="E205" s="161" t="s">
        <v>4151</v>
      </c>
      <c r="F205" s="207">
        <v>320</v>
      </c>
      <c r="G205" s="207">
        <v>220</v>
      </c>
      <c r="H205" s="161">
        <v>-100</v>
      </c>
      <c r="I205" s="207">
        <v>100</v>
      </c>
      <c r="J205" s="242">
        <f t="shared" si="30"/>
        <v>-10000</v>
      </c>
      <c r="K205" s="153"/>
      <c r="V205" s="25">
        <f t="shared" si="31"/>
        <v>0</v>
      </c>
      <c r="W205" s="25">
        <f t="shared" si="32"/>
        <v>1</v>
      </c>
    </row>
    <row r="206" spans="1:23" x14ac:dyDescent="0.3">
      <c r="A206" s="147"/>
      <c r="B206" s="205">
        <f t="shared" si="33"/>
        <v>18</v>
      </c>
      <c r="C206" s="206">
        <v>45009</v>
      </c>
      <c r="D206" s="161" t="s">
        <v>9</v>
      </c>
      <c r="E206" s="161" t="s">
        <v>3890</v>
      </c>
      <c r="F206" s="207">
        <v>350</v>
      </c>
      <c r="G206" s="207">
        <v>250</v>
      </c>
      <c r="H206" s="161">
        <v>-100</v>
      </c>
      <c r="I206" s="207">
        <v>100</v>
      </c>
      <c r="J206" s="242">
        <f t="shared" si="30"/>
        <v>-10000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19</v>
      </c>
      <c r="C207" s="206">
        <v>45012</v>
      </c>
      <c r="D207" s="161" t="s">
        <v>9</v>
      </c>
      <c r="E207" s="161" t="s">
        <v>4150</v>
      </c>
      <c r="F207" s="207">
        <v>360</v>
      </c>
      <c r="G207" s="207">
        <v>435</v>
      </c>
      <c r="H207" s="161">
        <f>435-360</f>
        <v>75</v>
      </c>
      <c r="I207" s="207">
        <v>100</v>
      </c>
      <c r="J207" s="161">
        <f t="shared" si="30"/>
        <v>7500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20</v>
      </c>
      <c r="C208" s="206">
        <v>45013</v>
      </c>
      <c r="D208" s="161" t="s">
        <v>9</v>
      </c>
      <c r="E208" s="161" t="s">
        <v>4153</v>
      </c>
      <c r="F208" s="207">
        <v>320</v>
      </c>
      <c r="G208" s="207">
        <v>250</v>
      </c>
      <c r="H208" s="161">
        <v>-70</v>
      </c>
      <c r="I208" s="207">
        <v>100</v>
      </c>
      <c r="J208" s="161">
        <f t="shared" si="30"/>
        <v>-7000</v>
      </c>
      <c r="K208" s="153"/>
      <c r="V208" s="25">
        <f t="shared" si="31"/>
        <v>0</v>
      </c>
      <c r="W208" s="25">
        <f t="shared" si="32"/>
        <v>1</v>
      </c>
    </row>
    <row r="209" spans="1:23" x14ac:dyDescent="0.3">
      <c r="A209" s="147"/>
      <c r="B209" s="205">
        <f t="shared" si="33"/>
        <v>21</v>
      </c>
      <c r="C209" s="206">
        <v>45014</v>
      </c>
      <c r="D209" s="161" t="s">
        <v>9</v>
      </c>
      <c r="E209" s="161" t="s">
        <v>3557</v>
      </c>
      <c r="F209" s="207">
        <v>260</v>
      </c>
      <c r="G209" s="207">
        <v>410</v>
      </c>
      <c r="H209" s="161">
        <f>410-260</f>
        <v>150</v>
      </c>
      <c r="I209" s="207">
        <v>100</v>
      </c>
      <c r="J209" s="161">
        <f t="shared" si="30"/>
        <v>15000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22</v>
      </c>
      <c r="C210" s="206">
        <v>45016</v>
      </c>
      <c r="D210" s="161" t="s">
        <v>9</v>
      </c>
      <c r="E210" s="161" t="s">
        <v>4137</v>
      </c>
      <c r="F210" s="207">
        <v>300</v>
      </c>
      <c r="G210" s="207">
        <v>250</v>
      </c>
      <c r="H210" s="161">
        <v>-50</v>
      </c>
      <c r="I210" s="207">
        <v>100</v>
      </c>
      <c r="J210" s="161">
        <f t="shared" si="30"/>
        <v>-5000</v>
      </c>
      <c r="K210" s="153"/>
      <c r="V210" s="25">
        <f t="shared" si="31"/>
        <v>0</v>
      </c>
      <c r="W210" s="25">
        <f t="shared" si="32"/>
        <v>1</v>
      </c>
    </row>
    <row r="211" spans="1:23" x14ac:dyDescent="0.3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161">
        <f t="shared" si="3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0"/>
        <v>0</v>
      </c>
      <c r="K212" s="153"/>
      <c r="V212" s="25">
        <f t="shared" si="31"/>
        <v>0</v>
      </c>
      <c r="W212" s="25">
        <f t="shared" si="32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186200</v>
      </c>
      <c r="K213" s="153"/>
      <c r="V213" s="25">
        <f>SUM(V189:V212)</f>
        <v>17</v>
      </c>
      <c r="W213" s="25">
        <f>SUM(W189:W212)</f>
        <v>5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3715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44986</v>
      </c>
      <c r="D221" s="185" t="s">
        <v>9</v>
      </c>
      <c r="E221" s="185" t="s">
        <v>4128</v>
      </c>
      <c r="F221" s="231">
        <v>13</v>
      </c>
      <c r="G221" s="231">
        <v>14.75</v>
      </c>
      <c r="H221" s="231">
        <v>1.75</v>
      </c>
      <c r="I221" s="219">
        <v>1500</v>
      </c>
      <c r="J221" s="246">
        <f t="shared" ref="J221:J244" si="34">I221*H221</f>
        <v>2625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44987</v>
      </c>
      <c r="D222" s="185" t="s">
        <v>9</v>
      </c>
      <c r="E222" s="185" t="s">
        <v>4129</v>
      </c>
      <c r="F222" s="231">
        <v>15</v>
      </c>
      <c r="G222" s="231">
        <v>19</v>
      </c>
      <c r="H222" s="231">
        <v>4</v>
      </c>
      <c r="I222" s="219">
        <v>1200</v>
      </c>
      <c r="J222" s="242">
        <f>I222*H222</f>
        <v>4800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5">B222+1</f>
        <v>3</v>
      </c>
      <c r="C223" s="206">
        <v>44988</v>
      </c>
      <c r="D223" s="161" t="s">
        <v>9</v>
      </c>
      <c r="E223" s="161" t="s">
        <v>4130</v>
      </c>
      <c r="F223" s="222">
        <v>7.2</v>
      </c>
      <c r="G223" s="222">
        <v>8.1</v>
      </c>
      <c r="H223" s="222">
        <f>8.1-7.2</f>
        <v>0.89999999999999947</v>
      </c>
      <c r="I223" s="207">
        <v>4000</v>
      </c>
      <c r="J223" s="242">
        <f t="shared" si="34"/>
        <v>3599.9999999999977</v>
      </c>
      <c r="K223" s="153"/>
      <c r="V223" s="25">
        <f t="shared" ref="V223:V244" si="36">IF($J223&gt;0,1,0)</f>
        <v>1</v>
      </c>
      <c r="W223" s="25">
        <f t="shared" ref="W223:W244" si="37">IF($J223&lt;0,1,0)</f>
        <v>0</v>
      </c>
    </row>
    <row r="224" spans="1:23" x14ac:dyDescent="0.3">
      <c r="A224" s="147"/>
      <c r="B224" s="205">
        <f t="shared" si="35"/>
        <v>4</v>
      </c>
      <c r="C224" s="206">
        <v>44991</v>
      </c>
      <c r="D224" s="161" t="s">
        <v>9</v>
      </c>
      <c r="E224" s="161" t="s">
        <v>4132</v>
      </c>
      <c r="F224" s="222">
        <v>5.5</v>
      </c>
      <c r="G224" s="222">
        <v>7</v>
      </c>
      <c r="H224" s="222">
        <f>7-5.5</f>
        <v>1.5</v>
      </c>
      <c r="I224" s="207">
        <v>3375</v>
      </c>
      <c r="J224" s="242">
        <f t="shared" si="34"/>
        <v>5062.5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5</v>
      </c>
      <c r="C225" s="206">
        <v>44993</v>
      </c>
      <c r="D225" s="161" t="s">
        <v>9</v>
      </c>
      <c r="E225" s="161" t="s">
        <v>4133</v>
      </c>
      <c r="F225" s="222">
        <v>15</v>
      </c>
      <c r="G225" s="222">
        <v>17.899999999999999</v>
      </c>
      <c r="H225" s="222">
        <v>2.9</v>
      </c>
      <c r="I225" s="207">
        <v>1000</v>
      </c>
      <c r="J225" s="242">
        <f t="shared" si="34"/>
        <v>2900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6</v>
      </c>
      <c r="C226" s="206">
        <v>44993</v>
      </c>
      <c r="D226" s="161" t="s">
        <v>9</v>
      </c>
      <c r="E226" s="161" t="s">
        <v>4028</v>
      </c>
      <c r="F226" s="222">
        <v>82</v>
      </c>
      <c r="G226" s="222">
        <v>112</v>
      </c>
      <c r="H226" s="222">
        <f>112-82</f>
        <v>30</v>
      </c>
      <c r="I226" s="207">
        <v>300</v>
      </c>
      <c r="J226" s="242">
        <f t="shared" si="34"/>
        <v>9000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7</v>
      </c>
      <c r="C227" s="206">
        <v>44994</v>
      </c>
      <c r="D227" s="161" t="s">
        <v>9</v>
      </c>
      <c r="E227" s="161" t="s">
        <v>4134</v>
      </c>
      <c r="F227" s="222">
        <v>15.5</v>
      </c>
      <c r="G227" s="222">
        <v>19.5</v>
      </c>
      <c r="H227" s="222">
        <v>4</v>
      </c>
      <c r="I227" s="207">
        <v>1375</v>
      </c>
      <c r="J227" s="242">
        <f t="shared" si="34"/>
        <v>5500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8</v>
      </c>
      <c r="C228" s="206">
        <v>44995</v>
      </c>
      <c r="D228" s="161" t="s">
        <v>9</v>
      </c>
      <c r="E228" s="161" t="s">
        <v>4129</v>
      </c>
      <c r="F228" s="222">
        <v>14</v>
      </c>
      <c r="G228" s="222">
        <v>17.95</v>
      </c>
      <c r="H228" s="222">
        <v>3.95</v>
      </c>
      <c r="I228" s="207">
        <v>1200</v>
      </c>
      <c r="J228" s="242">
        <f t="shared" si="34"/>
        <v>4740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9</v>
      </c>
      <c r="C229" s="206">
        <v>44998</v>
      </c>
      <c r="D229" s="161" t="s">
        <v>9</v>
      </c>
      <c r="E229" s="161" t="s">
        <v>4097</v>
      </c>
      <c r="F229" s="222">
        <v>16</v>
      </c>
      <c r="G229" s="222">
        <v>20</v>
      </c>
      <c r="H229" s="255">
        <v>4</v>
      </c>
      <c r="I229" s="207">
        <v>1250</v>
      </c>
      <c r="J229" s="242">
        <f t="shared" si="34"/>
        <v>5000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10</v>
      </c>
      <c r="C230" s="206">
        <v>44999</v>
      </c>
      <c r="D230" s="161" t="s">
        <v>9</v>
      </c>
      <c r="E230" s="161" t="s">
        <v>4138</v>
      </c>
      <c r="F230" s="222">
        <v>44</v>
      </c>
      <c r="G230" s="222">
        <v>35.6</v>
      </c>
      <c r="H230" s="255">
        <v>-8.4</v>
      </c>
      <c r="I230" s="207">
        <v>300</v>
      </c>
      <c r="J230" s="242">
        <f t="shared" si="34"/>
        <v>-2520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11</v>
      </c>
      <c r="C231" s="206">
        <v>45000</v>
      </c>
      <c r="D231" s="161" t="s">
        <v>9</v>
      </c>
      <c r="E231" s="161" t="s">
        <v>4141</v>
      </c>
      <c r="F231" s="222">
        <v>16</v>
      </c>
      <c r="G231" s="222">
        <v>24</v>
      </c>
      <c r="H231" s="255">
        <v>8</v>
      </c>
      <c r="I231" s="207">
        <v>1200</v>
      </c>
      <c r="J231" s="242">
        <f t="shared" si="34"/>
        <v>9600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12</v>
      </c>
      <c r="C232" s="206">
        <v>45001</v>
      </c>
      <c r="D232" s="161" t="s">
        <v>9</v>
      </c>
      <c r="E232" s="161" t="s">
        <v>4143</v>
      </c>
      <c r="F232" s="222">
        <v>14</v>
      </c>
      <c r="G232" s="222">
        <v>16</v>
      </c>
      <c r="H232" s="255">
        <v>2</v>
      </c>
      <c r="I232" s="207">
        <v>700</v>
      </c>
      <c r="J232" s="242">
        <f t="shared" si="34"/>
        <v>1400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13</v>
      </c>
      <c r="C233" s="206">
        <v>45002</v>
      </c>
      <c r="D233" s="161" t="s">
        <v>9</v>
      </c>
      <c r="E233" s="161" t="s">
        <v>4144</v>
      </c>
      <c r="F233" s="222">
        <v>65</v>
      </c>
      <c r="G233" s="222">
        <v>78</v>
      </c>
      <c r="H233" s="255">
        <f>78-65</f>
        <v>13</v>
      </c>
      <c r="I233" s="207">
        <v>125</v>
      </c>
      <c r="J233" s="242">
        <f t="shared" si="34"/>
        <v>1625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14</v>
      </c>
      <c r="C234" s="206">
        <v>45005</v>
      </c>
      <c r="D234" s="161" t="s">
        <v>9</v>
      </c>
      <c r="E234" s="161" t="s">
        <v>4146</v>
      </c>
      <c r="F234" s="222">
        <v>13</v>
      </c>
      <c r="G234" s="222">
        <v>14.7</v>
      </c>
      <c r="H234" s="255">
        <v>1.7</v>
      </c>
      <c r="I234" s="207">
        <v>1200</v>
      </c>
      <c r="J234" s="242">
        <f>I234*H234</f>
        <v>2040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15</v>
      </c>
      <c r="C235" s="206">
        <v>45006</v>
      </c>
      <c r="D235" s="161" t="s">
        <v>9</v>
      </c>
      <c r="E235" s="161" t="s">
        <v>4147</v>
      </c>
      <c r="F235" s="222">
        <v>9</v>
      </c>
      <c r="G235" s="222">
        <v>10.199999999999999</v>
      </c>
      <c r="H235" s="255">
        <v>1.2</v>
      </c>
      <c r="I235" s="207">
        <v>1500</v>
      </c>
      <c r="J235" s="242">
        <f t="shared" si="34"/>
        <v>1800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16</v>
      </c>
      <c r="C236" s="206">
        <v>45007</v>
      </c>
      <c r="D236" s="161" t="s">
        <v>9</v>
      </c>
      <c r="E236" s="161" t="s">
        <v>4148</v>
      </c>
      <c r="F236" s="222">
        <v>70</v>
      </c>
      <c r="G236" s="222">
        <v>86.4</v>
      </c>
      <c r="H236" s="222">
        <f>86.4-70</f>
        <v>16.400000000000006</v>
      </c>
      <c r="I236" s="207">
        <v>125</v>
      </c>
      <c r="J236" s="242">
        <f t="shared" si="34"/>
        <v>2050.0000000000009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17</v>
      </c>
      <c r="C237" s="206">
        <v>45008</v>
      </c>
      <c r="D237" s="161" t="s">
        <v>9</v>
      </c>
      <c r="E237" s="161" t="s">
        <v>4149</v>
      </c>
      <c r="F237" s="222">
        <v>10</v>
      </c>
      <c r="G237" s="222">
        <v>13</v>
      </c>
      <c r="H237" s="222">
        <v>3</v>
      </c>
      <c r="I237" s="207">
        <v>1375</v>
      </c>
      <c r="J237" s="242">
        <f t="shared" si="34"/>
        <v>4125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18</v>
      </c>
      <c r="C238" s="206">
        <v>45009</v>
      </c>
      <c r="D238" s="161" t="s">
        <v>9</v>
      </c>
      <c r="E238" s="161" t="s">
        <v>4152</v>
      </c>
      <c r="F238" s="222">
        <v>5.5</v>
      </c>
      <c r="G238" s="222">
        <v>8.5</v>
      </c>
      <c r="H238" s="222">
        <v>3</v>
      </c>
      <c r="I238" s="207">
        <v>1800</v>
      </c>
      <c r="J238" s="242">
        <f t="shared" si="34"/>
        <v>5400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19</v>
      </c>
      <c r="C239" s="206">
        <v>45012</v>
      </c>
      <c r="D239" s="161" t="s">
        <v>9</v>
      </c>
      <c r="E239" s="161" t="s">
        <v>4141</v>
      </c>
      <c r="F239" s="222">
        <v>7.5</v>
      </c>
      <c r="G239" s="222">
        <v>11.9</v>
      </c>
      <c r="H239" s="222">
        <f>11.9-7.5</f>
        <v>4.4000000000000004</v>
      </c>
      <c r="I239" s="207">
        <v>1200</v>
      </c>
      <c r="J239" s="242">
        <f t="shared" si="34"/>
        <v>5280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20</v>
      </c>
      <c r="C240" s="206">
        <v>45013</v>
      </c>
      <c r="D240" s="161" t="s">
        <v>9</v>
      </c>
      <c r="E240" s="161" t="s">
        <v>4146</v>
      </c>
      <c r="F240" s="222">
        <v>5</v>
      </c>
      <c r="G240" s="222">
        <v>6.9</v>
      </c>
      <c r="H240" s="222">
        <v>1.9</v>
      </c>
      <c r="I240" s="207">
        <v>1200</v>
      </c>
      <c r="J240" s="242">
        <f t="shared" si="34"/>
        <v>2280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34"/>
        <v>0</v>
      </c>
      <c r="K241" s="153"/>
      <c r="V241" s="25">
        <f t="shared" si="36"/>
        <v>0</v>
      </c>
      <c r="W241" s="25">
        <f t="shared" si="37"/>
        <v>0</v>
      </c>
    </row>
    <row r="242" spans="1:23" x14ac:dyDescent="0.3">
      <c r="A242" s="147"/>
      <c r="B242" s="205">
        <f t="shared" si="3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4"/>
        <v>0</v>
      </c>
      <c r="K242" s="153"/>
      <c r="V242" s="25">
        <f t="shared" si="36"/>
        <v>0</v>
      </c>
      <c r="W242" s="25">
        <f t="shared" si="37"/>
        <v>0</v>
      </c>
    </row>
    <row r="243" spans="1:23" x14ac:dyDescent="0.3">
      <c r="A243" s="147"/>
      <c r="B243" s="205">
        <f t="shared" si="3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4"/>
        <v>0</v>
      </c>
      <c r="K243" s="153"/>
      <c r="V243" s="25">
        <f t="shared" si="36"/>
        <v>0</v>
      </c>
      <c r="W243" s="25">
        <f t="shared" si="37"/>
        <v>0</v>
      </c>
    </row>
    <row r="244" spans="1:23" ht="15" thickBot="1" x14ac:dyDescent="0.35">
      <c r="A244" s="147"/>
      <c r="B244" s="208">
        <f t="shared" si="3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4"/>
        <v>0</v>
      </c>
      <c r="K244" s="153"/>
      <c r="V244" s="25">
        <f t="shared" si="36"/>
        <v>0</v>
      </c>
      <c r="W244" s="25">
        <f t="shared" si="37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76307.5</v>
      </c>
      <c r="K245" s="153"/>
      <c r="V245" s="25">
        <f>SUM(V221:V244)</f>
        <v>19</v>
      </c>
      <c r="W245" s="25">
        <f>SUM(W221:W244)</f>
        <v>1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700-000000000000}"/>
    <hyperlink ref="B117" r:id="rId2" xr:uid="{00000000-0004-0000-7700-000001000000}"/>
    <hyperlink ref="B150" r:id="rId3" xr:uid="{00000000-0004-0000-7700-000002000000}"/>
    <hyperlink ref="B181" r:id="rId4" xr:uid="{00000000-0004-0000-7700-000003000000}"/>
    <hyperlink ref="B213" r:id="rId5" xr:uid="{00000000-0004-0000-7700-000004000000}"/>
    <hyperlink ref="B245" r:id="rId6" xr:uid="{00000000-0004-0000-7700-000005000000}"/>
    <hyperlink ref="M1" location="'MASTER '!A1" display="Back" xr:uid="{00000000-0004-0000-7700-000006000000}"/>
    <hyperlink ref="M6:M7" location="'MARCH-2023'!A77" display="STOCK FUTURE" xr:uid="{00000000-0004-0000-7700-000007000000}"/>
    <hyperlink ref="M12:M13" location="'MARCH-2023'!A170" display="BANK NIFTY" xr:uid="{00000000-0004-0000-7700-000008000000}"/>
    <hyperlink ref="M10:M11" location="'MARCH-2023'!A139" display="NF. OPTION" xr:uid="{00000000-0004-0000-7700-000009000000}"/>
    <hyperlink ref="M8:M9" location="'MARCH-2023'!A108" display="NIFTY FUTURE" xr:uid="{00000000-0004-0000-7700-00000A000000}"/>
    <hyperlink ref="M4:M5" location="'MARCH-2023'!A1" display="CASH" xr:uid="{00000000-0004-0000-7700-00000B000000}"/>
    <hyperlink ref="M14:M15" location="'MARCH-2023'!A201" display="B.NIFTY OPTION" xr:uid="{00000000-0004-0000-7700-00000C000000}"/>
    <hyperlink ref="M16:M17" location="'MARCH-2023'!A216" display="STOCK OPTION" xr:uid="{00000000-0004-0000-7700-00000D000000}"/>
    <hyperlink ref="B52" r:id="rId7" xr:uid="{00000000-0004-0000-7700-00000E000000}"/>
  </hyperlinks>
  <pageMargins left="0" right="0" top="0" bottom="0" header="0" footer="0"/>
  <pageSetup scale="95" orientation="portrait" r:id="rId8"/>
  <drawing r:id="rId9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W246"/>
  <sheetViews>
    <sheetView topLeftCell="A59" zoomScaleNormal="100" workbookViewId="0">
      <selection activeCell="A77" sqref="A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4155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34</v>
      </c>
      <c r="O4" s="386">
        <f>V52</f>
        <v>32</v>
      </c>
      <c r="P4" s="386">
        <f>W52</f>
        <v>2</v>
      </c>
      <c r="Q4" s="387">
        <f>N4-O4-P4</f>
        <v>0</v>
      </c>
      <c r="R4" s="380">
        <f>O4/N4</f>
        <v>0.94117647058823528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45019</v>
      </c>
      <c r="D6" s="158" t="s">
        <v>9</v>
      </c>
      <c r="E6" s="158" t="s">
        <v>4158</v>
      </c>
      <c r="F6" s="230">
        <v>2410</v>
      </c>
      <c r="G6" s="222">
        <v>2425</v>
      </c>
      <c r="H6" s="222">
        <f>2425-2410</f>
        <v>15</v>
      </c>
      <c r="I6" s="207">
        <f t="shared" ref="I6:I7" si="0">300000/F6</f>
        <v>124.48132780082987</v>
      </c>
      <c r="J6" s="161">
        <f t="shared" ref="J6:J7" si="1">H6*I6</f>
        <v>1867.2199170124481</v>
      </c>
      <c r="K6" s="153"/>
      <c r="M6" s="394" t="s">
        <v>450</v>
      </c>
      <c r="N6" s="344">
        <f>COUNT(C60:C85)</f>
        <v>20</v>
      </c>
      <c r="O6" s="346">
        <f>V86</f>
        <v>17</v>
      </c>
      <c r="P6" s="346">
        <f>W86</f>
        <v>1</v>
      </c>
      <c r="Q6" s="374">
        <f>N6-O6-P6</f>
        <v>2</v>
      </c>
      <c r="R6" s="376">
        <f t="shared" ref="R6" si="2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45019</v>
      </c>
      <c r="D7" s="161" t="s">
        <v>9</v>
      </c>
      <c r="E7" s="161" t="s">
        <v>2995</v>
      </c>
      <c r="F7" s="222">
        <v>713</v>
      </c>
      <c r="G7" s="231">
        <v>718.5</v>
      </c>
      <c r="H7" s="255">
        <v>5.5</v>
      </c>
      <c r="I7" s="207">
        <f t="shared" si="0"/>
        <v>420.75736325385697</v>
      </c>
      <c r="J7" s="161">
        <f t="shared" si="1"/>
        <v>2314.1654978962133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45021</v>
      </c>
      <c r="D8" s="161" t="s">
        <v>9</v>
      </c>
      <c r="E8" s="161" t="s">
        <v>3942</v>
      </c>
      <c r="F8" s="222">
        <v>1318</v>
      </c>
      <c r="G8" s="222">
        <v>1321</v>
      </c>
      <c r="H8" s="222">
        <v>3</v>
      </c>
      <c r="I8" s="207">
        <f t="shared" ref="I8" si="6">300000/F8</f>
        <v>227.6176024279211</v>
      </c>
      <c r="J8" s="161">
        <f t="shared" ref="J8" si="7">H8*I8</f>
        <v>682.85280728376324</v>
      </c>
      <c r="K8" s="153"/>
      <c r="M8" s="394" t="s">
        <v>451</v>
      </c>
      <c r="N8" s="344">
        <f>COUNT(C94:C116)</f>
        <v>17</v>
      </c>
      <c r="O8" s="346">
        <f>V117</f>
        <v>14</v>
      </c>
      <c r="P8" s="346">
        <f>W117</f>
        <v>3</v>
      </c>
      <c r="Q8" s="374">
        <f>N8-O8-P8</f>
        <v>0</v>
      </c>
      <c r="R8" s="376">
        <f t="shared" ref="R8" si="8">O8/N8</f>
        <v>0.82352941176470584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45021</v>
      </c>
      <c r="D9" s="161" t="s">
        <v>8</v>
      </c>
      <c r="E9" s="161" t="s">
        <v>4135</v>
      </c>
      <c r="F9" s="222">
        <v>1280</v>
      </c>
      <c r="G9" s="231">
        <v>1274.5</v>
      </c>
      <c r="H9" s="255">
        <f>1280-1275.5</f>
        <v>4.5</v>
      </c>
      <c r="I9" s="207">
        <f t="shared" ref="I9:I10" si="9">300000/F9</f>
        <v>234.375</v>
      </c>
      <c r="J9" s="161">
        <f t="shared" ref="J9:J10" si="10">H9*I9</f>
        <v>1054.6875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45022</v>
      </c>
      <c r="D10" s="161" t="s">
        <v>9</v>
      </c>
      <c r="E10" s="161" t="s">
        <v>476</v>
      </c>
      <c r="F10" s="222">
        <v>977</v>
      </c>
      <c r="G10" s="222">
        <v>981.5</v>
      </c>
      <c r="H10" s="222">
        <f>981.5-977</f>
        <v>4.5</v>
      </c>
      <c r="I10" s="207">
        <f t="shared" si="9"/>
        <v>307.06243602865914</v>
      </c>
      <c r="J10" s="161">
        <f t="shared" si="10"/>
        <v>1381.7809621289662</v>
      </c>
      <c r="K10" s="153"/>
      <c r="M10" s="394" t="s">
        <v>1176</v>
      </c>
      <c r="N10" s="344">
        <f>COUNT(C125:C149)</f>
        <v>20</v>
      </c>
      <c r="O10" s="346">
        <f>V150</f>
        <v>16</v>
      </c>
      <c r="P10" s="346">
        <f>W150</f>
        <v>4</v>
      </c>
      <c r="Q10" s="374">
        <f>N10-O10-P10</f>
        <v>0</v>
      </c>
      <c r="R10" s="376">
        <f t="shared" ref="R10:R16" si="11">O10/N10</f>
        <v>0.8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45022</v>
      </c>
      <c r="D11" s="161" t="s">
        <v>8</v>
      </c>
      <c r="E11" s="161" t="s">
        <v>95</v>
      </c>
      <c r="F11" s="222">
        <v>878</v>
      </c>
      <c r="G11" s="222">
        <v>886</v>
      </c>
      <c r="H11" s="255">
        <f>878-886</f>
        <v>-8</v>
      </c>
      <c r="I11" s="207">
        <f t="shared" ref="I11" si="12">300000/F11</f>
        <v>341.68564920273349</v>
      </c>
      <c r="J11" s="161">
        <f t="shared" ref="J11" si="13">H11*I11</f>
        <v>-2733.4851936218679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45022</v>
      </c>
      <c r="D12" s="161" t="s">
        <v>8</v>
      </c>
      <c r="E12" s="161" t="s">
        <v>4162</v>
      </c>
      <c r="F12" s="222">
        <v>416</v>
      </c>
      <c r="G12" s="222">
        <v>407</v>
      </c>
      <c r="H12" s="222">
        <f>416-407</f>
        <v>9</v>
      </c>
      <c r="I12" s="207">
        <f t="shared" ref="I12" si="14">300000/F12</f>
        <v>721.15384615384619</v>
      </c>
      <c r="J12" s="161">
        <f t="shared" ref="J12" si="15">H12*I12</f>
        <v>6490.3846153846152</v>
      </c>
      <c r="K12" s="153"/>
      <c r="M12" s="394" t="s">
        <v>41</v>
      </c>
      <c r="N12" s="344">
        <f>COUNT(C158:C180)</f>
        <v>17</v>
      </c>
      <c r="O12" s="346">
        <f>V181</f>
        <v>13</v>
      </c>
      <c r="P12" s="346">
        <f>W181</f>
        <v>4</v>
      </c>
      <c r="Q12" s="374">
        <f t="shared" ref="Q12" si="16">N12-O12-P12</f>
        <v>0</v>
      </c>
      <c r="R12" s="376">
        <f t="shared" si="11"/>
        <v>0.76470588235294112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45026</v>
      </c>
      <c r="D13" s="161" t="s">
        <v>9</v>
      </c>
      <c r="E13" s="161" t="s">
        <v>3436</v>
      </c>
      <c r="F13" s="222">
        <v>573</v>
      </c>
      <c r="G13" s="222">
        <v>583</v>
      </c>
      <c r="H13" s="255">
        <v>10</v>
      </c>
      <c r="I13" s="207">
        <f t="shared" ref="I13:I14" si="17">300000/F13</f>
        <v>523.56020942408372</v>
      </c>
      <c r="J13" s="161">
        <f t="shared" ref="J13:J14" si="18">H13*I13</f>
        <v>5235.6020942408377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45026</v>
      </c>
      <c r="D14" s="161" t="s">
        <v>8</v>
      </c>
      <c r="E14" s="161" t="s">
        <v>95</v>
      </c>
      <c r="F14" s="222">
        <v>879</v>
      </c>
      <c r="G14" s="222">
        <v>867</v>
      </c>
      <c r="H14" s="222">
        <f>879-867</f>
        <v>12</v>
      </c>
      <c r="I14" s="207">
        <f t="shared" si="17"/>
        <v>341.29692832764505</v>
      </c>
      <c r="J14" s="161">
        <f t="shared" si="18"/>
        <v>4095.5631399317408</v>
      </c>
      <c r="K14" s="153"/>
      <c r="M14" s="394" t="s">
        <v>1175</v>
      </c>
      <c r="N14" s="344">
        <f>COUNT(C189:C212)</f>
        <v>17</v>
      </c>
      <c r="O14" s="346">
        <f>V213</f>
        <v>13</v>
      </c>
      <c r="P14" s="346">
        <f>W213</f>
        <v>4</v>
      </c>
      <c r="Q14" s="374">
        <f t="shared" ref="Q14" si="19">N14-O14-P14</f>
        <v>0</v>
      </c>
      <c r="R14" s="376">
        <f t="shared" si="11"/>
        <v>0.76470588235294112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45027</v>
      </c>
      <c r="D15" s="161" t="s">
        <v>8</v>
      </c>
      <c r="E15" s="161" t="s">
        <v>4047</v>
      </c>
      <c r="F15" s="222">
        <v>278</v>
      </c>
      <c r="G15" s="222">
        <v>279</v>
      </c>
      <c r="H15" s="222">
        <v>-1</v>
      </c>
      <c r="I15" s="207">
        <f t="shared" ref="I15:I39" si="20">300000/F15</f>
        <v>1079.1366906474821</v>
      </c>
      <c r="J15" s="161">
        <f t="shared" ref="J15:J39" si="21">H15*I15</f>
        <v>-1079.1366906474821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45027</v>
      </c>
      <c r="D16" s="161" t="s">
        <v>8</v>
      </c>
      <c r="E16" s="161" t="s">
        <v>3942</v>
      </c>
      <c r="F16" s="222">
        <v>1314</v>
      </c>
      <c r="G16" s="222">
        <v>1307</v>
      </c>
      <c r="H16" s="222">
        <v>7</v>
      </c>
      <c r="I16" s="207">
        <f t="shared" si="20"/>
        <v>228.31050228310502</v>
      </c>
      <c r="J16" s="161">
        <f t="shared" si="21"/>
        <v>1598.1735159817351</v>
      </c>
      <c r="K16" s="153"/>
      <c r="L16" s="25" t="s">
        <v>2008</v>
      </c>
      <c r="M16" s="394" t="s">
        <v>1090</v>
      </c>
      <c r="N16" s="344">
        <f>COUNT(C221:C244)</f>
        <v>20</v>
      </c>
      <c r="O16" s="346">
        <f>V245</f>
        <v>17</v>
      </c>
      <c r="P16" s="346">
        <f>W245</f>
        <v>3</v>
      </c>
      <c r="Q16" s="374">
        <v>0</v>
      </c>
      <c r="R16" s="376">
        <f t="shared" si="11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45028</v>
      </c>
      <c r="D17" s="161" t="s">
        <v>9</v>
      </c>
      <c r="E17" s="161" t="s">
        <v>3248</v>
      </c>
      <c r="F17" s="222">
        <v>1242</v>
      </c>
      <c r="G17" s="222">
        <v>1250</v>
      </c>
      <c r="H17" s="222">
        <f>1250-1242</f>
        <v>8</v>
      </c>
      <c r="I17" s="207">
        <f t="shared" si="20"/>
        <v>241.54589371980677</v>
      </c>
      <c r="J17" s="161">
        <f t="shared" si="21"/>
        <v>1932.3671497584542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45028</v>
      </c>
      <c r="D18" s="161" t="s">
        <v>8</v>
      </c>
      <c r="E18" s="161" t="s">
        <v>3237</v>
      </c>
      <c r="F18" s="222">
        <v>4275</v>
      </c>
      <c r="G18" s="222">
        <v>4265</v>
      </c>
      <c r="H18" s="222">
        <v>10</v>
      </c>
      <c r="I18" s="207">
        <f t="shared" si="20"/>
        <v>70.175438596491233</v>
      </c>
      <c r="J18" s="161">
        <f t="shared" si="21"/>
        <v>701.75438596491233</v>
      </c>
      <c r="K18" s="153"/>
      <c r="M18" s="392" t="s">
        <v>946</v>
      </c>
      <c r="N18" s="378">
        <f>SUM(N4:N17)</f>
        <v>145</v>
      </c>
      <c r="O18" s="378">
        <f t="shared" ref="O18:Q18" si="22">SUM(O4:O17)</f>
        <v>122</v>
      </c>
      <c r="P18" s="378">
        <f t="shared" si="22"/>
        <v>21</v>
      </c>
      <c r="Q18" s="378">
        <f t="shared" si="22"/>
        <v>2</v>
      </c>
      <c r="R18" s="380">
        <f t="shared" ref="R18" si="23">O18/N18</f>
        <v>0.8413793103448276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45029</v>
      </c>
      <c r="D19" s="161" t="s">
        <v>9</v>
      </c>
      <c r="E19" s="161" t="s">
        <v>895</v>
      </c>
      <c r="F19" s="222">
        <v>101</v>
      </c>
      <c r="G19" s="222">
        <v>101.5</v>
      </c>
      <c r="H19" s="222">
        <v>0.5</v>
      </c>
      <c r="I19" s="207">
        <f t="shared" si="20"/>
        <v>2970.2970297029701</v>
      </c>
      <c r="J19" s="161">
        <f t="shared" si="21"/>
        <v>1485.1485148514851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45029</v>
      </c>
      <c r="D20" s="161" t="s">
        <v>8</v>
      </c>
      <c r="E20" s="161" t="s">
        <v>3936</v>
      </c>
      <c r="F20" s="222">
        <v>764</v>
      </c>
      <c r="G20" s="222">
        <v>761</v>
      </c>
      <c r="H20" s="222">
        <v>3</v>
      </c>
      <c r="I20" s="207">
        <f t="shared" si="20"/>
        <v>392.67015706806285</v>
      </c>
      <c r="J20" s="161">
        <f t="shared" si="21"/>
        <v>1178.0104712041884</v>
      </c>
      <c r="K20" s="153"/>
      <c r="M20" s="316" t="s">
        <v>2253</v>
      </c>
      <c r="N20" s="317"/>
      <c r="O20" s="318"/>
      <c r="P20" s="325">
        <f>R18</f>
        <v>0.8413793103448276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45033</v>
      </c>
      <c r="D21" s="161" t="s">
        <v>9</v>
      </c>
      <c r="E21" s="161" t="s">
        <v>19</v>
      </c>
      <c r="F21" s="222">
        <v>538</v>
      </c>
      <c r="G21" s="222">
        <v>544.6</v>
      </c>
      <c r="H21" s="222">
        <f>544.6-538</f>
        <v>6.6000000000000227</v>
      </c>
      <c r="I21" s="207">
        <f t="shared" si="20"/>
        <v>557.62081784386612</v>
      </c>
      <c r="J21" s="161">
        <f t="shared" si="21"/>
        <v>3680.2973977695292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45033</v>
      </c>
      <c r="D22" s="161" t="s">
        <v>9</v>
      </c>
      <c r="E22" s="161" t="s">
        <v>26</v>
      </c>
      <c r="F22" s="222">
        <v>418</v>
      </c>
      <c r="G22" s="222">
        <v>419.5</v>
      </c>
      <c r="H22" s="222">
        <v>1.5</v>
      </c>
      <c r="I22" s="207">
        <f t="shared" si="20"/>
        <v>717.7033492822967</v>
      </c>
      <c r="J22" s="161">
        <f t="shared" si="21"/>
        <v>1076.5550239234451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45034</v>
      </c>
      <c r="D23" s="161" t="s">
        <v>9</v>
      </c>
      <c r="E23" s="161" t="s">
        <v>3343</v>
      </c>
      <c r="F23" s="222">
        <v>690</v>
      </c>
      <c r="G23" s="222">
        <v>696.5</v>
      </c>
      <c r="H23" s="222">
        <v>6.5</v>
      </c>
      <c r="I23" s="207">
        <f t="shared" si="20"/>
        <v>434.78260869565219</v>
      </c>
      <c r="J23" s="161">
        <f t="shared" si="21"/>
        <v>2826.086956521739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45034</v>
      </c>
      <c r="D24" s="161" t="s">
        <v>9</v>
      </c>
      <c r="E24" s="161" t="s">
        <v>2298</v>
      </c>
      <c r="F24" s="222">
        <v>2100</v>
      </c>
      <c r="G24" s="222">
        <v>2130</v>
      </c>
      <c r="H24" s="222">
        <v>30</v>
      </c>
      <c r="I24" s="207">
        <f t="shared" si="20"/>
        <v>142.85714285714286</v>
      </c>
      <c r="J24" s="161">
        <f t="shared" si="21"/>
        <v>4285.7142857142862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45035</v>
      </c>
      <c r="D25" s="161" t="s">
        <v>9</v>
      </c>
      <c r="E25" s="161" t="s">
        <v>365</v>
      </c>
      <c r="F25" s="222">
        <v>730</v>
      </c>
      <c r="G25" s="222">
        <v>733</v>
      </c>
      <c r="H25" s="222">
        <v>3</v>
      </c>
      <c r="I25" s="207">
        <f t="shared" si="20"/>
        <v>410.95890410958901</v>
      </c>
      <c r="J25" s="161">
        <f t="shared" si="21"/>
        <v>1232.8767123287671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45035</v>
      </c>
      <c r="D26" s="161" t="s">
        <v>8</v>
      </c>
      <c r="E26" s="161" t="s">
        <v>3343</v>
      </c>
      <c r="F26" s="222">
        <v>692</v>
      </c>
      <c r="G26" s="222">
        <v>680</v>
      </c>
      <c r="H26" s="222">
        <f>692-680</f>
        <v>12</v>
      </c>
      <c r="I26" s="207">
        <f t="shared" si="20"/>
        <v>433.52601156069363</v>
      </c>
      <c r="J26" s="161">
        <v>1000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45036</v>
      </c>
      <c r="D27" s="161" t="s">
        <v>9</v>
      </c>
      <c r="E27" s="161" t="s">
        <v>49</v>
      </c>
      <c r="F27" s="222">
        <v>438</v>
      </c>
      <c r="G27" s="222">
        <v>442</v>
      </c>
      <c r="H27" s="222">
        <f>442-438</f>
        <v>4</v>
      </c>
      <c r="I27" s="207">
        <f t="shared" si="20"/>
        <v>684.93150684931504</v>
      </c>
      <c r="J27" s="161">
        <f t="shared" si="21"/>
        <v>2739.7260273972602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45036</v>
      </c>
      <c r="D28" s="161" t="s">
        <v>8</v>
      </c>
      <c r="E28" s="161" t="s">
        <v>3343</v>
      </c>
      <c r="F28" s="222">
        <v>680</v>
      </c>
      <c r="G28" s="222">
        <v>674.1</v>
      </c>
      <c r="H28" s="222">
        <f>680-674.1</f>
        <v>5.8999999999999773</v>
      </c>
      <c r="I28" s="207">
        <f t="shared" si="20"/>
        <v>441.1764705882353</v>
      </c>
      <c r="J28" s="161">
        <f t="shared" si="21"/>
        <v>2602.9411764705783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45037</v>
      </c>
      <c r="D29" s="161" t="s">
        <v>8</v>
      </c>
      <c r="E29" s="161" t="s">
        <v>3343</v>
      </c>
      <c r="F29" s="222">
        <v>666</v>
      </c>
      <c r="G29" s="222">
        <v>660</v>
      </c>
      <c r="H29" s="222">
        <v>6</v>
      </c>
      <c r="I29" s="207">
        <f t="shared" si="20"/>
        <v>450.45045045045043</v>
      </c>
      <c r="J29" s="161">
        <f t="shared" si="21"/>
        <v>2702.7027027027025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45037</v>
      </c>
      <c r="D30" s="161" t="s">
        <v>8</v>
      </c>
      <c r="E30" s="161" t="s">
        <v>90</v>
      </c>
      <c r="F30" s="222">
        <v>998</v>
      </c>
      <c r="G30" s="222">
        <v>996.75</v>
      </c>
      <c r="H30" s="222">
        <f>998-996.75</f>
        <v>1.25</v>
      </c>
      <c r="I30" s="207">
        <f t="shared" si="20"/>
        <v>300.60120240480961</v>
      </c>
      <c r="J30" s="161">
        <f t="shared" si="21"/>
        <v>375.751503006012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45040</v>
      </c>
      <c r="D31" s="161" t="s">
        <v>9</v>
      </c>
      <c r="E31" s="161" t="s">
        <v>4177</v>
      </c>
      <c r="F31" s="223">
        <v>1545</v>
      </c>
      <c r="G31" s="222">
        <v>1555</v>
      </c>
      <c r="H31" s="255">
        <v>10</v>
      </c>
      <c r="I31" s="207">
        <f t="shared" si="20"/>
        <v>194.17475728155341</v>
      </c>
      <c r="J31" s="161">
        <f t="shared" si="21"/>
        <v>1941.7475728155341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45040</v>
      </c>
      <c r="D32" s="161" t="s">
        <v>9</v>
      </c>
      <c r="E32" s="161" t="s">
        <v>19</v>
      </c>
      <c r="F32" s="222">
        <v>548</v>
      </c>
      <c r="G32" s="222">
        <v>553.75</v>
      </c>
      <c r="H32" s="222">
        <f>553.75-548</f>
        <v>5.75</v>
      </c>
      <c r="I32" s="207">
        <f t="shared" si="20"/>
        <v>547.44525547445255</v>
      </c>
      <c r="J32" s="161">
        <f t="shared" si="21"/>
        <v>3147.8102189781021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45041</v>
      </c>
      <c r="D33" s="161" t="s">
        <v>9</v>
      </c>
      <c r="E33" s="161" t="s">
        <v>19</v>
      </c>
      <c r="F33" s="223">
        <v>562</v>
      </c>
      <c r="G33" s="222">
        <v>566</v>
      </c>
      <c r="H33" s="255">
        <v>4</v>
      </c>
      <c r="I33" s="207">
        <f t="shared" si="20"/>
        <v>533.80782918149464</v>
      </c>
      <c r="J33" s="161">
        <f t="shared" si="21"/>
        <v>2135.2313167259786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45041</v>
      </c>
      <c r="D34" s="161" t="s">
        <v>8</v>
      </c>
      <c r="E34" s="161" t="s">
        <v>31</v>
      </c>
      <c r="F34" s="222">
        <v>2355</v>
      </c>
      <c r="G34" s="222">
        <v>2351</v>
      </c>
      <c r="H34" s="222">
        <v>4</v>
      </c>
      <c r="I34" s="207">
        <f t="shared" si="20"/>
        <v>127.38853503184713</v>
      </c>
      <c r="J34" s="161">
        <f t="shared" si="21"/>
        <v>509.55414012738851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45042</v>
      </c>
      <c r="D35" s="161" t="s">
        <v>9</v>
      </c>
      <c r="E35" s="161" t="s">
        <v>15</v>
      </c>
      <c r="F35" s="222">
        <v>3365</v>
      </c>
      <c r="G35" s="222">
        <v>3425</v>
      </c>
      <c r="H35" s="222">
        <f>3425-3365</f>
        <v>60</v>
      </c>
      <c r="I35" s="207">
        <f t="shared" si="20"/>
        <v>89.153046062407128</v>
      </c>
      <c r="J35" s="161">
        <f t="shared" si="21"/>
        <v>5349.1827637444276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45042</v>
      </c>
      <c r="D36" s="161" t="s">
        <v>9</v>
      </c>
      <c r="E36" s="161" t="s">
        <v>552</v>
      </c>
      <c r="F36" s="222">
        <v>1130</v>
      </c>
      <c r="G36" s="222">
        <v>1139.5999999999999</v>
      </c>
      <c r="H36" s="222">
        <v>9.6</v>
      </c>
      <c r="I36" s="207">
        <f t="shared" si="20"/>
        <v>265.48672566371681</v>
      </c>
      <c r="J36" s="161">
        <f t="shared" si="21"/>
        <v>2548.6725663716811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45043</v>
      </c>
      <c r="D37" s="161" t="s">
        <v>9</v>
      </c>
      <c r="E37" s="161" t="s">
        <v>95</v>
      </c>
      <c r="F37" s="222">
        <v>915</v>
      </c>
      <c r="G37" s="222">
        <v>919</v>
      </c>
      <c r="H37" s="222">
        <v>4</v>
      </c>
      <c r="I37" s="207">
        <f t="shared" si="20"/>
        <v>327.86885245901641</v>
      </c>
      <c r="J37" s="161">
        <f t="shared" si="21"/>
        <v>1311.4754098360656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45044</v>
      </c>
      <c r="D38" s="161" t="s">
        <v>9</v>
      </c>
      <c r="E38" s="161" t="s">
        <v>578</v>
      </c>
      <c r="F38" s="222">
        <v>1248</v>
      </c>
      <c r="G38" s="222">
        <v>1252</v>
      </c>
      <c r="H38" s="222">
        <f>1252-1248</f>
        <v>4</v>
      </c>
      <c r="I38" s="207">
        <f t="shared" si="20"/>
        <v>240.38461538461539</v>
      </c>
      <c r="J38" s="161">
        <f t="shared" si="21"/>
        <v>961.53846153846155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45044</v>
      </c>
      <c r="D39" s="161" t="s">
        <v>9</v>
      </c>
      <c r="E39" s="161" t="s">
        <v>3232</v>
      </c>
      <c r="F39" s="222">
        <v>565</v>
      </c>
      <c r="G39" s="222">
        <v>571</v>
      </c>
      <c r="H39" s="222">
        <f>571-565</f>
        <v>6</v>
      </c>
      <c r="I39" s="207">
        <f t="shared" si="20"/>
        <v>530.97345132743362</v>
      </c>
      <c r="J39" s="161">
        <f t="shared" si="21"/>
        <v>3185.8407079646017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161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161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161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161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161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161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69818.793631306558</v>
      </c>
      <c r="K52" s="153"/>
      <c r="V52" s="25">
        <f>SUM(V6:V51)</f>
        <v>32</v>
      </c>
      <c r="W52" s="25">
        <f>SUM(W6:W51)</f>
        <v>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4156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45019</v>
      </c>
      <c r="D60" s="161" t="s">
        <v>8</v>
      </c>
      <c r="E60" s="161" t="s">
        <v>2563</v>
      </c>
      <c r="F60" s="222">
        <v>1880</v>
      </c>
      <c r="G60" s="222">
        <v>1900</v>
      </c>
      <c r="H60" s="222">
        <f>1900-1880</f>
        <v>20</v>
      </c>
      <c r="I60" s="207">
        <v>300</v>
      </c>
      <c r="J60" s="241">
        <f t="shared" ref="J60:J85" si="2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45021</v>
      </c>
      <c r="D61" s="161" t="s">
        <v>9</v>
      </c>
      <c r="E61" s="161" t="s">
        <v>2023</v>
      </c>
      <c r="F61" s="222">
        <v>5960</v>
      </c>
      <c r="G61" s="222">
        <v>5977</v>
      </c>
      <c r="H61" s="222">
        <f>5977-5960</f>
        <v>17</v>
      </c>
      <c r="I61" s="207">
        <v>125</v>
      </c>
      <c r="J61" s="242">
        <f t="shared" si="24"/>
        <v>2125</v>
      </c>
      <c r="K61" s="153"/>
      <c r="O61" s="25" t="s">
        <v>2008</v>
      </c>
      <c r="V61" s="25">
        <f t="shared" ref="V61:V85" si="25">IF($J61&gt;0,1,0)</f>
        <v>1</v>
      </c>
      <c r="W61" s="25">
        <f t="shared" ref="W61:W85" si="26">IF($J61&lt;0,1,0)</f>
        <v>0</v>
      </c>
    </row>
    <row r="62" spans="1:23" x14ac:dyDescent="0.3">
      <c r="A62" s="147"/>
      <c r="B62" s="205">
        <f t="shared" ref="B62:B82" si="27">B61+1</f>
        <v>3</v>
      </c>
      <c r="C62" s="206">
        <v>45022</v>
      </c>
      <c r="D62" s="161" t="s">
        <v>8</v>
      </c>
      <c r="E62" s="161" t="s">
        <v>29</v>
      </c>
      <c r="F62" s="222">
        <v>1102</v>
      </c>
      <c r="G62" s="222">
        <v>1088</v>
      </c>
      <c r="H62" s="222">
        <f>1102-1088</f>
        <v>14</v>
      </c>
      <c r="I62" s="207">
        <v>700</v>
      </c>
      <c r="J62" s="242">
        <f t="shared" si="24"/>
        <v>9800</v>
      </c>
      <c r="K62" s="153"/>
      <c r="V62" s="25">
        <f t="shared" si="25"/>
        <v>1</v>
      </c>
      <c r="W62" s="25">
        <f t="shared" si="26"/>
        <v>0</v>
      </c>
    </row>
    <row r="63" spans="1:23" x14ac:dyDescent="0.3">
      <c r="A63" s="147"/>
      <c r="B63" s="205">
        <f t="shared" si="27"/>
        <v>4</v>
      </c>
      <c r="C63" s="206">
        <v>45026</v>
      </c>
      <c r="D63" s="161" t="s">
        <v>9</v>
      </c>
      <c r="E63" s="161" t="s">
        <v>109</v>
      </c>
      <c r="F63" s="222">
        <v>1185</v>
      </c>
      <c r="G63" s="222">
        <v>1192</v>
      </c>
      <c r="H63" s="222">
        <f>1192-1185</f>
        <v>7</v>
      </c>
      <c r="I63" s="207">
        <v>700</v>
      </c>
      <c r="J63" s="242">
        <f>I63*H63</f>
        <v>4900</v>
      </c>
      <c r="K63" s="153"/>
      <c r="L63" s="25" t="s">
        <v>2008</v>
      </c>
      <c r="V63" s="25">
        <f t="shared" si="25"/>
        <v>1</v>
      </c>
      <c r="W63" s="25">
        <f t="shared" si="26"/>
        <v>0</v>
      </c>
    </row>
    <row r="64" spans="1:23" x14ac:dyDescent="0.3">
      <c r="A64" s="147"/>
      <c r="B64" s="205">
        <f t="shared" si="27"/>
        <v>5</v>
      </c>
      <c r="C64" s="206">
        <v>45026</v>
      </c>
      <c r="D64" s="161" t="s">
        <v>9</v>
      </c>
      <c r="E64" s="161" t="s">
        <v>29</v>
      </c>
      <c r="F64" s="222">
        <v>1100</v>
      </c>
      <c r="G64" s="222">
        <v>1107</v>
      </c>
      <c r="H64" s="222">
        <v>7</v>
      </c>
      <c r="I64" s="207">
        <v>700</v>
      </c>
      <c r="J64" s="242">
        <f>I64*H64</f>
        <v>4900</v>
      </c>
      <c r="K64" s="153"/>
      <c r="V64" s="25">
        <f t="shared" si="25"/>
        <v>1</v>
      </c>
      <c r="W64" s="25">
        <f t="shared" si="26"/>
        <v>0</v>
      </c>
    </row>
    <row r="65" spans="1:23" x14ac:dyDescent="0.3">
      <c r="A65" s="147"/>
      <c r="B65" s="205">
        <f t="shared" si="27"/>
        <v>6</v>
      </c>
      <c r="C65" s="206">
        <v>45027</v>
      </c>
      <c r="D65" s="161" t="s">
        <v>8</v>
      </c>
      <c r="E65" s="161" t="s">
        <v>3474</v>
      </c>
      <c r="F65" s="222">
        <v>928</v>
      </c>
      <c r="G65" s="222">
        <v>938</v>
      </c>
      <c r="H65" s="222">
        <v>-10</v>
      </c>
      <c r="I65" s="207">
        <v>700</v>
      </c>
      <c r="J65" s="242">
        <f>I65*H65</f>
        <v>-7000</v>
      </c>
      <c r="K65" s="153"/>
      <c r="V65" s="25">
        <f t="shared" si="25"/>
        <v>0</v>
      </c>
      <c r="W65" s="25">
        <f t="shared" si="26"/>
        <v>1</v>
      </c>
    </row>
    <row r="66" spans="1:23" x14ac:dyDescent="0.3">
      <c r="A66" s="147"/>
      <c r="B66" s="205">
        <f t="shared" si="27"/>
        <v>7</v>
      </c>
      <c r="C66" s="206">
        <v>45027</v>
      </c>
      <c r="D66" s="161" t="s">
        <v>9</v>
      </c>
      <c r="E66" s="161" t="s">
        <v>4163</v>
      </c>
      <c r="F66" s="222">
        <v>883</v>
      </c>
      <c r="G66" s="222">
        <v>887.3</v>
      </c>
      <c r="H66" s="222">
        <f>887.3-883</f>
        <v>4.2999999999999545</v>
      </c>
      <c r="I66" s="207">
        <v>700</v>
      </c>
      <c r="J66" s="242">
        <f t="shared" si="24"/>
        <v>3009.9999999999682</v>
      </c>
      <c r="K66" s="153"/>
      <c r="V66" s="25">
        <f t="shared" si="25"/>
        <v>1</v>
      </c>
      <c r="W66" s="25">
        <f t="shared" si="26"/>
        <v>0</v>
      </c>
    </row>
    <row r="67" spans="1:23" x14ac:dyDescent="0.3">
      <c r="A67" s="147"/>
      <c r="B67" s="205">
        <f t="shared" si="27"/>
        <v>8</v>
      </c>
      <c r="C67" s="206">
        <v>45028</v>
      </c>
      <c r="D67" s="161" t="s">
        <v>8</v>
      </c>
      <c r="E67" s="161" t="s">
        <v>168</v>
      </c>
      <c r="F67" s="222">
        <v>1182</v>
      </c>
      <c r="G67" s="222">
        <v>1174</v>
      </c>
      <c r="H67" s="222">
        <f>1182-1174</f>
        <v>8</v>
      </c>
      <c r="I67" s="207">
        <v>500</v>
      </c>
      <c r="J67" s="242">
        <f>I67*H67</f>
        <v>4000</v>
      </c>
      <c r="K67" s="153"/>
      <c r="V67" s="25">
        <f t="shared" si="25"/>
        <v>1</v>
      </c>
      <c r="W67" s="25">
        <f t="shared" si="26"/>
        <v>0</v>
      </c>
    </row>
    <row r="68" spans="1:23" x14ac:dyDescent="0.3">
      <c r="A68" s="147"/>
      <c r="B68" s="205">
        <f t="shared" si="27"/>
        <v>9</v>
      </c>
      <c r="C68" s="206">
        <v>45029</v>
      </c>
      <c r="D68" s="161" t="s">
        <v>8</v>
      </c>
      <c r="E68" s="161" t="s">
        <v>29</v>
      </c>
      <c r="F68" s="222">
        <v>1078</v>
      </c>
      <c r="G68" s="222">
        <v>1064</v>
      </c>
      <c r="H68" s="222">
        <f>1078-1064</f>
        <v>14</v>
      </c>
      <c r="I68" s="207">
        <v>700</v>
      </c>
      <c r="J68" s="242">
        <f>I68*H68</f>
        <v>9800</v>
      </c>
      <c r="K68" s="153"/>
      <c r="V68" s="25">
        <f t="shared" si="25"/>
        <v>1</v>
      </c>
      <c r="W68" s="25">
        <f t="shared" si="26"/>
        <v>0</v>
      </c>
    </row>
    <row r="69" spans="1:23" x14ac:dyDescent="0.3">
      <c r="A69" s="147"/>
      <c r="B69" s="205">
        <f t="shared" si="27"/>
        <v>10</v>
      </c>
      <c r="C69" s="206">
        <v>45033</v>
      </c>
      <c r="D69" s="161" t="s">
        <v>9</v>
      </c>
      <c r="E69" s="161" t="s">
        <v>49</v>
      </c>
      <c r="F69" s="222">
        <v>433</v>
      </c>
      <c r="G69" s="222">
        <v>435.7</v>
      </c>
      <c r="H69" s="222">
        <v>2.7</v>
      </c>
      <c r="I69" s="207">
        <v>1250</v>
      </c>
      <c r="J69" s="242">
        <f>I69*H69</f>
        <v>3375</v>
      </c>
      <c r="K69" s="153"/>
      <c r="V69" s="25">
        <f t="shared" si="25"/>
        <v>1</v>
      </c>
      <c r="W69" s="25">
        <f t="shared" si="26"/>
        <v>0</v>
      </c>
    </row>
    <row r="70" spans="1:23" x14ac:dyDescent="0.3">
      <c r="A70" s="147"/>
      <c r="B70" s="205">
        <f t="shared" si="27"/>
        <v>11</v>
      </c>
      <c r="C70" s="206">
        <v>45034</v>
      </c>
      <c r="D70" s="161" t="s">
        <v>8</v>
      </c>
      <c r="E70" s="161" t="s">
        <v>422</v>
      </c>
      <c r="F70" s="161">
        <v>1205</v>
      </c>
      <c r="G70" s="222">
        <v>1186</v>
      </c>
      <c r="H70" s="222">
        <f>1205-1186</f>
        <v>19</v>
      </c>
      <c r="I70" s="207">
        <v>500</v>
      </c>
      <c r="J70" s="242">
        <f t="shared" si="24"/>
        <v>9500</v>
      </c>
      <c r="K70" s="153"/>
      <c r="V70" s="25">
        <f t="shared" si="25"/>
        <v>1</v>
      </c>
      <c r="W70" s="25">
        <f t="shared" si="26"/>
        <v>0</v>
      </c>
    </row>
    <row r="71" spans="1:23" x14ac:dyDescent="0.3">
      <c r="A71" s="147"/>
      <c r="B71" s="205">
        <f t="shared" si="27"/>
        <v>12</v>
      </c>
      <c r="C71" s="206">
        <v>45035</v>
      </c>
      <c r="D71" s="161" t="s">
        <v>9</v>
      </c>
      <c r="E71" s="161" t="s">
        <v>4176</v>
      </c>
      <c r="F71" s="222">
        <v>4315</v>
      </c>
      <c r="G71" s="222">
        <v>4330</v>
      </c>
      <c r="H71" s="222">
        <v>15</v>
      </c>
      <c r="I71" s="207">
        <v>125</v>
      </c>
      <c r="J71" s="242">
        <f t="shared" si="24"/>
        <v>1875</v>
      </c>
      <c r="K71" s="153"/>
      <c r="V71" s="25">
        <f t="shared" si="25"/>
        <v>1</v>
      </c>
      <c r="W71" s="25">
        <f t="shared" si="26"/>
        <v>0</v>
      </c>
    </row>
    <row r="72" spans="1:23" x14ac:dyDescent="0.3">
      <c r="A72" s="147"/>
      <c r="B72" s="205">
        <f t="shared" si="27"/>
        <v>13</v>
      </c>
      <c r="C72" s="206">
        <v>45036</v>
      </c>
      <c r="D72" s="161" t="s">
        <v>8</v>
      </c>
      <c r="E72" s="161" t="s">
        <v>864</v>
      </c>
      <c r="F72" s="222">
        <v>2475</v>
      </c>
      <c r="G72" s="222">
        <v>2470</v>
      </c>
      <c r="H72" s="222">
        <v>5</v>
      </c>
      <c r="I72" s="207">
        <v>375</v>
      </c>
      <c r="J72" s="242">
        <f t="shared" si="24"/>
        <v>1875</v>
      </c>
      <c r="K72" s="153"/>
      <c r="V72" s="25">
        <f t="shared" si="25"/>
        <v>1</v>
      </c>
      <c r="W72" s="25">
        <f t="shared" si="26"/>
        <v>0</v>
      </c>
    </row>
    <row r="73" spans="1:23" x14ac:dyDescent="0.3">
      <c r="A73" s="147"/>
      <c r="B73" s="205">
        <f t="shared" si="27"/>
        <v>14</v>
      </c>
      <c r="C73" s="206">
        <v>45036</v>
      </c>
      <c r="D73" s="161" t="s">
        <v>8</v>
      </c>
      <c r="E73" s="161" t="s">
        <v>95</v>
      </c>
      <c r="F73" s="222">
        <v>894</v>
      </c>
      <c r="G73" s="222">
        <v>892</v>
      </c>
      <c r="H73" s="255">
        <v>2</v>
      </c>
      <c r="I73" s="207">
        <v>700</v>
      </c>
      <c r="J73" s="242">
        <f t="shared" si="24"/>
        <v>1400</v>
      </c>
      <c r="K73" s="153"/>
      <c r="V73" s="25">
        <f t="shared" si="25"/>
        <v>1</v>
      </c>
      <c r="W73" s="25">
        <f t="shared" si="26"/>
        <v>0</v>
      </c>
    </row>
    <row r="74" spans="1:23" x14ac:dyDescent="0.3">
      <c r="A74" s="147"/>
      <c r="B74" s="205">
        <f t="shared" si="27"/>
        <v>15</v>
      </c>
      <c r="C74" s="264">
        <v>45037</v>
      </c>
      <c r="D74" s="265" t="s">
        <v>9</v>
      </c>
      <c r="E74" s="265" t="s">
        <v>800</v>
      </c>
      <c r="F74" s="277">
        <v>1440</v>
      </c>
      <c r="G74" s="267">
        <v>1450</v>
      </c>
      <c r="H74" s="222">
        <v>10</v>
      </c>
      <c r="I74" s="207">
        <v>400</v>
      </c>
      <c r="J74" s="242">
        <f t="shared" si="24"/>
        <v>4000</v>
      </c>
      <c r="K74" s="153"/>
      <c r="V74" s="25">
        <f t="shared" si="25"/>
        <v>1</v>
      </c>
      <c r="W74" s="25">
        <f t="shared" si="26"/>
        <v>0</v>
      </c>
    </row>
    <row r="75" spans="1:23" x14ac:dyDescent="0.3">
      <c r="A75" s="147"/>
      <c r="B75" s="205">
        <f t="shared" si="27"/>
        <v>16</v>
      </c>
      <c r="C75" s="264">
        <v>45040</v>
      </c>
      <c r="D75" s="265" t="s">
        <v>8</v>
      </c>
      <c r="E75" s="265" t="s">
        <v>299</v>
      </c>
      <c r="F75" s="277">
        <v>1800</v>
      </c>
      <c r="G75" s="267">
        <v>1780</v>
      </c>
      <c r="H75" s="222">
        <f>1800-1780</f>
        <v>20</v>
      </c>
      <c r="I75" s="207"/>
      <c r="J75" s="242">
        <f t="shared" si="24"/>
        <v>0</v>
      </c>
      <c r="K75" s="153"/>
      <c r="V75" s="25">
        <f t="shared" si="25"/>
        <v>0</v>
      </c>
      <c r="W75" s="25">
        <f t="shared" si="26"/>
        <v>0</v>
      </c>
    </row>
    <row r="76" spans="1:23" x14ac:dyDescent="0.3">
      <c r="A76" s="147"/>
      <c r="B76" s="205">
        <f t="shared" si="27"/>
        <v>17</v>
      </c>
      <c r="C76" s="206">
        <v>45041</v>
      </c>
      <c r="D76" s="161" t="s">
        <v>9</v>
      </c>
      <c r="E76" s="161" t="s">
        <v>552</v>
      </c>
      <c r="F76" s="222">
        <v>1118</v>
      </c>
      <c r="G76" s="222">
        <v>1128</v>
      </c>
      <c r="H76" s="222">
        <v>10</v>
      </c>
      <c r="I76" s="207"/>
      <c r="J76" s="242">
        <f t="shared" si="24"/>
        <v>0</v>
      </c>
      <c r="K76" s="153"/>
      <c r="V76" s="25">
        <f t="shared" si="25"/>
        <v>0</v>
      </c>
      <c r="W76" s="25">
        <f t="shared" si="26"/>
        <v>0</v>
      </c>
    </row>
    <row r="77" spans="1:23" x14ac:dyDescent="0.3">
      <c r="A77" s="147"/>
      <c r="B77" s="205">
        <f t="shared" si="27"/>
        <v>18</v>
      </c>
      <c r="C77" s="206">
        <v>45042</v>
      </c>
      <c r="D77" s="161" t="s">
        <v>9</v>
      </c>
      <c r="E77" s="161" t="s">
        <v>3528</v>
      </c>
      <c r="F77" s="222">
        <v>197.5</v>
      </c>
      <c r="G77" s="222">
        <v>199.1</v>
      </c>
      <c r="H77" s="222">
        <f>199.1-197.5</f>
        <v>1.5999999999999943</v>
      </c>
      <c r="I77" s="207">
        <v>3375</v>
      </c>
      <c r="J77" s="242">
        <f t="shared" si="24"/>
        <v>5399.9999999999809</v>
      </c>
      <c r="K77" s="153"/>
      <c r="V77" s="25">
        <f t="shared" si="25"/>
        <v>1</v>
      </c>
      <c r="W77" s="25">
        <f t="shared" si="26"/>
        <v>0</v>
      </c>
    </row>
    <row r="78" spans="1:23" x14ac:dyDescent="0.3">
      <c r="A78" s="147"/>
      <c r="B78" s="205">
        <f t="shared" si="27"/>
        <v>19</v>
      </c>
      <c r="C78" s="206">
        <v>45043</v>
      </c>
      <c r="D78" s="161" t="s">
        <v>8</v>
      </c>
      <c r="E78" s="161" t="s">
        <v>4176</v>
      </c>
      <c r="F78" s="223">
        <v>4370</v>
      </c>
      <c r="G78" s="222">
        <v>4362</v>
      </c>
      <c r="H78" s="255">
        <f>4370-4362</f>
        <v>8</v>
      </c>
      <c r="I78" s="207">
        <v>125</v>
      </c>
      <c r="J78" s="242">
        <f t="shared" si="24"/>
        <v>1000</v>
      </c>
      <c r="K78" s="153"/>
      <c r="V78" s="25">
        <f t="shared" si="25"/>
        <v>1</v>
      </c>
      <c r="W78" s="25">
        <f t="shared" si="26"/>
        <v>0</v>
      </c>
    </row>
    <row r="79" spans="1:23" x14ac:dyDescent="0.3">
      <c r="A79" s="147"/>
      <c r="B79" s="205">
        <f t="shared" si="27"/>
        <v>20</v>
      </c>
      <c r="C79" s="206">
        <v>44985</v>
      </c>
      <c r="D79" s="161" t="s">
        <v>8</v>
      </c>
      <c r="E79" s="161" t="s">
        <v>95</v>
      </c>
      <c r="F79" s="222">
        <v>920</v>
      </c>
      <c r="G79" s="222">
        <v>917</v>
      </c>
      <c r="H79" s="222">
        <v>3</v>
      </c>
      <c r="I79" s="207">
        <v>3375</v>
      </c>
      <c r="J79" s="242">
        <f t="shared" si="24"/>
        <v>10125</v>
      </c>
      <c r="K79" s="153"/>
      <c r="V79" s="25">
        <f t="shared" si="25"/>
        <v>1</v>
      </c>
      <c r="W79" s="25">
        <f t="shared" si="26"/>
        <v>0</v>
      </c>
    </row>
    <row r="80" spans="1:23" x14ac:dyDescent="0.3">
      <c r="A80" s="147"/>
      <c r="B80" s="205">
        <f t="shared" si="27"/>
        <v>21</v>
      </c>
      <c r="C80" s="206"/>
      <c r="D80" s="161"/>
      <c r="E80" s="161"/>
      <c r="F80" s="222"/>
      <c r="G80" s="222"/>
      <c r="H80" s="222"/>
      <c r="I80" s="207"/>
      <c r="J80" s="242">
        <f t="shared" si="24"/>
        <v>0</v>
      </c>
      <c r="K80" s="153"/>
      <c r="V80" s="25">
        <f t="shared" si="25"/>
        <v>0</v>
      </c>
      <c r="W80" s="25">
        <f t="shared" si="26"/>
        <v>0</v>
      </c>
    </row>
    <row r="81" spans="1:23" x14ac:dyDescent="0.3">
      <c r="A81" s="147"/>
      <c r="B81" s="205">
        <f t="shared" si="27"/>
        <v>22</v>
      </c>
      <c r="C81" s="206"/>
      <c r="D81" s="161"/>
      <c r="E81" s="161"/>
      <c r="F81" s="222"/>
      <c r="G81" s="222"/>
      <c r="H81" s="222"/>
      <c r="I81" s="207"/>
      <c r="J81" s="242">
        <f t="shared" si="24"/>
        <v>0</v>
      </c>
      <c r="K81" s="153"/>
    </row>
    <row r="82" spans="1:23" x14ac:dyDescent="0.3">
      <c r="A82" s="147"/>
      <c r="B82" s="205">
        <f t="shared" si="27"/>
        <v>23</v>
      </c>
      <c r="C82" s="206"/>
      <c r="D82" s="161"/>
      <c r="E82" s="161"/>
      <c r="F82" s="222"/>
      <c r="G82" s="222"/>
      <c r="H82" s="222"/>
      <c r="I82" s="207"/>
      <c r="J82" s="242">
        <f t="shared" si="24"/>
        <v>0</v>
      </c>
      <c r="K82" s="153"/>
      <c r="V82" s="25">
        <f t="shared" si="25"/>
        <v>0</v>
      </c>
      <c r="W82" s="25">
        <f t="shared" si="2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2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2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24"/>
        <v>0</v>
      </c>
      <c r="K85" s="153"/>
      <c r="V85" s="25">
        <f t="shared" si="25"/>
        <v>0</v>
      </c>
      <c r="W85" s="25">
        <f t="shared" si="2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76084.999999999942</v>
      </c>
      <c r="K86" s="153"/>
      <c r="V86" s="25">
        <f>SUM(V60:V85)</f>
        <v>17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4155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45019</v>
      </c>
      <c r="D94" s="185" t="s">
        <v>9</v>
      </c>
      <c r="E94" s="185" t="s">
        <v>39</v>
      </c>
      <c r="F94" s="219">
        <v>17440</v>
      </c>
      <c r="G94" s="219">
        <v>17400</v>
      </c>
      <c r="H94" s="185">
        <v>-40</v>
      </c>
      <c r="I94" s="219">
        <v>150</v>
      </c>
      <c r="J94" s="246">
        <f t="shared" ref="J94:J116" si="28">I94*H94</f>
        <v>-6000</v>
      </c>
      <c r="K94" s="153"/>
      <c r="V94" s="25">
        <f>IF($J94&gt;0,1,0)</f>
        <v>0</v>
      </c>
      <c r="W94" s="25">
        <f>IF($J94&lt;0,1,0)</f>
        <v>1</v>
      </c>
    </row>
    <row r="95" spans="1:23" x14ac:dyDescent="0.3">
      <c r="A95" s="147"/>
      <c r="B95" s="205">
        <f>B94+1</f>
        <v>2</v>
      </c>
      <c r="C95" s="218">
        <v>45021</v>
      </c>
      <c r="D95" s="185" t="s">
        <v>8</v>
      </c>
      <c r="E95" s="185" t="s">
        <v>39</v>
      </c>
      <c r="F95" s="219">
        <v>17550</v>
      </c>
      <c r="G95" s="219">
        <v>17590</v>
      </c>
      <c r="H95" s="185">
        <v>-40</v>
      </c>
      <c r="I95" s="219">
        <v>150</v>
      </c>
      <c r="J95" s="242">
        <f t="shared" si="28"/>
        <v>-6000</v>
      </c>
      <c r="K95" s="153"/>
      <c r="V95" s="25">
        <f t="shared" ref="V95:V116" si="29">IF($J95&gt;0,1,0)</f>
        <v>0</v>
      </c>
      <c r="W95" s="25">
        <f t="shared" ref="W95:W116" si="30">IF($J95&lt;0,1,0)</f>
        <v>1</v>
      </c>
    </row>
    <row r="96" spans="1:23" x14ac:dyDescent="0.3">
      <c r="A96" s="147"/>
      <c r="B96" s="205">
        <f t="shared" ref="B96:B116" si="31">B95+1</f>
        <v>3</v>
      </c>
      <c r="C96" s="206">
        <v>45022</v>
      </c>
      <c r="D96" s="161" t="s">
        <v>9</v>
      </c>
      <c r="E96" s="161" t="s">
        <v>39</v>
      </c>
      <c r="F96" s="207">
        <v>17640</v>
      </c>
      <c r="G96" s="207">
        <v>17700</v>
      </c>
      <c r="H96" s="161">
        <f>17700-17640</f>
        <v>60</v>
      </c>
      <c r="I96" s="207">
        <v>150</v>
      </c>
      <c r="J96" s="242">
        <f t="shared" si="28"/>
        <v>9000</v>
      </c>
      <c r="K96" s="153"/>
      <c r="V96" s="25">
        <f t="shared" si="29"/>
        <v>1</v>
      </c>
      <c r="W96" s="25">
        <f t="shared" si="30"/>
        <v>0</v>
      </c>
    </row>
    <row r="97" spans="1:23" x14ac:dyDescent="0.3">
      <c r="A97" s="147"/>
      <c r="B97" s="205">
        <f t="shared" si="31"/>
        <v>4</v>
      </c>
      <c r="C97" s="206">
        <v>45026</v>
      </c>
      <c r="D97" s="161" t="s">
        <v>8</v>
      </c>
      <c r="E97" s="161" t="s">
        <v>39</v>
      </c>
      <c r="F97" s="207">
        <v>17680</v>
      </c>
      <c r="G97" s="207">
        <v>17664</v>
      </c>
      <c r="H97" s="161">
        <f>17680-17664</f>
        <v>16</v>
      </c>
      <c r="I97" s="207">
        <v>150</v>
      </c>
      <c r="J97" s="242">
        <f t="shared" si="28"/>
        <v>2400</v>
      </c>
      <c r="K97" s="153"/>
      <c r="V97" s="25">
        <f t="shared" si="29"/>
        <v>1</v>
      </c>
      <c r="W97" s="25">
        <f t="shared" si="30"/>
        <v>0</v>
      </c>
    </row>
    <row r="98" spans="1:23" x14ac:dyDescent="0.3">
      <c r="A98" s="147"/>
      <c r="B98" s="205">
        <f t="shared" si="31"/>
        <v>5</v>
      </c>
      <c r="C98" s="206">
        <v>45027</v>
      </c>
      <c r="D98" s="161" t="s">
        <v>9</v>
      </c>
      <c r="E98" s="161" t="s">
        <v>39</v>
      </c>
      <c r="F98" s="207">
        <v>17760</v>
      </c>
      <c r="G98" s="207">
        <v>17800</v>
      </c>
      <c r="H98" s="161">
        <f>17800-17760</f>
        <v>40</v>
      </c>
      <c r="I98" s="207">
        <v>150</v>
      </c>
      <c r="J98" s="242">
        <f t="shared" si="28"/>
        <v>6000</v>
      </c>
      <c r="K98" s="153"/>
      <c r="V98" s="25">
        <f t="shared" si="29"/>
        <v>1</v>
      </c>
      <c r="W98" s="25">
        <f t="shared" si="30"/>
        <v>0</v>
      </c>
    </row>
    <row r="99" spans="1:23" x14ac:dyDescent="0.3">
      <c r="A99" s="147"/>
      <c r="B99" s="205">
        <f t="shared" si="31"/>
        <v>6</v>
      </c>
      <c r="C99" s="206">
        <v>45028</v>
      </c>
      <c r="D99" s="161" t="s">
        <v>9</v>
      </c>
      <c r="E99" s="161" t="s">
        <v>39</v>
      </c>
      <c r="F99" s="207">
        <v>17820</v>
      </c>
      <c r="G99" s="207">
        <v>17875</v>
      </c>
      <c r="H99" s="161">
        <f>17875-17820</f>
        <v>55</v>
      </c>
      <c r="I99" s="207">
        <v>150</v>
      </c>
      <c r="J99" s="242">
        <f t="shared" si="28"/>
        <v>8250</v>
      </c>
      <c r="K99" s="153"/>
      <c r="V99" s="25">
        <f t="shared" si="29"/>
        <v>1</v>
      </c>
      <c r="W99" s="25">
        <f t="shared" si="30"/>
        <v>0</v>
      </c>
    </row>
    <row r="100" spans="1:23" x14ac:dyDescent="0.3">
      <c r="A100" s="147"/>
      <c r="B100" s="205">
        <f t="shared" si="31"/>
        <v>7</v>
      </c>
      <c r="C100" s="206">
        <v>45029</v>
      </c>
      <c r="D100" s="161" t="s">
        <v>9</v>
      </c>
      <c r="E100" s="161" t="s">
        <v>39</v>
      </c>
      <c r="F100" s="207">
        <v>17840</v>
      </c>
      <c r="G100" s="207">
        <v>17800</v>
      </c>
      <c r="H100" s="161">
        <v>-40</v>
      </c>
      <c r="I100" s="207">
        <v>150</v>
      </c>
      <c r="J100" s="242">
        <f t="shared" si="28"/>
        <v>-6000</v>
      </c>
      <c r="K100" s="153"/>
      <c r="V100" s="25">
        <f t="shared" si="29"/>
        <v>0</v>
      </c>
      <c r="W100" s="25">
        <f t="shared" si="30"/>
        <v>1</v>
      </c>
    </row>
    <row r="101" spans="1:23" x14ac:dyDescent="0.3">
      <c r="A101" s="147"/>
      <c r="B101" s="205">
        <f t="shared" si="31"/>
        <v>8</v>
      </c>
      <c r="C101" s="206">
        <v>45033</v>
      </c>
      <c r="D101" s="161" t="s">
        <v>8</v>
      </c>
      <c r="E101" s="161" t="s">
        <v>39</v>
      </c>
      <c r="F101" s="207">
        <v>17730</v>
      </c>
      <c r="G101" s="207">
        <v>17713</v>
      </c>
      <c r="H101" s="161">
        <f>17730-17713</f>
        <v>17</v>
      </c>
      <c r="I101" s="207">
        <v>150</v>
      </c>
      <c r="J101" s="242">
        <f t="shared" si="28"/>
        <v>2550</v>
      </c>
      <c r="K101" s="153"/>
      <c r="V101" s="25">
        <f t="shared" si="29"/>
        <v>1</v>
      </c>
      <c r="W101" s="25">
        <f t="shared" si="30"/>
        <v>0</v>
      </c>
    </row>
    <row r="102" spans="1:23" x14ac:dyDescent="0.3">
      <c r="A102" s="147"/>
      <c r="B102" s="205">
        <f t="shared" si="31"/>
        <v>9</v>
      </c>
      <c r="C102" s="206">
        <v>45034</v>
      </c>
      <c r="D102" s="161" t="s">
        <v>8</v>
      </c>
      <c r="E102" s="161" t="s">
        <v>39</v>
      </c>
      <c r="F102" s="207">
        <v>17760</v>
      </c>
      <c r="G102" s="207">
        <v>17680</v>
      </c>
      <c r="H102" s="161">
        <v>40</v>
      </c>
      <c r="I102" s="207">
        <v>150</v>
      </c>
      <c r="J102" s="242">
        <f t="shared" si="28"/>
        <v>6000</v>
      </c>
      <c r="K102" s="153"/>
      <c r="V102" s="25">
        <f t="shared" si="29"/>
        <v>1</v>
      </c>
      <c r="W102" s="25">
        <f t="shared" si="30"/>
        <v>0</v>
      </c>
    </row>
    <row r="103" spans="1:23" x14ac:dyDescent="0.3">
      <c r="A103" s="147"/>
      <c r="B103" s="205">
        <f t="shared" si="31"/>
        <v>10</v>
      </c>
      <c r="C103" s="206">
        <v>45035</v>
      </c>
      <c r="D103" s="161" t="s">
        <v>8</v>
      </c>
      <c r="E103" s="161" t="s">
        <v>39</v>
      </c>
      <c r="F103" s="207">
        <v>17680</v>
      </c>
      <c r="G103" s="207">
        <v>17628</v>
      </c>
      <c r="H103" s="161">
        <f>17680-17628</f>
        <v>52</v>
      </c>
      <c r="I103" s="207">
        <v>150</v>
      </c>
      <c r="J103" s="242">
        <f t="shared" si="28"/>
        <v>7800</v>
      </c>
      <c r="K103" s="153"/>
      <c r="V103" s="25">
        <f t="shared" si="29"/>
        <v>1</v>
      </c>
      <c r="W103" s="25">
        <f t="shared" si="30"/>
        <v>0</v>
      </c>
    </row>
    <row r="104" spans="1:23" x14ac:dyDescent="0.3">
      <c r="A104" s="147"/>
      <c r="B104" s="205">
        <f t="shared" si="31"/>
        <v>11</v>
      </c>
      <c r="C104" s="206">
        <v>45036</v>
      </c>
      <c r="D104" s="161" t="s">
        <v>8</v>
      </c>
      <c r="E104" s="161" t="s">
        <v>39</v>
      </c>
      <c r="F104" s="207">
        <v>17690</v>
      </c>
      <c r="G104" s="207">
        <v>17630</v>
      </c>
      <c r="H104" s="161">
        <f>17690-17630</f>
        <v>60</v>
      </c>
      <c r="I104" s="207">
        <v>150</v>
      </c>
      <c r="J104" s="242">
        <f t="shared" si="28"/>
        <v>9000</v>
      </c>
      <c r="K104" s="153"/>
      <c r="V104" s="25">
        <f t="shared" si="29"/>
        <v>1</v>
      </c>
      <c r="W104" s="25">
        <f t="shared" si="30"/>
        <v>0</v>
      </c>
    </row>
    <row r="105" spans="1:23" x14ac:dyDescent="0.3">
      <c r="A105" s="147"/>
      <c r="B105" s="205">
        <f t="shared" si="31"/>
        <v>12</v>
      </c>
      <c r="C105" s="206">
        <v>45037</v>
      </c>
      <c r="D105" s="161" t="s">
        <v>8</v>
      </c>
      <c r="E105" s="161" t="s">
        <v>39</v>
      </c>
      <c r="F105" s="207">
        <v>17660</v>
      </c>
      <c r="G105" s="207">
        <v>17583</v>
      </c>
      <c r="H105" s="161">
        <f>17660-17583</f>
        <v>77</v>
      </c>
      <c r="I105" s="207">
        <v>150</v>
      </c>
      <c r="J105" s="242">
        <f t="shared" si="28"/>
        <v>11550</v>
      </c>
      <c r="K105" s="153"/>
      <c r="V105" s="25">
        <f t="shared" si="29"/>
        <v>1</v>
      </c>
      <c r="W105" s="25">
        <f t="shared" si="30"/>
        <v>0</v>
      </c>
    </row>
    <row r="106" spans="1:23" x14ac:dyDescent="0.3">
      <c r="A106" s="147"/>
      <c r="B106" s="205">
        <f t="shared" si="31"/>
        <v>13</v>
      </c>
      <c r="C106" s="206">
        <v>45040</v>
      </c>
      <c r="D106" s="161" t="s">
        <v>8</v>
      </c>
      <c r="E106" s="161" t="s">
        <v>39</v>
      </c>
      <c r="F106" s="207">
        <v>17660</v>
      </c>
      <c r="G106" s="207">
        <v>17642</v>
      </c>
      <c r="H106" s="161">
        <f>17660-17642</f>
        <v>18</v>
      </c>
      <c r="I106" s="207">
        <v>150</v>
      </c>
      <c r="J106" s="242">
        <f t="shared" si="28"/>
        <v>2700</v>
      </c>
      <c r="K106" s="153"/>
      <c r="V106" s="25">
        <f t="shared" si="29"/>
        <v>1</v>
      </c>
      <c r="W106" s="25">
        <f t="shared" si="30"/>
        <v>0</v>
      </c>
    </row>
    <row r="107" spans="1:23" x14ac:dyDescent="0.3">
      <c r="A107" s="147"/>
      <c r="B107" s="205">
        <f t="shared" si="31"/>
        <v>14</v>
      </c>
      <c r="C107" s="206">
        <v>45041</v>
      </c>
      <c r="D107" s="161" t="s">
        <v>9</v>
      </c>
      <c r="E107" s="161" t="s">
        <v>39</v>
      </c>
      <c r="F107" s="207">
        <v>17770</v>
      </c>
      <c r="G107" s="207">
        <v>17810</v>
      </c>
      <c r="H107" s="161">
        <f>17810-17770</f>
        <v>40</v>
      </c>
      <c r="I107" s="207">
        <v>150</v>
      </c>
      <c r="J107" s="242">
        <f t="shared" si="28"/>
        <v>6000</v>
      </c>
      <c r="K107" s="153"/>
      <c r="V107" s="25">
        <f t="shared" si="29"/>
        <v>1</v>
      </c>
      <c r="W107" s="25">
        <f t="shared" si="30"/>
        <v>0</v>
      </c>
    </row>
    <row r="108" spans="1:23" x14ac:dyDescent="0.3">
      <c r="A108" s="147"/>
      <c r="B108" s="205">
        <f t="shared" si="31"/>
        <v>15</v>
      </c>
      <c r="C108" s="206">
        <v>45042</v>
      </c>
      <c r="D108" s="161" t="s">
        <v>8</v>
      </c>
      <c r="E108" s="161" t="s">
        <v>39</v>
      </c>
      <c r="F108" s="207">
        <v>17750</v>
      </c>
      <c r="G108" s="207">
        <v>17730</v>
      </c>
      <c r="H108" s="161">
        <v>20</v>
      </c>
      <c r="I108" s="207">
        <v>150</v>
      </c>
      <c r="J108" s="242">
        <f t="shared" si="28"/>
        <v>3000</v>
      </c>
      <c r="K108" s="153"/>
      <c r="V108" s="25">
        <f t="shared" si="29"/>
        <v>1</v>
      </c>
      <c r="W108" s="25">
        <f t="shared" si="30"/>
        <v>0</v>
      </c>
    </row>
    <row r="109" spans="1:23" x14ac:dyDescent="0.3">
      <c r="A109" s="147"/>
      <c r="B109" s="205">
        <f t="shared" si="31"/>
        <v>16</v>
      </c>
      <c r="C109" s="206">
        <v>45043</v>
      </c>
      <c r="D109" s="161" t="s">
        <v>9</v>
      </c>
      <c r="E109" s="161" t="s">
        <v>39</v>
      </c>
      <c r="F109" s="207">
        <v>17830</v>
      </c>
      <c r="G109" s="207">
        <v>17910</v>
      </c>
      <c r="H109" s="161">
        <v>80</v>
      </c>
      <c r="I109" s="207">
        <v>150</v>
      </c>
      <c r="J109" s="242">
        <f t="shared" si="28"/>
        <v>12000</v>
      </c>
      <c r="K109" s="153"/>
      <c r="V109" s="25">
        <f t="shared" si="29"/>
        <v>1</v>
      </c>
      <c r="W109" s="25">
        <f t="shared" si="30"/>
        <v>0</v>
      </c>
    </row>
    <row r="110" spans="1:23" x14ac:dyDescent="0.3">
      <c r="A110" s="147"/>
      <c r="B110" s="205">
        <f t="shared" si="31"/>
        <v>17</v>
      </c>
      <c r="C110" s="206">
        <v>44985</v>
      </c>
      <c r="D110" s="161" t="s">
        <v>8</v>
      </c>
      <c r="E110" s="161" t="s">
        <v>39</v>
      </c>
      <c r="F110" s="207">
        <v>18000</v>
      </c>
      <c r="G110" s="207">
        <v>17965</v>
      </c>
      <c r="H110" s="161">
        <f>18000-17965</f>
        <v>35</v>
      </c>
      <c r="I110" s="207">
        <v>150</v>
      </c>
      <c r="J110" s="242">
        <f t="shared" si="28"/>
        <v>5250</v>
      </c>
      <c r="K110" s="153"/>
      <c r="V110" s="25">
        <f t="shared" si="29"/>
        <v>1</v>
      </c>
      <c r="W110" s="25">
        <f t="shared" si="30"/>
        <v>0</v>
      </c>
    </row>
    <row r="111" spans="1:23" x14ac:dyDescent="0.3">
      <c r="A111" s="147"/>
      <c r="B111" s="205">
        <f t="shared" si="31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28"/>
        <v>0</v>
      </c>
      <c r="K111" s="153"/>
      <c r="V111" s="25">
        <f t="shared" si="29"/>
        <v>0</v>
      </c>
      <c r="W111" s="25">
        <f t="shared" si="30"/>
        <v>0</v>
      </c>
    </row>
    <row r="112" spans="1:23" x14ac:dyDescent="0.3">
      <c r="A112" s="147"/>
      <c r="B112" s="205">
        <f t="shared" si="31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29"/>
        <v>0</v>
      </c>
      <c r="W112" s="25">
        <f t="shared" si="30"/>
        <v>0</v>
      </c>
    </row>
    <row r="113" spans="1:23" x14ac:dyDescent="0.3">
      <c r="A113" s="147"/>
      <c r="B113" s="205">
        <f t="shared" si="3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28"/>
        <v>0</v>
      </c>
      <c r="K113" s="153"/>
      <c r="V113" s="25">
        <f t="shared" si="29"/>
        <v>0</v>
      </c>
      <c r="W113" s="25">
        <f t="shared" si="30"/>
        <v>0</v>
      </c>
    </row>
    <row r="114" spans="1:23" x14ac:dyDescent="0.3">
      <c r="A114" s="147"/>
      <c r="B114" s="205">
        <f t="shared" si="3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28"/>
        <v>0</v>
      </c>
      <c r="K114" s="153"/>
      <c r="V114" s="25">
        <f t="shared" si="29"/>
        <v>0</v>
      </c>
      <c r="W114" s="25">
        <f t="shared" si="30"/>
        <v>0</v>
      </c>
    </row>
    <row r="115" spans="1:23" x14ac:dyDescent="0.3">
      <c r="A115" s="147"/>
      <c r="B115" s="205">
        <f t="shared" si="3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28"/>
        <v>0</v>
      </c>
      <c r="K115" s="153"/>
      <c r="V115" s="25">
        <f t="shared" si="29"/>
        <v>0</v>
      </c>
      <c r="W115" s="25">
        <f t="shared" si="30"/>
        <v>0</v>
      </c>
    </row>
    <row r="116" spans="1:23" ht="15" thickBot="1" x14ac:dyDescent="0.35">
      <c r="A116" s="147"/>
      <c r="B116" s="208">
        <f t="shared" si="31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8"/>
        <v>0</v>
      </c>
      <c r="K116" s="153"/>
      <c r="V116" s="25">
        <f t="shared" si="29"/>
        <v>0</v>
      </c>
      <c r="W116" s="25">
        <f t="shared" si="30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73500</v>
      </c>
      <c r="K117" s="153"/>
      <c r="V117" s="25">
        <f>SUM(V94:V116)</f>
        <v>14</v>
      </c>
      <c r="W117" s="25">
        <f>SUM(W94:W116)</f>
        <v>3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4157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45019</v>
      </c>
      <c r="D125" s="185" t="s">
        <v>9</v>
      </c>
      <c r="E125" s="185" t="s">
        <v>3462</v>
      </c>
      <c r="F125" s="219">
        <v>130</v>
      </c>
      <c r="G125" s="231">
        <v>105</v>
      </c>
      <c r="H125" s="231">
        <v>-25</v>
      </c>
      <c r="I125" s="219">
        <v>300</v>
      </c>
      <c r="J125" s="246">
        <f t="shared" ref="J125:J149" si="32">I125*H125</f>
        <v>-7500</v>
      </c>
      <c r="K125" s="153"/>
      <c r="V125" s="25">
        <f>IF($J125&gt;0,1,0)</f>
        <v>0</v>
      </c>
      <c r="W125" s="25">
        <f>IF($J125&lt;0,1,0)</f>
        <v>1</v>
      </c>
    </row>
    <row r="126" spans="1:23" x14ac:dyDescent="0.3">
      <c r="A126" s="147"/>
      <c r="B126" s="205">
        <f>B125+1</f>
        <v>2</v>
      </c>
      <c r="C126" s="218">
        <v>45021</v>
      </c>
      <c r="D126" s="185" t="s">
        <v>9</v>
      </c>
      <c r="E126" s="185" t="s">
        <v>1603</v>
      </c>
      <c r="F126" s="219">
        <v>130</v>
      </c>
      <c r="G126" s="219">
        <v>165</v>
      </c>
      <c r="H126" s="185">
        <f>165-130</f>
        <v>35</v>
      </c>
      <c r="I126" s="219">
        <v>300</v>
      </c>
      <c r="J126" s="242">
        <f t="shared" si="32"/>
        <v>10500</v>
      </c>
      <c r="K126" s="153"/>
      <c r="V126" s="25">
        <f t="shared" ref="V126:V149" si="33">IF($J126&gt;0,1,0)</f>
        <v>1</v>
      </c>
      <c r="W126" s="25">
        <f t="shared" ref="W126:W149" si="34">IF($J126&lt;0,1,0)</f>
        <v>0</v>
      </c>
    </row>
    <row r="127" spans="1:23" x14ac:dyDescent="0.3">
      <c r="A127" s="147"/>
      <c r="B127" s="205">
        <f>B126+1</f>
        <v>3</v>
      </c>
      <c r="C127" s="206">
        <v>45022</v>
      </c>
      <c r="D127" s="161" t="s">
        <v>9</v>
      </c>
      <c r="E127" s="161" t="s">
        <v>3486</v>
      </c>
      <c r="F127" s="207">
        <v>145</v>
      </c>
      <c r="G127" s="207">
        <v>190</v>
      </c>
      <c r="H127" s="161">
        <f>190-145</f>
        <v>45</v>
      </c>
      <c r="I127" s="207">
        <v>300</v>
      </c>
      <c r="J127" s="242">
        <f t="shared" si="32"/>
        <v>13500</v>
      </c>
      <c r="K127" s="153"/>
      <c r="V127" s="25">
        <f t="shared" si="33"/>
        <v>1</v>
      </c>
      <c r="W127" s="25">
        <f t="shared" si="34"/>
        <v>0</v>
      </c>
    </row>
    <row r="128" spans="1:23" x14ac:dyDescent="0.3">
      <c r="A128" s="147"/>
      <c r="B128" s="205">
        <f t="shared" ref="B128:B149" si="35">B127+1</f>
        <v>4</v>
      </c>
      <c r="C128" s="206">
        <v>45026</v>
      </c>
      <c r="D128" s="161" t="s">
        <v>9</v>
      </c>
      <c r="E128" s="161" t="s">
        <v>3564</v>
      </c>
      <c r="F128" s="207">
        <v>160</v>
      </c>
      <c r="G128" s="207">
        <v>135</v>
      </c>
      <c r="H128" s="161">
        <v>-25</v>
      </c>
      <c r="I128" s="207">
        <v>300</v>
      </c>
      <c r="J128" s="242">
        <f t="shared" si="32"/>
        <v>-7500</v>
      </c>
      <c r="K128" s="153"/>
      <c r="V128" s="25">
        <f t="shared" si="33"/>
        <v>0</v>
      </c>
      <c r="W128" s="25">
        <f t="shared" si="34"/>
        <v>1</v>
      </c>
    </row>
    <row r="129" spans="1:23" x14ac:dyDescent="0.3">
      <c r="A129" s="147"/>
      <c r="B129" s="205">
        <f t="shared" si="35"/>
        <v>5</v>
      </c>
      <c r="C129" s="206">
        <v>45026</v>
      </c>
      <c r="D129" s="161" t="s">
        <v>9</v>
      </c>
      <c r="E129" s="161" t="s">
        <v>3564</v>
      </c>
      <c r="F129" s="207">
        <v>130</v>
      </c>
      <c r="G129" s="207">
        <v>167</v>
      </c>
      <c r="H129" s="161">
        <f>167-130</f>
        <v>37</v>
      </c>
      <c r="I129" s="207">
        <v>300</v>
      </c>
      <c r="J129" s="242">
        <f t="shared" si="32"/>
        <v>11100</v>
      </c>
      <c r="K129" s="153"/>
      <c r="M129" s="25" t="s">
        <v>2008</v>
      </c>
      <c r="V129" s="25">
        <f t="shared" si="33"/>
        <v>1</v>
      </c>
      <c r="W129" s="25">
        <f t="shared" si="34"/>
        <v>0</v>
      </c>
    </row>
    <row r="130" spans="1:23" x14ac:dyDescent="0.3">
      <c r="A130" s="147"/>
      <c r="B130" s="205">
        <f t="shared" si="35"/>
        <v>6</v>
      </c>
      <c r="C130" s="206">
        <v>45027</v>
      </c>
      <c r="D130" s="161" t="s">
        <v>9</v>
      </c>
      <c r="E130" s="161" t="s">
        <v>3504</v>
      </c>
      <c r="F130" s="207">
        <v>120</v>
      </c>
      <c r="G130" s="222">
        <v>132</v>
      </c>
      <c r="H130" s="222">
        <v>12</v>
      </c>
      <c r="I130" s="207">
        <v>300</v>
      </c>
      <c r="J130" s="242">
        <f t="shared" si="32"/>
        <v>3600</v>
      </c>
      <c r="K130" s="153"/>
      <c r="V130" s="25">
        <f t="shared" si="33"/>
        <v>1</v>
      </c>
      <c r="W130" s="25">
        <f t="shared" si="34"/>
        <v>0</v>
      </c>
    </row>
    <row r="131" spans="1:23" x14ac:dyDescent="0.3">
      <c r="A131" s="147"/>
      <c r="B131" s="205">
        <f t="shared" si="35"/>
        <v>7</v>
      </c>
      <c r="C131" s="206">
        <v>45028</v>
      </c>
      <c r="D131" s="161" t="s">
        <v>9</v>
      </c>
      <c r="E131" s="161" t="s">
        <v>3504</v>
      </c>
      <c r="F131" s="207">
        <v>120</v>
      </c>
      <c r="G131" s="207">
        <v>170</v>
      </c>
      <c r="H131" s="161">
        <v>50</v>
      </c>
      <c r="I131" s="207">
        <v>300</v>
      </c>
      <c r="J131" s="242">
        <f t="shared" si="32"/>
        <v>15000</v>
      </c>
      <c r="K131" s="153"/>
      <c r="V131" s="25">
        <f t="shared" si="33"/>
        <v>1</v>
      </c>
      <c r="W131" s="25">
        <f t="shared" si="34"/>
        <v>0</v>
      </c>
    </row>
    <row r="132" spans="1:23" x14ac:dyDescent="0.3">
      <c r="A132" s="147"/>
      <c r="B132" s="205">
        <f t="shared" si="35"/>
        <v>8</v>
      </c>
      <c r="C132" s="206">
        <v>45029</v>
      </c>
      <c r="D132" s="161" t="s">
        <v>9</v>
      </c>
      <c r="E132" s="161" t="s">
        <v>3504</v>
      </c>
      <c r="F132" s="207">
        <v>150</v>
      </c>
      <c r="G132" s="207">
        <v>160</v>
      </c>
      <c r="H132" s="161">
        <v>10</v>
      </c>
      <c r="I132" s="207">
        <v>300</v>
      </c>
      <c r="J132" s="242">
        <f t="shared" si="32"/>
        <v>3000</v>
      </c>
      <c r="K132" s="153"/>
      <c r="V132" s="25">
        <f t="shared" si="33"/>
        <v>1</v>
      </c>
      <c r="W132" s="25">
        <f t="shared" si="34"/>
        <v>0</v>
      </c>
    </row>
    <row r="133" spans="1:23" x14ac:dyDescent="0.3">
      <c r="A133" s="147"/>
      <c r="B133" s="205">
        <f t="shared" si="35"/>
        <v>9</v>
      </c>
      <c r="C133" s="206">
        <v>45029</v>
      </c>
      <c r="D133" s="161" t="s">
        <v>9</v>
      </c>
      <c r="E133" s="161" t="s">
        <v>3502</v>
      </c>
      <c r="F133" s="207">
        <v>105</v>
      </c>
      <c r="G133" s="222">
        <v>125</v>
      </c>
      <c r="H133" s="161">
        <v>15</v>
      </c>
      <c r="I133" s="207">
        <v>300</v>
      </c>
      <c r="J133" s="242">
        <f t="shared" si="32"/>
        <v>4500</v>
      </c>
      <c r="K133" s="153"/>
      <c r="V133" s="25">
        <f t="shared" si="33"/>
        <v>1</v>
      </c>
      <c r="W133" s="25">
        <f t="shared" si="34"/>
        <v>0</v>
      </c>
    </row>
    <row r="134" spans="1:23" x14ac:dyDescent="0.3">
      <c r="A134" s="147"/>
      <c r="B134" s="205">
        <f t="shared" si="35"/>
        <v>10</v>
      </c>
      <c r="C134" s="206">
        <v>45033</v>
      </c>
      <c r="D134" s="161" t="s">
        <v>9</v>
      </c>
      <c r="E134" s="161" t="s">
        <v>3564</v>
      </c>
      <c r="F134" s="207">
        <v>150</v>
      </c>
      <c r="G134" s="222">
        <v>175</v>
      </c>
      <c r="H134" s="222">
        <v>25</v>
      </c>
      <c r="I134" s="207">
        <v>300</v>
      </c>
      <c r="J134" s="242">
        <f t="shared" si="32"/>
        <v>7500</v>
      </c>
      <c r="K134" s="153"/>
      <c r="V134" s="25">
        <f t="shared" si="33"/>
        <v>1</v>
      </c>
      <c r="W134" s="25">
        <f t="shared" si="34"/>
        <v>0</v>
      </c>
    </row>
    <row r="135" spans="1:23" x14ac:dyDescent="0.3">
      <c r="A135" s="147"/>
      <c r="B135" s="205">
        <f t="shared" si="35"/>
        <v>11</v>
      </c>
      <c r="C135" s="206">
        <v>45034</v>
      </c>
      <c r="D135" s="161" t="s">
        <v>9</v>
      </c>
      <c r="E135" s="161" t="s">
        <v>1604</v>
      </c>
      <c r="F135" s="207">
        <v>110</v>
      </c>
      <c r="G135" s="222">
        <v>160</v>
      </c>
      <c r="H135" s="222">
        <v>50</v>
      </c>
      <c r="I135" s="207">
        <v>300</v>
      </c>
      <c r="J135" s="242">
        <f t="shared" si="32"/>
        <v>15000</v>
      </c>
      <c r="K135" s="153"/>
      <c r="V135" s="25">
        <f t="shared" si="33"/>
        <v>1</v>
      </c>
      <c r="W135" s="25">
        <f t="shared" si="34"/>
        <v>0</v>
      </c>
    </row>
    <row r="136" spans="1:23" x14ac:dyDescent="0.3">
      <c r="A136" s="147"/>
      <c r="B136" s="205">
        <f t="shared" si="35"/>
        <v>12</v>
      </c>
      <c r="C136" s="206">
        <v>45035</v>
      </c>
      <c r="D136" s="161" t="s">
        <v>9</v>
      </c>
      <c r="E136" s="161" t="s">
        <v>3564</v>
      </c>
      <c r="F136" s="207">
        <v>120</v>
      </c>
      <c r="G136" s="222">
        <v>136</v>
      </c>
      <c r="H136" s="222">
        <f>136-120</f>
        <v>16</v>
      </c>
      <c r="I136" s="207">
        <v>300</v>
      </c>
      <c r="J136" s="242">
        <f t="shared" si="32"/>
        <v>4800</v>
      </c>
      <c r="K136" s="153"/>
      <c r="V136" s="25">
        <f t="shared" si="33"/>
        <v>1</v>
      </c>
      <c r="W136" s="25">
        <f t="shared" si="34"/>
        <v>0</v>
      </c>
    </row>
    <row r="137" spans="1:23" x14ac:dyDescent="0.3">
      <c r="A137" s="147"/>
      <c r="B137" s="205">
        <f t="shared" si="35"/>
        <v>13</v>
      </c>
      <c r="C137" s="206">
        <v>45036</v>
      </c>
      <c r="D137" s="161" t="s">
        <v>9</v>
      </c>
      <c r="E137" s="161" t="s">
        <v>1604</v>
      </c>
      <c r="F137" s="207">
        <v>150</v>
      </c>
      <c r="G137" s="207">
        <v>200</v>
      </c>
      <c r="H137" s="161">
        <v>50</v>
      </c>
      <c r="I137" s="207">
        <v>300</v>
      </c>
      <c r="J137" s="242">
        <f t="shared" si="32"/>
        <v>15000</v>
      </c>
      <c r="K137" s="153"/>
      <c r="V137" s="25">
        <f t="shared" si="33"/>
        <v>1</v>
      </c>
      <c r="W137" s="25">
        <f t="shared" si="34"/>
        <v>0</v>
      </c>
    </row>
    <row r="138" spans="1:23" x14ac:dyDescent="0.3">
      <c r="A138" s="147"/>
      <c r="B138" s="205">
        <f t="shared" si="35"/>
        <v>14</v>
      </c>
      <c r="C138" s="206">
        <v>45037</v>
      </c>
      <c r="D138" s="161" t="s">
        <v>9</v>
      </c>
      <c r="E138" s="161" t="s">
        <v>1585</v>
      </c>
      <c r="F138" s="207">
        <v>120</v>
      </c>
      <c r="G138" s="207">
        <v>156</v>
      </c>
      <c r="H138" s="161">
        <f>156-120</f>
        <v>36</v>
      </c>
      <c r="I138" s="207">
        <v>300</v>
      </c>
      <c r="J138" s="242">
        <f t="shared" si="32"/>
        <v>10800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35"/>
        <v>15</v>
      </c>
      <c r="C139" s="206">
        <v>45040</v>
      </c>
      <c r="D139" s="161" t="s">
        <v>9</v>
      </c>
      <c r="E139" s="161" t="s">
        <v>3564</v>
      </c>
      <c r="F139" s="207">
        <v>125</v>
      </c>
      <c r="G139" s="207">
        <v>140</v>
      </c>
      <c r="H139" s="161">
        <f>140-125</f>
        <v>15</v>
      </c>
      <c r="I139" s="207">
        <v>300</v>
      </c>
      <c r="J139" s="242">
        <f t="shared" si="32"/>
        <v>4500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35"/>
        <v>16</v>
      </c>
      <c r="C140" s="206">
        <v>45041</v>
      </c>
      <c r="D140" s="161" t="s">
        <v>9</v>
      </c>
      <c r="E140" s="161" t="s">
        <v>3504</v>
      </c>
      <c r="F140" s="207">
        <v>150</v>
      </c>
      <c r="G140" s="207">
        <v>168</v>
      </c>
      <c r="H140" s="161">
        <v>18</v>
      </c>
      <c r="I140" s="207">
        <v>300</v>
      </c>
      <c r="J140" s="242">
        <f t="shared" si="32"/>
        <v>5400</v>
      </c>
      <c r="K140" s="153"/>
      <c r="V140" s="25">
        <f t="shared" si="33"/>
        <v>1</v>
      </c>
      <c r="W140" s="25">
        <f t="shared" si="34"/>
        <v>0</v>
      </c>
    </row>
    <row r="141" spans="1:23" x14ac:dyDescent="0.3">
      <c r="A141" s="147"/>
      <c r="B141" s="205">
        <f t="shared" si="35"/>
        <v>17</v>
      </c>
      <c r="C141" s="206">
        <v>45042</v>
      </c>
      <c r="D141" s="161" t="s">
        <v>9</v>
      </c>
      <c r="E141" s="161" t="s">
        <v>3757</v>
      </c>
      <c r="F141" s="207">
        <v>115</v>
      </c>
      <c r="G141" s="207">
        <v>135</v>
      </c>
      <c r="H141" s="161">
        <f>135-115</f>
        <v>20</v>
      </c>
      <c r="I141" s="207">
        <v>300</v>
      </c>
      <c r="J141" s="242">
        <f t="shared" si="32"/>
        <v>6000</v>
      </c>
      <c r="K141" s="153"/>
      <c r="V141" s="25">
        <f t="shared" si="33"/>
        <v>1</v>
      </c>
      <c r="W141" s="25">
        <f t="shared" si="34"/>
        <v>0</v>
      </c>
    </row>
    <row r="142" spans="1:23" x14ac:dyDescent="0.3">
      <c r="A142" s="147"/>
      <c r="B142" s="205">
        <f t="shared" si="35"/>
        <v>18</v>
      </c>
      <c r="C142" s="206">
        <v>45042</v>
      </c>
      <c r="D142" s="161" t="s">
        <v>9</v>
      </c>
      <c r="E142" s="161" t="s">
        <v>3502</v>
      </c>
      <c r="F142" s="207">
        <v>130</v>
      </c>
      <c r="G142" s="222">
        <v>105</v>
      </c>
      <c r="H142" s="222">
        <v>-25</v>
      </c>
      <c r="I142" s="207">
        <v>300</v>
      </c>
      <c r="J142" s="242">
        <f t="shared" si="32"/>
        <v>-7500</v>
      </c>
      <c r="K142" s="153"/>
      <c r="V142" s="25">
        <f t="shared" si="33"/>
        <v>0</v>
      </c>
      <c r="W142" s="25">
        <f t="shared" si="34"/>
        <v>1</v>
      </c>
    </row>
    <row r="143" spans="1:23" x14ac:dyDescent="0.3">
      <c r="A143" s="147"/>
      <c r="B143" s="205">
        <f t="shared" si="35"/>
        <v>19</v>
      </c>
      <c r="C143" s="206">
        <v>45043</v>
      </c>
      <c r="D143" s="161" t="s">
        <v>9</v>
      </c>
      <c r="E143" s="161" t="s">
        <v>1584</v>
      </c>
      <c r="F143" s="207">
        <v>135</v>
      </c>
      <c r="G143" s="222">
        <v>185</v>
      </c>
      <c r="H143" s="222">
        <v>50</v>
      </c>
      <c r="I143" s="207">
        <v>300</v>
      </c>
      <c r="J143" s="242">
        <f t="shared" si="32"/>
        <v>15000</v>
      </c>
      <c r="K143" s="153"/>
      <c r="V143" s="25">
        <f t="shared" si="33"/>
        <v>1</v>
      </c>
      <c r="W143" s="25">
        <f t="shared" si="34"/>
        <v>0</v>
      </c>
    </row>
    <row r="144" spans="1:23" x14ac:dyDescent="0.3">
      <c r="A144" s="147"/>
      <c r="B144" s="205">
        <f t="shared" si="35"/>
        <v>20</v>
      </c>
      <c r="C144" s="206">
        <v>45044</v>
      </c>
      <c r="D144" s="161" t="s">
        <v>9</v>
      </c>
      <c r="E144" s="161" t="s">
        <v>1605</v>
      </c>
      <c r="F144" s="207">
        <v>125</v>
      </c>
      <c r="G144" s="222">
        <v>100</v>
      </c>
      <c r="H144" s="222">
        <v>-25</v>
      </c>
      <c r="I144" s="207">
        <v>300</v>
      </c>
      <c r="J144" s="242">
        <f t="shared" si="32"/>
        <v>-7500</v>
      </c>
      <c r="K144" s="153"/>
      <c r="V144" s="25">
        <f t="shared" si="33"/>
        <v>0</v>
      </c>
      <c r="W144" s="25">
        <f t="shared" si="34"/>
        <v>1</v>
      </c>
    </row>
    <row r="145" spans="1:23" x14ac:dyDescent="0.3">
      <c r="A145" s="147"/>
      <c r="B145" s="205">
        <f t="shared" si="35"/>
        <v>21</v>
      </c>
      <c r="C145" s="206"/>
      <c r="D145" s="161"/>
      <c r="E145" s="161"/>
      <c r="F145" s="207"/>
      <c r="G145" s="222"/>
      <c r="H145" s="222"/>
      <c r="I145" s="207"/>
      <c r="J145" s="242">
        <f t="shared" si="32"/>
        <v>0</v>
      </c>
      <c r="K145" s="153"/>
      <c r="V145" s="25">
        <f t="shared" si="33"/>
        <v>0</v>
      </c>
      <c r="W145" s="25">
        <f t="shared" si="34"/>
        <v>0</v>
      </c>
    </row>
    <row r="146" spans="1:23" x14ac:dyDescent="0.3">
      <c r="A146" s="147"/>
      <c r="B146" s="205">
        <f t="shared" si="35"/>
        <v>22</v>
      </c>
      <c r="C146" s="206"/>
      <c r="D146" s="161"/>
      <c r="E146" s="161"/>
      <c r="F146" s="207"/>
      <c r="G146" s="222"/>
      <c r="H146" s="222"/>
      <c r="I146" s="207"/>
      <c r="J146" s="242">
        <f t="shared" si="32"/>
        <v>0</v>
      </c>
      <c r="K146" s="153"/>
      <c r="V146" s="25">
        <f t="shared" si="33"/>
        <v>0</v>
      </c>
      <c r="W146" s="25">
        <f t="shared" si="34"/>
        <v>0</v>
      </c>
    </row>
    <row r="147" spans="1:23" x14ac:dyDescent="0.3">
      <c r="A147" s="147"/>
      <c r="B147" s="205">
        <f t="shared" si="35"/>
        <v>23</v>
      </c>
      <c r="C147" s="206"/>
      <c r="D147" s="161"/>
      <c r="E147" s="161"/>
      <c r="F147" s="207"/>
      <c r="G147" s="222"/>
      <c r="H147" s="161"/>
      <c r="I147" s="207"/>
      <c r="J147" s="242">
        <f t="shared" si="32"/>
        <v>0</v>
      </c>
      <c r="K147" s="153"/>
      <c r="V147" s="25">
        <f t="shared" si="33"/>
        <v>0</v>
      </c>
      <c r="W147" s="25">
        <f t="shared" si="34"/>
        <v>0</v>
      </c>
    </row>
    <row r="148" spans="1:23" x14ac:dyDescent="0.3">
      <c r="A148" s="147"/>
      <c r="B148" s="205">
        <f t="shared" si="35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32"/>
        <v>0</v>
      </c>
      <c r="K148" s="153"/>
      <c r="V148" s="25">
        <f t="shared" si="33"/>
        <v>0</v>
      </c>
      <c r="W148" s="25">
        <f t="shared" si="34"/>
        <v>0</v>
      </c>
    </row>
    <row r="149" spans="1:23" ht="15" thickBot="1" x14ac:dyDescent="0.35">
      <c r="A149" s="147"/>
      <c r="B149" s="205">
        <f t="shared" si="35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32"/>
        <v>0</v>
      </c>
      <c r="K149" s="153"/>
      <c r="V149" s="25">
        <f t="shared" si="33"/>
        <v>0</v>
      </c>
      <c r="W149" s="25">
        <f t="shared" si="34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115200</v>
      </c>
      <c r="K150" s="153"/>
      <c r="V150" s="25">
        <f>SUM(V125:V149)</f>
        <v>16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4155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45019</v>
      </c>
      <c r="D158" s="185" t="s">
        <v>9</v>
      </c>
      <c r="E158" s="185" t="s">
        <v>301</v>
      </c>
      <c r="F158" s="219">
        <v>40850</v>
      </c>
      <c r="G158" s="231">
        <v>41050</v>
      </c>
      <c r="H158" s="185">
        <f>41050-40850</f>
        <v>200</v>
      </c>
      <c r="I158" s="219">
        <v>50</v>
      </c>
      <c r="J158" s="246">
        <f t="shared" ref="J158:J180" si="36">I158*H158</f>
        <v>10000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45021</v>
      </c>
      <c r="D159" s="185" t="s">
        <v>8</v>
      </c>
      <c r="E159" s="185" t="s">
        <v>301</v>
      </c>
      <c r="F159" s="219">
        <v>41000</v>
      </c>
      <c r="G159" s="219">
        <v>41150</v>
      </c>
      <c r="H159" s="185">
        <v>-150</v>
      </c>
      <c r="I159" s="219">
        <v>50</v>
      </c>
      <c r="J159" s="242">
        <f t="shared" si="36"/>
        <v>-7500</v>
      </c>
      <c r="K159" s="153"/>
      <c r="V159" s="25">
        <f t="shared" ref="V159:V180" si="37">IF($J159&gt;0,1,0)</f>
        <v>0</v>
      </c>
      <c r="W159" s="25">
        <f t="shared" ref="W159:W180" si="38">IF($J159&lt;0,1,0)</f>
        <v>1</v>
      </c>
    </row>
    <row r="160" spans="1:23" x14ac:dyDescent="0.3">
      <c r="A160" s="147"/>
      <c r="B160" s="205">
        <f t="shared" ref="B160:B180" si="39">B159+1</f>
        <v>3</v>
      </c>
      <c r="C160" s="206">
        <v>45022</v>
      </c>
      <c r="D160" s="161" t="s">
        <v>9</v>
      </c>
      <c r="E160" s="161" t="s">
        <v>301</v>
      </c>
      <c r="F160" s="207">
        <v>41300</v>
      </c>
      <c r="G160" s="207">
        <v>41420</v>
      </c>
      <c r="H160" s="161">
        <v>120</v>
      </c>
      <c r="I160" s="207">
        <v>50</v>
      </c>
      <c r="J160" s="242">
        <f t="shared" si="36"/>
        <v>6000</v>
      </c>
      <c r="K160" s="153"/>
      <c r="V160" s="25">
        <f t="shared" si="37"/>
        <v>1</v>
      </c>
      <c r="W160" s="25">
        <f t="shared" si="38"/>
        <v>0</v>
      </c>
    </row>
    <row r="161" spans="1:23" x14ac:dyDescent="0.3">
      <c r="A161" s="147"/>
      <c r="B161" s="205">
        <f t="shared" si="39"/>
        <v>4</v>
      </c>
      <c r="C161" s="206">
        <v>45026</v>
      </c>
      <c r="D161" s="161" t="s">
        <v>8</v>
      </c>
      <c r="E161" s="161" t="s">
        <v>301</v>
      </c>
      <c r="F161" s="207">
        <v>41100</v>
      </c>
      <c r="G161" s="207">
        <v>40870</v>
      </c>
      <c r="H161" s="161">
        <f>41100-40870</f>
        <v>230</v>
      </c>
      <c r="I161" s="207">
        <v>50</v>
      </c>
      <c r="J161" s="242">
        <f t="shared" si="36"/>
        <v>11500</v>
      </c>
      <c r="K161" s="153"/>
      <c r="V161" s="25">
        <f t="shared" si="37"/>
        <v>1</v>
      </c>
      <c r="W161" s="25">
        <f t="shared" si="38"/>
        <v>0</v>
      </c>
    </row>
    <row r="162" spans="1:23" x14ac:dyDescent="0.3">
      <c r="A162" s="147"/>
      <c r="B162" s="205">
        <f t="shared" si="39"/>
        <v>5</v>
      </c>
      <c r="C162" s="206">
        <v>45027</v>
      </c>
      <c r="D162" s="161" t="s">
        <v>9</v>
      </c>
      <c r="E162" s="161" t="s">
        <v>301</v>
      </c>
      <c r="F162" s="207">
        <v>41300</v>
      </c>
      <c r="G162" s="207">
        <v>41490</v>
      </c>
      <c r="H162" s="161">
        <v>190</v>
      </c>
      <c r="I162" s="207">
        <v>50</v>
      </c>
      <c r="J162" s="242">
        <f t="shared" si="36"/>
        <v>9500</v>
      </c>
      <c r="K162" s="153"/>
      <c r="V162" s="25">
        <f t="shared" si="37"/>
        <v>1</v>
      </c>
      <c r="W162" s="25">
        <f t="shared" si="38"/>
        <v>0</v>
      </c>
    </row>
    <row r="163" spans="1:23" x14ac:dyDescent="0.3">
      <c r="A163" s="147"/>
      <c r="B163" s="205">
        <f t="shared" si="39"/>
        <v>6</v>
      </c>
      <c r="C163" s="206">
        <v>45028</v>
      </c>
      <c r="D163" s="161" t="s">
        <v>9</v>
      </c>
      <c r="E163" s="161" t="s">
        <v>301</v>
      </c>
      <c r="F163" s="207">
        <v>41500</v>
      </c>
      <c r="G163" s="207">
        <v>41650</v>
      </c>
      <c r="H163" s="161">
        <v>150</v>
      </c>
      <c r="I163" s="207">
        <v>50</v>
      </c>
      <c r="J163" s="242">
        <f t="shared" si="36"/>
        <v>7500</v>
      </c>
      <c r="K163" s="153"/>
      <c r="V163" s="25">
        <f t="shared" si="37"/>
        <v>1</v>
      </c>
      <c r="W163" s="25">
        <f t="shared" si="38"/>
        <v>0</v>
      </c>
    </row>
    <row r="164" spans="1:23" x14ac:dyDescent="0.3">
      <c r="A164" s="147"/>
      <c r="B164" s="205">
        <f t="shared" si="39"/>
        <v>7</v>
      </c>
      <c r="C164" s="206">
        <v>45029</v>
      </c>
      <c r="D164" s="161" t="s">
        <v>9</v>
      </c>
      <c r="E164" s="161" t="s">
        <v>301</v>
      </c>
      <c r="F164" s="207">
        <v>41800</v>
      </c>
      <c r="G164" s="207">
        <v>41650</v>
      </c>
      <c r="H164" s="161">
        <v>-150</v>
      </c>
      <c r="I164" s="207">
        <v>50</v>
      </c>
      <c r="J164" s="242">
        <f t="shared" si="36"/>
        <v>-7500</v>
      </c>
      <c r="K164" s="153"/>
      <c r="V164" s="25">
        <f t="shared" si="37"/>
        <v>0</v>
      </c>
      <c r="W164" s="25">
        <f t="shared" si="38"/>
        <v>1</v>
      </c>
    </row>
    <row r="165" spans="1:23" x14ac:dyDescent="0.3">
      <c r="A165" s="147"/>
      <c r="B165" s="205">
        <f t="shared" si="39"/>
        <v>8</v>
      </c>
      <c r="C165" s="206">
        <v>45033</v>
      </c>
      <c r="D165" s="161" t="s">
        <v>8</v>
      </c>
      <c r="E165" s="161" t="s">
        <v>301</v>
      </c>
      <c r="F165" s="207">
        <v>42100</v>
      </c>
      <c r="G165" s="207">
        <v>41900</v>
      </c>
      <c r="H165" s="161">
        <f>42100-41900</f>
        <v>200</v>
      </c>
      <c r="I165" s="207">
        <v>50</v>
      </c>
      <c r="J165" s="242">
        <f t="shared" si="36"/>
        <v>10000</v>
      </c>
      <c r="K165" s="153"/>
      <c r="V165" s="25">
        <f t="shared" si="37"/>
        <v>1</v>
      </c>
      <c r="W165" s="25">
        <f t="shared" si="38"/>
        <v>0</v>
      </c>
    </row>
    <row r="166" spans="1:23" x14ac:dyDescent="0.3">
      <c r="A166" s="147"/>
      <c r="B166" s="205">
        <f t="shared" si="39"/>
        <v>9</v>
      </c>
      <c r="C166" s="206">
        <v>45034</v>
      </c>
      <c r="D166" s="161" t="s">
        <v>8</v>
      </c>
      <c r="E166" s="161" t="s">
        <v>301</v>
      </c>
      <c r="F166" s="207">
        <v>42350</v>
      </c>
      <c r="G166" s="207">
        <v>42500</v>
      </c>
      <c r="H166" s="161">
        <v>-150</v>
      </c>
      <c r="I166" s="207">
        <v>50</v>
      </c>
      <c r="J166" s="242">
        <f t="shared" si="36"/>
        <v>-7500</v>
      </c>
      <c r="K166" s="153"/>
      <c r="V166" s="25">
        <f t="shared" si="37"/>
        <v>0</v>
      </c>
      <c r="W166" s="25">
        <f t="shared" si="38"/>
        <v>1</v>
      </c>
    </row>
    <row r="167" spans="1:23" x14ac:dyDescent="0.3">
      <c r="A167" s="147"/>
      <c r="B167" s="205">
        <f t="shared" si="39"/>
        <v>10</v>
      </c>
      <c r="C167" s="206">
        <v>45035</v>
      </c>
      <c r="D167" s="161" t="s">
        <v>8</v>
      </c>
      <c r="E167" s="161" t="s">
        <v>301</v>
      </c>
      <c r="F167" s="207">
        <v>42250</v>
      </c>
      <c r="G167" s="207">
        <v>42100</v>
      </c>
      <c r="H167" s="161">
        <v>150</v>
      </c>
      <c r="I167" s="207">
        <v>50</v>
      </c>
      <c r="J167" s="242">
        <f t="shared" si="36"/>
        <v>7500</v>
      </c>
      <c r="K167" s="153"/>
      <c r="V167" s="25">
        <f t="shared" si="37"/>
        <v>1</v>
      </c>
      <c r="W167" s="25">
        <f t="shared" si="38"/>
        <v>0</v>
      </c>
    </row>
    <row r="168" spans="1:23" x14ac:dyDescent="0.3">
      <c r="A168" s="147"/>
      <c r="B168" s="205">
        <f t="shared" si="39"/>
        <v>11</v>
      </c>
      <c r="C168" s="206">
        <v>45036</v>
      </c>
      <c r="D168" s="161" t="s">
        <v>8</v>
      </c>
      <c r="E168" s="161" t="s">
        <v>301</v>
      </c>
      <c r="F168" s="207">
        <v>42350</v>
      </c>
      <c r="G168" s="207">
        <v>42150</v>
      </c>
      <c r="H168" s="161">
        <f>42350-42150</f>
        <v>200</v>
      </c>
      <c r="I168" s="207">
        <v>50</v>
      </c>
      <c r="J168" s="242">
        <f t="shared" si="36"/>
        <v>10000</v>
      </c>
      <c r="K168" s="153"/>
      <c r="V168" s="25">
        <f t="shared" si="37"/>
        <v>1</v>
      </c>
      <c r="W168" s="25">
        <f t="shared" si="38"/>
        <v>0</v>
      </c>
    </row>
    <row r="169" spans="1:23" x14ac:dyDescent="0.3">
      <c r="A169" s="147"/>
      <c r="B169" s="205">
        <f t="shared" si="39"/>
        <v>12</v>
      </c>
      <c r="C169" s="206">
        <v>45037</v>
      </c>
      <c r="D169" s="161" t="s">
        <v>8</v>
      </c>
      <c r="E169" s="161" t="s">
        <v>301</v>
      </c>
      <c r="F169" s="207">
        <v>42300</v>
      </c>
      <c r="G169" s="207">
        <v>42000</v>
      </c>
      <c r="H169" s="161">
        <v>300</v>
      </c>
      <c r="I169" s="207">
        <v>50</v>
      </c>
      <c r="J169" s="242">
        <f t="shared" si="36"/>
        <v>15000</v>
      </c>
      <c r="K169" s="153"/>
      <c r="V169" s="25">
        <f t="shared" si="37"/>
        <v>1</v>
      </c>
      <c r="W169" s="25">
        <f t="shared" si="38"/>
        <v>0</v>
      </c>
    </row>
    <row r="170" spans="1:23" x14ac:dyDescent="0.3">
      <c r="A170" s="147"/>
      <c r="B170" s="205">
        <f t="shared" si="39"/>
        <v>13</v>
      </c>
      <c r="C170" s="206">
        <v>45040</v>
      </c>
      <c r="D170" s="161" t="s">
        <v>8</v>
      </c>
      <c r="E170" s="161" t="s">
        <v>301</v>
      </c>
      <c r="F170" s="207">
        <v>42350</v>
      </c>
      <c r="G170" s="207">
        <v>42500</v>
      </c>
      <c r="H170" s="161">
        <v>-150</v>
      </c>
      <c r="I170" s="207">
        <v>50</v>
      </c>
      <c r="J170" s="242">
        <f t="shared" si="36"/>
        <v>-7500</v>
      </c>
      <c r="K170" s="153"/>
      <c r="V170" s="25">
        <f t="shared" si="37"/>
        <v>0</v>
      </c>
      <c r="W170" s="25">
        <f t="shared" si="38"/>
        <v>1</v>
      </c>
    </row>
    <row r="171" spans="1:23" x14ac:dyDescent="0.3">
      <c r="A171" s="147"/>
      <c r="B171" s="205">
        <f t="shared" si="39"/>
        <v>14</v>
      </c>
      <c r="C171" s="206">
        <v>45041</v>
      </c>
      <c r="D171" s="161" t="s">
        <v>9</v>
      </c>
      <c r="E171" s="161" t="s">
        <v>301</v>
      </c>
      <c r="F171" s="207">
        <v>42750</v>
      </c>
      <c r="G171" s="207">
        <v>42845</v>
      </c>
      <c r="H171" s="161">
        <f>42845-42750</f>
        <v>95</v>
      </c>
      <c r="I171" s="207">
        <v>50</v>
      </c>
      <c r="J171" s="242">
        <f t="shared" si="36"/>
        <v>4750</v>
      </c>
      <c r="K171" s="153"/>
      <c r="V171" s="25">
        <f t="shared" si="37"/>
        <v>1</v>
      </c>
      <c r="W171" s="25">
        <f t="shared" si="38"/>
        <v>0</v>
      </c>
    </row>
    <row r="172" spans="1:23" x14ac:dyDescent="0.3">
      <c r="A172" s="147"/>
      <c r="B172" s="205">
        <f t="shared" si="39"/>
        <v>15</v>
      </c>
      <c r="C172" s="206">
        <v>45042</v>
      </c>
      <c r="D172" s="161" t="s">
        <v>8</v>
      </c>
      <c r="E172" s="161" t="s">
        <v>301</v>
      </c>
      <c r="F172" s="207">
        <v>42550</v>
      </c>
      <c r="G172" s="207">
        <v>42450</v>
      </c>
      <c r="H172" s="161">
        <v>100</v>
      </c>
      <c r="I172" s="207">
        <v>50</v>
      </c>
      <c r="J172" s="242">
        <f t="shared" si="36"/>
        <v>5000</v>
      </c>
      <c r="K172" s="153"/>
      <c r="V172" s="25">
        <f t="shared" si="37"/>
        <v>1</v>
      </c>
      <c r="W172" s="25">
        <f t="shared" si="38"/>
        <v>0</v>
      </c>
    </row>
    <row r="173" spans="1:23" x14ac:dyDescent="0.3">
      <c r="A173" s="147"/>
      <c r="B173" s="205">
        <f t="shared" si="39"/>
        <v>16</v>
      </c>
      <c r="C173" s="206">
        <v>45043</v>
      </c>
      <c r="D173" s="161" t="s">
        <v>9</v>
      </c>
      <c r="E173" s="161" t="s">
        <v>301</v>
      </c>
      <c r="F173" s="207">
        <v>42850</v>
      </c>
      <c r="G173" s="207">
        <v>43000</v>
      </c>
      <c r="H173" s="161">
        <v>150</v>
      </c>
      <c r="I173" s="207">
        <v>50</v>
      </c>
      <c r="J173" s="242">
        <f t="shared" si="36"/>
        <v>7500</v>
      </c>
      <c r="K173" s="153"/>
      <c r="V173" s="25">
        <f t="shared" si="37"/>
        <v>1</v>
      </c>
      <c r="W173" s="25">
        <f t="shared" si="38"/>
        <v>0</v>
      </c>
    </row>
    <row r="174" spans="1:23" x14ac:dyDescent="0.3">
      <c r="A174" s="147"/>
      <c r="B174" s="205">
        <f t="shared" si="39"/>
        <v>17</v>
      </c>
      <c r="C174" s="206">
        <v>45044</v>
      </c>
      <c r="D174" s="161" t="s">
        <v>8</v>
      </c>
      <c r="E174" s="161" t="s">
        <v>301</v>
      </c>
      <c r="F174" s="207">
        <v>42950</v>
      </c>
      <c r="G174" s="207">
        <v>42880</v>
      </c>
      <c r="H174" s="161">
        <f>42950-42880</f>
        <v>70</v>
      </c>
      <c r="I174" s="207">
        <v>50</v>
      </c>
      <c r="J174" s="242">
        <f t="shared" si="36"/>
        <v>3500</v>
      </c>
      <c r="K174" s="153"/>
      <c r="V174" s="25">
        <f t="shared" si="37"/>
        <v>1</v>
      </c>
      <c r="W174" s="25">
        <f t="shared" si="38"/>
        <v>0</v>
      </c>
    </row>
    <row r="175" spans="1:23" x14ac:dyDescent="0.3">
      <c r="A175" s="147"/>
      <c r="B175" s="205">
        <f t="shared" si="39"/>
        <v>18</v>
      </c>
      <c r="C175" s="206"/>
      <c r="D175" s="161"/>
      <c r="E175" s="161"/>
      <c r="F175" s="207"/>
      <c r="G175" s="207"/>
      <c r="H175" s="161"/>
      <c r="I175" s="207"/>
      <c r="J175" s="242">
        <f t="shared" si="36"/>
        <v>0</v>
      </c>
      <c r="K175" s="153"/>
      <c r="V175" s="25">
        <f t="shared" si="37"/>
        <v>0</v>
      </c>
      <c r="W175" s="25">
        <f t="shared" si="38"/>
        <v>0</v>
      </c>
    </row>
    <row r="176" spans="1:23" x14ac:dyDescent="0.3">
      <c r="A176" s="147"/>
      <c r="B176" s="205">
        <f t="shared" si="39"/>
        <v>19</v>
      </c>
      <c r="C176" s="206"/>
      <c r="D176" s="161"/>
      <c r="E176" s="161"/>
      <c r="F176" s="207"/>
      <c r="G176" s="207"/>
      <c r="H176" s="161"/>
      <c r="I176" s="207"/>
      <c r="J176" s="242">
        <f t="shared" si="36"/>
        <v>0</v>
      </c>
      <c r="K176" s="153"/>
      <c r="V176" s="25">
        <f t="shared" si="37"/>
        <v>0</v>
      </c>
      <c r="W176" s="25">
        <f t="shared" si="38"/>
        <v>0</v>
      </c>
    </row>
    <row r="177" spans="1:23" x14ac:dyDescent="0.3">
      <c r="A177" s="147"/>
      <c r="B177" s="205">
        <f t="shared" si="39"/>
        <v>20</v>
      </c>
      <c r="C177" s="206"/>
      <c r="D177" s="161"/>
      <c r="E177" s="161"/>
      <c r="F177" s="207"/>
      <c r="G177" s="207"/>
      <c r="H177" s="161"/>
      <c r="I177" s="207"/>
      <c r="J177" s="242">
        <f t="shared" si="36"/>
        <v>0</v>
      </c>
      <c r="K177" s="153"/>
      <c r="V177" s="25">
        <f t="shared" si="37"/>
        <v>0</v>
      </c>
      <c r="W177" s="25">
        <f t="shared" si="38"/>
        <v>0</v>
      </c>
    </row>
    <row r="178" spans="1:23" x14ac:dyDescent="0.3">
      <c r="A178" s="147"/>
      <c r="B178" s="205">
        <f t="shared" si="39"/>
        <v>21</v>
      </c>
      <c r="C178" s="206"/>
      <c r="D178" s="161"/>
      <c r="E178" s="161"/>
      <c r="F178" s="207"/>
      <c r="G178" s="207"/>
      <c r="H178" s="161"/>
      <c r="I178" s="207"/>
      <c r="J178" s="242">
        <f t="shared" si="36"/>
        <v>0</v>
      </c>
      <c r="K178" s="153"/>
      <c r="V178" s="25">
        <f t="shared" si="37"/>
        <v>0</v>
      </c>
      <c r="W178" s="25">
        <f t="shared" si="38"/>
        <v>0</v>
      </c>
    </row>
    <row r="179" spans="1:23" x14ac:dyDescent="0.3">
      <c r="A179" s="147"/>
      <c r="B179" s="205">
        <f t="shared" si="39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36"/>
        <v>0</v>
      </c>
      <c r="K179" s="153"/>
      <c r="V179" s="25">
        <f t="shared" si="37"/>
        <v>0</v>
      </c>
      <c r="W179" s="25">
        <f t="shared" si="38"/>
        <v>0</v>
      </c>
    </row>
    <row r="180" spans="1:23" ht="15" thickBot="1" x14ac:dyDescent="0.35">
      <c r="A180" s="147"/>
      <c r="B180" s="208">
        <f t="shared" si="39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36"/>
        <v>0</v>
      </c>
      <c r="K180" s="153"/>
      <c r="V180" s="25">
        <f t="shared" si="37"/>
        <v>0</v>
      </c>
      <c r="W180" s="25">
        <f t="shared" si="38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77750</v>
      </c>
      <c r="K181" s="153"/>
      <c r="V181" s="25">
        <f>SUM(V158:V180)</f>
        <v>13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4157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45019</v>
      </c>
      <c r="D189" s="185" t="s">
        <v>9</v>
      </c>
      <c r="E189" s="185" t="s">
        <v>3915</v>
      </c>
      <c r="F189" s="219">
        <v>300</v>
      </c>
      <c r="G189" s="219">
        <v>250</v>
      </c>
      <c r="H189" s="185">
        <v>-50</v>
      </c>
      <c r="I189" s="219">
        <v>100</v>
      </c>
      <c r="J189" s="246">
        <f t="shared" ref="J189:J212" si="40">I189*H189</f>
        <v>-5000</v>
      </c>
      <c r="K189" s="153"/>
      <c r="V189" s="25">
        <f>IF($J189&gt;0,1,0)</f>
        <v>0</v>
      </c>
      <c r="W189" s="25">
        <f>IF($J189&lt;0,1,0)</f>
        <v>1</v>
      </c>
    </row>
    <row r="190" spans="1:23" x14ac:dyDescent="0.3">
      <c r="A190" s="147"/>
      <c r="B190" s="205">
        <f>B189+1</f>
        <v>2</v>
      </c>
      <c r="C190" s="218">
        <v>45021</v>
      </c>
      <c r="D190" s="185" t="s">
        <v>9</v>
      </c>
      <c r="E190" s="185" t="s">
        <v>4161</v>
      </c>
      <c r="F190" s="219">
        <v>300</v>
      </c>
      <c r="G190" s="219">
        <v>340</v>
      </c>
      <c r="H190" s="185">
        <v>40</v>
      </c>
      <c r="I190" s="219">
        <v>100</v>
      </c>
      <c r="J190" s="242">
        <f t="shared" si="40"/>
        <v>4000</v>
      </c>
      <c r="K190" s="153"/>
      <c r="V190" s="25">
        <f t="shared" ref="V190:V212" si="41">IF($J190&gt;0,1,0)</f>
        <v>1</v>
      </c>
      <c r="W190" s="25">
        <f t="shared" ref="W190:W212" si="42">IF($J190&lt;0,1,0)</f>
        <v>0</v>
      </c>
    </row>
    <row r="191" spans="1:23" x14ac:dyDescent="0.3">
      <c r="A191" s="147"/>
      <c r="B191" s="205">
        <f t="shared" ref="B191:B210" si="43">B190+1</f>
        <v>3</v>
      </c>
      <c r="C191" s="206">
        <v>45022</v>
      </c>
      <c r="D191" s="161" t="s">
        <v>9</v>
      </c>
      <c r="E191" s="161" t="s">
        <v>3549</v>
      </c>
      <c r="F191" s="207">
        <v>300</v>
      </c>
      <c r="G191" s="207">
        <v>392</v>
      </c>
      <c r="H191" s="161">
        <v>92</v>
      </c>
      <c r="I191" s="207">
        <v>100</v>
      </c>
      <c r="J191" s="242">
        <f t="shared" si="40"/>
        <v>9200</v>
      </c>
      <c r="K191" s="153"/>
      <c r="V191" s="25">
        <f t="shared" si="41"/>
        <v>1</v>
      </c>
      <c r="W191" s="25">
        <f t="shared" si="42"/>
        <v>0</v>
      </c>
    </row>
    <row r="192" spans="1:23" x14ac:dyDescent="0.3">
      <c r="A192" s="147"/>
      <c r="B192" s="205">
        <f t="shared" si="43"/>
        <v>4</v>
      </c>
      <c r="C192" s="206">
        <v>45026</v>
      </c>
      <c r="D192" s="161" t="s">
        <v>9</v>
      </c>
      <c r="E192" s="161" t="s">
        <v>4099</v>
      </c>
      <c r="F192" s="207">
        <v>350</v>
      </c>
      <c r="G192" s="207">
        <v>510</v>
      </c>
      <c r="H192" s="161">
        <f>510-350</f>
        <v>160</v>
      </c>
      <c r="I192" s="207">
        <v>100</v>
      </c>
      <c r="J192" s="242">
        <f t="shared" si="40"/>
        <v>16000</v>
      </c>
      <c r="K192" s="153"/>
      <c r="V192" s="25">
        <f t="shared" si="41"/>
        <v>1</v>
      </c>
      <c r="W192" s="25">
        <f t="shared" si="42"/>
        <v>0</v>
      </c>
    </row>
    <row r="193" spans="1:23" x14ac:dyDescent="0.3">
      <c r="A193" s="147"/>
      <c r="B193" s="205">
        <f t="shared" si="43"/>
        <v>5</v>
      </c>
      <c r="C193" s="206">
        <v>45027</v>
      </c>
      <c r="D193" s="161" t="s">
        <v>9</v>
      </c>
      <c r="E193" s="161" t="s">
        <v>3554</v>
      </c>
      <c r="F193" s="207">
        <v>360</v>
      </c>
      <c r="G193" s="207">
        <v>450</v>
      </c>
      <c r="H193" s="161">
        <f>450-360</f>
        <v>90</v>
      </c>
      <c r="I193" s="207">
        <v>100</v>
      </c>
      <c r="J193" s="242">
        <f t="shared" si="40"/>
        <v>9000</v>
      </c>
      <c r="K193" s="153"/>
      <c r="O193" s="25" t="s">
        <v>2008</v>
      </c>
      <c r="V193" s="25">
        <f t="shared" si="41"/>
        <v>1</v>
      </c>
      <c r="W193" s="25">
        <f t="shared" si="42"/>
        <v>0</v>
      </c>
    </row>
    <row r="194" spans="1:23" x14ac:dyDescent="0.3">
      <c r="A194" s="147"/>
      <c r="B194" s="205">
        <f t="shared" si="43"/>
        <v>6</v>
      </c>
      <c r="C194" s="206">
        <v>45028</v>
      </c>
      <c r="D194" s="161" t="s">
        <v>9</v>
      </c>
      <c r="E194" s="161" t="s">
        <v>3976</v>
      </c>
      <c r="F194" s="207">
        <v>290</v>
      </c>
      <c r="G194" s="207">
        <v>390</v>
      </c>
      <c r="H194" s="161">
        <v>100</v>
      </c>
      <c r="I194" s="207">
        <v>100</v>
      </c>
      <c r="J194" s="242">
        <f t="shared" si="40"/>
        <v>10000</v>
      </c>
      <c r="K194" s="153"/>
      <c r="V194" s="25">
        <f t="shared" si="41"/>
        <v>1</v>
      </c>
      <c r="W194" s="25">
        <f t="shared" si="42"/>
        <v>0</v>
      </c>
    </row>
    <row r="195" spans="1:23" x14ac:dyDescent="0.3">
      <c r="A195" s="147"/>
      <c r="B195" s="205">
        <f t="shared" si="43"/>
        <v>7</v>
      </c>
      <c r="C195" s="206">
        <v>45029</v>
      </c>
      <c r="D195" s="161" t="s">
        <v>9</v>
      </c>
      <c r="E195" s="161" t="s">
        <v>4102</v>
      </c>
      <c r="F195" s="207">
        <v>320</v>
      </c>
      <c r="G195" s="207">
        <v>220</v>
      </c>
      <c r="H195" s="161">
        <v>-100</v>
      </c>
      <c r="I195" s="207">
        <v>100</v>
      </c>
      <c r="J195" s="242">
        <f t="shared" si="40"/>
        <v>-10000</v>
      </c>
      <c r="K195" s="153"/>
      <c r="V195" s="25">
        <f t="shared" si="41"/>
        <v>0</v>
      </c>
      <c r="W195" s="25">
        <f t="shared" si="42"/>
        <v>1</v>
      </c>
    </row>
    <row r="196" spans="1:23" x14ac:dyDescent="0.3">
      <c r="A196" s="147"/>
      <c r="B196" s="205">
        <f t="shared" si="43"/>
        <v>8</v>
      </c>
      <c r="C196" s="206">
        <v>45033</v>
      </c>
      <c r="D196" s="161" t="s">
        <v>9</v>
      </c>
      <c r="E196" s="161" t="s">
        <v>4056</v>
      </c>
      <c r="F196" s="207">
        <v>350</v>
      </c>
      <c r="G196" s="207">
        <v>435</v>
      </c>
      <c r="H196" s="161">
        <f>435-350</f>
        <v>85</v>
      </c>
      <c r="I196" s="207">
        <v>100</v>
      </c>
      <c r="J196" s="242">
        <f t="shared" si="40"/>
        <v>8500</v>
      </c>
      <c r="K196" s="153"/>
      <c r="V196" s="25">
        <f t="shared" si="41"/>
        <v>1</v>
      </c>
      <c r="W196" s="25">
        <f t="shared" si="42"/>
        <v>0</v>
      </c>
    </row>
    <row r="197" spans="1:23" x14ac:dyDescent="0.3">
      <c r="A197" s="147"/>
      <c r="B197" s="205">
        <f t="shared" si="43"/>
        <v>9</v>
      </c>
      <c r="C197" s="206">
        <v>45034</v>
      </c>
      <c r="D197" s="161" t="s">
        <v>9</v>
      </c>
      <c r="E197" s="161" t="s">
        <v>4059</v>
      </c>
      <c r="F197" s="207">
        <v>300</v>
      </c>
      <c r="G197" s="207">
        <v>200</v>
      </c>
      <c r="H197" s="161">
        <v>-100</v>
      </c>
      <c r="I197" s="207">
        <v>100</v>
      </c>
      <c r="J197" s="242">
        <f t="shared" si="40"/>
        <v>-10000</v>
      </c>
      <c r="K197" s="153"/>
      <c r="V197" s="25">
        <f t="shared" si="41"/>
        <v>0</v>
      </c>
      <c r="W197" s="25">
        <f t="shared" si="42"/>
        <v>1</v>
      </c>
    </row>
    <row r="198" spans="1:23" x14ac:dyDescent="0.3">
      <c r="A198" s="147"/>
      <c r="B198" s="205">
        <f t="shared" si="43"/>
        <v>10</v>
      </c>
      <c r="C198" s="206">
        <v>45035</v>
      </c>
      <c r="D198" s="161" t="s">
        <v>9</v>
      </c>
      <c r="E198" s="161" t="s">
        <v>4059</v>
      </c>
      <c r="F198" s="207">
        <v>350</v>
      </c>
      <c r="G198" s="207">
        <v>483</v>
      </c>
      <c r="H198" s="161">
        <f>483-350</f>
        <v>133</v>
      </c>
      <c r="I198" s="207">
        <v>100</v>
      </c>
      <c r="J198" s="242">
        <f t="shared" si="40"/>
        <v>13300</v>
      </c>
      <c r="K198" s="153"/>
      <c r="V198" s="25">
        <f t="shared" si="41"/>
        <v>1</v>
      </c>
      <c r="W198" s="25">
        <f t="shared" si="42"/>
        <v>0</v>
      </c>
    </row>
    <row r="199" spans="1:23" x14ac:dyDescent="0.3">
      <c r="A199" s="147"/>
      <c r="B199" s="205">
        <f t="shared" si="43"/>
        <v>11</v>
      </c>
      <c r="C199" s="206">
        <v>45036</v>
      </c>
      <c r="D199" s="161" t="s">
        <v>9</v>
      </c>
      <c r="E199" s="161" t="s">
        <v>3996</v>
      </c>
      <c r="F199" s="207">
        <v>350</v>
      </c>
      <c r="G199" s="207">
        <v>490</v>
      </c>
      <c r="H199" s="161">
        <f>490-350</f>
        <v>140</v>
      </c>
      <c r="I199" s="207">
        <v>100</v>
      </c>
      <c r="J199" s="242">
        <f t="shared" si="40"/>
        <v>14000</v>
      </c>
      <c r="K199" s="153"/>
      <c r="V199" s="25">
        <f t="shared" si="41"/>
        <v>1</v>
      </c>
      <c r="W199" s="25">
        <f t="shared" si="42"/>
        <v>0</v>
      </c>
    </row>
    <row r="200" spans="1:23" x14ac:dyDescent="0.3">
      <c r="A200" s="147"/>
      <c r="B200" s="205">
        <f t="shared" si="43"/>
        <v>12</v>
      </c>
      <c r="C200" s="206">
        <v>45037</v>
      </c>
      <c r="D200" s="161" t="s">
        <v>9</v>
      </c>
      <c r="E200" s="161" t="s">
        <v>3993</v>
      </c>
      <c r="F200" s="207">
        <v>300</v>
      </c>
      <c r="G200" s="207">
        <v>450</v>
      </c>
      <c r="H200" s="161">
        <v>150</v>
      </c>
      <c r="I200" s="207">
        <v>100</v>
      </c>
      <c r="J200" s="242">
        <f t="shared" si="40"/>
        <v>15000</v>
      </c>
      <c r="K200" s="153"/>
      <c r="V200" s="25">
        <f t="shared" si="41"/>
        <v>1</v>
      </c>
      <c r="W200" s="25">
        <f t="shared" si="42"/>
        <v>0</v>
      </c>
    </row>
    <row r="201" spans="1:23" x14ac:dyDescent="0.3">
      <c r="A201" s="147"/>
      <c r="B201" s="205">
        <f t="shared" si="43"/>
        <v>13</v>
      </c>
      <c r="C201" s="206">
        <v>45040</v>
      </c>
      <c r="D201" s="161" t="s">
        <v>9</v>
      </c>
      <c r="E201" s="161" t="s">
        <v>4059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40"/>
        <v>-10000</v>
      </c>
      <c r="K201" s="153"/>
      <c r="V201" s="25">
        <f t="shared" si="41"/>
        <v>0</v>
      </c>
      <c r="W201" s="25">
        <f t="shared" si="42"/>
        <v>1</v>
      </c>
    </row>
    <row r="202" spans="1:23" x14ac:dyDescent="0.3">
      <c r="A202" s="147"/>
      <c r="B202" s="205">
        <f t="shared" si="43"/>
        <v>14</v>
      </c>
      <c r="C202" s="206">
        <v>45041</v>
      </c>
      <c r="D202" s="161" t="s">
        <v>9</v>
      </c>
      <c r="E202" s="161" t="s">
        <v>4000</v>
      </c>
      <c r="F202" s="207">
        <v>340</v>
      </c>
      <c r="G202" s="222">
        <v>419</v>
      </c>
      <c r="H202" s="161">
        <f>419-340</f>
        <v>79</v>
      </c>
      <c r="I202" s="207">
        <v>100</v>
      </c>
      <c r="J202" s="242">
        <f t="shared" si="40"/>
        <v>7900</v>
      </c>
      <c r="K202" s="153"/>
      <c r="V202" s="25">
        <f t="shared" si="41"/>
        <v>1</v>
      </c>
      <c r="W202" s="25">
        <f t="shared" si="42"/>
        <v>0</v>
      </c>
    </row>
    <row r="203" spans="1:23" x14ac:dyDescent="0.3">
      <c r="A203" s="147"/>
      <c r="B203" s="205">
        <f t="shared" si="43"/>
        <v>15</v>
      </c>
      <c r="C203" s="206">
        <v>45042</v>
      </c>
      <c r="D203" s="161" t="s">
        <v>9</v>
      </c>
      <c r="E203" s="161" t="s">
        <v>4179</v>
      </c>
      <c r="F203" s="207">
        <v>340</v>
      </c>
      <c r="G203" s="207">
        <v>385</v>
      </c>
      <c r="H203" s="161">
        <f>385-340</f>
        <v>45</v>
      </c>
      <c r="I203" s="207">
        <v>100</v>
      </c>
      <c r="J203" s="242">
        <f t="shared" si="40"/>
        <v>4500</v>
      </c>
      <c r="K203" s="153"/>
      <c r="V203" s="25">
        <f t="shared" si="41"/>
        <v>1</v>
      </c>
      <c r="W203" s="25">
        <f t="shared" si="42"/>
        <v>0</v>
      </c>
    </row>
    <row r="204" spans="1:23" x14ac:dyDescent="0.3">
      <c r="A204" s="147"/>
      <c r="B204" s="205">
        <f t="shared" si="43"/>
        <v>16</v>
      </c>
      <c r="C204" s="206">
        <v>45043</v>
      </c>
      <c r="D204" s="161" t="s">
        <v>9</v>
      </c>
      <c r="E204" s="161" t="s">
        <v>4000</v>
      </c>
      <c r="F204" s="207">
        <v>350</v>
      </c>
      <c r="G204" s="207">
        <v>510</v>
      </c>
      <c r="H204" s="161">
        <f>510-350</f>
        <v>160</v>
      </c>
      <c r="I204" s="207">
        <v>100</v>
      </c>
      <c r="J204" s="242">
        <f t="shared" si="40"/>
        <v>16000</v>
      </c>
      <c r="K204" s="153"/>
      <c r="V204" s="25">
        <f t="shared" si="41"/>
        <v>1</v>
      </c>
      <c r="W204" s="25">
        <f t="shared" si="42"/>
        <v>0</v>
      </c>
    </row>
    <row r="205" spans="1:23" x14ac:dyDescent="0.3">
      <c r="A205" s="147"/>
      <c r="B205" s="205">
        <f t="shared" si="43"/>
        <v>17</v>
      </c>
      <c r="C205" s="206">
        <v>45044</v>
      </c>
      <c r="D205" s="161" t="s">
        <v>9</v>
      </c>
      <c r="E205" s="161" t="s">
        <v>4071</v>
      </c>
      <c r="F205" s="207">
        <v>290</v>
      </c>
      <c r="G205" s="207">
        <v>375</v>
      </c>
      <c r="H205" s="161">
        <f>375-290</f>
        <v>85</v>
      </c>
      <c r="I205" s="207">
        <v>100</v>
      </c>
      <c r="J205" s="242">
        <f t="shared" si="40"/>
        <v>8500</v>
      </c>
      <c r="K205" s="153"/>
      <c r="V205" s="25">
        <f t="shared" si="41"/>
        <v>1</v>
      </c>
      <c r="W205" s="25">
        <f t="shared" si="42"/>
        <v>0</v>
      </c>
    </row>
    <row r="206" spans="1:23" x14ac:dyDescent="0.3">
      <c r="A206" s="147"/>
      <c r="B206" s="205">
        <f t="shared" si="43"/>
        <v>18</v>
      </c>
      <c r="C206" s="206"/>
      <c r="D206" s="161"/>
      <c r="E206" s="161"/>
      <c r="F206" s="207"/>
      <c r="G206" s="207"/>
      <c r="H206" s="161"/>
      <c r="I206" s="207"/>
      <c r="J206" s="242">
        <f t="shared" si="40"/>
        <v>0</v>
      </c>
      <c r="K206" s="153"/>
      <c r="V206" s="25">
        <f t="shared" si="41"/>
        <v>0</v>
      </c>
      <c r="W206" s="25">
        <f t="shared" si="42"/>
        <v>0</v>
      </c>
    </row>
    <row r="207" spans="1:23" x14ac:dyDescent="0.3">
      <c r="A207" s="147"/>
      <c r="B207" s="205">
        <f t="shared" si="43"/>
        <v>19</v>
      </c>
      <c r="C207" s="206"/>
      <c r="D207" s="161"/>
      <c r="E207" s="161"/>
      <c r="F207" s="207"/>
      <c r="G207" s="207"/>
      <c r="H207" s="161"/>
      <c r="I207" s="207"/>
      <c r="J207" s="161">
        <f t="shared" si="40"/>
        <v>0</v>
      </c>
      <c r="K207" s="153"/>
      <c r="V207" s="25">
        <f t="shared" si="41"/>
        <v>0</v>
      </c>
      <c r="W207" s="25">
        <f t="shared" si="42"/>
        <v>0</v>
      </c>
    </row>
    <row r="208" spans="1:23" x14ac:dyDescent="0.3">
      <c r="A208" s="147"/>
      <c r="B208" s="205">
        <f t="shared" si="43"/>
        <v>20</v>
      </c>
      <c r="C208" s="206"/>
      <c r="D208" s="161"/>
      <c r="E208" s="161"/>
      <c r="F208" s="207"/>
      <c r="G208" s="207"/>
      <c r="H208" s="161"/>
      <c r="I208" s="207"/>
      <c r="J208" s="161">
        <f t="shared" si="40"/>
        <v>0</v>
      </c>
      <c r="K208" s="153"/>
      <c r="V208" s="25">
        <f t="shared" si="41"/>
        <v>0</v>
      </c>
      <c r="W208" s="25">
        <f t="shared" si="42"/>
        <v>0</v>
      </c>
    </row>
    <row r="209" spans="1:23" x14ac:dyDescent="0.3">
      <c r="A209" s="147"/>
      <c r="B209" s="205">
        <f t="shared" si="43"/>
        <v>21</v>
      </c>
      <c r="C209" s="206"/>
      <c r="D209" s="161"/>
      <c r="E209" s="161"/>
      <c r="F209" s="207"/>
      <c r="G209" s="207"/>
      <c r="H209" s="161"/>
      <c r="I209" s="207"/>
      <c r="J209" s="161">
        <f t="shared" si="40"/>
        <v>0</v>
      </c>
      <c r="K209" s="153"/>
      <c r="V209" s="25">
        <f t="shared" si="41"/>
        <v>0</v>
      </c>
      <c r="W209" s="25">
        <f t="shared" si="42"/>
        <v>0</v>
      </c>
    </row>
    <row r="210" spans="1:23" x14ac:dyDescent="0.3">
      <c r="A210" s="147"/>
      <c r="B210" s="205">
        <f t="shared" si="43"/>
        <v>22</v>
      </c>
      <c r="C210" s="206"/>
      <c r="D210" s="161"/>
      <c r="E210" s="161"/>
      <c r="F210" s="207"/>
      <c r="G210" s="207"/>
      <c r="H210" s="161"/>
      <c r="I210" s="207"/>
      <c r="J210" s="161">
        <f t="shared" si="40"/>
        <v>0</v>
      </c>
      <c r="K210" s="153"/>
      <c r="V210" s="25">
        <f t="shared" si="41"/>
        <v>0</v>
      </c>
      <c r="W210" s="25">
        <f t="shared" si="42"/>
        <v>0</v>
      </c>
    </row>
    <row r="211" spans="1:23" x14ac:dyDescent="0.3">
      <c r="A211" s="147"/>
      <c r="B211" s="269">
        <v>23</v>
      </c>
      <c r="C211" s="264"/>
      <c r="D211" s="265"/>
      <c r="E211" s="265"/>
      <c r="F211" s="266"/>
      <c r="G211" s="266"/>
      <c r="H211" s="265"/>
      <c r="I211" s="266"/>
      <c r="J211" s="161">
        <f t="shared" si="40"/>
        <v>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40"/>
        <v>0</v>
      </c>
      <c r="K212" s="153"/>
      <c r="V212" s="25">
        <f t="shared" si="41"/>
        <v>0</v>
      </c>
      <c r="W212" s="25">
        <f t="shared" si="42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100900</v>
      </c>
      <c r="K213" s="153"/>
      <c r="V213" s="25">
        <f>SUM(V189:V212)</f>
        <v>13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3754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45019</v>
      </c>
      <c r="D221" s="185" t="s">
        <v>9</v>
      </c>
      <c r="E221" s="185" t="s">
        <v>4159</v>
      </c>
      <c r="F221" s="231">
        <v>15.5</v>
      </c>
      <c r="G221" s="231">
        <v>18.2</v>
      </c>
      <c r="H221" s="231">
        <f>18.2-15.5</f>
        <v>2.6999999999999993</v>
      </c>
      <c r="I221" s="219">
        <v>900</v>
      </c>
      <c r="J221" s="246">
        <f t="shared" ref="J221:J244" si="44">I221*H221</f>
        <v>2429.9999999999995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45021</v>
      </c>
      <c r="D222" s="185" t="s">
        <v>9</v>
      </c>
      <c r="E222" s="185" t="s">
        <v>4160</v>
      </c>
      <c r="F222" s="231">
        <v>16</v>
      </c>
      <c r="G222" s="231">
        <v>17.399999999999999</v>
      </c>
      <c r="H222" s="231">
        <v>1.4</v>
      </c>
      <c r="I222" s="219">
        <v>700</v>
      </c>
      <c r="J222" s="242">
        <f>I222*H222</f>
        <v>979.99999999999989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45">B222+1</f>
        <v>3</v>
      </c>
      <c r="C223" s="206">
        <v>45022</v>
      </c>
      <c r="D223" s="161" t="s">
        <v>9</v>
      </c>
      <c r="E223" s="161" t="s">
        <v>4129</v>
      </c>
      <c r="F223" s="222">
        <v>14</v>
      </c>
      <c r="G223" s="222">
        <v>15.25</v>
      </c>
      <c r="H223" s="222">
        <v>1.25</v>
      </c>
      <c r="I223" s="207">
        <v>1200</v>
      </c>
      <c r="J223" s="242">
        <f t="shared" si="44"/>
        <v>1500</v>
      </c>
      <c r="K223" s="153"/>
      <c r="V223" s="25">
        <f t="shared" ref="V223:V244" si="46">IF($J223&gt;0,1,0)</f>
        <v>1</v>
      </c>
      <c r="W223" s="25">
        <f t="shared" ref="W223:W244" si="47">IF($J223&lt;0,1,0)</f>
        <v>0</v>
      </c>
    </row>
    <row r="224" spans="1:23" x14ac:dyDescent="0.3">
      <c r="A224" s="147"/>
      <c r="B224" s="205">
        <f t="shared" si="45"/>
        <v>4</v>
      </c>
      <c r="C224" s="206">
        <v>45022</v>
      </c>
      <c r="D224" s="161" t="s">
        <v>9</v>
      </c>
      <c r="E224" s="161" t="s">
        <v>4164</v>
      </c>
      <c r="F224" s="222">
        <v>120</v>
      </c>
      <c r="G224" s="222">
        <v>132</v>
      </c>
      <c r="H224" s="222">
        <v>12</v>
      </c>
      <c r="I224" s="207">
        <v>150</v>
      </c>
      <c r="J224" s="242">
        <f t="shared" si="44"/>
        <v>1800</v>
      </c>
      <c r="K224" s="153"/>
      <c r="V224" s="25">
        <f t="shared" si="46"/>
        <v>1</v>
      </c>
      <c r="W224" s="25">
        <f t="shared" si="47"/>
        <v>0</v>
      </c>
    </row>
    <row r="225" spans="1:23" x14ac:dyDescent="0.3">
      <c r="A225" s="147"/>
      <c r="B225" s="205">
        <f t="shared" si="45"/>
        <v>5</v>
      </c>
      <c r="C225" s="206">
        <v>45026</v>
      </c>
      <c r="D225" s="161" t="s">
        <v>9</v>
      </c>
      <c r="E225" s="161" t="s">
        <v>4165</v>
      </c>
      <c r="F225" s="222">
        <v>13</v>
      </c>
      <c r="G225" s="222">
        <v>15.5</v>
      </c>
      <c r="H225" s="222">
        <v>2.5</v>
      </c>
      <c r="I225" s="207">
        <v>875</v>
      </c>
      <c r="J225" s="242">
        <f t="shared" si="44"/>
        <v>2187.5</v>
      </c>
      <c r="K225" s="153"/>
      <c r="V225" s="25">
        <f t="shared" si="46"/>
        <v>1</v>
      </c>
      <c r="W225" s="25">
        <f t="shared" si="47"/>
        <v>0</v>
      </c>
    </row>
    <row r="226" spans="1:23" x14ac:dyDescent="0.3">
      <c r="A226" s="147"/>
      <c r="B226" s="205">
        <f t="shared" si="45"/>
        <v>6</v>
      </c>
      <c r="C226" s="206">
        <v>45027</v>
      </c>
      <c r="D226" s="161" t="s">
        <v>9</v>
      </c>
      <c r="E226" s="161" t="s">
        <v>4166</v>
      </c>
      <c r="F226" s="222">
        <v>40</v>
      </c>
      <c r="G226" s="222">
        <v>50</v>
      </c>
      <c r="H226" s="222">
        <v>10</v>
      </c>
      <c r="I226" s="207">
        <v>300</v>
      </c>
      <c r="J226" s="242">
        <f t="shared" si="44"/>
        <v>3000</v>
      </c>
      <c r="K226" s="153"/>
      <c r="V226" s="25">
        <f t="shared" si="46"/>
        <v>1</v>
      </c>
      <c r="W226" s="25">
        <f t="shared" si="47"/>
        <v>0</v>
      </c>
    </row>
    <row r="227" spans="1:23" x14ac:dyDescent="0.3">
      <c r="A227" s="147"/>
      <c r="B227" s="205">
        <f t="shared" si="45"/>
        <v>7</v>
      </c>
      <c r="C227" s="206">
        <v>45028</v>
      </c>
      <c r="D227" s="161" t="s">
        <v>9</v>
      </c>
      <c r="E227" s="161" t="s">
        <v>4167</v>
      </c>
      <c r="F227" s="222">
        <v>37</v>
      </c>
      <c r="G227" s="222">
        <v>35</v>
      </c>
      <c r="H227" s="222">
        <v>-2</v>
      </c>
      <c r="I227" s="207">
        <v>425</v>
      </c>
      <c r="J227" s="242">
        <f t="shared" si="44"/>
        <v>-850</v>
      </c>
      <c r="K227" s="153"/>
      <c r="V227" s="25">
        <f t="shared" si="46"/>
        <v>0</v>
      </c>
      <c r="W227" s="25">
        <f t="shared" si="47"/>
        <v>1</v>
      </c>
    </row>
    <row r="228" spans="1:23" x14ac:dyDescent="0.3">
      <c r="A228" s="147"/>
      <c r="B228" s="205">
        <f t="shared" si="45"/>
        <v>8</v>
      </c>
      <c r="C228" s="206">
        <v>45028</v>
      </c>
      <c r="D228" s="161" t="s">
        <v>9</v>
      </c>
      <c r="E228" s="161" t="s">
        <v>4168</v>
      </c>
      <c r="F228" s="222">
        <v>82</v>
      </c>
      <c r="G228" s="222">
        <v>85</v>
      </c>
      <c r="H228" s="222">
        <v>3</v>
      </c>
      <c r="I228" s="207">
        <v>1000</v>
      </c>
      <c r="J228" s="242">
        <f t="shared" si="44"/>
        <v>3000</v>
      </c>
      <c r="K228" s="153"/>
      <c r="V228" s="25">
        <f t="shared" si="46"/>
        <v>1</v>
      </c>
      <c r="W228" s="25">
        <f t="shared" si="47"/>
        <v>0</v>
      </c>
    </row>
    <row r="229" spans="1:23" x14ac:dyDescent="0.3">
      <c r="A229" s="147"/>
      <c r="B229" s="205">
        <f t="shared" si="45"/>
        <v>9</v>
      </c>
      <c r="C229" s="206">
        <v>45029</v>
      </c>
      <c r="D229" s="161" t="s">
        <v>9</v>
      </c>
      <c r="E229" s="161" t="s">
        <v>4169</v>
      </c>
      <c r="F229" s="222">
        <v>17.5</v>
      </c>
      <c r="G229" s="222">
        <v>20</v>
      </c>
      <c r="H229" s="255">
        <f>20-17.5</f>
        <v>2.5</v>
      </c>
      <c r="I229" s="207">
        <v>700</v>
      </c>
      <c r="J229" s="242">
        <f t="shared" si="44"/>
        <v>1750</v>
      </c>
      <c r="K229" s="153"/>
      <c r="V229" s="25">
        <f t="shared" si="46"/>
        <v>1</v>
      </c>
      <c r="W229" s="25">
        <f t="shared" si="47"/>
        <v>0</v>
      </c>
    </row>
    <row r="230" spans="1:23" x14ac:dyDescent="0.3">
      <c r="A230" s="147"/>
      <c r="B230" s="205">
        <f t="shared" si="45"/>
        <v>10</v>
      </c>
      <c r="C230" s="206">
        <v>45033</v>
      </c>
      <c r="D230" s="161" t="s">
        <v>9</v>
      </c>
      <c r="E230" s="161" t="s">
        <v>4170</v>
      </c>
      <c r="F230" s="222">
        <v>38</v>
      </c>
      <c r="G230" s="222">
        <v>28</v>
      </c>
      <c r="H230" s="255">
        <v>-10</v>
      </c>
      <c r="I230" s="207">
        <v>200</v>
      </c>
      <c r="J230" s="242">
        <f t="shared" si="44"/>
        <v>-2000</v>
      </c>
      <c r="K230" s="153"/>
      <c r="V230" s="25">
        <f t="shared" si="46"/>
        <v>0</v>
      </c>
      <c r="W230" s="25">
        <f t="shared" si="47"/>
        <v>1</v>
      </c>
    </row>
    <row r="231" spans="1:23" x14ac:dyDescent="0.3">
      <c r="A231" s="147"/>
      <c r="B231" s="205">
        <f t="shared" si="45"/>
        <v>11</v>
      </c>
      <c r="C231" s="206">
        <v>45034</v>
      </c>
      <c r="D231" s="161" t="s">
        <v>9</v>
      </c>
      <c r="E231" s="161" t="s">
        <v>4171</v>
      </c>
      <c r="F231" s="222">
        <v>35</v>
      </c>
      <c r="G231" s="222">
        <v>55</v>
      </c>
      <c r="H231" s="255">
        <v>20</v>
      </c>
      <c r="I231" s="207">
        <v>300</v>
      </c>
      <c r="J231" s="242">
        <f t="shared" si="44"/>
        <v>6000</v>
      </c>
      <c r="K231" s="153"/>
      <c r="V231" s="25">
        <f t="shared" si="46"/>
        <v>1</v>
      </c>
      <c r="W231" s="25">
        <f t="shared" si="47"/>
        <v>0</v>
      </c>
    </row>
    <row r="232" spans="1:23" x14ac:dyDescent="0.3">
      <c r="A232" s="147"/>
      <c r="B232" s="205">
        <f t="shared" si="45"/>
        <v>12</v>
      </c>
      <c r="C232" s="206">
        <v>45034</v>
      </c>
      <c r="D232" s="161" t="s">
        <v>9</v>
      </c>
      <c r="E232" s="161" t="s">
        <v>4172</v>
      </c>
      <c r="F232" s="222">
        <v>17</v>
      </c>
      <c r="G232" s="222">
        <v>18.399999999999999</v>
      </c>
      <c r="H232" s="255">
        <v>1.4</v>
      </c>
      <c r="I232" s="207">
        <v>1000</v>
      </c>
      <c r="J232" s="242">
        <f t="shared" si="44"/>
        <v>1400</v>
      </c>
      <c r="K232" s="153"/>
      <c r="V232" s="25">
        <f t="shared" si="46"/>
        <v>1</v>
      </c>
      <c r="W232" s="25">
        <f t="shared" si="47"/>
        <v>0</v>
      </c>
    </row>
    <row r="233" spans="1:23" x14ac:dyDescent="0.3">
      <c r="A233" s="147"/>
      <c r="B233" s="205">
        <f t="shared" si="45"/>
        <v>13</v>
      </c>
      <c r="C233" s="206">
        <v>45035</v>
      </c>
      <c r="D233" s="161" t="s">
        <v>9</v>
      </c>
      <c r="E233" s="161" t="s">
        <v>4173</v>
      </c>
      <c r="F233" s="222">
        <v>45</v>
      </c>
      <c r="G233" s="222">
        <v>70</v>
      </c>
      <c r="H233" s="255">
        <f>70-45</f>
        <v>25</v>
      </c>
      <c r="I233" s="207">
        <v>275</v>
      </c>
      <c r="J233" s="242">
        <f t="shared" si="44"/>
        <v>6875</v>
      </c>
      <c r="K233" s="153"/>
      <c r="V233" s="25">
        <f t="shared" si="46"/>
        <v>1</v>
      </c>
      <c r="W233" s="25">
        <f t="shared" si="47"/>
        <v>0</v>
      </c>
    </row>
    <row r="234" spans="1:23" x14ac:dyDescent="0.3">
      <c r="A234" s="147"/>
      <c r="B234" s="205">
        <f t="shared" si="45"/>
        <v>14</v>
      </c>
      <c r="C234" s="206">
        <v>45036</v>
      </c>
      <c r="D234" s="161" t="s">
        <v>9</v>
      </c>
      <c r="E234" s="161" t="s">
        <v>4174</v>
      </c>
      <c r="F234" s="222">
        <v>13</v>
      </c>
      <c r="G234" s="222">
        <v>15</v>
      </c>
      <c r="H234" s="255">
        <v>2</v>
      </c>
      <c r="I234" s="207">
        <v>1000</v>
      </c>
      <c r="J234" s="242">
        <f>I234*H234</f>
        <v>2000</v>
      </c>
      <c r="K234" s="153"/>
      <c r="V234" s="25">
        <f t="shared" si="46"/>
        <v>1</v>
      </c>
      <c r="W234" s="25">
        <f t="shared" si="47"/>
        <v>0</v>
      </c>
    </row>
    <row r="235" spans="1:23" x14ac:dyDescent="0.3">
      <c r="A235" s="147"/>
      <c r="B235" s="205">
        <f t="shared" si="45"/>
        <v>15</v>
      </c>
      <c r="C235" s="206">
        <v>45037</v>
      </c>
      <c r="D235" s="161" t="s">
        <v>9</v>
      </c>
      <c r="E235" s="161" t="s">
        <v>4175</v>
      </c>
      <c r="F235" s="222">
        <v>2.4</v>
      </c>
      <c r="G235" s="222">
        <v>3.2</v>
      </c>
      <c r="H235" s="255">
        <f>3.2-2.4</f>
        <v>0.80000000000000027</v>
      </c>
      <c r="I235" s="207">
        <v>3000</v>
      </c>
      <c r="J235" s="242">
        <f t="shared" si="44"/>
        <v>2400.0000000000009</v>
      </c>
      <c r="K235" s="153"/>
      <c r="V235" s="25">
        <f t="shared" si="46"/>
        <v>1</v>
      </c>
      <c r="W235" s="25">
        <f t="shared" si="47"/>
        <v>0</v>
      </c>
    </row>
    <row r="236" spans="1:23" x14ac:dyDescent="0.3">
      <c r="A236" s="147"/>
      <c r="B236" s="205">
        <f t="shared" si="45"/>
        <v>16</v>
      </c>
      <c r="C236" s="206">
        <v>45040</v>
      </c>
      <c r="D236" s="161" t="s">
        <v>9</v>
      </c>
      <c r="E236" s="161" t="s">
        <v>3989</v>
      </c>
      <c r="F236" s="222">
        <v>9</v>
      </c>
      <c r="G236" s="222">
        <v>10.9</v>
      </c>
      <c r="H236" s="222">
        <v>1.9</v>
      </c>
      <c r="I236" s="207">
        <v>700</v>
      </c>
      <c r="J236" s="242">
        <f t="shared" si="44"/>
        <v>1330</v>
      </c>
      <c r="K236" s="153"/>
      <c r="V236" s="25">
        <f t="shared" si="46"/>
        <v>1</v>
      </c>
      <c r="W236" s="25">
        <f t="shared" si="47"/>
        <v>0</v>
      </c>
    </row>
    <row r="237" spans="1:23" x14ac:dyDescent="0.3">
      <c r="A237" s="147"/>
      <c r="B237" s="205">
        <f t="shared" si="45"/>
        <v>17</v>
      </c>
      <c r="C237" s="206">
        <v>45041</v>
      </c>
      <c r="D237" s="161" t="s">
        <v>9</v>
      </c>
      <c r="E237" s="161" t="s">
        <v>4178</v>
      </c>
      <c r="F237" s="222">
        <v>80</v>
      </c>
      <c r="G237" s="222">
        <v>119.5</v>
      </c>
      <c r="H237" s="222">
        <f>119.5-80</f>
        <v>39.5</v>
      </c>
      <c r="I237" s="207">
        <v>250</v>
      </c>
      <c r="J237" s="242">
        <f t="shared" si="44"/>
        <v>9875</v>
      </c>
      <c r="K237" s="153"/>
      <c r="V237" s="25">
        <f t="shared" si="46"/>
        <v>1</v>
      </c>
      <c r="W237" s="25">
        <f t="shared" si="47"/>
        <v>0</v>
      </c>
    </row>
    <row r="238" spans="1:23" x14ac:dyDescent="0.3">
      <c r="A238" s="147"/>
      <c r="B238" s="205">
        <f t="shared" si="45"/>
        <v>18</v>
      </c>
      <c r="C238" s="206">
        <v>45042</v>
      </c>
      <c r="D238" s="161" t="s">
        <v>9</v>
      </c>
      <c r="E238" s="161" t="s">
        <v>4180</v>
      </c>
      <c r="F238" s="222">
        <v>15</v>
      </c>
      <c r="G238" s="222">
        <v>21.5</v>
      </c>
      <c r="H238" s="222">
        <v>6.5</v>
      </c>
      <c r="I238" s="207">
        <v>300</v>
      </c>
      <c r="J238" s="242">
        <f t="shared" si="44"/>
        <v>1950</v>
      </c>
      <c r="K238" s="153"/>
      <c r="V238" s="25">
        <f t="shared" si="46"/>
        <v>1</v>
      </c>
      <c r="W238" s="25">
        <f t="shared" si="47"/>
        <v>0</v>
      </c>
    </row>
    <row r="239" spans="1:23" x14ac:dyDescent="0.3">
      <c r="A239" s="147"/>
      <c r="B239" s="205">
        <f t="shared" si="45"/>
        <v>19</v>
      </c>
      <c r="C239" s="206">
        <v>45043</v>
      </c>
      <c r="D239" s="161" t="s">
        <v>9</v>
      </c>
      <c r="E239" s="161" t="s">
        <v>4181</v>
      </c>
      <c r="F239" s="222">
        <v>35</v>
      </c>
      <c r="G239" s="222">
        <v>15</v>
      </c>
      <c r="H239" s="222">
        <v>-25</v>
      </c>
      <c r="I239" s="207">
        <v>125</v>
      </c>
      <c r="J239" s="242">
        <f t="shared" si="44"/>
        <v>-3125</v>
      </c>
      <c r="K239" s="153"/>
      <c r="V239" s="25">
        <f t="shared" si="46"/>
        <v>0</v>
      </c>
      <c r="W239" s="25">
        <f t="shared" si="47"/>
        <v>1</v>
      </c>
    </row>
    <row r="240" spans="1:23" x14ac:dyDescent="0.3">
      <c r="A240" s="147"/>
      <c r="B240" s="205">
        <f t="shared" si="45"/>
        <v>20</v>
      </c>
      <c r="C240" s="206">
        <v>45044</v>
      </c>
      <c r="D240" s="161" t="s">
        <v>9</v>
      </c>
      <c r="E240" s="161" t="s">
        <v>4182</v>
      </c>
      <c r="F240" s="222">
        <v>19</v>
      </c>
      <c r="G240" s="222">
        <v>22.6</v>
      </c>
      <c r="H240" s="222">
        <v>3.6</v>
      </c>
      <c r="I240" s="207">
        <v>850</v>
      </c>
      <c r="J240" s="242">
        <f t="shared" si="44"/>
        <v>3060</v>
      </c>
      <c r="K240" s="153"/>
      <c r="V240" s="25">
        <f t="shared" si="46"/>
        <v>1</v>
      </c>
      <c r="W240" s="25">
        <f t="shared" si="47"/>
        <v>0</v>
      </c>
    </row>
    <row r="241" spans="1:23" x14ac:dyDescent="0.3">
      <c r="A241" s="147"/>
      <c r="B241" s="205">
        <f t="shared" si="45"/>
        <v>21</v>
      </c>
      <c r="C241" s="206"/>
      <c r="D241" s="161"/>
      <c r="E241" s="161"/>
      <c r="F241" s="222"/>
      <c r="G241" s="222"/>
      <c r="H241" s="222"/>
      <c r="I241" s="207"/>
      <c r="J241" s="242">
        <f t="shared" si="44"/>
        <v>0</v>
      </c>
      <c r="K241" s="153"/>
      <c r="V241" s="25">
        <f t="shared" si="46"/>
        <v>0</v>
      </c>
      <c r="W241" s="25">
        <f t="shared" si="47"/>
        <v>0</v>
      </c>
    </row>
    <row r="242" spans="1:23" x14ac:dyDescent="0.3">
      <c r="A242" s="147"/>
      <c r="B242" s="205">
        <f t="shared" si="45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44"/>
        <v>0</v>
      </c>
      <c r="K242" s="153"/>
      <c r="V242" s="25">
        <f t="shared" si="46"/>
        <v>0</v>
      </c>
      <c r="W242" s="25">
        <f t="shared" si="47"/>
        <v>0</v>
      </c>
    </row>
    <row r="243" spans="1:23" x14ac:dyDescent="0.3">
      <c r="A243" s="147"/>
      <c r="B243" s="205">
        <f t="shared" si="45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44"/>
        <v>0</v>
      </c>
      <c r="K243" s="153"/>
      <c r="V243" s="25">
        <f t="shared" si="46"/>
        <v>0</v>
      </c>
      <c r="W243" s="25">
        <f t="shared" si="47"/>
        <v>0</v>
      </c>
    </row>
    <row r="244" spans="1:23" ht="15" thickBot="1" x14ac:dyDescent="0.35">
      <c r="A244" s="147"/>
      <c r="B244" s="208">
        <f t="shared" si="45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44"/>
        <v>0</v>
      </c>
      <c r="K244" s="153"/>
      <c r="V244" s="25">
        <f t="shared" si="46"/>
        <v>0</v>
      </c>
      <c r="W244" s="25">
        <f t="shared" si="47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45562.5</v>
      </c>
      <c r="K245" s="153"/>
      <c r="V245" s="25">
        <f>SUM(V221:V244)</f>
        <v>17</v>
      </c>
      <c r="W245" s="25">
        <f>SUM(W221:W244)</f>
        <v>3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800-000000000000}"/>
    <hyperlink ref="B117" r:id="rId2" xr:uid="{00000000-0004-0000-7800-000001000000}"/>
    <hyperlink ref="B150" r:id="rId3" xr:uid="{00000000-0004-0000-7800-000002000000}"/>
    <hyperlink ref="B181" r:id="rId4" xr:uid="{00000000-0004-0000-7800-000003000000}"/>
    <hyperlink ref="B213" r:id="rId5" xr:uid="{00000000-0004-0000-7800-000004000000}"/>
    <hyperlink ref="B245" r:id="rId6" xr:uid="{00000000-0004-0000-7800-000005000000}"/>
    <hyperlink ref="M1" location="'MASTER '!A1" display="Back" xr:uid="{00000000-0004-0000-7800-000006000000}"/>
    <hyperlink ref="M6:M7" location="'APRIL 2023'!A77" display="STOCK FUTURE" xr:uid="{00000000-0004-0000-7800-000007000000}"/>
    <hyperlink ref="M12:M13" location="'APRIL 2023'!A170" display="BANK NIFTY" xr:uid="{00000000-0004-0000-7800-000008000000}"/>
    <hyperlink ref="M10:M11" location="'APRIL 2023'!A139" display="NF. OPTION" xr:uid="{00000000-0004-0000-7800-000009000000}"/>
    <hyperlink ref="M8:M9" location="'APRIL 2023'!A108" display="NIFTY FUTURE" xr:uid="{00000000-0004-0000-7800-00000A000000}"/>
    <hyperlink ref="M4:M5" location="'APRIL 2023'!A1" display="CASH" xr:uid="{00000000-0004-0000-7800-00000B000000}"/>
    <hyperlink ref="M14:M15" location="'APRIL 2023'!A201" display="B.NIFTY OPTION" xr:uid="{00000000-0004-0000-7800-00000C000000}"/>
    <hyperlink ref="M16:M17" location="'APRIL 2023'!A216" display="STOCK OPTION" xr:uid="{00000000-0004-0000-7800-00000D000000}"/>
    <hyperlink ref="B52" r:id="rId7" xr:uid="{00000000-0004-0000-7800-00000E000000}"/>
  </hyperlinks>
  <pageMargins left="0" right="0" top="0" bottom="0" header="0" footer="0"/>
  <pageSetup scale="95" orientation="portrait" r:id="rId8"/>
  <drawing r:id="rId9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W246"/>
  <sheetViews>
    <sheetView topLeftCell="A64" zoomScaleNormal="100" workbookViewId="0">
      <selection activeCell="M6" sqref="M6:M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4183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36</v>
      </c>
      <c r="P4" s="386">
        <f>W52</f>
        <v>5</v>
      </c>
      <c r="Q4" s="387">
        <f>N4-O4-P4</f>
        <v>1</v>
      </c>
      <c r="R4" s="380">
        <f>O4/N4</f>
        <v>0.8571428571428571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45048</v>
      </c>
      <c r="D6" s="158" t="s">
        <v>9</v>
      </c>
      <c r="E6" s="158" t="s">
        <v>31</v>
      </c>
      <c r="F6" s="230">
        <v>2440</v>
      </c>
      <c r="G6" s="222">
        <v>2445</v>
      </c>
      <c r="H6" s="222">
        <v>5</v>
      </c>
      <c r="I6" s="207">
        <f t="shared" ref="I6:I9" si="0">300000/F6</f>
        <v>122.95081967213115</v>
      </c>
      <c r="J6" s="161">
        <f t="shared" ref="J6:J47" si="1">H6*I6</f>
        <v>614.75409836065569</v>
      </c>
      <c r="K6" s="153"/>
      <c r="M6" s="394" t="s">
        <v>450</v>
      </c>
      <c r="N6" s="344">
        <f>COUNT(C60:C85)</f>
        <v>22</v>
      </c>
      <c r="O6" s="346">
        <f>V86</f>
        <v>18</v>
      </c>
      <c r="P6" s="346">
        <f>W86</f>
        <v>3</v>
      </c>
      <c r="Q6" s="374">
        <f>N6-O6-P6</f>
        <v>1</v>
      </c>
      <c r="R6" s="376">
        <f t="shared" ref="R6" si="2">O6/N6</f>
        <v>0.81818181818181823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45048</v>
      </c>
      <c r="D7" s="161" t="s">
        <v>9</v>
      </c>
      <c r="E7" s="161" t="s">
        <v>129</v>
      </c>
      <c r="F7" s="222">
        <v>2800</v>
      </c>
      <c r="G7" s="231">
        <v>2785</v>
      </c>
      <c r="H7" s="255">
        <v>-15</v>
      </c>
      <c r="I7" s="207">
        <f t="shared" si="0"/>
        <v>107.14285714285714</v>
      </c>
      <c r="J7" s="246">
        <f t="shared" ref="J7:J8" si="3">I7*H7</f>
        <v>-1607.1428571428571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0</v>
      </c>
      <c r="W7" s="25">
        <f t="shared" ref="W7:W51" si="5">IF($J7&lt;0,1,0)</f>
        <v>1</v>
      </c>
    </row>
    <row r="8" spans="1:23" x14ac:dyDescent="0.3">
      <c r="A8" s="147"/>
      <c r="B8" s="205">
        <f t="shared" ref="B8:B51" si="6">B7+1</f>
        <v>3</v>
      </c>
      <c r="C8" s="206">
        <v>45049</v>
      </c>
      <c r="D8" s="161" t="s">
        <v>9</v>
      </c>
      <c r="E8" s="161" t="s">
        <v>3515</v>
      </c>
      <c r="F8" s="222">
        <v>2995</v>
      </c>
      <c r="G8" s="222">
        <v>3022</v>
      </c>
      <c r="H8" s="222">
        <f>3022-2995</f>
        <v>27</v>
      </c>
      <c r="I8" s="219">
        <v>900</v>
      </c>
      <c r="J8" s="246">
        <f t="shared" si="3"/>
        <v>24300</v>
      </c>
      <c r="K8" s="153"/>
      <c r="M8" s="394" t="s">
        <v>451</v>
      </c>
      <c r="N8" s="344">
        <f>COUNT(C94:C116)</f>
        <v>22</v>
      </c>
      <c r="O8" s="346">
        <f>V117</f>
        <v>20</v>
      </c>
      <c r="P8" s="346">
        <f>W117</f>
        <v>2</v>
      </c>
      <c r="Q8" s="374">
        <f>N8-O8-P8</f>
        <v>0</v>
      </c>
      <c r="R8" s="376">
        <f t="shared" ref="R8" si="7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45049</v>
      </c>
      <c r="D9" s="161" t="s">
        <v>9</v>
      </c>
      <c r="E9" s="161" t="s">
        <v>2563</v>
      </c>
      <c r="F9" s="222">
        <v>2190</v>
      </c>
      <c r="G9" s="231">
        <v>2199</v>
      </c>
      <c r="H9" s="255">
        <v>9</v>
      </c>
      <c r="I9" s="207">
        <f t="shared" si="0"/>
        <v>136.98630136986301</v>
      </c>
      <c r="J9" s="161">
        <f t="shared" si="1"/>
        <v>1232.8767123287671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45050</v>
      </c>
      <c r="D10" s="161" t="s">
        <v>9</v>
      </c>
      <c r="E10" s="161" t="s">
        <v>2093</v>
      </c>
      <c r="F10" s="222">
        <v>645</v>
      </c>
      <c r="G10" s="222">
        <v>654.5</v>
      </c>
      <c r="H10" s="222">
        <f>654.5-645</f>
        <v>9.5</v>
      </c>
      <c r="I10" s="207">
        <f t="shared" ref="I10:I47" si="8">300000/F10</f>
        <v>465.11627906976742</v>
      </c>
      <c r="J10" s="161">
        <f t="shared" ref="J10:J23" si="9">H10*I10</f>
        <v>4418.6046511627901</v>
      </c>
      <c r="K10" s="153"/>
      <c r="M10" s="394" t="s">
        <v>1176</v>
      </c>
      <c r="N10" s="344">
        <f>COUNT(C125:C149)</f>
        <v>25</v>
      </c>
      <c r="O10" s="346">
        <f>V150</f>
        <v>21</v>
      </c>
      <c r="P10" s="346">
        <f>W150</f>
        <v>4</v>
      </c>
      <c r="Q10" s="374">
        <f>N10-O10-P10</f>
        <v>0</v>
      </c>
      <c r="R10" s="376">
        <f t="shared" ref="R10:R16" si="10">O10/N10</f>
        <v>0.84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45050</v>
      </c>
      <c r="D11" s="161" t="s">
        <v>9</v>
      </c>
      <c r="E11" s="161" t="s">
        <v>834</v>
      </c>
      <c r="F11" s="222">
        <v>279</v>
      </c>
      <c r="G11" s="222">
        <v>278</v>
      </c>
      <c r="H11" s="255">
        <v>-1</v>
      </c>
      <c r="I11" s="207">
        <f t="shared" si="8"/>
        <v>1075.2688172043011</v>
      </c>
      <c r="J11" s="161">
        <f t="shared" si="9"/>
        <v>-1075.2688172043011</v>
      </c>
      <c r="K11" s="153"/>
      <c r="M11" s="396"/>
      <c r="N11" s="385"/>
      <c r="O11" s="382"/>
      <c r="P11" s="382"/>
      <c r="Q11" s="383"/>
      <c r="R11" s="384"/>
      <c r="V11" s="25">
        <f t="shared" si="4"/>
        <v>0</v>
      </c>
      <c r="W11" s="25">
        <f t="shared" si="5"/>
        <v>1</v>
      </c>
    </row>
    <row r="12" spans="1:23" x14ac:dyDescent="0.3">
      <c r="A12" s="147"/>
      <c r="B12" s="205">
        <f t="shared" si="6"/>
        <v>7</v>
      </c>
      <c r="C12" s="206">
        <v>45051</v>
      </c>
      <c r="D12" s="161" t="s">
        <v>9</v>
      </c>
      <c r="E12" s="161" t="s">
        <v>4195</v>
      </c>
      <c r="F12" s="222">
        <v>3055</v>
      </c>
      <c r="G12" s="222">
        <v>3025</v>
      </c>
      <c r="H12" s="222">
        <v>-30</v>
      </c>
      <c r="I12" s="207">
        <f t="shared" si="8"/>
        <v>98.199672667757781</v>
      </c>
      <c r="J12" s="161">
        <f t="shared" si="9"/>
        <v>-2945.9901800327334</v>
      </c>
      <c r="K12" s="153"/>
      <c r="M12" s="394" t="s">
        <v>41</v>
      </c>
      <c r="N12" s="344">
        <f>COUNT(C158:C180)</f>
        <v>22</v>
      </c>
      <c r="O12" s="346">
        <f>V181</f>
        <v>18</v>
      </c>
      <c r="P12" s="346">
        <f>W181</f>
        <v>4</v>
      </c>
      <c r="Q12" s="374">
        <f t="shared" ref="Q12" si="11">N12-O12-P12</f>
        <v>0</v>
      </c>
      <c r="R12" s="376">
        <f t="shared" si="10"/>
        <v>0.81818181818181823</v>
      </c>
      <c r="V12" s="25">
        <f t="shared" si="4"/>
        <v>0</v>
      </c>
      <c r="W12" s="25">
        <f t="shared" si="5"/>
        <v>1</v>
      </c>
    </row>
    <row r="13" spans="1:23" x14ac:dyDescent="0.3">
      <c r="A13" s="147"/>
      <c r="B13" s="205">
        <f t="shared" si="6"/>
        <v>8</v>
      </c>
      <c r="C13" s="206">
        <v>45051</v>
      </c>
      <c r="D13" s="161" t="s">
        <v>8</v>
      </c>
      <c r="E13" s="161" t="s">
        <v>575</v>
      </c>
      <c r="F13" s="222">
        <v>190</v>
      </c>
      <c r="G13" s="222">
        <v>187.05</v>
      </c>
      <c r="H13" s="255">
        <f>190-187.05</f>
        <v>2.9499999999999886</v>
      </c>
      <c r="I13" s="207">
        <f t="shared" si="8"/>
        <v>1578.9473684210527</v>
      </c>
      <c r="J13" s="161">
        <f t="shared" si="9"/>
        <v>4657.8947368420877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45054</v>
      </c>
      <c r="D14" s="161" t="s">
        <v>9</v>
      </c>
      <c r="E14" s="161" t="s">
        <v>3689</v>
      </c>
      <c r="F14" s="222">
        <v>423</v>
      </c>
      <c r="G14" s="222">
        <v>425</v>
      </c>
      <c r="H14" s="222">
        <v>2</v>
      </c>
      <c r="I14" s="207">
        <f t="shared" si="8"/>
        <v>709.21985815602841</v>
      </c>
      <c r="J14" s="161">
        <f t="shared" si="9"/>
        <v>1418.4397163120568</v>
      </c>
      <c r="K14" s="153"/>
      <c r="M14" s="394" t="s">
        <v>1175</v>
      </c>
      <c r="N14" s="344">
        <f>COUNT(C189:C212)</f>
        <v>23</v>
      </c>
      <c r="O14" s="346">
        <f>V213</f>
        <v>17</v>
      </c>
      <c r="P14" s="346">
        <f>W213</f>
        <v>4</v>
      </c>
      <c r="Q14" s="374">
        <f t="shared" ref="Q14" si="12">N14-O14-P14</f>
        <v>2</v>
      </c>
      <c r="R14" s="376">
        <f t="shared" si="10"/>
        <v>0.73913043478260865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45054</v>
      </c>
      <c r="D15" s="161" t="s">
        <v>8</v>
      </c>
      <c r="E15" s="161" t="s">
        <v>108</v>
      </c>
      <c r="F15" s="222">
        <v>555</v>
      </c>
      <c r="G15" s="222">
        <v>560</v>
      </c>
      <c r="H15" s="222">
        <f>560-555</f>
        <v>5</v>
      </c>
      <c r="I15" s="207">
        <f t="shared" si="8"/>
        <v>540.54054054054052</v>
      </c>
      <c r="J15" s="161">
        <f t="shared" si="9"/>
        <v>2702.7027027027025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45055</v>
      </c>
      <c r="D16" s="161" t="s">
        <v>9</v>
      </c>
      <c r="E16" s="161" t="s">
        <v>2999</v>
      </c>
      <c r="F16" s="222">
        <v>554</v>
      </c>
      <c r="G16" s="222">
        <v>557</v>
      </c>
      <c r="H16" s="222">
        <v>3</v>
      </c>
      <c r="I16" s="207">
        <f t="shared" si="8"/>
        <v>541.51624548736459</v>
      </c>
      <c r="J16" s="161">
        <f t="shared" si="9"/>
        <v>1624.5487364620938</v>
      </c>
      <c r="K16" s="153"/>
      <c r="L16" s="25" t="s">
        <v>2008</v>
      </c>
      <c r="M16" s="394" t="s">
        <v>1090</v>
      </c>
      <c r="N16" s="344">
        <f>COUNT(C221:C244)</f>
        <v>21</v>
      </c>
      <c r="O16" s="346">
        <f>V245</f>
        <v>19</v>
      </c>
      <c r="P16" s="346">
        <f>W245</f>
        <v>2</v>
      </c>
      <c r="Q16" s="374">
        <v>0</v>
      </c>
      <c r="R16" s="376">
        <f t="shared" si="10"/>
        <v>0.90476190476190477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45055</v>
      </c>
      <c r="D17" s="161" t="s">
        <v>9</v>
      </c>
      <c r="E17" s="161" t="s">
        <v>58</v>
      </c>
      <c r="F17" s="222">
        <v>888</v>
      </c>
      <c r="G17" s="222">
        <v>890</v>
      </c>
      <c r="H17" s="222">
        <f>890-888</f>
        <v>2</v>
      </c>
      <c r="I17" s="207">
        <f t="shared" si="8"/>
        <v>337.83783783783781</v>
      </c>
      <c r="J17" s="161">
        <f t="shared" si="9"/>
        <v>675.67567567567562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45056</v>
      </c>
      <c r="D18" s="161" t="s">
        <v>9</v>
      </c>
      <c r="E18" s="161" t="s">
        <v>3515</v>
      </c>
      <c r="F18" s="222">
        <v>2925</v>
      </c>
      <c r="G18" s="222">
        <v>2958</v>
      </c>
      <c r="H18" s="222">
        <f>2958-2925</f>
        <v>33</v>
      </c>
      <c r="I18" s="207">
        <f t="shared" si="8"/>
        <v>102.56410256410257</v>
      </c>
      <c r="J18" s="161">
        <f t="shared" si="9"/>
        <v>3384.6153846153848</v>
      </c>
      <c r="K18" s="153"/>
      <c r="M18" s="392" t="s">
        <v>946</v>
      </c>
      <c r="N18" s="378">
        <f>SUM(N4:N17)</f>
        <v>177</v>
      </c>
      <c r="O18" s="378">
        <f t="shared" ref="O18:Q18" si="13">SUM(O4:O17)</f>
        <v>149</v>
      </c>
      <c r="P18" s="378">
        <f t="shared" si="13"/>
        <v>24</v>
      </c>
      <c r="Q18" s="378">
        <f t="shared" si="13"/>
        <v>4</v>
      </c>
      <c r="R18" s="380">
        <f t="shared" ref="R18" si="14">O18/N18</f>
        <v>0.84180790960451979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45056</v>
      </c>
      <c r="D19" s="161" t="s">
        <v>8</v>
      </c>
      <c r="E19" s="161" t="s">
        <v>19</v>
      </c>
      <c r="F19" s="222">
        <v>565</v>
      </c>
      <c r="G19" s="222">
        <v>570</v>
      </c>
      <c r="H19" s="222">
        <v>-5</v>
      </c>
      <c r="I19" s="207">
        <f t="shared" si="8"/>
        <v>530.97345132743362</v>
      </c>
      <c r="J19" s="161">
        <f t="shared" si="9"/>
        <v>-2654.8672566371679</v>
      </c>
      <c r="K19" s="153"/>
      <c r="M19" s="393"/>
      <c r="N19" s="379"/>
      <c r="O19" s="379"/>
      <c r="P19" s="379"/>
      <c r="Q19" s="379"/>
      <c r="R19" s="377"/>
      <c r="V19" s="25">
        <f t="shared" si="4"/>
        <v>0</v>
      </c>
      <c r="W19" s="25">
        <f t="shared" si="5"/>
        <v>1</v>
      </c>
    </row>
    <row r="20" spans="1:23" ht="15" customHeight="1" x14ac:dyDescent="0.3">
      <c r="A20" s="147"/>
      <c r="B20" s="205">
        <f t="shared" si="6"/>
        <v>15</v>
      </c>
      <c r="C20" s="206">
        <v>45057</v>
      </c>
      <c r="D20" s="161" t="s">
        <v>9</v>
      </c>
      <c r="E20" s="161" t="s">
        <v>58</v>
      </c>
      <c r="F20" s="222">
        <v>892</v>
      </c>
      <c r="G20" s="222">
        <v>900</v>
      </c>
      <c r="H20" s="222">
        <f>900-892</f>
        <v>8</v>
      </c>
      <c r="I20" s="207">
        <f t="shared" si="8"/>
        <v>336.32286995515693</v>
      </c>
      <c r="J20" s="161">
        <f t="shared" si="9"/>
        <v>2690.5829596412555</v>
      </c>
      <c r="K20" s="153"/>
      <c r="M20" s="316" t="s">
        <v>2253</v>
      </c>
      <c r="N20" s="317"/>
      <c r="O20" s="318"/>
      <c r="P20" s="325">
        <f>R18</f>
        <v>0.84180790960451979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45057</v>
      </c>
      <c r="D21" s="161" t="s">
        <v>9</v>
      </c>
      <c r="E21" s="161" t="s">
        <v>3515</v>
      </c>
      <c r="F21" s="222">
        <v>3000</v>
      </c>
      <c r="G21" s="222">
        <v>3024</v>
      </c>
      <c r="H21" s="222">
        <v>24</v>
      </c>
      <c r="I21" s="207">
        <f t="shared" si="8"/>
        <v>100</v>
      </c>
      <c r="J21" s="161">
        <f t="shared" si="9"/>
        <v>2400</v>
      </c>
      <c r="K21" s="153"/>
      <c r="M21" s="319"/>
      <c r="N21" s="320"/>
      <c r="O21" s="321"/>
      <c r="P21" s="328"/>
      <c r="Q21" s="329"/>
      <c r="R21" s="33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45058</v>
      </c>
      <c r="D22" s="161" t="s">
        <v>8</v>
      </c>
      <c r="E22" s="161" t="s">
        <v>95</v>
      </c>
      <c r="F22" s="222">
        <v>935</v>
      </c>
      <c r="G22" s="222">
        <v>945</v>
      </c>
      <c r="H22" s="222">
        <v>-10</v>
      </c>
      <c r="I22" s="207">
        <f t="shared" si="8"/>
        <v>320.85561497326205</v>
      </c>
      <c r="J22" s="161">
        <f t="shared" si="9"/>
        <v>-3208.5561497326207</v>
      </c>
      <c r="K22" s="153"/>
      <c r="M22" s="322"/>
      <c r="N22" s="323"/>
      <c r="O22" s="324"/>
      <c r="P22" s="331"/>
      <c r="Q22" s="332"/>
      <c r="R22" s="333"/>
      <c r="V22" s="25">
        <f t="shared" si="4"/>
        <v>0</v>
      </c>
      <c r="W22" s="25">
        <f t="shared" si="5"/>
        <v>1</v>
      </c>
    </row>
    <row r="23" spans="1:23" ht="15" customHeight="1" x14ac:dyDescent="0.3">
      <c r="A23" s="147"/>
      <c r="B23" s="205">
        <f t="shared" si="6"/>
        <v>18</v>
      </c>
      <c r="C23" s="206">
        <v>45058</v>
      </c>
      <c r="D23" s="161" t="s">
        <v>8</v>
      </c>
      <c r="E23" s="161" t="s">
        <v>3515</v>
      </c>
      <c r="F23" s="222">
        <v>2960</v>
      </c>
      <c r="G23" s="222">
        <v>2950</v>
      </c>
      <c r="H23" s="222">
        <v>10</v>
      </c>
      <c r="I23" s="207">
        <f t="shared" si="8"/>
        <v>101.35135135135135</v>
      </c>
      <c r="J23" s="161">
        <f t="shared" si="9"/>
        <v>1013.5135135135135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45061</v>
      </c>
      <c r="D24" s="161" t="s">
        <v>9</v>
      </c>
      <c r="E24" s="161" t="s">
        <v>58</v>
      </c>
      <c r="F24" s="222">
        <v>915</v>
      </c>
      <c r="G24" s="222">
        <v>918</v>
      </c>
      <c r="H24" s="222">
        <v>3</v>
      </c>
      <c r="I24" s="207">
        <f t="shared" si="8"/>
        <v>327.86885245901641</v>
      </c>
      <c r="J24" s="161">
        <f t="shared" si="1"/>
        <v>983.60655737704928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45061</v>
      </c>
      <c r="D25" s="161" t="s">
        <v>9</v>
      </c>
      <c r="E25" s="161" t="s">
        <v>3515</v>
      </c>
      <c r="F25" s="222">
        <v>3010</v>
      </c>
      <c r="G25" s="222">
        <v>3030</v>
      </c>
      <c r="H25" s="222">
        <v>20</v>
      </c>
      <c r="I25" s="207">
        <f t="shared" si="8"/>
        <v>99.667774086378742</v>
      </c>
      <c r="J25" s="161">
        <f t="shared" si="1"/>
        <v>1993.3554817275749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45062</v>
      </c>
      <c r="D26" s="161" t="s">
        <v>8</v>
      </c>
      <c r="E26" s="161" t="s">
        <v>129</v>
      </c>
      <c r="F26" s="222">
        <v>2740</v>
      </c>
      <c r="G26" s="222">
        <v>2725</v>
      </c>
      <c r="H26" s="222">
        <f>2740-2725</f>
        <v>15</v>
      </c>
      <c r="I26" s="207">
        <f t="shared" si="8"/>
        <v>109.48905109489051</v>
      </c>
      <c r="J26" s="161">
        <f t="shared" si="1"/>
        <v>1642.3357664233577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45063</v>
      </c>
      <c r="D27" s="161" t="s">
        <v>8</v>
      </c>
      <c r="E27" s="161" t="s">
        <v>129</v>
      </c>
      <c r="F27" s="222">
        <v>2715</v>
      </c>
      <c r="G27" s="222">
        <v>2690</v>
      </c>
      <c r="H27" s="222">
        <f>2715-2690</f>
        <v>25</v>
      </c>
      <c r="I27" s="207">
        <f t="shared" si="8"/>
        <v>110.49723756906077</v>
      </c>
      <c r="J27" s="161">
        <f t="shared" si="1"/>
        <v>2762.4309392265195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45063</v>
      </c>
      <c r="D28" s="161" t="s">
        <v>8</v>
      </c>
      <c r="E28" s="161" t="s">
        <v>31</v>
      </c>
      <c r="F28" s="222">
        <v>2440</v>
      </c>
      <c r="G28" s="222">
        <v>2440</v>
      </c>
      <c r="H28" s="222">
        <v>0</v>
      </c>
      <c r="I28" s="207">
        <f t="shared" si="8"/>
        <v>122.95081967213115</v>
      </c>
      <c r="J28" s="161">
        <f t="shared" si="1"/>
        <v>0</v>
      </c>
      <c r="K28" s="153"/>
      <c r="M28" s="25" t="s">
        <v>2008</v>
      </c>
      <c r="V28" s="25">
        <f t="shared" si="4"/>
        <v>0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45064</v>
      </c>
      <c r="D29" s="161" t="s">
        <v>8</v>
      </c>
      <c r="E29" s="161" t="s">
        <v>2203</v>
      </c>
      <c r="F29" s="222">
        <v>1066</v>
      </c>
      <c r="G29" s="222">
        <v>1046</v>
      </c>
      <c r="H29" s="222">
        <v>20</v>
      </c>
      <c r="I29" s="207">
        <f t="shared" si="8"/>
        <v>281.42589118198873</v>
      </c>
      <c r="J29" s="161">
        <f t="shared" si="1"/>
        <v>5628.5178236397751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45065</v>
      </c>
      <c r="D30" s="161" t="s">
        <v>8</v>
      </c>
      <c r="E30" s="161" t="s">
        <v>31</v>
      </c>
      <c r="F30" s="222">
        <v>2425</v>
      </c>
      <c r="G30" s="222">
        <v>2418.85</v>
      </c>
      <c r="H30" s="222">
        <f>2425-2418.85</f>
        <v>6.1500000000000909</v>
      </c>
      <c r="I30" s="207">
        <f t="shared" si="8"/>
        <v>123.71134020618557</v>
      </c>
      <c r="J30" s="161">
        <f t="shared" si="1"/>
        <v>760.82474226805255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45065</v>
      </c>
      <c r="D31" s="161" t="s">
        <v>8</v>
      </c>
      <c r="E31" s="161" t="s">
        <v>341</v>
      </c>
      <c r="F31" s="223">
        <v>520</v>
      </c>
      <c r="G31" s="222">
        <v>518</v>
      </c>
      <c r="H31" s="255">
        <v>2</v>
      </c>
      <c r="I31" s="207">
        <f t="shared" si="8"/>
        <v>576.92307692307691</v>
      </c>
      <c r="J31" s="161">
        <f t="shared" si="1"/>
        <v>1153.8461538461538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45068</v>
      </c>
      <c r="D32" s="161" t="s">
        <v>9</v>
      </c>
      <c r="E32" s="161" t="s">
        <v>26</v>
      </c>
      <c r="F32" s="222">
        <v>479</v>
      </c>
      <c r="G32" s="222">
        <v>481</v>
      </c>
      <c r="H32" s="222">
        <f>481-479</f>
        <v>2</v>
      </c>
      <c r="I32" s="207">
        <f t="shared" si="8"/>
        <v>626.30480167014616</v>
      </c>
      <c r="J32" s="161">
        <f t="shared" si="1"/>
        <v>1252.6096033402923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45068</v>
      </c>
      <c r="D33" s="161" t="s">
        <v>8</v>
      </c>
      <c r="E33" s="161" t="s">
        <v>552</v>
      </c>
      <c r="F33" s="223">
        <v>1240</v>
      </c>
      <c r="G33" s="222">
        <v>1233.5</v>
      </c>
      <c r="H33" s="255">
        <f>1240-1233.5</f>
        <v>6.5</v>
      </c>
      <c r="I33" s="207">
        <f t="shared" si="8"/>
        <v>241.93548387096774</v>
      </c>
      <c r="J33" s="161">
        <f t="shared" si="1"/>
        <v>1572.5806451612902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45069</v>
      </c>
      <c r="D34" s="161" t="s">
        <v>9</v>
      </c>
      <c r="E34" s="161" t="s">
        <v>403</v>
      </c>
      <c r="F34" s="222">
        <v>3335</v>
      </c>
      <c r="G34" s="222">
        <v>3395</v>
      </c>
      <c r="H34" s="222">
        <f>3395-3335</f>
        <v>60</v>
      </c>
      <c r="I34" s="207">
        <f t="shared" si="8"/>
        <v>89.955022488755617</v>
      </c>
      <c r="J34" s="161">
        <f t="shared" si="1"/>
        <v>5397.3013493253366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45069</v>
      </c>
      <c r="D35" s="161" t="s">
        <v>9</v>
      </c>
      <c r="E35" s="161" t="s">
        <v>3443</v>
      </c>
      <c r="F35" s="222">
        <v>1955</v>
      </c>
      <c r="G35" s="222">
        <v>1968</v>
      </c>
      <c r="H35" s="222">
        <f>1968-1955</f>
        <v>13</v>
      </c>
      <c r="I35" s="207">
        <f t="shared" si="8"/>
        <v>153.45268542199489</v>
      </c>
      <c r="J35" s="161">
        <f t="shared" si="1"/>
        <v>1994.8849104859335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45070</v>
      </c>
      <c r="D36" s="161" t="s">
        <v>9</v>
      </c>
      <c r="E36" s="161" t="s">
        <v>19</v>
      </c>
      <c r="F36" s="222">
        <v>581</v>
      </c>
      <c r="G36" s="222">
        <v>585</v>
      </c>
      <c r="H36" s="222">
        <v>4</v>
      </c>
      <c r="I36" s="207">
        <f t="shared" si="8"/>
        <v>516.35111876075734</v>
      </c>
      <c r="J36" s="161">
        <f t="shared" si="1"/>
        <v>2065.4044750430294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45070</v>
      </c>
      <c r="D37" s="161" t="s">
        <v>8</v>
      </c>
      <c r="E37" s="161" t="s">
        <v>3436</v>
      </c>
      <c r="F37" s="222">
        <v>623</v>
      </c>
      <c r="G37" s="222">
        <v>618.6</v>
      </c>
      <c r="H37" s="222">
        <f>623-618.6</f>
        <v>4.3999999999999773</v>
      </c>
      <c r="I37" s="207">
        <f t="shared" si="8"/>
        <v>481.54093097913324</v>
      </c>
      <c r="J37" s="161">
        <f t="shared" si="1"/>
        <v>2118.7800963081754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45071</v>
      </c>
      <c r="D38" s="161" t="s">
        <v>9</v>
      </c>
      <c r="E38" s="161" t="s">
        <v>132</v>
      </c>
      <c r="F38" s="222">
        <v>443</v>
      </c>
      <c r="G38" s="222">
        <v>446</v>
      </c>
      <c r="H38" s="222">
        <v>3</v>
      </c>
      <c r="I38" s="207">
        <f t="shared" si="8"/>
        <v>677.20090293453723</v>
      </c>
      <c r="J38" s="161">
        <f t="shared" si="1"/>
        <v>2031.6027088036117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45071</v>
      </c>
      <c r="D39" s="161" t="s">
        <v>8</v>
      </c>
      <c r="E39" s="161" t="s">
        <v>115</v>
      </c>
      <c r="F39" s="222">
        <v>240.5</v>
      </c>
      <c r="G39" s="222">
        <v>237.9</v>
      </c>
      <c r="H39" s="222">
        <f>240.5-237.9</f>
        <v>2.5999999999999943</v>
      </c>
      <c r="I39" s="207">
        <f t="shared" si="8"/>
        <v>1247.4012474012475</v>
      </c>
      <c r="J39" s="161">
        <f t="shared" si="1"/>
        <v>3243.2432432432365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45072</v>
      </c>
      <c r="D40" s="161" t="s">
        <v>9</v>
      </c>
      <c r="E40" s="161" t="s">
        <v>31</v>
      </c>
      <c r="F40" s="222">
        <v>2480</v>
      </c>
      <c r="G40" s="222">
        <v>2508</v>
      </c>
      <c r="H40" s="222">
        <f>2508-2480</f>
        <v>28</v>
      </c>
      <c r="I40" s="207">
        <f t="shared" si="8"/>
        <v>120.96774193548387</v>
      </c>
      <c r="J40" s="161">
        <f t="shared" si="1"/>
        <v>3387.0967741935483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45072</v>
      </c>
      <c r="D41" s="161" t="s">
        <v>9</v>
      </c>
      <c r="E41" s="161" t="s">
        <v>19</v>
      </c>
      <c r="F41" s="222">
        <v>585</v>
      </c>
      <c r="G41" s="223">
        <v>587.75</v>
      </c>
      <c r="H41" s="222">
        <f>587.75-585</f>
        <v>2.75</v>
      </c>
      <c r="I41" s="207">
        <f t="shared" si="8"/>
        <v>512.82051282051282</v>
      </c>
      <c r="J41" s="161">
        <f t="shared" si="1"/>
        <v>1410.2564102564102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45075</v>
      </c>
      <c r="D42" s="161" t="s">
        <v>9</v>
      </c>
      <c r="E42" s="161" t="s">
        <v>3563</v>
      </c>
      <c r="F42" s="222">
        <v>1390</v>
      </c>
      <c r="G42" s="222">
        <v>1420</v>
      </c>
      <c r="H42" s="222">
        <f>1420-1390</f>
        <v>30</v>
      </c>
      <c r="I42" s="207">
        <f t="shared" si="8"/>
        <v>215.82733812949641</v>
      </c>
      <c r="J42" s="161">
        <f t="shared" si="1"/>
        <v>6474.8201438848919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45075</v>
      </c>
      <c r="D43" s="161" t="s">
        <v>8</v>
      </c>
      <c r="E43" s="161" t="s">
        <v>2093</v>
      </c>
      <c r="F43" s="222">
        <v>702</v>
      </c>
      <c r="G43" s="222">
        <v>694</v>
      </c>
      <c r="H43" s="222">
        <f>702-694</f>
        <v>8</v>
      </c>
      <c r="I43" s="207">
        <f t="shared" si="8"/>
        <v>427.35042735042737</v>
      </c>
      <c r="J43" s="161">
        <f t="shared" si="1"/>
        <v>3418.8034188034189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45076</v>
      </c>
      <c r="D44" s="161" t="s">
        <v>9</v>
      </c>
      <c r="E44" s="161" t="s">
        <v>3515</v>
      </c>
      <c r="F44" s="222">
        <v>3060</v>
      </c>
      <c r="G44" s="222">
        <v>3116</v>
      </c>
      <c r="H44" s="222">
        <f>3116-3060</f>
        <v>56</v>
      </c>
      <c r="I44" s="207">
        <f t="shared" si="8"/>
        <v>98.039215686274517</v>
      </c>
      <c r="J44" s="161">
        <f t="shared" si="1"/>
        <v>5490.1960784313733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45076</v>
      </c>
      <c r="D45" s="161" t="s">
        <v>8</v>
      </c>
      <c r="E45" s="161" t="s">
        <v>94</v>
      </c>
      <c r="F45" s="222">
        <v>1632</v>
      </c>
      <c r="G45" s="222">
        <v>1629</v>
      </c>
      <c r="H45" s="222">
        <v>3</v>
      </c>
      <c r="I45" s="207">
        <f t="shared" si="8"/>
        <v>183.8235294117647</v>
      </c>
      <c r="J45" s="161">
        <f t="shared" si="1"/>
        <v>551.47058823529414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>
        <v>45077</v>
      </c>
      <c r="D46" s="161" t="s">
        <v>9</v>
      </c>
      <c r="E46" s="161" t="s">
        <v>3515</v>
      </c>
      <c r="F46" s="222">
        <v>3120</v>
      </c>
      <c r="G46" s="222">
        <v>3132</v>
      </c>
      <c r="H46" s="222">
        <v>12</v>
      </c>
      <c r="I46" s="207">
        <f t="shared" si="8"/>
        <v>96.15384615384616</v>
      </c>
      <c r="J46" s="161">
        <f t="shared" si="1"/>
        <v>1153.8461538461538</v>
      </c>
      <c r="K46" s="153"/>
      <c r="V46" s="25">
        <f t="shared" si="4"/>
        <v>1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>
        <v>45077</v>
      </c>
      <c r="D47" s="161" t="s">
        <v>9</v>
      </c>
      <c r="E47" s="161" t="s">
        <v>299</v>
      </c>
      <c r="F47" s="222">
        <v>2500</v>
      </c>
      <c r="G47" s="222">
        <v>2550</v>
      </c>
      <c r="H47" s="222">
        <v>50</v>
      </c>
      <c r="I47" s="207">
        <f t="shared" si="8"/>
        <v>120</v>
      </c>
      <c r="J47" s="161">
        <f t="shared" si="1"/>
        <v>6000</v>
      </c>
      <c r="K47" s="153"/>
      <c r="V47" s="25">
        <f t="shared" si="4"/>
        <v>1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102130.19769073777</v>
      </c>
      <c r="K52" s="153"/>
      <c r="V52" s="25">
        <f>SUM(V6:V51)</f>
        <v>36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4184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45048</v>
      </c>
      <c r="D60" s="161" t="s">
        <v>9</v>
      </c>
      <c r="E60" s="161" t="s">
        <v>126</v>
      </c>
      <c r="F60" s="222">
        <v>3245</v>
      </c>
      <c r="G60" s="222">
        <v>3252</v>
      </c>
      <c r="H60" s="222">
        <f>3252-3245</f>
        <v>7</v>
      </c>
      <c r="I60" s="207">
        <v>175</v>
      </c>
      <c r="J60" s="241">
        <f t="shared" ref="J60:J85" si="15">I60*H60</f>
        <v>1225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45049</v>
      </c>
      <c r="D61" s="161" t="s">
        <v>9</v>
      </c>
      <c r="E61" s="161" t="s">
        <v>310</v>
      </c>
      <c r="F61" s="222">
        <v>783</v>
      </c>
      <c r="G61" s="222">
        <v>798</v>
      </c>
      <c r="H61" s="222">
        <f>798-783</f>
        <v>15</v>
      </c>
      <c r="I61" s="207">
        <v>625</v>
      </c>
      <c r="J61" s="242">
        <f t="shared" si="15"/>
        <v>9375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45050</v>
      </c>
      <c r="D62" s="161" t="s">
        <v>9</v>
      </c>
      <c r="E62" s="161" t="s">
        <v>16</v>
      </c>
      <c r="F62" s="222">
        <v>2690</v>
      </c>
      <c r="G62" s="222">
        <v>2700</v>
      </c>
      <c r="H62" s="222">
        <f>2700-2690</f>
        <v>10</v>
      </c>
      <c r="I62" s="207">
        <v>375</v>
      </c>
      <c r="J62" s="242">
        <f t="shared" si="15"/>
        <v>3750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45051</v>
      </c>
      <c r="D63" s="161" t="s">
        <v>8</v>
      </c>
      <c r="E63" s="161" t="s">
        <v>586</v>
      </c>
      <c r="F63" s="222">
        <v>1770</v>
      </c>
      <c r="G63" s="222">
        <v>1755</v>
      </c>
      <c r="H63" s="222">
        <f>1770-1755</f>
        <v>15</v>
      </c>
      <c r="I63" s="207">
        <v>475</v>
      </c>
      <c r="J63" s="242">
        <f>I63*H63</f>
        <v>7125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45054</v>
      </c>
      <c r="D64" s="161" t="s">
        <v>8</v>
      </c>
      <c r="E64" s="161" t="s">
        <v>78</v>
      </c>
      <c r="F64" s="222">
        <v>2385</v>
      </c>
      <c r="G64" s="222">
        <v>2377</v>
      </c>
      <c r="H64" s="222">
        <f>2385-2377</f>
        <v>8</v>
      </c>
      <c r="I64" s="207">
        <v>300</v>
      </c>
      <c r="J64" s="242">
        <f>I64*H64</f>
        <v>2400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45055</v>
      </c>
      <c r="D65" s="161" t="s">
        <v>9</v>
      </c>
      <c r="E65" s="161" t="s">
        <v>2999</v>
      </c>
      <c r="F65" s="222">
        <v>554</v>
      </c>
      <c r="G65" s="222">
        <v>559</v>
      </c>
      <c r="H65" s="222">
        <v>5</v>
      </c>
      <c r="I65" s="207">
        <v>1100</v>
      </c>
      <c r="J65" s="242">
        <f>I65*H65</f>
        <v>5500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45056</v>
      </c>
      <c r="D66" s="161" t="s">
        <v>9</v>
      </c>
      <c r="E66" s="161" t="s">
        <v>15</v>
      </c>
      <c r="F66" s="222">
        <v>3710</v>
      </c>
      <c r="G66" s="222">
        <v>3748</v>
      </c>
      <c r="H66" s="222">
        <f>3748-3710</f>
        <v>38</v>
      </c>
      <c r="I66" s="207">
        <v>275</v>
      </c>
      <c r="J66" s="242">
        <f t="shared" si="15"/>
        <v>10450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45057</v>
      </c>
      <c r="D67" s="161" t="s">
        <v>9</v>
      </c>
      <c r="E67" s="161" t="s">
        <v>2203</v>
      </c>
      <c r="F67" s="222">
        <v>1095</v>
      </c>
      <c r="G67" s="222">
        <v>1085</v>
      </c>
      <c r="H67" s="222">
        <v>-10</v>
      </c>
      <c r="I67" s="207">
        <v>800</v>
      </c>
      <c r="J67" s="242">
        <f>I67*H67</f>
        <v>-8000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45058</v>
      </c>
      <c r="D68" s="161" t="s">
        <v>9</v>
      </c>
      <c r="E68" s="161" t="s">
        <v>3563</v>
      </c>
      <c r="F68" s="222">
        <v>1390</v>
      </c>
      <c r="G68" s="222">
        <v>1375</v>
      </c>
      <c r="H68" s="222">
        <v>-15</v>
      </c>
      <c r="I68" s="207">
        <v>400</v>
      </c>
      <c r="J68" s="242">
        <f>I68*H68</f>
        <v>-6000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45061</v>
      </c>
      <c r="D69" s="161" t="s">
        <v>9</v>
      </c>
      <c r="E69" s="161" t="s">
        <v>31</v>
      </c>
      <c r="F69" s="222">
        <v>2490</v>
      </c>
      <c r="G69" s="222">
        <v>2505</v>
      </c>
      <c r="H69" s="222">
        <f>2505-2490</f>
        <v>15</v>
      </c>
      <c r="I69" s="207">
        <v>250</v>
      </c>
      <c r="J69" s="242">
        <f>I69*H69</f>
        <v>3750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45062</v>
      </c>
      <c r="D70" s="161" t="s">
        <v>9</v>
      </c>
      <c r="E70" s="161" t="s">
        <v>58</v>
      </c>
      <c r="F70" s="161">
        <v>920</v>
      </c>
      <c r="G70" s="222">
        <v>912</v>
      </c>
      <c r="H70" s="222">
        <v>-8</v>
      </c>
      <c r="I70" s="207">
        <v>1200</v>
      </c>
      <c r="J70" s="242">
        <f t="shared" si="15"/>
        <v>-9600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45063</v>
      </c>
      <c r="D71" s="161" t="s">
        <v>8</v>
      </c>
      <c r="E71" s="161" t="s">
        <v>29</v>
      </c>
      <c r="F71" s="222">
        <v>1085</v>
      </c>
      <c r="G71" s="222">
        <v>1065</v>
      </c>
      <c r="H71" s="222">
        <v>20</v>
      </c>
      <c r="I71" s="207">
        <v>700</v>
      </c>
      <c r="J71" s="242">
        <f t="shared" si="15"/>
        <v>14000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45064</v>
      </c>
      <c r="D72" s="161" t="s">
        <v>8</v>
      </c>
      <c r="E72" s="161" t="s">
        <v>129</v>
      </c>
      <c r="F72" s="222">
        <v>2725</v>
      </c>
      <c r="G72" s="222">
        <v>2715</v>
      </c>
      <c r="H72" s="222">
        <v>10</v>
      </c>
      <c r="I72" s="207">
        <v>300</v>
      </c>
      <c r="J72" s="242">
        <f t="shared" si="15"/>
        <v>3000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45065</v>
      </c>
      <c r="D73" s="161" t="s">
        <v>9</v>
      </c>
      <c r="E73" s="161" t="s">
        <v>29</v>
      </c>
      <c r="F73" s="222">
        <v>1095</v>
      </c>
      <c r="G73" s="222">
        <v>1102</v>
      </c>
      <c r="H73" s="255">
        <f>1102-1095</f>
        <v>7</v>
      </c>
      <c r="I73" s="207">
        <v>700</v>
      </c>
      <c r="J73" s="242">
        <f t="shared" si="15"/>
        <v>4900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45068</v>
      </c>
      <c r="D74" s="265" t="s">
        <v>8</v>
      </c>
      <c r="E74" s="265" t="s">
        <v>48</v>
      </c>
      <c r="F74" s="277">
        <v>181</v>
      </c>
      <c r="G74" s="267">
        <v>179.25</v>
      </c>
      <c r="H74" s="222">
        <f>181-179.25</f>
        <v>1.75</v>
      </c>
      <c r="I74" s="207">
        <v>5850</v>
      </c>
      <c r="J74" s="242">
        <f t="shared" si="15"/>
        <v>10237.5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64">
        <v>45069</v>
      </c>
      <c r="D75" s="265" t="s">
        <v>9</v>
      </c>
      <c r="E75" s="265" t="s">
        <v>2204</v>
      </c>
      <c r="F75" s="277">
        <v>1140</v>
      </c>
      <c r="G75" s="267">
        <v>1145</v>
      </c>
      <c r="H75" s="222">
        <v>5</v>
      </c>
      <c r="I75" s="207">
        <v>550</v>
      </c>
      <c r="J75" s="242">
        <f t="shared" si="15"/>
        <v>2750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45070</v>
      </c>
      <c r="D76" s="161" t="s">
        <v>9</v>
      </c>
      <c r="E76" s="161" t="s">
        <v>4210</v>
      </c>
      <c r="F76" s="222">
        <v>1365</v>
      </c>
      <c r="G76" s="222">
        <v>1369</v>
      </c>
      <c r="H76" s="222">
        <v>4</v>
      </c>
      <c r="I76" s="207">
        <v>407</v>
      </c>
      <c r="J76" s="242">
        <f t="shared" si="15"/>
        <v>1628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45071</v>
      </c>
      <c r="D77" s="161" t="s">
        <v>9</v>
      </c>
      <c r="E77" s="161" t="s">
        <v>2563</v>
      </c>
      <c r="F77" s="222">
        <v>2285</v>
      </c>
      <c r="G77" s="222">
        <v>2315</v>
      </c>
      <c r="H77" s="222">
        <v>30</v>
      </c>
      <c r="I77" s="207">
        <v>300</v>
      </c>
      <c r="J77" s="242">
        <f t="shared" si="15"/>
        <v>9000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45072</v>
      </c>
      <c r="D78" s="161" t="s">
        <v>9</v>
      </c>
      <c r="E78" s="161" t="s">
        <v>796</v>
      </c>
      <c r="F78" s="223">
        <v>4640</v>
      </c>
      <c r="G78" s="222">
        <v>4655</v>
      </c>
      <c r="H78" s="255">
        <v>15</v>
      </c>
      <c r="I78" s="207">
        <v>125</v>
      </c>
      <c r="J78" s="242">
        <f t="shared" si="15"/>
        <v>1875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45075</v>
      </c>
      <c r="D79" s="161" t="s">
        <v>9</v>
      </c>
      <c r="E79" s="161" t="s">
        <v>3563</v>
      </c>
      <c r="F79" s="222">
        <v>1390</v>
      </c>
      <c r="G79" s="222">
        <v>1420</v>
      </c>
      <c r="H79" s="222">
        <f>1420-1390</f>
        <v>30</v>
      </c>
      <c r="I79" s="207">
        <v>400</v>
      </c>
      <c r="J79" s="242">
        <f t="shared" si="15"/>
        <v>12000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45076</v>
      </c>
      <c r="D80" s="161" t="s">
        <v>9</v>
      </c>
      <c r="E80" s="161" t="s">
        <v>16</v>
      </c>
      <c r="F80" s="222">
        <v>2840</v>
      </c>
      <c r="G80" s="222">
        <v>2850</v>
      </c>
      <c r="H80" s="222">
        <v>10</v>
      </c>
      <c r="I80" s="207">
        <v>375</v>
      </c>
      <c r="J80" s="242">
        <f t="shared" si="15"/>
        <v>3750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45077</v>
      </c>
      <c r="D81" s="161" t="s">
        <v>9</v>
      </c>
      <c r="E81" s="161" t="s">
        <v>299</v>
      </c>
      <c r="F81" s="222">
        <v>2505</v>
      </c>
      <c r="G81" s="222">
        <v>2555</v>
      </c>
      <c r="H81" s="222">
        <v>50</v>
      </c>
      <c r="I81" s="207">
        <v>250</v>
      </c>
      <c r="J81" s="242">
        <f t="shared" si="15"/>
        <v>12500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95615.5</v>
      </c>
      <c r="K86" s="153"/>
      <c r="V86" s="25">
        <f>SUM(V60:V85)</f>
        <v>18</v>
      </c>
      <c r="W86" s="25">
        <f>SUM(W60:W85)</f>
        <v>3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4183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45048</v>
      </c>
      <c r="D94" s="185" t="s">
        <v>9</v>
      </c>
      <c r="E94" s="185" t="s">
        <v>39</v>
      </c>
      <c r="F94" s="219">
        <v>18220</v>
      </c>
      <c r="G94" s="219">
        <v>18240</v>
      </c>
      <c r="H94" s="185">
        <v>20</v>
      </c>
      <c r="I94" s="219">
        <v>150</v>
      </c>
      <c r="J94" s="246">
        <f t="shared" ref="J94:J116" si="19">I94*H94</f>
        <v>3000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45049</v>
      </c>
      <c r="D95" s="185" t="s">
        <v>9</v>
      </c>
      <c r="E95" s="185" t="s">
        <v>39</v>
      </c>
      <c r="F95" s="219">
        <v>18160</v>
      </c>
      <c r="G95" s="219">
        <v>18179</v>
      </c>
      <c r="H95" s="185">
        <f>18179-18160</f>
        <v>19</v>
      </c>
      <c r="I95" s="219">
        <v>150</v>
      </c>
      <c r="J95" s="242">
        <f t="shared" si="19"/>
        <v>2850</v>
      </c>
      <c r="K95" s="153"/>
      <c r="V95" s="25">
        <f t="shared" ref="V95:V116" si="20">IF($J95&gt;0,1,0)</f>
        <v>1</v>
      </c>
      <c r="W95" s="25">
        <f t="shared" ref="W95:W116" si="21">IF($J95&lt;0,1,0)</f>
        <v>0</v>
      </c>
    </row>
    <row r="96" spans="1:23" x14ac:dyDescent="0.3">
      <c r="A96" s="147"/>
      <c r="B96" s="205">
        <f t="shared" ref="B96:B116" si="22">B95+1</f>
        <v>3</v>
      </c>
      <c r="C96" s="206">
        <v>45050</v>
      </c>
      <c r="D96" s="161" t="s">
        <v>9</v>
      </c>
      <c r="E96" s="161" t="s">
        <v>39</v>
      </c>
      <c r="F96" s="207">
        <v>18160</v>
      </c>
      <c r="G96" s="207">
        <v>18240</v>
      </c>
      <c r="H96" s="161">
        <f>18240-18160</f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45051</v>
      </c>
      <c r="D97" s="161" t="s">
        <v>9</v>
      </c>
      <c r="E97" s="161" t="s">
        <v>39</v>
      </c>
      <c r="F97" s="207">
        <v>18240</v>
      </c>
      <c r="G97" s="207">
        <v>18260</v>
      </c>
      <c r="H97" s="161">
        <v>20</v>
      </c>
      <c r="I97" s="207">
        <v>150</v>
      </c>
      <c r="J97" s="242">
        <f t="shared" si="19"/>
        <v>3000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45054</v>
      </c>
      <c r="D98" s="161" t="s">
        <v>9</v>
      </c>
      <c r="E98" s="161" t="s">
        <v>39</v>
      </c>
      <c r="F98" s="207">
        <v>18240</v>
      </c>
      <c r="G98" s="207">
        <v>18320</v>
      </c>
      <c r="H98" s="161">
        <f>18320-18240</f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6</v>
      </c>
      <c r="C99" s="206">
        <v>45055</v>
      </c>
      <c r="D99" s="161" t="s">
        <v>9</v>
      </c>
      <c r="E99" s="161" t="s">
        <v>39</v>
      </c>
      <c r="F99" s="207">
        <v>18360</v>
      </c>
      <c r="G99" s="207">
        <v>18388</v>
      </c>
      <c r="H99" s="161">
        <f>18388-18360</f>
        <v>28</v>
      </c>
      <c r="I99" s="207">
        <v>150</v>
      </c>
      <c r="J99" s="242">
        <f t="shared" si="19"/>
        <v>4200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45056</v>
      </c>
      <c r="D100" s="161" t="s">
        <v>8</v>
      </c>
      <c r="E100" s="161" t="s">
        <v>39</v>
      </c>
      <c r="F100" s="207">
        <v>18290</v>
      </c>
      <c r="G100" s="207">
        <v>18330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8</v>
      </c>
      <c r="C101" s="206">
        <v>45057</v>
      </c>
      <c r="D101" s="161" t="s">
        <v>9</v>
      </c>
      <c r="E101" s="161" t="s">
        <v>39</v>
      </c>
      <c r="F101" s="207">
        <v>18350</v>
      </c>
      <c r="G101" s="207">
        <v>18380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45058</v>
      </c>
      <c r="D102" s="161" t="s">
        <v>9</v>
      </c>
      <c r="E102" s="161" t="s">
        <v>39</v>
      </c>
      <c r="F102" s="207">
        <v>18260</v>
      </c>
      <c r="G102" s="207">
        <v>18340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45061</v>
      </c>
      <c r="D103" s="161" t="s">
        <v>9</v>
      </c>
      <c r="E103" s="161" t="s">
        <v>39</v>
      </c>
      <c r="F103" s="207">
        <v>18390</v>
      </c>
      <c r="G103" s="207">
        <v>18470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45062</v>
      </c>
      <c r="D104" s="161" t="s">
        <v>9</v>
      </c>
      <c r="E104" s="161" t="s">
        <v>39</v>
      </c>
      <c r="F104" s="207">
        <v>18440</v>
      </c>
      <c r="G104" s="207">
        <v>18400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12</v>
      </c>
      <c r="C105" s="206">
        <v>45063</v>
      </c>
      <c r="D105" s="161" t="s">
        <v>8</v>
      </c>
      <c r="E105" s="161" t="s">
        <v>39</v>
      </c>
      <c r="F105" s="207">
        <v>18280</v>
      </c>
      <c r="G105" s="207">
        <v>18200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45064</v>
      </c>
      <c r="D106" s="161" t="s">
        <v>8</v>
      </c>
      <c r="E106" s="161" t="s">
        <v>39</v>
      </c>
      <c r="F106" s="207">
        <v>18250</v>
      </c>
      <c r="G106" s="207">
        <v>18170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14</v>
      </c>
      <c r="C107" s="206">
        <v>45065</v>
      </c>
      <c r="D107" s="161" t="s">
        <v>8</v>
      </c>
      <c r="E107" s="161" t="s">
        <v>39</v>
      </c>
      <c r="F107" s="207">
        <v>18110</v>
      </c>
      <c r="G107" s="207">
        <v>18090</v>
      </c>
      <c r="H107" s="161">
        <v>20</v>
      </c>
      <c r="I107" s="207">
        <v>150</v>
      </c>
      <c r="J107" s="242">
        <f t="shared" si="19"/>
        <v>3000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45068</v>
      </c>
      <c r="D108" s="161" t="s">
        <v>8</v>
      </c>
      <c r="E108" s="161" t="s">
        <v>39</v>
      </c>
      <c r="F108" s="207">
        <v>18320</v>
      </c>
      <c r="G108" s="207">
        <v>18265</v>
      </c>
      <c r="H108" s="161">
        <v>55</v>
      </c>
      <c r="I108" s="207">
        <v>150</v>
      </c>
      <c r="J108" s="242">
        <f t="shared" si="19"/>
        <v>8250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45069</v>
      </c>
      <c r="D109" s="161" t="s">
        <v>9</v>
      </c>
      <c r="E109" s="161" t="s">
        <v>39</v>
      </c>
      <c r="F109" s="207">
        <v>18400</v>
      </c>
      <c r="G109" s="207">
        <v>18420</v>
      </c>
      <c r="H109" s="161">
        <v>20</v>
      </c>
      <c r="I109" s="207">
        <v>150</v>
      </c>
      <c r="J109" s="242">
        <f t="shared" si="19"/>
        <v>3000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17</v>
      </c>
      <c r="C110" s="206">
        <v>45070</v>
      </c>
      <c r="D110" s="161" t="s">
        <v>9</v>
      </c>
      <c r="E110" s="161" t="s">
        <v>39</v>
      </c>
      <c r="F110" s="207">
        <v>18350</v>
      </c>
      <c r="G110" s="207">
        <v>18390</v>
      </c>
      <c r="H110" s="161">
        <v>40</v>
      </c>
      <c r="I110" s="207">
        <v>150</v>
      </c>
      <c r="J110" s="242">
        <f t="shared" si="19"/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45071</v>
      </c>
      <c r="D111" s="161" t="s">
        <v>8</v>
      </c>
      <c r="E111" s="161" t="s">
        <v>39</v>
      </c>
      <c r="F111" s="207">
        <v>18260</v>
      </c>
      <c r="G111" s="207">
        <v>18207</v>
      </c>
      <c r="H111" s="161">
        <f>18260-18207</f>
        <v>53</v>
      </c>
      <c r="I111" s="207">
        <v>150</v>
      </c>
      <c r="J111" s="242">
        <f t="shared" si="19"/>
        <v>7950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45072</v>
      </c>
      <c r="D112" s="161" t="s">
        <v>9</v>
      </c>
      <c r="E112" s="161" t="s">
        <v>39</v>
      </c>
      <c r="F112" s="207">
        <v>18450</v>
      </c>
      <c r="G112" s="207">
        <v>18530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45075</v>
      </c>
      <c r="D113" s="161" t="s">
        <v>9</v>
      </c>
      <c r="E113" s="161" t="s">
        <v>39</v>
      </c>
      <c r="F113" s="207">
        <v>18680</v>
      </c>
      <c r="G113" s="207">
        <v>18700</v>
      </c>
      <c r="H113" s="161">
        <f>18700-18680</f>
        <v>20</v>
      </c>
      <c r="I113" s="207">
        <v>150</v>
      </c>
      <c r="J113" s="242">
        <f t="shared" si="19"/>
        <v>3000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45076</v>
      </c>
      <c r="D114" s="161" t="s">
        <v>9</v>
      </c>
      <c r="E114" s="161" t="s">
        <v>39</v>
      </c>
      <c r="F114" s="207">
        <v>18700</v>
      </c>
      <c r="G114" s="207">
        <v>18740</v>
      </c>
      <c r="H114" s="161">
        <v>40</v>
      </c>
      <c r="I114" s="207">
        <v>150</v>
      </c>
      <c r="J114" s="242">
        <f t="shared" si="19"/>
        <v>6000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22</v>
      </c>
      <c r="C115" s="206">
        <v>45077</v>
      </c>
      <c r="D115" s="161" t="s">
        <v>8</v>
      </c>
      <c r="E115" s="161" t="s">
        <v>39</v>
      </c>
      <c r="F115" s="207">
        <v>18640</v>
      </c>
      <c r="G115" s="207">
        <v>18580</v>
      </c>
      <c r="H115" s="161">
        <f>18640-18580</f>
        <v>60</v>
      </c>
      <c r="I115" s="207">
        <v>150</v>
      </c>
      <c r="J115" s="242">
        <f t="shared" si="19"/>
        <v>9000</v>
      </c>
      <c r="K115" s="153"/>
      <c r="V115" s="25">
        <f t="shared" si="20"/>
        <v>1</v>
      </c>
      <c r="W115" s="25">
        <f t="shared" si="21"/>
        <v>0</v>
      </c>
    </row>
    <row r="116" spans="1:23" ht="15" thickBot="1" x14ac:dyDescent="0.35">
      <c r="A116" s="147"/>
      <c r="B116" s="208">
        <f t="shared" si="22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9"/>
        <v>0</v>
      </c>
      <c r="K116" s="153"/>
      <c r="V116" s="25">
        <f t="shared" si="20"/>
        <v>0</v>
      </c>
      <c r="W116" s="25">
        <f t="shared" si="21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135750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4185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45048</v>
      </c>
      <c r="D125" s="185" t="s">
        <v>9</v>
      </c>
      <c r="E125" s="185" t="s">
        <v>3565</v>
      </c>
      <c r="F125" s="219">
        <v>135</v>
      </c>
      <c r="G125" s="231">
        <v>150</v>
      </c>
      <c r="H125" s="231">
        <f>150-135</f>
        <v>15</v>
      </c>
      <c r="I125" s="219">
        <v>300</v>
      </c>
      <c r="J125" s="246">
        <f t="shared" ref="J125:J149" si="23">I125*H125</f>
        <v>4500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45049</v>
      </c>
      <c r="D126" s="185" t="s">
        <v>9</v>
      </c>
      <c r="E126" s="185" t="s">
        <v>1909</v>
      </c>
      <c r="F126" s="219">
        <v>140</v>
      </c>
      <c r="G126" s="219">
        <v>115</v>
      </c>
      <c r="H126" s="185">
        <v>-25</v>
      </c>
      <c r="I126" s="219">
        <v>300</v>
      </c>
      <c r="J126" s="242">
        <f t="shared" si="23"/>
        <v>-7500</v>
      </c>
      <c r="K126" s="153"/>
      <c r="V126" s="25">
        <f t="shared" ref="V126:V149" si="24">IF($J126&gt;0,1,0)</f>
        <v>0</v>
      </c>
      <c r="W126" s="25">
        <f t="shared" ref="W126:W149" si="25">IF($J126&lt;0,1,0)</f>
        <v>1</v>
      </c>
    </row>
    <row r="127" spans="1:23" x14ac:dyDescent="0.3">
      <c r="A127" s="147"/>
      <c r="B127" s="205">
        <f>B126+1</f>
        <v>3</v>
      </c>
      <c r="C127" s="206">
        <v>45049</v>
      </c>
      <c r="D127" s="161" t="s">
        <v>9</v>
      </c>
      <c r="E127" s="161" t="s">
        <v>3517</v>
      </c>
      <c r="F127" s="207">
        <v>150</v>
      </c>
      <c r="G127" s="207">
        <v>165</v>
      </c>
      <c r="H127" s="161">
        <v>15</v>
      </c>
      <c r="I127" s="207">
        <v>300</v>
      </c>
      <c r="J127" s="242">
        <f t="shared" si="23"/>
        <v>4500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ref="B128:B149" si="26">B127+1</f>
        <v>4</v>
      </c>
      <c r="C128" s="206">
        <v>45050</v>
      </c>
      <c r="D128" s="161" t="s">
        <v>9</v>
      </c>
      <c r="E128" s="161" t="s">
        <v>3529</v>
      </c>
      <c r="F128" s="207">
        <v>130</v>
      </c>
      <c r="G128" s="207">
        <v>180</v>
      </c>
      <c r="H128" s="161">
        <f>180-130</f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5</v>
      </c>
      <c r="C129" s="206">
        <v>45051</v>
      </c>
      <c r="D129" s="161" t="s">
        <v>9</v>
      </c>
      <c r="E129" s="161" t="s">
        <v>3578</v>
      </c>
      <c r="F129" s="207">
        <v>125</v>
      </c>
      <c r="G129" s="207">
        <v>135</v>
      </c>
      <c r="H129" s="161">
        <v>10</v>
      </c>
      <c r="I129" s="207">
        <v>300</v>
      </c>
      <c r="J129" s="242">
        <f t="shared" si="23"/>
        <v>3000</v>
      </c>
      <c r="K129" s="153"/>
      <c r="M129" s="25" t="s">
        <v>2008</v>
      </c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6</v>
      </c>
      <c r="C130" s="206">
        <v>45054</v>
      </c>
      <c r="D130" s="161" t="s">
        <v>9</v>
      </c>
      <c r="E130" s="161" t="s">
        <v>3578</v>
      </c>
      <c r="F130" s="207">
        <v>135</v>
      </c>
      <c r="G130" s="222">
        <v>185</v>
      </c>
      <c r="H130" s="222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7</v>
      </c>
      <c r="C131" s="206">
        <v>45055</v>
      </c>
      <c r="D131" s="161" t="s">
        <v>9</v>
      </c>
      <c r="E131" s="161" t="s">
        <v>1649</v>
      </c>
      <c r="F131" s="207">
        <v>150</v>
      </c>
      <c r="G131" s="207">
        <v>170</v>
      </c>
      <c r="H131" s="161">
        <v>20</v>
      </c>
      <c r="I131" s="207">
        <v>300</v>
      </c>
      <c r="J131" s="242">
        <f t="shared" si="23"/>
        <v>6000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8</v>
      </c>
      <c r="C132" s="206">
        <v>45056</v>
      </c>
      <c r="D132" s="161" t="s">
        <v>9</v>
      </c>
      <c r="E132" s="161" t="s">
        <v>3981</v>
      </c>
      <c r="F132" s="207">
        <v>115</v>
      </c>
      <c r="G132" s="207">
        <v>90</v>
      </c>
      <c r="H132" s="161">
        <v>-25</v>
      </c>
      <c r="I132" s="207">
        <v>300</v>
      </c>
      <c r="J132" s="242">
        <f t="shared" si="23"/>
        <v>-7500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9</v>
      </c>
      <c r="C133" s="206">
        <v>45056</v>
      </c>
      <c r="D133" s="161" t="s">
        <v>9</v>
      </c>
      <c r="E133" s="161" t="s">
        <v>1885</v>
      </c>
      <c r="F133" s="207">
        <v>125</v>
      </c>
      <c r="G133" s="222">
        <v>160</v>
      </c>
      <c r="H133" s="161">
        <f>160-125</f>
        <v>35</v>
      </c>
      <c r="I133" s="207">
        <v>300</v>
      </c>
      <c r="J133" s="242">
        <f t="shared" si="23"/>
        <v>10500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10</v>
      </c>
      <c r="C134" s="206">
        <v>45057</v>
      </c>
      <c r="D134" s="161" t="s">
        <v>9</v>
      </c>
      <c r="E134" s="161" t="s">
        <v>1649</v>
      </c>
      <c r="F134" s="207">
        <v>130</v>
      </c>
      <c r="G134" s="222">
        <v>150</v>
      </c>
      <c r="H134" s="222">
        <v>20</v>
      </c>
      <c r="I134" s="207">
        <v>300</v>
      </c>
      <c r="J134" s="242">
        <f t="shared" si="23"/>
        <v>6000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11</v>
      </c>
      <c r="C135" s="206">
        <v>45058</v>
      </c>
      <c r="D135" s="161" t="s">
        <v>9</v>
      </c>
      <c r="E135" s="161" t="s">
        <v>1649</v>
      </c>
      <c r="F135" s="207">
        <v>130</v>
      </c>
      <c r="G135" s="222">
        <v>180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12</v>
      </c>
      <c r="C136" s="206">
        <v>45061</v>
      </c>
      <c r="D136" s="161" t="s">
        <v>9</v>
      </c>
      <c r="E136" s="161" t="s">
        <v>1650</v>
      </c>
      <c r="F136" s="207">
        <v>130</v>
      </c>
      <c r="G136" s="222">
        <v>180</v>
      </c>
      <c r="H136" s="222">
        <v>50</v>
      </c>
      <c r="I136" s="207">
        <v>300</v>
      </c>
      <c r="J136" s="242">
        <f t="shared" si="23"/>
        <v>15000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13</v>
      </c>
      <c r="C137" s="206">
        <v>45062</v>
      </c>
      <c r="D137" s="161" t="s">
        <v>9</v>
      </c>
      <c r="E137" s="161" t="s">
        <v>1650</v>
      </c>
      <c r="F137" s="207">
        <v>140</v>
      </c>
      <c r="G137" s="207">
        <v>115</v>
      </c>
      <c r="H137" s="161">
        <v>-25</v>
      </c>
      <c r="I137" s="207">
        <v>300</v>
      </c>
      <c r="J137" s="242">
        <f t="shared" si="23"/>
        <v>-7500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14</v>
      </c>
      <c r="C138" s="206">
        <v>45062</v>
      </c>
      <c r="D138" s="161" t="s">
        <v>9</v>
      </c>
      <c r="E138" s="161" t="s">
        <v>1650</v>
      </c>
      <c r="F138" s="207">
        <v>110</v>
      </c>
      <c r="G138" s="207">
        <v>120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6"/>
        <v>15</v>
      </c>
      <c r="C139" s="206">
        <v>45063</v>
      </c>
      <c r="D139" s="161" t="s">
        <v>9</v>
      </c>
      <c r="E139" s="161" t="s">
        <v>3981</v>
      </c>
      <c r="F139" s="207">
        <v>115</v>
      </c>
      <c r="G139" s="207">
        <v>165</v>
      </c>
      <c r="H139" s="161">
        <f>165-115</f>
        <v>50</v>
      </c>
      <c r="I139" s="207">
        <v>300</v>
      </c>
      <c r="J139" s="242">
        <f t="shared" si="23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6"/>
        <v>16</v>
      </c>
      <c r="C140" s="206">
        <v>45064</v>
      </c>
      <c r="D140" s="161" t="s">
        <v>9</v>
      </c>
      <c r="E140" s="161" t="s">
        <v>3981</v>
      </c>
      <c r="F140" s="207">
        <v>130</v>
      </c>
      <c r="G140" s="207">
        <v>105</v>
      </c>
      <c r="H140" s="161">
        <v>-25</v>
      </c>
      <c r="I140" s="207">
        <v>300</v>
      </c>
      <c r="J140" s="242">
        <f t="shared" si="23"/>
        <v>-7500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17</v>
      </c>
      <c r="C141" s="206">
        <v>45065</v>
      </c>
      <c r="D141" s="161" t="s">
        <v>9</v>
      </c>
      <c r="E141" s="161" t="s">
        <v>3553</v>
      </c>
      <c r="F141" s="207">
        <v>120</v>
      </c>
      <c r="G141" s="207">
        <v>95</v>
      </c>
      <c r="H141" s="161">
        <f>120-95</f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18</v>
      </c>
      <c r="C142" s="206">
        <v>45068</v>
      </c>
      <c r="D142" s="161" t="s">
        <v>9</v>
      </c>
      <c r="E142" s="161" t="s">
        <v>1885</v>
      </c>
      <c r="F142" s="207">
        <v>120</v>
      </c>
      <c r="G142" s="222">
        <v>155</v>
      </c>
      <c r="H142" s="222">
        <f>155-120</f>
        <v>35</v>
      </c>
      <c r="I142" s="207">
        <v>300</v>
      </c>
      <c r="J142" s="242">
        <f t="shared" si="23"/>
        <v>10500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19</v>
      </c>
      <c r="C143" s="206">
        <v>45069</v>
      </c>
      <c r="D143" s="161" t="s">
        <v>9</v>
      </c>
      <c r="E143" s="161" t="s">
        <v>1650</v>
      </c>
      <c r="F143" s="207">
        <v>135</v>
      </c>
      <c r="G143" s="222">
        <v>145</v>
      </c>
      <c r="H143" s="222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20</v>
      </c>
      <c r="C144" s="206">
        <v>45070</v>
      </c>
      <c r="D144" s="161" t="s">
        <v>9</v>
      </c>
      <c r="E144" s="161" t="s">
        <v>3552</v>
      </c>
      <c r="F144" s="207">
        <v>140</v>
      </c>
      <c r="G144" s="222">
        <v>157</v>
      </c>
      <c r="H144" s="222">
        <v>17</v>
      </c>
      <c r="I144" s="207">
        <v>300</v>
      </c>
      <c r="J144" s="242">
        <f t="shared" si="23"/>
        <v>5100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21</v>
      </c>
      <c r="C145" s="206">
        <v>45071</v>
      </c>
      <c r="D145" s="161" t="s">
        <v>9</v>
      </c>
      <c r="E145" s="161" t="s">
        <v>1885</v>
      </c>
      <c r="F145" s="207">
        <v>145</v>
      </c>
      <c r="G145" s="222">
        <v>195</v>
      </c>
      <c r="H145" s="222">
        <v>50</v>
      </c>
      <c r="I145" s="207">
        <v>300</v>
      </c>
      <c r="J145" s="242">
        <f t="shared" si="23"/>
        <v>15000</v>
      </c>
      <c r="K145" s="153"/>
      <c r="V145" s="25">
        <f t="shared" si="24"/>
        <v>1</v>
      </c>
      <c r="W145" s="25">
        <f t="shared" si="25"/>
        <v>0</v>
      </c>
    </row>
    <row r="146" spans="1:23" x14ac:dyDescent="0.3">
      <c r="A146" s="147"/>
      <c r="B146" s="205">
        <f t="shared" si="26"/>
        <v>22</v>
      </c>
      <c r="C146" s="206">
        <v>45072</v>
      </c>
      <c r="D146" s="161" t="s">
        <v>9</v>
      </c>
      <c r="E146" s="161" t="s">
        <v>1650</v>
      </c>
      <c r="F146" s="207">
        <v>145</v>
      </c>
      <c r="G146" s="222">
        <v>195</v>
      </c>
      <c r="H146" s="222">
        <v>50</v>
      </c>
      <c r="I146" s="207">
        <v>300</v>
      </c>
      <c r="J146" s="242">
        <f t="shared" si="23"/>
        <v>15000</v>
      </c>
      <c r="K146" s="153"/>
      <c r="V146" s="25">
        <f t="shared" si="24"/>
        <v>1</v>
      </c>
      <c r="W146" s="25">
        <f t="shared" si="25"/>
        <v>0</v>
      </c>
    </row>
    <row r="147" spans="1:23" x14ac:dyDescent="0.3">
      <c r="A147" s="147"/>
      <c r="B147" s="205">
        <f t="shared" si="26"/>
        <v>23</v>
      </c>
      <c r="C147" s="206">
        <v>45075</v>
      </c>
      <c r="D147" s="161" t="s">
        <v>9</v>
      </c>
      <c r="E147" s="161" t="s">
        <v>4029</v>
      </c>
      <c r="F147" s="207">
        <v>125</v>
      </c>
      <c r="G147" s="222">
        <v>143</v>
      </c>
      <c r="H147" s="161">
        <f>143-125</f>
        <v>18</v>
      </c>
      <c r="I147" s="207">
        <v>300</v>
      </c>
      <c r="J147" s="242">
        <f t="shared" si="23"/>
        <v>5400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24</v>
      </c>
      <c r="C148" s="264">
        <v>45076</v>
      </c>
      <c r="D148" s="265" t="s">
        <v>9</v>
      </c>
      <c r="E148" s="265" t="s">
        <v>4029</v>
      </c>
      <c r="F148" s="266">
        <v>130</v>
      </c>
      <c r="G148" s="267">
        <v>146</v>
      </c>
      <c r="H148" s="265">
        <v>16</v>
      </c>
      <c r="I148" s="266">
        <v>300</v>
      </c>
      <c r="J148" s="242">
        <f t="shared" si="23"/>
        <v>4800</v>
      </c>
      <c r="K148" s="153"/>
      <c r="V148" s="25">
        <f t="shared" si="24"/>
        <v>1</v>
      </c>
      <c r="W148" s="25">
        <f t="shared" si="25"/>
        <v>0</v>
      </c>
    </row>
    <row r="149" spans="1:23" ht="15" thickBot="1" x14ac:dyDescent="0.35">
      <c r="A149" s="147"/>
      <c r="B149" s="205">
        <f t="shared" si="26"/>
        <v>25</v>
      </c>
      <c r="C149" s="209">
        <v>45077</v>
      </c>
      <c r="D149" s="166" t="s">
        <v>9</v>
      </c>
      <c r="E149" s="166" t="s">
        <v>2985</v>
      </c>
      <c r="F149" s="210">
        <v>150</v>
      </c>
      <c r="G149" s="210">
        <v>200</v>
      </c>
      <c r="H149" s="166">
        <v>50</v>
      </c>
      <c r="I149" s="210">
        <v>300</v>
      </c>
      <c r="J149" s="244">
        <f t="shared" si="23"/>
        <v>15000</v>
      </c>
      <c r="K149" s="153"/>
      <c r="V149" s="25">
        <f t="shared" si="24"/>
        <v>1</v>
      </c>
      <c r="W149" s="25">
        <f t="shared" si="25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163800</v>
      </c>
      <c r="K150" s="153"/>
      <c r="V150" s="25">
        <f>SUM(V125:V149)</f>
        <v>21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4183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45048</v>
      </c>
      <c r="D158" s="185" t="s">
        <v>9</v>
      </c>
      <c r="E158" s="185" t="s">
        <v>301</v>
      </c>
      <c r="F158" s="219">
        <v>43400</v>
      </c>
      <c r="G158" s="231">
        <v>43460</v>
      </c>
      <c r="H158" s="185">
        <v>60</v>
      </c>
      <c r="I158" s="219">
        <v>50</v>
      </c>
      <c r="J158" s="246">
        <f t="shared" ref="J158:J180" si="27">I158*H158</f>
        <v>3000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45049</v>
      </c>
      <c r="D159" s="185" t="s">
        <v>9</v>
      </c>
      <c r="E159" s="185" t="s">
        <v>301</v>
      </c>
      <c r="F159" s="219">
        <v>43250</v>
      </c>
      <c r="G159" s="219">
        <v>43325</v>
      </c>
      <c r="H159" s="185">
        <f>43325-43250</f>
        <v>75</v>
      </c>
      <c r="I159" s="219">
        <v>50</v>
      </c>
      <c r="J159" s="242">
        <f t="shared" si="27"/>
        <v>3750</v>
      </c>
      <c r="K159" s="153"/>
      <c r="V159" s="25">
        <f t="shared" ref="V159:V180" si="28">IF($J159&gt;0,1,0)</f>
        <v>1</v>
      </c>
      <c r="W159" s="25">
        <f t="shared" ref="W159:W180" si="29">IF($J159&lt;0,1,0)</f>
        <v>0</v>
      </c>
    </row>
    <row r="160" spans="1:23" x14ac:dyDescent="0.3">
      <c r="A160" s="147"/>
      <c r="B160" s="205">
        <f t="shared" ref="B160:B180" si="30">B159+1</f>
        <v>3</v>
      </c>
      <c r="C160" s="206">
        <v>45050</v>
      </c>
      <c r="D160" s="161" t="s">
        <v>9</v>
      </c>
      <c r="E160" s="161" t="s">
        <v>301</v>
      </c>
      <c r="F160" s="207">
        <v>43300</v>
      </c>
      <c r="G160" s="207">
        <v>43600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4</v>
      </c>
      <c r="C161" s="206">
        <v>45051</v>
      </c>
      <c r="D161" s="161" t="s">
        <v>9</v>
      </c>
      <c r="E161" s="161" t="s">
        <v>301</v>
      </c>
      <c r="F161" s="207">
        <v>43500</v>
      </c>
      <c r="G161" s="207">
        <v>43550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5</v>
      </c>
      <c r="C162" s="206">
        <v>45054</v>
      </c>
      <c r="D162" s="161" t="s">
        <v>9</v>
      </c>
      <c r="E162" s="161" t="s">
        <v>301</v>
      </c>
      <c r="F162" s="207">
        <v>43200</v>
      </c>
      <c r="G162" s="207">
        <v>43450</v>
      </c>
      <c r="H162" s="161">
        <f>43450-43200</f>
        <v>250</v>
      </c>
      <c r="I162" s="207">
        <v>50</v>
      </c>
      <c r="J162" s="242">
        <f t="shared" si="27"/>
        <v>12500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6</v>
      </c>
      <c r="C163" s="206">
        <v>45055</v>
      </c>
      <c r="D163" s="161" t="s">
        <v>9</v>
      </c>
      <c r="E163" s="161" t="s">
        <v>301</v>
      </c>
      <c r="F163" s="207">
        <v>43400</v>
      </c>
      <c r="G163" s="207">
        <v>43500</v>
      </c>
      <c r="H163" s="161">
        <v>100</v>
      </c>
      <c r="I163" s="207">
        <v>50</v>
      </c>
      <c r="J163" s="242">
        <f t="shared" si="27"/>
        <v>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7</v>
      </c>
      <c r="C164" s="206">
        <v>45056</v>
      </c>
      <c r="D164" s="161" t="s">
        <v>8</v>
      </c>
      <c r="E164" s="161" t="s">
        <v>301</v>
      </c>
      <c r="F164" s="207">
        <v>42950</v>
      </c>
      <c r="G164" s="207">
        <v>43100</v>
      </c>
      <c r="H164" s="161">
        <v>-150</v>
      </c>
      <c r="I164" s="207">
        <v>50</v>
      </c>
      <c r="J164" s="242">
        <f t="shared" si="27"/>
        <v>-7500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8</v>
      </c>
      <c r="C165" s="206">
        <v>45057</v>
      </c>
      <c r="D165" s="161" t="s">
        <v>9</v>
      </c>
      <c r="E165" s="161" t="s">
        <v>301</v>
      </c>
      <c r="F165" s="207">
        <v>43570</v>
      </c>
      <c r="G165" s="207">
        <v>43510</v>
      </c>
      <c r="H165" s="161">
        <v>-60</v>
      </c>
      <c r="I165" s="207">
        <v>50</v>
      </c>
      <c r="J165" s="242">
        <f t="shared" si="27"/>
        <v>-3000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9</v>
      </c>
      <c r="C166" s="206">
        <v>45058</v>
      </c>
      <c r="D166" s="161" t="s">
        <v>9</v>
      </c>
      <c r="E166" s="161" t="s">
        <v>301</v>
      </c>
      <c r="F166" s="207">
        <v>43420</v>
      </c>
      <c r="G166" s="207">
        <v>43650</v>
      </c>
      <c r="H166" s="161">
        <v>230</v>
      </c>
      <c r="I166" s="207">
        <v>50</v>
      </c>
      <c r="J166" s="242">
        <f t="shared" si="27"/>
        <v>11500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10</v>
      </c>
      <c r="C167" s="206">
        <v>45061</v>
      </c>
      <c r="D167" s="161" t="s">
        <v>9</v>
      </c>
      <c r="E167" s="161" t="s">
        <v>301</v>
      </c>
      <c r="F167" s="207">
        <v>43900</v>
      </c>
      <c r="G167" s="207">
        <v>43990</v>
      </c>
      <c r="H167" s="161">
        <v>90</v>
      </c>
      <c r="I167" s="207">
        <v>50</v>
      </c>
      <c r="J167" s="242">
        <f t="shared" si="27"/>
        <v>4500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11</v>
      </c>
      <c r="C168" s="206">
        <v>45062</v>
      </c>
      <c r="D168" s="161" t="s">
        <v>9</v>
      </c>
      <c r="E168" s="161" t="s">
        <v>301</v>
      </c>
      <c r="F168" s="207">
        <v>44050</v>
      </c>
      <c r="G168" s="207">
        <v>43900</v>
      </c>
      <c r="H168" s="161">
        <v>-150</v>
      </c>
      <c r="I168" s="207">
        <v>50</v>
      </c>
      <c r="J168" s="242">
        <f t="shared" si="27"/>
        <v>-7500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12</v>
      </c>
      <c r="C169" s="206">
        <v>45063</v>
      </c>
      <c r="D169" s="161" t="s">
        <v>8</v>
      </c>
      <c r="E169" s="161" t="s">
        <v>301</v>
      </c>
      <c r="F169" s="207">
        <v>43830</v>
      </c>
      <c r="G169" s="207">
        <v>43530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13</v>
      </c>
      <c r="C170" s="206">
        <v>45064</v>
      </c>
      <c r="D170" s="161" t="s">
        <v>9</v>
      </c>
      <c r="E170" s="161" t="s">
        <v>301</v>
      </c>
      <c r="F170" s="207">
        <v>44040</v>
      </c>
      <c r="G170" s="207">
        <v>43890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14</v>
      </c>
      <c r="C171" s="206">
        <v>45065</v>
      </c>
      <c r="D171" s="161" t="s">
        <v>8</v>
      </c>
      <c r="E171" s="161" t="s">
        <v>301</v>
      </c>
      <c r="F171" s="207">
        <v>43600</v>
      </c>
      <c r="G171" s="207">
        <v>43530</v>
      </c>
      <c r="H171" s="161">
        <v>130</v>
      </c>
      <c r="I171" s="207">
        <v>50</v>
      </c>
      <c r="J171" s="242">
        <f t="shared" si="27"/>
        <v>6500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15</v>
      </c>
      <c r="C172" s="206">
        <v>45068</v>
      </c>
      <c r="D172" s="161" t="s">
        <v>8</v>
      </c>
      <c r="E172" s="161" t="s">
        <v>301</v>
      </c>
      <c r="F172" s="207">
        <v>43800</v>
      </c>
      <c r="G172" s="207">
        <v>43710</v>
      </c>
      <c r="H172" s="161">
        <f>43800-43710</f>
        <v>90</v>
      </c>
      <c r="I172" s="207">
        <v>50</v>
      </c>
      <c r="J172" s="242">
        <f t="shared" si="27"/>
        <v>4500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16</v>
      </c>
      <c r="C173" s="206">
        <v>45069</v>
      </c>
      <c r="D173" s="161" t="s">
        <v>9</v>
      </c>
      <c r="E173" s="161" t="s">
        <v>301</v>
      </c>
      <c r="F173" s="207">
        <v>44000</v>
      </c>
      <c r="G173" s="207">
        <v>44045</v>
      </c>
      <c r="H173" s="161">
        <v>45</v>
      </c>
      <c r="I173" s="207">
        <v>50</v>
      </c>
      <c r="J173" s="242">
        <f t="shared" si="27"/>
        <v>2250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17</v>
      </c>
      <c r="C174" s="206">
        <v>45070</v>
      </c>
      <c r="D174" s="161" t="s">
        <v>9</v>
      </c>
      <c r="E174" s="161" t="s">
        <v>301</v>
      </c>
      <c r="F174" s="207">
        <v>43900</v>
      </c>
      <c r="G174" s="207">
        <v>44014</v>
      </c>
      <c r="H174" s="161">
        <v>114</v>
      </c>
      <c r="I174" s="207">
        <v>50</v>
      </c>
      <c r="J174" s="242">
        <f t="shared" si="27"/>
        <v>5700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18</v>
      </c>
      <c r="C175" s="206">
        <v>45071</v>
      </c>
      <c r="D175" s="161" t="s">
        <v>8</v>
      </c>
      <c r="E175" s="161" t="s">
        <v>301</v>
      </c>
      <c r="F175" s="207">
        <v>43600</v>
      </c>
      <c r="G175" s="207">
        <v>43385</v>
      </c>
      <c r="H175" s="161">
        <f>43600-43385</f>
        <v>215</v>
      </c>
      <c r="I175" s="207">
        <v>50</v>
      </c>
      <c r="J175" s="242">
        <f t="shared" si="27"/>
        <v>10750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19</v>
      </c>
      <c r="C176" s="206">
        <v>45072</v>
      </c>
      <c r="D176" s="161" t="s">
        <v>9</v>
      </c>
      <c r="E176" s="161" t="s">
        <v>301</v>
      </c>
      <c r="F176" s="207">
        <v>43700</v>
      </c>
      <c r="G176" s="207">
        <v>44000</v>
      </c>
      <c r="H176" s="161">
        <v>300</v>
      </c>
      <c r="I176" s="207">
        <v>50</v>
      </c>
      <c r="J176" s="242">
        <f t="shared" si="27"/>
        <v>15000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20</v>
      </c>
      <c r="C177" s="206">
        <v>45075</v>
      </c>
      <c r="D177" s="161" t="s">
        <v>9</v>
      </c>
      <c r="E177" s="161" t="s">
        <v>301</v>
      </c>
      <c r="F177" s="207">
        <v>44400</v>
      </c>
      <c r="G177" s="207">
        <v>44500</v>
      </c>
      <c r="H177" s="161">
        <v>100</v>
      </c>
      <c r="I177" s="207">
        <v>50</v>
      </c>
      <c r="J177" s="242">
        <f t="shared" si="27"/>
        <v>5000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21</v>
      </c>
      <c r="C178" s="206">
        <v>45076</v>
      </c>
      <c r="D178" s="161" t="s">
        <v>8</v>
      </c>
      <c r="E178" s="161" t="s">
        <v>301</v>
      </c>
      <c r="F178" s="207">
        <v>44350</v>
      </c>
      <c r="G178" s="207">
        <v>44290</v>
      </c>
      <c r="H178" s="161">
        <f>44350-44290</f>
        <v>60</v>
      </c>
      <c r="I178" s="207">
        <v>50</v>
      </c>
      <c r="J178" s="242">
        <f t="shared" si="27"/>
        <v>3000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22</v>
      </c>
      <c r="C179" s="206">
        <v>45077</v>
      </c>
      <c r="D179" s="161" t="s">
        <v>8</v>
      </c>
      <c r="E179" s="161" t="s">
        <v>301</v>
      </c>
      <c r="F179" s="207">
        <v>44250</v>
      </c>
      <c r="G179" s="207">
        <v>44100</v>
      </c>
      <c r="H179" s="161">
        <f>44250-44100</f>
        <v>150</v>
      </c>
      <c r="I179" s="207">
        <v>50</v>
      </c>
      <c r="J179" s="242">
        <f t="shared" si="27"/>
        <v>7500</v>
      </c>
      <c r="K179" s="153"/>
      <c r="V179" s="25">
        <f t="shared" si="28"/>
        <v>1</v>
      </c>
      <c r="W179" s="25">
        <f t="shared" si="29"/>
        <v>0</v>
      </c>
    </row>
    <row r="180" spans="1:23" ht="15" thickBot="1" x14ac:dyDescent="0.35">
      <c r="A180" s="147"/>
      <c r="B180" s="208">
        <f t="shared" si="30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7"/>
        <v>0</v>
      </c>
      <c r="K180" s="153"/>
      <c r="V180" s="25">
        <f t="shared" si="28"/>
        <v>0</v>
      </c>
      <c r="W180" s="25">
        <f t="shared" si="29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107450</v>
      </c>
      <c r="K181" s="153"/>
      <c r="V181" s="25">
        <f>SUM(V158:V180)</f>
        <v>18</v>
      </c>
      <c r="W181" s="25">
        <f>SUM(W158:W180)</f>
        <v>4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4185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45048</v>
      </c>
      <c r="D189" s="185" t="s">
        <v>9</v>
      </c>
      <c r="E189" s="185" t="s">
        <v>4026</v>
      </c>
      <c r="F189" s="219">
        <v>310</v>
      </c>
      <c r="G189" s="219">
        <v>336</v>
      </c>
      <c r="H189" s="185">
        <f>336-310</f>
        <v>26</v>
      </c>
      <c r="I189" s="219">
        <v>100</v>
      </c>
      <c r="J189" s="246">
        <f t="shared" ref="J189:J212" si="31">I189*H189</f>
        <v>2600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45049</v>
      </c>
      <c r="D190" s="185" t="s">
        <v>9</v>
      </c>
      <c r="E190" s="185" t="s">
        <v>4014</v>
      </c>
      <c r="F190" s="219">
        <v>340</v>
      </c>
      <c r="G190" s="219">
        <v>390</v>
      </c>
      <c r="H190" s="185">
        <v>50</v>
      </c>
      <c r="I190" s="219">
        <v>100</v>
      </c>
      <c r="J190" s="242">
        <f t="shared" si="31"/>
        <v>5000</v>
      </c>
      <c r="K190" s="153"/>
      <c r="V190" s="25">
        <f t="shared" ref="V190:V212" si="32">IF($J190&gt;0,1,0)</f>
        <v>1</v>
      </c>
      <c r="W190" s="25">
        <f t="shared" ref="W190:W212" si="33">IF($J190&lt;0,1,0)</f>
        <v>0</v>
      </c>
    </row>
    <row r="191" spans="1:23" x14ac:dyDescent="0.3">
      <c r="A191" s="147"/>
      <c r="B191" s="205">
        <f t="shared" ref="B191:B210" si="34">B190+1</f>
        <v>3</v>
      </c>
      <c r="C191" s="206">
        <v>45050</v>
      </c>
      <c r="D191" s="161" t="s">
        <v>9</v>
      </c>
      <c r="E191" s="161" t="s">
        <v>4014</v>
      </c>
      <c r="F191" s="207">
        <v>340</v>
      </c>
      <c r="G191" s="222">
        <v>540</v>
      </c>
      <c r="H191" s="222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4</v>
      </c>
      <c r="C192" s="206">
        <v>45051</v>
      </c>
      <c r="D192" s="161" t="s">
        <v>9</v>
      </c>
      <c r="E192" s="161" t="s">
        <v>4045</v>
      </c>
      <c r="F192" s="207">
        <v>330</v>
      </c>
      <c r="G192" s="207">
        <v>530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5</v>
      </c>
      <c r="C193" s="206">
        <v>45051</v>
      </c>
      <c r="D193" s="161" t="s">
        <v>9</v>
      </c>
      <c r="E193" s="161" t="s">
        <v>4065</v>
      </c>
      <c r="F193" s="207">
        <v>350</v>
      </c>
      <c r="G193" s="207">
        <v>250</v>
      </c>
      <c r="H193" s="161">
        <v>-100</v>
      </c>
      <c r="I193" s="207">
        <v>100</v>
      </c>
      <c r="J193" s="242">
        <f t="shared" si="31"/>
        <v>-10000</v>
      </c>
      <c r="K193" s="153"/>
      <c r="O193" s="25" t="s">
        <v>2008</v>
      </c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6</v>
      </c>
      <c r="C194" s="206">
        <v>45054</v>
      </c>
      <c r="D194" s="161" t="s">
        <v>9</v>
      </c>
      <c r="E194" s="161" t="s">
        <v>4006</v>
      </c>
      <c r="F194" s="207">
        <v>360</v>
      </c>
      <c r="G194" s="207">
        <v>460</v>
      </c>
      <c r="H194" s="161">
        <v>100</v>
      </c>
      <c r="I194" s="207">
        <v>100</v>
      </c>
      <c r="J194" s="242">
        <f t="shared" si="31"/>
        <v>10000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7</v>
      </c>
      <c r="C195" s="206">
        <v>45055</v>
      </c>
      <c r="D195" s="161" t="s">
        <v>9</v>
      </c>
      <c r="E195" s="161" t="s">
        <v>4026</v>
      </c>
      <c r="F195" s="207">
        <v>350</v>
      </c>
      <c r="G195" s="207">
        <v>398</v>
      </c>
      <c r="H195" s="161">
        <f>398-350</f>
        <v>48</v>
      </c>
      <c r="I195" s="207">
        <v>100</v>
      </c>
      <c r="J195" s="242">
        <f t="shared" si="31"/>
        <v>4800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8</v>
      </c>
      <c r="C196" s="206">
        <v>45056</v>
      </c>
      <c r="D196" s="161" t="s">
        <v>9</v>
      </c>
      <c r="E196" s="161" t="s">
        <v>4015</v>
      </c>
      <c r="F196" s="207">
        <v>290</v>
      </c>
      <c r="G196" s="207">
        <v>388</v>
      </c>
      <c r="H196" s="161">
        <f>388-290</f>
        <v>98</v>
      </c>
      <c r="I196" s="207">
        <v>100</v>
      </c>
      <c r="J196" s="242">
        <f t="shared" si="31"/>
        <v>9800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9</v>
      </c>
      <c r="C197" s="206">
        <v>45057</v>
      </c>
      <c r="D197" s="161" t="s">
        <v>9</v>
      </c>
      <c r="E197" s="161" t="s">
        <v>4055</v>
      </c>
      <c r="F197" s="207">
        <v>320</v>
      </c>
      <c r="G197" s="207">
        <v>360</v>
      </c>
      <c r="H197" s="161">
        <v>40</v>
      </c>
      <c r="I197" s="207">
        <v>100</v>
      </c>
      <c r="J197" s="242">
        <f t="shared" si="31"/>
        <v>4000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10</v>
      </c>
      <c r="C198" s="206">
        <v>45058</v>
      </c>
      <c r="D198" s="161" t="s">
        <v>9</v>
      </c>
      <c r="E198" s="161" t="s">
        <v>4065</v>
      </c>
      <c r="F198" s="207">
        <v>340</v>
      </c>
      <c r="G198" s="207">
        <v>540</v>
      </c>
      <c r="H198" s="161">
        <v>200</v>
      </c>
      <c r="I198" s="207">
        <v>100</v>
      </c>
      <c r="J198" s="242">
        <f t="shared" si="31"/>
        <v>20000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11</v>
      </c>
      <c r="C199" s="206">
        <v>45061</v>
      </c>
      <c r="D199" s="161" t="s">
        <v>9</v>
      </c>
      <c r="E199" s="161" t="s">
        <v>4196</v>
      </c>
      <c r="F199" s="207">
        <v>310</v>
      </c>
      <c r="G199" s="207">
        <v>410</v>
      </c>
      <c r="H199" s="161">
        <v>100</v>
      </c>
      <c r="I199" s="207">
        <v>100</v>
      </c>
      <c r="J199" s="242">
        <f t="shared" si="31"/>
        <v>10000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12</v>
      </c>
      <c r="C200" s="206">
        <v>45062</v>
      </c>
      <c r="D200" s="161" t="s">
        <v>9</v>
      </c>
      <c r="E200" s="161" t="s">
        <v>4040</v>
      </c>
      <c r="F200" s="207">
        <v>330</v>
      </c>
      <c r="G200" s="207">
        <v>230</v>
      </c>
      <c r="H200" s="161">
        <v>-100</v>
      </c>
      <c r="I200" s="207">
        <v>100</v>
      </c>
      <c r="J200" s="242">
        <f t="shared" si="31"/>
        <v>-10000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13</v>
      </c>
      <c r="C201" s="206">
        <v>45063</v>
      </c>
      <c r="D201" s="161" t="s">
        <v>9</v>
      </c>
      <c r="E201" s="161" t="s">
        <v>4197</v>
      </c>
      <c r="F201" s="207">
        <v>340</v>
      </c>
      <c r="G201" s="207">
        <v>540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14</v>
      </c>
      <c r="C202" s="206">
        <v>45064</v>
      </c>
      <c r="D202" s="161" t="s">
        <v>9</v>
      </c>
      <c r="E202" s="161" t="s">
        <v>4198</v>
      </c>
      <c r="F202" s="207">
        <v>300</v>
      </c>
      <c r="G202" s="207">
        <v>200</v>
      </c>
      <c r="H202" s="161">
        <v>-100</v>
      </c>
      <c r="I202" s="207">
        <v>100</v>
      </c>
      <c r="J202" s="242">
        <f t="shared" si="31"/>
        <v>-10000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15</v>
      </c>
      <c r="C203" s="206">
        <v>45065</v>
      </c>
      <c r="D203" s="161" t="s">
        <v>9</v>
      </c>
      <c r="E203" s="161" t="s">
        <v>4199</v>
      </c>
      <c r="F203" s="207">
        <v>310</v>
      </c>
      <c r="G203" s="207">
        <v>210</v>
      </c>
      <c r="H203" s="161">
        <v>-100</v>
      </c>
      <c r="I203" s="207">
        <v>100</v>
      </c>
      <c r="J203" s="242">
        <f t="shared" si="31"/>
        <v>-10000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16</v>
      </c>
      <c r="C204" s="206">
        <v>45068</v>
      </c>
      <c r="D204" s="161" t="s">
        <v>9</v>
      </c>
      <c r="E204" s="161" t="s">
        <v>4207</v>
      </c>
      <c r="F204" s="207">
        <v>300</v>
      </c>
      <c r="G204" s="207">
        <v>400</v>
      </c>
      <c r="H204" s="161">
        <v>100</v>
      </c>
      <c r="I204" s="207">
        <v>100</v>
      </c>
      <c r="J204" s="242">
        <f t="shared" si="31"/>
        <v>10000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17</v>
      </c>
      <c r="C205" s="206">
        <v>45069</v>
      </c>
      <c r="D205" s="161" t="s">
        <v>9</v>
      </c>
      <c r="E205" s="161" t="s">
        <v>4196</v>
      </c>
      <c r="F205" s="207">
        <v>340</v>
      </c>
      <c r="G205" s="207">
        <v>340</v>
      </c>
      <c r="H205" s="161">
        <v>0</v>
      </c>
      <c r="I205" s="207">
        <v>100</v>
      </c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18</v>
      </c>
      <c r="C206" s="206">
        <v>45070</v>
      </c>
      <c r="D206" s="161" t="s">
        <v>9</v>
      </c>
      <c r="E206" s="161" t="s">
        <v>4208</v>
      </c>
      <c r="F206" s="207">
        <v>370</v>
      </c>
      <c r="G206" s="207">
        <v>458</v>
      </c>
      <c r="H206" s="161">
        <f>458-370</f>
        <v>88</v>
      </c>
      <c r="I206" s="207">
        <v>100</v>
      </c>
      <c r="J206" s="242">
        <f t="shared" si="31"/>
        <v>8800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19</v>
      </c>
      <c r="C207" s="206">
        <v>45071</v>
      </c>
      <c r="D207" s="161" t="s">
        <v>9</v>
      </c>
      <c r="E207" s="161" t="s">
        <v>4209</v>
      </c>
      <c r="F207" s="207">
        <v>350</v>
      </c>
      <c r="G207" s="207">
        <v>500</v>
      </c>
      <c r="H207" s="161">
        <f>500-350</f>
        <v>150</v>
      </c>
      <c r="I207" s="207">
        <v>100</v>
      </c>
      <c r="J207" s="161">
        <f t="shared" si="31"/>
        <v>15000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20</v>
      </c>
      <c r="C208" s="206">
        <v>45072</v>
      </c>
      <c r="D208" s="161" t="s">
        <v>9</v>
      </c>
      <c r="E208" s="161" t="s">
        <v>4208</v>
      </c>
      <c r="F208" s="207">
        <v>310</v>
      </c>
      <c r="G208" s="207">
        <v>510</v>
      </c>
      <c r="H208" s="161">
        <v>200</v>
      </c>
      <c r="I208" s="207">
        <v>100</v>
      </c>
      <c r="J208" s="161">
        <f t="shared" si="31"/>
        <v>20000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21</v>
      </c>
      <c r="C209" s="206">
        <v>45075</v>
      </c>
      <c r="D209" s="161" t="s">
        <v>9</v>
      </c>
      <c r="E209" s="161" t="s">
        <v>4213</v>
      </c>
      <c r="F209" s="207">
        <v>340</v>
      </c>
      <c r="G209" s="207">
        <v>399</v>
      </c>
      <c r="H209" s="161">
        <f>399-340</f>
        <v>59</v>
      </c>
      <c r="I209" s="207">
        <v>100</v>
      </c>
      <c r="J209" s="161">
        <f t="shared" si="31"/>
        <v>5900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22</v>
      </c>
      <c r="C210" s="206">
        <v>45076</v>
      </c>
      <c r="D210" s="161" t="s">
        <v>9</v>
      </c>
      <c r="E210" s="161" t="s">
        <v>4214</v>
      </c>
      <c r="F210" s="207">
        <v>310</v>
      </c>
      <c r="G210" s="207">
        <v>345</v>
      </c>
      <c r="H210" s="161">
        <f>345-310</f>
        <v>35</v>
      </c>
      <c r="I210" s="207">
        <v>100</v>
      </c>
      <c r="J210" s="161">
        <f t="shared" si="31"/>
        <v>3500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69">
        <v>23</v>
      </c>
      <c r="C211" s="264">
        <v>45077</v>
      </c>
      <c r="D211" s="265" t="s">
        <v>9</v>
      </c>
      <c r="E211" s="265" t="s">
        <v>4215</v>
      </c>
      <c r="F211" s="266">
        <v>310</v>
      </c>
      <c r="G211" s="266">
        <v>510</v>
      </c>
      <c r="H211" s="265">
        <v>200</v>
      </c>
      <c r="I211" s="266">
        <v>100</v>
      </c>
      <c r="J211" s="161">
        <f t="shared" si="31"/>
        <v>20000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1"/>
        <v>0</v>
      </c>
      <c r="K212" s="153"/>
      <c r="V212" s="25">
        <f t="shared" si="32"/>
        <v>0</v>
      </c>
      <c r="W212" s="25">
        <f t="shared" si="33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169400</v>
      </c>
      <c r="K213" s="153"/>
      <c r="V213" s="25">
        <f>SUM(V189:V212)</f>
        <v>17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3784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45048</v>
      </c>
      <c r="D221" s="185" t="s">
        <v>9</v>
      </c>
      <c r="E221" s="185" t="s">
        <v>4186</v>
      </c>
      <c r="F221" s="231">
        <v>52</v>
      </c>
      <c r="G221" s="231">
        <v>49</v>
      </c>
      <c r="H221" s="231">
        <v>-3</v>
      </c>
      <c r="I221" s="219">
        <v>175</v>
      </c>
      <c r="J221" s="246">
        <f t="shared" ref="J221:J244" si="35">I221*H221</f>
        <v>-525</v>
      </c>
      <c r="K221" s="153"/>
      <c r="V221" s="25">
        <f>IF($J221&gt;0,1,0)</f>
        <v>0</v>
      </c>
      <c r="W221" s="25">
        <f>IF($J221&lt;0,1,0)</f>
        <v>1</v>
      </c>
    </row>
    <row r="222" spans="1:23" x14ac:dyDescent="0.3">
      <c r="A222" s="147"/>
      <c r="B222" s="205">
        <f>B221+1</f>
        <v>2</v>
      </c>
      <c r="C222" s="218">
        <v>45049</v>
      </c>
      <c r="D222" s="185" t="s">
        <v>9</v>
      </c>
      <c r="E222" s="185" t="s">
        <v>4187</v>
      </c>
      <c r="F222" s="231">
        <v>80</v>
      </c>
      <c r="G222" s="231">
        <v>110</v>
      </c>
      <c r="H222" s="231">
        <f>110-80</f>
        <v>30</v>
      </c>
      <c r="I222" s="219">
        <v>300</v>
      </c>
      <c r="J222" s="242">
        <f>I222*H222</f>
        <v>9000</v>
      </c>
      <c r="K222" s="153"/>
      <c r="V222" s="25">
        <f>IF($J222&gt;0,1,0)</f>
        <v>1</v>
      </c>
      <c r="W222" s="25">
        <f>IF($J222&lt;0,1,0)</f>
        <v>0</v>
      </c>
    </row>
    <row r="223" spans="1:23" x14ac:dyDescent="0.3">
      <c r="A223" s="147"/>
      <c r="B223" s="205">
        <f t="shared" ref="B223:B244" si="36">B222+1</f>
        <v>3</v>
      </c>
      <c r="C223" s="206">
        <v>45050</v>
      </c>
      <c r="D223" s="161" t="s">
        <v>9</v>
      </c>
      <c r="E223" s="161" t="s">
        <v>4188</v>
      </c>
      <c r="F223" s="222">
        <v>15</v>
      </c>
      <c r="G223" s="222">
        <v>16.2</v>
      </c>
      <c r="H223" s="222">
        <v>1.2</v>
      </c>
      <c r="I223" s="207">
        <v>700</v>
      </c>
      <c r="J223" s="242">
        <f t="shared" si="35"/>
        <v>840</v>
      </c>
      <c r="K223" s="153"/>
      <c r="V223" s="25">
        <f t="shared" ref="V223:V244" si="37">IF($J223&gt;0,1,0)</f>
        <v>1</v>
      </c>
      <c r="W223" s="25">
        <f t="shared" ref="W223:W244" si="38">IF($J223&lt;0,1,0)</f>
        <v>0</v>
      </c>
    </row>
    <row r="224" spans="1:23" x14ac:dyDescent="0.3">
      <c r="A224" s="147"/>
      <c r="B224" s="205">
        <f t="shared" si="36"/>
        <v>4</v>
      </c>
      <c r="C224" s="206">
        <v>45051</v>
      </c>
      <c r="D224" s="161" t="s">
        <v>9</v>
      </c>
      <c r="E224" s="161" t="s">
        <v>4189</v>
      </c>
      <c r="F224" s="222">
        <v>5</v>
      </c>
      <c r="G224" s="222">
        <v>7</v>
      </c>
      <c r="H224" s="222">
        <v>2</v>
      </c>
      <c r="I224" s="207">
        <v>3600</v>
      </c>
      <c r="J224" s="242">
        <f t="shared" si="35"/>
        <v>7200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5</v>
      </c>
      <c r="C225" s="206">
        <v>45054</v>
      </c>
      <c r="D225" s="161" t="s">
        <v>9</v>
      </c>
      <c r="E225" s="161" t="s">
        <v>4190</v>
      </c>
      <c r="F225" s="222">
        <v>15</v>
      </c>
      <c r="G225" s="222">
        <v>17.45</v>
      </c>
      <c r="H225" s="222">
        <v>2.4500000000000002</v>
      </c>
      <c r="I225" s="207">
        <v>700</v>
      </c>
      <c r="J225" s="242">
        <f t="shared" si="35"/>
        <v>1715.0000000000002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6</v>
      </c>
      <c r="C226" s="206">
        <v>45055</v>
      </c>
      <c r="D226" s="161" t="s">
        <v>9</v>
      </c>
      <c r="E226" s="161" t="s">
        <v>4191</v>
      </c>
      <c r="F226" s="222">
        <v>13</v>
      </c>
      <c r="G226" s="222">
        <v>14</v>
      </c>
      <c r="H226" s="222">
        <v>1</v>
      </c>
      <c r="I226" s="207">
        <v>1100</v>
      </c>
      <c r="J226" s="242">
        <f t="shared" si="35"/>
        <v>1100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7</v>
      </c>
      <c r="C227" s="206">
        <v>45056</v>
      </c>
      <c r="D227" s="161" t="s">
        <v>9</v>
      </c>
      <c r="E227" s="161" t="s">
        <v>4192</v>
      </c>
      <c r="F227" s="222">
        <v>80</v>
      </c>
      <c r="G227" s="222">
        <v>96.5</v>
      </c>
      <c r="H227" s="222">
        <f>96.5-80</f>
        <v>16.5</v>
      </c>
      <c r="I227" s="207">
        <v>275</v>
      </c>
      <c r="J227" s="242">
        <f t="shared" si="35"/>
        <v>4537.5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8</v>
      </c>
      <c r="C228" s="206">
        <v>45057</v>
      </c>
      <c r="D228" s="161" t="s">
        <v>9</v>
      </c>
      <c r="E228" s="161" t="s">
        <v>4193</v>
      </c>
      <c r="F228" s="222">
        <v>16.5</v>
      </c>
      <c r="G228" s="222">
        <v>19</v>
      </c>
      <c r="H228" s="222">
        <f>19-16.5</f>
        <v>2.5</v>
      </c>
      <c r="I228" s="207">
        <v>1200</v>
      </c>
      <c r="J228" s="242">
        <f t="shared" si="35"/>
        <v>3000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9</v>
      </c>
      <c r="C229" s="206">
        <v>45058</v>
      </c>
      <c r="D229" s="161" t="s">
        <v>9</v>
      </c>
      <c r="E229" s="161" t="s">
        <v>4194</v>
      </c>
      <c r="F229" s="222">
        <v>15</v>
      </c>
      <c r="G229" s="222">
        <v>22</v>
      </c>
      <c r="H229" s="255">
        <f>22-15</f>
        <v>7</v>
      </c>
      <c r="I229" s="207">
        <v>1200</v>
      </c>
      <c r="J229" s="242">
        <f t="shared" si="35"/>
        <v>8400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10</v>
      </c>
      <c r="C230" s="206">
        <v>45061</v>
      </c>
      <c r="D230" s="161" t="s">
        <v>9</v>
      </c>
      <c r="E230" s="161" t="s">
        <v>4200</v>
      </c>
      <c r="F230" s="222">
        <v>15</v>
      </c>
      <c r="G230" s="222">
        <v>11</v>
      </c>
      <c r="H230" s="255">
        <v>-4</v>
      </c>
      <c r="I230" s="207">
        <v>1200</v>
      </c>
      <c r="J230" s="242">
        <f t="shared" si="35"/>
        <v>-4800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11</v>
      </c>
      <c r="C231" s="206">
        <v>45062</v>
      </c>
      <c r="D231" s="161" t="s">
        <v>9</v>
      </c>
      <c r="E231" s="161" t="s">
        <v>4201</v>
      </c>
      <c r="F231" s="222">
        <v>40</v>
      </c>
      <c r="G231" s="222">
        <v>47.85</v>
      </c>
      <c r="H231" s="255">
        <v>7.85</v>
      </c>
      <c r="I231" s="207">
        <v>300</v>
      </c>
      <c r="J231" s="242">
        <f t="shared" si="35"/>
        <v>2355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12</v>
      </c>
      <c r="C232" s="206">
        <v>45063</v>
      </c>
      <c r="D232" s="161" t="s">
        <v>9</v>
      </c>
      <c r="E232" s="161" t="s">
        <v>4078</v>
      </c>
      <c r="F232" s="222">
        <v>18</v>
      </c>
      <c r="G232" s="222">
        <v>4</v>
      </c>
      <c r="H232" s="255">
        <f>18-4</f>
        <v>14</v>
      </c>
      <c r="I232" s="207">
        <v>1200</v>
      </c>
      <c r="J232" s="242">
        <f t="shared" si="35"/>
        <v>16800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13</v>
      </c>
      <c r="C233" s="206">
        <v>45064</v>
      </c>
      <c r="D233" s="161" t="s">
        <v>9</v>
      </c>
      <c r="E233" s="161" t="s">
        <v>4078</v>
      </c>
      <c r="F233" s="222">
        <v>15</v>
      </c>
      <c r="G233" s="222">
        <v>18.8</v>
      </c>
      <c r="H233" s="255">
        <v>3.8</v>
      </c>
      <c r="I233" s="207">
        <v>1200</v>
      </c>
      <c r="J233" s="242">
        <f t="shared" si="35"/>
        <v>4560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14</v>
      </c>
      <c r="C234" s="206">
        <v>45065</v>
      </c>
      <c r="D234" s="161" t="s">
        <v>9</v>
      </c>
      <c r="E234" s="161" t="s">
        <v>4202</v>
      </c>
      <c r="F234" s="222">
        <v>13</v>
      </c>
      <c r="G234" s="222">
        <v>9</v>
      </c>
      <c r="H234" s="255">
        <v>4</v>
      </c>
      <c r="I234" s="207">
        <v>1200</v>
      </c>
      <c r="J234" s="242">
        <f>I234*H234</f>
        <v>4800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15</v>
      </c>
      <c r="C235" s="206">
        <v>45068</v>
      </c>
      <c r="D235" s="161" t="s">
        <v>9</v>
      </c>
      <c r="E235" s="161" t="s">
        <v>4203</v>
      </c>
      <c r="F235" s="222">
        <v>15</v>
      </c>
      <c r="G235" s="222">
        <v>18.100000000000001</v>
      </c>
      <c r="H235" s="255">
        <v>3.1</v>
      </c>
      <c r="I235" s="207">
        <v>450</v>
      </c>
      <c r="J235" s="242">
        <f t="shared" si="35"/>
        <v>1395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16</v>
      </c>
      <c r="C236" s="206">
        <v>45069</v>
      </c>
      <c r="D236" s="161" t="s">
        <v>9</v>
      </c>
      <c r="E236" s="161" t="s">
        <v>4204</v>
      </c>
      <c r="F236" s="222">
        <v>35</v>
      </c>
      <c r="G236" s="222">
        <v>54</v>
      </c>
      <c r="H236" s="222">
        <f>54-35</f>
        <v>19</v>
      </c>
      <c r="I236" s="207">
        <v>150</v>
      </c>
      <c r="J236" s="242">
        <f t="shared" si="35"/>
        <v>2850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17</v>
      </c>
      <c r="C237" s="206">
        <v>45070</v>
      </c>
      <c r="D237" s="161" t="s">
        <v>9</v>
      </c>
      <c r="E237" s="161" t="s">
        <v>4205</v>
      </c>
      <c r="F237" s="222">
        <v>70</v>
      </c>
      <c r="G237" s="222">
        <v>130</v>
      </c>
      <c r="H237" s="222">
        <f>130-70</f>
        <v>60</v>
      </c>
      <c r="I237" s="207">
        <v>125</v>
      </c>
      <c r="J237" s="242">
        <f t="shared" si="35"/>
        <v>7500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18</v>
      </c>
      <c r="C238" s="206">
        <v>45072</v>
      </c>
      <c r="D238" s="161" t="s">
        <v>9</v>
      </c>
      <c r="E238" s="161" t="s">
        <v>4206</v>
      </c>
      <c r="F238" s="222">
        <v>13.5</v>
      </c>
      <c r="G238" s="222">
        <v>14.7</v>
      </c>
      <c r="H238" s="222">
        <f>14.7-13.5</f>
        <v>1.1999999999999993</v>
      </c>
      <c r="I238" s="207">
        <v>1500</v>
      </c>
      <c r="J238" s="242">
        <f t="shared" si="35"/>
        <v>1799.9999999999989</v>
      </c>
      <c r="K238" s="153"/>
      <c r="V238" s="25">
        <f t="shared" si="37"/>
        <v>1</v>
      </c>
      <c r="W238" s="25">
        <f t="shared" si="38"/>
        <v>0</v>
      </c>
    </row>
    <row r="239" spans="1:23" x14ac:dyDescent="0.3">
      <c r="A239" s="147"/>
      <c r="B239" s="205">
        <f t="shared" si="36"/>
        <v>19</v>
      </c>
      <c r="C239" s="206">
        <v>45075</v>
      </c>
      <c r="D239" s="161" t="s">
        <v>9</v>
      </c>
      <c r="E239" s="161" t="s">
        <v>4211</v>
      </c>
      <c r="F239" s="222">
        <v>11.5</v>
      </c>
      <c r="G239" s="222">
        <v>13.5</v>
      </c>
      <c r="H239" s="222">
        <v>2</v>
      </c>
      <c r="I239" s="207">
        <v>2000</v>
      </c>
      <c r="J239" s="242">
        <f t="shared" si="35"/>
        <v>4000</v>
      </c>
      <c r="K239" s="153"/>
      <c r="V239" s="25">
        <f t="shared" si="37"/>
        <v>1</v>
      </c>
      <c r="W239" s="25">
        <f t="shared" si="38"/>
        <v>0</v>
      </c>
    </row>
    <row r="240" spans="1:23" x14ac:dyDescent="0.3">
      <c r="A240" s="147"/>
      <c r="B240" s="205">
        <f t="shared" si="36"/>
        <v>20</v>
      </c>
      <c r="C240" s="206">
        <v>45076</v>
      </c>
      <c r="D240" s="161" t="s">
        <v>9</v>
      </c>
      <c r="E240" s="161" t="s">
        <v>4212</v>
      </c>
      <c r="F240" s="222">
        <v>30</v>
      </c>
      <c r="G240" s="222">
        <v>33.6</v>
      </c>
      <c r="H240" s="222">
        <v>3.6</v>
      </c>
      <c r="I240" s="207">
        <v>1250</v>
      </c>
      <c r="J240" s="242">
        <f t="shared" si="35"/>
        <v>4500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21</v>
      </c>
      <c r="C241" s="206">
        <v>45077</v>
      </c>
      <c r="D241" s="161" t="s">
        <v>9</v>
      </c>
      <c r="E241" s="161" t="s">
        <v>4216</v>
      </c>
      <c r="F241" s="222">
        <v>14</v>
      </c>
      <c r="G241" s="222">
        <v>16.100000000000001</v>
      </c>
      <c r="H241" s="222">
        <v>2.1</v>
      </c>
      <c r="I241" s="207">
        <v>1250</v>
      </c>
      <c r="J241" s="242">
        <f t="shared" si="35"/>
        <v>2625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22</v>
      </c>
      <c r="C242" s="206"/>
      <c r="D242" s="161"/>
      <c r="E242" s="161"/>
      <c r="F242" s="222"/>
      <c r="G242" s="222"/>
      <c r="H242" s="222"/>
      <c r="I242" s="207"/>
      <c r="J242" s="242">
        <f t="shared" si="35"/>
        <v>0</v>
      </c>
      <c r="K242" s="153"/>
      <c r="V242" s="25">
        <f t="shared" si="37"/>
        <v>0</v>
      </c>
      <c r="W242" s="25">
        <f t="shared" si="38"/>
        <v>0</v>
      </c>
    </row>
    <row r="243" spans="1:23" x14ac:dyDescent="0.3">
      <c r="A243" s="147"/>
      <c r="B243" s="205">
        <f t="shared" si="36"/>
        <v>23</v>
      </c>
      <c r="C243" s="206"/>
      <c r="D243" s="161"/>
      <c r="E243" s="161"/>
      <c r="F243" s="222"/>
      <c r="G243" s="222"/>
      <c r="H243" s="222"/>
      <c r="I243" s="207"/>
      <c r="J243" s="242">
        <f t="shared" si="35"/>
        <v>0</v>
      </c>
      <c r="K243" s="153"/>
      <c r="V243" s="25">
        <f t="shared" si="37"/>
        <v>0</v>
      </c>
      <c r="W243" s="25">
        <f t="shared" si="38"/>
        <v>0</v>
      </c>
    </row>
    <row r="244" spans="1:23" ht="15" thickBot="1" x14ac:dyDescent="0.35">
      <c r="A244" s="147"/>
      <c r="B244" s="208">
        <f t="shared" si="36"/>
        <v>24</v>
      </c>
      <c r="C244" s="209"/>
      <c r="D244" s="166"/>
      <c r="E244" s="166"/>
      <c r="F244" s="222"/>
      <c r="G244" s="222"/>
      <c r="H244" s="166"/>
      <c r="I244" s="210"/>
      <c r="J244" s="244">
        <f t="shared" si="35"/>
        <v>0</v>
      </c>
      <c r="K244" s="153"/>
      <c r="V244" s="25">
        <f t="shared" si="37"/>
        <v>0</v>
      </c>
      <c r="W244" s="25">
        <f t="shared" si="38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83652.5</v>
      </c>
      <c r="K245" s="153"/>
      <c r="V245" s="25">
        <f>SUM(V221:V244)</f>
        <v>19</v>
      </c>
      <c r="W245" s="25">
        <f>SUM(W221:W244)</f>
        <v>2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900-000000000000}"/>
    <hyperlink ref="B117" r:id="rId2" xr:uid="{00000000-0004-0000-7900-000001000000}"/>
    <hyperlink ref="B150" r:id="rId3" xr:uid="{00000000-0004-0000-7900-000002000000}"/>
    <hyperlink ref="B181" r:id="rId4" xr:uid="{00000000-0004-0000-7900-000003000000}"/>
    <hyperlink ref="B213" r:id="rId5" xr:uid="{00000000-0004-0000-7900-000004000000}"/>
    <hyperlink ref="B245" r:id="rId6" xr:uid="{00000000-0004-0000-7900-000005000000}"/>
    <hyperlink ref="M1" location="'MASTER '!A1" display="Back" xr:uid="{00000000-0004-0000-7900-000006000000}"/>
    <hyperlink ref="M6:M7" location="'APRIL 2023'!A77" display="STOCK FUTURE" xr:uid="{00000000-0004-0000-7900-000007000000}"/>
    <hyperlink ref="M12:M13" location="'APRIL 2023'!A170" display="BANK NIFTY" xr:uid="{00000000-0004-0000-7900-000008000000}"/>
    <hyperlink ref="M10:M11" location="'APRIL 2023'!A139" display="NF. OPTION" xr:uid="{00000000-0004-0000-7900-000009000000}"/>
    <hyperlink ref="M8:M9" location="'APRIL 2023'!A108" display="NIFTY FUTURE" xr:uid="{00000000-0004-0000-7900-00000A000000}"/>
    <hyperlink ref="M4:M5" location="'APRIL 2023'!A1" display="CASH" xr:uid="{00000000-0004-0000-7900-00000B000000}"/>
    <hyperlink ref="M14:M15" location="'APRIL 2023'!A201" display="B.NIFTY OPTION" xr:uid="{00000000-0004-0000-7900-00000C000000}"/>
    <hyperlink ref="M16:M17" location="'APRIL 2023'!A216" display="STOCK OPTION" xr:uid="{00000000-0004-0000-7900-00000D000000}"/>
    <hyperlink ref="B52" r:id="rId7" xr:uid="{00000000-0004-0000-7900-00000E000000}"/>
  </hyperlinks>
  <pageMargins left="0" right="0" top="0" bottom="0" header="0" footer="0"/>
  <pageSetup scale="95" orientation="portrait" r:id="rId8"/>
  <ignoredErrors>
    <ignoredError sqref="J8" formula="1"/>
  </ignoredErrors>
  <drawing r:id="rId9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W246"/>
  <sheetViews>
    <sheetView topLeftCell="A31" zoomScaleNormal="100" workbookViewId="0">
      <selection activeCell="A77" sqref="A7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0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4217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41</v>
      </c>
      <c r="O4" s="386">
        <f>V52</f>
        <v>35</v>
      </c>
      <c r="P4" s="386">
        <f>W52</f>
        <v>6</v>
      </c>
      <c r="Q4" s="387">
        <f>N4-O4-P4</f>
        <v>0</v>
      </c>
      <c r="R4" s="380">
        <f>O4/N4</f>
        <v>0.85365853658536583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45078</v>
      </c>
      <c r="D6" s="158" t="s">
        <v>9</v>
      </c>
      <c r="E6" s="158" t="s">
        <v>3515</v>
      </c>
      <c r="F6" s="230">
        <v>3080</v>
      </c>
      <c r="G6" s="222">
        <v>3097</v>
      </c>
      <c r="H6" s="222">
        <v>17</v>
      </c>
      <c r="I6" s="207">
        <f t="shared" ref="I6:I7" si="0">300000/F6</f>
        <v>97.402597402597408</v>
      </c>
      <c r="J6" s="161">
        <f t="shared" ref="J6:J47" si="1">H6*I6</f>
        <v>1655.8441558441559</v>
      </c>
      <c r="K6" s="153"/>
      <c r="M6" s="394" t="s">
        <v>450</v>
      </c>
      <c r="N6" s="344">
        <f>COUNT(C60:C85)</f>
        <v>21</v>
      </c>
      <c r="O6" s="346">
        <f>V86</f>
        <v>19</v>
      </c>
      <c r="P6" s="346">
        <f>W86</f>
        <v>2</v>
      </c>
      <c r="Q6" s="374">
        <f>N6-O6-P6</f>
        <v>0</v>
      </c>
      <c r="R6" s="376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45078</v>
      </c>
      <c r="D7" s="161" t="s">
        <v>9</v>
      </c>
      <c r="E7" s="161" t="s">
        <v>3464</v>
      </c>
      <c r="F7" s="222">
        <v>168.5</v>
      </c>
      <c r="G7" s="231">
        <v>171</v>
      </c>
      <c r="H7" s="255">
        <f>171-168.5</f>
        <v>2.5</v>
      </c>
      <c r="I7" s="207">
        <f t="shared" si="0"/>
        <v>1780.4154302670622</v>
      </c>
      <c r="J7" s="246">
        <f t="shared" ref="J7" si="3">I7*H7</f>
        <v>4451.0385756676551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45079</v>
      </c>
      <c r="D8" s="161" t="s">
        <v>9</v>
      </c>
      <c r="E8" s="161" t="s">
        <v>117</v>
      </c>
      <c r="F8" s="222">
        <v>435</v>
      </c>
      <c r="G8" s="222">
        <v>440</v>
      </c>
      <c r="H8" s="222">
        <v>5</v>
      </c>
      <c r="I8" s="207">
        <f t="shared" ref="I8:I46" si="7">300000/F8</f>
        <v>689.65517241379314</v>
      </c>
      <c r="J8" s="246">
        <f t="shared" ref="J8:J9" si="8">I8*H8</f>
        <v>3448.2758620689656</v>
      </c>
      <c r="K8" s="153"/>
      <c r="M8" s="394" t="s">
        <v>451</v>
      </c>
      <c r="N8" s="344">
        <f>COUNT(C94:C116)</f>
        <v>22</v>
      </c>
      <c r="O8" s="346">
        <f>V117</f>
        <v>20</v>
      </c>
      <c r="P8" s="346">
        <f>W117</f>
        <v>2</v>
      </c>
      <c r="Q8" s="374">
        <f>N8-O8-P8</f>
        <v>0</v>
      </c>
      <c r="R8" s="376">
        <f t="shared" ref="R8" si="9">O8/N8</f>
        <v>0.90909090909090906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45079</v>
      </c>
      <c r="D9" s="161" t="s">
        <v>9</v>
      </c>
      <c r="E9" s="161" t="s">
        <v>2563</v>
      </c>
      <c r="F9" s="222">
        <v>2360</v>
      </c>
      <c r="G9" s="231">
        <v>2380</v>
      </c>
      <c r="H9" s="255">
        <v>20</v>
      </c>
      <c r="I9" s="207">
        <f t="shared" si="7"/>
        <v>127.11864406779661</v>
      </c>
      <c r="J9" s="246">
        <f t="shared" si="8"/>
        <v>2542.3728813559323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45082</v>
      </c>
      <c r="D10" s="161" t="s">
        <v>9</v>
      </c>
      <c r="E10" s="161" t="s">
        <v>864</v>
      </c>
      <c r="F10" s="222">
        <v>2540</v>
      </c>
      <c r="G10" s="222">
        <v>2550</v>
      </c>
      <c r="H10" s="222">
        <v>10</v>
      </c>
      <c r="I10" s="207">
        <f t="shared" si="7"/>
        <v>118.11023622047244</v>
      </c>
      <c r="J10" s="161">
        <f t="shared" si="1"/>
        <v>1181.1023622047244</v>
      </c>
      <c r="K10" s="153"/>
      <c r="M10" s="394" t="s">
        <v>1176</v>
      </c>
      <c r="N10" s="344">
        <f>COUNT(C125:C149)</f>
        <v>25</v>
      </c>
      <c r="O10" s="346">
        <f>V150</f>
        <v>21</v>
      </c>
      <c r="P10" s="346">
        <f>W150</f>
        <v>4</v>
      </c>
      <c r="Q10" s="374">
        <f>N10-O10-P10</f>
        <v>0</v>
      </c>
      <c r="R10" s="376">
        <f t="shared" ref="R10:R16" si="10">O10/N10</f>
        <v>0.84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45082</v>
      </c>
      <c r="D11" s="161" t="s">
        <v>9</v>
      </c>
      <c r="E11" s="161" t="s">
        <v>4210</v>
      </c>
      <c r="F11" s="222">
        <v>1435</v>
      </c>
      <c r="G11" s="222">
        <v>1442</v>
      </c>
      <c r="H11" s="255">
        <f>1442-1435</f>
        <v>7</v>
      </c>
      <c r="I11" s="207">
        <f t="shared" si="7"/>
        <v>209.05923344947735</v>
      </c>
      <c r="J11" s="161">
        <f t="shared" si="1"/>
        <v>1463.4146341463415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45083</v>
      </c>
      <c r="D12" s="161" t="s">
        <v>9</v>
      </c>
      <c r="E12" s="161" t="s">
        <v>3515</v>
      </c>
      <c r="F12" s="222">
        <v>3340</v>
      </c>
      <c r="G12" s="222">
        <v>3400</v>
      </c>
      <c r="H12" s="222">
        <f>3400-3340</f>
        <v>60</v>
      </c>
      <c r="I12" s="207">
        <f t="shared" si="7"/>
        <v>89.820359281437121</v>
      </c>
      <c r="J12" s="161">
        <f t="shared" si="1"/>
        <v>5389.2215568862275</v>
      </c>
      <c r="K12" s="153"/>
      <c r="M12" s="394" t="s">
        <v>41</v>
      </c>
      <c r="N12" s="344">
        <f>COUNT(C158:C180)</f>
        <v>22</v>
      </c>
      <c r="O12" s="346">
        <f>V181</f>
        <v>20</v>
      </c>
      <c r="P12" s="346">
        <f>W181</f>
        <v>2</v>
      </c>
      <c r="Q12" s="374">
        <f t="shared" ref="Q12" si="11">N12-O12-P12</f>
        <v>0</v>
      </c>
      <c r="R12" s="376">
        <f t="shared" si="10"/>
        <v>0.90909090909090906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45083</v>
      </c>
      <c r="D13" s="161" t="s">
        <v>8</v>
      </c>
      <c r="E13" s="161" t="s">
        <v>19</v>
      </c>
      <c r="F13" s="222">
        <v>587</v>
      </c>
      <c r="G13" s="222">
        <v>583</v>
      </c>
      <c r="H13" s="255">
        <v>4</v>
      </c>
      <c r="I13" s="207">
        <f t="shared" si="7"/>
        <v>511.07325383304942</v>
      </c>
      <c r="J13" s="161">
        <f t="shared" si="1"/>
        <v>2044.2930153321977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45084</v>
      </c>
      <c r="D14" s="161" t="s">
        <v>9</v>
      </c>
      <c r="E14" s="161" t="s">
        <v>3515</v>
      </c>
      <c r="F14" s="222">
        <v>3495</v>
      </c>
      <c r="G14" s="222">
        <v>3505</v>
      </c>
      <c r="H14" s="222">
        <f>3505-3495</f>
        <v>10</v>
      </c>
      <c r="I14" s="207">
        <f t="shared" si="7"/>
        <v>85.836909871244629</v>
      </c>
      <c r="J14" s="161">
        <f t="shared" si="1"/>
        <v>858.36909871244632</v>
      </c>
      <c r="K14" s="153"/>
      <c r="M14" s="394" t="s">
        <v>1175</v>
      </c>
      <c r="N14" s="344">
        <f>COUNT(C189:C212)</f>
        <v>23</v>
      </c>
      <c r="O14" s="346">
        <f>V213</f>
        <v>18</v>
      </c>
      <c r="P14" s="346">
        <f>W213</f>
        <v>4</v>
      </c>
      <c r="Q14" s="374">
        <f t="shared" ref="Q14" si="12">N14-O14-P14</f>
        <v>1</v>
      </c>
      <c r="R14" s="376">
        <f t="shared" si="10"/>
        <v>0.78260869565217395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45084</v>
      </c>
      <c r="D15" s="161" t="s">
        <v>9</v>
      </c>
      <c r="E15" s="161" t="s">
        <v>3465</v>
      </c>
      <c r="F15" s="222">
        <v>750</v>
      </c>
      <c r="G15" s="222">
        <v>749</v>
      </c>
      <c r="H15" s="222">
        <v>1</v>
      </c>
      <c r="I15" s="207">
        <f t="shared" si="7"/>
        <v>400</v>
      </c>
      <c r="J15" s="161">
        <f t="shared" si="1"/>
        <v>400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45085</v>
      </c>
      <c r="D16" s="161" t="s">
        <v>9</v>
      </c>
      <c r="E16" s="161" t="s">
        <v>3528</v>
      </c>
      <c r="F16" s="222">
        <v>224</v>
      </c>
      <c r="G16" s="222">
        <v>225</v>
      </c>
      <c r="H16" s="222">
        <v>1</v>
      </c>
      <c r="I16" s="207">
        <f t="shared" si="7"/>
        <v>1339.2857142857142</v>
      </c>
      <c r="J16" s="161">
        <f t="shared" si="1"/>
        <v>1339.2857142857142</v>
      </c>
      <c r="K16" s="153"/>
      <c r="L16" s="25" t="s">
        <v>2008</v>
      </c>
      <c r="M16" s="394" t="s">
        <v>1090</v>
      </c>
      <c r="N16" s="344">
        <f>COUNT(C221:C244)</f>
        <v>24</v>
      </c>
      <c r="O16" s="346">
        <f>V245</f>
        <v>19</v>
      </c>
      <c r="P16" s="346">
        <f>W245</f>
        <v>5</v>
      </c>
      <c r="Q16" s="374">
        <v>0</v>
      </c>
      <c r="R16" s="376">
        <f t="shared" si="10"/>
        <v>0.79166666666666663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45085</v>
      </c>
      <c r="D17" s="161" t="s">
        <v>9</v>
      </c>
      <c r="E17" s="161" t="s">
        <v>3515</v>
      </c>
      <c r="F17" s="222">
        <v>3510</v>
      </c>
      <c r="G17" s="222">
        <v>3480</v>
      </c>
      <c r="H17" s="222">
        <f>3510-3480</f>
        <v>30</v>
      </c>
      <c r="I17" s="207">
        <f t="shared" si="7"/>
        <v>85.470085470085465</v>
      </c>
      <c r="J17" s="161">
        <f t="shared" si="1"/>
        <v>2564.102564102564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45086</v>
      </c>
      <c r="D18" s="161" t="s">
        <v>9</v>
      </c>
      <c r="E18" s="161" t="s">
        <v>552</v>
      </c>
      <c r="F18" s="222">
        <v>1325</v>
      </c>
      <c r="G18" s="222">
        <v>1335</v>
      </c>
      <c r="H18" s="222">
        <v>10</v>
      </c>
      <c r="I18" s="207">
        <f t="shared" si="7"/>
        <v>226.41509433962264</v>
      </c>
      <c r="J18" s="161">
        <f t="shared" si="1"/>
        <v>2264.1509433962265</v>
      </c>
      <c r="K18" s="153"/>
      <c r="M18" s="392" t="s">
        <v>946</v>
      </c>
      <c r="N18" s="378">
        <f>SUM(N4:N17)</f>
        <v>178</v>
      </c>
      <c r="O18" s="378">
        <f t="shared" ref="O18:Q18" si="13">SUM(O4:O17)</f>
        <v>152</v>
      </c>
      <c r="P18" s="378">
        <f t="shared" si="13"/>
        <v>25</v>
      </c>
      <c r="Q18" s="378">
        <f t="shared" si="13"/>
        <v>1</v>
      </c>
      <c r="R18" s="380">
        <f t="shared" ref="R18" si="14">O18/N18</f>
        <v>0.8539325842696629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45086</v>
      </c>
      <c r="D19" s="161" t="s">
        <v>9</v>
      </c>
      <c r="E19" s="161" t="s">
        <v>3515</v>
      </c>
      <c r="F19" s="222">
        <v>3540</v>
      </c>
      <c r="G19" s="222">
        <v>3600</v>
      </c>
      <c r="H19" s="222">
        <v>20</v>
      </c>
      <c r="I19" s="207">
        <f t="shared" si="7"/>
        <v>84.745762711864401</v>
      </c>
      <c r="J19" s="161">
        <f t="shared" si="1"/>
        <v>1694.9152542372881</v>
      </c>
      <c r="K19" s="153"/>
      <c r="M19" s="393"/>
      <c r="N19" s="379"/>
      <c r="O19" s="379"/>
      <c r="P19" s="379"/>
      <c r="Q19" s="379"/>
      <c r="R19" s="377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45089</v>
      </c>
      <c r="D20" s="161" t="s">
        <v>9</v>
      </c>
      <c r="E20" s="161" t="s">
        <v>4210</v>
      </c>
      <c r="F20" s="222">
        <v>1440</v>
      </c>
      <c r="G20" s="222">
        <v>1446</v>
      </c>
      <c r="H20" s="222">
        <v>6</v>
      </c>
      <c r="I20" s="207">
        <f t="shared" si="7"/>
        <v>208.33333333333334</v>
      </c>
      <c r="J20" s="161">
        <f t="shared" si="1"/>
        <v>1250</v>
      </c>
      <c r="K20" s="153"/>
      <c r="M20" s="316" t="s">
        <v>2253</v>
      </c>
      <c r="N20" s="317"/>
      <c r="O20" s="318"/>
      <c r="P20" s="325">
        <f>R18</f>
        <v>0.8539325842696629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45089</v>
      </c>
      <c r="D21" s="161" t="s">
        <v>9</v>
      </c>
      <c r="E21" s="161" t="s">
        <v>3515</v>
      </c>
      <c r="F21" s="222">
        <v>3770</v>
      </c>
      <c r="G21" s="222">
        <v>3740</v>
      </c>
      <c r="H21" s="222">
        <v>-30</v>
      </c>
      <c r="I21" s="207">
        <f t="shared" si="7"/>
        <v>79.57559681697613</v>
      </c>
      <c r="J21" s="161">
        <f t="shared" si="1"/>
        <v>-2387.2679045092841</v>
      </c>
      <c r="K21" s="153"/>
      <c r="M21" s="319"/>
      <c r="N21" s="320"/>
      <c r="O21" s="321"/>
      <c r="P21" s="328"/>
      <c r="Q21" s="329"/>
      <c r="R21" s="330"/>
      <c r="V21" s="25">
        <f t="shared" si="4"/>
        <v>0</v>
      </c>
      <c r="W21" s="25">
        <f t="shared" si="5"/>
        <v>1</v>
      </c>
    </row>
    <row r="22" spans="1:23" ht="15" customHeight="1" thickBot="1" x14ac:dyDescent="0.35">
      <c r="A22" s="147"/>
      <c r="B22" s="205">
        <f t="shared" si="6"/>
        <v>17</v>
      </c>
      <c r="C22" s="206">
        <v>45090</v>
      </c>
      <c r="D22" s="161" t="s">
        <v>9</v>
      </c>
      <c r="E22" s="161" t="s">
        <v>16</v>
      </c>
      <c r="F22" s="222">
        <v>2890</v>
      </c>
      <c r="G22" s="222">
        <v>2918</v>
      </c>
      <c r="H22" s="222">
        <f>2918-2890</f>
        <v>28</v>
      </c>
      <c r="I22" s="207">
        <f t="shared" si="7"/>
        <v>103.80622837370242</v>
      </c>
      <c r="J22" s="161">
        <f t="shared" si="1"/>
        <v>2906.5743944636679</v>
      </c>
      <c r="K22" s="153"/>
      <c r="M22" s="322"/>
      <c r="N22" s="323"/>
      <c r="O22" s="324"/>
      <c r="P22" s="331"/>
      <c r="Q22" s="332"/>
      <c r="R22" s="33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45090</v>
      </c>
      <c r="D23" s="161" t="s">
        <v>8</v>
      </c>
      <c r="E23" s="161" t="s">
        <v>19</v>
      </c>
      <c r="F23" s="222">
        <v>578</v>
      </c>
      <c r="G23" s="222">
        <v>575</v>
      </c>
      <c r="H23" s="222">
        <v>3</v>
      </c>
      <c r="I23" s="207">
        <f t="shared" si="7"/>
        <v>519.03114186851212</v>
      </c>
      <c r="J23" s="161">
        <f t="shared" si="1"/>
        <v>1557.0934256055364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45091</v>
      </c>
      <c r="D24" s="161" t="s">
        <v>9</v>
      </c>
      <c r="E24" s="161" t="s">
        <v>834</v>
      </c>
      <c r="F24" s="222">
        <v>282</v>
      </c>
      <c r="G24" s="222">
        <v>281</v>
      </c>
      <c r="H24" s="222">
        <v>-1</v>
      </c>
      <c r="I24" s="207">
        <f t="shared" si="7"/>
        <v>1063.8297872340424</v>
      </c>
      <c r="J24" s="161">
        <f>H24*I24</f>
        <v>-1063.8297872340424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45091</v>
      </c>
      <c r="D25" s="161" t="s">
        <v>8</v>
      </c>
      <c r="E25" s="161" t="s">
        <v>3942</v>
      </c>
      <c r="F25" s="161">
        <v>1472</v>
      </c>
      <c r="G25" s="222">
        <v>1478</v>
      </c>
      <c r="H25" s="222">
        <v>-6</v>
      </c>
      <c r="I25" s="207">
        <f t="shared" si="7"/>
        <v>203.80434782608697</v>
      </c>
      <c r="J25" s="161">
        <f>H25*I25</f>
        <v>-1222.8260869565217</v>
      </c>
      <c r="K25" s="153"/>
      <c r="V25" s="25">
        <f t="shared" si="4"/>
        <v>0</v>
      </c>
      <c r="W25" s="25">
        <f t="shared" si="5"/>
        <v>1</v>
      </c>
    </row>
    <row r="26" spans="1:23" x14ac:dyDescent="0.3">
      <c r="A26" s="147"/>
      <c r="B26" s="205">
        <f t="shared" si="6"/>
        <v>21</v>
      </c>
      <c r="C26" s="206">
        <v>45092</v>
      </c>
      <c r="D26" s="161" t="s">
        <v>9</v>
      </c>
      <c r="E26" s="161" t="s">
        <v>982</v>
      </c>
      <c r="F26" s="222">
        <v>745</v>
      </c>
      <c r="G26" s="222">
        <v>740</v>
      </c>
      <c r="H26" s="222">
        <v>-5</v>
      </c>
      <c r="I26" s="207">
        <f t="shared" si="7"/>
        <v>402.68456375838929</v>
      </c>
      <c r="J26" s="161">
        <f>H26*I26</f>
        <v>-2013.4228187919464</v>
      </c>
      <c r="K26" s="153"/>
      <c r="V26" s="25">
        <f t="shared" si="4"/>
        <v>0</v>
      </c>
      <c r="W26" s="25">
        <f t="shared" si="5"/>
        <v>1</v>
      </c>
    </row>
    <row r="27" spans="1:23" x14ac:dyDescent="0.3">
      <c r="A27" s="147"/>
      <c r="B27" s="205">
        <f t="shared" si="6"/>
        <v>22</v>
      </c>
      <c r="C27" s="206">
        <v>45092</v>
      </c>
      <c r="D27" s="161" t="s">
        <v>9</v>
      </c>
      <c r="E27" s="161" t="s">
        <v>2482</v>
      </c>
      <c r="F27" s="222">
        <v>119.5</v>
      </c>
      <c r="G27" s="222">
        <v>121.45</v>
      </c>
      <c r="H27" s="222">
        <f>121.45-119.5</f>
        <v>1.9500000000000028</v>
      </c>
      <c r="I27" s="207">
        <f t="shared" si="7"/>
        <v>2510.460251046025</v>
      </c>
      <c r="J27" s="161">
        <f>H27*I27</f>
        <v>4895.397489539756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45093</v>
      </c>
      <c r="D28" s="161" t="s">
        <v>9</v>
      </c>
      <c r="E28" s="161" t="s">
        <v>4238</v>
      </c>
      <c r="F28" s="222">
        <v>123</v>
      </c>
      <c r="G28" s="222">
        <v>125.7</v>
      </c>
      <c r="H28" s="222">
        <v>2.7</v>
      </c>
      <c r="I28" s="207">
        <f t="shared" si="7"/>
        <v>2439.0243902439024</v>
      </c>
      <c r="J28" s="161">
        <f t="shared" si="1"/>
        <v>6585.3658536585372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45093</v>
      </c>
      <c r="D29" s="161" t="s">
        <v>8</v>
      </c>
      <c r="E29" s="161" t="s">
        <v>1361</v>
      </c>
      <c r="F29" s="222">
        <v>1058</v>
      </c>
      <c r="G29" s="222">
        <v>1049.3</v>
      </c>
      <c r="H29" s="222">
        <f>1058-1049.3</f>
        <v>8.7000000000000455</v>
      </c>
      <c r="I29" s="207">
        <f t="shared" si="7"/>
        <v>283.55387523629491</v>
      </c>
      <c r="J29" s="161">
        <f t="shared" si="1"/>
        <v>2466.9187145557785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45096</v>
      </c>
      <c r="D30" s="161" t="s">
        <v>9</v>
      </c>
      <c r="E30" s="161" t="s">
        <v>3436</v>
      </c>
      <c r="F30" s="222">
        <v>670</v>
      </c>
      <c r="G30" s="222">
        <v>675</v>
      </c>
      <c r="H30" s="222">
        <v>5</v>
      </c>
      <c r="I30" s="207">
        <f t="shared" si="7"/>
        <v>447.76119402985074</v>
      </c>
      <c r="J30" s="161">
        <f t="shared" si="1"/>
        <v>2238.8059701492539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45097</v>
      </c>
      <c r="D31" s="161" t="s">
        <v>9</v>
      </c>
      <c r="E31" s="161" t="s">
        <v>3828</v>
      </c>
      <c r="F31" s="223">
        <v>2200</v>
      </c>
      <c r="G31" s="222">
        <v>2220</v>
      </c>
      <c r="H31" s="255">
        <v>20</v>
      </c>
      <c r="I31" s="207">
        <f t="shared" si="7"/>
        <v>136.36363636363637</v>
      </c>
      <c r="J31" s="161">
        <f t="shared" si="1"/>
        <v>2727.2727272727275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45097</v>
      </c>
      <c r="D32" s="161" t="s">
        <v>8</v>
      </c>
      <c r="E32" s="161" t="s">
        <v>19</v>
      </c>
      <c r="F32" s="222">
        <v>566</v>
      </c>
      <c r="G32" s="222">
        <v>563</v>
      </c>
      <c r="H32" s="222">
        <v>3</v>
      </c>
      <c r="I32" s="207">
        <f t="shared" si="7"/>
        <v>530.03533568904595</v>
      </c>
      <c r="J32" s="161">
        <f t="shared" si="1"/>
        <v>1590.1060070671379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45098</v>
      </c>
      <c r="D33" s="161" t="s">
        <v>9</v>
      </c>
      <c r="E33" s="161" t="s">
        <v>2093</v>
      </c>
      <c r="F33" s="223">
        <v>732</v>
      </c>
      <c r="G33" s="222">
        <v>748</v>
      </c>
      <c r="H33" s="255">
        <f>748-732</f>
        <v>16</v>
      </c>
      <c r="I33" s="207">
        <f t="shared" si="7"/>
        <v>409.8360655737705</v>
      </c>
      <c r="J33" s="161">
        <f t="shared" si="1"/>
        <v>6557.377049180328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45098</v>
      </c>
      <c r="D34" s="161" t="s">
        <v>9</v>
      </c>
      <c r="E34" s="161" t="s">
        <v>476</v>
      </c>
      <c r="F34" s="222">
        <v>990</v>
      </c>
      <c r="G34" s="222">
        <v>998</v>
      </c>
      <c r="H34" s="222">
        <v>8</v>
      </c>
      <c r="I34" s="207">
        <f t="shared" si="7"/>
        <v>303.030303030303</v>
      </c>
      <c r="J34" s="161">
        <f t="shared" si="1"/>
        <v>2424.242424242424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45099</v>
      </c>
      <c r="D35" s="161" t="s">
        <v>9</v>
      </c>
      <c r="E35" s="161" t="s">
        <v>3474</v>
      </c>
      <c r="F35" s="222">
        <v>962</v>
      </c>
      <c r="G35" s="222">
        <v>966</v>
      </c>
      <c r="H35" s="222">
        <v>4</v>
      </c>
      <c r="I35" s="207">
        <f t="shared" si="7"/>
        <v>311.85031185031187</v>
      </c>
      <c r="J35" s="161">
        <f t="shared" si="1"/>
        <v>1247.4012474012475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45099</v>
      </c>
      <c r="D36" s="161" t="s">
        <v>9</v>
      </c>
      <c r="E36" s="161" t="s">
        <v>2093</v>
      </c>
      <c r="F36" s="222">
        <v>774</v>
      </c>
      <c r="G36" s="222">
        <v>788</v>
      </c>
      <c r="H36" s="222">
        <f>788-774</f>
        <v>14</v>
      </c>
      <c r="I36" s="207">
        <f t="shared" si="7"/>
        <v>387.59689922480618</v>
      </c>
      <c r="J36" s="161">
        <f t="shared" si="1"/>
        <v>5426.3565891472863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45100</v>
      </c>
      <c r="D37" s="161" t="s">
        <v>9</v>
      </c>
      <c r="E37" s="161" t="s">
        <v>3746</v>
      </c>
      <c r="F37" s="222">
        <v>236</v>
      </c>
      <c r="G37" s="222">
        <v>241</v>
      </c>
      <c r="H37" s="222">
        <f>241-236</f>
        <v>5</v>
      </c>
      <c r="I37" s="207">
        <f t="shared" si="7"/>
        <v>1271.1864406779662</v>
      </c>
      <c r="J37" s="161">
        <f t="shared" si="1"/>
        <v>6355.9322033898306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45100</v>
      </c>
      <c r="D38" s="161" t="s">
        <v>8</v>
      </c>
      <c r="E38" s="161" t="s">
        <v>3563</v>
      </c>
      <c r="F38" s="222">
        <v>1540</v>
      </c>
      <c r="G38" s="222">
        <v>1520</v>
      </c>
      <c r="H38" s="222">
        <v>20</v>
      </c>
      <c r="I38" s="207">
        <f t="shared" si="7"/>
        <v>194.80519480519482</v>
      </c>
      <c r="J38" s="161">
        <f t="shared" si="1"/>
        <v>3896.1038961038962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45103</v>
      </c>
      <c r="D39" s="161" t="s">
        <v>9</v>
      </c>
      <c r="E39" s="161" t="s">
        <v>3515</v>
      </c>
      <c r="F39" s="222">
        <v>3680</v>
      </c>
      <c r="G39" s="222">
        <v>3720</v>
      </c>
      <c r="H39" s="222">
        <v>40</v>
      </c>
      <c r="I39" s="207">
        <f t="shared" si="7"/>
        <v>81.521739130434781</v>
      </c>
      <c r="J39" s="161">
        <f t="shared" si="1"/>
        <v>3260.869565217391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45103</v>
      </c>
      <c r="D40" s="161" t="s">
        <v>9</v>
      </c>
      <c r="E40" s="161" t="s">
        <v>3706</v>
      </c>
      <c r="F40" s="222">
        <v>579</v>
      </c>
      <c r="G40" s="222">
        <v>580</v>
      </c>
      <c r="H40" s="222">
        <v>1</v>
      </c>
      <c r="I40" s="207">
        <f t="shared" si="7"/>
        <v>518.13471502590676</v>
      </c>
      <c r="J40" s="161">
        <f t="shared" si="1"/>
        <v>518.13471502590676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45104</v>
      </c>
      <c r="D41" s="161" t="s">
        <v>9</v>
      </c>
      <c r="E41" s="161" t="s">
        <v>3773</v>
      </c>
      <c r="F41" s="222">
        <v>354</v>
      </c>
      <c r="G41" s="223">
        <v>355</v>
      </c>
      <c r="H41" s="222">
        <v>1</v>
      </c>
      <c r="I41" s="207">
        <f t="shared" si="7"/>
        <v>847.45762711864404</v>
      </c>
      <c r="J41" s="161">
        <f t="shared" si="1"/>
        <v>847.45762711864404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45104</v>
      </c>
      <c r="D42" s="161" t="s">
        <v>8</v>
      </c>
      <c r="E42" s="161" t="s">
        <v>3515</v>
      </c>
      <c r="F42" s="222">
        <v>3720</v>
      </c>
      <c r="G42" s="222">
        <v>3655</v>
      </c>
      <c r="H42" s="222">
        <f>3720-3655</f>
        <v>65</v>
      </c>
      <c r="I42" s="207">
        <f t="shared" si="7"/>
        <v>80.645161290322577</v>
      </c>
      <c r="J42" s="161">
        <f t="shared" si="1"/>
        <v>5241.9354838709678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45105</v>
      </c>
      <c r="D43" s="161" t="s">
        <v>9</v>
      </c>
      <c r="E43" s="161" t="s">
        <v>3515</v>
      </c>
      <c r="F43" s="222">
        <v>3700</v>
      </c>
      <c r="G43" s="222">
        <v>3745</v>
      </c>
      <c r="H43" s="222">
        <v>45</v>
      </c>
      <c r="I43" s="207">
        <f t="shared" si="7"/>
        <v>81.081081081081081</v>
      </c>
      <c r="J43" s="161">
        <f t="shared" si="1"/>
        <v>3648.6486486486488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45105</v>
      </c>
      <c r="D44" s="161" t="s">
        <v>9</v>
      </c>
      <c r="E44" s="161" t="s">
        <v>4247</v>
      </c>
      <c r="F44" s="222">
        <v>258</v>
      </c>
      <c r="G44" s="222">
        <v>254</v>
      </c>
      <c r="H44" s="222">
        <v>-4</v>
      </c>
      <c r="I44" s="207">
        <f t="shared" si="7"/>
        <v>1162.7906976744187</v>
      </c>
      <c r="J44" s="161">
        <f t="shared" si="1"/>
        <v>-4651.1627906976746</v>
      </c>
      <c r="K44" s="153"/>
      <c r="V44" s="25">
        <f t="shared" si="4"/>
        <v>0</v>
      </c>
      <c r="W44" s="25">
        <f t="shared" si="5"/>
        <v>1</v>
      </c>
    </row>
    <row r="45" spans="1:23" x14ac:dyDescent="0.3">
      <c r="A45" s="147"/>
      <c r="B45" s="205">
        <f t="shared" si="6"/>
        <v>40</v>
      </c>
      <c r="C45" s="206">
        <v>45107</v>
      </c>
      <c r="D45" s="161" t="s">
        <v>9</v>
      </c>
      <c r="E45" s="161" t="s">
        <v>124</v>
      </c>
      <c r="F45" s="222">
        <v>3735</v>
      </c>
      <c r="G45" s="222">
        <v>3715</v>
      </c>
      <c r="H45" s="222">
        <f>3735-3715</f>
        <v>20</v>
      </c>
      <c r="I45" s="207">
        <f t="shared" si="7"/>
        <v>80.321285140562253</v>
      </c>
      <c r="J45" s="161">
        <f t="shared" si="1"/>
        <v>1606.4257028112452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>
        <v>45107</v>
      </c>
      <c r="D46" s="161" t="s">
        <v>8</v>
      </c>
      <c r="E46" s="161" t="s">
        <v>19</v>
      </c>
      <c r="F46" s="222">
        <v>571</v>
      </c>
      <c r="G46" s="222">
        <v>573</v>
      </c>
      <c r="H46" s="222">
        <v>-2</v>
      </c>
      <c r="I46" s="207">
        <f t="shared" si="7"/>
        <v>525.39404553415056</v>
      </c>
      <c r="J46" s="161">
        <f t="shared" si="1"/>
        <v>-1050.7880910683011</v>
      </c>
      <c r="K46" s="153"/>
      <c r="V46" s="25">
        <f t="shared" si="4"/>
        <v>0</v>
      </c>
      <c r="W46" s="25">
        <f t="shared" si="5"/>
        <v>1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86155.508873452898</v>
      </c>
      <c r="K52" s="153"/>
      <c r="V52" s="25">
        <f>SUM(V6:V51)</f>
        <v>35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4218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45078</v>
      </c>
      <c r="D60" s="161" t="s">
        <v>9</v>
      </c>
      <c r="E60" s="161" t="s">
        <v>3562</v>
      </c>
      <c r="F60" s="222">
        <v>3970</v>
      </c>
      <c r="G60" s="222">
        <v>4010</v>
      </c>
      <c r="H60" s="222">
        <f>4010-3970</f>
        <v>40</v>
      </c>
      <c r="I60" s="207">
        <v>125</v>
      </c>
      <c r="J60" s="241">
        <f t="shared" ref="J60:J85" si="15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45079</v>
      </c>
      <c r="D61" s="161" t="s">
        <v>9</v>
      </c>
      <c r="E61" s="161" t="s">
        <v>3527</v>
      </c>
      <c r="F61" s="222">
        <v>3510</v>
      </c>
      <c r="G61" s="222">
        <v>3523</v>
      </c>
      <c r="H61" s="222">
        <f>3523-3510</f>
        <v>13</v>
      </c>
      <c r="I61" s="207">
        <v>250</v>
      </c>
      <c r="J61" s="242">
        <f t="shared" si="15"/>
        <v>3250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45082</v>
      </c>
      <c r="D62" s="161" t="s">
        <v>8</v>
      </c>
      <c r="E62" s="161" t="s">
        <v>3473</v>
      </c>
      <c r="F62" s="222">
        <v>396</v>
      </c>
      <c r="G62" s="222">
        <v>392</v>
      </c>
      <c r="H62" s="222">
        <v>4</v>
      </c>
      <c r="I62" s="207">
        <v>2000</v>
      </c>
      <c r="J62" s="242">
        <f t="shared" si="15"/>
        <v>8000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45083</v>
      </c>
      <c r="D63" s="161" t="s">
        <v>8</v>
      </c>
      <c r="E63" s="161" t="s">
        <v>3445</v>
      </c>
      <c r="F63" s="222">
        <v>3565</v>
      </c>
      <c r="G63" s="222">
        <v>3550</v>
      </c>
      <c r="H63" s="222">
        <v>15</v>
      </c>
      <c r="I63" s="207">
        <v>300</v>
      </c>
      <c r="J63" s="242">
        <f>I63*H63</f>
        <v>4500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45084</v>
      </c>
      <c r="D64" s="161" t="s">
        <v>9</v>
      </c>
      <c r="E64" s="161" t="s">
        <v>15</v>
      </c>
      <c r="F64" s="222">
        <v>3630</v>
      </c>
      <c r="G64" s="222">
        <v>3666</v>
      </c>
      <c r="H64" s="222">
        <f>3666-3630</f>
        <v>36</v>
      </c>
      <c r="I64" s="207">
        <v>275</v>
      </c>
      <c r="J64" s="242">
        <f>I64*H64</f>
        <v>9900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45085</v>
      </c>
      <c r="D65" s="161" t="s">
        <v>9</v>
      </c>
      <c r="E65" s="161" t="s">
        <v>108</v>
      </c>
      <c r="F65" s="222">
        <v>676</v>
      </c>
      <c r="G65" s="222">
        <v>684</v>
      </c>
      <c r="H65" s="222">
        <f>684-676</f>
        <v>8</v>
      </c>
      <c r="I65" s="207">
        <v>1450</v>
      </c>
      <c r="J65" s="242">
        <f>I65*H65</f>
        <v>11600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45086</v>
      </c>
      <c r="D66" s="161" t="s">
        <v>9</v>
      </c>
      <c r="E66" s="161" t="s">
        <v>4230</v>
      </c>
      <c r="F66" s="222">
        <v>485</v>
      </c>
      <c r="G66" s="222">
        <v>487.6</v>
      </c>
      <c r="H66" s="222">
        <v>2.6</v>
      </c>
      <c r="I66" s="207">
        <v>1250</v>
      </c>
      <c r="J66" s="242">
        <f t="shared" si="15"/>
        <v>3250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45089</v>
      </c>
      <c r="D67" s="161" t="s">
        <v>9</v>
      </c>
      <c r="E67" s="161" t="s">
        <v>3515</v>
      </c>
      <c r="F67" s="222">
        <v>3740</v>
      </c>
      <c r="G67" s="222">
        <v>3750</v>
      </c>
      <c r="H67" s="222">
        <v>10</v>
      </c>
      <c r="I67" s="207">
        <v>300</v>
      </c>
      <c r="J67" s="242">
        <f t="shared" ref="J67:J72" si="19">I67*H67</f>
        <v>3000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45090</v>
      </c>
      <c r="D68" s="161" t="s">
        <v>9</v>
      </c>
      <c r="E68" s="161" t="s">
        <v>173</v>
      </c>
      <c r="F68" s="222">
        <v>3260</v>
      </c>
      <c r="G68" s="222">
        <v>3282</v>
      </c>
      <c r="H68" s="222">
        <f>3282-3260</f>
        <v>22</v>
      </c>
      <c r="I68" s="207">
        <v>200</v>
      </c>
      <c r="J68" s="242">
        <f t="shared" si="19"/>
        <v>4400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45091</v>
      </c>
      <c r="D69" s="161" t="s">
        <v>9</v>
      </c>
      <c r="E69" s="161" t="s">
        <v>2995</v>
      </c>
      <c r="F69" s="222">
        <v>825</v>
      </c>
      <c r="G69" s="222">
        <v>845</v>
      </c>
      <c r="H69" s="222">
        <v>20</v>
      </c>
      <c r="I69" s="207">
        <v>900</v>
      </c>
      <c r="J69" s="242">
        <f t="shared" si="19"/>
        <v>18000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45092</v>
      </c>
      <c r="D70" s="161" t="s">
        <v>9</v>
      </c>
      <c r="E70" s="161" t="s">
        <v>4210</v>
      </c>
      <c r="F70" s="161">
        <v>1485</v>
      </c>
      <c r="G70" s="222">
        <v>1506</v>
      </c>
      <c r="H70" s="222">
        <f>1506-1485</f>
        <v>21</v>
      </c>
      <c r="I70" s="207">
        <v>407</v>
      </c>
      <c r="J70" s="242">
        <f t="shared" si="19"/>
        <v>8547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45093</v>
      </c>
      <c r="D71" s="161" t="s">
        <v>9</v>
      </c>
      <c r="E71" s="161" t="s">
        <v>365</v>
      </c>
      <c r="F71" s="222">
        <v>780</v>
      </c>
      <c r="G71" s="222">
        <v>778.5</v>
      </c>
      <c r="H71" s="222">
        <v>-1.5</v>
      </c>
      <c r="I71" s="207">
        <v>1350</v>
      </c>
      <c r="J71" s="242">
        <f t="shared" si="19"/>
        <v>-2025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45096</v>
      </c>
      <c r="D72" s="161" t="s">
        <v>9</v>
      </c>
      <c r="E72" s="161" t="s">
        <v>3828</v>
      </c>
      <c r="F72" s="222">
        <v>2055</v>
      </c>
      <c r="G72" s="222">
        <v>2095</v>
      </c>
      <c r="H72" s="222">
        <f>2095-2055</f>
        <v>40</v>
      </c>
      <c r="I72" s="207">
        <v>250</v>
      </c>
      <c r="J72" s="242">
        <f t="shared" si="19"/>
        <v>10000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45097</v>
      </c>
      <c r="D73" s="161" t="s">
        <v>9</v>
      </c>
      <c r="E73" s="161" t="s">
        <v>2298</v>
      </c>
      <c r="F73" s="222">
        <v>2370</v>
      </c>
      <c r="G73" s="222">
        <v>2410</v>
      </c>
      <c r="H73" s="255">
        <f>2410-2370</f>
        <v>40</v>
      </c>
      <c r="I73" s="207">
        <v>300</v>
      </c>
      <c r="J73" s="242">
        <f t="shared" si="15"/>
        <v>12000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45098</v>
      </c>
      <c r="D74" s="265" t="s">
        <v>9</v>
      </c>
      <c r="E74" s="265" t="s">
        <v>2107</v>
      </c>
      <c r="F74" s="277">
        <v>942</v>
      </c>
      <c r="G74" s="267">
        <v>932</v>
      </c>
      <c r="H74" s="222">
        <v>-10</v>
      </c>
      <c r="I74" s="207">
        <v>550</v>
      </c>
      <c r="J74" s="242">
        <f t="shared" si="15"/>
        <v>-5500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64">
        <v>45099</v>
      </c>
      <c r="D75" s="265" t="s">
        <v>9</v>
      </c>
      <c r="E75" s="265" t="s">
        <v>403</v>
      </c>
      <c r="F75" s="277">
        <v>3540</v>
      </c>
      <c r="G75" s="267">
        <v>3551</v>
      </c>
      <c r="H75" s="222">
        <v>11</v>
      </c>
      <c r="I75" s="207">
        <v>150</v>
      </c>
      <c r="J75" s="242">
        <f t="shared" si="15"/>
        <v>1650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45100</v>
      </c>
      <c r="D76" s="161" t="s">
        <v>9</v>
      </c>
      <c r="E76" s="161" t="s">
        <v>3515</v>
      </c>
      <c r="F76" s="222">
        <v>3790</v>
      </c>
      <c r="G76" s="222">
        <v>3870</v>
      </c>
      <c r="H76" s="222">
        <f>3870-3790</f>
        <v>80</v>
      </c>
      <c r="I76" s="207">
        <v>300</v>
      </c>
      <c r="J76" s="242">
        <f t="shared" si="15"/>
        <v>24000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45103</v>
      </c>
      <c r="D77" s="161" t="s">
        <v>9</v>
      </c>
      <c r="E77" s="161" t="s">
        <v>4251</v>
      </c>
      <c r="F77" s="222">
        <v>8130</v>
      </c>
      <c r="G77" s="222">
        <v>8158</v>
      </c>
      <c r="H77" s="222">
        <f>8158-8130</f>
        <v>28</v>
      </c>
      <c r="I77" s="207">
        <v>100</v>
      </c>
      <c r="J77" s="242">
        <f t="shared" si="15"/>
        <v>2800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45104</v>
      </c>
      <c r="D78" s="161" t="s">
        <v>8</v>
      </c>
      <c r="E78" s="161" t="s">
        <v>3562</v>
      </c>
      <c r="F78" s="223">
        <v>4420</v>
      </c>
      <c r="G78" s="222">
        <v>4365</v>
      </c>
      <c r="H78" s="255">
        <f>4420-4365</f>
        <v>55</v>
      </c>
      <c r="I78" s="207">
        <v>200</v>
      </c>
      <c r="J78" s="242">
        <f t="shared" si="15"/>
        <v>11000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45105</v>
      </c>
      <c r="D79" s="161" t="s">
        <v>9</v>
      </c>
      <c r="E79" s="161" t="s">
        <v>2479</v>
      </c>
      <c r="F79" s="222">
        <v>2405</v>
      </c>
      <c r="G79" s="222">
        <v>2415</v>
      </c>
      <c r="H79" s="222">
        <v>10</v>
      </c>
      <c r="I79" s="207">
        <v>300</v>
      </c>
      <c r="J79" s="242">
        <f t="shared" si="15"/>
        <v>3000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45107</v>
      </c>
      <c r="D80" s="161" t="s">
        <v>8</v>
      </c>
      <c r="E80" s="161" t="s">
        <v>3515</v>
      </c>
      <c r="F80" s="222">
        <v>3735</v>
      </c>
      <c r="G80" s="222">
        <v>3715</v>
      </c>
      <c r="H80" s="222">
        <f>3735-3715</f>
        <v>20</v>
      </c>
      <c r="I80" s="207">
        <v>300</v>
      </c>
      <c r="J80" s="242">
        <f t="shared" si="15"/>
        <v>6000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142372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4217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45078</v>
      </c>
      <c r="D94" s="185" t="s">
        <v>8</v>
      </c>
      <c r="E94" s="185" t="s">
        <v>39</v>
      </c>
      <c r="F94" s="219">
        <v>18640</v>
      </c>
      <c r="G94" s="219">
        <v>18560</v>
      </c>
      <c r="H94" s="185">
        <v>80</v>
      </c>
      <c r="I94" s="219">
        <v>150</v>
      </c>
      <c r="J94" s="246">
        <f t="shared" ref="J94:J116" si="20">I94*H94</f>
        <v>12000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45079</v>
      </c>
      <c r="D95" s="185" t="s">
        <v>8</v>
      </c>
      <c r="E95" s="185" t="s">
        <v>39</v>
      </c>
      <c r="F95" s="219">
        <v>18600</v>
      </c>
      <c r="G95" s="219">
        <v>18560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6" si="21">IF($J95&gt;0,1,0)</f>
        <v>1</v>
      </c>
      <c r="W95" s="25">
        <f t="shared" ref="W95:W116" si="22">IF($J95&lt;0,1,0)</f>
        <v>0</v>
      </c>
    </row>
    <row r="96" spans="1:23" x14ac:dyDescent="0.3">
      <c r="A96" s="147"/>
      <c r="B96" s="205">
        <f t="shared" ref="B96:B116" si="23">B95+1</f>
        <v>3</v>
      </c>
      <c r="C96" s="206">
        <v>45082</v>
      </c>
      <c r="D96" s="161" t="s">
        <v>9</v>
      </c>
      <c r="E96" s="161" t="s">
        <v>39</v>
      </c>
      <c r="F96" s="207">
        <v>18710</v>
      </c>
      <c r="G96" s="207">
        <v>18727</v>
      </c>
      <c r="H96" s="161">
        <f>18727-18710</f>
        <v>17</v>
      </c>
      <c r="I96" s="207">
        <v>150</v>
      </c>
      <c r="J96" s="242">
        <f t="shared" si="20"/>
        <v>2550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45083</v>
      </c>
      <c r="D97" s="161" t="s">
        <v>8</v>
      </c>
      <c r="E97" s="161" t="s">
        <v>39</v>
      </c>
      <c r="F97" s="207">
        <v>18670</v>
      </c>
      <c r="G97" s="207">
        <v>18615</v>
      </c>
      <c r="H97" s="161">
        <f>18670-18615</f>
        <v>55</v>
      </c>
      <c r="I97" s="207">
        <v>150</v>
      </c>
      <c r="J97" s="242">
        <f t="shared" si="20"/>
        <v>8250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45084</v>
      </c>
      <c r="D98" s="161" t="s">
        <v>9</v>
      </c>
      <c r="E98" s="161" t="s">
        <v>39</v>
      </c>
      <c r="F98" s="207">
        <v>18730</v>
      </c>
      <c r="G98" s="207">
        <v>18790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45085</v>
      </c>
      <c r="D99" s="161" t="s">
        <v>9</v>
      </c>
      <c r="E99" s="161" t="s">
        <v>39</v>
      </c>
      <c r="F99" s="207">
        <v>18820</v>
      </c>
      <c r="G99" s="207">
        <v>18835</v>
      </c>
      <c r="H99" s="161">
        <f>18835-18820</f>
        <v>15</v>
      </c>
      <c r="I99" s="207">
        <v>150</v>
      </c>
      <c r="J99" s="242">
        <f t="shared" si="20"/>
        <v>2250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45086</v>
      </c>
      <c r="D100" s="161" t="s">
        <v>9</v>
      </c>
      <c r="E100" s="161" t="s">
        <v>39</v>
      </c>
      <c r="F100" s="207">
        <v>18720</v>
      </c>
      <c r="G100" s="207">
        <v>18680</v>
      </c>
      <c r="H100" s="161">
        <v>-40</v>
      </c>
      <c r="I100" s="207">
        <v>150</v>
      </c>
      <c r="J100" s="242">
        <f t="shared" si="20"/>
        <v>-6000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8</v>
      </c>
      <c r="C101" s="206">
        <v>45089</v>
      </c>
      <c r="D101" s="161" t="s">
        <v>9</v>
      </c>
      <c r="E101" s="161" t="s">
        <v>39</v>
      </c>
      <c r="F101" s="207">
        <v>18650</v>
      </c>
      <c r="G101" s="207">
        <v>18690</v>
      </c>
      <c r="H101" s="161">
        <v>40</v>
      </c>
      <c r="I101" s="207">
        <v>150</v>
      </c>
      <c r="J101" s="242">
        <f t="shared" si="20"/>
        <v>6000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45090</v>
      </c>
      <c r="D102" s="161" t="s">
        <v>9</v>
      </c>
      <c r="E102" s="161" t="s">
        <v>39</v>
      </c>
      <c r="F102" s="207">
        <v>18760</v>
      </c>
      <c r="G102" s="207">
        <v>18777</v>
      </c>
      <c r="H102" s="161">
        <f>18777-18760</f>
        <v>17</v>
      </c>
      <c r="I102" s="207">
        <v>150</v>
      </c>
      <c r="J102" s="242">
        <f t="shared" si="20"/>
        <v>2550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10</v>
      </c>
      <c r="C103" s="206">
        <v>45091</v>
      </c>
      <c r="D103" s="161" t="s">
        <v>9</v>
      </c>
      <c r="E103" s="161" t="s">
        <v>39</v>
      </c>
      <c r="F103" s="207">
        <v>18770</v>
      </c>
      <c r="G103" s="207">
        <v>18810</v>
      </c>
      <c r="H103" s="161">
        <f>18810-18770</f>
        <v>40</v>
      </c>
      <c r="I103" s="207">
        <v>150</v>
      </c>
      <c r="J103" s="242">
        <f t="shared" si="20"/>
        <v>6000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45092</v>
      </c>
      <c r="D104" s="161" t="s">
        <v>9</v>
      </c>
      <c r="E104" s="161" t="s">
        <v>39</v>
      </c>
      <c r="F104" s="207">
        <v>18820</v>
      </c>
      <c r="G104" s="207">
        <v>18860</v>
      </c>
      <c r="H104" s="161">
        <v>40</v>
      </c>
      <c r="I104" s="207">
        <v>150</v>
      </c>
      <c r="J104" s="242">
        <f t="shared" si="20"/>
        <v>6000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45093</v>
      </c>
      <c r="D105" s="161" t="s">
        <v>9</v>
      </c>
      <c r="E105" s="161" t="s">
        <v>39</v>
      </c>
      <c r="F105" s="207">
        <v>18830</v>
      </c>
      <c r="G105" s="207">
        <v>18910</v>
      </c>
      <c r="H105" s="161">
        <v>80</v>
      </c>
      <c r="I105" s="207">
        <v>150</v>
      </c>
      <c r="J105" s="242">
        <f t="shared" si="20"/>
        <v>12000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45096</v>
      </c>
      <c r="D106" s="161" t="s">
        <v>8</v>
      </c>
      <c r="E106" s="161" t="s">
        <v>39</v>
      </c>
      <c r="F106" s="207">
        <v>18860</v>
      </c>
      <c r="G106" s="207">
        <v>18805</v>
      </c>
      <c r="H106" s="161">
        <f>18860-18805</f>
        <v>55</v>
      </c>
      <c r="I106" s="207">
        <v>150</v>
      </c>
      <c r="J106" s="242">
        <f t="shared" si="20"/>
        <v>8250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45097</v>
      </c>
      <c r="D107" s="161" t="s">
        <v>8</v>
      </c>
      <c r="E107" s="161" t="s">
        <v>39</v>
      </c>
      <c r="F107" s="207">
        <v>18750</v>
      </c>
      <c r="G107" s="207">
        <v>18718</v>
      </c>
      <c r="H107" s="161">
        <f>18750-18718</f>
        <v>32</v>
      </c>
      <c r="I107" s="207">
        <v>150</v>
      </c>
      <c r="J107" s="242">
        <f t="shared" si="20"/>
        <v>4800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45098</v>
      </c>
      <c r="D108" s="161" t="s">
        <v>9</v>
      </c>
      <c r="E108" s="161" t="s">
        <v>39</v>
      </c>
      <c r="F108" s="207">
        <v>18900</v>
      </c>
      <c r="G108" s="207">
        <v>18875</v>
      </c>
      <c r="H108" s="161">
        <v>-25</v>
      </c>
      <c r="I108" s="207">
        <v>150</v>
      </c>
      <c r="J108" s="242">
        <f t="shared" si="20"/>
        <v>-3750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16</v>
      </c>
      <c r="C109" s="206">
        <v>45098</v>
      </c>
      <c r="D109" s="161" t="s">
        <v>9</v>
      </c>
      <c r="E109" s="161" t="s">
        <v>39</v>
      </c>
      <c r="F109" s="207">
        <v>18870</v>
      </c>
      <c r="G109" s="207">
        <v>18830</v>
      </c>
      <c r="H109" s="161">
        <v>40</v>
      </c>
      <c r="I109" s="207">
        <v>150</v>
      </c>
      <c r="J109" s="242">
        <f t="shared" si="20"/>
        <v>6000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>
        <v>45099</v>
      </c>
      <c r="D110" s="161" t="s">
        <v>9</v>
      </c>
      <c r="E110" s="161" t="s">
        <v>39</v>
      </c>
      <c r="F110" s="207">
        <v>18890</v>
      </c>
      <c r="G110" s="207">
        <v>18920</v>
      </c>
      <c r="H110" s="161">
        <f>18920-18890</f>
        <v>30</v>
      </c>
      <c r="I110" s="207">
        <v>150</v>
      </c>
      <c r="J110" s="242">
        <f t="shared" si="20"/>
        <v>4500</v>
      </c>
      <c r="K110" s="153"/>
      <c r="V110" s="25">
        <f t="shared" si="21"/>
        <v>1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>
        <v>45100</v>
      </c>
      <c r="D111" s="161" t="s">
        <v>8</v>
      </c>
      <c r="E111" s="161" t="s">
        <v>39</v>
      </c>
      <c r="F111" s="207">
        <v>18720</v>
      </c>
      <c r="G111" s="207">
        <v>18760</v>
      </c>
      <c r="H111" s="161">
        <f>18760-18720</f>
        <v>40</v>
      </c>
      <c r="I111" s="207">
        <v>150</v>
      </c>
      <c r="J111" s="242">
        <f t="shared" si="20"/>
        <v>6000</v>
      </c>
      <c r="K111" s="153"/>
      <c r="V111" s="25">
        <f t="shared" si="21"/>
        <v>1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>
        <v>45103</v>
      </c>
      <c r="D112" s="161" t="s">
        <v>8</v>
      </c>
      <c r="E112" s="161" t="s">
        <v>39</v>
      </c>
      <c r="F112" s="207">
        <v>18690</v>
      </c>
      <c r="G112" s="207">
        <v>18670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21"/>
        <v>1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>
        <v>45104</v>
      </c>
      <c r="D113" s="161" t="s">
        <v>9</v>
      </c>
      <c r="E113" s="161" t="s">
        <v>39</v>
      </c>
      <c r="F113" s="207">
        <v>18750</v>
      </c>
      <c r="G113" s="207">
        <v>18822</v>
      </c>
      <c r="H113" s="161">
        <f>18822-18750</f>
        <v>72</v>
      </c>
      <c r="I113" s="207">
        <v>150</v>
      </c>
      <c r="J113" s="242">
        <f t="shared" si="20"/>
        <v>10800</v>
      </c>
      <c r="K113" s="153"/>
      <c r="V113" s="25">
        <f t="shared" si="21"/>
        <v>1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>
        <v>45105</v>
      </c>
      <c r="D114" s="161" t="s">
        <v>9</v>
      </c>
      <c r="E114" s="161" t="s">
        <v>39</v>
      </c>
      <c r="F114" s="207">
        <v>18870</v>
      </c>
      <c r="G114" s="207">
        <v>18950</v>
      </c>
      <c r="H114" s="161">
        <f>18950-18870</f>
        <v>80</v>
      </c>
      <c r="I114" s="207">
        <v>150</v>
      </c>
      <c r="J114" s="242">
        <f t="shared" si="20"/>
        <v>12000</v>
      </c>
      <c r="K114" s="153"/>
      <c r="V114" s="25">
        <f t="shared" si="21"/>
        <v>1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>
        <v>45107</v>
      </c>
      <c r="D115" s="161" t="s">
        <v>9</v>
      </c>
      <c r="E115" s="161" t="s">
        <v>39</v>
      </c>
      <c r="F115" s="207">
        <v>19170</v>
      </c>
      <c r="G115" s="207">
        <v>19250</v>
      </c>
      <c r="H115" s="161">
        <v>80</v>
      </c>
      <c r="I115" s="207">
        <v>150</v>
      </c>
      <c r="J115" s="242">
        <f t="shared" si="20"/>
        <v>12000</v>
      </c>
      <c r="K115" s="153"/>
      <c r="V115" s="25">
        <f t="shared" si="21"/>
        <v>1</v>
      </c>
      <c r="W115" s="25">
        <f t="shared" si="22"/>
        <v>0</v>
      </c>
    </row>
    <row r="116" spans="1:23" ht="15" thickBot="1" x14ac:dyDescent="0.35">
      <c r="A116" s="147"/>
      <c r="B116" s="208">
        <f t="shared" si="23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130200</v>
      </c>
      <c r="K117" s="153"/>
      <c r="V117" s="25">
        <f>SUM(V94:V116)</f>
        <v>20</v>
      </c>
      <c r="W117" s="25">
        <f>SUM(W94:W116)</f>
        <v>2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4219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45078</v>
      </c>
      <c r="D125" s="185" t="s">
        <v>9</v>
      </c>
      <c r="E125" s="185" t="s">
        <v>2985</v>
      </c>
      <c r="F125" s="219">
        <v>140</v>
      </c>
      <c r="G125" s="231">
        <v>190</v>
      </c>
      <c r="H125" s="231">
        <v>50</v>
      </c>
      <c r="I125" s="219">
        <v>300</v>
      </c>
      <c r="J125" s="246">
        <f t="shared" ref="J125:J149" si="24">I125*H125</f>
        <v>15000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45079</v>
      </c>
      <c r="D126" s="185" t="s">
        <v>9</v>
      </c>
      <c r="E126" s="185" t="s">
        <v>1753</v>
      </c>
      <c r="F126" s="219">
        <v>135</v>
      </c>
      <c r="G126" s="219">
        <v>153</v>
      </c>
      <c r="H126" s="185">
        <f>153-135</f>
        <v>18</v>
      </c>
      <c r="I126" s="219">
        <v>300</v>
      </c>
      <c r="J126" s="242">
        <f t="shared" si="24"/>
        <v>5400</v>
      </c>
      <c r="K126" s="153"/>
      <c r="V126" s="25">
        <f t="shared" ref="V126:V149" si="25">IF($J126&gt;0,1,0)</f>
        <v>1</v>
      </c>
      <c r="W126" s="25">
        <f t="shared" ref="W126:W149" si="26">IF($J126&lt;0,1,0)</f>
        <v>0</v>
      </c>
    </row>
    <row r="127" spans="1:23" x14ac:dyDescent="0.3">
      <c r="A127" s="147"/>
      <c r="B127" s="205">
        <f>B126+1</f>
        <v>3</v>
      </c>
      <c r="C127" s="206">
        <v>45082</v>
      </c>
      <c r="D127" s="161" t="s">
        <v>9</v>
      </c>
      <c r="E127" s="161" t="s">
        <v>4029</v>
      </c>
      <c r="F127" s="207">
        <v>135</v>
      </c>
      <c r="G127" s="207">
        <v>140</v>
      </c>
      <c r="H127" s="161">
        <v>5</v>
      </c>
      <c r="I127" s="207">
        <v>300</v>
      </c>
      <c r="J127" s="242">
        <f t="shared" si="24"/>
        <v>1500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ref="B128:B149" si="27">B127+1</f>
        <v>4</v>
      </c>
      <c r="C128" s="206">
        <v>45083</v>
      </c>
      <c r="D128" s="161" t="s">
        <v>9</v>
      </c>
      <c r="E128" s="161" t="s">
        <v>2985</v>
      </c>
      <c r="F128" s="207">
        <v>125</v>
      </c>
      <c r="G128" s="207">
        <v>159</v>
      </c>
      <c r="H128" s="161">
        <f>159-125</f>
        <v>34</v>
      </c>
      <c r="I128" s="207">
        <v>300</v>
      </c>
      <c r="J128" s="242">
        <f t="shared" si="24"/>
        <v>10200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5</v>
      </c>
      <c r="C129" s="206">
        <v>45084</v>
      </c>
      <c r="D129" s="161" t="s">
        <v>9</v>
      </c>
      <c r="E129" s="161" t="s">
        <v>4029</v>
      </c>
      <c r="F129" s="207">
        <v>125</v>
      </c>
      <c r="G129" s="207">
        <v>175</v>
      </c>
      <c r="H129" s="161">
        <f>175-125</f>
        <v>50</v>
      </c>
      <c r="I129" s="207">
        <v>300</v>
      </c>
      <c r="J129" s="242">
        <f t="shared" si="24"/>
        <v>15000</v>
      </c>
      <c r="K129" s="153"/>
      <c r="M129" s="25" t="s">
        <v>2008</v>
      </c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6</v>
      </c>
      <c r="C130" s="206">
        <v>45085</v>
      </c>
      <c r="D130" s="161" t="s">
        <v>9</v>
      </c>
      <c r="E130" s="161" t="s">
        <v>1653</v>
      </c>
      <c r="F130" s="207">
        <v>160</v>
      </c>
      <c r="G130" s="222">
        <v>175</v>
      </c>
      <c r="H130" s="222"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7</v>
      </c>
      <c r="C131" s="206">
        <v>45086</v>
      </c>
      <c r="D131" s="161" t="s">
        <v>9</v>
      </c>
      <c r="E131" s="161" t="s">
        <v>1653</v>
      </c>
      <c r="F131" s="207">
        <v>135</v>
      </c>
      <c r="G131" s="207">
        <v>110</v>
      </c>
      <c r="H131" s="161">
        <v>-25</v>
      </c>
      <c r="I131" s="207">
        <v>300</v>
      </c>
      <c r="J131" s="242">
        <f t="shared" si="24"/>
        <v>-7500</v>
      </c>
      <c r="K131" s="153"/>
      <c r="V131" s="25">
        <f t="shared" si="25"/>
        <v>0</v>
      </c>
      <c r="W131" s="25">
        <f t="shared" si="26"/>
        <v>1</v>
      </c>
    </row>
    <row r="132" spans="1:23" x14ac:dyDescent="0.3">
      <c r="A132" s="147"/>
      <c r="B132" s="205">
        <f t="shared" si="27"/>
        <v>8</v>
      </c>
      <c r="C132" s="206">
        <v>45086</v>
      </c>
      <c r="D132" s="161" t="s">
        <v>9</v>
      </c>
      <c r="E132" s="161" t="s">
        <v>4231</v>
      </c>
      <c r="F132" s="207">
        <v>110</v>
      </c>
      <c r="G132" s="207">
        <v>120</v>
      </c>
      <c r="H132" s="161">
        <v>10</v>
      </c>
      <c r="I132" s="207">
        <v>300</v>
      </c>
      <c r="J132" s="242">
        <f t="shared" si="24"/>
        <v>3000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9</v>
      </c>
      <c r="C133" s="206">
        <v>45089</v>
      </c>
      <c r="D133" s="161" t="s">
        <v>9</v>
      </c>
      <c r="E133" s="161" t="s">
        <v>1910</v>
      </c>
      <c r="F133" s="207">
        <v>150</v>
      </c>
      <c r="G133" s="222">
        <v>175</v>
      </c>
      <c r="H133" s="161">
        <v>25</v>
      </c>
      <c r="I133" s="207">
        <v>300</v>
      </c>
      <c r="J133" s="242">
        <f t="shared" si="24"/>
        <v>7500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10</v>
      </c>
      <c r="C134" s="206">
        <v>45090</v>
      </c>
      <c r="D134" s="161" t="s">
        <v>9</v>
      </c>
      <c r="E134" s="161" t="s">
        <v>1653</v>
      </c>
      <c r="F134" s="207">
        <v>135</v>
      </c>
      <c r="G134" s="222">
        <v>145</v>
      </c>
      <c r="H134" s="222">
        <v>10</v>
      </c>
      <c r="I134" s="207">
        <v>300</v>
      </c>
      <c r="J134" s="242">
        <f t="shared" si="24"/>
        <v>3000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11</v>
      </c>
      <c r="C135" s="206">
        <v>45091</v>
      </c>
      <c r="D135" s="161" t="s">
        <v>9</v>
      </c>
      <c r="E135" s="161" t="s">
        <v>1653</v>
      </c>
      <c r="F135" s="207">
        <v>135</v>
      </c>
      <c r="G135" s="222">
        <v>170</v>
      </c>
      <c r="H135" s="222">
        <f>170-135</f>
        <v>35</v>
      </c>
      <c r="I135" s="207">
        <v>300</v>
      </c>
      <c r="J135" s="242">
        <f t="shared" si="24"/>
        <v>10500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12</v>
      </c>
      <c r="C136" s="206">
        <v>45092</v>
      </c>
      <c r="D136" s="161" t="s">
        <v>9</v>
      </c>
      <c r="E136" s="161" t="s">
        <v>1653</v>
      </c>
      <c r="F136" s="207">
        <v>165</v>
      </c>
      <c r="G136" s="222">
        <v>200</v>
      </c>
      <c r="H136" s="222">
        <f>200-165</f>
        <v>35</v>
      </c>
      <c r="I136" s="207">
        <v>300</v>
      </c>
      <c r="J136" s="242">
        <f t="shared" si="24"/>
        <v>10500</v>
      </c>
      <c r="K136" s="153"/>
      <c r="V136" s="25">
        <f t="shared" si="25"/>
        <v>1</v>
      </c>
      <c r="W136" s="25">
        <f t="shared" si="26"/>
        <v>0</v>
      </c>
    </row>
    <row r="137" spans="1:23" x14ac:dyDescent="0.3">
      <c r="A137" s="147"/>
      <c r="B137" s="205">
        <f t="shared" si="27"/>
        <v>13</v>
      </c>
      <c r="C137" s="206">
        <v>45093</v>
      </c>
      <c r="D137" s="161" t="s">
        <v>9</v>
      </c>
      <c r="E137" s="161" t="s">
        <v>4022</v>
      </c>
      <c r="F137" s="207">
        <v>140</v>
      </c>
      <c r="G137" s="207">
        <v>190</v>
      </c>
      <c r="H137" s="161">
        <v>50</v>
      </c>
      <c r="I137" s="207">
        <v>300</v>
      </c>
      <c r="J137" s="242">
        <f t="shared" si="24"/>
        <v>15000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14</v>
      </c>
      <c r="C138" s="206">
        <v>45096</v>
      </c>
      <c r="D138" s="161" t="s">
        <v>9</v>
      </c>
      <c r="E138" s="161" t="s">
        <v>4239</v>
      </c>
      <c r="F138" s="207">
        <v>145</v>
      </c>
      <c r="G138" s="207">
        <v>195</v>
      </c>
      <c r="H138" s="161">
        <f>195-145</f>
        <v>50</v>
      </c>
      <c r="I138" s="207">
        <v>300</v>
      </c>
      <c r="J138" s="242">
        <f t="shared" si="24"/>
        <v>15000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7"/>
        <v>15</v>
      </c>
      <c r="C139" s="206">
        <v>45097</v>
      </c>
      <c r="D139" s="161" t="s">
        <v>9</v>
      </c>
      <c r="E139" s="161" t="s">
        <v>4025</v>
      </c>
      <c r="F139" s="207">
        <v>155</v>
      </c>
      <c r="G139" s="207">
        <v>180</v>
      </c>
      <c r="H139" s="161">
        <f>180-155</f>
        <v>25</v>
      </c>
      <c r="I139" s="207">
        <v>300</v>
      </c>
      <c r="J139" s="242">
        <f t="shared" si="24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16</v>
      </c>
      <c r="C140" s="206">
        <v>45098</v>
      </c>
      <c r="D140" s="161" t="s">
        <v>9</v>
      </c>
      <c r="E140" s="161" t="s">
        <v>4012</v>
      </c>
      <c r="F140" s="207">
        <v>130</v>
      </c>
      <c r="G140" s="207">
        <v>114</v>
      </c>
      <c r="H140" s="161">
        <v>-16</v>
      </c>
      <c r="I140" s="207">
        <v>300</v>
      </c>
      <c r="J140" s="242">
        <f t="shared" si="24"/>
        <v>-4800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17</v>
      </c>
      <c r="C141" s="206">
        <v>45098</v>
      </c>
      <c r="D141" s="161" t="s">
        <v>9</v>
      </c>
      <c r="E141" s="161" t="s">
        <v>4239</v>
      </c>
      <c r="F141" s="207">
        <v>130</v>
      </c>
      <c r="G141" s="207">
        <v>155</v>
      </c>
      <c r="H141" s="161">
        <f>155-130</f>
        <v>25</v>
      </c>
      <c r="I141" s="207">
        <v>300</v>
      </c>
      <c r="J141" s="242">
        <f t="shared" si="24"/>
        <v>7500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18</v>
      </c>
      <c r="C142" s="206">
        <v>45099</v>
      </c>
      <c r="D142" s="161" t="s">
        <v>9</v>
      </c>
      <c r="E142" s="161" t="s">
        <v>4240</v>
      </c>
      <c r="F142" s="207">
        <v>125</v>
      </c>
      <c r="G142" s="222">
        <v>100</v>
      </c>
      <c r="H142" s="222">
        <v>-25</v>
      </c>
      <c r="I142" s="207">
        <v>300</v>
      </c>
      <c r="J142" s="242">
        <f t="shared" si="24"/>
        <v>-7500</v>
      </c>
      <c r="K142" s="153"/>
      <c r="V142" s="25">
        <f t="shared" si="25"/>
        <v>0</v>
      </c>
      <c r="W142" s="25">
        <f t="shared" si="26"/>
        <v>1</v>
      </c>
    </row>
    <row r="143" spans="1:23" x14ac:dyDescent="0.3">
      <c r="A143" s="147"/>
      <c r="B143" s="205">
        <f t="shared" si="27"/>
        <v>19</v>
      </c>
      <c r="C143" s="206">
        <v>45099</v>
      </c>
      <c r="D143" s="161" t="s">
        <v>9</v>
      </c>
      <c r="E143" s="161" t="s">
        <v>4239</v>
      </c>
      <c r="F143" s="207">
        <v>140</v>
      </c>
      <c r="G143" s="222">
        <v>174</v>
      </c>
      <c r="H143" s="222">
        <f>174-140</f>
        <v>34</v>
      </c>
      <c r="I143" s="207">
        <v>300</v>
      </c>
      <c r="J143" s="242">
        <f t="shared" si="24"/>
        <v>10200</v>
      </c>
      <c r="K143" s="153"/>
      <c r="V143" s="25">
        <f t="shared" si="25"/>
        <v>1</v>
      </c>
      <c r="W143" s="25">
        <f t="shared" si="26"/>
        <v>0</v>
      </c>
    </row>
    <row r="144" spans="1:23" x14ac:dyDescent="0.3">
      <c r="A144" s="147"/>
      <c r="B144" s="205">
        <f t="shared" si="27"/>
        <v>20</v>
      </c>
      <c r="C144" s="206">
        <v>45100</v>
      </c>
      <c r="D144" s="161" t="s">
        <v>9</v>
      </c>
      <c r="E144" s="161" t="s">
        <v>4241</v>
      </c>
      <c r="F144" s="207">
        <v>145</v>
      </c>
      <c r="G144" s="222">
        <v>161</v>
      </c>
      <c r="H144" s="222">
        <f>161-145</f>
        <v>16</v>
      </c>
      <c r="I144" s="207">
        <v>300</v>
      </c>
      <c r="J144" s="242">
        <f t="shared" si="24"/>
        <v>4800</v>
      </c>
      <c r="K144" s="153"/>
      <c r="V144" s="25">
        <f t="shared" si="25"/>
        <v>1</v>
      </c>
      <c r="W144" s="25">
        <f t="shared" si="26"/>
        <v>0</v>
      </c>
    </row>
    <row r="145" spans="1:23" x14ac:dyDescent="0.3">
      <c r="A145" s="147"/>
      <c r="B145" s="205">
        <f t="shared" si="27"/>
        <v>21</v>
      </c>
      <c r="C145" s="206">
        <v>45103</v>
      </c>
      <c r="D145" s="161" t="s">
        <v>9</v>
      </c>
      <c r="E145" s="161" t="s">
        <v>1654</v>
      </c>
      <c r="F145" s="207">
        <v>145</v>
      </c>
      <c r="G145" s="222">
        <v>120</v>
      </c>
      <c r="H145" s="222">
        <v>-25</v>
      </c>
      <c r="I145" s="207">
        <v>300</v>
      </c>
      <c r="J145" s="242">
        <f t="shared" si="24"/>
        <v>-7500</v>
      </c>
      <c r="K145" s="153"/>
      <c r="V145" s="25">
        <f t="shared" si="25"/>
        <v>0</v>
      </c>
      <c r="W145" s="25">
        <f t="shared" si="26"/>
        <v>1</v>
      </c>
    </row>
    <row r="146" spans="1:23" x14ac:dyDescent="0.3">
      <c r="A146" s="147"/>
      <c r="B146" s="205">
        <f t="shared" si="27"/>
        <v>22</v>
      </c>
      <c r="C146" s="206">
        <v>45103</v>
      </c>
      <c r="D146" s="161" t="s">
        <v>9</v>
      </c>
      <c r="E146" s="161" t="s">
        <v>1654</v>
      </c>
      <c r="F146" s="207">
        <v>135</v>
      </c>
      <c r="G146" s="222">
        <v>151</v>
      </c>
      <c r="H146" s="222">
        <f>151-135</f>
        <v>16</v>
      </c>
      <c r="I146" s="207">
        <v>300</v>
      </c>
      <c r="J146" s="242">
        <f t="shared" si="24"/>
        <v>4800</v>
      </c>
      <c r="K146" s="153"/>
      <c r="V146" s="25">
        <f t="shared" si="25"/>
        <v>1</v>
      </c>
      <c r="W146" s="25">
        <f t="shared" si="26"/>
        <v>0</v>
      </c>
    </row>
    <row r="147" spans="1:23" x14ac:dyDescent="0.3">
      <c r="A147" s="147"/>
      <c r="B147" s="205">
        <f t="shared" si="27"/>
        <v>23</v>
      </c>
      <c r="C147" s="206">
        <v>45104</v>
      </c>
      <c r="D147" s="161" t="s">
        <v>9</v>
      </c>
      <c r="E147" s="161" t="s">
        <v>1653</v>
      </c>
      <c r="F147" s="207">
        <v>160</v>
      </c>
      <c r="G147" s="222">
        <v>210</v>
      </c>
      <c r="H147" s="161">
        <v>50</v>
      </c>
      <c r="I147" s="207">
        <v>300</v>
      </c>
      <c r="J147" s="242">
        <f t="shared" si="24"/>
        <v>15000</v>
      </c>
      <c r="K147" s="153"/>
      <c r="V147" s="25">
        <f t="shared" si="25"/>
        <v>1</v>
      </c>
      <c r="W147" s="25">
        <f t="shared" si="26"/>
        <v>0</v>
      </c>
    </row>
    <row r="148" spans="1:23" x14ac:dyDescent="0.3">
      <c r="A148" s="147"/>
      <c r="B148" s="205">
        <f t="shared" si="27"/>
        <v>24</v>
      </c>
      <c r="C148" s="264">
        <v>45105</v>
      </c>
      <c r="D148" s="265" t="s">
        <v>9</v>
      </c>
      <c r="E148" s="265" t="s">
        <v>4240</v>
      </c>
      <c r="F148" s="266">
        <v>140</v>
      </c>
      <c r="G148" s="267">
        <v>190</v>
      </c>
      <c r="H148" s="265">
        <v>50</v>
      </c>
      <c r="I148" s="266">
        <v>300</v>
      </c>
      <c r="J148" s="242">
        <f t="shared" si="24"/>
        <v>15000</v>
      </c>
      <c r="K148" s="153"/>
      <c r="V148" s="25">
        <f t="shared" si="25"/>
        <v>1</v>
      </c>
      <c r="W148" s="25">
        <f t="shared" si="26"/>
        <v>0</v>
      </c>
    </row>
    <row r="149" spans="1:23" ht="15" thickBot="1" x14ac:dyDescent="0.35">
      <c r="A149" s="147"/>
      <c r="B149" s="205">
        <f t="shared" si="27"/>
        <v>25</v>
      </c>
      <c r="C149" s="209">
        <v>45107</v>
      </c>
      <c r="D149" s="166" t="s">
        <v>9</v>
      </c>
      <c r="E149" s="166" t="s">
        <v>1722</v>
      </c>
      <c r="F149" s="210">
        <v>150</v>
      </c>
      <c r="G149" s="210">
        <v>200</v>
      </c>
      <c r="H149" s="166">
        <v>50</v>
      </c>
      <c r="I149" s="210">
        <v>300</v>
      </c>
      <c r="J149" s="244">
        <f t="shared" si="24"/>
        <v>15000</v>
      </c>
      <c r="K149" s="153"/>
      <c r="V149" s="25">
        <f t="shared" si="25"/>
        <v>1</v>
      </c>
      <c r="W149" s="25">
        <f t="shared" si="26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168600</v>
      </c>
      <c r="K150" s="153"/>
      <c r="V150" s="25">
        <f>SUM(V125:V149)</f>
        <v>21</v>
      </c>
      <c r="W150" s="25">
        <f>SUM(W125:W149)</f>
        <v>4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4217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45078</v>
      </c>
      <c r="D158" s="185" t="s">
        <v>8</v>
      </c>
      <c r="E158" s="185" t="s">
        <v>301</v>
      </c>
      <c r="F158" s="219">
        <v>44200</v>
      </c>
      <c r="G158" s="231">
        <v>43900</v>
      </c>
      <c r="H158" s="185">
        <v>300</v>
      </c>
      <c r="I158" s="219">
        <v>50</v>
      </c>
      <c r="J158" s="246">
        <f t="shared" ref="J158:J180" si="28">I158*H158</f>
        <v>15000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45079</v>
      </c>
      <c r="D159" s="185" t="s">
        <v>8</v>
      </c>
      <c r="E159" s="185" t="s">
        <v>301</v>
      </c>
      <c r="F159" s="219">
        <v>44100</v>
      </c>
      <c r="G159" s="219">
        <v>43950</v>
      </c>
      <c r="H159" s="185">
        <f>44100-43950</f>
        <v>150</v>
      </c>
      <c r="I159" s="219">
        <v>50</v>
      </c>
      <c r="J159" s="242">
        <f t="shared" si="28"/>
        <v>7500</v>
      </c>
      <c r="K159" s="153"/>
      <c r="V159" s="25">
        <f t="shared" ref="V159:V180" si="29">IF($J159&gt;0,1,0)</f>
        <v>1</v>
      </c>
      <c r="W159" s="25">
        <f t="shared" ref="W159:W180" si="30">IF($J159&lt;0,1,0)</f>
        <v>0</v>
      </c>
    </row>
    <row r="160" spans="1:23" x14ac:dyDescent="0.3">
      <c r="A160" s="147"/>
      <c r="B160" s="205">
        <f t="shared" ref="B160:B180" si="31">B159+1</f>
        <v>3</v>
      </c>
      <c r="C160" s="206">
        <v>45082</v>
      </c>
      <c r="D160" s="161" t="s">
        <v>9</v>
      </c>
      <c r="E160" s="161" t="s">
        <v>301</v>
      </c>
      <c r="F160" s="207">
        <v>44350</v>
      </c>
      <c r="G160" s="207">
        <v>44395</v>
      </c>
      <c r="H160" s="161">
        <f>44395-44350</f>
        <v>45</v>
      </c>
      <c r="I160" s="207">
        <v>50</v>
      </c>
      <c r="J160" s="242">
        <f t="shared" si="28"/>
        <v>2250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4</v>
      </c>
      <c r="C161" s="206">
        <v>45083</v>
      </c>
      <c r="D161" s="161" t="s">
        <v>8</v>
      </c>
      <c r="E161" s="161" t="s">
        <v>301</v>
      </c>
      <c r="F161" s="207">
        <v>44250</v>
      </c>
      <c r="G161" s="207">
        <v>44150</v>
      </c>
      <c r="H161" s="161">
        <v>100</v>
      </c>
      <c r="I161" s="207">
        <v>50</v>
      </c>
      <c r="J161" s="242">
        <f t="shared" si="28"/>
        <v>5000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5</v>
      </c>
      <c r="C162" s="206">
        <v>45084</v>
      </c>
      <c r="D162" s="161" t="s">
        <v>9</v>
      </c>
      <c r="E162" s="161" t="s">
        <v>301</v>
      </c>
      <c r="F162" s="207">
        <v>44350</v>
      </c>
      <c r="G162" s="207">
        <v>44390</v>
      </c>
      <c r="H162" s="161">
        <v>40</v>
      </c>
      <c r="I162" s="207">
        <v>50</v>
      </c>
      <c r="J162" s="242">
        <f t="shared" si="28"/>
        <v>2000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6</v>
      </c>
      <c r="C163" s="206">
        <v>45085</v>
      </c>
      <c r="D163" s="161" t="s">
        <v>9</v>
      </c>
      <c r="E163" s="161" t="s">
        <v>301</v>
      </c>
      <c r="F163" s="207">
        <v>44400</v>
      </c>
      <c r="G163" s="207">
        <v>44530</v>
      </c>
      <c r="H163" s="161">
        <f>44530-44400</f>
        <v>130</v>
      </c>
      <c r="I163" s="207">
        <v>50</v>
      </c>
      <c r="J163" s="242">
        <f t="shared" si="28"/>
        <v>6500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7</v>
      </c>
      <c r="C164" s="206">
        <v>45086</v>
      </c>
      <c r="D164" s="161" t="s">
        <v>9</v>
      </c>
      <c r="E164" s="161" t="s">
        <v>301</v>
      </c>
      <c r="F164" s="207">
        <v>44250</v>
      </c>
      <c r="G164" s="207">
        <v>44305</v>
      </c>
      <c r="H164" s="161">
        <f>44305-44250</f>
        <v>55</v>
      </c>
      <c r="I164" s="207">
        <v>50</v>
      </c>
      <c r="J164" s="242">
        <f t="shared" si="28"/>
        <v>2750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8</v>
      </c>
      <c r="C165" s="206">
        <v>45089</v>
      </c>
      <c r="D165" s="161" t="s">
        <v>9</v>
      </c>
      <c r="E165" s="161" t="s">
        <v>301</v>
      </c>
      <c r="F165" s="207">
        <v>44100</v>
      </c>
      <c r="G165" s="207">
        <v>44160</v>
      </c>
      <c r="H165" s="161">
        <v>60</v>
      </c>
      <c r="I165" s="207">
        <v>50</v>
      </c>
      <c r="J165" s="242">
        <f t="shared" si="28"/>
        <v>3000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9</v>
      </c>
      <c r="C166" s="206">
        <v>45090</v>
      </c>
      <c r="D166" s="161" t="s">
        <v>9</v>
      </c>
      <c r="E166" s="161" t="s">
        <v>301</v>
      </c>
      <c r="F166" s="207">
        <v>44200</v>
      </c>
      <c r="G166" s="207">
        <v>44240</v>
      </c>
      <c r="H166" s="161">
        <v>40</v>
      </c>
      <c r="I166" s="207">
        <v>50</v>
      </c>
      <c r="J166" s="242">
        <f t="shared" si="28"/>
        <v>2000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10</v>
      </c>
      <c r="C167" s="206">
        <v>45091</v>
      </c>
      <c r="D167" s="161" t="s">
        <v>9</v>
      </c>
      <c r="E167" s="161" t="s">
        <v>301</v>
      </c>
      <c r="F167" s="207">
        <v>44150</v>
      </c>
      <c r="G167" s="207">
        <v>44190</v>
      </c>
      <c r="H167" s="161">
        <v>40</v>
      </c>
      <c r="I167" s="207">
        <v>50</v>
      </c>
      <c r="J167" s="242">
        <f t="shared" si="28"/>
        <v>2000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11</v>
      </c>
      <c r="C168" s="206">
        <v>45092</v>
      </c>
      <c r="D168" s="161" t="s">
        <v>9</v>
      </c>
      <c r="E168" s="161" t="s">
        <v>301</v>
      </c>
      <c r="F168" s="207">
        <v>44000</v>
      </c>
      <c r="G168" s="207">
        <v>44050</v>
      </c>
      <c r="H168" s="161">
        <v>50</v>
      </c>
      <c r="I168" s="207">
        <v>50</v>
      </c>
      <c r="J168" s="242">
        <f t="shared" si="28"/>
        <v>2500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12</v>
      </c>
      <c r="C169" s="206">
        <v>45093</v>
      </c>
      <c r="D169" s="161" t="s">
        <v>9</v>
      </c>
      <c r="E169" s="161" t="s">
        <v>301</v>
      </c>
      <c r="F169" s="207">
        <v>43800</v>
      </c>
      <c r="G169" s="207">
        <v>44100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13</v>
      </c>
      <c r="C170" s="206">
        <v>45096</v>
      </c>
      <c r="D170" s="161" t="s">
        <v>8</v>
      </c>
      <c r="E170" s="161" t="s">
        <v>301</v>
      </c>
      <c r="F170" s="207">
        <v>43850</v>
      </c>
      <c r="G170" s="207">
        <v>43665</v>
      </c>
      <c r="H170" s="161">
        <f>43850-43665</f>
        <v>185</v>
      </c>
      <c r="I170" s="207">
        <v>50</v>
      </c>
      <c r="J170" s="242">
        <f t="shared" si="28"/>
        <v>9250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14</v>
      </c>
      <c r="C171" s="206">
        <v>45097</v>
      </c>
      <c r="D171" s="161" t="s">
        <v>8</v>
      </c>
      <c r="E171" s="161" t="s">
        <v>301</v>
      </c>
      <c r="F171" s="207">
        <v>43600</v>
      </c>
      <c r="G171" s="207">
        <v>43450</v>
      </c>
      <c r="H171" s="161">
        <f>43600-43450</f>
        <v>150</v>
      </c>
      <c r="I171" s="207">
        <v>50</v>
      </c>
      <c r="J171" s="242">
        <f t="shared" si="28"/>
        <v>7500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15</v>
      </c>
      <c r="C172" s="206">
        <v>45098</v>
      </c>
      <c r="D172" s="161" t="s">
        <v>9</v>
      </c>
      <c r="E172" s="161" t="s">
        <v>301</v>
      </c>
      <c r="F172" s="207">
        <v>43950</v>
      </c>
      <c r="G172" s="207">
        <v>43880</v>
      </c>
      <c r="H172" s="161">
        <v>-70</v>
      </c>
      <c r="I172" s="207">
        <v>50</v>
      </c>
      <c r="J172" s="242">
        <f t="shared" si="28"/>
        <v>-3500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16</v>
      </c>
      <c r="C173" s="206">
        <v>45098</v>
      </c>
      <c r="D173" s="161" t="s">
        <v>8</v>
      </c>
      <c r="E173" s="161" t="s">
        <v>301</v>
      </c>
      <c r="F173" s="207">
        <v>43900</v>
      </c>
      <c r="G173" s="207">
        <v>43775</v>
      </c>
      <c r="H173" s="161">
        <v>125</v>
      </c>
      <c r="I173" s="207">
        <v>50</v>
      </c>
      <c r="J173" s="242">
        <f t="shared" si="28"/>
        <v>6250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17</v>
      </c>
      <c r="C174" s="206">
        <v>45099</v>
      </c>
      <c r="D174" s="161" t="s">
        <v>9</v>
      </c>
      <c r="E174" s="161" t="s">
        <v>301</v>
      </c>
      <c r="F174" s="207">
        <v>43950</v>
      </c>
      <c r="G174" s="207">
        <v>43995</v>
      </c>
      <c r="H174" s="161">
        <f>43995-43950</f>
        <v>45</v>
      </c>
      <c r="I174" s="207">
        <v>50</v>
      </c>
      <c r="J174" s="242">
        <f t="shared" si="28"/>
        <v>2250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18</v>
      </c>
      <c r="C175" s="206">
        <v>45100</v>
      </c>
      <c r="D175" s="161" t="s">
        <v>9</v>
      </c>
      <c r="E175" s="161" t="s">
        <v>301</v>
      </c>
      <c r="F175" s="207">
        <v>43750</v>
      </c>
      <c r="G175" s="207">
        <v>43850</v>
      </c>
      <c r="H175" s="161">
        <v>100</v>
      </c>
      <c r="I175" s="207">
        <v>50</v>
      </c>
      <c r="J175" s="242">
        <f t="shared" si="28"/>
        <v>5000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19</v>
      </c>
      <c r="C176" s="206">
        <v>45103</v>
      </c>
      <c r="D176" s="161" t="s">
        <v>8</v>
      </c>
      <c r="E176" s="161" t="s">
        <v>301</v>
      </c>
      <c r="F176" s="207">
        <v>43600</v>
      </c>
      <c r="G176" s="207">
        <v>43700</v>
      </c>
      <c r="H176" s="161">
        <v>-100</v>
      </c>
      <c r="I176" s="207">
        <v>50</v>
      </c>
      <c r="J176" s="242">
        <f t="shared" si="28"/>
        <v>-5000</v>
      </c>
      <c r="K176" s="153"/>
      <c r="V176" s="25">
        <f t="shared" si="29"/>
        <v>0</v>
      </c>
      <c r="W176" s="25">
        <f t="shared" si="30"/>
        <v>1</v>
      </c>
    </row>
    <row r="177" spans="1:23" x14ac:dyDescent="0.3">
      <c r="A177" s="147"/>
      <c r="B177" s="205">
        <f t="shared" si="31"/>
        <v>20</v>
      </c>
      <c r="C177" s="206">
        <v>45104</v>
      </c>
      <c r="D177" s="161" t="s">
        <v>9</v>
      </c>
      <c r="E177" s="161" t="s">
        <v>301</v>
      </c>
      <c r="F177" s="207">
        <v>43750</v>
      </c>
      <c r="G177" s="207">
        <v>44050</v>
      </c>
      <c r="H177" s="161">
        <f>44050-43750</f>
        <v>300</v>
      </c>
      <c r="I177" s="207">
        <v>50</v>
      </c>
      <c r="J177" s="242">
        <f t="shared" si="28"/>
        <v>15000</v>
      </c>
      <c r="K177" s="153"/>
      <c r="V177" s="25">
        <f t="shared" si="29"/>
        <v>1</v>
      </c>
      <c r="W177" s="25">
        <f t="shared" si="30"/>
        <v>0</v>
      </c>
    </row>
    <row r="178" spans="1:23" x14ac:dyDescent="0.3">
      <c r="A178" s="147"/>
      <c r="B178" s="205">
        <f t="shared" si="31"/>
        <v>21</v>
      </c>
      <c r="C178" s="206">
        <v>45105</v>
      </c>
      <c r="D178" s="161" t="s">
        <v>9</v>
      </c>
      <c r="E178" s="161" t="s">
        <v>301</v>
      </c>
      <c r="F178" s="207">
        <v>44200</v>
      </c>
      <c r="G178" s="207">
        <v>44500</v>
      </c>
      <c r="H178" s="161">
        <v>300</v>
      </c>
      <c r="I178" s="207">
        <v>50</v>
      </c>
      <c r="J178" s="242">
        <f t="shared" si="28"/>
        <v>15000</v>
      </c>
      <c r="K178" s="153"/>
      <c r="V178" s="25">
        <f t="shared" si="29"/>
        <v>1</v>
      </c>
      <c r="W178" s="25">
        <f t="shared" si="30"/>
        <v>0</v>
      </c>
    </row>
    <row r="179" spans="1:23" x14ac:dyDescent="0.3">
      <c r="A179" s="147"/>
      <c r="B179" s="205">
        <f t="shared" si="31"/>
        <v>22</v>
      </c>
      <c r="C179" s="206">
        <v>45107</v>
      </c>
      <c r="D179" s="161" t="s">
        <v>9</v>
      </c>
      <c r="E179" s="161" t="s">
        <v>301</v>
      </c>
      <c r="F179" s="207">
        <v>44700</v>
      </c>
      <c r="G179" s="207">
        <v>44890</v>
      </c>
      <c r="H179" s="161">
        <f>44890-44700</f>
        <v>190</v>
      </c>
      <c r="I179" s="207">
        <v>50</v>
      </c>
      <c r="J179" s="242">
        <f t="shared" si="28"/>
        <v>9500</v>
      </c>
      <c r="K179" s="153"/>
      <c r="V179" s="25">
        <f t="shared" si="29"/>
        <v>1</v>
      </c>
      <c r="W179" s="25">
        <f t="shared" si="30"/>
        <v>0</v>
      </c>
    </row>
    <row r="180" spans="1:23" ht="15" thickBot="1" x14ac:dyDescent="0.35">
      <c r="A180" s="147"/>
      <c r="B180" s="208">
        <f t="shared" si="31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126750</v>
      </c>
      <c r="K181" s="153"/>
      <c r="V181" s="25">
        <f>SUM(V158:V180)</f>
        <v>20</v>
      </c>
      <c r="W181" s="25">
        <f>SUM(W158:W180)</f>
        <v>2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4219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45078</v>
      </c>
      <c r="D189" s="185" t="s">
        <v>9</v>
      </c>
      <c r="E189" s="185" t="s">
        <v>4215</v>
      </c>
      <c r="F189" s="219">
        <v>310</v>
      </c>
      <c r="G189" s="219">
        <v>510</v>
      </c>
      <c r="H189" s="185">
        <v>200</v>
      </c>
      <c r="I189" s="219">
        <v>100</v>
      </c>
      <c r="J189" s="246">
        <f t="shared" ref="J189:J212" si="32">I189*H189</f>
        <v>20000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45079</v>
      </c>
      <c r="D190" s="185" t="s">
        <v>9</v>
      </c>
      <c r="E190" s="185" t="s">
        <v>4197</v>
      </c>
      <c r="F190" s="219">
        <v>330</v>
      </c>
      <c r="G190" s="219">
        <v>413</v>
      </c>
      <c r="H190" s="185">
        <f>413-300</f>
        <v>113</v>
      </c>
      <c r="I190" s="219">
        <v>100</v>
      </c>
      <c r="J190" s="242">
        <f t="shared" si="32"/>
        <v>11300</v>
      </c>
      <c r="K190" s="153"/>
      <c r="V190" s="25">
        <f t="shared" ref="V190:V212" si="33">IF($J190&gt;0,1,0)</f>
        <v>1</v>
      </c>
      <c r="W190" s="25">
        <f t="shared" ref="W190:W212" si="34">IF($J190&lt;0,1,0)</f>
        <v>0</v>
      </c>
    </row>
    <row r="191" spans="1:23" x14ac:dyDescent="0.3">
      <c r="A191" s="147"/>
      <c r="B191" s="205">
        <f t="shared" ref="B191:B210" si="35">B190+1</f>
        <v>3</v>
      </c>
      <c r="C191" s="206">
        <v>45082</v>
      </c>
      <c r="D191" s="161" t="s">
        <v>9</v>
      </c>
      <c r="E191" s="161" t="s">
        <v>4222</v>
      </c>
      <c r="F191" s="207">
        <v>310</v>
      </c>
      <c r="G191" s="222">
        <v>325</v>
      </c>
      <c r="H191" s="222">
        <f>325-310</f>
        <v>15</v>
      </c>
      <c r="I191" s="207">
        <v>100</v>
      </c>
      <c r="J191" s="242">
        <f t="shared" si="32"/>
        <v>1500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4</v>
      </c>
      <c r="C192" s="206">
        <v>45083</v>
      </c>
      <c r="D192" s="161" t="s">
        <v>9</v>
      </c>
      <c r="E192" s="161" t="s">
        <v>4215</v>
      </c>
      <c r="F192" s="207">
        <v>340</v>
      </c>
      <c r="G192" s="207">
        <v>404</v>
      </c>
      <c r="H192" s="161">
        <f>404-340</f>
        <v>64</v>
      </c>
      <c r="I192" s="207">
        <v>100</v>
      </c>
      <c r="J192" s="242">
        <f t="shared" si="32"/>
        <v>6400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5</v>
      </c>
      <c r="C193" s="206">
        <v>45084</v>
      </c>
      <c r="D193" s="161" t="s">
        <v>9</v>
      </c>
      <c r="E193" s="161" t="s">
        <v>4226</v>
      </c>
      <c r="F193" s="207">
        <v>300</v>
      </c>
      <c r="G193" s="207">
        <v>335</v>
      </c>
      <c r="H193" s="161">
        <v>35</v>
      </c>
      <c r="I193" s="207">
        <v>100</v>
      </c>
      <c r="J193" s="242">
        <f t="shared" si="32"/>
        <v>3500</v>
      </c>
      <c r="K193" s="153"/>
      <c r="O193" s="25" t="s">
        <v>2008</v>
      </c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6</v>
      </c>
      <c r="C194" s="206">
        <v>45085</v>
      </c>
      <c r="D194" s="161" t="s">
        <v>9</v>
      </c>
      <c r="E194" s="161" t="s">
        <v>4222</v>
      </c>
      <c r="F194" s="207">
        <v>320</v>
      </c>
      <c r="G194" s="207">
        <v>350</v>
      </c>
      <c r="H194" s="161">
        <v>30</v>
      </c>
      <c r="I194" s="207">
        <v>100</v>
      </c>
      <c r="J194" s="242">
        <f t="shared" si="32"/>
        <v>3000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7</v>
      </c>
      <c r="C195" s="206">
        <v>45086</v>
      </c>
      <c r="D195" s="161" t="s">
        <v>9</v>
      </c>
      <c r="E195" s="161" t="s">
        <v>4226</v>
      </c>
      <c r="F195" s="207">
        <v>370</v>
      </c>
      <c r="G195" s="207">
        <v>402</v>
      </c>
      <c r="H195" s="161">
        <f>402-370</f>
        <v>32</v>
      </c>
      <c r="I195" s="207">
        <v>100</v>
      </c>
      <c r="J195" s="242">
        <f t="shared" si="32"/>
        <v>3200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8</v>
      </c>
      <c r="C196" s="206">
        <v>45089</v>
      </c>
      <c r="D196" s="161" t="s">
        <v>9</v>
      </c>
      <c r="E196" s="161" t="s">
        <v>4040</v>
      </c>
      <c r="F196" s="207">
        <v>290</v>
      </c>
      <c r="G196" s="207">
        <v>250</v>
      </c>
      <c r="H196" s="161">
        <v>-40</v>
      </c>
      <c r="I196" s="207">
        <v>100</v>
      </c>
      <c r="J196" s="242">
        <f t="shared" si="32"/>
        <v>-4000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9</v>
      </c>
      <c r="C197" s="206">
        <v>45089</v>
      </c>
      <c r="D197" s="161" t="s">
        <v>9</v>
      </c>
      <c r="E197" s="161" t="s">
        <v>4197</v>
      </c>
      <c r="F197" s="207">
        <v>300</v>
      </c>
      <c r="G197" s="207">
        <v>260</v>
      </c>
      <c r="H197" s="161">
        <v>-40</v>
      </c>
      <c r="I197" s="207">
        <v>100</v>
      </c>
      <c r="J197" s="242">
        <f t="shared" si="32"/>
        <v>-4000</v>
      </c>
      <c r="K197" s="153"/>
      <c r="V197" s="25">
        <f t="shared" si="33"/>
        <v>0</v>
      </c>
      <c r="W197" s="25">
        <f t="shared" si="34"/>
        <v>1</v>
      </c>
    </row>
    <row r="198" spans="1:23" x14ac:dyDescent="0.3">
      <c r="A198" s="147"/>
      <c r="B198" s="205">
        <f t="shared" si="35"/>
        <v>10</v>
      </c>
      <c r="C198" s="206">
        <v>45090</v>
      </c>
      <c r="D198" s="161" t="s">
        <v>9</v>
      </c>
      <c r="E198" s="161" t="s">
        <v>4040</v>
      </c>
      <c r="F198" s="207">
        <v>310</v>
      </c>
      <c r="G198" s="207">
        <v>280</v>
      </c>
      <c r="H198" s="161">
        <f>310-280</f>
        <v>30</v>
      </c>
      <c r="I198" s="207">
        <v>100</v>
      </c>
      <c r="J198" s="242">
        <f t="shared" si="32"/>
        <v>3000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11</v>
      </c>
      <c r="C199" s="206">
        <v>45091</v>
      </c>
      <c r="D199" s="161" t="s">
        <v>9</v>
      </c>
      <c r="E199" s="161" t="s">
        <v>4196</v>
      </c>
      <c r="F199" s="207">
        <v>320</v>
      </c>
      <c r="G199" s="207">
        <v>350</v>
      </c>
      <c r="H199" s="161">
        <v>30</v>
      </c>
      <c r="I199" s="207">
        <v>100</v>
      </c>
      <c r="J199" s="242">
        <f t="shared" si="32"/>
        <v>3000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12</v>
      </c>
      <c r="C200" s="206">
        <v>45092</v>
      </c>
      <c r="D200" s="161" t="s">
        <v>9</v>
      </c>
      <c r="E200" s="161" t="s">
        <v>4198</v>
      </c>
      <c r="F200" s="207">
        <v>380</v>
      </c>
      <c r="G200" s="207">
        <v>580</v>
      </c>
      <c r="H200" s="161">
        <v>200</v>
      </c>
      <c r="I200" s="207">
        <v>100</v>
      </c>
      <c r="J200" s="242">
        <f t="shared" si="32"/>
        <v>20000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13</v>
      </c>
      <c r="C201" s="206">
        <v>45093</v>
      </c>
      <c r="D201" s="161" t="s">
        <v>9</v>
      </c>
      <c r="E201" s="161" t="s">
        <v>4208</v>
      </c>
      <c r="F201" s="207">
        <v>340</v>
      </c>
      <c r="G201" s="207">
        <v>540</v>
      </c>
      <c r="H201" s="161">
        <v>200</v>
      </c>
      <c r="I201" s="207">
        <v>100</v>
      </c>
      <c r="J201" s="242">
        <f t="shared" si="32"/>
        <v>20000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14</v>
      </c>
      <c r="C202" s="206">
        <v>45096</v>
      </c>
      <c r="D202" s="161" t="s">
        <v>9</v>
      </c>
      <c r="E202" s="161" t="s">
        <v>4207</v>
      </c>
      <c r="F202" s="207">
        <v>300</v>
      </c>
      <c r="G202" s="207">
        <v>499</v>
      </c>
      <c r="H202" s="161">
        <v>199</v>
      </c>
      <c r="I202" s="207">
        <v>100</v>
      </c>
      <c r="J202" s="242">
        <f t="shared" si="32"/>
        <v>19900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15</v>
      </c>
      <c r="C203" s="206">
        <v>45097</v>
      </c>
      <c r="D203" s="161" t="s">
        <v>9</v>
      </c>
      <c r="E203" s="161" t="s">
        <v>4023</v>
      </c>
      <c r="F203" s="207">
        <v>300</v>
      </c>
      <c r="G203" s="207">
        <v>388</v>
      </c>
      <c r="H203" s="161">
        <v>88</v>
      </c>
      <c r="I203" s="207">
        <v>100</v>
      </c>
      <c r="J203" s="242">
        <f t="shared" si="32"/>
        <v>8800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16</v>
      </c>
      <c r="C204" s="206">
        <v>45098</v>
      </c>
      <c r="D204" s="161" t="s">
        <v>9</v>
      </c>
      <c r="E204" s="161" t="s">
        <v>4197</v>
      </c>
      <c r="F204" s="207">
        <v>320</v>
      </c>
      <c r="G204" s="207">
        <v>400</v>
      </c>
      <c r="H204" s="161">
        <f>400-320</f>
        <v>80</v>
      </c>
      <c r="I204" s="207">
        <v>100</v>
      </c>
      <c r="J204" s="242">
        <f t="shared" si="32"/>
        <v>8000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17</v>
      </c>
      <c r="C205" s="206">
        <v>45099</v>
      </c>
      <c r="D205" s="161" t="s">
        <v>9</v>
      </c>
      <c r="E205" s="161" t="s">
        <v>4208</v>
      </c>
      <c r="F205" s="207">
        <v>340</v>
      </c>
      <c r="G205" s="207">
        <v>240</v>
      </c>
      <c r="H205" s="161">
        <v>-100</v>
      </c>
      <c r="I205" s="207">
        <v>100</v>
      </c>
      <c r="J205" s="242">
        <f t="shared" si="32"/>
        <v>-10000</v>
      </c>
      <c r="K205" s="153"/>
      <c r="V205" s="25">
        <f t="shared" si="33"/>
        <v>0</v>
      </c>
      <c r="W205" s="25">
        <f t="shared" si="34"/>
        <v>1</v>
      </c>
    </row>
    <row r="206" spans="1:23" x14ac:dyDescent="0.3">
      <c r="A206" s="147"/>
      <c r="B206" s="205">
        <f t="shared" si="35"/>
        <v>18</v>
      </c>
      <c r="C206" s="206">
        <v>45099</v>
      </c>
      <c r="D206" s="161" t="s">
        <v>9</v>
      </c>
      <c r="E206" s="161" t="s">
        <v>4197</v>
      </c>
      <c r="F206" s="207">
        <v>360</v>
      </c>
      <c r="G206" s="207">
        <v>418</v>
      </c>
      <c r="H206" s="161">
        <f>418-360</f>
        <v>58</v>
      </c>
      <c r="I206" s="207">
        <v>100</v>
      </c>
      <c r="J206" s="242">
        <f t="shared" si="32"/>
        <v>5800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19</v>
      </c>
      <c r="C207" s="206">
        <v>45100</v>
      </c>
      <c r="D207" s="161" t="s">
        <v>9</v>
      </c>
      <c r="E207" s="161" t="s">
        <v>4208</v>
      </c>
      <c r="F207" s="207">
        <v>330</v>
      </c>
      <c r="G207" s="207">
        <v>399</v>
      </c>
      <c r="H207" s="161">
        <f>399-330</f>
        <v>69</v>
      </c>
      <c r="I207" s="207">
        <v>100</v>
      </c>
      <c r="J207" s="161">
        <f t="shared" si="32"/>
        <v>6900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20</v>
      </c>
      <c r="C208" s="206">
        <v>45103</v>
      </c>
      <c r="D208" s="161" t="s">
        <v>9</v>
      </c>
      <c r="E208" s="161" t="s">
        <v>4050</v>
      </c>
      <c r="F208" s="207">
        <v>320</v>
      </c>
      <c r="G208" s="207">
        <v>255</v>
      </c>
      <c r="H208" s="161">
        <v>-65</v>
      </c>
      <c r="I208" s="207">
        <v>100</v>
      </c>
      <c r="J208" s="161">
        <f t="shared" si="32"/>
        <v>-6500</v>
      </c>
      <c r="K208" s="153"/>
      <c r="V208" s="25">
        <f t="shared" si="33"/>
        <v>0</v>
      </c>
      <c r="W208" s="25">
        <f t="shared" si="34"/>
        <v>1</v>
      </c>
    </row>
    <row r="209" spans="1:23" x14ac:dyDescent="0.3">
      <c r="A209" s="147"/>
      <c r="B209" s="205">
        <f t="shared" si="35"/>
        <v>21</v>
      </c>
      <c r="C209" s="206">
        <v>45104</v>
      </c>
      <c r="D209" s="161" t="s">
        <v>9</v>
      </c>
      <c r="E209" s="161" t="s">
        <v>4036</v>
      </c>
      <c r="F209" s="207">
        <v>320</v>
      </c>
      <c r="G209" s="207">
        <v>520</v>
      </c>
      <c r="H209" s="161">
        <v>200</v>
      </c>
      <c r="I209" s="207">
        <v>100</v>
      </c>
      <c r="J209" s="161">
        <f t="shared" si="32"/>
        <v>20000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22</v>
      </c>
      <c r="C210" s="206">
        <v>45105</v>
      </c>
      <c r="D210" s="161" t="s">
        <v>9</v>
      </c>
      <c r="E210" s="161" t="s">
        <v>4040</v>
      </c>
      <c r="F210" s="207">
        <v>330</v>
      </c>
      <c r="G210" s="207">
        <v>530</v>
      </c>
      <c r="H210" s="161">
        <v>200</v>
      </c>
      <c r="I210" s="207">
        <v>100</v>
      </c>
      <c r="J210" s="161">
        <f t="shared" si="32"/>
        <v>20000</v>
      </c>
      <c r="K210" s="153"/>
      <c r="V210" s="25">
        <f t="shared" si="33"/>
        <v>1</v>
      </c>
      <c r="W210" s="25">
        <f t="shared" si="34"/>
        <v>0</v>
      </c>
    </row>
    <row r="211" spans="1:23" x14ac:dyDescent="0.3">
      <c r="A211" s="147"/>
      <c r="B211" s="269">
        <v>23</v>
      </c>
      <c r="C211" s="264">
        <v>45107</v>
      </c>
      <c r="D211" s="265" t="s">
        <v>9</v>
      </c>
      <c r="E211" s="265" t="s">
        <v>4250</v>
      </c>
      <c r="F211" s="266">
        <v>350</v>
      </c>
      <c r="G211" s="266">
        <v>488</v>
      </c>
      <c r="H211" s="265">
        <f>488-350</f>
        <v>138</v>
      </c>
      <c r="I211" s="266">
        <v>100</v>
      </c>
      <c r="J211" s="161">
        <f t="shared" si="32"/>
        <v>13800</v>
      </c>
      <c r="K211" s="153"/>
    </row>
    <row r="212" spans="1:23" ht="15" thickBot="1" x14ac:dyDescent="0.35">
      <c r="A212" s="147"/>
      <c r="B212" s="208">
        <v>24</v>
      </c>
      <c r="C212" s="209"/>
      <c r="D212" s="166"/>
      <c r="E212" s="166"/>
      <c r="F212" s="210"/>
      <c r="G212" s="210"/>
      <c r="H212" s="166"/>
      <c r="I212" s="210"/>
      <c r="J212" s="278">
        <f t="shared" si="32"/>
        <v>0</v>
      </c>
      <c r="K212" s="153"/>
      <c r="V212" s="25">
        <f t="shared" si="33"/>
        <v>0</v>
      </c>
      <c r="W212" s="25">
        <f t="shared" si="34"/>
        <v>0</v>
      </c>
    </row>
    <row r="213" spans="1:23" ht="24" thickBot="1" x14ac:dyDescent="0.5">
      <c r="A213" s="147"/>
      <c r="B213" s="370" t="s">
        <v>2254</v>
      </c>
      <c r="C213" s="371"/>
      <c r="D213" s="371"/>
      <c r="E213" s="371"/>
      <c r="F213" s="371"/>
      <c r="G213" s="371"/>
      <c r="H213" s="372"/>
      <c r="I213" s="211" t="s">
        <v>2255</v>
      </c>
      <c r="J213" s="212">
        <f>SUM(J189:J212)</f>
        <v>173600</v>
      </c>
      <c r="K213" s="153"/>
      <c r="V213" s="25">
        <f>SUM(V189:V212)</f>
        <v>18</v>
      </c>
      <c r="W213" s="25">
        <f>SUM(W189:W212)</f>
        <v>4</v>
      </c>
    </row>
    <row r="214" spans="1:23" ht="30" customHeight="1" thickBot="1" x14ac:dyDescent="0.35">
      <c r="A214" s="213"/>
      <c r="B214" s="172"/>
      <c r="C214" s="172"/>
      <c r="D214" s="172"/>
      <c r="E214" s="172"/>
      <c r="F214" s="172"/>
      <c r="G214" s="172"/>
      <c r="H214" s="235"/>
      <c r="I214" s="172"/>
      <c r="J214" s="235"/>
      <c r="K214" s="214"/>
    </row>
    <row r="215" spans="1:23" ht="15" thickBot="1" x14ac:dyDescent="0.35"/>
    <row r="216" spans="1:23" ht="30" customHeight="1" thickBot="1" x14ac:dyDescent="0.35">
      <c r="A216" s="198"/>
      <c r="B216" s="143"/>
      <c r="C216" s="143"/>
      <c r="D216" s="143"/>
      <c r="E216" s="143"/>
      <c r="F216" s="143"/>
      <c r="G216" s="143"/>
      <c r="H216" s="232"/>
      <c r="I216" s="143"/>
      <c r="J216" s="232"/>
      <c r="K216" s="199"/>
    </row>
    <row r="217" spans="1:23" ht="25.2" thickBot="1" x14ac:dyDescent="0.35">
      <c r="A217" s="147" t="s">
        <v>0</v>
      </c>
      <c r="B217" s="361" t="s">
        <v>2244</v>
      </c>
      <c r="C217" s="362"/>
      <c r="D217" s="362"/>
      <c r="E217" s="362"/>
      <c r="F217" s="362"/>
      <c r="G217" s="362"/>
      <c r="H217" s="362"/>
      <c r="I217" s="362"/>
      <c r="J217" s="363"/>
      <c r="K217" s="153"/>
    </row>
    <row r="218" spans="1:23" ht="16.2" thickBot="1" x14ac:dyDescent="0.35">
      <c r="A218" s="147"/>
      <c r="B218" s="364" t="s">
        <v>3821</v>
      </c>
      <c r="C218" s="365"/>
      <c r="D218" s="365"/>
      <c r="E218" s="365"/>
      <c r="F218" s="365"/>
      <c r="G218" s="365"/>
      <c r="H218" s="365"/>
      <c r="I218" s="365"/>
      <c r="J218" s="366"/>
      <c r="K218" s="153"/>
    </row>
    <row r="219" spans="1:23" ht="16.2" thickBot="1" x14ac:dyDescent="0.35">
      <c r="A219" s="147"/>
      <c r="B219" s="367" t="s">
        <v>1076</v>
      </c>
      <c r="C219" s="368"/>
      <c r="D219" s="368"/>
      <c r="E219" s="368"/>
      <c r="F219" s="368"/>
      <c r="G219" s="368"/>
      <c r="H219" s="368"/>
      <c r="I219" s="368"/>
      <c r="J219" s="369"/>
      <c r="K219" s="153"/>
    </row>
    <row r="220" spans="1:23" ht="15" thickBot="1" x14ac:dyDescent="0.35">
      <c r="A220" s="175"/>
      <c r="B220" s="178" t="s">
        <v>2248</v>
      </c>
      <c r="C220" s="179" t="s">
        <v>1</v>
      </c>
      <c r="D220" s="180" t="s">
        <v>5</v>
      </c>
      <c r="E220" s="180" t="s">
        <v>6</v>
      </c>
      <c r="F220" s="181" t="s">
        <v>2249</v>
      </c>
      <c r="G220" s="181" t="s">
        <v>2250</v>
      </c>
      <c r="H220" s="239" t="s">
        <v>2251</v>
      </c>
      <c r="I220" s="181" t="s">
        <v>2257</v>
      </c>
      <c r="J220" s="245" t="s">
        <v>4</v>
      </c>
      <c r="K220" s="176"/>
      <c r="L220" s="215"/>
      <c r="V220" s="201" t="s">
        <v>454</v>
      </c>
      <c r="W220" s="201" t="s">
        <v>455</v>
      </c>
    </row>
    <row r="221" spans="1:23" x14ac:dyDescent="0.3">
      <c r="A221" s="147"/>
      <c r="B221" s="217">
        <v>1</v>
      </c>
      <c r="C221" s="218">
        <v>45078</v>
      </c>
      <c r="D221" s="185" t="s">
        <v>9</v>
      </c>
      <c r="E221" s="185" t="s">
        <v>4220</v>
      </c>
      <c r="F221" s="231">
        <v>140</v>
      </c>
      <c r="G221" s="231">
        <v>165</v>
      </c>
      <c r="H221" s="231">
        <v>25</v>
      </c>
      <c r="I221" s="219">
        <v>125</v>
      </c>
      <c r="J221" s="246">
        <f t="shared" ref="J221:J244" si="36">I221*H221</f>
        <v>3125</v>
      </c>
      <c r="K221" s="153"/>
      <c r="V221" s="25">
        <f>IF($J221&gt;0,1,0)</f>
        <v>1</v>
      </c>
      <c r="W221" s="25">
        <f>IF($J221&lt;0,1,0)</f>
        <v>0</v>
      </c>
    </row>
    <row r="222" spans="1:23" x14ac:dyDescent="0.3">
      <c r="A222" s="147"/>
      <c r="B222" s="205">
        <f>B221+1</f>
        <v>2</v>
      </c>
      <c r="C222" s="218">
        <v>45079</v>
      </c>
      <c r="D222" s="185" t="s">
        <v>9</v>
      </c>
      <c r="E222" s="185" t="s">
        <v>4221</v>
      </c>
      <c r="F222" s="231">
        <v>65</v>
      </c>
      <c r="G222" s="231">
        <v>53</v>
      </c>
      <c r="H222" s="231">
        <v>-12</v>
      </c>
      <c r="I222" s="219">
        <v>275</v>
      </c>
      <c r="J222" s="242">
        <f>I222*H222</f>
        <v>-3300</v>
      </c>
      <c r="K222" s="153"/>
      <c r="V222" s="25">
        <f>IF($J222&gt;0,1,0)</f>
        <v>0</v>
      </c>
      <c r="W222" s="25">
        <f>IF($J222&lt;0,1,0)</f>
        <v>1</v>
      </c>
    </row>
    <row r="223" spans="1:23" x14ac:dyDescent="0.3">
      <c r="A223" s="147"/>
      <c r="B223" s="205">
        <f t="shared" ref="B223:B244" si="37">B222+1</f>
        <v>3</v>
      </c>
      <c r="C223" s="206">
        <v>45082</v>
      </c>
      <c r="D223" s="161" t="s">
        <v>9</v>
      </c>
      <c r="E223" s="161" t="s">
        <v>4223</v>
      </c>
      <c r="F223" s="222">
        <v>190</v>
      </c>
      <c r="G223" s="222">
        <v>218.5</v>
      </c>
      <c r="H223" s="222">
        <f>218.5-190</f>
        <v>28.5</v>
      </c>
      <c r="I223" s="207">
        <v>100</v>
      </c>
      <c r="J223" s="242">
        <f t="shared" si="36"/>
        <v>2850</v>
      </c>
      <c r="K223" s="153"/>
      <c r="V223" s="25">
        <f t="shared" ref="V223:V244" si="38">IF($J223&gt;0,1,0)</f>
        <v>1</v>
      </c>
      <c r="W223" s="25">
        <f t="shared" ref="W223:W244" si="39">IF($J223&lt;0,1,0)</f>
        <v>0</v>
      </c>
    </row>
    <row r="224" spans="1:23" x14ac:dyDescent="0.3">
      <c r="A224" s="147"/>
      <c r="B224" s="205">
        <f t="shared" si="37"/>
        <v>4</v>
      </c>
      <c r="C224" s="206">
        <v>45082</v>
      </c>
      <c r="D224" s="161" t="s">
        <v>9</v>
      </c>
      <c r="E224" s="161" t="s">
        <v>4224</v>
      </c>
      <c r="F224" s="222">
        <v>11.5</v>
      </c>
      <c r="G224" s="222">
        <v>11.1</v>
      </c>
      <c r="H224" s="222">
        <f>11.5-11.1</f>
        <v>0.40000000000000036</v>
      </c>
      <c r="I224" s="207">
        <v>1500</v>
      </c>
      <c r="J224" s="242">
        <f t="shared" si="36"/>
        <v>600.00000000000057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5</v>
      </c>
      <c r="C225" s="206">
        <v>45083</v>
      </c>
      <c r="D225" s="161" t="s">
        <v>9</v>
      </c>
      <c r="E225" s="161" t="s">
        <v>4225</v>
      </c>
      <c r="F225" s="222">
        <v>175</v>
      </c>
      <c r="G225" s="222">
        <v>192</v>
      </c>
      <c r="H225" s="222">
        <f>192-175</f>
        <v>17</v>
      </c>
      <c r="I225" s="207">
        <v>100</v>
      </c>
      <c r="J225" s="242">
        <f t="shared" si="36"/>
        <v>1700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6</v>
      </c>
      <c r="C226" s="206">
        <v>45084</v>
      </c>
      <c r="D226" s="161" t="s">
        <v>9</v>
      </c>
      <c r="E226" s="161" t="s">
        <v>4227</v>
      </c>
      <c r="F226" s="222">
        <v>45</v>
      </c>
      <c r="G226" s="222">
        <v>54</v>
      </c>
      <c r="H226" s="222">
        <f>54-45</f>
        <v>9</v>
      </c>
      <c r="I226" s="207">
        <v>300</v>
      </c>
      <c r="J226" s="242">
        <f t="shared" si="36"/>
        <v>2700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7</v>
      </c>
      <c r="C227" s="206">
        <v>45085</v>
      </c>
      <c r="D227" s="161" t="s">
        <v>9</v>
      </c>
      <c r="E227" s="161" t="s">
        <v>4228</v>
      </c>
      <c r="F227" s="222">
        <v>7</v>
      </c>
      <c r="G227" s="222">
        <v>5.5</v>
      </c>
      <c r="H227" s="222">
        <v>-1.5</v>
      </c>
      <c r="I227" s="207">
        <v>3375</v>
      </c>
      <c r="J227" s="242">
        <f t="shared" si="36"/>
        <v>-5062.5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8</v>
      </c>
      <c r="C228" s="206">
        <v>45085</v>
      </c>
      <c r="D228" s="161" t="s">
        <v>9</v>
      </c>
      <c r="E228" s="161" t="s">
        <v>4229</v>
      </c>
      <c r="F228" s="222">
        <v>90</v>
      </c>
      <c r="G228" s="222">
        <v>110</v>
      </c>
      <c r="H228" s="222">
        <f>110-90</f>
        <v>20</v>
      </c>
      <c r="I228" s="207">
        <v>300</v>
      </c>
      <c r="J228" s="242">
        <f t="shared" si="36"/>
        <v>6000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9</v>
      </c>
      <c r="C229" s="206">
        <v>45086</v>
      </c>
      <c r="D229" s="161" t="s">
        <v>9</v>
      </c>
      <c r="E229" s="161" t="s">
        <v>4232</v>
      </c>
      <c r="F229" s="222">
        <v>40</v>
      </c>
      <c r="G229" s="222">
        <v>36</v>
      </c>
      <c r="H229" s="255">
        <v>-4</v>
      </c>
      <c r="I229" s="207">
        <v>450</v>
      </c>
      <c r="J229" s="242">
        <f t="shared" si="36"/>
        <v>-1800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10</v>
      </c>
      <c r="C230" s="206">
        <v>45089</v>
      </c>
      <c r="D230" s="161" t="s">
        <v>9</v>
      </c>
      <c r="E230" s="161" t="s">
        <v>4233</v>
      </c>
      <c r="F230" s="222">
        <v>135</v>
      </c>
      <c r="G230" s="222">
        <v>155</v>
      </c>
      <c r="H230" s="255">
        <v>20</v>
      </c>
      <c r="I230" s="207">
        <v>300</v>
      </c>
      <c r="J230" s="242">
        <f t="shared" si="36"/>
        <v>6000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11</v>
      </c>
      <c r="C231" s="206">
        <v>45090</v>
      </c>
      <c r="D231" s="161" t="s">
        <v>9</v>
      </c>
      <c r="E231" s="161" t="s">
        <v>4234</v>
      </c>
      <c r="F231" s="222">
        <v>13</v>
      </c>
      <c r="G231" s="222">
        <v>14.6</v>
      </c>
      <c r="H231" s="255">
        <v>1.6</v>
      </c>
      <c r="I231" s="207">
        <v>1425</v>
      </c>
      <c r="J231" s="242">
        <f t="shared" si="36"/>
        <v>2280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12</v>
      </c>
      <c r="C232" s="206">
        <v>45091</v>
      </c>
      <c r="D232" s="161" t="s">
        <v>9</v>
      </c>
      <c r="E232" s="161" t="s">
        <v>4233</v>
      </c>
      <c r="F232" s="222">
        <v>120</v>
      </c>
      <c r="G232" s="222">
        <v>131.9</v>
      </c>
      <c r="H232" s="255">
        <v>11.9</v>
      </c>
      <c r="I232" s="207">
        <v>300</v>
      </c>
      <c r="J232" s="242">
        <f t="shared" si="36"/>
        <v>3570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13</v>
      </c>
      <c r="C233" s="206">
        <v>45092</v>
      </c>
      <c r="D233" s="161" t="s">
        <v>9</v>
      </c>
      <c r="E233" s="161" t="s">
        <v>4235</v>
      </c>
      <c r="F233" s="222">
        <v>42</v>
      </c>
      <c r="G233" s="222">
        <v>48</v>
      </c>
      <c r="H233" s="255">
        <v>6</v>
      </c>
      <c r="I233" s="207">
        <v>407</v>
      </c>
      <c r="J233" s="242">
        <f t="shared" si="36"/>
        <v>2442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14</v>
      </c>
      <c r="C234" s="206">
        <v>45093</v>
      </c>
      <c r="D234" s="161" t="s">
        <v>9</v>
      </c>
      <c r="E234" s="161" t="s">
        <v>4236</v>
      </c>
      <c r="F234" s="222">
        <v>140</v>
      </c>
      <c r="G234" s="222">
        <v>120</v>
      </c>
      <c r="H234" s="255">
        <v>-20</v>
      </c>
      <c r="I234" s="207">
        <v>300</v>
      </c>
      <c r="J234" s="242">
        <f>I234*H234</f>
        <v>-6000</v>
      </c>
      <c r="K234" s="153"/>
      <c r="V234" s="25">
        <f t="shared" si="38"/>
        <v>0</v>
      </c>
      <c r="W234" s="25">
        <f t="shared" si="39"/>
        <v>1</v>
      </c>
    </row>
    <row r="235" spans="1:23" x14ac:dyDescent="0.3">
      <c r="A235" s="147"/>
      <c r="B235" s="205">
        <f t="shared" si="37"/>
        <v>15</v>
      </c>
      <c r="C235" s="206">
        <v>45093</v>
      </c>
      <c r="D235" s="161" t="s">
        <v>9</v>
      </c>
      <c r="E235" s="161" t="s">
        <v>4237</v>
      </c>
      <c r="F235" s="222">
        <v>18</v>
      </c>
      <c r="G235" s="222">
        <v>20.8</v>
      </c>
      <c r="H235" s="255">
        <v>2.8</v>
      </c>
      <c r="I235" s="207">
        <v>1000</v>
      </c>
      <c r="J235" s="242">
        <f t="shared" si="36"/>
        <v>2800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16</v>
      </c>
      <c r="C236" s="206">
        <v>45096</v>
      </c>
      <c r="D236" s="161" t="s">
        <v>9</v>
      </c>
      <c r="E236" s="161" t="s">
        <v>4242</v>
      </c>
      <c r="F236" s="222">
        <v>135</v>
      </c>
      <c r="G236" s="222">
        <v>110</v>
      </c>
      <c r="H236" s="222">
        <v>-25</v>
      </c>
      <c r="I236" s="207">
        <v>300</v>
      </c>
      <c r="J236" s="242">
        <f t="shared" si="36"/>
        <v>-7500</v>
      </c>
      <c r="K236" s="153"/>
      <c r="V236" s="25">
        <f t="shared" si="38"/>
        <v>0</v>
      </c>
      <c r="W236" s="25">
        <f t="shared" si="39"/>
        <v>1</v>
      </c>
    </row>
    <row r="237" spans="1:23" x14ac:dyDescent="0.3">
      <c r="A237" s="147"/>
      <c r="B237" s="205">
        <f t="shared" si="37"/>
        <v>17</v>
      </c>
      <c r="C237" s="206">
        <v>45097</v>
      </c>
      <c r="D237" s="161" t="s">
        <v>9</v>
      </c>
      <c r="E237" s="161" t="s">
        <v>4243</v>
      </c>
      <c r="F237" s="222">
        <v>43</v>
      </c>
      <c r="G237" s="222">
        <v>63</v>
      </c>
      <c r="H237" s="222">
        <v>20</v>
      </c>
      <c r="I237" s="207">
        <v>300</v>
      </c>
      <c r="J237" s="242">
        <f t="shared" si="36"/>
        <v>6000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18</v>
      </c>
      <c r="C238" s="206">
        <v>45098</v>
      </c>
      <c r="D238" s="161" t="s">
        <v>9</v>
      </c>
      <c r="E238" s="161" t="s">
        <v>4244</v>
      </c>
      <c r="F238" s="222">
        <v>24</v>
      </c>
      <c r="G238" s="222">
        <v>36</v>
      </c>
      <c r="H238" s="222">
        <f>36-24</f>
        <v>12</v>
      </c>
      <c r="I238" s="207">
        <v>300</v>
      </c>
      <c r="J238" s="242">
        <f t="shared" si="36"/>
        <v>3600</v>
      </c>
      <c r="K238" s="153"/>
      <c r="V238" s="25">
        <f t="shared" si="38"/>
        <v>1</v>
      </c>
      <c r="W238" s="25">
        <f t="shared" si="39"/>
        <v>0</v>
      </c>
    </row>
    <row r="239" spans="1:23" x14ac:dyDescent="0.3">
      <c r="A239" s="147"/>
      <c r="B239" s="205">
        <f t="shared" si="37"/>
        <v>19</v>
      </c>
      <c r="C239" s="206">
        <v>45099</v>
      </c>
      <c r="D239" s="161" t="s">
        <v>9</v>
      </c>
      <c r="E239" s="161" t="s">
        <v>4245</v>
      </c>
      <c r="F239" s="222">
        <v>29</v>
      </c>
      <c r="G239" s="222">
        <v>31</v>
      </c>
      <c r="H239" s="222">
        <v>2</v>
      </c>
      <c r="I239" s="207">
        <v>300</v>
      </c>
      <c r="J239" s="242">
        <f t="shared" si="36"/>
        <v>600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20</v>
      </c>
      <c r="C240" s="206">
        <v>45100</v>
      </c>
      <c r="D240" s="161" t="s">
        <v>9</v>
      </c>
      <c r="E240" s="161" t="s">
        <v>4246</v>
      </c>
      <c r="F240" s="222">
        <v>10</v>
      </c>
      <c r="G240" s="222">
        <v>13</v>
      </c>
      <c r="H240" s="222">
        <v>3</v>
      </c>
      <c r="I240" s="207">
        <v>1375</v>
      </c>
      <c r="J240" s="242">
        <f t="shared" si="36"/>
        <v>4125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21</v>
      </c>
      <c r="C241" s="206">
        <v>45103</v>
      </c>
      <c r="D241" s="161" t="s">
        <v>9</v>
      </c>
      <c r="E241" s="161" t="s">
        <v>4248</v>
      </c>
      <c r="F241" s="222">
        <v>8</v>
      </c>
      <c r="G241" s="222">
        <v>9.5</v>
      </c>
      <c r="H241" s="222">
        <v>1.5</v>
      </c>
      <c r="I241" s="207">
        <v>1200</v>
      </c>
      <c r="J241" s="242">
        <f t="shared" si="36"/>
        <v>1800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22</v>
      </c>
      <c r="C242" s="206">
        <v>45104</v>
      </c>
      <c r="D242" s="161" t="s">
        <v>9</v>
      </c>
      <c r="E242" s="161" t="s">
        <v>4246</v>
      </c>
      <c r="F242" s="222">
        <v>9</v>
      </c>
      <c r="G242" s="222">
        <v>10.6</v>
      </c>
      <c r="H242" s="222">
        <v>1.6</v>
      </c>
      <c r="I242" s="207">
        <v>700</v>
      </c>
      <c r="J242" s="242">
        <f t="shared" si="36"/>
        <v>1120</v>
      </c>
      <c r="K242" s="153"/>
      <c r="V242" s="25">
        <f t="shared" si="38"/>
        <v>1</v>
      </c>
      <c r="W242" s="25">
        <f t="shared" si="39"/>
        <v>0</v>
      </c>
    </row>
    <row r="243" spans="1:23" x14ac:dyDescent="0.3">
      <c r="A243" s="147"/>
      <c r="B243" s="205">
        <f t="shared" si="37"/>
        <v>23</v>
      </c>
      <c r="C243" s="206">
        <v>45105</v>
      </c>
      <c r="D243" s="161" t="s">
        <v>9</v>
      </c>
      <c r="E243" s="161" t="s">
        <v>3743</v>
      </c>
      <c r="F243" s="222">
        <v>68</v>
      </c>
      <c r="G243" s="222">
        <v>78</v>
      </c>
      <c r="H243" s="222">
        <v>10</v>
      </c>
      <c r="I243" s="207">
        <v>250</v>
      </c>
      <c r="J243" s="242">
        <f t="shared" si="36"/>
        <v>2500</v>
      </c>
      <c r="K243" s="153"/>
      <c r="V243" s="25">
        <f t="shared" si="38"/>
        <v>1</v>
      </c>
      <c r="W243" s="25">
        <f t="shared" si="39"/>
        <v>0</v>
      </c>
    </row>
    <row r="244" spans="1:23" ht="15" thickBot="1" x14ac:dyDescent="0.35">
      <c r="A244" s="147"/>
      <c r="B244" s="208">
        <f t="shared" si="37"/>
        <v>24</v>
      </c>
      <c r="C244" s="209">
        <v>45107</v>
      </c>
      <c r="D244" s="166" t="s">
        <v>9</v>
      </c>
      <c r="E244" s="166" t="s">
        <v>4249</v>
      </c>
      <c r="F244" s="222">
        <v>150</v>
      </c>
      <c r="G244" s="222">
        <v>161</v>
      </c>
      <c r="H244" s="166">
        <v>11</v>
      </c>
      <c r="I244" s="210">
        <v>300</v>
      </c>
      <c r="J244" s="244">
        <f t="shared" si="36"/>
        <v>3300</v>
      </c>
      <c r="K244" s="153"/>
      <c r="V244" s="25">
        <f t="shared" si="38"/>
        <v>1</v>
      </c>
      <c r="W244" s="25">
        <f t="shared" si="39"/>
        <v>0</v>
      </c>
    </row>
    <row r="245" spans="1:23" ht="24" thickBot="1" x14ac:dyDescent="0.5">
      <c r="A245" s="147"/>
      <c r="B245" s="370" t="s">
        <v>2254</v>
      </c>
      <c r="C245" s="371"/>
      <c r="D245" s="371"/>
      <c r="E245" s="371"/>
      <c r="F245" s="371"/>
      <c r="G245" s="371"/>
      <c r="H245" s="372"/>
      <c r="I245" s="211" t="s">
        <v>2255</v>
      </c>
      <c r="J245" s="212">
        <f>SUM(J221:J244)</f>
        <v>33449.5</v>
      </c>
      <c r="K245" s="153"/>
      <c r="V245" s="25">
        <f>SUM(V221:V244)</f>
        <v>19</v>
      </c>
      <c r="W245" s="25">
        <f>SUM(W221:W244)</f>
        <v>5</v>
      </c>
    </row>
    <row r="246" spans="1:23" ht="30" customHeight="1" thickBot="1" x14ac:dyDescent="0.35">
      <c r="A246" s="213"/>
      <c r="B246" s="172"/>
      <c r="C246" s="172"/>
      <c r="D246" s="172"/>
      <c r="E246" s="172"/>
      <c r="F246" s="172"/>
      <c r="G246" s="172"/>
      <c r="H246" s="235"/>
      <c r="I246" s="172"/>
      <c r="J246" s="235"/>
      <c r="K246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18:J218"/>
    <mergeCell ref="B219:J219"/>
    <mergeCell ref="B245:H245"/>
    <mergeCell ref="B181:H181"/>
    <mergeCell ref="B185:J185"/>
    <mergeCell ref="B186:J186"/>
    <mergeCell ref="B187:J187"/>
    <mergeCell ref="B213:H213"/>
    <mergeCell ref="B217:J217"/>
  </mergeCells>
  <hyperlinks>
    <hyperlink ref="B86" r:id="rId1" xr:uid="{00000000-0004-0000-7A00-000000000000}"/>
    <hyperlink ref="B117" r:id="rId2" xr:uid="{00000000-0004-0000-7A00-000001000000}"/>
    <hyperlink ref="B150" r:id="rId3" xr:uid="{00000000-0004-0000-7A00-000002000000}"/>
    <hyperlink ref="B181" r:id="rId4" xr:uid="{00000000-0004-0000-7A00-000003000000}"/>
    <hyperlink ref="B213" r:id="rId5" xr:uid="{00000000-0004-0000-7A00-000004000000}"/>
    <hyperlink ref="B245" r:id="rId6" xr:uid="{00000000-0004-0000-7A00-000005000000}"/>
    <hyperlink ref="M1" location="'MASTER '!A1" display="Back" xr:uid="{00000000-0004-0000-7A00-000006000000}"/>
    <hyperlink ref="M6:M7" location="'JUN 2023'!A77" display="STOCK FUTURE" xr:uid="{00000000-0004-0000-7A00-000007000000}"/>
    <hyperlink ref="M12:M13" location="'JUN 2023'!A170" display="BANK NIFTY" xr:uid="{00000000-0004-0000-7A00-000008000000}"/>
    <hyperlink ref="M10:M11" location="'JUN 2023'!A139" display="NF. OPTION" xr:uid="{00000000-0004-0000-7A00-000009000000}"/>
    <hyperlink ref="M8:M9" location="'JUN 2023'!A108" display="NIFTY FUTURE" xr:uid="{00000000-0004-0000-7A00-00000A000000}"/>
    <hyperlink ref="M4:M5" location="'JUN 2023'!A1" display="CASH" xr:uid="{00000000-0004-0000-7A00-00000B000000}"/>
    <hyperlink ref="M14:M15" location="'JUN 2023'!A201" display="B.NIFTY OPTION" xr:uid="{00000000-0004-0000-7A00-00000C000000}"/>
    <hyperlink ref="M16:M17" location="'JUN 2023'!A216" display="STOCK OPTION" xr:uid="{00000000-0004-0000-7A00-00000D000000}"/>
    <hyperlink ref="B52" r:id="rId7" xr:uid="{00000000-0004-0000-7A00-00000E000000}"/>
  </hyperlinks>
  <pageMargins left="0" right="0" top="0" bottom="0" header="0" footer="0"/>
  <pageSetup scale="95" orientation="portrait" r:id="rId8"/>
  <drawing r:id="rId9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X248"/>
  <sheetViews>
    <sheetView topLeftCell="A10" zoomScaleNormal="100" workbookViewId="0">
      <selection activeCell="M25" sqref="M2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4" width="9.109375" style="25" hidden="1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4252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37</v>
      </c>
      <c r="P4" s="386">
        <f>W52</f>
        <v>3</v>
      </c>
      <c r="Q4" s="387">
        <f>N4-O4-P4</f>
        <v>0</v>
      </c>
      <c r="R4" s="380">
        <f>O4/N4</f>
        <v>0.92500000000000004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45110</v>
      </c>
      <c r="D6" s="158" t="s">
        <v>9</v>
      </c>
      <c r="E6" s="158" t="s">
        <v>3515</v>
      </c>
      <c r="F6" s="230">
        <v>3800</v>
      </c>
      <c r="G6" s="222">
        <v>3770</v>
      </c>
      <c r="H6" s="222">
        <f>3880-3770</f>
        <v>110</v>
      </c>
      <c r="I6" s="207">
        <f t="shared" ref="I6:I45" si="0">300000/F6</f>
        <v>78.94736842105263</v>
      </c>
      <c r="J6" s="161">
        <f t="shared" ref="J6:J45" si="1">H6*I6</f>
        <v>8684.21052631579</v>
      </c>
      <c r="K6" s="153"/>
      <c r="M6" s="394" t="s">
        <v>450</v>
      </c>
      <c r="N6" s="344">
        <f>COUNT(C60:C85)</f>
        <v>21</v>
      </c>
      <c r="O6" s="346">
        <f>V86</f>
        <v>21</v>
      </c>
      <c r="P6" s="346">
        <f>W86</f>
        <v>0</v>
      </c>
      <c r="Q6" s="374">
        <f>N6-O6-P6</f>
        <v>0</v>
      </c>
      <c r="R6" s="376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45110</v>
      </c>
      <c r="D7" s="161" t="s">
        <v>8</v>
      </c>
      <c r="E7" s="161" t="s">
        <v>3063</v>
      </c>
      <c r="F7" s="222">
        <v>1298</v>
      </c>
      <c r="G7" s="231">
        <v>1291</v>
      </c>
      <c r="H7" s="255">
        <v>7</v>
      </c>
      <c r="I7" s="207">
        <f t="shared" si="0"/>
        <v>231.12480739599383</v>
      </c>
      <c r="J7" s="246">
        <f t="shared" ref="J7:J9" si="3">I7*H7</f>
        <v>1617.8736517719567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45111</v>
      </c>
      <c r="D8" s="161" t="s">
        <v>9</v>
      </c>
      <c r="E8" s="161" t="s">
        <v>476</v>
      </c>
      <c r="F8" s="222">
        <v>1015</v>
      </c>
      <c r="G8" s="222">
        <v>1029</v>
      </c>
      <c r="H8" s="222">
        <f>1029-1015</f>
        <v>14</v>
      </c>
      <c r="I8" s="207">
        <f t="shared" si="0"/>
        <v>295.56650246305418</v>
      </c>
      <c r="J8" s="246">
        <f t="shared" si="3"/>
        <v>4137.9310344827582</v>
      </c>
      <c r="K8" s="153"/>
      <c r="M8" s="394" t="s">
        <v>451</v>
      </c>
      <c r="N8" s="344">
        <f>COUNT(C94:C116)</f>
        <v>22</v>
      </c>
      <c r="O8" s="346">
        <f>V117</f>
        <v>21</v>
      </c>
      <c r="P8" s="346">
        <f>W117</f>
        <v>1</v>
      </c>
      <c r="Q8" s="374">
        <f>N8-O8-P8</f>
        <v>0</v>
      </c>
      <c r="R8" s="376">
        <f t="shared" ref="R8" si="7">O8/N8</f>
        <v>0.95454545454545459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45111</v>
      </c>
      <c r="D9" s="161" t="s">
        <v>9</v>
      </c>
      <c r="E9" s="161" t="s">
        <v>19</v>
      </c>
      <c r="F9" s="222">
        <v>594</v>
      </c>
      <c r="G9" s="231">
        <v>595.9</v>
      </c>
      <c r="H9" s="255">
        <v>1.9</v>
      </c>
      <c r="I9" s="207">
        <f t="shared" si="0"/>
        <v>505.05050505050502</v>
      </c>
      <c r="J9" s="246">
        <f t="shared" si="3"/>
        <v>959.59595959595947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45112</v>
      </c>
      <c r="D10" s="161" t="s">
        <v>9</v>
      </c>
      <c r="E10" s="161" t="s">
        <v>3515</v>
      </c>
      <c r="F10" s="222">
        <v>3735</v>
      </c>
      <c r="G10" s="222">
        <v>3747</v>
      </c>
      <c r="H10" s="222">
        <f>3747-3735</f>
        <v>12</v>
      </c>
      <c r="I10" s="207">
        <f t="shared" si="0"/>
        <v>80.321285140562253</v>
      </c>
      <c r="J10" s="161">
        <f t="shared" si="1"/>
        <v>963.85542168674704</v>
      </c>
      <c r="K10" s="153"/>
      <c r="M10" s="394" t="s">
        <v>1176</v>
      </c>
      <c r="N10" s="344">
        <f>COUNT(C125:C149)</f>
        <v>23</v>
      </c>
      <c r="O10" s="346">
        <f>V150</f>
        <v>20</v>
      </c>
      <c r="P10" s="346">
        <f>W150</f>
        <v>3</v>
      </c>
      <c r="Q10" s="374">
        <f>N10-O10-P10</f>
        <v>0</v>
      </c>
      <c r="R10" s="376">
        <f t="shared" ref="R10:R16" si="8">O10/N10</f>
        <v>0.86956521739130432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45113</v>
      </c>
      <c r="D11" s="161" t="s">
        <v>9</v>
      </c>
      <c r="E11" s="161" t="s">
        <v>31</v>
      </c>
      <c r="F11" s="222">
        <v>2630</v>
      </c>
      <c r="G11" s="222">
        <v>2642</v>
      </c>
      <c r="H11" s="255">
        <v>12</v>
      </c>
      <c r="I11" s="207">
        <f t="shared" si="0"/>
        <v>114.06844106463879</v>
      </c>
      <c r="J11" s="161">
        <f t="shared" si="1"/>
        <v>1368.8212927756654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45113</v>
      </c>
      <c r="D12" s="161" t="s">
        <v>9</v>
      </c>
      <c r="E12" s="161" t="s">
        <v>310</v>
      </c>
      <c r="F12" s="222">
        <v>938</v>
      </c>
      <c r="G12" s="222">
        <v>948</v>
      </c>
      <c r="H12" s="222">
        <v>10</v>
      </c>
      <c r="I12" s="207">
        <f t="shared" si="0"/>
        <v>319.82942430703622</v>
      </c>
      <c r="J12" s="161">
        <f t="shared" si="1"/>
        <v>3198.2942430703624</v>
      </c>
      <c r="K12" s="153"/>
      <c r="M12" s="394" t="s">
        <v>41</v>
      </c>
      <c r="N12" s="344">
        <f>COUNT(C158:C180)</f>
        <v>21</v>
      </c>
      <c r="O12" s="346">
        <f>V181</f>
        <v>18</v>
      </c>
      <c r="P12" s="346">
        <f>W181</f>
        <v>3</v>
      </c>
      <c r="Q12" s="374">
        <f t="shared" ref="Q12" si="9">N12-O12-P12</f>
        <v>0</v>
      </c>
      <c r="R12" s="376">
        <f t="shared" si="8"/>
        <v>0.8571428571428571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45114</v>
      </c>
      <c r="D13" s="161" t="s">
        <v>9</v>
      </c>
      <c r="E13" s="161" t="s">
        <v>16</v>
      </c>
      <c r="F13" s="222">
        <v>3200</v>
      </c>
      <c r="G13" s="222">
        <v>3170</v>
      </c>
      <c r="H13" s="255">
        <v>-30</v>
      </c>
      <c r="I13" s="207">
        <f t="shared" si="0"/>
        <v>93.75</v>
      </c>
      <c r="J13" s="161">
        <f t="shared" si="1"/>
        <v>-2812.5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0</v>
      </c>
      <c r="W13" s="25">
        <f t="shared" si="5"/>
        <v>1</v>
      </c>
    </row>
    <row r="14" spans="1:23" x14ac:dyDescent="0.3">
      <c r="A14" s="147"/>
      <c r="B14" s="205">
        <f t="shared" si="6"/>
        <v>9</v>
      </c>
      <c r="C14" s="206">
        <v>45114</v>
      </c>
      <c r="D14" s="161" t="s">
        <v>9</v>
      </c>
      <c r="E14" s="161" t="s">
        <v>3515</v>
      </c>
      <c r="F14" s="222">
        <v>3765</v>
      </c>
      <c r="G14" s="222">
        <v>3784</v>
      </c>
      <c r="H14" s="222">
        <f>3784-3764</f>
        <v>20</v>
      </c>
      <c r="I14" s="207">
        <f t="shared" si="0"/>
        <v>79.681274900398407</v>
      </c>
      <c r="J14" s="161">
        <f t="shared" si="1"/>
        <v>1593.6254980079682</v>
      </c>
      <c r="K14" s="153"/>
      <c r="M14" s="394" t="s">
        <v>1175</v>
      </c>
      <c r="N14" s="344">
        <f>COUNT(C189:C214)</f>
        <v>26</v>
      </c>
      <c r="O14" s="346">
        <f>V215</f>
        <v>22</v>
      </c>
      <c r="P14" s="346">
        <f>W215</f>
        <v>4</v>
      </c>
      <c r="Q14" s="374">
        <f t="shared" ref="Q14" si="10">N14-O14-P14</f>
        <v>0</v>
      </c>
      <c r="R14" s="376">
        <f t="shared" si="8"/>
        <v>0.84615384615384615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45117</v>
      </c>
      <c r="D15" s="161" t="s">
        <v>9</v>
      </c>
      <c r="E15" s="161" t="s">
        <v>299</v>
      </c>
      <c r="F15" s="222">
        <v>2390</v>
      </c>
      <c r="G15" s="222">
        <v>2430</v>
      </c>
      <c r="H15" s="222">
        <f>2430-2390</f>
        <v>40</v>
      </c>
      <c r="I15" s="207">
        <f t="shared" si="0"/>
        <v>125.52301255230125</v>
      </c>
      <c r="J15" s="161">
        <f t="shared" si="1"/>
        <v>5020.9205020920499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45117</v>
      </c>
      <c r="D16" s="161" t="s">
        <v>9</v>
      </c>
      <c r="E16" s="161" t="s">
        <v>31</v>
      </c>
      <c r="F16" s="222">
        <v>2730</v>
      </c>
      <c r="G16" s="222">
        <v>2750</v>
      </c>
      <c r="H16" s="222">
        <v>20</v>
      </c>
      <c r="I16" s="207">
        <f t="shared" si="0"/>
        <v>109.89010989010988</v>
      </c>
      <c r="J16" s="161">
        <f t="shared" si="1"/>
        <v>2197.8021978021975</v>
      </c>
      <c r="K16" s="153"/>
      <c r="L16" s="25" t="s">
        <v>2008</v>
      </c>
      <c r="M16" s="394" t="s">
        <v>1090</v>
      </c>
      <c r="N16" s="344">
        <f>COUNT(C223:C246)</f>
        <v>21</v>
      </c>
      <c r="O16" s="346">
        <f>V247</f>
        <v>19</v>
      </c>
      <c r="P16" s="346">
        <f>W247</f>
        <v>2</v>
      </c>
      <c r="Q16" s="374">
        <v>0</v>
      </c>
      <c r="R16" s="376">
        <f t="shared" si="8"/>
        <v>0.90476190476190477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45118</v>
      </c>
      <c r="D17" s="161" t="s">
        <v>9</v>
      </c>
      <c r="E17" s="161" t="s">
        <v>3515</v>
      </c>
      <c r="F17" s="222">
        <v>3815</v>
      </c>
      <c r="G17" s="222">
        <v>3875</v>
      </c>
      <c r="H17" s="222">
        <f>3875-3815</f>
        <v>60</v>
      </c>
      <c r="I17" s="207">
        <f t="shared" si="0"/>
        <v>78.636959370904322</v>
      </c>
      <c r="J17" s="161">
        <f t="shared" si="1"/>
        <v>4718.2175622542591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45118</v>
      </c>
      <c r="D18" s="161" t="s">
        <v>9</v>
      </c>
      <c r="E18" s="161" t="s">
        <v>299</v>
      </c>
      <c r="F18" s="222">
        <v>2435</v>
      </c>
      <c r="G18" s="222">
        <v>2444</v>
      </c>
      <c r="H18" s="222">
        <f>2444-2435</f>
        <v>9</v>
      </c>
      <c r="I18" s="207">
        <f t="shared" si="0"/>
        <v>123.20328542094455</v>
      </c>
      <c r="J18" s="161">
        <f t="shared" si="1"/>
        <v>1108.8295687885011</v>
      </c>
      <c r="K18" s="153"/>
      <c r="M18" s="392" t="s">
        <v>946</v>
      </c>
      <c r="N18" s="378">
        <f>SUM(N4:N17)</f>
        <v>174</v>
      </c>
      <c r="O18" s="378">
        <f t="shared" ref="O18:Q18" si="11">SUM(O4:O17)</f>
        <v>158</v>
      </c>
      <c r="P18" s="378">
        <f t="shared" si="11"/>
        <v>16</v>
      </c>
      <c r="Q18" s="378">
        <f t="shared" si="11"/>
        <v>0</v>
      </c>
      <c r="R18" s="380">
        <f t="shared" ref="R18" si="12">O18/N18</f>
        <v>0.90804597701149425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45119</v>
      </c>
      <c r="D19" s="161" t="s">
        <v>9</v>
      </c>
      <c r="E19" s="161" t="s">
        <v>1847</v>
      </c>
      <c r="F19" s="222">
        <v>537</v>
      </c>
      <c r="G19" s="222">
        <v>539</v>
      </c>
      <c r="H19" s="222">
        <v>2</v>
      </c>
      <c r="I19" s="207">
        <f t="shared" si="0"/>
        <v>558.65921787709499</v>
      </c>
      <c r="J19" s="161">
        <f t="shared" si="1"/>
        <v>1117.31843575419</v>
      </c>
      <c r="K19" s="153"/>
      <c r="M19" s="393"/>
      <c r="N19" s="379"/>
      <c r="O19" s="379"/>
      <c r="P19" s="379"/>
      <c r="Q19" s="379"/>
      <c r="R19" s="377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45119</v>
      </c>
      <c r="D20" s="161" t="s">
        <v>9</v>
      </c>
      <c r="E20" s="161" t="s">
        <v>800</v>
      </c>
      <c r="F20" s="222">
        <v>1490</v>
      </c>
      <c r="G20" s="222">
        <v>1498</v>
      </c>
      <c r="H20" s="222">
        <v>8</v>
      </c>
      <c r="I20" s="207">
        <f t="shared" si="0"/>
        <v>201.34228187919464</v>
      </c>
      <c r="J20" s="161">
        <f t="shared" si="1"/>
        <v>1610.7382550335572</v>
      </c>
      <c r="K20" s="153"/>
      <c r="M20" s="316" t="s">
        <v>2253</v>
      </c>
      <c r="N20" s="317"/>
      <c r="O20" s="318"/>
      <c r="P20" s="325">
        <f>R18</f>
        <v>0.90804597701149425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45120</v>
      </c>
      <c r="D21" s="161" t="s">
        <v>9</v>
      </c>
      <c r="E21" s="161" t="s">
        <v>2107</v>
      </c>
      <c r="F21" s="222">
        <v>977</v>
      </c>
      <c r="G21" s="222">
        <v>997</v>
      </c>
      <c r="H21" s="222">
        <f>997-977</f>
        <v>20</v>
      </c>
      <c r="I21" s="207">
        <f t="shared" si="0"/>
        <v>307.06243602865914</v>
      </c>
      <c r="J21" s="161">
        <f t="shared" si="1"/>
        <v>6141.2487205731832</v>
      </c>
      <c r="K21" s="153"/>
      <c r="M21" s="319"/>
      <c r="N21" s="320"/>
      <c r="O21" s="321"/>
      <c r="P21" s="328"/>
      <c r="Q21" s="329"/>
      <c r="R21" s="33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45120</v>
      </c>
      <c r="D22" s="161" t="s">
        <v>9</v>
      </c>
      <c r="E22" s="161" t="s">
        <v>2987</v>
      </c>
      <c r="F22" s="222">
        <v>4570</v>
      </c>
      <c r="G22" s="222">
        <v>4630</v>
      </c>
      <c r="H22" s="222">
        <f>4630-4570</f>
        <v>60</v>
      </c>
      <c r="I22" s="207">
        <f t="shared" si="0"/>
        <v>65.645514223194752</v>
      </c>
      <c r="J22" s="161">
        <f t="shared" si="1"/>
        <v>3938.7308533916853</v>
      </c>
      <c r="K22" s="153"/>
      <c r="M22" s="322"/>
      <c r="N22" s="323"/>
      <c r="O22" s="324"/>
      <c r="P22" s="331"/>
      <c r="Q22" s="332"/>
      <c r="R22" s="33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45121</v>
      </c>
      <c r="D23" s="161" t="s">
        <v>9</v>
      </c>
      <c r="E23" s="161" t="s">
        <v>108</v>
      </c>
      <c r="F23" s="222">
        <v>690</v>
      </c>
      <c r="G23" s="222">
        <v>702</v>
      </c>
      <c r="H23" s="222">
        <f>702-690</f>
        <v>12</v>
      </c>
      <c r="I23" s="207">
        <f t="shared" si="0"/>
        <v>434.78260869565219</v>
      </c>
      <c r="J23" s="161">
        <f t="shared" si="1"/>
        <v>5217.391304347826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45121</v>
      </c>
      <c r="D24" s="161" t="s">
        <v>8</v>
      </c>
      <c r="E24" s="161" t="s">
        <v>3515</v>
      </c>
      <c r="F24" s="222">
        <v>3790</v>
      </c>
      <c r="G24" s="222">
        <v>3780</v>
      </c>
      <c r="H24" s="222">
        <v>10</v>
      </c>
      <c r="I24" s="207">
        <f t="shared" si="0"/>
        <v>79.155672823218993</v>
      </c>
      <c r="J24" s="161">
        <f t="shared" si="1"/>
        <v>791.55672823218993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45124</v>
      </c>
      <c r="D25" s="161" t="s">
        <v>9</v>
      </c>
      <c r="E25" s="161" t="s">
        <v>132</v>
      </c>
      <c r="F25" s="161">
        <v>500</v>
      </c>
      <c r="G25" s="222">
        <v>505</v>
      </c>
      <c r="H25" s="222">
        <v>5</v>
      </c>
      <c r="I25" s="207">
        <f t="shared" si="0"/>
        <v>600</v>
      </c>
      <c r="J25" s="161">
        <f t="shared" si="1"/>
        <v>3000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45124</v>
      </c>
      <c r="D26" s="161" t="s">
        <v>9</v>
      </c>
      <c r="E26" s="161" t="s">
        <v>184</v>
      </c>
      <c r="F26" s="222">
        <v>415</v>
      </c>
      <c r="G26" s="222">
        <v>422</v>
      </c>
      <c r="H26" s="222">
        <f>422-415</f>
        <v>7</v>
      </c>
      <c r="I26" s="207">
        <f t="shared" si="0"/>
        <v>722.89156626506019</v>
      </c>
      <c r="J26" s="161">
        <f t="shared" si="1"/>
        <v>5060.2409638554218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45125</v>
      </c>
      <c r="D27" s="161" t="s">
        <v>9</v>
      </c>
      <c r="E27" s="161" t="s">
        <v>3844</v>
      </c>
      <c r="F27" s="222">
        <v>1358</v>
      </c>
      <c r="G27" s="222">
        <v>1364</v>
      </c>
      <c r="H27" s="222">
        <f>1364-1357</f>
        <v>7</v>
      </c>
      <c r="I27" s="207">
        <f t="shared" si="0"/>
        <v>220.91310751104567</v>
      </c>
      <c r="J27" s="161">
        <f t="shared" si="1"/>
        <v>1546.3917525773197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45125</v>
      </c>
      <c r="D28" s="161" t="s">
        <v>9</v>
      </c>
      <c r="E28" s="161" t="s">
        <v>3515</v>
      </c>
      <c r="F28" s="222">
        <v>3860</v>
      </c>
      <c r="G28" s="222">
        <v>3875</v>
      </c>
      <c r="H28" s="222">
        <v>15</v>
      </c>
      <c r="I28" s="207">
        <f t="shared" si="0"/>
        <v>77.720207253886016</v>
      </c>
      <c r="J28" s="161">
        <f t="shared" si="1"/>
        <v>1165.8031088082903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45126</v>
      </c>
      <c r="D29" s="161" t="s">
        <v>9</v>
      </c>
      <c r="E29" s="161" t="s">
        <v>3515</v>
      </c>
      <c r="F29" s="222">
        <v>3880</v>
      </c>
      <c r="G29" s="222">
        <v>3850</v>
      </c>
      <c r="H29" s="222">
        <v>-30</v>
      </c>
      <c r="I29" s="207">
        <f t="shared" si="0"/>
        <v>77.319587628865975</v>
      </c>
      <c r="J29" s="161">
        <f t="shared" si="1"/>
        <v>-2319.5876288659792</v>
      </c>
      <c r="K29" s="153"/>
      <c r="V29" s="25">
        <f t="shared" si="4"/>
        <v>0</v>
      </c>
      <c r="W29" s="25">
        <f t="shared" si="5"/>
        <v>1</v>
      </c>
    </row>
    <row r="30" spans="1:23" x14ac:dyDescent="0.3">
      <c r="A30" s="147"/>
      <c r="B30" s="205">
        <f t="shared" si="6"/>
        <v>25</v>
      </c>
      <c r="C30" s="206">
        <v>45126</v>
      </c>
      <c r="D30" s="161" t="s">
        <v>9</v>
      </c>
      <c r="E30" s="161" t="s">
        <v>51</v>
      </c>
      <c r="F30" s="222">
        <v>785</v>
      </c>
      <c r="G30" s="222">
        <v>792.5</v>
      </c>
      <c r="H30" s="222">
        <f>792.5-785</f>
        <v>7.5</v>
      </c>
      <c r="I30" s="207">
        <f t="shared" si="0"/>
        <v>382.16560509554142</v>
      </c>
      <c r="J30" s="161">
        <f t="shared" si="1"/>
        <v>2866.2420382165606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45127</v>
      </c>
      <c r="D31" s="161" t="s">
        <v>9</v>
      </c>
      <c r="E31" s="161" t="s">
        <v>187</v>
      </c>
      <c r="F31" s="223">
        <v>112</v>
      </c>
      <c r="G31" s="222">
        <v>111</v>
      </c>
      <c r="H31" s="255">
        <v>-1</v>
      </c>
      <c r="I31" s="207">
        <f t="shared" si="0"/>
        <v>2678.5714285714284</v>
      </c>
      <c r="J31" s="161">
        <f t="shared" si="1"/>
        <v>-2678.5714285714284</v>
      </c>
      <c r="K31" s="153"/>
      <c r="V31" s="25">
        <f t="shared" si="4"/>
        <v>0</v>
      </c>
      <c r="W31" s="25">
        <f t="shared" si="5"/>
        <v>1</v>
      </c>
    </row>
    <row r="32" spans="1:23" x14ac:dyDescent="0.3">
      <c r="A32" s="147"/>
      <c r="B32" s="205">
        <f t="shared" si="6"/>
        <v>27</v>
      </c>
      <c r="C32" s="206">
        <v>45127</v>
      </c>
      <c r="D32" s="161" t="s">
        <v>9</v>
      </c>
      <c r="E32" s="161" t="s">
        <v>50</v>
      </c>
      <c r="F32" s="222">
        <v>1095</v>
      </c>
      <c r="G32" s="222">
        <v>1102.5</v>
      </c>
      <c r="H32" s="222">
        <f>1102.5-1095</f>
        <v>7.5</v>
      </c>
      <c r="I32" s="207">
        <f t="shared" si="0"/>
        <v>273.97260273972603</v>
      </c>
      <c r="J32" s="161">
        <f t="shared" si="1"/>
        <v>2054.794520547945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45128</v>
      </c>
      <c r="D33" s="161" t="s">
        <v>9</v>
      </c>
      <c r="E33" s="161" t="s">
        <v>310</v>
      </c>
      <c r="F33" s="223">
        <v>984</v>
      </c>
      <c r="G33" s="222">
        <v>1004</v>
      </c>
      <c r="H33" s="255">
        <f>1004-984</f>
        <v>20</v>
      </c>
      <c r="I33" s="207">
        <f t="shared" si="0"/>
        <v>304.8780487804878</v>
      </c>
      <c r="J33" s="161">
        <f t="shared" si="1"/>
        <v>6097.5609756097565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45131</v>
      </c>
      <c r="D34" s="161" t="s">
        <v>9</v>
      </c>
      <c r="E34" s="161" t="s">
        <v>4162</v>
      </c>
      <c r="F34" s="222">
        <v>399</v>
      </c>
      <c r="G34" s="222">
        <v>397</v>
      </c>
      <c r="H34" s="222">
        <v>2</v>
      </c>
      <c r="I34" s="207">
        <f t="shared" si="0"/>
        <v>751.87969924812035</v>
      </c>
      <c r="J34" s="161">
        <f t="shared" si="1"/>
        <v>1503.7593984962407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45131</v>
      </c>
      <c r="D35" s="161" t="s">
        <v>9</v>
      </c>
      <c r="E35" s="161" t="s">
        <v>422</v>
      </c>
      <c r="F35" s="222">
        <v>1610</v>
      </c>
      <c r="G35" s="222">
        <v>1630</v>
      </c>
      <c r="H35" s="222">
        <v>20</v>
      </c>
      <c r="I35" s="207">
        <f t="shared" si="0"/>
        <v>186.33540372670808</v>
      </c>
      <c r="J35" s="161">
        <f t="shared" si="1"/>
        <v>3726.7080745341618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45132</v>
      </c>
      <c r="D36" s="161" t="s">
        <v>9</v>
      </c>
      <c r="E36" s="161" t="s">
        <v>31</v>
      </c>
      <c r="F36" s="222">
        <v>2490</v>
      </c>
      <c r="G36" s="222">
        <v>2505</v>
      </c>
      <c r="H36" s="222">
        <f>2505-2490</f>
        <v>15</v>
      </c>
      <c r="I36" s="207">
        <f t="shared" si="0"/>
        <v>120.48192771084338</v>
      </c>
      <c r="J36" s="161">
        <f t="shared" si="1"/>
        <v>1807.2289156626507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45132</v>
      </c>
      <c r="D37" s="161" t="s">
        <v>9</v>
      </c>
      <c r="E37" s="161" t="s">
        <v>3923</v>
      </c>
      <c r="F37" s="222">
        <v>213.5</v>
      </c>
      <c r="G37" s="222">
        <v>214.5</v>
      </c>
      <c r="H37" s="222">
        <f>214.5-213.5</f>
        <v>1</v>
      </c>
      <c r="I37" s="207">
        <f t="shared" si="0"/>
        <v>1405.1522248243559</v>
      </c>
      <c r="J37" s="161">
        <f t="shared" si="1"/>
        <v>1405.1522248243559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45133</v>
      </c>
      <c r="D38" s="161" t="s">
        <v>9</v>
      </c>
      <c r="E38" s="161" t="s">
        <v>2911</v>
      </c>
      <c r="F38" s="222">
        <v>131</v>
      </c>
      <c r="G38" s="222">
        <v>135</v>
      </c>
      <c r="H38" s="222">
        <v>4</v>
      </c>
      <c r="I38" s="207">
        <f t="shared" si="0"/>
        <v>2290.0763358778627</v>
      </c>
      <c r="J38" s="161">
        <f t="shared" si="1"/>
        <v>9160.3053435114507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45133</v>
      </c>
      <c r="D39" s="161" t="s">
        <v>9</v>
      </c>
      <c r="E39" s="161" t="s">
        <v>78</v>
      </c>
      <c r="F39" s="222">
        <v>2660</v>
      </c>
      <c r="G39" s="222">
        <v>2670</v>
      </c>
      <c r="H39" s="222">
        <v>10</v>
      </c>
      <c r="I39" s="207">
        <f t="shared" si="0"/>
        <v>112.78195488721805</v>
      </c>
      <c r="J39" s="161">
        <f t="shared" si="1"/>
        <v>1127.8195488721806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45134</v>
      </c>
      <c r="D40" s="161" t="s">
        <v>9</v>
      </c>
      <c r="E40" s="161" t="s">
        <v>19</v>
      </c>
      <c r="F40" s="222">
        <v>618</v>
      </c>
      <c r="G40" s="222">
        <v>621</v>
      </c>
      <c r="H40" s="222">
        <v>3</v>
      </c>
      <c r="I40" s="207">
        <f t="shared" si="0"/>
        <v>485.43689320388347</v>
      </c>
      <c r="J40" s="161">
        <f t="shared" si="1"/>
        <v>1456.3106796116504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45134</v>
      </c>
      <c r="D41" s="161" t="s">
        <v>9</v>
      </c>
      <c r="E41" s="161" t="s">
        <v>3474</v>
      </c>
      <c r="F41" s="222">
        <v>1018</v>
      </c>
      <c r="G41" s="223">
        <v>1024</v>
      </c>
      <c r="H41" s="222">
        <v>6</v>
      </c>
      <c r="I41" s="207">
        <f t="shared" si="0"/>
        <v>294.69548133595288</v>
      </c>
      <c r="J41" s="161">
        <f t="shared" si="1"/>
        <v>1768.1728880157173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45135</v>
      </c>
      <c r="D42" s="161" t="s">
        <v>9</v>
      </c>
      <c r="E42" s="161" t="s">
        <v>3248</v>
      </c>
      <c r="F42" s="222">
        <v>1735</v>
      </c>
      <c r="G42" s="222">
        <v>1765</v>
      </c>
      <c r="H42" s="222">
        <v>30</v>
      </c>
      <c r="I42" s="207">
        <f t="shared" si="0"/>
        <v>172.91066282420749</v>
      </c>
      <c r="J42" s="161">
        <f t="shared" si="1"/>
        <v>5187.3198847262247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45135</v>
      </c>
      <c r="D43" s="161" t="s">
        <v>8</v>
      </c>
      <c r="E43" s="161" t="s">
        <v>4297</v>
      </c>
      <c r="F43" s="222">
        <v>335</v>
      </c>
      <c r="G43" s="222">
        <v>332</v>
      </c>
      <c r="H43" s="222">
        <v>3</v>
      </c>
      <c r="I43" s="207">
        <f t="shared" si="0"/>
        <v>895.52238805970148</v>
      </c>
      <c r="J43" s="161">
        <f t="shared" si="1"/>
        <v>2686.5671641791046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45138</v>
      </c>
      <c r="D44" s="161" t="s">
        <v>9</v>
      </c>
      <c r="E44" s="161" t="s">
        <v>2707</v>
      </c>
      <c r="F44" s="222">
        <v>144</v>
      </c>
      <c r="G44" s="222">
        <v>145</v>
      </c>
      <c r="H44" s="222">
        <v>1</v>
      </c>
      <c r="I44" s="207">
        <f t="shared" si="0"/>
        <v>2083.3333333333335</v>
      </c>
      <c r="J44" s="161">
        <f t="shared" si="1"/>
        <v>2083.3333333333335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45138</v>
      </c>
      <c r="D45" s="161" t="s">
        <v>8</v>
      </c>
      <c r="E45" s="161" t="s">
        <v>175</v>
      </c>
      <c r="F45" s="222">
        <v>824</v>
      </c>
      <c r="G45" s="222">
        <v>816.5</v>
      </c>
      <c r="H45" s="222">
        <f>824-816.5</f>
        <v>7.5</v>
      </c>
      <c r="I45" s="207">
        <f t="shared" si="0"/>
        <v>364.07766990291265</v>
      </c>
      <c r="J45" s="161">
        <f t="shared" si="1"/>
        <v>2730.5825242718447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/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/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103010.59603819366</v>
      </c>
      <c r="K52" s="153"/>
      <c r="V52" s="25">
        <f>SUM(V6:V51)</f>
        <v>37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4253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45110</v>
      </c>
      <c r="D60" s="161" t="s">
        <v>9</v>
      </c>
      <c r="E60" s="161" t="s">
        <v>95</v>
      </c>
      <c r="F60" s="222">
        <v>950</v>
      </c>
      <c r="G60" s="222">
        <v>952.25</v>
      </c>
      <c r="H60" s="222">
        <v>2.25</v>
      </c>
      <c r="I60" s="207">
        <v>700</v>
      </c>
      <c r="J60" s="241">
        <f t="shared" ref="J60:J85" si="13">I60*H60</f>
        <v>1575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45111</v>
      </c>
      <c r="D61" s="161" t="s">
        <v>9</v>
      </c>
      <c r="E61" s="161" t="s">
        <v>126</v>
      </c>
      <c r="F61" s="222">
        <v>3305</v>
      </c>
      <c r="G61" s="222">
        <v>3321</v>
      </c>
      <c r="H61" s="222">
        <f>3321-3305</f>
        <v>16</v>
      </c>
      <c r="I61" s="207">
        <v>175</v>
      </c>
      <c r="J61" s="242">
        <f t="shared" si="13"/>
        <v>2800</v>
      </c>
      <c r="K61" s="153"/>
      <c r="O61" s="25" t="s">
        <v>2008</v>
      </c>
      <c r="V61" s="25">
        <f t="shared" ref="V61:V85" si="14">IF($J61&gt;0,1,0)</f>
        <v>1</v>
      </c>
      <c r="W61" s="25">
        <f t="shared" ref="W61:W85" si="15">IF($J61&lt;0,1,0)</f>
        <v>0</v>
      </c>
    </row>
    <row r="62" spans="1:23" x14ac:dyDescent="0.3">
      <c r="A62" s="147"/>
      <c r="B62" s="205">
        <f t="shared" ref="B62:B82" si="16">B61+1</f>
        <v>3</v>
      </c>
      <c r="C62" s="206">
        <v>45112</v>
      </c>
      <c r="D62" s="161" t="s">
        <v>9</v>
      </c>
      <c r="E62" s="161" t="s">
        <v>496</v>
      </c>
      <c r="F62" s="222">
        <v>402</v>
      </c>
      <c r="G62" s="222">
        <v>403.5</v>
      </c>
      <c r="H62" s="222">
        <v>1.5</v>
      </c>
      <c r="I62" s="207">
        <v>2000</v>
      </c>
      <c r="J62" s="242">
        <f t="shared" si="13"/>
        <v>3000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45113</v>
      </c>
      <c r="D63" s="161" t="s">
        <v>9</v>
      </c>
      <c r="E63" s="161" t="s">
        <v>800</v>
      </c>
      <c r="F63" s="222">
        <v>1540</v>
      </c>
      <c r="G63" s="222">
        <v>1555</v>
      </c>
      <c r="H63" s="222">
        <f>1555-1540</f>
        <v>15</v>
      </c>
      <c r="I63" s="207">
        <v>400</v>
      </c>
      <c r="J63" s="242">
        <f>I63*H63</f>
        <v>6000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45114</v>
      </c>
      <c r="D64" s="161" t="s">
        <v>9</v>
      </c>
      <c r="E64" s="161" t="s">
        <v>126</v>
      </c>
      <c r="F64" s="222">
        <v>3340</v>
      </c>
      <c r="G64" s="222">
        <v>3364</v>
      </c>
      <c r="H64" s="222">
        <f>3364-3340</f>
        <v>24</v>
      </c>
      <c r="I64" s="207">
        <v>175</v>
      </c>
      <c r="J64" s="242">
        <f>I64*H64</f>
        <v>4200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45117</v>
      </c>
      <c r="D65" s="161" t="s">
        <v>9</v>
      </c>
      <c r="E65" s="161" t="s">
        <v>58</v>
      </c>
      <c r="F65" s="222">
        <v>985</v>
      </c>
      <c r="G65" s="222">
        <v>989</v>
      </c>
      <c r="H65" s="222">
        <v>4</v>
      </c>
      <c r="I65" s="207">
        <v>625</v>
      </c>
      <c r="J65" s="242">
        <f>I65*H65</f>
        <v>2500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45118</v>
      </c>
      <c r="D66" s="161" t="s">
        <v>9</v>
      </c>
      <c r="E66" s="161" t="s">
        <v>3562</v>
      </c>
      <c r="F66" s="222">
        <v>4300</v>
      </c>
      <c r="G66" s="222">
        <v>4380</v>
      </c>
      <c r="H66" s="222">
        <v>80</v>
      </c>
      <c r="I66" s="207">
        <v>200</v>
      </c>
      <c r="J66" s="242">
        <f t="shared" si="13"/>
        <v>16000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45119</v>
      </c>
      <c r="D67" s="161" t="s">
        <v>9</v>
      </c>
      <c r="E67" s="161" t="s">
        <v>15</v>
      </c>
      <c r="F67" s="222">
        <v>3845</v>
      </c>
      <c r="G67" s="222">
        <v>3885</v>
      </c>
      <c r="H67" s="222">
        <f>3885-3845</f>
        <v>40</v>
      </c>
      <c r="I67" s="207">
        <v>275</v>
      </c>
      <c r="J67" s="242">
        <f t="shared" si="13"/>
        <v>11000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45120</v>
      </c>
      <c r="D68" s="161" t="s">
        <v>9</v>
      </c>
      <c r="E68" s="161" t="s">
        <v>3476</v>
      </c>
      <c r="F68" s="222">
        <v>1855</v>
      </c>
      <c r="G68" s="222">
        <v>1862</v>
      </c>
      <c r="H68" s="222">
        <f>1862-1855</f>
        <v>7</v>
      </c>
      <c r="I68" s="207">
        <v>367</v>
      </c>
      <c r="J68" s="242">
        <f t="shared" si="13"/>
        <v>2569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45121</v>
      </c>
      <c r="D69" s="161" t="s">
        <v>8</v>
      </c>
      <c r="E69" s="161" t="s">
        <v>4210</v>
      </c>
      <c r="F69" s="222">
        <v>1397</v>
      </c>
      <c r="G69" s="222">
        <v>1390</v>
      </c>
      <c r="H69" s="222">
        <v>7</v>
      </c>
      <c r="I69" s="207">
        <v>407</v>
      </c>
      <c r="J69" s="242">
        <f t="shared" si="13"/>
        <v>2849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45124</v>
      </c>
      <c r="D70" s="161" t="s">
        <v>9</v>
      </c>
      <c r="E70" s="161" t="s">
        <v>864</v>
      </c>
      <c r="F70" s="161">
        <v>2215</v>
      </c>
      <c r="G70" s="222">
        <v>2254</v>
      </c>
      <c r="H70" s="222">
        <f>2254-2215</f>
        <v>39</v>
      </c>
      <c r="I70" s="207">
        <v>375</v>
      </c>
      <c r="J70" s="242">
        <f t="shared" si="13"/>
        <v>14625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45125</v>
      </c>
      <c r="D71" s="161" t="s">
        <v>9</v>
      </c>
      <c r="E71" s="161" t="s">
        <v>3445</v>
      </c>
      <c r="F71" s="222">
        <v>3975</v>
      </c>
      <c r="G71" s="222">
        <v>4035</v>
      </c>
      <c r="H71" s="222">
        <f>4035-3975</f>
        <v>60</v>
      </c>
      <c r="I71" s="207">
        <v>300</v>
      </c>
      <c r="J71" s="242">
        <f t="shared" si="13"/>
        <v>18000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45126</v>
      </c>
      <c r="D72" s="161" t="s">
        <v>9</v>
      </c>
      <c r="E72" s="161" t="s">
        <v>3886</v>
      </c>
      <c r="F72" s="222">
        <v>4070</v>
      </c>
      <c r="G72" s="222">
        <v>4170</v>
      </c>
      <c r="H72" s="222">
        <f>4170-4070</f>
        <v>100</v>
      </c>
      <c r="I72" s="207">
        <v>200</v>
      </c>
      <c r="J72" s="242">
        <f t="shared" si="13"/>
        <v>20000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45127</v>
      </c>
      <c r="D73" s="161" t="s">
        <v>9</v>
      </c>
      <c r="E73" s="161" t="s">
        <v>395</v>
      </c>
      <c r="F73" s="222">
        <v>5260</v>
      </c>
      <c r="G73" s="222">
        <v>5340</v>
      </c>
      <c r="H73" s="255">
        <v>20</v>
      </c>
      <c r="I73" s="207">
        <v>125</v>
      </c>
      <c r="J73" s="242">
        <f t="shared" si="13"/>
        <v>2500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45128</v>
      </c>
      <c r="D74" s="265" t="s">
        <v>9</v>
      </c>
      <c r="E74" s="265" t="s">
        <v>15</v>
      </c>
      <c r="F74" s="277">
        <v>3655</v>
      </c>
      <c r="G74" s="267">
        <v>3625</v>
      </c>
      <c r="H74" s="222">
        <v>30</v>
      </c>
      <c r="I74" s="207">
        <v>275</v>
      </c>
      <c r="J74" s="242">
        <f t="shared" si="13"/>
        <v>8250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45131</v>
      </c>
      <c r="D75" s="265" t="s">
        <v>8</v>
      </c>
      <c r="E75" s="265" t="s">
        <v>3562</v>
      </c>
      <c r="F75" s="277">
        <v>4100</v>
      </c>
      <c r="G75" s="267">
        <v>4020</v>
      </c>
      <c r="H75" s="222">
        <f>4100-4020</f>
        <v>80</v>
      </c>
      <c r="I75" s="207">
        <v>200</v>
      </c>
      <c r="J75" s="242">
        <f t="shared" si="13"/>
        <v>16000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45132</v>
      </c>
      <c r="D76" s="161" t="s">
        <v>9</v>
      </c>
      <c r="E76" s="161" t="s">
        <v>395</v>
      </c>
      <c r="F76" s="222">
        <v>5430</v>
      </c>
      <c r="G76" s="222">
        <v>5486</v>
      </c>
      <c r="H76" s="222">
        <v>56</v>
      </c>
      <c r="I76" s="207">
        <v>125</v>
      </c>
      <c r="J76" s="242">
        <f t="shared" si="13"/>
        <v>7000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45133</v>
      </c>
      <c r="D77" s="161" t="s">
        <v>8</v>
      </c>
      <c r="E77" s="161" t="s">
        <v>796</v>
      </c>
      <c r="F77" s="222">
        <v>5190</v>
      </c>
      <c r="G77" s="222">
        <v>5165</v>
      </c>
      <c r="H77" s="222">
        <f>5190-5165</f>
        <v>25</v>
      </c>
      <c r="I77" s="207">
        <v>125</v>
      </c>
      <c r="J77" s="242">
        <f t="shared" si="13"/>
        <v>3125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45134</v>
      </c>
      <c r="D78" s="161" t="s">
        <v>9</v>
      </c>
      <c r="E78" s="161" t="s">
        <v>3474</v>
      </c>
      <c r="F78" s="223">
        <v>1018</v>
      </c>
      <c r="G78" s="222">
        <v>1025</v>
      </c>
      <c r="H78" s="255">
        <f>1025-1018</f>
        <v>7</v>
      </c>
      <c r="I78" s="207">
        <v>700</v>
      </c>
      <c r="J78" s="242">
        <f t="shared" si="13"/>
        <v>4900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45135</v>
      </c>
      <c r="D79" s="161" t="s">
        <v>9</v>
      </c>
      <c r="E79" s="161" t="s">
        <v>395</v>
      </c>
      <c r="F79" s="222">
        <v>5600</v>
      </c>
      <c r="G79" s="222">
        <v>5660</v>
      </c>
      <c r="H79" s="222">
        <v>60</v>
      </c>
      <c r="I79" s="207">
        <v>125</v>
      </c>
      <c r="J79" s="242">
        <f t="shared" si="13"/>
        <v>7500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45138</v>
      </c>
      <c r="D80" s="161" t="s">
        <v>9</v>
      </c>
      <c r="E80" s="161" t="s">
        <v>3562</v>
      </c>
      <c r="F80" s="222">
        <v>4100</v>
      </c>
      <c r="G80" s="222">
        <v>4159</v>
      </c>
      <c r="H80" s="222">
        <v>59</v>
      </c>
      <c r="I80" s="207">
        <v>200</v>
      </c>
      <c r="J80" s="242">
        <f t="shared" si="13"/>
        <v>11800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3"/>
        <v>0</v>
      </c>
      <c r="K85" s="153"/>
      <c r="V85" s="25">
        <f t="shared" si="14"/>
        <v>0</v>
      </c>
      <c r="W85" s="25">
        <f t="shared" si="15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166193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4252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45110</v>
      </c>
      <c r="D94" s="185" t="s">
        <v>9</v>
      </c>
      <c r="E94" s="185" t="s">
        <v>39</v>
      </c>
      <c r="F94" s="219">
        <v>19380</v>
      </c>
      <c r="G94" s="219">
        <v>19398</v>
      </c>
      <c r="H94" s="185">
        <f>19398-19380</f>
        <v>18</v>
      </c>
      <c r="I94" s="219">
        <v>150</v>
      </c>
      <c r="J94" s="246">
        <f t="shared" ref="J94:J116" si="17">I94*H94</f>
        <v>2700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45111</v>
      </c>
      <c r="D95" s="185" t="s">
        <v>9</v>
      </c>
      <c r="E95" s="185" t="s">
        <v>39</v>
      </c>
      <c r="F95" s="219">
        <v>19400</v>
      </c>
      <c r="G95" s="219">
        <v>19480</v>
      </c>
      <c r="H95" s="185">
        <v>80</v>
      </c>
      <c r="I95" s="219">
        <v>150</v>
      </c>
      <c r="J95" s="242">
        <f t="shared" si="17"/>
        <v>12000</v>
      </c>
      <c r="K95" s="153"/>
      <c r="V95" s="25">
        <f t="shared" ref="V95:V116" si="18">IF($J95&gt;0,1,0)</f>
        <v>1</v>
      </c>
      <c r="W95" s="25">
        <f t="shared" ref="W95:W116" si="19">IF($J95&lt;0,1,0)</f>
        <v>0</v>
      </c>
    </row>
    <row r="96" spans="1:23" x14ac:dyDescent="0.3">
      <c r="A96" s="147"/>
      <c r="B96" s="205">
        <f t="shared" ref="B96:B116" si="20">B95+1</f>
        <v>3</v>
      </c>
      <c r="C96" s="206">
        <v>45112</v>
      </c>
      <c r="D96" s="161" t="s">
        <v>8</v>
      </c>
      <c r="E96" s="161" t="s">
        <v>39</v>
      </c>
      <c r="F96" s="207">
        <v>19450</v>
      </c>
      <c r="G96" s="207">
        <v>19417</v>
      </c>
      <c r="H96" s="161">
        <f>19450-19417</f>
        <v>33</v>
      </c>
      <c r="I96" s="207">
        <v>150</v>
      </c>
      <c r="J96" s="242">
        <f t="shared" si="17"/>
        <v>4950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4</v>
      </c>
      <c r="C97" s="206">
        <v>45113</v>
      </c>
      <c r="D97" s="161" t="s">
        <v>9</v>
      </c>
      <c r="E97" s="161" t="s">
        <v>39</v>
      </c>
      <c r="F97" s="207">
        <v>19500</v>
      </c>
      <c r="G97" s="207">
        <v>19550</v>
      </c>
      <c r="H97" s="161">
        <v>50</v>
      </c>
      <c r="I97" s="207">
        <v>150</v>
      </c>
      <c r="J97" s="242">
        <f t="shared" si="17"/>
        <v>7500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5</v>
      </c>
      <c r="C98" s="206">
        <v>45114</v>
      </c>
      <c r="D98" s="161" t="s">
        <v>9</v>
      </c>
      <c r="E98" s="161" t="s">
        <v>39</v>
      </c>
      <c r="F98" s="207">
        <v>19530</v>
      </c>
      <c r="G98" s="207">
        <v>19567</v>
      </c>
      <c r="H98" s="161">
        <f>19567-19530</f>
        <v>37</v>
      </c>
      <c r="I98" s="207">
        <v>150</v>
      </c>
      <c r="J98" s="242">
        <f t="shared" si="17"/>
        <v>5550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6</v>
      </c>
      <c r="C99" s="206">
        <v>45117</v>
      </c>
      <c r="D99" s="161" t="s">
        <v>9</v>
      </c>
      <c r="E99" s="161" t="s">
        <v>39</v>
      </c>
      <c r="F99" s="207">
        <v>19440</v>
      </c>
      <c r="G99" s="207">
        <v>19480</v>
      </c>
      <c r="H99" s="161">
        <v>40</v>
      </c>
      <c r="I99" s="207">
        <v>150</v>
      </c>
      <c r="J99" s="242">
        <f t="shared" si="17"/>
        <v>6000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7</v>
      </c>
      <c r="C100" s="206">
        <v>45118</v>
      </c>
      <c r="D100" s="161" t="s">
        <v>9</v>
      </c>
      <c r="E100" s="161" t="s">
        <v>39</v>
      </c>
      <c r="F100" s="207">
        <v>19500</v>
      </c>
      <c r="G100" s="207">
        <v>19560</v>
      </c>
      <c r="H100" s="161">
        <v>60</v>
      </c>
      <c r="I100" s="207">
        <v>150</v>
      </c>
      <c r="J100" s="242">
        <f t="shared" si="17"/>
        <v>9000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8</v>
      </c>
      <c r="C101" s="206">
        <v>45119</v>
      </c>
      <c r="D101" s="161" t="s">
        <v>8</v>
      </c>
      <c r="E101" s="161" t="s">
        <v>39</v>
      </c>
      <c r="F101" s="207">
        <v>19500</v>
      </c>
      <c r="G101" s="207">
        <v>19460</v>
      </c>
      <c r="H101" s="161">
        <f>19500-19460</f>
        <v>40</v>
      </c>
      <c r="I101" s="207">
        <v>150</v>
      </c>
      <c r="J101" s="242">
        <f t="shared" si="17"/>
        <v>6000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9</v>
      </c>
      <c r="C102" s="206">
        <v>45120</v>
      </c>
      <c r="D102" s="161" t="s">
        <v>9</v>
      </c>
      <c r="E102" s="161" t="s">
        <v>39</v>
      </c>
      <c r="F102" s="207">
        <v>19590</v>
      </c>
      <c r="G102" s="207">
        <v>19610</v>
      </c>
      <c r="H102" s="161">
        <f>19610-19590</f>
        <v>20</v>
      </c>
      <c r="I102" s="207">
        <v>150</v>
      </c>
      <c r="J102" s="242">
        <f t="shared" si="17"/>
        <v>3000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10</v>
      </c>
      <c r="C103" s="206">
        <v>45121</v>
      </c>
      <c r="D103" s="161" t="s">
        <v>8</v>
      </c>
      <c r="E103" s="161" t="s">
        <v>39</v>
      </c>
      <c r="F103" s="207">
        <v>19510</v>
      </c>
      <c r="G103" s="207">
        <v>19475</v>
      </c>
      <c r="H103" s="161">
        <f>19510-19475</f>
        <v>35</v>
      </c>
      <c r="I103" s="207">
        <v>150</v>
      </c>
      <c r="J103" s="242">
        <f t="shared" si="17"/>
        <v>5250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11</v>
      </c>
      <c r="C104" s="206">
        <v>45124</v>
      </c>
      <c r="D104" s="161" t="s">
        <v>9</v>
      </c>
      <c r="E104" s="161" t="s">
        <v>39</v>
      </c>
      <c r="F104" s="207">
        <v>19610</v>
      </c>
      <c r="G104" s="207">
        <v>19690</v>
      </c>
      <c r="H104" s="161">
        <f>19690-19610</f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12</v>
      </c>
      <c r="C105" s="206">
        <v>45125</v>
      </c>
      <c r="D105" s="161" t="s">
        <v>9</v>
      </c>
      <c r="E105" s="161" t="s">
        <v>39</v>
      </c>
      <c r="F105" s="207">
        <v>19800</v>
      </c>
      <c r="G105" s="207">
        <v>19824</v>
      </c>
      <c r="H105" s="161">
        <v>24</v>
      </c>
      <c r="I105" s="207">
        <v>150</v>
      </c>
      <c r="J105" s="242">
        <f t="shared" si="17"/>
        <v>3600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13</v>
      </c>
      <c r="C106" s="206">
        <v>45126</v>
      </c>
      <c r="D106" s="161" t="s">
        <v>9</v>
      </c>
      <c r="E106" s="161" t="s">
        <v>39</v>
      </c>
      <c r="F106" s="207">
        <v>19820</v>
      </c>
      <c r="G106" s="207">
        <v>19839</v>
      </c>
      <c r="H106" s="161">
        <f>19839-19820</f>
        <v>19</v>
      </c>
      <c r="I106" s="207">
        <v>150</v>
      </c>
      <c r="J106" s="242">
        <f t="shared" si="17"/>
        <v>2850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14</v>
      </c>
      <c r="C107" s="206">
        <v>45127</v>
      </c>
      <c r="D107" s="161" t="s">
        <v>9</v>
      </c>
      <c r="E107" s="161" t="s">
        <v>39</v>
      </c>
      <c r="F107" s="207">
        <v>19810</v>
      </c>
      <c r="G107" s="207">
        <v>19890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15</v>
      </c>
      <c r="C108" s="206">
        <v>45127</v>
      </c>
      <c r="D108" s="161" t="s">
        <v>9</v>
      </c>
      <c r="E108" s="161" t="s">
        <v>39</v>
      </c>
      <c r="F108" s="207">
        <v>19810</v>
      </c>
      <c r="G108" s="207">
        <v>19890</v>
      </c>
      <c r="H108" s="161">
        <v>80</v>
      </c>
      <c r="I108" s="207">
        <v>150</v>
      </c>
      <c r="J108" s="242">
        <f t="shared" si="17"/>
        <v>12000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16</v>
      </c>
      <c r="C109" s="206">
        <v>45128</v>
      </c>
      <c r="D109" s="161" t="s">
        <v>9</v>
      </c>
      <c r="E109" s="161" t="s">
        <v>39</v>
      </c>
      <c r="F109" s="207">
        <v>19870</v>
      </c>
      <c r="G109" s="207">
        <v>19830</v>
      </c>
      <c r="H109" s="161">
        <v>-40</v>
      </c>
      <c r="I109" s="207">
        <v>150</v>
      </c>
      <c r="J109" s="242">
        <f t="shared" si="17"/>
        <v>-6000</v>
      </c>
      <c r="K109" s="153"/>
      <c r="V109" s="25">
        <f t="shared" si="18"/>
        <v>0</v>
      </c>
      <c r="W109" s="25">
        <f t="shared" si="19"/>
        <v>1</v>
      </c>
    </row>
    <row r="110" spans="1:23" x14ac:dyDescent="0.3">
      <c r="A110" s="147"/>
      <c r="B110" s="205">
        <f t="shared" si="20"/>
        <v>17</v>
      </c>
      <c r="C110" s="206">
        <v>45131</v>
      </c>
      <c r="D110" s="161" t="s">
        <v>8</v>
      </c>
      <c r="E110" s="161" t="s">
        <v>39</v>
      </c>
      <c r="F110" s="207">
        <v>19750</v>
      </c>
      <c r="G110" s="207">
        <v>19687</v>
      </c>
      <c r="H110" s="161">
        <f>19750-19687</f>
        <v>63</v>
      </c>
      <c r="I110" s="207">
        <v>150</v>
      </c>
      <c r="J110" s="242">
        <f t="shared" si="17"/>
        <v>9450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18</v>
      </c>
      <c r="C111" s="206">
        <v>45132</v>
      </c>
      <c r="D111" s="161" t="s">
        <v>8</v>
      </c>
      <c r="E111" s="161" t="s">
        <v>39</v>
      </c>
      <c r="F111" s="207">
        <v>19690</v>
      </c>
      <c r="G111" s="207">
        <v>19635</v>
      </c>
      <c r="H111" s="161">
        <f>19690-19635</f>
        <v>55</v>
      </c>
      <c r="I111" s="207">
        <v>150</v>
      </c>
      <c r="J111" s="242">
        <f t="shared" si="17"/>
        <v>8250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19</v>
      </c>
      <c r="C112" s="206">
        <v>45133</v>
      </c>
      <c r="D112" s="161" t="s">
        <v>9</v>
      </c>
      <c r="E112" s="161" t="s">
        <v>39</v>
      </c>
      <c r="F112" s="207">
        <v>19800</v>
      </c>
      <c r="G112" s="207">
        <v>19820</v>
      </c>
      <c r="H112" s="161">
        <v>20</v>
      </c>
      <c r="I112" s="207">
        <v>150</v>
      </c>
      <c r="J112" s="242">
        <f>I112*H112</f>
        <v>3000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20</v>
      </c>
      <c r="C113" s="206">
        <v>45134</v>
      </c>
      <c r="D113" s="161" t="s">
        <v>8</v>
      </c>
      <c r="E113" s="161" t="s">
        <v>39</v>
      </c>
      <c r="F113" s="207">
        <v>19770</v>
      </c>
      <c r="G113" s="207">
        <v>19690</v>
      </c>
      <c r="H113" s="161">
        <f>19770-19690</f>
        <v>80</v>
      </c>
      <c r="I113" s="207">
        <v>150</v>
      </c>
      <c r="J113" s="242">
        <f t="shared" si="17"/>
        <v>12000</v>
      </c>
      <c r="K113" s="153"/>
      <c r="V113" s="25">
        <f t="shared" si="18"/>
        <v>1</v>
      </c>
      <c r="W113" s="25">
        <f t="shared" si="19"/>
        <v>0</v>
      </c>
    </row>
    <row r="114" spans="1:23" x14ac:dyDescent="0.3">
      <c r="A114" s="147"/>
      <c r="B114" s="205">
        <f t="shared" si="20"/>
        <v>21</v>
      </c>
      <c r="C114" s="206">
        <v>45135</v>
      </c>
      <c r="D114" s="161" t="s">
        <v>8</v>
      </c>
      <c r="E114" s="161" t="s">
        <v>39</v>
      </c>
      <c r="F114" s="207">
        <v>19730</v>
      </c>
      <c r="G114" s="207">
        <v>19690</v>
      </c>
      <c r="H114" s="161">
        <f>19730-19690</f>
        <v>40</v>
      </c>
      <c r="I114" s="207">
        <v>150</v>
      </c>
      <c r="J114" s="242">
        <f t="shared" si="17"/>
        <v>6000</v>
      </c>
      <c r="K114" s="153"/>
      <c r="V114" s="25">
        <f t="shared" si="18"/>
        <v>1</v>
      </c>
      <c r="W114" s="25">
        <f t="shared" si="19"/>
        <v>0</v>
      </c>
    </row>
    <row r="115" spans="1:23" x14ac:dyDescent="0.3">
      <c r="A115" s="147"/>
      <c r="B115" s="205">
        <f t="shared" si="20"/>
        <v>22</v>
      </c>
      <c r="C115" s="206">
        <v>37833</v>
      </c>
      <c r="D115" s="161" t="s">
        <v>9</v>
      </c>
      <c r="E115" s="161" t="s">
        <v>39</v>
      </c>
      <c r="F115" s="207">
        <v>19780</v>
      </c>
      <c r="G115" s="207">
        <v>19840</v>
      </c>
      <c r="H115" s="161">
        <v>60</v>
      </c>
      <c r="I115" s="207">
        <v>150</v>
      </c>
      <c r="J115" s="242">
        <f t="shared" si="17"/>
        <v>9000</v>
      </c>
      <c r="K115" s="153"/>
      <c r="V115" s="25">
        <f t="shared" si="18"/>
        <v>1</v>
      </c>
      <c r="W115" s="25">
        <f t="shared" si="19"/>
        <v>0</v>
      </c>
    </row>
    <row r="116" spans="1:23" ht="15" thickBot="1" x14ac:dyDescent="0.35">
      <c r="A116" s="147"/>
      <c r="B116" s="208">
        <f t="shared" si="20"/>
        <v>23</v>
      </c>
      <c r="C116" s="209"/>
      <c r="D116" s="166"/>
      <c r="E116" s="166"/>
      <c r="F116" s="210"/>
      <c r="G116" s="210"/>
      <c r="H116" s="166"/>
      <c r="I116" s="210"/>
      <c r="J116" s="244">
        <f t="shared" si="17"/>
        <v>0</v>
      </c>
      <c r="K116" s="153"/>
      <c r="V116" s="25">
        <f t="shared" si="18"/>
        <v>0</v>
      </c>
      <c r="W116" s="25">
        <f t="shared" si="19"/>
        <v>0</v>
      </c>
    </row>
    <row r="117" spans="1:23" ht="24" thickBot="1" x14ac:dyDescent="0.5">
      <c r="A117" s="147"/>
      <c r="B117" s="370" t="s">
        <v>2254</v>
      </c>
      <c r="C117" s="371"/>
      <c r="D117" s="371"/>
      <c r="E117" s="371"/>
      <c r="F117" s="371"/>
      <c r="G117" s="371"/>
      <c r="H117" s="372"/>
      <c r="I117" s="211" t="s">
        <v>2255</v>
      </c>
      <c r="J117" s="212">
        <f>SUM(J94:J116)</f>
        <v>146100</v>
      </c>
      <c r="K117" s="153"/>
      <c r="V117" s="25">
        <f>SUM(V94:V116)</f>
        <v>21</v>
      </c>
      <c r="W117" s="25">
        <f>SUM(W94:W116)</f>
        <v>1</v>
      </c>
    </row>
    <row r="118" spans="1:23" ht="30" customHeight="1" thickBot="1" x14ac:dyDescent="0.35">
      <c r="A118" s="213"/>
      <c r="B118" s="172"/>
      <c r="C118" s="172"/>
      <c r="D118" s="172"/>
      <c r="E118" s="172"/>
      <c r="F118" s="172"/>
      <c r="G118" s="172"/>
      <c r="H118" s="235"/>
      <c r="I118" s="172"/>
      <c r="J118" s="235"/>
      <c r="K118" s="214"/>
    </row>
    <row r="119" spans="1:23" ht="15" thickBot="1" x14ac:dyDescent="0.35"/>
    <row r="120" spans="1:23" ht="30" customHeight="1" thickBot="1" x14ac:dyDescent="0.35">
      <c r="A120" s="198"/>
      <c r="B120" s="143"/>
      <c r="C120" s="143"/>
      <c r="D120" s="143"/>
      <c r="E120" s="143"/>
      <c r="F120" s="143"/>
      <c r="G120" s="143"/>
      <c r="H120" s="232"/>
      <c r="I120" s="143"/>
      <c r="J120" s="232"/>
      <c r="K120" s="199"/>
    </row>
    <row r="121" spans="1:23" ht="25.2" thickBot="1" x14ac:dyDescent="0.35">
      <c r="A121" s="147" t="s">
        <v>0</v>
      </c>
      <c r="B121" s="361" t="s">
        <v>2244</v>
      </c>
      <c r="C121" s="362"/>
      <c r="D121" s="362"/>
      <c r="E121" s="362"/>
      <c r="F121" s="362"/>
      <c r="G121" s="362"/>
      <c r="H121" s="362"/>
      <c r="I121" s="362"/>
      <c r="J121" s="363"/>
      <c r="K121" s="153"/>
    </row>
    <row r="122" spans="1:23" ht="16.2" thickBot="1" x14ac:dyDescent="0.35">
      <c r="A122" s="147"/>
      <c r="B122" s="364" t="s">
        <v>4254</v>
      </c>
      <c r="C122" s="365"/>
      <c r="D122" s="365"/>
      <c r="E122" s="365"/>
      <c r="F122" s="365"/>
      <c r="G122" s="365"/>
      <c r="H122" s="365"/>
      <c r="I122" s="365"/>
      <c r="J122" s="366"/>
      <c r="K122" s="153"/>
    </row>
    <row r="123" spans="1:23" ht="16.2" thickBot="1" x14ac:dyDescent="0.35">
      <c r="A123" s="147"/>
      <c r="B123" s="367" t="s">
        <v>3452</v>
      </c>
      <c r="C123" s="368"/>
      <c r="D123" s="368"/>
      <c r="E123" s="368"/>
      <c r="F123" s="368"/>
      <c r="G123" s="368"/>
      <c r="H123" s="368"/>
      <c r="I123" s="368"/>
      <c r="J123" s="369"/>
      <c r="K123" s="153"/>
    </row>
    <row r="124" spans="1:23" ht="15" thickBot="1" x14ac:dyDescent="0.35">
      <c r="A124" s="175"/>
      <c r="B124" s="178" t="s">
        <v>2248</v>
      </c>
      <c r="C124" s="179" t="s">
        <v>1</v>
      </c>
      <c r="D124" s="180" t="s">
        <v>5</v>
      </c>
      <c r="E124" s="180" t="s">
        <v>6</v>
      </c>
      <c r="F124" s="181" t="s">
        <v>2249</v>
      </c>
      <c r="G124" s="181" t="s">
        <v>2250</v>
      </c>
      <c r="H124" s="239" t="s">
        <v>2251</v>
      </c>
      <c r="I124" s="181" t="s">
        <v>2257</v>
      </c>
      <c r="J124" s="245" t="s">
        <v>4</v>
      </c>
      <c r="K124" s="176"/>
      <c r="L124" s="215"/>
      <c r="V124" s="201" t="s">
        <v>454</v>
      </c>
      <c r="W124" s="201" t="s">
        <v>455</v>
      </c>
    </row>
    <row r="125" spans="1:23" x14ac:dyDescent="0.3">
      <c r="A125" s="147"/>
      <c r="B125" s="217">
        <v>1</v>
      </c>
      <c r="C125" s="218">
        <v>45110</v>
      </c>
      <c r="D125" s="185" t="s">
        <v>9</v>
      </c>
      <c r="E125" s="185" t="s">
        <v>2965</v>
      </c>
      <c r="F125" s="219">
        <v>160</v>
      </c>
      <c r="G125" s="231">
        <v>177</v>
      </c>
      <c r="H125" s="231">
        <f>177-160</f>
        <v>17</v>
      </c>
      <c r="I125" s="219">
        <v>300</v>
      </c>
      <c r="J125" s="246">
        <f t="shared" ref="J125:J149" si="21">I125*H125</f>
        <v>5100</v>
      </c>
      <c r="K125" s="153"/>
      <c r="V125" s="25">
        <f>IF($J125&gt;0,1,0)</f>
        <v>1</v>
      </c>
      <c r="W125" s="25">
        <f>IF($J125&lt;0,1,0)</f>
        <v>0</v>
      </c>
    </row>
    <row r="126" spans="1:23" x14ac:dyDescent="0.3">
      <c r="A126" s="147"/>
      <c r="B126" s="205">
        <f>B125+1</f>
        <v>2</v>
      </c>
      <c r="C126" s="218">
        <v>45111</v>
      </c>
      <c r="D126" s="185" t="s">
        <v>9</v>
      </c>
      <c r="E126" s="185" t="s">
        <v>4259</v>
      </c>
      <c r="F126" s="219">
        <v>120</v>
      </c>
      <c r="G126" s="219">
        <v>170</v>
      </c>
      <c r="H126" s="185">
        <v>50</v>
      </c>
      <c r="I126" s="219">
        <v>300</v>
      </c>
      <c r="J126" s="242">
        <f t="shared" si="21"/>
        <v>15000</v>
      </c>
      <c r="K126" s="153"/>
      <c r="V126" s="25">
        <f t="shared" ref="V126:V149" si="22">IF($J126&gt;0,1,0)</f>
        <v>1</v>
      </c>
      <c r="W126" s="25">
        <f t="shared" ref="W126:W149" si="23">IF($J126&lt;0,1,0)</f>
        <v>0</v>
      </c>
    </row>
    <row r="127" spans="1:23" x14ac:dyDescent="0.3">
      <c r="A127" s="147"/>
      <c r="B127" s="205">
        <f>B126+1</f>
        <v>3</v>
      </c>
      <c r="C127" s="206">
        <v>45112</v>
      </c>
      <c r="D127" s="161" t="s">
        <v>9</v>
      </c>
      <c r="E127" s="161" t="s">
        <v>1764</v>
      </c>
      <c r="F127" s="207">
        <v>145</v>
      </c>
      <c r="G127" s="207">
        <v>163</v>
      </c>
      <c r="H127" s="161">
        <f>163-145</f>
        <v>18</v>
      </c>
      <c r="I127" s="207">
        <v>300</v>
      </c>
      <c r="J127" s="242">
        <f t="shared" si="21"/>
        <v>5400</v>
      </c>
      <c r="K127" s="153"/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ref="B128:B149" si="24">B127+1</f>
        <v>4</v>
      </c>
      <c r="C128" s="206">
        <v>45113</v>
      </c>
      <c r="D128" s="161" t="s">
        <v>9</v>
      </c>
      <c r="E128" s="161" t="s">
        <v>4264</v>
      </c>
      <c r="F128" s="207">
        <v>155</v>
      </c>
      <c r="G128" s="207">
        <v>205</v>
      </c>
      <c r="H128" s="161">
        <f>205-155</f>
        <v>50</v>
      </c>
      <c r="I128" s="207">
        <v>300</v>
      </c>
      <c r="J128" s="242">
        <f t="shared" si="21"/>
        <v>15000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5</v>
      </c>
      <c r="C129" s="206">
        <v>45114</v>
      </c>
      <c r="D129" s="161" t="s">
        <v>9</v>
      </c>
      <c r="E129" s="161" t="s">
        <v>4265</v>
      </c>
      <c r="F129" s="207">
        <v>155</v>
      </c>
      <c r="G129" s="207">
        <v>178</v>
      </c>
      <c r="H129" s="161">
        <f>178-155</f>
        <v>23</v>
      </c>
      <c r="I129" s="207">
        <v>300</v>
      </c>
      <c r="J129" s="242">
        <f t="shared" si="21"/>
        <v>6900</v>
      </c>
      <c r="K129" s="153"/>
      <c r="M129" s="25" t="s">
        <v>2008</v>
      </c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6</v>
      </c>
      <c r="C130" s="206">
        <v>45117</v>
      </c>
      <c r="D130" s="161" t="s">
        <v>9</v>
      </c>
      <c r="E130" s="161" t="s">
        <v>4269</v>
      </c>
      <c r="F130" s="207">
        <v>125</v>
      </c>
      <c r="G130" s="222">
        <v>150</v>
      </c>
      <c r="H130" s="222">
        <v>25</v>
      </c>
      <c r="I130" s="207">
        <v>300</v>
      </c>
      <c r="J130" s="242">
        <f t="shared" si="21"/>
        <v>7500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7</v>
      </c>
      <c r="C131" s="206">
        <v>45118</v>
      </c>
      <c r="D131" s="161" t="s">
        <v>9</v>
      </c>
      <c r="E131" s="161" t="s">
        <v>4270</v>
      </c>
      <c r="F131" s="207">
        <v>145</v>
      </c>
      <c r="G131" s="207">
        <v>180</v>
      </c>
      <c r="H131" s="161">
        <f>180-145</f>
        <v>35</v>
      </c>
      <c r="I131" s="207">
        <v>300</v>
      </c>
      <c r="J131" s="242">
        <f t="shared" si="21"/>
        <v>10500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8</v>
      </c>
      <c r="C132" s="206">
        <v>45119</v>
      </c>
      <c r="D132" s="161" t="s">
        <v>9</v>
      </c>
      <c r="E132" s="161" t="s">
        <v>4271</v>
      </c>
      <c r="F132" s="207">
        <v>120</v>
      </c>
      <c r="G132" s="207">
        <v>95</v>
      </c>
      <c r="H132" s="161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9</v>
      </c>
      <c r="C133" s="206">
        <v>45120</v>
      </c>
      <c r="D133" s="161" t="s">
        <v>9</v>
      </c>
      <c r="E133" s="161" t="s">
        <v>4265</v>
      </c>
      <c r="F133" s="207">
        <v>160</v>
      </c>
      <c r="G133" s="222">
        <v>135</v>
      </c>
      <c r="H133" s="161">
        <v>-25</v>
      </c>
      <c r="I133" s="207">
        <v>300</v>
      </c>
      <c r="J133" s="242">
        <f t="shared" si="21"/>
        <v>-7500</v>
      </c>
      <c r="K133" s="153"/>
      <c r="V133" s="25">
        <f t="shared" si="22"/>
        <v>0</v>
      </c>
      <c r="W133" s="25">
        <f t="shared" si="23"/>
        <v>1</v>
      </c>
    </row>
    <row r="134" spans="1:23" x14ac:dyDescent="0.3">
      <c r="A134" s="147"/>
      <c r="B134" s="205">
        <f t="shared" si="24"/>
        <v>10</v>
      </c>
      <c r="C134" s="206">
        <v>45121</v>
      </c>
      <c r="D134" s="161" t="s">
        <v>9</v>
      </c>
      <c r="E134" s="161" t="s">
        <v>4271</v>
      </c>
      <c r="F134" s="207">
        <v>130</v>
      </c>
      <c r="G134" s="222">
        <v>140</v>
      </c>
      <c r="H134" s="222">
        <v>10</v>
      </c>
      <c r="I134" s="207">
        <v>300</v>
      </c>
      <c r="J134" s="242">
        <f t="shared" si="21"/>
        <v>3000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11</v>
      </c>
      <c r="C135" s="206">
        <v>45124</v>
      </c>
      <c r="D135" s="161" t="s">
        <v>9</v>
      </c>
      <c r="E135" s="161" t="s">
        <v>4277</v>
      </c>
      <c r="F135" s="207">
        <v>140</v>
      </c>
      <c r="G135" s="222">
        <v>190</v>
      </c>
      <c r="H135" s="222">
        <v>50</v>
      </c>
      <c r="I135" s="207">
        <v>300</v>
      </c>
      <c r="J135" s="242">
        <f t="shared" si="21"/>
        <v>15000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12</v>
      </c>
      <c r="C136" s="206">
        <v>45125</v>
      </c>
      <c r="D136" s="161" t="s">
        <v>9</v>
      </c>
      <c r="E136" s="161" t="s">
        <v>1770</v>
      </c>
      <c r="F136" s="207">
        <v>125</v>
      </c>
      <c r="G136" s="222">
        <v>150</v>
      </c>
      <c r="H136" s="222">
        <v>25</v>
      </c>
      <c r="I136" s="207">
        <v>300</v>
      </c>
      <c r="J136" s="242">
        <f t="shared" si="21"/>
        <v>7500</v>
      </c>
      <c r="K136" s="153"/>
      <c r="V136" s="25">
        <f t="shared" si="22"/>
        <v>1</v>
      </c>
      <c r="W136" s="25">
        <f t="shared" si="23"/>
        <v>0</v>
      </c>
    </row>
    <row r="137" spans="1:23" x14ac:dyDescent="0.3">
      <c r="A137" s="147"/>
      <c r="B137" s="205">
        <f t="shared" si="24"/>
        <v>13</v>
      </c>
      <c r="C137" s="206">
        <v>45126</v>
      </c>
      <c r="D137" s="161" t="s">
        <v>9</v>
      </c>
      <c r="E137" s="161" t="s">
        <v>1770</v>
      </c>
      <c r="F137" s="207">
        <v>145</v>
      </c>
      <c r="G137" s="207">
        <v>120</v>
      </c>
      <c r="H137" s="161">
        <v>-25</v>
      </c>
      <c r="I137" s="207">
        <v>300</v>
      </c>
      <c r="J137" s="242">
        <f t="shared" si="21"/>
        <v>-7500</v>
      </c>
      <c r="K137" s="153"/>
      <c r="V137" s="25">
        <f t="shared" si="22"/>
        <v>0</v>
      </c>
      <c r="W137" s="25">
        <f t="shared" si="23"/>
        <v>1</v>
      </c>
    </row>
    <row r="138" spans="1:23" x14ac:dyDescent="0.3">
      <c r="A138" s="147"/>
      <c r="B138" s="205">
        <f t="shared" si="24"/>
        <v>14</v>
      </c>
      <c r="C138" s="206">
        <v>45126</v>
      </c>
      <c r="D138" s="161" t="s">
        <v>9</v>
      </c>
      <c r="E138" s="161" t="s">
        <v>4283</v>
      </c>
      <c r="F138" s="207">
        <v>150</v>
      </c>
      <c r="G138" s="207">
        <v>200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>IF($J138&gt;0,1,0)</f>
        <v>1</v>
      </c>
      <c r="W138" s="25">
        <f>IF($J138&lt;0,1,0)</f>
        <v>0</v>
      </c>
    </row>
    <row r="139" spans="1:23" x14ac:dyDescent="0.3">
      <c r="A139" s="147"/>
      <c r="B139" s="205">
        <f t="shared" si="24"/>
        <v>15</v>
      </c>
      <c r="C139" s="206">
        <v>45127</v>
      </c>
      <c r="D139" s="161" t="s">
        <v>9</v>
      </c>
      <c r="E139" s="161" t="s">
        <v>1770</v>
      </c>
      <c r="F139" s="207">
        <v>125</v>
      </c>
      <c r="G139" s="207">
        <v>175</v>
      </c>
      <c r="H139" s="161">
        <v>50</v>
      </c>
      <c r="I139" s="207">
        <v>300</v>
      </c>
      <c r="J139" s="242">
        <f t="shared" si="21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4"/>
        <v>16</v>
      </c>
      <c r="C140" s="206">
        <v>45128</v>
      </c>
      <c r="D140" s="161" t="s">
        <v>9</v>
      </c>
      <c r="E140" s="161" t="s">
        <v>4287</v>
      </c>
      <c r="F140" s="207">
        <v>125</v>
      </c>
      <c r="G140" s="207">
        <v>150</v>
      </c>
      <c r="H140" s="161">
        <v>25</v>
      </c>
      <c r="I140" s="207">
        <v>300</v>
      </c>
      <c r="J140" s="242">
        <f t="shared" si="21"/>
        <v>7500</v>
      </c>
      <c r="K140" s="153"/>
      <c r="V140" s="25">
        <f t="shared" si="22"/>
        <v>1</v>
      </c>
      <c r="W140" s="25">
        <f t="shared" si="23"/>
        <v>0</v>
      </c>
    </row>
    <row r="141" spans="1:23" x14ac:dyDescent="0.3">
      <c r="A141" s="147"/>
      <c r="B141" s="205">
        <f t="shared" si="24"/>
        <v>17</v>
      </c>
      <c r="C141" s="206">
        <v>45131</v>
      </c>
      <c r="D141" s="161" t="s">
        <v>9</v>
      </c>
      <c r="E141" s="161" t="s">
        <v>1816</v>
      </c>
      <c r="F141" s="207">
        <v>135</v>
      </c>
      <c r="G141" s="207">
        <v>110</v>
      </c>
      <c r="H141" s="161">
        <f>135-110</f>
        <v>25</v>
      </c>
      <c r="I141" s="207">
        <v>300</v>
      </c>
      <c r="J141" s="242">
        <f t="shared" si="21"/>
        <v>7500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18</v>
      </c>
      <c r="C142" s="206">
        <v>45131</v>
      </c>
      <c r="D142" s="161" t="s">
        <v>9</v>
      </c>
      <c r="E142" s="161" t="s">
        <v>4287</v>
      </c>
      <c r="F142" s="207">
        <v>135</v>
      </c>
      <c r="G142" s="222">
        <v>185</v>
      </c>
      <c r="H142" s="222">
        <f>185-135</f>
        <v>50</v>
      </c>
      <c r="I142" s="207">
        <v>300</v>
      </c>
      <c r="J142" s="242">
        <f t="shared" si="21"/>
        <v>15000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19</v>
      </c>
      <c r="C143" s="206">
        <v>45132</v>
      </c>
      <c r="D143" s="161" t="s">
        <v>9</v>
      </c>
      <c r="E143" s="161" t="s">
        <v>4290</v>
      </c>
      <c r="F143" s="207">
        <v>120</v>
      </c>
      <c r="G143" s="222">
        <v>130</v>
      </c>
      <c r="H143" s="222">
        <v>10</v>
      </c>
      <c r="I143" s="207">
        <v>300</v>
      </c>
      <c r="J143" s="242">
        <f t="shared" si="21"/>
        <v>3000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20</v>
      </c>
      <c r="C144" s="206">
        <v>45133</v>
      </c>
      <c r="D144" s="161" t="s">
        <v>9</v>
      </c>
      <c r="E144" s="161" t="s">
        <v>1770</v>
      </c>
      <c r="F144" s="207">
        <v>130</v>
      </c>
      <c r="G144" s="222">
        <v>140</v>
      </c>
      <c r="H144" s="222">
        <v>10</v>
      </c>
      <c r="I144" s="207">
        <v>300</v>
      </c>
      <c r="J144" s="242">
        <f t="shared" si="21"/>
        <v>3000</v>
      </c>
      <c r="K144" s="153"/>
      <c r="V144" s="25">
        <f t="shared" si="22"/>
        <v>1</v>
      </c>
      <c r="W144" s="25">
        <f t="shared" si="23"/>
        <v>0</v>
      </c>
    </row>
    <row r="145" spans="1:23" x14ac:dyDescent="0.3">
      <c r="A145" s="147"/>
      <c r="B145" s="205">
        <f t="shared" si="24"/>
        <v>21</v>
      </c>
      <c r="C145" s="206">
        <v>45134</v>
      </c>
      <c r="D145" s="161" t="s">
        <v>9</v>
      </c>
      <c r="E145" s="161" t="s">
        <v>4287</v>
      </c>
      <c r="F145" s="207">
        <v>120</v>
      </c>
      <c r="G145" s="222">
        <v>170</v>
      </c>
      <c r="H145" s="222">
        <v>50</v>
      </c>
      <c r="I145" s="207">
        <v>300</v>
      </c>
      <c r="J145" s="242">
        <f t="shared" si="21"/>
        <v>15000</v>
      </c>
      <c r="K145" s="153"/>
      <c r="V145" s="25">
        <f t="shared" si="22"/>
        <v>1</v>
      </c>
      <c r="W145" s="25">
        <f t="shared" si="23"/>
        <v>0</v>
      </c>
    </row>
    <row r="146" spans="1:23" x14ac:dyDescent="0.3">
      <c r="A146" s="147"/>
      <c r="B146" s="205">
        <f t="shared" si="24"/>
        <v>22</v>
      </c>
      <c r="C146" s="206">
        <v>45135</v>
      </c>
      <c r="D146" s="161" t="s">
        <v>9</v>
      </c>
      <c r="E146" s="161" t="s">
        <v>1817</v>
      </c>
      <c r="F146" s="207">
        <v>135</v>
      </c>
      <c r="G146" s="222">
        <v>160</v>
      </c>
      <c r="H146" s="222">
        <f>160-135</f>
        <v>25</v>
      </c>
      <c r="I146" s="207">
        <v>300</v>
      </c>
      <c r="J146" s="242">
        <f t="shared" si="21"/>
        <v>7500</v>
      </c>
      <c r="K146" s="153"/>
      <c r="V146" s="25">
        <f t="shared" si="22"/>
        <v>1</v>
      </c>
      <c r="W146" s="25">
        <f t="shared" si="23"/>
        <v>0</v>
      </c>
    </row>
    <row r="147" spans="1:23" x14ac:dyDescent="0.3">
      <c r="A147" s="147"/>
      <c r="B147" s="205">
        <f t="shared" si="24"/>
        <v>23</v>
      </c>
      <c r="C147" s="206">
        <v>45138</v>
      </c>
      <c r="D147" s="161" t="s">
        <v>9</v>
      </c>
      <c r="E147" s="161" t="s">
        <v>1840</v>
      </c>
      <c r="F147" s="207">
        <v>145</v>
      </c>
      <c r="G147" s="222">
        <v>195</v>
      </c>
      <c r="H147" s="161">
        <f>195-145</f>
        <v>50</v>
      </c>
      <c r="I147" s="207">
        <v>300</v>
      </c>
      <c r="J147" s="242">
        <f t="shared" si="21"/>
        <v>15000</v>
      </c>
      <c r="K147" s="153"/>
      <c r="V147" s="25">
        <f t="shared" si="22"/>
        <v>1</v>
      </c>
      <c r="W147" s="25">
        <f t="shared" si="23"/>
        <v>0</v>
      </c>
    </row>
    <row r="148" spans="1:23" x14ac:dyDescent="0.3">
      <c r="A148" s="147"/>
      <c r="B148" s="205">
        <f t="shared" si="24"/>
        <v>24</v>
      </c>
      <c r="C148" s="264"/>
      <c r="D148" s="265"/>
      <c r="E148" s="265"/>
      <c r="F148" s="266"/>
      <c r="G148" s="267"/>
      <c r="H148" s="265"/>
      <c r="I148" s="266"/>
      <c r="J148" s="242">
        <f t="shared" si="21"/>
        <v>0</v>
      </c>
      <c r="K148" s="153"/>
      <c r="V148" s="25">
        <f t="shared" si="22"/>
        <v>0</v>
      </c>
      <c r="W148" s="25">
        <f t="shared" si="23"/>
        <v>0</v>
      </c>
    </row>
    <row r="149" spans="1:23" ht="15" thickBot="1" x14ac:dyDescent="0.35">
      <c r="A149" s="147"/>
      <c r="B149" s="205">
        <f t="shared" si="24"/>
        <v>25</v>
      </c>
      <c r="C149" s="209"/>
      <c r="D149" s="166"/>
      <c r="E149" s="166"/>
      <c r="F149" s="210"/>
      <c r="G149" s="210"/>
      <c r="H149" s="166"/>
      <c r="I149" s="210"/>
      <c r="J149" s="244">
        <f t="shared" si="21"/>
        <v>0</v>
      </c>
      <c r="K149" s="153"/>
      <c r="V149" s="25">
        <f t="shared" si="22"/>
        <v>0</v>
      </c>
      <c r="W149" s="25">
        <f t="shared" si="23"/>
        <v>0</v>
      </c>
    </row>
    <row r="150" spans="1:23" ht="24" thickBot="1" x14ac:dyDescent="0.5">
      <c r="A150" s="147"/>
      <c r="B150" s="370" t="s">
        <v>2254</v>
      </c>
      <c r="C150" s="371"/>
      <c r="D150" s="371"/>
      <c r="E150" s="371"/>
      <c r="F150" s="371"/>
      <c r="G150" s="371"/>
      <c r="H150" s="372"/>
      <c r="I150" s="211" t="s">
        <v>2255</v>
      </c>
      <c r="J150" s="212">
        <f>SUM(J125:J149)</f>
        <v>171900</v>
      </c>
      <c r="K150" s="153"/>
      <c r="V150" s="25">
        <f>SUM(V125:V149)</f>
        <v>20</v>
      </c>
      <c r="W150" s="25">
        <f>SUM(W125:W149)</f>
        <v>3</v>
      </c>
    </row>
    <row r="151" spans="1:23" ht="30" customHeight="1" thickBot="1" x14ac:dyDescent="0.35">
      <c r="A151" s="213"/>
      <c r="B151" s="172"/>
      <c r="C151" s="172"/>
      <c r="D151" s="172"/>
      <c r="E151" s="172"/>
      <c r="F151" s="172"/>
      <c r="G151" s="172"/>
      <c r="H151" s="235"/>
      <c r="I151" s="172"/>
      <c r="J151" s="235"/>
      <c r="K151" s="214"/>
    </row>
    <row r="152" spans="1:23" ht="15" thickBot="1" x14ac:dyDescent="0.35"/>
    <row r="153" spans="1:23" ht="30" customHeight="1" thickBot="1" x14ac:dyDescent="0.35">
      <c r="A153" s="198"/>
      <c r="B153" s="143"/>
      <c r="C153" s="143"/>
      <c r="D153" s="143"/>
      <c r="E153" s="143"/>
      <c r="F153" s="143"/>
      <c r="G153" s="143"/>
      <c r="H153" s="232"/>
      <c r="I153" s="143"/>
      <c r="J153" s="232"/>
      <c r="K153" s="199"/>
    </row>
    <row r="154" spans="1:23" ht="25.2" thickBot="1" x14ac:dyDescent="0.35">
      <c r="A154" s="147" t="s">
        <v>0</v>
      </c>
      <c r="B154" s="361" t="s">
        <v>2244</v>
      </c>
      <c r="C154" s="362"/>
      <c r="D154" s="362"/>
      <c r="E154" s="362"/>
      <c r="F154" s="362"/>
      <c r="G154" s="362"/>
      <c r="H154" s="362"/>
      <c r="I154" s="362"/>
      <c r="J154" s="363"/>
      <c r="K154" s="153"/>
    </row>
    <row r="155" spans="1:23" ht="16.2" thickBot="1" x14ac:dyDescent="0.35">
      <c r="A155" s="147"/>
      <c r="B155" s="364" t="s">
        <v>4252</v>
      </c>
      <c r="C155" s="365"/>
      <c r="D155" s="365"/>
      <c r="E155" s="365"/>
      <c r="F155" s="365"/>
      <c r="G155" s="365"/>
      <c r="H155" s="365"/>
      <c r="I155" s="365"/>
      <c r="J155" s="366"/>
      <c r="K155" s="153"/>
    </row>
    <row r="156" spans="1:23" ht="16.2" thickBot="1" x14ac:dyDescent="0.35">
      <c r="A156" s="147"/>
      <c r="B156" s="367" t="s">
        <v>2367</v>
      </c>
      <c r="C156" s="368"/>
      <c r="D156" s="368"/>
      <c r="E156" s="368"/>
      <c r="F156" s="368"/>
      <c r="G156" s="368"/>
      <c r="H156" s="368"/>
      <c r="I156" s="368"/>
      <c r="J156" s="369"/>
      <c r="K156" s="153"/>
    </row>
    <row r="157" spans="1:23" ht="15" thickBot="1" x14ac:dyDescent="0.35">
      <c r="A157" s="175"/>
      <c r="B157" s="178" t="s">
        <v>2248</v>
      </c>
      <c r="C157" s="179" t="s">
        <v>1</v>
      </c>
      <c r="D157" s="180" t="s">
        <v>5</v>
      </c>
      <c r="E157" s="180" t="s">
        <v>6</v>
      </c>
      <c r="F157" s="181" t="s">
        <v>2249</v>
      </c>
      <c r="G157" s="181" t="s">
        <v>2250</v>
      </c>
      <c r="H157" s="239" t="s">
        <v>2251</v>
      </c>
      <c r="I157" s="181" t="s">
        <v>2257</v>
      </c>
      <c r="J157" s="245" t="s">
        <v>4</v>
      </c>
      <c r="K157" s="176"/>
      <c r="L157" s="215"/>
      <c r="V157" s="201" t="s">
        <v>454</v>
      </c>
      <c r="W157" s="201" t="s">
        <v>455</v>
      </c>
    </row>
    <row r="158" spans="1:23" x14ac:dyDescent="0.3">
      <c r="A158" s="147"/>
      <c r="B158" s="217">
        <v>1</v>
      </c>
      <c r="C158" s="218">
        <v>45110</v>
      </c>
      <c r="D158" s="185" t="s">
        <v>9</v>
      </c>
      <c r="E158" s="185" t="s">
        <v>301</v>
      </c>
      <c r="F158" s="219">
        <v>45350</v>
      </c>
      <c r="G158" s="231">
        <v>45395</v>
      </c>
      <c r="H158" s="185">
        <f>45395-45350</f>
        <v>45</v>
      </c>
      <c r="I158" s="219">
        <v>50</v>
      </c>
      <c r="J158" s="246">
        <f t="shared" ref="J158:J180" si="25">I158*H158</f>
        <v>2250</v>
      </c>
      <c r="K158" s="153"/>
      <c r="V158" s="25">
        <f>IF($J158&gt;0,1,0)</f>
        <v>1</v>
      </c>
      <c r="W158" s="25">
        <f>IF($J158&lt;0,1,0)</f>
        <v>0</v>
      </c>
    </row>
    <row r="159" spans="1:23" x14ac:dyDescent="0.3">
      <c r="A159" s="147"/>
      <c r="B159" s="205">
        <f>B158+1</f>
        <v>2</v>
      </c>
      <c r="C159" s="218">
        <v>45111</v>
      </c>
      <c r="D159" s="185" t="s">
        <v>9</v>
      </c>
      <c r="E159" s="185" t="s">
        <v>301</v>
      </c>
      <c r="F159" s="219">
        <v>45250</v>
      </c>
      <c r="G159" s="219">
        <v>45550</v>
      </c>
      <c r="H159" s="185">
        <v>300</v>
      </c>
      <c r="I159" s="219">
        <v>50</v>
      </c>
      <c r="J159" s="242">
        <f t="shared" si="25"/>
        <v>15000</v>
      </c>
      <c r="K159" s="153"/>
      <c r="V159" s="25">
        <f t="shared" ref="V159:V180" si="26">IF($J159&gt;0,1,0)</f>
        <v>1</v>
      </c>
      <c r="W159" s="25">
        <f t="shared" ref="W159:W180" si="27">IF($J159&lt;0,1,0)</f>
        <v>0</v>
      </c>
    </row>
    <row r="160" spans="1:23" x14ac:dyDescent="0.3">
      <c r="A160" s="147"/>
      <c r="B160" s="205">
        <f t="shared" ref="B160:B180" si="28">B159+1</f>
        <v>3</v>
      </c>
      <c r="C160" s="206">
        <v>45112</v>
      </c>
      <c r="D160" s="161" t="s">
        <v>8</v>
      </c>
      <c r="E160" s="161" t="s">
        <v>301</v>
      </c>
      <c r="F160" s="207">
        <v>45300</v>
      </c>
      <c r="G160" s="207">
        <v>45175</v>
      </c>
      <c r="H160" s="161">
        <f>45300-45175</f>
        <v>125</v>
      </c>
      <c r="I160" s="207">
        <v>50</v>
      </c>
      <c r="J160" s="242">
        <f t="shared" si="25"/>
        <v>6250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4</v>
      </c>
      <c r="C161" s="206">
        <v>45113</v>
      </c>
      <c r="D161" s="161" t="s">
        <v>9</v>
      </c>
      <c r="E161" s="161" t="s">
        <v>301</v>
      </c>
      <c r="F161" s="207">
        <v>45350</v>
      </c>
      <c r="G161" s="207">
        <v>45460</v>
      </c>
      <c r="H161" s="161">
        <f>45460-45350</f>
        <v>110</v>
      </c>
      <c r="I161" s="207">
        <v>50</v>
      </c>
      <c r="J161" s="242">
        <f t="shared" si="25"/>
        <v>5500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5</v>
      </c>
      <c r="C162" s="206">
        <v>45114</v>
      </c>
      <c r="D162" s="161" t="s">
        <v>8</v>
      </c>
      <c r="E162" s="161" t="s">
        <v>301</v>
      </c>
      <c r="F162" s="207">
        <v>45150</v>
      </c>
      <c r="G162" s="207">
        <v>44930</v>
      </c>
      <c r="H162" s="161">
        <f>45150-44930</f>
        <v>220</v>
      </c>
      <c r="I162" s="207">
        <v>50</v>
      </c>
      <c r="J162" s="242">
        <f t="shared" si="25"/>
        <v>11000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6</v>
      </c>
      <c r="C163" s="206">
        <v>45117</v>
      </c>
      <c r="D163" s="161" t="s">
        <v>9</v>
      </c>
      <c r="E163" s="161" t="s">
        <v>301</v>
      </c>
      <c r="F163" s="207">
        <v>45200</v>
      </c>
      <c r="G163" s="207">
        <v>45050</v>
      </c>
      <c r="H163" s="161">
        <f>45200-45050</f>
        <v>150</v>
      </c>
      <c r="I163" s="207">
        <v>50</v>
      </c>
      <c r="J163" s="242">
        <f t="shared" si="25"/>
        <v>7500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7</v>
      </c>
      <c r="C164" s="206">
        <v>45118</v>
      </c>
      <c r="D164" s="161" t="s">
        <v>9</v>
      </c>
      <c r="E164" s="161" t="s">
        <v>301</v>
      </c>
      <c r="F164" s="207">
        <v>45100</v>
      </c>
      <c r="G164" s="207">
        <v>45160</v>
      </c>
      <c r="H164" s="161">
        <v>60</v>
      </c>
      <c r="I164" s="207">
        <v>50</v>
      </c>
      <c r="J164" s="242">
        <f t="shared" si="25"/>
        <v>3000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8</v>
      </c>
      <c r="C165" s="206">
        <v>45119</v>
      </c>
      <c r="D165" s="161" t="s">
        <v>9</v>
      </c>
      <c r="E165" s="161" t="s">
        <v>301</v>
      </c>
      <c r="F165" s="207">
        <v>44950</v>
      </c>
      <c r="G165" s="207">
        <v>44995</v>
      </c>
      <c r="H165" s="161">
        <f>44995-44950</f>
        <v>45</v>
      </c>
      <c r="I165" s="207">
        <v>50</v>
      </c>
      <c r="J165" s="242">
        <f t="shared" si="25"/>
        <v>2250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9</v>
      </c>
      <c r="C166" s="206">
        <v>45120</v>
      </c>
      <c r="D166" s="161" t="s">
        <v>9</v>
      </c>
      <c r="E166" s="161" t="s">
        <v>301</v>
      </c>
      <c r="F166" s="207">
        <v>45000</v>
      </c>
      <c r="G166" s="207">
        <v>45123</v>
      </c>
      <c r="H166" s="161">
        <v>123</v>
      </c>
      <c r="I166" s="207">
        <v>50</v>
      </c>
      <c r="J166" s="242">
        <f t="shared" si="25"/>
        <v>6150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10</v>
      </c>
      <c r="C167" s="206">
        <v>45121</v>
      </c>
      <c r="D167" s="161" t="s">
        <v>8</v>
      </c>
      <c r="E167" s="161" t="s">
        <v>301</v>
      </c>
      <c r="F167" s="207">
        <v>44900</v>
      </c>
      <c r="G167" s="207">
        <v>44700</v>
      </c>
      <c r="H167" s="161">
        <v>200</v>
      </c>
      <c r="I167" s="207">
        <v>50</v>
      </c>
      <c r="J167" s="242">
        <f t="shared" si="25"/>
        <v>10000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11</v>
      </c>
      <c r="C168" s="206">
        <v>45124</v>
      </c>
      <c r="D168" s="161" t="s">
        <v>9</v>
      </c>
      <c r="E168" s="161" t="s">
        <v>301</v>
      </c>
      <c r="F168" s="207">
        <v>44900</v>
      </c>
      <c r="G168" s="207">
        <v>45200</v>
      </c>
      <c r="H168" s="161">
        <f>45200-44900</f>
        <v>300</v>
      </c>
      <c r="I168" s="207">
        <v>50</v>
      </c>
      <c r="J168" s="242">
        <f t="shared" si="25"/>
        <v>15000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12</v>
      </c>
      <c r="C169" s="206">
        <v>45125</v>
      </c>
      <c r="D169" s="161" t="s">
        <v>8</v>
      </c>
      <c r="E169" s="161" t="s">
        <v>301</v>
      </c>
      <c r="F169" s="207">
        <v>45700</v>
      </c>
      <c r="G169" s="207">
        <v>45800</v>
      </c>
      <c r="H169" s="161">
        <v>-100</v>
      </c>
      <c r="I169" s="207">
        <v>50</v>
      </c>
      <c r="J169" s="242">
        <f t="shared" si="25"/>
        <v>-5000</v>
      </c>
      <c r="K169" s="153"/>
      <c r="V169" s="25">
        <f t="shared" si="26"/>
        <v>0</v>
      </c>
      <c r="W169" s="25">
        <f t="shared" si="27"/>
        <v>1</v>
      </c>
    </row>
    <row r="170" spans="1:23" x14ac:dyDescent="0.3">
      <c r="A170" s="147"/>
      <c r="B170" s="205">
        <f t="shared" si="28"/>
        <v>13</v>
      </c>
      <c r="C170" s="206">
        <v>45126</v>
      </c>
      <c r="D170" s="161" t="s">
        <v>9</v>
      </c>
      <c r="E170" s="161" t="s">
        <v>301</v>
      </c>
      <c r="F170" s="207">
        <v>45600</v>
      </c>
      <c r="G170" s="207">
        <v>45748</v>
      </c>
      <c r="H170" s="161">
        <f>45748-45600</f>
        <v>148</v>
      </c>
      <c r="I170" s="207">
        <v>50</v>
      </c>
      <c r="J170" s="242">
        <f t="shared" si="25"/>
        <v>7400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14</v>
      </c>
      <c r="C171" s="206">
        <v>45127</v>
      </c>
      <c r="D171" s="161" t="s">
        <v>9</v>
      </c>
      <c r="E171" s="161" t="s">
        <v>301</v>
      </c>
      <c r="F171" s="207">
        <v>45750</v>
      </c>
      <c r="G171" s="207">
        <v>46050</v>
      </c>
      <c r="H171" s="161">
        <v>300</v>
      </c>
      <c r="I171" s="207">
        <v>50</v>
      </c>
      <c r="J171" s="242">
        <f t="shared" si="25"/>
        <v>15000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15</v>
      </c>
      <c r="C172" s="206">
        <v>45128</v>
      </c>
      <c r="D172" s="161" t="s">
        <v>9</v>
      </c>
      <c r="E172" s="161" t="s">
        <v>301</v>
      </c>
      <c r="F172" s="207">
        <v>46200</v>
      </c>
      <c r="G172" s="207">
        <v>46050</v>
      </c>
      <c r="H172" s="161">
        <v>-150</v>
      </c>
      <c r="I172" s="207">
        <v>30</v>
      </c>
      <c r="J172" s="242">
        <f t="shared" si="25"/>
        <v>-4500</v>
      </c>
      <c r="K172" s="153"/>
      <c r="V172" s="25">
        <f t="shared" si="26"/>
        <v>0</v>
      </c>
      <c r="W172" s="25">
        <f t="shared" si="27"/>
        <v>1</v>
      </c>
    </row>
    <row r="173" spans="1:23" x14ac:dyDescent="0.3">
      <c r="A173" s="147"/>
      <c r="B173" s="205">
        <f t="shared" si="28"/>
        <v>16</v>
      </c>
      <c r="C173" s="206">
        <v>45131</v>
      </c>
      <c r="D173" s="161" t="s">
        <v>8</v>
      </c>
      <c r="E173" s="161" t="s">
        <v>301</v>
      </c>
      <c r="F173" s="207">
        <v>46050</v>
      </c>
      <c r="G173" s="207">
        <v>46200</v>
      </c>
      <c r="H173" s="161">
        <v>-150</v>
      </c>
      <c r="I173" s="207">
        <v>30</v>
      </c>
      <c r="J173" s="242">
        <f t="shared" si="25"/>
        <v>-4500</v>
      </c>
      <c r="K173" s="153"/>
      <c r="V173" s="25">
        <f t="shared" si="26"/>
        <v>0</v>
      </c>
      <c r="W173" s="25">
        <f t="shared" si="27"/>
        <v>1</v>
      </c>
    </row>
    <row r="174" spans="1:23" x14ac:dyDescent="0.3">
      <c r="A174" s="147"/>
      <c r="B174" s="205">
        <f t="shared" si="28"/>
        <v>17</v>
      </c>
      <c r="C174" s="206">
        <v>45132</v>
      </c>
      <c r="D174" s="161" t="s">
        <v>8</v>
      </c>
      <c r="E174" s="161" t="s">
        <v>301</v>
      </c>
      <c r="F174" s="207">
        <v>46000</v>
      </c>
      <c r="G174" s="207">
        <v>45700</v>
      </c>
      <c r="H174" s="161">
        <f>46000-45700</f>
        <v>300</v>
      </c>
      <c r="I174" s="207">
        <v>30</v>
      </c>
      <c r="J174" s="242">
        <f t="shared" si="25"/>
        <v>9000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18</v>
      </c>
      <c r="C175" s="206">
        <v>45133</v>
      </c>
      <c r="D175" s="161" t="s">
        <v>8</v>
      </c>
      <c r="E175" s="161" t="s">
        <v>301</v>
      </c>
      <c r="F175" s="207">
        <v>45950</v>
      </c>
      <c r="G175" s="207">
        <v>45900</v>
      </c>
      <c r="H175" s="161">
        <v>50</v>
      </c>
      <c r="I175" s="207">
        <v>30</v>
      </c>
      <c r="J175" s="242">
        <f t="shared" si="25"/>
        <v>1500</v>
      </c>
      <c r="K175" s="153"/>
      <c r="V175" s="25">
        <f t="shared" si="26"/>
        <v>1</v>
      </c>
      <c r="W175" s="25">
        <f t="shared" si="27"/>
        <v>0</v>
      </c>
    </row>
    <row r="176" spans="1:23" x14ac:dyDescent="0.3">
      <c r="A176" s="147"/>
      <c r="B176" s="205">
        <f t="shared" si="28"/>
        <v>19</v>
      </c>
      <c r="C176" s="206">
        <v>45134</v>
      </c>
      <c r="D176" s="161" t="s">
        <v>8</v>
      </c>
      <c r="E176" s="161" t="s">
        <v>301</v>
      </c>
      <c r="F176" s="207">
        <v>46100</v>
      </c>
      <c r="G176" s="207">
        <v>45800</v>
      </c>
      <c r="H176" s="161">
        <v>300</v>
      </c>
      <c r="I176" s="207">
        <v>30</v>
      </c>
      <c r="J176" s="242">
        <f t="shared" si="25"/>
        <v>9000</v>
      </c>
      <c r="K176" s="153"/>
      <c r="V176" s="25">
        <f t="shared" si="26"/>
        <v>1</v>
      </c>
      <c r="W176" s="25">
        <f t="shared" si="27"/>
        <v>0</v>
      </c>
    </row>
    <row r="177" spans="1:23" x14ac:dyDescent="0.3">
      <c r="A177" s="147"/>
      <c r="B177" s="205">
        <f t="shared" si="28"/>
        <v>20</v>
      </c>
      <c r="C177" s="206">
        <v>45135</v>
      </c>
      <c r="D177" s="161" t="s">
        <v>8</v>
      </c>
      <c r="E177" s="161" t="s">
        <v>301</v>
      </c>
      <c r="F177" s="207">
        <v>45650</v>
      </c>
      <c r="G177" s="207">
        <v>45500</v>
      </c>
      <c r="H177" s="161">
        <v>150</v>
      </c>
      <c r="I177" s="207">
        <v>30</v>
      </c>
      <c r="J177" s="242">
        <f t="shared" si="25"/>
        <v>4500</v>
      </c>
      <c r="K177" s="153"/>
      <c r="V177" s="25">
        <f t="shared" si="26"/>
        <v>1</v>
      </c>
      <c r="W177" s="25">
        <f t="shared" si="27"/>
        <v>0</v>
      </c>
    </row>
    <row r="178" spans="1:23" x14ac:dyDescent="0.3">
      <c r="A178" s="147"/>
      <c r="B178" s="205">
        <f t="shared" si="28"/>
        <v>21</v>
      </c>
      <c r="C178" s="206">
        <v>45138</v>
      </c>
      <c r="D178" s="161" t="s">
        <v>9</v>
      </c>
      <c r="E178" s="161" t="s">
        <v>301</v>
      </c>
      <c r="F178" s="207">
        <v>45700</v>
      </c>
      <c r="G178" s="207">
        <v>45850</v>
      </c>
      <c r="H178" s="161">
        <v>150</v>
      </c>
      <c r="I178" s="207">
        <v>30</v>
      </c>
      <c r="J178" s="242">
        <f t="shared" si="25"/>
        <v>4500</v>
      </c>
      <c r="K178" s="153"/>
      <c r="V178" s="25">
        <f t="shared" si="26"/>
        <v>1</v>
      </c>
      <c r="W178" s="25">
        <f t="shared" si="27"/>
        <v>0</v>
      </c>
    </row>
    <row r="179" spans="1:23" x14ac:dyDescent="0.3">
      <c r="A179" s="147"/>
      <c r="B179" s="205">
        <f t="shared" si="28"/>
        <v>22</v>
      </c>
      <c r="C179" s="206"/>
      <c r="D179" s="161"/>
      <c r="E179" s="161"/>
      <c r="F179" s="207"/>
      <c r="G179" s="207"/>
      <c r="H179" s="161"/>
      <c r="I179" s="207"/>
      <c r="J179" s="242">
        <f t="shared" si="25"/>
        <v>0</v>
      </c>
      <c r="K179" s="153"/>
      <c r="V179" s="25">
        <f t="shared" si="26"/>
        <v>0</v>
      </c>
      <c r="W179" s="25">
        <f t="shared" si="27"/>
        <v>0</v>
      </c>
    </row>
    <row r="180" spans="1:23" ht="15" thickBot="1" x14ac:dyDescent="0.35">
      <c r="A180" s="147"/>
      <c r="B180" s="208">
        <f t="shared" si="28"/>
        <v>23</v>
      </c>
      <c r="C180" s="209"/>
      <c r="D180" s="166"/>
      <c r="E180" s="166"/>
      <c r="F180" s="210"/>
      <c r="G180" s="210"/>
      <c r="H180" s="166"/>
      <c r="I180" s="210"/>
      <c r="J180" s="244">
        <f t="shared" si="25"/>
        <v>0</v>
      </c>
      <c r="K180" s="153"/>
      <c r="V180" s="25">
        <f t="shared" si="26"/>
        <v>0</v>
      </c>
      <c r="W180" s="25">
        <f t="shared" si="27"/>
        <v>0</v>
      </c>
    </row>
    <row r="181" spans="1:23" ht="24" thickBot="1" x14ac:dyDescent="0.5">
      <c r="A181" s="147"/>
      <c r="B181" s="370" t="s">
        <v>2254</v>
      </c>
      <c r="C181" s="371"/>
      <c r="D181" s="371"/>
      <c r="E181" s="371"/>
      <c r="F181" s="371"/>
      <c r="G181" s="371"/>
      <c r="H181" s="372"/>
      <c r="I181" s="211" t="s">
        <v>2255</v>
      </c>
      <c r="J181" s="212">
        <f>SUM(J158:J180)</f>
        <v>120800</v>
      </c>
      <c r="K181" s="153"/>
      <c r="V181" s="25">
        <f>SUM(V158:V180)</f>
        <v>18</v>
      </c>
      <c r="W181" s="25">
        <f>SUM(W158:W180)</f>
        <v>3</v>
      </c>
    </row>
    <row r="182" spans="1:23" ht="30" customHeight="1" thickBot="1" x14ac:dyDescent="0.35">
      <c r="A182" s="213"/>
      <c r="B182" s="172"/>
      <c r="C182" s="172"/>
      <c r="D182" s="172"/>
      <c r="E182" s="172"/>
      <c r="F182" s="172"/>
      <c r="G182" s="172"/>
      <c r="H182" s="235"/>
      <c r="I182" s="172"/>
      <c r="J182" s="235"/>
      <c r="K182" s="214"/>
    </row>
    <row r="183" spans="1:23" ht="15" thickBot="1" x14ac:dyDescent="0.35"/>
    <row r="184" spans="1:23" ht="30" customHeight="1" thickBot="1" x14ac:dyDescent="0.35">
      <c r="A184" s="198"/>
      <c r="B184" s="143"/>
      <c r="C184" s="143"/>
      <c r="D184" s="143"/>
      <c r="E184" s="143"/>
      <c r="F184" s="143"/>
      <c r="G184" s="143"/>
      <c r="H184" s="232"/>
      <c r="I184" s="143"/>
      <c r="J184" s="232"/>
      <c r="K184" s="199"/>
    </row>
    <row r="185" spans="1:23" ht="25.2" thickBot="1" x14ac:dyDescent="0.35">
      <c r="A185" s="147" t="s">
        <v>0</v>
      </c>
      <c r="B185" s="361" t="s">
        <v>2244</v>
      </c>
      <c r="C185" s="362"/>
      <c r="D185" s="362"/>
      <c r="E185" s="362"/>
      <c r="F185" s="362"/>
      <c r="G185" s="362"/>
      <c r="H185" s="362"/>
      <c r="I185" s="362"/>
      <c r="J185" s="363"/>
      <c r="K185" s="153"/>
    </row>
    <row r="186" spans="1:23" ht="16.2" thickBot="1" x14ac:dyDescent="0.35">
      <c r="A186" s="147"/>
      <c r="B186" s="364" t="s">
        <v>4254</v>
      </c>
      <c r="C186" s="365"/>
      <c r="D186" s="365"/>
      <c r="E186" s="365"/>
      <c r="F186" s="365"/>
      <c r="G186" s="365"/>
      <c r="H186" s="365"/>
      <c r="I186" s="365"/>
      <c r="J186" s="366"/>
      <c r="K186" s="153"/>
    </row>
    <row r="187" spans="1:23" ht="16.2" thickBot="1" x14ac:dyDescent="0.35">
      <c r="A187" s="147"/>
      <c r="B187" s="367" t="s">
        <v>1152</v>
      </c>
      <c r="C187" s="368"/>
      <c r="D187" s="368"/>
      <c r="E187" s="368"/>
      <c r="F187" s="368"/>
      <c r="G187" s="368"/>
      <c r="H187" s="368"/>
      <c r="I187" s="368"/>
      <c r="J187" s="369"/>
      <c r="K187" s="153"/>
    </row>
    <row r="188" spans="1:23" ht="15" thickBot="1" x14ac:dyDescent="0.35">
      <c r="A188" s="175"/>
      <c r="B188" s="178" t="s">
        <v>2248</v>
      </c>
      <c r="C188" s="179" t="s">
        <v>1</v>
      </c>
      <c r="D188" s="180" t="s">
        <v>5</v>
      </c>
      <c r="E188" s="180" t="s">
        <v>6</v>
      </c>
      <c r="F188" s="181" t="s">
        <v>2249</v>
      </c>
      <c r="G188" s="181" t="s">
        <v>2250</v>
      </c>
      <c r="H188" s="239" t="s">
        <v>2251</v>
      </c>
      <c r="I188" s="181" t="s">
        <v>2257</v>
      </c>
      <c r="J188" s="245" t="s">
        <v>4</v>
      </c>
      <c r="K188" s="176"/>
      <c r="L188" s="215"/>
      <c r="V188" s="201" t="s">
        <v>454</v>
      </c>
      <c r="W188" s="201" t="s">
        <v>455</v>
      </c>
    </row>
    <row r="189" spans="1:23" x14ac:dyDescent="0.3">
      <c r="A189" s="147"/>
      <c r="B189" s="217">
        <v>1</v>
      </c>
      <c r="C189" s="218">
        <v>45110</v>
      </c>
      <c r="D189" s="185" t="s">
        <v>9</v>
      </c>
      <c r="E189" s="185" t="s">
        <v>4255</v>
      </c>
      <c r="F189" s="219">
        <v>300</v>
      </c>
      <c r="G189" s="219">
        <v>335</v>
      </c>
      <c r="H189" s="185">
        <v>35</v>
      </c>
      <c r="I189" s="219">
        <v>100</v>
      </c>
      <c r="J189" s="246">
        <f t="shared" ref="J189:J214" si="29">I189*H189</f>
        <v>3500</v>
      </c>
      <c r="K189" s="153"/>
      <c r="V189" s="25">
        <f>IF($J189&gt;0,1,0)</f>
        <v>1</v>
      </c>
      <c r="W189" s="25">
        <f>IF($J189&lt;0,1,0)</f>
        <v>0</v>
      </c>
    </row>
    <row r="190" spans="1:23" x14ac:dyDescent="0.3">
      <c r="A190" s="147"/>
      <c r="B190" s="205">
        <f>B189+1</f>
        <v>2</v>
      </c>
      <c r="C190" s="218">
        <v>45110</v>
      </c>
      <c r="D190" s="185" t="s">
        <v>9</v>
      </c>
      <c r="E190" s="185" t="s">
        <v>4257</v>
      </c>
      <c r="F190" s="219">
        <v>350</v>
      </c>
      <c r="G190" s="219">
        <v>410</v>
      </c>
      <c r="H190" s="185">
        <f>410-350</f>
        <v>60</v>
      </c>
      <c r="I190" s="219">
        <v>100</v>
      </c>
      <c r="J190" s="242">
        <f t="shared" si="29"/>
        <v>6000</v>
      </c>
      <c r="K190" s="153"/>
      <c r="V190" s="25">
        <f t="shared" ref="V190:V214" si="30">IF($J190&gt;0,1,0)</f>
        <v>1</v>
      </c>
      <c r="W190" s="25">
        <f t="shared" ref="W190:W214" si="31">IF($J190&lt;0,1,0)</f>
        <v>0</v>
      </c>
    </row>
    <row r="191" spans="1:23" x14ac:dyDescent="0.3">
      <c r="A191" s="147"/>
      <c r="B191" s="205">
        <f t="shared" ref="B191:B210" si="32">B190+1</f>
        <v>3</v>
      </c>
      <c r="C191" s="206">
        <v>45111</v>
      </c>
      <c r="D191" s="161" t="s">
        <v>9</v>
      </c>
      <c r="E191" s="161" t="s">
        <v>4257</v>
      </c>
      <c r="F191" s="207">
        <v>300</v>
      </c>
      <c r="G191" s="222">
        <v>500</v>
      </c>
      <c r="H191" s="222">
        <v>200</v>
      </c>
      <c r="I191" s="207">
        <v>100</v>
      </c>
      <c r="J191" s="242">
        <f t="shared" si="29"/>
        <v>20000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4</v>
      </c>
      <c r="C192" s="206">
        <v>45112</v>
      </c>
      <c r="D192" s="161" t="s">
        <v>9</v>
      </c>
      <c r="E192" s="161" t="s">
        <v>4260</v>
      </c>
      <c r="F192" s="207">
        <v>280</v>
      </c>
      <c r="G192" s="207">
        <v>369</v>
      </c>
      <c r="H192" s="161">
        <f>369-280</f>
        <v>89</v>
      </c>
      <c r="I192" s="207">
        <v>100</v>
      </c>
      <c r="J192" s="242">
        <f t="shared" si="29"/>
        <v>8900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5</v>
      </c>
      <c r="C193" s="206">
        <v>45113</v>
      </c>
      <c r="D193" s="161" t="s">
        <v>9</v>
      </c>
      <c r="E193" s="161" t="s">
        <v>4260</v>
      </c>
      <c r="F193" s="207">
        <v>330</v>
      </c>
      <c r="G193" s="207">
        <v>230</v>
      </c>
      <c r="H193" s="161">
        <v>-100</v>
      </c>
      <c r="I193" s="207">
        <v>100</v>
      </c>
      <c r="J193" s="242">
        <f t="shared" si="29"/>
        <v>-10000</v>
      </c>
      <c r="K193" s="153"/>
      <c r="O193" s="25" t="s">
        <v>2008</v>
      </c>
      <c r="V193" s="25">
        <f t="shared" si="30"/>
        <v>0</v>
      </c>
      <c r="W193" s="25">
        <f t="shared" si="31"/>
        <v>1</v>
      </c>
    </row>
    <row r="194" spans="1:23" x14ac:dyDescent="0.3">
      <c r="A194" s="147"/>
      <c r="B194" s="205">
        <f t="shared" si="32"/>
        <v>6</v>
      </c>
      <c r="C194" s="206">
        <v>45113</v>
      </c>
      <c r="D194" s="161" t="s">
        <v>9</v>
      </c>
      <c r="E194" s="161" t="s">
        <v>4263</v>
      </c>
      <c r="F194" s="207">
        <v>350</v>
      </c>
      <c r="G194" s="207">
        <v>515</v>
      </c>
      <c r="H194" s="161">
        <f>515-350</f>
        <v>165</v>
      </c>
      <c r="I194" s="207">
        <v>100</v>
      </c>
      <c r="J194" s="242">
        <f t="shared" si="29"/>
        <v>16500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7</v>
      </c>
      <c r="C195" s="206">
        <v>45114</v>
      </c>
      <c r="D195" s="161" t="s">
        <v>9</v>
      </c>
      <c r="E195" s="161" t="s">
        <v>4266</v>
      </c>
      <c r="F195" s="207">
        <v>330</v>
      </c>
      <c r="G195" s="207">
        <v>422</v>
      </c>
      <c r="H195" s="161">
        <f>422-330</f>
        <v>92</v>
      </c>
      <c r="I195" s="207">
        <v>100</v>
      </c>
      <c r="J195" s="242">
        <f t="shared" si="29"/>
        <v>9200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8</v>
      </c>
      <c r="C196" s="206">
        <v>45114</v>
      </c>
      <c r="D196" s="161" t="s">
        <v>9</v>
      </c>
      <c r="E196" s="161" t="s">
        <v>4267</v>
      </c>
      <c r="F196" s="207">
        <v>320</v>
      </c>
      <c r="G196" s="207">
        <v>355</v>
      </c>
      <c r="H196" s="161">
        <f>355-320</f>
        <v>35</v>
      </c>
      <c r="I196" s="207">
        <v>100</v>
      </c>
      <c r="J196" s="242">
        <f t="shared" si="29"/>
        <v>3500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9</v>
      </c>
      <c r="C197" s="206">
        <v>45117</v>
      </c>
      <c r="D197" s="161" t="s">
        <v>9</v>
      </c>
      <c r="E197" s="161" t="s">
        <v>4266</v>
      </c>
      <c r="F197" s="207">
        <v>320</v>
      </c>
      <c r="G197" s="207">
        <v>420</v>
      </c>
      <c r="H197" s="161">
        <v>100</v>
      </c>
      <c r="I197" s="207">
        <v>100</v>
      </c>
      <c r="J197" s="242">
        <f t="shared" si="29"/>
        <v>10000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10</v>
      </c>
      <c r="C198" s="206">
        <v>45118</v>
      </c>
      <c r="D198" s="161" t="s">
        <v>9</v>
      </c>
      <c r="E198" s="161" t="s">
        <v>4272</v>
      </c>
      <c r="F198" s="207">
        <v>320</v>
      </c>
      <c r="G198" s="207">
        <v>360</v>
      </c>
      <c r="H198" s="161">
        <v>40</v>
      </c>
      <c r="I198" s="207">
        <v>100</v>
      </c>
      <c r="J198" s="242">
        <f t="shared" si="29"/>
        <v>4000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11</v>
      </c>
      <c r="C199" s="206">
        <v>45119</v>
      </c>
      <c r="D199" s="161" t="s">
        <v>9</v>
      </c>
      <c r="E199" s="161" t="s">
        <v>4273</v>
      </c>
      <c r="F199" s="207">
        <v>360</v>
      </c>
      <c r="G199" s="207">
        <v>290</v>
      </c>
      <c r="H199" s="161">
        <v>-70</v>
      </c>
      <c r="I199" s="207">
        <v>100</v>
      </c>
      <c r="J199" s="242">
        <f t="shared" si="29"/>
        <v>-7000</v>
      </c>
      <c r="K199" s="153"/>
      <c r="V199" s="25">
        <f t="shared" si="30"/>
        <v>0</v>
      </c>
      <c r="W199" s="25">
        <f t="shared" si="31"/>
        <v>1</v>
      </c>
    </row>
    <row r="200" spans="1:23" x14ac:dyDescent="0.3">
      <c r="A200" s="147"/>
      <c r="B200" s="205">
        <f t="shared" si="32"/>
        <v>12</v>
      </c>
      <c r="C200" s="206">
        <v>45120</v>
      </c>
      <c r="D200" s="161" t="s">
        <v>9</v>
      </c>
      <c r="E200" s="161" t="s">
        <v>4273</v>
      </c>
      <c r="F200" s="207">
        <v>360</v>
      </c>
      <c r="G200" s="207">
        <v>460</v>
      </c>
      <c r="H200" s="161">
        <v>100</v>
      </c>
      <c r="I200" s="207">
        <v>100</v>
      </c>
      <c r="J200" s="242">
        <f t="shared" si="29"/>
        <v>10000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13</v>
      </c>
      <c r="C201" s="206">
        <v>45121</v>
      </c>
      <c r="D201" s="161" t="s">
        <v>9</v>
      </c>
      <c r="E201" s="161" t="s">
        <v>4267</v>
      </c>
      <c r="F201" s="207">
        <v>350</v>
      </c>
      <c r="G201" s="207">
        <v>480</v>
      </c>
      <c r="H201" s="161">
        <f>480-350</f>
        <v>130</v>
      </c>
      <c r="I201" s="207">
        <v>100</v>
      </c>
      <c r="J201" s="242">
        <f t="shared" si="29"/>
        <v>13000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14</v>
      </c>
      <c r="C202" s="206">
        <v>45124</v>
      </c>
      <c r="D202" s="161" t="s">
        <v>9</v>
      </c>
      <c r="E202" s="161" t="s">
        <v>4278</v>
      </c>
      <c r="F202" s="207">
        <v>330</v>
      </c>
      <c r="G202" s="207">
        <v>530</v>
      </c>
      <c r="H202" s="161">
        <v>200</v>
      </c>
      <c r="I202" s="207">
        <v>100</v>
      </c>
      <c r="J202" s="242">
        <f t="shared" si="29"/>
        <v>20000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15</v>
      </c>
      <c r="C203" s="206">
        <v>45125</v>
      </c>
      <c r="D203" s="161" t="s">
        <v>9</v>
      </c>
      <c r="E203" s="161" t="s">
        <v>4281</v>
      </c>
      <c r="F203" s="207">
        <v>350</v>
      </c>
      <c r="G203" s="207">
        <v>250</v>
      </c>
      <c r="H203" s="161">
        <v>-100</v>
      </c>
      <c r="I203" s="207">
        <v>100</v>
      </c>
      <c r="J203" s="242">
        <f t="shared" si="29"/>
        <v>-10000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16</v>
      </c>
      <c r="C204" s="206">
        <v>45125</v>
      </c>
      <c r="D204" s="161" t="s">
        <v>9</v>
      </c>
      <c r="E204" s="161" t="s">
        <v>4282</v>
      </c>
      <c r="F204" s="207">
        <v>300</v>
      </c>
      <c r="G204" s="207">
        <v>340</v>
      </c>
      <c r="H204" s="161">
        <v>40</v>
      </c>
      <c r="I204" s="207">
        <v>100</v>
      </c>
      <c r="J204" s="242">
        <f t="shared" si="29"/>
        <v>4000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17</v>
      </c>
      <c r="C205" s="206">
        <v>45126</v>
      </c>
      <c r="D205" s="161" t="s">
        <v>9</v>
      </c>
      <c r="E205" s="161" t="s">
        <v>4284</v>
      </c>
      <c r="F205" s="207">
        <v>300</v>
      </c>
      <c r="G205" s="207">
        <v>350</v>
      </c>
      <c r="H205" s="161">
        <v>50</v>
      </c>
      <c r="I205" s="207">
        <v>100</v>
      </c>
      <c r="J205" s="242">
        <f t="shared" si="29"/>
        <v>5000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18</v>
      </c>
      <c r="C206" s="206">
        <v>45127</v>
      </c>
      <c r="D206" s="161" t="s">
        <v>9</v>
      </c>
      <c r="E206" s="161" t="s">
        <v>4284</v>
      </c>
      <c r="F206" s="207">
        <v>350</v>
      </c>
      <c r="G206" s="207">
        <v>550</v>
      </c>
      <c r="H206" s="161">
        <v>200</v>
      </c>
      <c r="I206" s="207">
        <v>100</v>
      </c>
      <c r="J206" s="242">
        <f t="shared" si="29"/>
        <v>20000</v>
      </c>
      <c r="K206" s="153"/>
      <c r="V206" s="25">
        <f t="shared" si="30"/>
        <v>1</v>
      </c>
      <c r="W206" s="25">
        <f t="shared" si="31"/>
        <v>0</v>
      </c>
    </row>
    <row r="207" spans="1:23" x14ac:dyDescent="0.3">
      <c r="A207" s="147"/>
      <c r="B207" s="205">
        <f t="shared" si="32"/>
        <v>19</v>
      </c>
      <c r="C207" s="206">
        <v>45128</v>
      </c>
      <c r="D207" s="161" t="s">
        <v>9</v>
      </c>
      <c r="E207" s="161" t="s">
        <v>4288</v>
      </c>
      <c r="F207" s="207">
        <v>330</v>
      </c>
      <c r="G207" s="207">
        <v>380</v>
      </c>
      <c r="H207" s="161">
        <v>50</v>
      </c>
      <c r="I207" s="207">
        <v>60</v>
      </c>
      <c r="J207" s="161">
        <f t="shared" si="29"/>
        <v>3000</v>
      </c>
      <c r="K207" s="153"/>
      <c r="V207" s="25">
        <f t="shared" si="30"/>
        <v>1</v>
      </c>
      <c r="W207" s="25">
        <f t="shared" si="31"/>
        <v>0</v>
      </c>
    </row>
    <row r="208" spans="1:23" x14ac:dyDescent="0.3">
      <c r="A208" s="147"/>
      <c r="B208" s="205">
        <f t="shared" si="32"/>
        <v>20</v>
      </c>
      <c r="C208" s="206">
        <v>45131</v>
      </c>
      <c r="D208" s="161" t="s">
        <v>9</v>
      </c>
      <c r="E208" s="161" t="s">
        <v>4288</v>
      </c>
      <c r="F208" s="207">
        <v>320</v>
      </c>
      <c r="G208" s="207">
        <v>250</v>
      </c>
      <c r="H208" s="161">
        <v>-70</v>
      </c>
      <c r="I208" s="207">
        <v>60</v>
      </c>
      <c r="J208" s="161">
        <f t="shared" si="29"/>
        <v>-4200</v>
      </c>
      <c r="K208" s="153"/>
      <c r="V208" s="25">
        <f t="shared" si="30"/>
        <v>0</v>
      </c>
      <c r="W208" s="25">
        <f t="shared" si="31"/>
        <v>1</v>
      </c>
    </row>
    <row r="209" spans="1:23" x14ac:dyDescent="0.3">
      <c r="A209" s="147"/>
      <c r="B209" s="205">
        <f t="shared" si="32"/>
        <v>21</v>
      </c>
      <c r="C209" s="206">
        <v>45131</v>
      </c>
      <c r="D209" s="161" t="s">
        <v>9</v>
      </c>
      <c r="E209" s="161" t="s">
        <v>4288</v>
      </c>
      <c r="F209" s="207">
        <v>300</v>
      </c>
      <c r="G209" s="207">
        <v>355</v>
      </c>
      <c r="H209" s="161">
        <v>55</v>
      </c>
      <c r="I209" s="207">
        <v>60</v>
      </c>
      <c r="J209" s="161">
        <f t="shared" si="29"/>
        <v>3300</v>
      </c>
      <c r="K209" s="153"/>
      <c r="V209" s="25">
        <f t="shared" si="30"/>
        <v>1</v>
      </c>
      <c r="W209" s="25">
        <f t="shared" si="31"/>
        <v>0</v>
      </c>
    </row>
    <row r="210" spans="1:23" x14ac:dyDescent="0.3">
      <c r="A210" s="147"/>
      <c r="B210" s="205">
        <f t="shared" si="32"/>
        <v>22</v>
      </c>
      <c r="C210" s="206">
        <v>45132</v>
      </c>
      <c r="D210" s="161" t="s">
        <v>9</v>
      </c>
      <c r="E210" s="161" t="s">
        <v>4288</v>
      </c>
      <c r="F210" s="207">
        <v>310</v>
      </c>
      <c r="G210" s="207">
        <v>510</v>
      </c>
      <c r="H210" s="161">
        <v>200</v>
      </c>
      <c r="I210" s="207">
        <v>60</v>
      </c>
      <c r="J210" s="161">
        <f t="shared" si="29"/>
        <v>12000</v>
      </c>
      <c r="K210" s="153"/>
      <c r="T210" s="25" t="s">
        <v>2008</v>
      </c>
      <c r="V210" s="25">
        <f t="shared" si="30"/>
        <v>1</v>
      </c>
      <c r="W210" s="25">
        <f t="shared" si="31"/>
        <v>0</v>
      </c>
    </row>
    <row r="211" spans="1:23" x14ac:dyDescent="0.3">
      <c r="A211" s="147"/>
      <c r="B211" s="269">
        <v>23</v>
      </c>
      <c r="C211" s="264">
        <v>45133</v>
      </c>
      <c r="D211" s="265" t="s">
        <v>9</v>
      </c>
      <c r="E211" s="265" t="s">
        <v>4296</v>
      </c>
      <c r="F211" s="266">
        <v>340</v>
      </c>
      <c r="G211" s="266">
        <v>380</v>
      </c>
      <c r="H211" s="265">
        <v>40</v>
      </c>
      <c r="I211" s="266">
        <v>60</v>
      </c>
      <c r="J211" s="161">
        <f t="shared" si="29"/>
        <v>2400</v>
      </c>
      <c r="K211" s="153"/>
      <c r="V211" s="25">
        <f t="shared" si="30"/>
        <v>1</v>
      </c>
      <c r="W211" s="25">
        <f t="shared" si="31"/>
        <v>0</v>
      </c>
    </row>
    <row r="212" spans="1:23" x14ac:dyDescent="0.3">
      <c r="A212" s="147"/>
      <c r="B212" s="269">
        <v>24</v>
      </c>
      <c r="C212" s="264">
        <v>45134</v>
      </c>
      <c r="D212" s="265" t="s">
        <v>9</v>
      </c>
      <c r="E212" s="265" t="s">
        <v>4295</v>
      </c>
      <c r="F212" s="266">
        <v>410</v>
      </c>
      <c r="G212" s="266">
        <v>610</v>
      </c>
      <c r="H212" s="265">
        <v>200</v>
      </c>
      <c r="I212" s="266">
        <v>60</v>
      </c>
      <c r="J212" s="161">
        <f t="shared" si="29"/>
        <v>12000</v>
      </c>
      <c r="K212" s="153"/>
      <c r="V212" s="25">
        <f t="shared" si="30"/>
        <v>1</v>
      </c>
      <c r="W212" s="25">
        <f t="shared" si="31"/>
        <v>0</v>
      </c>
    </row>
    <row r="213" spans="1:23" x14ac:dyDescent="0.3">
      <c r="A213" s="147"/>
      <c r="B213" s="269">
        <v>25</v>
      </c>
      <c r="C213" s="264">
        <v>45135</v>
      </c>
      <c r="D213" s="265" t="s">
        <v>9</v>
      </c>
      <c r="E213" s="265" t="s">
        <v>4282</v>
      </c>
      <c r="F213" s="266">
        <v>310</v>
      </c>
      <c r="G213" s="266">
        <v>366</v>
      </c>
      <c r="H213" s="265">
        <f>366-310</f>
        <v>56</v>
      </c>
      <c r="I213" s="266">
        <v>60</v>
      </c>
      <c r="J213" s="161">
        <f t="shared" si="29"/>
        <v>3360</v>
      </c>
      <c r="K213" s="153"/>
      <c r="V213" s="25">
        <f t="shared" si="30"/>
        <v>1</v>
      </c>
      <c r="W213" s="25">
        <f t="shared" si="31"/>
        <v>0</v>
      </c>
    </row>
    <row r="214" spans="1:23" ht="15" thickBot="1" x14ac:dyDescent="0.35">
      <c r="A214" s="147"/>
      <c r="B214" s="269">
        <v>26</v>
      </c>
      <c r="C214" s="209">
        <v>45138</v>
      </c>
      <c r="D214" s="166" t="s">
        <v>9</v>
      </c>
      <c r="E214" s="166" t="s">
        <v>4284</v>
      </c>
      <c r="F214" s="210">
        <v>340</v>
      </c>
      <c r="G214" s="210">
        <v>405</v>
      </c>
      <c r="H214" s="166">
        <f>405-340</f>
        <v>65</v>
      </c>
      <c r="I214" s="210">
        <v>60</v>
      </c>
      <c r="J214" s="161">
        <f t="shared" si="29"/>
        <v>3900</v>
      </c>
      <c r="K214" s="153"/>
      <c r="V214" s="25">
        <f t="shared" si="30"/>
        <v>1</v>
      </c>
      <c r="W214" s="25">
        <f t="shared" si="31"/>
        <v>0</v>
      </c>
    </row>
    <row r="215" spans="1:23" ht="24" thickBot="1" x14ac:dyDescent="0.5">
      <c r="A215" s="147"/>
      <c r="B215" s="370" t="s">
        <v>2254</v>
      </c>
      <c r="C215" s="371"/>
      <c r="D215" s="371"/>
      <c r="E215" s="371"/>
      <c r="F215" s="371"/>
      <c r="G215" s="371"/>
      <c r="H215" s="372"/>
      <c r="I215" s="211" t="s">
        <v>2255</v>
      </c>
      <c r="J215" s="212">
        <f>SUM(J189:J214)</f>
        <v>162360</v>
      </c>
      <c r="K215" s="153"/>
      <c r="V215" s="25">
        <f>SUM(V189:V214)</f>
        <v>22</v>
      </c>
      <c r="W215" s="25">
        <f>SUM(W189:W214)</f>
        <v>4</v>
      </c>
    </row>
    <row r="216" spans="1:23" ht="30" customHeight="1" thickBot="1" x14ac:dyDescent="0.35">
      <c r="A216" s="213"/>
      <c r="B216" s="172"/>
      <c r="C216" s="172"/>
      <c r="D216" s="172"/>
      <c r="E216" s="172"/>
      <c r="F216" s="172"/>
      <c r="G216" s="172"/>
      <c r="H216" s="235"/>
      <c r="I216" s="172"/>
      <c r="J216" s="235"/>
      <c r="K216" s="214"/>
    </row>
    <row r="217" spans="1:23" ht="15" thickBot="1" x14ac:dyDescent="0.35"/>
    <row r="218" spans="1:23" ht="30" customHeight="1" thickBot="1" x14ac:dyDescent="0.35">
      <c r="A218" s="198"/>
      <c r="B218" s="143"/>
      <c r="C218" s="143"/>
      <c r="D218" s="143"/>
      <c r="E218" s="143"/>
      <c r="F218" s="143"/>
      <c r="G218" s="143"/>
      <c r="H218" s="232"/>
      <c r="I218" s="143"/>
      <c r="J218" s="232"/>
      <c r="K218" s="199"/>
    </row>
    <row r="219" spans="1:23" ht="25.2" thickBot="1" x14ac:dyDescent="0.35">
      <c r="A219" s="147" t="s">
        <v>0</v>
      </c>
      <c r="B219" s="361" t="s">
        <v>2244</v>
      </c>
      <c r="C219" s="362"/>
      <c r="D219" s="362"/>
      <c r="E219" s="362"/>
      <c r="F219" s="362"/>
      <c r="G219" s="362"/>
      <c r="H219" s="362"/>
      <c r="I219" s="362"/>
      <c r="J219" s="363"/>
      <c r="K219" s="153"/>
    </row>
    <row r="220" spans="1:23" ht="16.2" thickBot="1" x14ac:dyDescent="0.35">
      <c r="A220" s="147"/>
      <c r="B220" s="364" t="s">
        <v>3851</v>
      </c>
      <c r="C220" s="365"/>
      <c r="D220" s="365"/>
      <c r="E220" s="365"/>
      <c r="F220" s="365"/>
      <c r="G220" s="365"/>
      <c r="H220" s="365"/>
      <c r="I220" s="365"/>
      <c r="J220" s="366"/>
      <c r="K220" s="153"/>
    </row>
    <row r="221" spans="1:23" ht="16.2" thickBot="1" x14ac:dyDescent="0.35">
      <c r="A221" s="147"/>
      <c r="B221" s="367" t="s">
        <v>1076</v>
      </c>
      <c r="C221" s="368"/>
      <c r="D221" s="368"/>
      <c r="E221" s="368"/>
      <c r="F221" s="368"/>
      <c r="G221" s="368"/>
      <c r="H221" s="368"/>
      <c r="I221" s="368"/>
      <c r="J221" s="369"/>
      <c r="K221" s="153"/>
    </row>
    <row r="222" spans="1:23" ht="15" thickBot="1" x14ac:dyDescent="0.35">
      <c r="A222" s="175"/>
      <c r="B222" s="178" t="s">
        <v>2248</v>
      </c>
      <c r="C222" s="179" t="s">
        <v>1</v>
      </c>
      <c r="D222" s="180" t="s">
        <v>5</v>
      </c>
      <c r="E222" s="180" t="s">
        <v>6</v>
      </c>
      <c r="F222" s="181" t="s">
        <v>2249</v>
      </c>
      <c r="G222" s="181" t="s">
        <v>2250</v>
      </c>
      <c r="H222" s="239" t="s">
        <v>2251</v>
      </c>
      <c r="I222" s="181" t="s">
        <v>2257</v>
      </c>
      <c r="J222" s="245" t="s">
        <v>4</v>
      </c>
      <c r="K222" s="176"/>
      <c r="L222" s="215"/>
      <c r="V222" s="201" t="s">
        <v>454</v>
      </c>
      <c r="W222" s="201" t="s">
        <v>455</v>
      </c>
    </row>
    <row r="223" spans="1:23" x14ac:dyDescent="0.3">
      <c r="A223" s="147"/>
      <c r="B223" s="217">
        <v>1</v>
      </c>
      <c r="C223" s="218">
        <v>45110</v>
      </c>
      <c r="D223" s="185" t="s">
        <v>9</v>
      </c>
      <c r="E223" s="185" t="s">
        <v>4256</v>
      </c>
      <c r="F223" s="231">
        <v>160</v>
      </c>
      <c r="G223" s="231">
        <v>220</v>
      </c>
      <c r="H223" s="231">
        <f>220-160</f>
        <v>60</v>
      </c>
      <c r="I223" s="219">
        <v>125</v>
      </c>
      <c r="J223" s="246">
        <f t="shared" ref="J223:J246" si="33">I223*H223</f>
        <v>7500</v>
      </c>
      <c r="K223" s="153"/>
      <c r="V223" s="25">
        <f>IF($J223&gt;0,1,0)</f>
        <v>1</v>
      </c>
      <c r="W223" s="25">
        <f>IF($J223&lt;0,1,0)</f>
        <v>0</v>
      </c>
    </row>
    <row r="224" spans="1:23" x14ac:dyDescent="0.3">
      <c r="A224" s="147"/>
      <c r="B224" s="205">
        <f>B223+1</f>
        <v>2</v>
      </c>
      <c r="C224" s="218">
        <v>45111</v>
      </c>
      <c r="D224" s="185" t="s">
        <v>9</v>
      </c>
      <c r="E224" s="185" t="s">
        <v>4258</v>
      </c>
      <c r="F224" s="231">
        <v>21</v>
      </c>
      <c r="G224" s="231">
        <v>24</v>
      </c>
      <c r="H224" s="231">
        <v>3</v>
      </c>
      <c r="I224" s="219">
        <v>625</v>
      </c>
      <c r="J224" s="242">
        <f>I224*H224</f>
        <v>1875</v>
      </c>
      <c r="K224" s="153"/>
      <c r="V224" s="25">
        <f>IF($J224&gt;0,1,0)</f>
        <v>1</v>
      </c>
      <c r="W224" s="25">
        <f>IF($J224&lt;0,1,0)</f>
        <v>0</v>
      </c>
    </row>
    <row r="225" spans="1:23" x14ac:dyDescent="0.3">
      <c r="A225" s="147"/>
      <c r="B225" s="205">
        <f t="shared" ref="B225:B246" si="34">B224+1</f>
        <v>3</v>
      </c>
      <c r="C225" s="206">
        <v>45112</v>
      </c>
      <c r="D225" s="161" t="s">
        <v>9</v>
      </c>
      <c r="E225" s="161" t="s">
        <v>4261</v>
      </c>
      <c r="F225" s="222">
        <v>65</v>
      </c>
      <c r="G225" s="222">
        <v>84</v>
      </c>
      <c r="H225" s="222">
        <f>84-65</f>
        <v>19</v>
      </c>
      <c r="I225" s="207">
        <v>250</v>
      </c>
      <c r="J225" s="242">
        <f t="shared" si="33"/>
        <v>4750</v>
      </c>
      <c r="K225" s="153"/>
      <c r="V225" s="25">
        <f t="shared" ref="V225:V246" si="35">IF($J225&gt;0,1,0)</f>
        <v>1</v>
      </c>
      <c r="W225" s="25">
        <f t="shared" ref="W225:W246" si="36">IF($J225&lt;0,1,0)</f>
        <v>0</v>
      </c>
    </row>
    <row r="226" spans="1:23" x14ac:dyDescent="0.3">
      <c r="A226" s="147"/>
      <c r="B226" s="205">
        <f t="shared" si="34"/>
        <v>4</v>
      </c>
      <c r="C226" s="206">
        <v>45113</v>
      </c>
      <c r="D226" s="161" t="s">
        <v>9</v>
      </c>
      <c r="E226" s="161" t="s">
        <v>4262</v>
      </c>
      <c r="F226" s="222">
        <v>52</v>
      </c>
      <c r="G226" s="222">
        <v>57</v>
      </c>
      <c r="H226" s="222">
        <v>5</v>
      </c>
      <c r="I226" s="207">
        <v>400</v>
      </c>
      <c r="J226" s="242">
        <f t="shared" si="33"/>
        <v>2000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5</v>
      </c>
      <c r="C227" s="206">
        <v>45114</v>
      </c>
      <c r="D227" s="161" t="s">
        <v>9</v>
      </c>
      <c r="E227" s="161" t="s">
        <v>4268</v>
      </c>
      <c r="F227" s="222">
        <v>75</v>
      </c>
      <c r="G227" s="222">
        <v>60</v>
      </c>
      <c r="H227" s="222">
        <v>-15</v>
      </c>
      <c r="I227" s="207">
        <v>375</v>
      </c>
      <c r="J227" s="242">
        <f t="shared" si="33"/>
        <v>-5625</v>
      </c>
      <c r="K227" s="153"/>
      <c r="V227" s="25">
        <f t="shared" si="35"/>
        <v>0</v>
      </c>
      <c r="W227" s="25">
        <f t="shared" si="36"/>
        <v>1</v>
      </c>
    </row>
    <row r="228" spans="1:23" x14ac:dyDescent="0.3">
      <c r="A228" s="147"/>
      <c r="B228" s="205">
        <f t="shared" si="34"/>
        <v>6</v>
      </c>
      <c r="C228" s="206">
        <v>45117</v>
      </c>
      <c r="D228" s="161" t="s">
        <v>9</v>
      </c>
      <c r="E228" s="161" t="s">
        <v>4274</v>
      </c>
      <c r="F228" s="222">
        <v>160</v>
      </c>
      <c r="G228" s="222">
        <v>173</v>
      </c>
      <c r="H228" s="222">
        <v>13</v>
      </c>
      <c r="I228" s="207">
        <v>125</v>
      </c>
      <c r="J228" s="242">
        <f t="shared" si="33"/>
        <v>1625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7</v>
      </c>
      <c r="C229" s="206">
        <v>45118</v>
      </c>
      <c r="D229" s="161" t="s">
        <v>9</v>
      </c>
      <c r="E229" s="161" t="s">
        <v>4236</v>
      </c>
      <c r="F229" s="222">
        <v>130</v>
      </c>
      <c r="G229" s="222">
        <v>170</v>
      </c>
      <c r="H229" s="222">
        <f>170-130</f>
        <v>40</v>
      </c>
      <c r="I229" s="207">
        <v>300</v>
      </c>
      <c r="J229" s="242">
        <f t="shared" si="33"/>
        <v>12000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8</v>
      </c>
      <c r="C230" s="206">
        <v>45119</v>
      </c>
      <c r="D230" s="161" t="s">
        <v>9</v>
      </c>
      <c r="E230" s="161" t="s">
        <v>4275</v>
      </c>
      <c r="F230" s="222">
        <v>110</v>
      </c>
      <c r="G230" s="222">
        <v>121</v>
      </c>
      <c r="H230" s="222">
        <f>121-110</f>
        <v>11</v>
      </c>
      <c r="I230" s="207">
        <v>275</v>
      </c>
      <c r="J230" s="242">
        <f t="shared" si="33"/>
        <v>3025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9</v>
      </c>
      <c r="C231" s="206">
        <v>45120</v>
      </c>
      <c r="D231" s="161" t="s">
        <v>9</v>
      </c>
      <c r="E231" s="161" t="s">
        <v>4276</v>
      </c>
      <c r="F231" s="222">
        <v>31</v>
      </c>
      <c r="G231" s="222">
        <v>40</v>
      </c>
      <c r="H231" s="255">
        <f>40-31</f>
        <v>9</v>
      </c>
      <c r="I231" s="207">
        <v>750</v>
      </c>
      <c r="J231" s="242">
        <f t="shared" si="33"/>
        <v>6750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10</v>
      </c>
      <c r="C232" s="206">
        <v>45121</v>
      </c>
      <c r="D232" s="161" t="s">
        <v>9</v>
      </c>
      <c r="E232" s="161" t="s">
        <v>4248</v>
      </c>
      <c r="F232" s="222">
        <v>20</v>
      </c>
      <c r="G232" s="222">
        <v>21.5</v>
      </c>
      <c r="H232" s="255">
        <v>1.5</v>
      </c>
      <c r="I232" s="207">
        <v>625</v>
      </c>
      <c r="J232" s="242">
        <f t="shared" si="33"/>
        <v>937.5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11</v>
      </c>
      <c r="C233" s="206">
        <v>45124</v>
      </c>
      <c r="D233" s="161" t="s">
        <v>9</v>
      </c>
      <c r="E233" s="161" t="s">
        <v>4279</v>
      </c>
      <c r="F233" s="222">
        <v>60</v>
      </c>
      <c r="G233" s="222">
        <v>85</v>
      </c>
      <c r="H233" s="255">
        <f>85-60</f>
        <v>25</v>
      </c>
      <c r="I233" s="207">
        <v>275</v>
      </c>
      <c r="J233" s="242">
        <f t="shared" si="33"/>
        <v>6875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12</v>
      </c>
      <c r="C234" s="206">
        <v>45125</v>
      </c>
      <c r="D234" s="161" t="s">
        <v>9</v>
      </c>
      <c r="E234" s="161" t="s">
        <v>4280</v>
      </c>
      <c r="F234" s="222">
        <v>31</v>
      </c>
      <c r="G234" s="222">
        <v>34</v>
      </c>
      <c r="H234" s="255">
        <v>3</v>
      </c>
      <c r="I234" s="207">
        <v>700</v>
      </c>
      <c r="J234" s="242">
        <f t="shared" si="33"/>
        <v>2100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13</v>
      </c>
      <c r="C235" s="206">
        <v>45126</v>
      </c>
      <c r="D235" s="161" t="s">
        <v>9</v>
      </c>
      <c r="E235" s="161" t="s">
        <v>4285</v>
      </c>
      <c r="F235" s="222">
        <v>115</v>
      </c>
      <c r="G235" s="222">
        <v>155</v>
      </c>
      <c r="H235" s="255">
        <f>155-115</f>
        <v>40</v>
      </c>
      <c r="I235" s="207">
        <v>200</v>
      </c>
      <c r="J235" s="242">
        <f t="shared" si="33"/>
        <v>8000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14</v>
      </c>
      <c r="C236" s="206">
        <v>45127</v>
      </c>
      <c r="D236" s="161" t="s">
        <v>9</v>
      </c>
      <c r="E236" s="161" t="s">
        <v>4286</v>
      </c>
      <c r="F236" s="222">
        <v>105</v>
      </c>
      <c r="G236" s="222">
        <v>143</v>
      </c>
      <c r="H236" s="255">
        <f>143-105</f>
        <v>38</v>
      </c>
      <c r="I236" s="207">
        <v>125</v>
      </c>
      <c r="J236" s="242">
        <f>I236*H236</f>
        <v>4750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15</v>
      </c>
      <c r="C237" s="206">
        <v>45128</v>
      </c>
      <c r="D237" s="161" t="s">
        <v>9</v>
      </c>
      <c r="E237" s="161" t="s">
        <v>4289</v>
      </c>
      <c r="F237" s="222">
        <v>20</v>
      </c>
      <c r="G237" s="222">
        <v>32</v>
      </c>
      <c r="H237" s="255">
        <v>12</v>
      </c>
      <c r="I237" s="207">
        <v>700</v>
      </c>
      <c r="J237" s="242">
        <f t="shared" si="33"/>
        <v>8400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16</v>
      </c>
      <c r="C238" s="206">
        <v>45131</v>
      </c>
      <c r="D238" s="161" t="s">
        <v>9</v>
      </c>
      <c r="E238" s="161" t="s">
        <v>4291</v>
      </c>
      <c r="F238" s="222">
        <v>90</v>
      </c>
      <c r="G238" s="222">
        <v>140</v>
      </c>
      <c r="H238" s="222">
        <f>140-90</f>
        <v>50</v>
      </c>
      <c r="I238" s="207">
        <v>125</v>
      </c>
      <c r="J238" s="242">
        <f t="shared" si="33"/>
        <v>6250</v>
      </c>
      <c r="K238" s="153"/>
      <c r="V238" s="25">
        <f t="shared" si="35"/>
        <v>1</v>
      </c>
      <c r="W238" s="25">
        <f t="shared" si="36"/>
        <v>0</v>
      </c>
    </row>
    <row r="239" spans="1:23" x14ac:dyDescent="0.3">
      <c r="A239" s="147"/>
      <c r="B239" s="205">
        <f t="shared" si="34"/>
        <v>17</v>
      </c>
      <c r="C239" s="206">
        <v>45132</v>
      </c>
      <c r="D239" s="161" t="s">
        <v>9</v>
      </c>
      <c r="E239" s="161" t="s">
        <v>4292</v>
      </c>
      <c r="F239" s="222">
        <v>90</v>
      </c>
      <c r="G239" s="222">
        <v>100</v>
      </c>
      <c r="H239" s="222">
        <v>10</v>
      </c>
      <c r="I239" s="207">
        <v>100</v>
      </c>
      <c r="J239" s="242">
        <f t="shared" si="33"/>
        <v>1000</v>
      </c>
      <c r="K239" s="153"/>
      <c r="V239" s="25">
        <f t="shared" si="35"/>
        <v>1</v>
      </c>
      <c r="W239" s="25">
        <f t="shared" si="36"/>
        <v>0</v>
      </c>
    </row>
    <row r="240" spans="1:23" x14ac:dyDescent="0.3">
      <c r="A240" s="147"/>
      <c r="B240" s="205">
        <f t="shared" si="34"/>
        <v>18</v>
      </c>
      <c r="C240" s="206">
        <v>45133</v>
      </c>
      <c r="D240" s="161" t="s">
        <v>9</v>
      </c>
      <c r="E240" s="161" t="s">
        <v>4293</v>
      </c>
      <c r="F240" s="222">
        <v>18</v>
      </c>
      <c r="G240" s="222">
        <v>21</v>
      </c>
      <c r="H240" s="222">
        <v>3</v>
      </c>
      <c r="I240" s="207">
        <v>250</v>
      </c>
      <c r="J240" s="242">
        <f t="shared" si="33"/>
        <v>750</v>
      </c>
      <c r="K240" s="153"/>
      <c r="V240" s="25">
        <f t="shared" si="35"/>
        <v>1</v>
      </c>
      <c r="W240" s="25">
        <f t="shared" si="36"/>
        <v>0</v>
      </c>
    </row>
    <row r="241" spans="1:23" x14ac:dyDescent="0.3">
      <c r="A241" s="147"/>
      <c r="B241" s="205">
        <f t="shared" si="34"/>
        <v>19</v>
      </c>
      <c r="C241" s="206">
        <v>45134</v>
      </c>
      <c r="D241" s="161" t="s">
        <v>9</v>
      </c>
      <c r="E241" s="161" t="s">
        <v>4294</v>
      </c>
      <c r="F241" s="222">
        <v>22</v>
      </c>
      <c r="G241" s="222">
        <v>21.15</v>
      </c>
      <c r="H241" s="222">
        <v>-0.85</v>
      </c>
      <c r="I241" s="207">
        <v>1500</v>
      </c>
      <c r="J241" s="242">
        <f t="shared" si="33"/>
        <v>-1275</v>
      </c>
      <c r="K241" s="153"/>
      <c r="V241" s="25">
        <f t="shared" si="35"/>
        <v>0</v>
      </c>
      <c r="W241" s="25">
        <f t="shared" si="36"/>
        <v>1</v>
      </c>
    </row>
    <row r="242" spans="1:23" x14ac:dyDescent="0.3">
      <c r="A242" s="147"/>
      <c r="B242" s="205">
        <f t="shared" si="34"/>
        <v>20</v>
      </c>
      <c r="C242" s="206">
        <v>45135</v>
      </c>
      <c r="D242" s="161" t="s">
        <v>9</v>
      </c>
      <c r="E242" s="161" t="s">
        <v>4298</v>
      </c>
      <c r="F242" s="222">
        <v>180</v>
      </c>
      <c r="G242" s="222">
        <v>198</v>
      </c>
      <c r="H242" s="222">
        <v>18</v>
      </c>
      <c r="I242" s="207">
        <v>125</v>
      </c>
      <c r="J242" s="242">
        <f t="shared" si="33"/>
        <v>2250</v>
      </c>
      <c r="K242" s="153"/>
      <c r="V242" s="25">
        <f t="shared" si="35"/>
        <v>1</v>
      </c>
      <c r="W242" s="25">
        <f t="shared" si="36"/>
        <v>0</v>
      </c>
    </row>
    <row r="243" spans="1:23" x14ac:dyDescent="0.3">
      <c r="A243" s="147"/>
      <c r="B243" s="205">
        <f t="shared" si="34"/>
        <v>21</v>
      </c>
      <c r="C243" s="206">
        <v>45138</v>
      </c>
      <c r="D243" s="161" t="s">
        <v>9</v>
      </c>
      <c r="E243" s="161" t="s">
        <v>4299</v>
      </c>
      <c r="F243" s="222">
        <v>165</v>
      </c>
      <c r="G243" s="222">
        <v>190</v>
      </c>
      <c r="H243" s="222">
        <f>190-165</f>
        <v>25</v>
      </c>
      <c r="I243" s="207">
        <v>200</v>
      </c>
      <c r="J243" s="242">
        <f t="shared" si="33"/>
        <v>5000</v>
      </c>
      <c r="K243" s="153"/>
      <c r="V243" s="25">
        <f t="shared" si="35"/>
        <v>1</v>
      </c>
      <c r="W243" s="25">
        <f t="shared" si="36"/>
        <v>0</v>
      </c>
    </row>
    <row r="244" spans="1:23" x14ac:dyDescent="0.3">
      <c r="A244" s="147"/>
      <c r="B244" s="205">
        <f t="shared" si="34"/>
        <v>22</v>
      </c>
      <c r="C244" s="206"/>
      <c r="D244" s="161"/>
      <c r="E244" s="161"/>
      <c r="F244" s="222"/>
      <c r="G244" s="222"/>
      <c r="H244" s="222"/>
      <c r="I244" s="207"/>
      <c r="J244" s="242">
        <f t="shared" si="33"/>
        <v>0</v>
      </c>
      <c r="K244" s="153"/>
      <c r="V244" s="25">
        <f t="shared" si="35"/>
        <v>0</v>
      </c>
      <c r="W244" s="25">
        <f t="shared" si="36"/>
        <v>0</v>
      </c>
    </row>
    <row r="245" spans="1:23" x14ac:dyDescent="0.3">
      <c r="A245" s="147"/>
      <c r="B245" s="205">
        <f t="shared" si="34"/>
        <v>23</v>
      </c>
      <c r="C245" s="206"/>
      <c r="D245" s="161"/>
      <c r="E245" s="161"/>
      <c r="F245" s="222"/>
      <c r="G245" s="222"/>
      <c r="H245" s="222"/>
      <c r="I245" s="207"/>
      <c r="J245" s="242">
        <f t="shared" si="33"/>
        <v>0</v>
      </c>
      <c r="K245" s="153"/>
      <c r="V245" s="25">
        <f t="shared" si="35"/>
        <v>0</v>
      </c>
      <c r="W245" s="25">
        <f t="shared" si="36"/>
        <v>0</v>
      </c>
    </row>
    <row r="246" spans="1:23" ht="15" thickBot="1" x14ac:dyDescent="0.35">
      <c r="A246" s="147"/>
      <c r="B246" s="208">
        <f t="shared" si="34"/>
        <v>24</v>
      </c>
      <c r="C246" s="209"/>
      <c r="D246" s="166"/>
      <c r="E246" s="166"/>
      <c r="F246" s="222"/>
      <c r="G246" s="222"/>
      <c r="H246" s="166"/>
      <c r="I246" s="210"/>
      <c r="J246" s="244">
        <f t="shared" si="33"/>
        <v>0</v>
      </c>
      <c r="K246" s="153"/>
      <c r="V246" s="25">
        <f t="shared" si="35"/>
        <v>0</v>
      </c>
      <c r="W246" s="25">
        <f t="shared" si="36"/>
        <v>0</v>
      </c>
    </row>
    <row r="247" spans="1:23" ht="24" thickBot="1" x14ac:dyDescent="0.5">
      <c r="A247" s="147"/>
      <c r="B247" s="370" t="s">
        <v>2254</v>
      </c>
      <c r="C247" s="371"/>
      <c r="D247" s="371"/>
      <c r="E247" s="371"/>
      <c r="F247" s="371"/>
      <c r="G247" s="371"/>
      <c r="H247" s="372"/>
      <c r="I247" s="211" t="s">
        <v>2255</v>
      </c>
      <c r="J247" s="212">
        <f>SUM(J223:J246)</f>
        <v>78937.5</v>
      </c>
      <c r="K247" s="153"/>
      <c r="V247" s="25">
        <f>SUM(V223:V246)</f>
        <v>19</v>
      </c>
      <c r="W247" s="25">
        <f>SUM(W223:W246)</f>
        <v>2</v>
      </c>
    </row>
    <row r="248" spans="1:23" ht="30" customHeight="1" thickBot="1" x14ac:dyDescent="0.35">
      <c r="A248" s="213"/>
      <c r="B248" s="172"/>
      <c r="C248" s="172"/>
      <c r="D248" s="172"/>
      <c r="E248" s="172"/>
      <c r="F248" s="172"/>
      <c r="G248" s="172"/>
      <c r="H248" s="235"/>
      <c r="I248" s="172"/>
      <c r="J248" s="235"/>
      <c r="K248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6:J156"/>
    <mergeCell ref="B86:H86"/>
    <mergeCell ref="B90:J90"/>
    <mergeCell ref="B91:J91"/>
    <mergeCell ref="B92:J92"/>
    <mergeCell ref="B117:H117"/>
    <mergeCell ref="B121:J121"/>
    <mergeCell ref="B122:J122"/>
    <mergeCell ref="B123:J123"/>
    <mergeCell ref="B150:H150"/>
    <mergeCell ref="B154:J154"/>
    <mergeCell ref="B155:J155"/>
    <mergeCell ref="B220:J220"/>
    <mergeCell ref="B221:J221"/>
    <mergeCell ref="B247:H247"/>
    <mergeCell ref="B181:H181"/>
    <mergeCell ref="B185:J185"/>
    <mergeCell ref="B186:J186"/>
    <mergeCell ref="B187:J187"/>
    <mergeCell ref="B215:H215"/>
    <mergeCell ref="B219:J219"/>
  </mergeCells>
  <hyperlinks>
    <hyperlink ref="B86" r:id="rId1" xr:uid="{00000000-0004-0000-7B00-000000000000}"/>
    <hyperlink ref="B117" r:id="rId2" xr:uid="{00000000-0004-0000-7B00-000001000000}"/>
    <hyperlink ref="B150" r:id="rId3" xr:uid="{00000000-0004-0000-7B00-000002000000}"/>
    <hyperlink ref="B181" r:id="rId4" xr:uid="{00000000-0004-0000-7B00-000003000000}"/>
    <hyperlink ref="B215" r:id="rId5" xr:uid="{00000000-0004-0000-7B00-000004000000}"/>
    <hyperlink ref="B247" r:id="rId6" xr:uid="{00000000-0004-0000-7B00-000005000000}"/>
    <hyperlink ref="M1" location="'MASTER '!A1" display="Back" xr:uid="{00000000-0004-0000-7B00-000006000000}"/>
    <hyperlink ref="M6:M7" location="'JULY 2023'!A77" display="STOCK FUTURE" xr:uid="{00000000-0004-0000-7B00-000007000000}"/>
    <hyperlink ref="M12:M13" location="'JULY 2023'!A170" display="BANK NIFTY" xr:uid="{00000000-0004-0000-7B00-000008000000}"/>
    <hyperlink ref="M10:M11" location="'JULY 2023'!A139" display="NF. OPTION" xr:uid="{00000000-0004-0000-7B00-000009000000}"/>
    <hyperlink ref="M8:M9" location="'JULY 2023'!A108" display="NIFTY FUTURE" xr:uid="{00000000-0004-0000-7B00-00000A000000}"/>
    <hyperlink ref="M4:M5" location="'JUN 2023'!A1" display="CASH" xr:uid="{00000000-0004-0000-7B00-00000B000000}"/>
    <hyperlink ref="M14:M15" location="'JULY 2023'!A201" display="B.NIFTY OPTION" xr:uid="{00000000-0004-0000-7B00-00000C000000}"/>
    <hyperlink ref="M16:M17" location="'JULY 2023'!A216" display="STOCK OPTION" xr:uid="{00000000-0004-0000-7B00-00000D000000}"/>
    <hyperlink ref="B52" r:id="rId7" xr:uid="{00000000-0004-0000-7B00-00000E000000}"/>
  </hyperlinks>
  <pageMargins left="0" right="0" top="0" bottom="0" header="0" footer="0"/>
  <pageSetup scale="95" orientation="portrait" r:id="rId8"/>
  <drawing r:id="rId9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W254"/>
  <sheetViews>
    <sheetView topLeftCell="A188" zoomScaleNormal="100" workbookViewId="0">
      <selection activeCell="C195" sqref="C195:J21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4300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43</v>
      </c>
      <c r="O4" s="386">
        <f>V52</f>
        <v>33</v>
      </c>
      <c r="P4" s="386">
        <f>W52</f>
        <v>10</v>
      </c>
      <c r="Q4" s="387">
        <f>N4-O4-P4</f>
        <v>0</v>
      </c>
      <c r="R4" s="380">
        <f>O4/N4</f>
        <v>0.76744186046511631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45139</v>
      </c>
      <c r="D6" s="158" t="s">
        <v>9</v>
      </c>
      <c r="E6" s="158" t="s">
        <v>3528</v>
      </c>
      <c r="F6" s="230">
        <v>242</v>
      </c>
      <c r="G6" s="222">
        <v>245</v>
      </c>
      <c r="H6" s="222">
        <v>3</v>
      </c>
      <c r="I6" s="207">
        <v>1239.6694214876034</v>
      </c>
      <c r="J6" s="161">
        <f t="shared" ref="J6:J48" si="0">H6*I6</f>
        <v>3719.0082644628101</v>
      </c>
      <c r="K6" s="153"/>
      <c r="M6" s="394" t="s">
        <v>450</v>
      </c>
      <c r="N6" s="344">
        <f>COUNT(C60:C85)</f>
        <v>22</v>
      </c>
      <c r="O6" s="346">
        <f>V86</f>
        <v>20</v>
      </c>
      <c r="P6" s="346">
        <f>W86</f>
        <v>1</v>
      </c>
      <c r="Q6" s="374">
        <f>N6-O6-P6</f>
        <v>1</v>
      </c>
      <c r="R6" s="376">
        <f t="shared" ref="R6" si="1">O6/N6</f>
        <v>0.90909090909090906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45139</v>
      </c>
      <c r="D7" s="161" t="s">
        <v>9</v>
      </c>
      <c r="E7" s="161" t="s">
        <v>496</v>
      </c>
      <c r="F7" s="222">
        <v>421</v>
      </c>
      <c r="G7" s="231">
        <v>423.2</v>
      </c>
      <c r="H7" s="255">
        <v>2.2000000000000002</v>
      </c>
      <c r="I7" s="207">
        <v>712.58907363420428</v>
      </c>
      <c r="J7" s="246">
        <f t="shared" ref="J7:J9" si="2">I7*H7</f>
        <v>1567.6959619952495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45140</v>
      </c>
      <c r="D8" s="161" t="s">
        <v>9</v>
      </c>
      <c r="E8" s="161" t="s">
        <v>3649</v>
      </c>
      <c r="F8" s="222">
        <v>1130</v>
      </c>
      <c r="G8" s="222">
        <v>1146</v>
      </c>
      <c r="H8" s="222">
        <v>16</v>
      </c>
      <c r="I8" s="207">
        <v>265.48672566371681</v>
      </c>
      <c r="J8" s="246">
        <f t="shared" si="2"/>
        <v>4247.787610619469</v>
      </c>
      <c r="K8" s="153"/>
      <c r="M8" s="394" t="s">
        <v>451</v>
      </c>
      <c r="N8" s="344">
        <f>COUNT(C94:C117)</f>
        <v>24</v>
      </c>
      <c r="O8" s="346">
        <f>V118</f>
        <v>18</v>
      </c>
      <c r="P8" s="346">
        <f>W118</f>
        <v>6</v>
      </c>
      <c r="Q8" s="374">
        <f>N8-O8-P8</f>
        <v>0</v>
      </c>
      <c r="R8" s="376">
        <f t="shared" ref="R8" si="6">O8/N8</f>
        <v>0.75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45140</v>
      </c>
      <c r="D9" s="161" t="s">
        <v>9</v>
      </c>
      <c r="E9" s="161" t="s">
        <v>3515</v>
      </c>
      <c r="F9" s="222">
        <v>3810</v>
      </c>
      <c r="G9" s="231">
        <v>3780</v>
      </c>
      <c r="H9" s="255">
        <v>-30</v>
      </c>
      <c r="I9" s="207">
        <v>78.740157480314963</v>
      </c>
      <c r="J9" s="246">
        <f t="shared" si="2"/>
        <v>-2362.2047244094488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45141</v>
      </c>
      <c r="D10" s="161" t="s">
        <v>9</v>
      </c>
      <c r="E10" s="161" t="s">
        <v>117</v>
      </c>
      <c r="F10" s="222">
        <v>476</v>
      </c>
      <c r="G10" s="222">
        <v>481</v>
      </c>
      <c r="H10" s="222">
        <v>5</v>
      </c>
      <c r="I10" s="207">
        <v>630.25210084033608</v>
      </c>
      <c r="J10" s="161">
        <f t="shared" si="0"/>
        <v>3151.2605042016803</v>
      </c>
      <c r="K10" s="153"/>
      <c r="M10" s="394" t="s">
        <v>1176</v>
      </c>
      <c r="N10" s="344">
        <f>COUNT(C126:C152)</f>
        <v>26</v>
      </c>
      <c r="O10" s="346">
        <f>V153</f>
        <v>19</v>
      </c>
      <c r="P10" s="346">
        <f>W153</f>
        <v>7</v>
      </c>
      <c r="Q10" s="374">
        <f>N10-O10-P10</f>
        <v>0</v>
      </c>
      <c r="R10" s="376">
        <f t="shared" ref="R10:R16" si="7">O10/N10</f>
        <v>0.73076923076923073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45141</v>
      </c>
      <c r="D11" s="161" t="s">
        <v>8</v>
      </c>
      <c r="E11" s="161" t="s">
        <v>19</v>
      </c>
      <c r="F11" s="222">
        <v>597</v>
      </c>
      <c r="G11" s="222">
        <v>586</v>
      </c>
      <c r="H11" s="255">
        <v>11</v>
      </c>
      <c r="I11" s="207">
        <v>502.51256281407035</v>
      </c>
      <c r="J11" s="161">
        <f t="shared" si="0"/>
        <v>5527.6381909547736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45142</v>
      </c>
      <c r="D12" s="161" t="s">
        <v>9</v>
      </c>
      <c r="E12" s="161" t="s">
        <v>3773</v>
      </c>
      <c r="F12" s="222">
        <v>440</v>
      </c>
      <c r="G12" s="222">
        <v>442</v>
      </c>
      <c r="H12" s="222">
        <v>2</v>
      </c>
      <c r="I12" s="207">
        <v>681.81818181818187</v>
      </c>
      <c r="J12" s="161">
        <f t="shared" si="0"/>
        <v>1363.6363636363637</v>
      </c>
      <c r="K12" s="153"/>
      <c r="M12" s="394" t="s">
        <v>41</v>
      </c>
      <c r="N12" s="344">
        <f>COUNT(C161:C186)</f>
        <v>24</v>
      </c>
      <c r="O12" s="346">
        <f>V187</f>
        <v>20</v>
      </c>
      <c r="P12" s="346">
        <f>W187</f>
        <v>4</v>
      </c>
      <c r="Q12" s="374">
        <f t="shared" ref="Q12" si="8">N12-O12-P12</f>
        <v>0</v>
      </c>
      <c r="R12" s="376">
        <f t="shared" si="7"/>
        <v>0.83333333333333337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45142</v>
      </c>
      <c r="D13" s="161" t="s">
        <v>8</v>
      </c>
      <c r="E13" s="161" t="s">
        <v>4303</v>
      </c>
      <c r="F13" s="222">
        <v>4940</v>
      </c>
      <c r="G13" s="222">
        <v>4935</v>
      </c>
      <c r="H13" s="255">
        <v>5</v>
      </c>
      <c r="I13" s="207">
        <v>60.728744939271252</v>
      </c>
      <c r="J13" s="161">
        <f t="shared" si="0"/>
        <v>303.64372469635623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45145</v>
      </c>
      <c r="D14" s="161" t="s">
        <v>9</v>
      </c>
      <c r="E14" s="161" t="s">
        <v>496</v>
      </c>
      <c r="F14" s="222">
        <v>428</v>
      </c>
      <c r="G14" s="222">
        <v>424</v>
      </c>
      <c r="H14" s="222">
        <v>-4</v>
      </c>
      <c r="I14" s="207">
        <v>700.93457943925239</v>
      </c>
      <c r="J14" s="161">
        <f t="shared" si="0"/>
        <v>-2803.7383177570096</v>
      </c>
      <c r="K14" s="153"/>
      <c r="M14" s="394" t="s">
        <v>1175</v>
      </c>
      <c r="N14" s="344">
        <f>COUNT(C195:C220)</f>
        <v>23</v>
      </c>
      <c r="O14" s="346">
        <f>V221</f>
        <v>19</v>
      </c>
      <c r="P14" s="346">
        <f>W221</f>
        <v>4</v>
      </c>
      <c r="Q14" s="374">
        <f t="shared" ref="Q14" si="9">N14-O14-P14</f>
        <v>0</v>
      </c>
      <c r="R14" s="376">
        <f t="shared" si="7"/>
        <v>0.82608695652173914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45145</v>
      </c>
      <c r="D15" s="161" t="s">
        <v>9</v>
      </c>
      <c r="E15" s="161" t="s">
        <v>58</v>
      </c>
      <c r="F15" s="222">
        <v>952</v>
      </c>
      <c r="G15" s="222">
        <v>947</v>
      </c>
      <c r="H15" s="222">
        <v>-5</v>
      </c>
      <c r="I15" s="207">
        <v>315.12605042016804</v>
      </c>
      <c r="J15" s="161">
        <f t="shared" si="0"/>
        <v>-1575.6302521008402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45146</v>
      </c>
      <c r="D16" s="161" t="s">
        <v>9</v>
      </c>
      <c r="E16" s="161" t="s">
        <v>3515</v>
      </c>
      <c r="F16" s="222">
        <v>3780</v>
      </c>
      <c r="G16" s="222">
        <v>3750</v>
      </c>
      <c r="H16" s="222">
        <v>-30</v>
      </c>
      <c r="I16" s="207">
        <v>79.365079365079367</v>
      </c>
      <c r="J16" s="161">
        <f t="shared" si="0"/>
        <v>-2380.9523809523812</v>
      </c>
      <c r="K16" s="153"/>
      <c r="L16" s="25" t="s">
        <v>2008</v>
      </c>
      <c r="M16" s="394" t="s">
        <v>1090</v>
      </c>
      <c r="N16" s="344">
        <f>COUNT(C229:C252)</f>
        <v>22</v>
      </c>
      <c r="O16" s="346">
        <f>V253</f>
        <v>19</v>
      </c>
      <c r="P16" s="346">
        <f>W253</f>
        <v>3</v>
      </c>
      <c r="Q16" s="374">
        <v>0</v>
      </c>
      <c r="R16" s="376">
        <f t="shared" si="7"/>
        <v>0.86363636363636365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45146</v>
      </c>
      <c r="D17" s="161" t="s">
        <v>9</v>
      </c>
      <c r="E17" s="161" t="s">
        <v>90</v>
      </c>
      <c r="F17" s="222">
        <v>1200</v>
      </c>
      <c r="G17" s="222">
        <v>1208.9000000000001</v>
      </c>
      <c r="H17" s="222">
        <v>8.9</v>
      </c>
      <c r="I17" s="207">
        <v>250</v>
      </c>
      <c r="J17" s="161">
        <f t="shared" si="0"/>
        <v>2225</v>
      </c>
      <c r="K17" s="153"/>
      <c r="M17" s="395"/>
      <c r="N17" s="385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45147</v>
      </c>
      <c r="D18" s="161" t="s">
        <v>9</v>
      </c>
      <c r="E18" s="161" t="s">
        <v>4304</v>
      </c>
      <c r="F18" s="222">
        <v>876</v>
      </c>
      <c r="G18" s="222">
        <v>883</v>
      </c>
      <c r="H18" s="222">
        <v>7</v>
      </c>
      <c r="I18" s="207">
        <v>342.46575342465752</v>
      </c>
      <c r="J18" s="161">
        <f t="shared" si="0"/>
        <v>2397.2602739726026</v>
      </c>
      <c r="K18" s="153"/>
      <c r="M18" s="392" t="s">
        <v>946</v>
      </c>
      <c r="N18" s="378">
        <f>SUM(N4:N17)</f>
        <v>184</v>
      </c>
      <c r="O18" s="378">
        <f t="shared" ref="O18:Q18" si="10">SUM(O4:O17)</f>
        <v>148</v>
      </c>
      <c r="P18" s="378">
        <f t="shared" si="10"/>
        <v>35</v>
      </c>
      <c r="Q18" s="378">
        <f t="shared" si="10"/>
        <v>1</v>
      </c>
      <c r="R18" s="380">
        <f t="shared" ref="R18" si="11">O18/N18</f>
        <v>0.80434782608695654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45147</v>
      </c>
      <c r="D19" s="161" t="s">
        <v>8</v>
      </c>
      <c r="E19" s="161" t="s">
        <v>19</v>
      </c>
      <c r="F19" s="222">
        <v>570</v>
      </c>
      <c r="G19" s="222">
        <v>568.35</v>
      </c>
      <c r="H19" s="222">
        <v>1.6499999999999773</v>
      </c>
      <c r="I19" s="207">
        <v>526.31578947368416</v>
      </c>
      <c r="J19" s="161">
        <f t="shared" si="0"/>
        <v>868.42105263156691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45148</v>
      </c>
      <c r="D20" s="161" t="s">
        <v>9</v>
      </c>
      <c r="E20" s="161" t="s">
        <v>124</v>
      </c>
      <c r="F20" s="222">
        <v>619</v>
      </c>
      <c r="G20" s="222">
        <v>613</v>
      </c>
      <c r="H20" s="222">
        <v>-6</v>
      </c>
      <c r="I20" s="207">
        <v>484.65266558966073</v>
      </c>
      <c r="J20" s="161">
        <f t="shared" si="0"/>
        <v>-2907.9159935379644</v>
      </c>
      <c r="K20" s="153"/>
      <c r="M20" s="316" t="s">
        <v>2253</v>
      </c>
      <c r="N20" s="317"/>
      <c r="O20" s="318"/>
      <c r="P20" s="325">
        <f>R18</f>
        <v>0.80434782608695654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45148</v>
      </c>
      <c r="D21" s="161" t="s">
        <v>9</v>
      </c>
      <c r="E21" s="161" t="s">
        <v>2914</v>
      </c>
      <c r="F21" s="222">
        <v>188</v>
      </c>
      <c r="G21" s="222">
        <v>189.2</v>
      </c>
      <c r="H21" s="222">
        <v>1.2</v>
      </c>
      <c r="I21" s="207">
        <v>1595.7446808510638</v>
      </c>
      <c r="J21" s="161">
        <f t="shared" si="0"/>
        <v>1914.8936170212764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45149</v>
      </c>
      <c r="D22" s="161" t="s">
        <v>8</v>
      </c>
      <c r="E22" s="161" t="s">
        <v>4305</v>
      </c>
      <c r="F22" s="222">
        <v>1998</v>
      </c>
      <c r="G22" s="222">
        <v>1990.05</v>
      </c>
      <c r="H22" s="222">
        <v>7.9500000000000455</v>
      </c>
      <c r="I22" s="207">
        <v>150.15015015015015</v>
      </c>
      <c r="J22" s="161">
        <f t="shared" si="0"/>
        <v>1193.6936936937007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45149</v>
      </c>
      <c r="D23" s="161" t="s">
        <v>9</v>
      </c>
      <c r="E23" s="161" t="s">
        <v>2914</v>
      </c>
      <c r="F23" s="222">
        <v>189</v>
      </c>
      <c r="G23" s="222">
        <v>190</v>
      </c>
      <c r="H23" s="222">
        <v>1</v>
      </c>
      <c r="I23" s="207">
        <v>1587.3015873015872</v>
      </c>
      <c r="J23" s="161">
        <f t="shared" si="0"/>
        <v>1587.3015873015872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45152</v>
      </c>
      <c r="D24" s="161" t="s">
        <v>9</v>
      </c>
      <c r="E24" s="161" t="s">
        <v>4304</v>
      </c>
      <c r="F24" s="222">
        <v>870</v>
      </c>
      <c r="G24" s="222">
        <v>887</v>
      </c>
      <c r="H24" s="222">
        <v>17</v>
      </c>
      <c r="I24" s="207">
        <v>344.82758620689657</v>
      </c>
      <c r="J24" s="161">
        <f t="shared" si="0"/>
        <v>5862.0689655172418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45154</v>
      </c>
      <c r="D25" s="161" t="s">
        <v>9</v>
      </c>
      <c r="E25" s="161" t="s">
        <v>4306</v>
      </c>
      <c r="F25" s="161">
        <v>642</v>
      </c>
      <c r="G25" s="222">
        <v>654</v>
      </c>
      <c r="H25" s="222">
        <v>12</v>
      </c>
      <c r="I25" s="207">
        <v>467.28971962616822</v>
      </c>
      <c r="J25" s="161">
        <f t="shared" si="0"/>
        <v>5607.4766355140182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45154</v>
      </c>
      <c r="D26" s="161" t="s">
        <v>9</v>
      </c>
      <c r="E26" s="161" t="s">
        <v>2107</v>
      </c>
      <c r="F26" s="222">
        <v>1042</v>
      </c>
      <c r="G26" s="222">
        <v>1062</v>
      </c>
      <c r="H26" s="222">
        <v>20</v>
      </c>
      <c r="I26" s="207">
        <v>287.90786948176583</v>
      </c>
      <c r="J26" s="161">
        <f t="shared" si="0"/>
        <v>5758.1573896353166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45155</v>
      </c>
      <c r="D27" s="161" t="s">
        <v>9</v>
      </c>
      <c r="E27" s="161" t="s">
        <v>3773</v>
      </c>
      <c r="F27" s="222">
        <v>463</v>
      </c>
      <c r="G27" s="222">
        <v>470</v>
      </c>
      <c r="H27" s="222">
        <v>7</v>
      </c>
      <c r="I27" s="207">
        <v>647.94816414686829</v>
      </c>
      <c r="J27" s="161">
        <f t="shared" si="0"/>
        <v>4535.6371490280781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45155</v>
      </c>
      <c r="D28" s="161" t="s">
        <v>8</v>
      </c>
      <c r="E28" s="161" t="s">
        <v>31</v>
      </c>
      <c r="F28" s="222">
        <v>2560</v>
      </c>
      <c r="G28" s="222">
        <v>2540</v>
      </c>
      <c r="H28" s="222">
        <v>20</v>
      </c>
      <c r="I28" s="207">
        <v>117.1875</v>
      </c>
      <c r="J28" s="161">
        <f t="shared" si="0"/>
        <v>2343.75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45156</v>
      </c>
      <c r="D29" s="161" t="s">
        <v>8</v>
      </c>
      <c r="E29" s="161" t="s">
        <v>31</v>
      </c>
      <c r="F29" s="222">
        <v>2520</v>
      </c>
      <c r="G29" s="222">
        <v>2509</v>
      </c>
      <c r="H29" s="222">
        <v>11</v>
      </c>
      <c r="I29" s="207">
        <v>119.04761904761905</v>
      </c>
      <c r="J29" s="161">
        <f t="shared" si="0"/>
        <v>1309.5238095238096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45156</v>
      </c>
      <c r="D30" s="161" t="s">
        <v>8</v>
      </c>
      <c r="E30" s="161" t="s">
        <v>2107</v>
      </c>
      <c r="F30" s="222">
        <v>1058</v>
      </c>
      <c r="G30" s="222">
        <v>1068</v>
      </c>
      <c r="H30" s="222">
        <v>-10</v>
      </c>
      <c r="I30" s="207">
        <v>283.55387523629491</v>
      </c>
      <c r="J30" s="161">
        <f t="shared" si="0"/>
        <v>-2835.5387523629493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45159</v>
      </c>
      <c r="D31" s="161" t="s">
        <v>9</v>
      </c>
      <c r="E31" s="161" t="s">
        <v>982</v>
      </c>
      <c r="F31" s="223">
        <v>857</v>
      </c>
      <c r="G31" s="222">
        <v>863</v>
      </c>
      <c r="H31" s="255">
        <f>863-857</f>
        <v>6</v>
      </c>
      <c r="I31" s="207">
        <f t="shared" ref="I31:I48" si="12">300000/F31</f>
        <v>350.05834305717622</v>
      </c>
      <c r="J31" s="161">
        <f t="shared" si="0"/>
        <v>2100.3500583430573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45159</v>
      </c>
      <c r="D32" s="161" t="s">
        <v>9</v>
      </c>
      <c r="E32" s="161" t="s">
        <v>184</v>
      </c>
      <c r="F32" s="222">
        <v>416</v>
      </c>
      <c r="G32" s="222">
        <v>415</v>
      </c>
      <c r="H32" s="222">
        <v>-1</v>
      </c>
      <c r="I32" s="207">
        <f t="shared" si="12"/>
        <v>721.15384615384619</v>
      </c>
      <c r="J32" s="161">
        <f t="shared" si="0"/>
        <v>-721.15384615384619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45160</v>
      </c>
      <c r="D33" s="161" t="s">
        <v>9</v>
      </c>
      <c r="E33" s="161" t="s">
        <v>422</v>
      </c>
      <c r="F33" s="223">
        <v>1740</v>
      </c>
      <c r="G33" s="222">
        <v>1780</v>
      </c>
      <c r="H33" s="255">
        <v>40</v>
      </c>
      <c r="I33" s="207">
        <f t="shared" si="12"/>
        <v>172.41379310344828</v>
      </c>
      <c r="J33" s="161">
        <f t="shared" si="0"/>
        <v>6896.5517241379312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45160</v>
      </c>
      <c r="D34" s="161" t="s">
        <v>9</v>
      </c>
      <c r="E34" s="161" t="s">
        <v>341</v>
      </c>
      <c r="F34" s="222">
        <v>570</v>
      </c>
      <c r="G34" s="222">
        <v>577.5</v>
      </c>
      <c r="H34" s="222">
        <v>7.5</v>
      </c>
      <c r="I34" s="207">
        <f t="shared" si="12"/>
        <v>526.31578947368416</v>
      </c>
      <c r="J34" s="161">
        <f t="shared" si="0"/>
        <v>3947.3684210526312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45161</v>
      </c>
      <c r="D35" s="161" t="s">
        <v>9</v>
      </c>
      <c r="E35" s="161" t="s">
        <v>157</v>
      </c>
      <c r="F35" s="222">
        <v>1015</v>
      </c>
      <c r="G35" s="222">
        <v>1035</v>
      </c>
      <c r="H35" s="222">
        <f>1035-1015</f>
        <v>20</v>
      </c>
      <c r="I35" s="207">
        <f t="shared" si="12"/>
        <v>295.56650246305418</v>
      </c>
      <c r="J35" s="161">
        <f t="shared" si="0"/>
        <v>5911.3300492610833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45161</v>
      </c>
      <c r="D36" s="161" t="s">
        <v>9</v>
      </c>
      <c r="E36" s="161" t="s">
        <v>58</v>
      </c>
      <c r="F36" s="222">
        <v>966</v>
      </c>
      <c r="G36" s="222">
        <v>980</v>
      </c>
      <c r="H36" s="222">
        <f>980-966</f>
        <v>14</v>
      </c>
      <c r="I36" s="207">
        <f t="shared" si="12"/>
        <v>310.55900621118013</v>
      </c>
      <c r="J36" s="161">
        <f t="shared" si="0"/>
        <v>4347.826086956522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45162</v>
      </c>
      <c r="D37" s="161" t="s">
        <v>9</v>
      </c>
      <c r="E37" s="161" t="s">
        <v>58</v>
      </c>
      <c r="F37" s="222">
        <v>990</v>
      </c>
      <c r="G37" s="222">
        <v>983</v>
      </c>
      <c r="H37" s="222">
        <v>-7</v>
      </c>
      <c r="I37" s="207">
        <f t="shared" si="12"/>
        <v>303.030303030303</v>
      </c>
      <c r="J37" s="161">
        <f t="shared" si="0"/>
        <v>-2121.212121212121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45162</v>
      </c>
      <c r="D38" s="161" t="s">
        <v>8</v>
      </c>
      <c r="E38" s="161" t="s">
        <v>3823</v>
      </c>
      <c r="F38" s="222">
        <v>835</v>
      </c>
      <c r="G38" s="222">
        <v>830</v>
      </c>
      <c r="H38" s="222">
        <v>5</v>
      </c>
      <c r="I38" s="207">
        <f t="shared" si="12"/>
        <v>359.28143712574848</v>
      </c>
      <c r="J38" s="161">
        <f t="shared" si="0"/>
        <v>1796.4071856287424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45163</v>
      </c>
      <c r="D39" s="161" t="s">
        <v>9</v>
      </c>
      <c r="E39" s="161" t="s">
        <v>132</v>
      </c>
      <c r="F39" s="222">
        <v>600</v>
      </c>
      <c r="G39" s="222">
        <v>610.79999999999995</v>
      </c>
      <c r="H39" s="222">
        <v>10.8</v>
      </c>
      <c r="I39" s="207">
        <f t="shared" si="12"/>
        <v>500</v>
      </c>
      <c r="J39" s="161">
        <f t="shared" si="0"/>
        <v>5400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45163</v>
      </c>
      <c r="D40" s="161" t="s">
        <v>9</v>
      </c>
      <c r="E40" s="161" t="s">
        <v>3942</v>
      </c>
      <c r="F40" s="222">
        <v>1495</v>
      </c>
      <c r="G40" s="222">
        <v>1480</v>
      </c>
      <c r="H40" s="222">
        <v>-15</v>
      </c>
      <c r="I40" s="207">
        <f t="shared" si="12"/>
        <v>200.66889632107024</v>
      </c>
      <c r="J40" s="161">
        <f t="shared" si="0"/>
        <v>-3010.0334448160534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45166</v>
      </c>
      <c r="D41" s="161" t="s">
        <v>9</v>
      </c>
      <c r="E41" s="161" t="s">
        <v>2911</v>
      </c>
      <c r="F41" s="222">
        <v>144</v>
      </c>
      <c r="G41" s="223">
        <v>145.5</v>
      </c>
      <c r="H41" s="222">
        <v>1.5</v>
      </c>
      <c r="I41" s="207">
        <f t="shared" si="12"/>
        <v>2083.3333333333335</v>
      </c>
      <c r="J41" s="161">
        <f t="shared" si="0"/>
        <v>3125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45166</v>
      </c>
      <c r="D42" s="161" t="s">
        <v>9</v>
      </c>
      <c r="E42" s="161" t="s">
        <v>3706</v>
      </c>
      <c r="F42" s="222">
        <v>590</v>
      </c>
      <c r="G42" s="222">
        <v>595.54999999999995</v>
      </c>
      <c r="H42" s="222">
        <v>5.55</v>
      </c>
      <c r="I42" s="207">
        <f t="shared" si="12"/>
        <v>508.47457627118644</v>
      </c>
      <c r="J42" s="161">
        <f t="shared" si="0"/>
        <v>2822.0338983050847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45167</v>
      </c>
      <c r="D43" s="161" t="s">
        <v>9</v>
      </c>
      <c r="E43" s="161" t="s">
        <v>4064</v>
      </c>
      <c r="F43" s="222">
        <v>145.5</v>
      </c>
      <c r="G43" s="222">
        <v>146.30000000000001</v>
      </c>
      <c r="H43" s="222">
        <f>146.3-145.5</f>
        <v>0.80000000000001137</v>
      </c>
      <c r="I43" s="207">
        <f t="shared" si="12"/>
        <v>2061.855670103093</v>
      </c>
      <c r="J43" s="161">
        <f t="shared" si="0"/>
        <v>1649.4845360824977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45167</v>
      </c>
      <c r="D44" s="161" t="s">
        <v>9</v>
      </c>
      <c r="E44" s="161" t="s">
        <v>433</v>
      </c>
      <c r="F44" s="222">
        <v>461</v>
      </c>
      <c r="G44" s="222">
        <v>463</v>
      </c>
      <c r="H44" s="222">
        <v>2</v>
      </c>
      <c r="I44" s="207">
        <f t="shared" si="12"/>
        <v>650.75921908893713</v>
      </c>
      <c r="J44" s="161">
        <f t="shared" si="0"/>
        <v>1301.5184381778743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45168</v>
      </c>
      <c r="D45" s="161" t="s">
        <v>9</v>
      </c>
      <c r="E45" s="161" t="s">
        <v>4047</v>
      </c>
      <c r="F45" s="222">
        <v>285</v>
      </c>
      <c r="G45" s="222">
        <v>281</v>
      </c>
      <c r="H45" s="222">
        <v>-4</v>
      </c>
      <c r="I45" s="207">
        <f t="shared" si="12"/>
        <v>1052.6315789473683</v>
      </c>
      <c r="J45" s="161">
        <f t="shared" si="0"/>
        <v>-4210.5263157894733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45168</v>
      </c>
      <c r="D46" s="161" t="s">
        <v>9</v>
      </c>
      <c r="E46" s="161" t="s">
        <v>3473</v>
      </c>
      <c r="F46" s="222">
        <v>398</v>
      </c>
      <c r="G46" s="222">
        <v>406</v>
      </c>
      <c r="H46" s="222">
        <f>406-398</f>
        <v>8</v>
      </c>
      <c r="I46" s="207">
        <f t="shared" si="12"/>
        <v>753.7688442211055</v>
      </c>
      <c r="J46" s="161">
        <f t="shared" si="0"/>
        <v>6030.150753768844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45169</v>
      </c>
      <c r="D47" s="161" t="s">
        <v>9</v>
      </c>
      <c r="E47" s="161" t="s">
        <v>29</v>
      </c>
      <c r="F47" s="222">
        <v>1182</v>
      </c>
      <c r="G47" s="222">
        <v>1186</v>
      </c>
      <c r="H47" s="222">
        <v>4</v>
      </c>
      <c r="I47" s="207">
        <f t="shared" si="12"/>
        <v>253.80710659898477</v>
      </c>
      <c r="J47" s="161">
        <f t="shared" si="0"/>
        <v>1015.2284263959391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45169</v>
      </c>
      <c r="D48" s="161" t="s">
        <v>9</v>
      </c>
      <c r="E48" s="161" t="s">
        <v>3773</v>
      </c>
      <c r="F48" s="222">
        <v>506</v>
      </c>
      <c r="G48" s="222">
        <v>511</v>
      </c>
      <c r="H48" s="222">
        <f>511-506</f>
        <v>5</v>
      </c>
      <c r="I48" s="207">
        <f t="shared" si="12"/>
        <v>592.88537549407113</v>
      </c>
      <c r="J48" s="161">
        <f t="shared" si="0"/>
        <v>2964.4268774703555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79862.625100894395</v>
      </c>
      <c r="K52" s="153"/>
      <c r="V52" s="25">
        <f>SUM(V6:V51)</f>
        <v>33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4301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45139</v>
      </c>
      <c r="D60" s="161" t="s">
        <v>9</v>
      </c>
      <c r="E60" s="161" t="s">
        <v>3562</v>
      </c>
      <c r="F60" s="222">
        <v>4140</v>
      </c>
      <c r="G60" s="222">
        <v>4180</v>
      </c>
      <c r="H60" s="222">
        <v>40</v>
      </c>
      <c r="I60" s="207">
        <v>200</v>
      </c>
      <c r="J60" s="241">
        <f t="shared" ref="J60:J85" si="13">I60*H60</f>
        <v>8000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45140</v>
      </c>
      <c r="D61" s="161" t="s">
        <v>9</v>
      </c>
      <c r="E61" s="161" t="s">
        <v>1847</v>
      </c>
      <c r="F61" s="222">
        <v>559</v>
      </c>
      <c r="G61" s="222">
        <v>564</v>
      </c>
      <c r="H61" s="222">
        <f>564-559</f>
        <v>5</v>
      </c>
      <c r="I61" s="207">
        <v>1200</v>
      </c>
      <c r="J61" s="242">
        <f t="shared" si="13"/>
        <v>6000</v>
      </c>
      <c r="K61" s="153"/>
      <c r="O61" s="25" t="s">
        <v>2008</v>
      </c>
      <c r="V61" s="25">
        <f t="shared" ref="V61:V85" si="14">IF($J61&gt;0,1,0)</f>
        <v>1</v>
      </c>
      <c r="W61" s="25">
        <f t="shared" ref="W61:W85" si="15">IF($J61&lt;0,1,0)</f>
        <v>0</v>
      </c>
    </row>
    <row r="62" spans="1:23" x14ac:dyDescent="0.3">
      <c r="A62" s="147"/>
      <c r="B62" s="205">
        <f t="shared" ref="B62:B82" si="16">B61+1</f>
        <v>3</v>
      </c>
      <c r="C62" s="206">
        <v>45141</v>
      </c>
      <c r="D62" s="161" t="s">
        <v>9</v>
      </c>
      <c r="E62" s="161" t="s">
        <v>3562</v>
      </c>
      <c r="F62" s="222">
        <v>4200</v>
      </c>
      <c r="G62" s="222">
        <v>4280</v>
      </c>
      <c r="H62" s="222">
        <v>80</v>
      </c>
      <c r="I62" s="207">
        <v>200</v>
      </c>
      <c r="J62" s="242">
        <f t="shared" si="13"/>
        <v>16000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45142</v>
      </c>
      <c r="D63" s="161" t="s">
        <v>9</v>
      </c>
      <c r="E63" s="161" t="s">
        <v>85</v>
      </c>
      <c r="F63" s="222">
        <v>876</v>
      </c>
      <c r="G63" s="222">
        <v>886</v>
      </c>
      <c r="H63" s="222">
        <v>10</v>
      </c>
      <c r="I63" s="207">
        <v>950</v>
      </c>
      <c r="J63" s="242">
        <f>I63*H63</f>
        <v>9500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45145</v>
      </c>
      <c r="D64" s="161" t="s">
        <v>9</v>
      </c>
      <c r="E64" s="161" t="s">
        <v>1847</v>
      </c>
      <c r="F64" s="222">
        <v>576</v>
      </c>
      <c r="G64" s="222">
        <v>578.5</v>
      </c>
      <c r="H64" s="222">
        <f>578.5-576</f>
        <v>2.5</v>
      </c>
      <c r="I64" s="207">
        <v>1200</v>
      </c>
      <c r="J64" s="242">
        <f>I64*H64</f>
        <v>3000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45146</v>
      </c>
      <c r="D65" s="161" t="s">
        <v>9</v>
      </c>
      <c r="E65" s="161" t="s">
        <v>184</v>
      </c>
      <c r="F65" s="222">
        <v>415</v>
      </c>
      <c r="G65" s="222">
        <v>417.5</v>
      </c>
      <c r="H65" s="222">
        <v>2.5</v>
      </c>
      <c r="I65" s="207">
        <v>1500</v>
      </c>
      <c r="J65" s="242">
        <f>I65*H65</f>
        <v>3750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45147</v>
      </c>
      <c r="D66" s="161" t="s">
        <v>9</v>
      </c>
      <c r="E66" s="161" t="s">
        <v>395</v>
      </c>
      <c r="F66" s="222">
        <v>5820</v>
      </c>
      <c r="G66" s="222">
        <v>5900</v>
      </c>
      <c r="H66" s="222">
        <f>5900-5820</f>
        <v>80</v>
      </c>
      <c r="I66" s="207">
        <v>125</v>
      </c>
      <c r="J66" s="242">
        <f t="shared" si="13"/>
        <v>10000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45148</v>
      </c>
      <c r="D67" s="161" t="s">
        <v>9</v>
      </c>
      <c r="E67" s="161" t="s">
        <v>395</v>
      </c>
      <c r="F67" s="222">
        <v>5880</v>
      </c>
      <c r="G67" s="222">
        <v>5944</v>
      </c>
      <c r="H67" s="222">
        <f>5944-5880</f>
        <v>64</v>
      </c>
      <c r="I67" s="207">
        <v>125</v>
      </c>
      <c r="J67" s="242">
        <f t="shared" si="13"/>
        <v>8000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45149</v>
      </c>
      <c r="D68" s="161" t="s">
        <v>9</v>
      </c>
      <c r="E68" s="161" t="s">
        <v>3515</v>
      </c>
      <c r="F68" s="222">
        <v>3810</v>
      </c>
      <c r="G68" s="222">
        <v>3870</v>
      </c>
      <c r="H68" s="222">
        <v>60</v>
      </c>
      <c r="I68" s="207">
        <v>300</v>
      </c>
      <c r="J68" s="242">
        <f t="shared" si="13"/>
        <v>18000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45152</v>
      </c>
      <c r="D69" s="161" t="s">
        <v>8</v>
      </c>
      <c r="E69" s="161" t="s">
        <v>85</v>
      </c>
      <c r="F69" s="222">
        <v>865</v>
      </c>
      <c r="G69" s="222">
        <v>860</v>
      </c>
      <c r="H69" s="222">
        <v>5</v>
      </c>
      <c r="I69" s="207">
        <v>950</v>
      </c>
      <c r="J69" s="242">
        <f t="shared" si="13"/>
        <v>4750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45154</v>
      </c>
      <c r="D70" s="161" t="s">
        <v>9</v>
      </c>
      <c r="E70" s="161" t="s">
        <v>4303</v>
      </c>
      <c r="F70" s="161">
        <v>5220</v>
      </c>
      <c r="G70" s="222">
        <v>5250</v>
      </c>
      <c r="H70" s="222">
        <v>30</v>
      </c>
      <c r="I70" s="207">
        <v>150</v>
      </c>
      <c r="J70" s="242">
        <f t="shared" si="13"/>
        <v>4500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45155</v>
      </c>
      <c r="D71" s="161" t="s">
        <v>9</v>
      </c>
      <c r="E71" s="161" t="s">
        <v>2944</v>
      </c>
      <c r="F71" s="222">
        <v>2725</v>
      </c>
      <c r="G71" s="222">
        <v>2775</v>
      </c>
      <c r="H71" s="222">
        <f>2775-2725</f>
        <v>50</v>
      </c>
      <c r="I71" s="207">
        <v>275</v>
      </c>
      <c r="J71" s="242">
        <f t="shared" si="13"/>
        <v>13750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45156</v>
      </c>
      <c r="D72" s="161" t="s">
        <v>9</v>
      </c>
      <c r="E72" s="161" t="s">
        <v>2944</v>
      </c>
      <c r="F72" s="222">
        <v>2810</v>
      </c>
      <c r="G72" s="222">
        <v>2860</v>
      </c>
      <c r="H72" s="222">
        <v>50</v>
      </c>
      <c r="I72" s="207">
        <v>250</v>
      </c>
      <c r="J72" s="242">
        <f t="shared" si="13"/>
        <v>12500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45159</v>
      </c>
      <c r="D73" s="161" t="s">
        <v>9</v>
      </c>
      <c r="E73" s="161" t="s">
        <v>3137</v>
      </c>
      <c r="F73" s="222">
        <v>4980</v>
      </c>
      <c r="G73" s="222">
        <v>5020</v>
      </c>
      <c r="H73" s="255">
        <f>5020-4980</f>
        <v>40</v>
      </c>
      <c r="I73" s="207">
        <v>150</v>
      </c>
      <c r="J73" s="242">
        <f t="shared" si="13"/>
        <v>6000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64">
        <v>45160</v>
      </c>
      <c r="D74" s="265" t="s">
        <v>9</v>
      </c>
      <c r="E74" s="265" t="s">
        <v>3515</v>
      </c>
      <c r="F74" s="277">
        <v>3860</v>
      </c>
      <c r="G74" s="267">
        <v>3900</v>
      </c>
      <c r="H74" s="222">
        <f>3900-3860</f>
        <v>40</v>
      </c>
      <c r="I74" s="207">
        <v>300</v>
      </c>
      <c r="J74" s="242">
        <f t="shared" si="13"/>
        <v>12000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64">
        <v>45161</v>
      </c>
      <c r="D75" s="265" t="s">
        <v>9</v>
      </c>
      <c r="E75" s="265" t="s">
        <v>422</v>
      </c>
      <c r="F75" s="277">
        <v>1790</v>
      </c>
      <c r="G75" s="267">
        <v>1830</v>
      </c>
      <c r="H75" s="222">
        <f>1830-1790</f>
        <v>40</v>
      </c>
      <c r="I75" s="207">
        <v>500</v>
      </c>
      <c r="J75" s="242">
        <f t="shared" si="13"/>
        <v>20000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45162</v>
      </c>
      <c r="D76" s="161" t="s">
        <v>9</v>
      </c>
      <c r="E76" s="161" t="s">
        <v>4326</v>
      </c>
      <c r="F76" s="222">
        <v>1635</v>
      </c>
      <c r="G76" s="222">
        <v>1642</v>
      </c>
      <c r="H76" s="222">
        <f>1642-1635</f>
        <v>7</v>
      </c>
      <c r="I76" s="207">
        <v>1000</v>
      </c>
      <c r="J76" s="242">
        <f t="shared" si="13"/>
        <v>7000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45163</v>
      </c>
      <c r="D77" s="161" t="s">
        <v>9</v>
      </c>
      <c r="E77" s="161" t="s">
        <v>3562</v>
      </c>
      <c r="F77" s="222">
        <v>4990</v>
      </c>
      <c r="G77" s="222">
        <v>5010</v>
      </c>
      <c r="H77" s="222">
        <f>5010-4990</f>
        <v>20</v>
      </c>
      <c r="I77" s="207">
        <v>200</v>
      </c>
      <c r="J77" s="242">
        <f t="shared" si="13"/>
        <v>4000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45166</v>
      </c>
      <c r="D78" s="161" t="s">
        <v>9</v>
      </c>
      <c r="E78" s="161" t="s">
        <v>3248</v>
      </c>
      <c r="F78" s="223">
        <v>1620</v>
      </c>
      <c r="G78" s="222">
        <v>1640</v>
      </c>
      <c r="H78" s="255">
        <v>20</v>
      </c>
      <c r="I78" s="207">
        <v>475</v>
      </c>
      <c r="J78" s="242">
        <f t="shared" si="13"/>
        <v>9500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45167</v>
      </c>
      <c r="D79" s="161" t="s">
        <v>9</v>
      </c>
      <c r="E79" s="161" t="s">
        <v>4303</v>
      </c>
      <c r="F79" s="222">
        <v>5170</v>
      </c>
      <c r="G79" s="222">
        <v>5130</v>
      </c>
      <c r="H79" s="222">
        <v>-40</v>
      </c>
      <c r="I79" s="207">
        <v>150</v>
      </c>
      <c r="J79" s="242">
        <f t="shared" si="13"/>
        <v>-6000</v>
      </c>
      <c r="K79" s="153"/>
      <c r="V79" s="25">
        <f t="shared" si="14"/>
        <v>0</v>
      </c>
      <c r="W79" s="25">
        <f t="shared" si="15"/>
        <v>1</v>
      </c>
    </row>
    <row r="80" spans="1:23" x14ac:dyDescent="0.3">
      <c r="A80" s="147"/>
      <c r="B80" s="205">
        <f t="shared" si="16"/>
        <v>21</v>
      </c>
      <c r="C80" s="206">
        <v>45168</v>
      </c>
      <c r="D80" s="161" t="s">
        <v>9</v>
      </c>
      <c r="E80" s="161" t="s">
        <v>3886</v>
      </c>
      <c r="F80" s="222">
        <v>4410</v>
      </c>
      <c r="G80" s="222">
        <v>4425</v>
      </c>
      <c r="H80" s="222">
        <f>4425-4410</f>
        <v>15</v>
      </c>
      <c r="I80" s="207">
        <v>200</v>
      </c>
      <c r="J80" s="242">
        <f t="shared" si="13"/>
        <v>3000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>
        <v>45169</v>
      </c>
      <c r="D81" s="161" t="s">
        <v>9</v>
      </c>
      <c r="E81" s="161" t="s">
        <v>3562</v>
      </c>
      <c r="F81" s="222">
        <v>4980</v>
      </c>
      <c r="G81" s="222">
        <v>5005</v>
      </c>
      <c r="H81" s="222">
        <f>5005-4980</f>
        <v>25</v>
      </c>
      <c r="I81" s="207">
        <v>200</v>
      </c>
      <c r="J81" s="242">
        <f t="shared" si="13"/>
        <v>5000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3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3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3"/>
        <v>0</v>
      </c>
      <c r="K85" s="153"/>
      <c r="V85" s="25">
        <f t="shared" si="14"/>
        <v>0</v>
      </c>
      <c r="W85" s="25">
        <f t="shared" si="15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178250</v>
      </c>
      <c r="K86" s="153"/>
      <c r="V86" s="25">
        <f>SUM(V60:V85)</f>
        <v>20</v>
      </c>
      <c r="W86" s="25">
        <f>SUM(W60:W85)</f>
        <v>1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4300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45139</v>
      </c>
      <c r="D94" s="185" t="s">
        <v>8</v>
      </c>
      <c r="E94" s="185" t="s">
        <v>39</v>
      </c>
      <c r="F94" s="219">
        <v>19850</v>
      </c>
      <c r="G94" s="219">
        <v>19795</v>
      </c>
      <c r="H94" s="185">
        <f>19850-19795</f>
        <v>55</v>
      </c>
      <c r="I94" s="219">
        <v>150</v>
      </c>
      <c r="J94" s="246">
        <f t="shared" ref="J94:J117" si="17">I94*H94</f>
        <v>8250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45140</v>
      </c>
      <c r="D95" s="185" t="s">
        <v>8</v>
      </c>
      <c r="E95" s="185" t="s">
        <v>39</v>
      </c>
      <c r="F95" s="219">
        <v>19710</v>
      </c>
      <c r="G95" s="219">
        <v>19630</v>
      </c>
      <c r="H95" s="185">
        <f>19710-19630</f>
        <v>80</v>
      </c>
      <c r="I95" s="219">
        <v>150</v>
      </c>
      <c r="J95" s="242">
        <f t="shared" si="17"/>
        <v>12000</v>
      </c>
      <c r="K95" s="153"/>
      <c r="V95" s="25">
        <f t="shared" ref="V95:V117" si="18">IF($J95&gt;0,1,0)</f>
        <v>1</v>
      </c>
      <c r="W95" s="25">
        <f t="shared" ref="W95:W117" si="19">IF($J95&lt;0,1,0)</f>
        <v>0</v>
      </c>
    </row>
    <row r="96" spans="1:23" x14ac:dyDescent="0.3">
      <c r="A96" s="147"/>
      <c r="B96" s="205">
        <f t="shared" ref="B96:B115" si="20">B95+1</f>
        <v>3</v>
      </c>
      <c r="C96" s="206">
        <v>45141</v>
      </c>
      <c r="D96" s="161" t="s">
        <v>8</v>
      </c>
      <c r="E96" s="161" t="s">
        <v>39</v>
      </c>
      <c r="F96" s="207">
        <v>19540</v>
      </c>
      <c r="G96" s="207">
        <v>19460</v>
      </c>
      <c r="H96" s="161">
        <v>80</v>
      </c>
      <c r="I96" s="207">
        <v>150</v>
      </c>
      <c r="J96" s="242">
        <f t="shared" si="17"/>
        <v>12000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4</v>
      </c>
      <c r="C97" s="206">
        <v>45142</v>
      </c>
      <c r="D97" s="161" t="s">
        <v>9</v>
      </c>
      <c r="E97" s="161" t="s">
        <v>39</v>
      </c>
      <c r="F97" s="207">
        <v>19540</v>
      </c>
      <c r="G97" s="207">
        <v>19500</v>
      </c>
      <c r="H97" s="161">
        <v>-40</v>
      </c>
      <c r="I97" s="207">
        <v>150</v>
      </c>
      <c r="J97" s="242">
        <f t="shared" si="17"/>
        <v>-6000</v>
      </c>
      <c r="K97" s="153"/>
      <c r="V97" s="25">
        <f t="shared" si="18"/>
        <v>0</v>
      </c>
      <c r="W97" s="25">
        <f t="shared" si="19"/>
        <v>1</v>
      </c>
    </row>
    <row r="98" spans="1:23" x14ac:dyDescent="0.3">
      <c r="A98" s="147"/>
      <c r="B98" s="205">
        <f t="shared" si="20"/>
        <v>5</v>
      </c>
      <c r="C98" s="206">
        <v>45142</v>
      </c>
      <c r="D98" s="161" t="s">
        <v>9</v>
      </c>
      <c r="E98" s="161" t="s">
        <v>39</v>
      </c>
      <c r="F98" s="207">
        <v>19530</v>
      </c>
      <c r="G98" s="207">
        <v>19585</v>
      </c>
      <c r="H98" s="161">
        <v>55</v>
      </c>
      <c r="I98" s="207">
        <v>150</v>
      </c>
      <c r="J98" s="242">
        <f t="shared" si="17"/>
        <v>8250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6</v>
      </c>
      <c r="C99" s="206">
        <v>45145</v>
      </c>
      <c r="D99" s="161" t="s">
        <v>9</v>
      </c>
      <c r="E99" s="161" t="s">
        <v>39</v>
      </c>
      <c r="F99" s="207">
        <v>19600</v>
      </c>
      <c r="G99" s="207">
        <v>19680</v>
      </c>
      <c r="H99" s="161">
        <v>80</v>
      </c>
      <c r="I99" s="207">
        <v>150</v>
      </c>
      <c r="J99" s="242">
        <f t="shared" si="17"/>
        <v>12000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7</v>
      </c>
      <c r="C100" s="206">
        <v>45146</v>
      </c>
      <c r="D100" s="161" t="s">
        <v>9</v>
      </c>
      <c r="E100" s="161" t="s">
        <v>39</v>
      </c>
      <c r="F100" s="207">
        <v>19640</v>
      </c>
      <c r="G100" s="207">
        <v>19660</v>
      </c>
      <c r="H100" s="161">
        <v>20</v>
      </c>
      <c r="I100" s="207">
        <v>150</v>
      </c>
      <c r="J100" s="242">
        <f t="shared" si="17"/>
        <v>3000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8</v>
      </c>
      <c r="C101" s="206">
        <v>45147</v>
      </c>
      <c r="D101" s="161" t="s">
        <v>9</v>
      </c>
      <c r="E101" s="161" t="s">
        <v>39</v>
      </c>
      <c r="F101" s="207">
        <v>19560</v>
      </c>
      <c r="G101" s="207">
        <v>19520</v>
      </c>
      <c r="H101" s="161">
        <v>40</v>
      </c>
      <c r="I101" s="207">
        <v>150</v>
      </c>
      <c r="J101" s="242">
        <f t="shared" si="17"/>
        <v>6000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9</v>
      </c>
      <c r="C102" s="206">
        <v>45148</v>
      </c>
      <c r="D102" s="161" t="s">
        <v>9</v>
      </c>
      <c r="E102" s="161" t="s">
        <v>39</v>
      </c>
      <c r="F102" s="207">
        <v>19640</v>
      </c>
      <c r="G102" s="207">
        <v>19665</v>
      </c>
      <c r="H102" s="161">
        <f>19665-19640</f>
        <v>25</v>
      </c>
      <c r="I102" s="207">
        <v>150</v>
      </c>
      <c r="J102" s="242">
        <f t="shared" si="17"/>
        <v>3750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10</v>
      </c>
      <c r="C103" s="206">
        <v>45149</v>
      </c>
      <c r="D103" s="161" t="s">
        <v>8</v>
      </c>
      <c r="E103" s="161" t="s">
        <v>39</v>
      </c>
      <c r="F103" s="207">
        <v>19520</v>
      </c>
      <c r="G103" s="207">
        <v>19490</v>
      </c>
      <c r="H103" s="161">
        <f>19520-19490</f>
        <v>30</v>
      </c>
      <c r="I103" s="207">
        <v>150</v>
      </c>
      <c r="J103" s="242">
        <f t="shared" si="17"/>
        <v>4500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11</v>
      </c>
      <c r="C104" s="206">
        <v>45152</v>
      </c>
      <c r="D104" s="161" t="s">
        <v>9</v>
      </c>
      <c r="E104" s="161" t="s">
        <v>39</v>
      </c>
      <c r="F104" s="207">
        <v>19380</v>
      </c>
      <c r="G104" s="207">
        <v>19460</v>
      </c>
      <c r="H104" s="161"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12</v>
      </c>
      <c r="C105" s="206">
        <v>45154</v>
      </c>
      <c r="D105" s="161" t="s">
        <v>9</v>
      </c>
      <c r="E105" s="161" t="s">
        <v>39</v>
      </c>
      <c r="F105" s="207">
        <v>19400</v>
      </c>
      <c r="G105" s="207">
        <v>19480</v>
      </c>
      <c r="H105" s="161">
        <v>80</v>
      </c>
      <c r="I105" s="207">
        <v>150</v>
      </c>
      <c r="J105" s="242">
        <f t="shared" si="17"/>
        <v>12000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13</v>
      </c>
      <c r="C106" s="206">
        <v>45155</v>
      </c>
      <c r="D106" s="161" t="s">
        <v>8</v>
      </c>
      <c r="E106" s="161" t="s">
        <v>39</v>
      </c>
      <c r="F106" s="207">
        <v>19410</v>
      </c>
      <c r="G106" s="207">
        <v>19370</v>
      </c>
      <c r="H106" s="161">
        <v>40</v>
      </c>
      <c r="I106" s="207">
        <v>150</v>
      </c>
      <c r="J106" s="242">
        <f t="shared" si="17"/>
        <v>6000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14</v>
      </c>
      <c r="C107" s="206">
        <v>45156</v>
      </c>
      <c r="D107" s="161" t="s">
        <v>8</v>
      </c>
      <c r="E107" s="161" t="s">
        <v>39</v>
      </c>
      <c r="F107" s="207">
        <v>19290</v>
      </c>
      <c r="G107" s="207">
        <v>19330</v>
      </c>
      <c r="H107" s="161">
        <v>-40</v>
      </c>
      <c r="I107" s="207">
        <v>150</v>
      </c>
      <c r="J107" s="242">
        <f t="shared" si="17"/>
        <v>-6000</v>
      </c>
      <c r="K107" s="153"/>
      <c r="V107" s="25">
        <f t="shared" si="18"/>
        <v>0</v>
      </c>
      <c r="W107" s="25">
        <f t="shared" si="19"/>
        <v>1</v>
      </c>
    </row>
    <row r="108" spans="1:23" x14ac:dyDescent="0.3">
      <c r="A108" s="147"/>
      <c r="B108" s="205">
        <f t="shared" si="20"/>
        <v>15</v>
      </c>
      <c r="C108" s="206">
        <v>45159</v>
      </c>
      <c r="D108" s="161" t="s">
        <v>9</v>
      </c>
      <c r="E108" s="161" t="s">
        <v>39</v>
      </c>
      <c r="F108" s="207">
        <v>19370</v>
      </c>
      <c r="G108" s="207">
        <v>19430</v>
      </c>
      <c r="H108" s="161">
        <f>19430-19370</f>
        <v>60</v>
      </c>
      <c r="I108" s="207">
        <v>150</v>
      </c>
      <c r="J108" s="242">
        <f t="shared" si="17"/>
        <v>9000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16</v>
      </c>
      <c r="C109" s="206">
        <v>45160</v>
      </c>
      <c r="D109" s="161" t="s">
        <v>9</v>
      </c>
      <c r="E109" s="161" t="s">
        <v>39</v>
      </c>
      <c r="F109" s="207">
        <v>19400</v>
      </c>
      <c r="G109" s="207">
        <v>19430</v>
      </c>
      <c r="H109" s="161">
        <v>30</v>
      </c>
      <c r="I109" s="207">
        <v>150</v>
      </c>
      <c r="J109" s="242">
        <f t="shared" si="17"/>
        <v>4500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17</v>
      </c>
      <c r="C110" s="206">
        <v>45161</v>
      </c>
      <c r="D110" s="161" t="s">
        <v>8</v>
      </c>
      <c r="E110" s="161" t="s">
        <v>39</v>
      </c>
      <c r="F110" s="207">
        <v>19370</v>
      </c>
      <c r="G110" s="207">
        <v>19410</v>
      </c>
      <c r="H110" s="161">
        <v>-40</v>
      </c>
      <c r="I110" s="207">
        <v>150</v>
      </c>
      <c r="J110" s="242">
        <f t="shared" si="17"/>
        <v>-6000</v>
      </c>
      <c r="K110" s="153"/>
      <c r="V110" s="25">
        <f t="shared" si="18"/>
        <v>0</v>
      </c>
      <c r="W110" s="25">
        <f t="shared" si="19"/>
        <v>1</v>
      </c>
    </row>
    <row r="111" spans="1:23" x14ac:dyDescent="0.3">
      <c r="A111" s="147"/>
      <c r="B111" s="205">
        <f t="shared" si="20"/>
        <v>18</v>
      </c>
      <c r="C111" s="206">
        <v>45162</v>
      </c>
      <c r="D111" s="161" t="s">
        <v>9</v>
      </c>
      <c r="E111" s="161" t="s">
        <v>39</v>
      </c>
      <c r="F111" s="207">
        <v>19560</v>
      </c>
      <c r="G111" s="207">
        <v>19520</v>
      </c>
      <c r="H111" s="161">
        <v>-40</v>
      </c>
      <c r="I111" s="207">
        <v>150</v>
      </c>
      <c r="J111" s="242">
        <f t="shared" si="17"/>
        <v>-6000</v>
      </c>
      <c r="K111" s="153"/>
      <c r="V111" s="25">
        <f t="shared" si="18"/>
        <v>0</v>
      </c>
      <c r="W111" s="25">
        <f t="shared" si="19"/>
        <v>1</v>
      </c>
    </row>
    <row r="112" spans="1:23" x14ac:dyDescent="0.3">
      <c r="A112" s="147"/>
      <c r="B112" s="205">
        <f t="shared" si="20"/>
        <v>19</v>
      </c>
      <c r="C112" s="206">
        <v>45162</v>
      </c>
      <c r="D112" s="161" t="s">
        <v>8</v>
      </c>
      <c r="E112" s="161" t="s">
        <v>39</v>
      </c>
      <c r="F112" s="207">
        <v>19460</v>
      </c>
      <c r="G112" s="207">
        <v>19380</v>
      </c>
      <c r="H112" s="161">
        <f>19460-19380</f>
        <v>80</v>
      </c>
      <c r="I112" s="207">
        <v>150</v>
      </c>
      <c r="J112" s="242">
        <f>I112*H112</f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20</v>
      </c>
      <c r="C113" s="206">
        <v>45163</v>
      </c>
      <c r="D113" s="161" t="s">
        <v>8</v>
      </c>
      <c r="E113" s="161" t="s">
        <v>39</v>
      </c>
      <c r="F113" s="207">
        <v>19300</v>
      </c>
      <c r="G113" s="207">
        <v>19230</v>
      </c>
      <c r="H113" s="161">
        <f>19300-19230</f>
        <v>70</v>
      </c>
      <c r="I113" s="207">
        <v>150</v>
      </c>
      <c r="J113" s="242">
        <f t="shared" si="17"/>
        <v>10500</v>
      </c>
      <c r="K113" s="153"/>
      <c r="V113" s="25">
        <f t="shared" si="18"/>
        <v>1</v>
      </c>
      <c r="W113" s="25">
        <f t="shared" si="19"/>
        <v>0</v>
      </c>
    </row>
    <row r="114" spans="1:23" x14ac:dyDescent="0.3">
      <c r="A114" s="147"/>
      <c r="B114" s="205">
        <f t="shared" si="20"/>
        <v>21</v>
      </c>
      <c r="C114" s="206">
        <v>45166</v>
      </c>
      <c r="D114" s="161" t="s">
        <v>9</v>
      </c>
      <c r="E114" s="161" t="s">
        <v>39</v>
      </c>
      <c r="F114" s="207">
        <v>19300</v>
      </c>
      <c r="G114" s="207">
        <v>19360</v>
      </c>
      <c r="H114" s="161">
        <v>60</v>
      </c>
      <c r="I114" s="207">
        <v>150</v>
      </c>
      <c r="J114" s="242">
        <f t="shared" si="17"/>
        <v>9000</v>
      </c>
      <c r="K114" s="153"/>
      <c r="V114" s="25">
        <f t="shared" si="18"/>
        <v>1</v>
      </c>
      <c r="W114" s="25">
        <f t="shared" si="19"/>
        <v>0</v>
      </c>
    </row>
    <row r="115" spans="1:23" x14ac:dyDescent="0.3">
      <c r="A115" s="147"/>
      <c r="B115" s="205">
        <f t="shared" si="20"/>
        <v>22</v>
      </c>
      <c r="C115" s="206">
        <v>45167</v>
      </c>
      <c r="D115" s="161" t="s">
        <v>9</v>
      </c>
      <c r="E115" s="161" t="s">
        <v>39</v>
      </c>
      <c r="F115" s="207">
        <v>19360</v>
      </c>
      <c r="G115" s="207">
        <v>19320</v>
      </c>
      <c r="H115" s="161">
        <v>-40</v>
      </c>
      <c r="I115" s="207">
        <v>150</v>
      </c>
      <c r="J115" s="242">
        <f t="shared" si="17"/>
        <v>-6000</v>
      </c>
      <c r="K115" s="153"/>
      <c r="V115" s="25">
        <f t="shared" si="18"/>
        <v>0</v>
      </c>
      <c r="W115" s="25">
        <f t="shared" si="19"/>
        <v>1</v>
      </c>
    </row>
    <row r="116" spans="1:23" x14ac:dyDescent="0.3">
      <c r="A116" s="147"/>
      <c r="B116" s="269">
        <v>23</v>
      </c>
      <c r="C116" s="264">
        <v>45168</v>
      </c>
      <c r="D116" s="265" t="s">
        <v>9</v>
      </c>
      <c r="E116" s="265" t="s">
        <v>39</v>
      </c>
      <c r="F116" s="266">
        <v>19430</v>
      </c>
      <c r="G116" s="266">
        <v>19390</v>
      </c>
      <c r="H116" s="265">
        <v>-40</v>
      </c>
      <c r="I116" s="266">
        <v>150</v>
      </c>
      <c r="J116" s="242">
        <f t="shared" si="17"/>
        <v>-6000</v>
      </c>
      <c r="K116" s="153"/>
      <c r="V116" s="25">
        <f t="shared" si="18"/>
        <v>0</v>
      </c>
      <c r="W116" s="25">
        <f t="shared" si="19"/>
        <v>1</v>
      </c>
    </row>
    <row r="117" spans="1:23" ht="15" thickBot="1" x14ac:dyDescent="0.35">
      <c r="A117" s="147"/>
      <c r="B117" s="208">
        <v>24</v>
      </c>
      <c r="C117" s="209">
        <v>45169</v>
      </c>
      <c r="D117" s="166" t="s">
        <v>8</v>
      </c>
      <c r="E117" s="166" t="s">
        <v>39</v>
      </c>
      <c r="F117" s="210">
        <v>19340</v>
      </c>
      <c r="G117" s="210">
        <v>19260</v>
      </c>
      <c r="H117" s="166">
        <f>19340-19260</f>
        <v>80</v>
      </c>
      <c r="I117" s="210">
        <v>150</v>
      </c>
      <c r="J117" s="244">
        <f t="shared" si="17"/>
        <v>12000</v>
      </c>
      <c r="K117" s="153"/>
      <c r="V117" s="25">
        <f t="shared" si="18"/>
        <v>1</v>
      </c>
      <c r="W117" s="25">
        <f t="shared" si="19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120750</v>
      </c>
      <c r="K118" s="153"/>
      <c r="V118" s="25">
        <f>SUM(V94:V117)</f>
        <v>18</v>
      </c>
      <c r="W118" s="25">
        <f>SUM(W94:W117)</f>
        <v>6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4302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45139</v>
      </c>
      <c r="D126" s="185" t="s">
        <v>9</v>
      </c>
      <c r="E126" s="185" t="s">
        <v>4287</v>
      </c>
      <c r="F126" s="219">
        <v>125</v>
      </c>
      <c r="G126" s="231">
        <v>160</v>
      </c>
      <c r="H126" s="231">
        <v>35</v>
      </c>
      <c r="I126" s="219">
        <v>300</v>
      </c>
      <c r="J126" s="246">
        <f t="shared" ref="J126:J152" si="21">I126*H126</f>
        <v>10500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45140</v>
      </c>
      <c r="D127" s="185" t="s">
        <v>9</v>
      </c>
      <c r="E127" s="185" t="s">
        <v>4290</v>
      </c>
      <c r="F127" s="219">
        <v>140</v>
      </c>
      <c r="G127" s="219">
        <v>190</v>
      </c>
      <c r="H127" s="185">
        <v>50</v>
      </c>
      <c r="I127" s="219">
        <v>300</v>
      </c>
      <c r="J127" s="242">
        <f t="shared" si="21"/>
        <v>15000</v>
      </c>
      <c r="K127" s="153"/>
      <c r="V127" s="25">
        <f t="shared" ref="V127:V152" si="22">IF($J127&gt;0,1,0)</f>
        <v>1</v>
      </c>
      <c r="W127" s="25">
        <f t="shared" ref="W127:W152" si="23">IF($J127&lt;0,1,0)</f>
        <v>0</v>
      </c>
    </row>
    <row r="128" spans="1:23" x14ac:dyDescent="0.3">
      <c r="A128" s="147"/>
      <c r="B128" s="205">
        <f>B127+1</f>
        <v>3</v>
      </c>
      <c r="C128" s="206">
        <v>45141</v>
      </c>
      <c r="D128" s="161" t="s">
        <v>9</v>
      </c>
      <c r="E128" s="161" t="s">
        <v>1765</v>
      </c>
      <c r="F128" s="207">
        <v>135</v>
      </c>
      <c r="G128" s="207">
        <v>150</v>
      </c>
      <c r="H128" s="161">
        <v>15</v>
      </c>
      <c r="I128" s="207">
        <v>300</v>
      </c>
      <c r="J128" s="242">
        <f t="shared" si="21"/>
        <v>4500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ref="B129:B152" si="24">B128+1</f>
        <v>4</v>
      </c>
      <c r="C129" s="206">
        <v>45142</v>
      </c>
      <c r="D129" s="161" t="s">
        <v>9</v>
      </c>
      <c r="E129" s="161" t="s">
        <v>4265</v>
      </c>
      <c r="F129" s="207">
        <v>140</v>
      </c>
      <c r="G129" s="207">
        <v>180</v>
      </c>
      <c r="H129" s="161">
        <v>40</v>
      </c>
      <c r="I129" s="207">
        <v>300</v>
      </c>
      <c r="J129" s="242">
        <f t="shared" si="21"/>
        <v>12000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5</v>
      </c>
      <c r="C130" s="206">
        <v>45145</v>
      </c>
      <c r="D130" s="161" t="s">
        <v>9</v>
      </c>
      <c r="E130" s="161" t="s">
        <v>4307</v>
      </c>
      <c r="F130" s="207">
        <v>160</v>
      </c>
      <c r="G130" s="207">
        <v>176</v>
      </c>
      <c r="H130" s="161">
        <v>16</v>
      </c>
      <c r="I130" s="207">
        <v>300</v>
      </c>
      <c r="J130" s="242">
        <f t="shared" si="21"/>
        <v>4800</v>
      </c>
      <c r="K130" s="153"/>
      <c r="M130" s="25" t="s">
        <v>2008</v>
      </c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6</v>
      </c>
      <c r="C131" s="206">
        <v>45146</v>
      </c>
      <c r="D131" s="161" t="s">
        <v>9</v>
      </c>
      <c r="E131" s="161" t="s">
        <v>4277</v>
      </c>
      <c r="F131" s="207">
        <v>135</v>
      </c>
      <c r="G131" s="222">
        <v>110</v>
      </c>
      <c r="H131" s="222">
        <v>-25</v>
      </c>
      <c r="I131" s="207">
        <v>300</v>
      </c>
      <c r="J131" s="242">
        <f t="shared" si="21"/>
        <v>-7500</v>
      </c>
      <c r="K131" s="153"/>
      <c r="V131" s="25">
        <f t="shared" si="22"/>
        <v>0</v>
      </c>
      <c r="W131" s="25">
        <f t="shared" si="23"/>
        <v>1</v>
      </c>
    </row>
    <row r="132" spans="1:23" x14ac:dyDescent="0.3">
      <c r="A132" s="147"/>
      <c r="B132" s="205">
        <f t="shared" si="24"/>
        <v>7</v>
      </c>
      <c r="C132" s="206">
        <v>45147</v>
      </c>
      <c r="D132" s="161" t="s">
        <v>9</v>
      </c>
      <c r="E132" s="161" t="s">
        <v>1765</v>
      </c>
      <c r="F132" s="207">
        <v>125</v>
      </c>
      <c r="G132" s="207">
        <v>150</v>
      </c>
      <c r="H132" s="161">
        <v>25</v>
      </c>
      <c r="I132" s="207">
        <v>300</v>
      </c>
      <c r="J132" s="242">
        <f t="shared" si="21"/>
        <v>7500</v>
      </c>
      <c r="K132" s="153"/>
      <c r="V132" s="25">
        <f t="shared" si="22"/>
        <v>1</v>
      </c>
      <c r="W132" s="25">
        <f t="shared" si="23"/>
        <v>0</v>
      </c>
    </row>
    <row r="133" spans="1:23" x14ac:dyDescent="0.3">
      <c r="A133" s="147"/>
      <c r="B133" s="205">
        <f t="shared" si="24"/>
        <v>8</v>
      </c>
      <c r="C133" s="206">
        <v>45148</v>
      </c>
      <c r="D133" s="161" t="s">
        <v>9</v>
      </c>
      <c r="E133" s="161" t="s">
        <v>4277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1"/>
        <v>-7500</v>
      </c>
      <c r="K133" s="153"/>
      <c r="V133" s="25">
        <f t="shared" si="22"/>
        <v>0</v>
      </c>
      <c r="W133" s="25">
        <f t="shared" si="23"/>
        <v>1</v>
      </c>
    </row>
    <row r="134" spans="1:23" x14ac:dyDescent="0.3">
      <c r="A134" s="147"/>
      <c r="B134" s="205">
        <f t="shared" si="24"/>
        <v>9</v>
      </c>
      <c r="C134" s="206">
        <v>45149</v>
      </c>
      <c r="D134" s="161" t="s">
        <v>9</v>
      </c>
      <c r="E134" s="161" t="s">
        <v>4271</v>
      </c>
      <c r="F134" s="207">
        <v>130</v>
      </c>
      <c r="G134" s="222">
        <v>140</v>
      </c>
      <c r="H134" s="161">
        <v>10</v>
      </c>
      <c r="I134" s="207">
        <v>300</v>
      </c>
      <c r="J134" s="242">
        <f t="shared" si="21"/>
        <v>3000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10</v>
      </c>
      <c r="C135" s="206">
        <v>45152</v>
      </c>
      <c r="D135" s="161" t="s">
        <v>9</v>
      </c>
      <c r="E135" s="161" t="s">
        <v>4259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1"/>
        <v>15000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11</v>
      </c>
      <c r="C136" s="206">
        <v>45154</v>
      </c>
      <c r="D136" s="161" t="s">
        <v>9</v>
      </c>
      <c r="E136" s="161" t="s">
        <v>4264</v>
      </c>
      <c r="F136" s="207">
        <v>120</v>
      </c>
      <c r="G136" s="222">
        <v>95</v>
      </c>
      <c r="H136" s="222">
        <v>-25</v>
      </c>
      <c r="I136" s="207">
        <v>300</v>
      </c>
      <c r="J136" s="242">
        <f t="shared" si="21"/>
        <v>-7500</v>
      </c>
      <c r="K136" s="153"/>
      <c r="V136" s="25">
        <f t="shared" si="22"/>
        <v>0</v>
      </c>
      <c r="W136" s="25">
        <f t="shared" si="23"/>
        <v>1</v>
      </c>
    </row>
    <row r="137" spans="1:23" x14ac:dyDescent="0.3">
      <c r="A137" s="147"/>
      <c r="B137" s="205">
        <f t="shared" si="24"/>
        <v>12</v>
      </c>
      <c r="C137" s="206">
        <v>45154</v>
      </c>
      <c r="D137" s="161" t="s">
        <v>9</v>
      </c>
      <c r="E137" s="161" t="s">
        <v>4264</v>
      </c>
      <c r="F137" s="207">
        <v>125</v>
      </c>
      <c r="G137" s="222">
        <v>175</v>
      </c>
      <c r="H137" s="222">
        <v>50</v>
      </c>
      <c r="I137" s="207">
        <v>300</v>
      </c>
      <c r="J137" s="242">
        <f t="shared" si="21"/>
        <v>15000</v>
      </c>
      <c r="K137" s="153"/>
      <c r="V137" s="25">
        <f t="shared" si="22"/>
        <v>1</v>
      </c>
      <c r="W137" s="25">
        <f t="shared" si="23"/>
        <v>0</v>
      </c>
    </row>
    <row r="138" spans="1:23" x14ac:dyDescent="0.3">
      <c r="A138" s="147"/>
      <c r="B138" s="205">
        <f t="shared" si="24"/>
        <v>13</v>
      </c>
      <c r="C138" s="206">
        <v>45155</v>
      </c>
      <c r="D138" s="161" t="s">
        <v>9</v>
      </c>
      <c r="E138" s="161" t="s">
        <v>4264</v>
      </c>
      <c r="F138" s="207">
        <v>110</v>
      </c>
      <c r="G138" s="207">
        <v>85</v>
      </c>
      <c r="H138" s="161">
        <v>-25</v>
      </c>
      <c r="I138" s="207">
        <v>300</v>
      </c>
      <c r="J138" s="242">
        <f t="shared" si="21"/>
        <v>-7500</v>
      </c>
      <c r="K138" s="153"/>
      <c r="V138" s="25">
        <f t="shared" si="22"/>
        <v>0</v>
      </c>
      <c r="W138" s="25">
        <f t="shared" si="23"/>
        <v>1</v>
      </c>
    </row>
    <row r="139" spans="1:23" x14ac:dyDescent="0.3">
      <c r="A139" s="147"/>
      <c r="B139" s="205">
        <f t="shared" si="24"/>
        <v>14</v>
      </c>
      <c r="C139" s="206">
        <v>45155</v>
      </c>
      <c r="D139" s="161" t="s">
        <v>9</v>
      </c>
      <c r="E139" s="161" t="s">
        <v>1764</v>
      </c>
      <c r="F139" s="207">
        <v>145</v>
      </c>
      <c r="G139" s="207">
        <v>170</v>
      </c>
      <c r="H139" s="161">
        <v>25</v>
      </c>
      <c r="I139" s="207">
        <v>300</v>
      </c>
      <c r="J139" s="242">
        <f t="shared" si="21"/>
        <v>7500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4"/>
        <v>15</v>
      </c>
      <c r="C140" s="206">
        <v>45156</v>
      </c>
      <c r="D140" s="161" t="s">
        <v>9</v>
      </c>
      <c r="E140" s="161" t="s">
        <v>4308</v>
      </c>
      <c r="F140" s="207">
        <v>140</v>
      </c>
      <c r="G140" s="207">
        <v>115</v>
      </c>
      <c r="H140" s="161">
        <v>-25</v>
      </c>
      <c r="I140" s="207">
        <v>300</v>
      </c>
      <c r="J140" s="242">
        <f t="shared" si="21"/>
        <v>-7500</v>
      </c>
      <c r="K140" s="153"/>
      <c r="V140" s="25">
        <f>IF($J140&gt;0,1,0)</f>
        <v>0</v>
      </c>
      <c r="W140" s="25">
        <f>IF($J140&lt;0,1,0)</f>
        <v>1</v>
      </c>
    </row>
    <row r="141" spans="1:23" x14ac:dyDescent="0.3">
      <c r="A141" s="147"/>
      <c r="B141" s="205">
        <f t="shared" si="24"/>
        <v>16</v>
      </c>
      <c r="C141" s="206">
        <v>45159</v>
      </c>
      <c r="D141" s="161" t="s">
        <v>9</v>
      </c>
      <c r="E141" s="161" t="s">
        <v>4259</v>
      </c>
      <c r="F141" s="207">
        <v>140</v>
      </c>
      <c r="G141" s="207">
        <v>180</v>
      </c>
      <c r="H141" s="161">
        <v>40</v>
      </c>
      <c r="I141" s="207">
        <v>300</v>
      </c>
      <c r="J141" s="242">
        <f t="shared" si="21"/>
        <v>12000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17</v>
      </c>
      <c r="C142" s="206">
        <v>45160</v>
      </c>
      <c r="D142" s="161" t="s">
        <v>9</v>
      </c>
      <c r="E142" s="161" t="s">
        <v>4264</v>
      </c>
      <c r="F142" s="207">
        <v>120</v>
      </c>
      <c r="G142" s="207">
        <v>135</v>
      </c>
      <c r="H142" s="161">
        <v>15</v>
      </c>
      <c r="I142" s="207">
        <v>300</v>
      </c>
      <c r="J142" s="242">
        <f t="shared" si="21"/>
        <v>4500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18</v>
      </c>
      <c r="C143" s="206">
        <v>45161</v>
      </c>
      <c r="D143" s="161" t="s">
        <v>9</v>
      </c>
      <c r="E143" s="161" t="s">
        <v>1764</v>
      </c>
      <c r="F143" s="207">
        <v>150</v>
      </c>
      <c r="G143" s="222">
        <v>125</v>
      </c>
      <c r="H143" s="222">
        <v>-25</v>
      </c>
      <c r="I143" s="207">
        <v>300</v>
      </c>
      <c r="J143" s="242">
        <f t="shared" si="21"/>
        <v>-7500</v>
      </c>
      <c r="K143" s="153"/>
      <c r="V143" s="25">
        <f t="shared" si="22"/>
        <v>0</v>
      </c>
      <c r="W143" s="25">
        <f t="shared" si="23"/>
        <v>1</v>
      </c>
    </row>
    <row r="144" spans="1:23" x14ac:dyDescent="0.3">
      <c r="A144" s="147"/>
      <c r="B144" s="205">
        <f t="shared" si="24"/>
        <v>19</v>
      </c>
      <c r="C144" s="206">
        <v>45161</v>
      </c>
      <c r="D144" s="161" t="s">
        <v>9</v>
      </c>
      <c r="E144" s="161" t="s">
        <v>4264</v>
      </c>
      <c r="F144" s="207">
        <v>150</v>
      </c>
      <c r="G144" s="222">
        <v>160</v>
      </c>
      <c r="H144" s="222">
        <v>10</v>
      </c>
      <c r="I144" s="207">
        <v>300</v>
      </c>
      <c r="J144" s="242">
        <f t="shared" si="21"/>
        <v>3000</v>
      </c>
      <c r="K144" s="153"/>
      <c r="V144" s="25">
        <f t="shared" si="22"/>
        <v>1</v>
      </c>
      <c r="W144" s="25">
        <f t="shared" si="23"/>
        <v>0</v>
      </c>
    </row>
    <row r="145" spans="1:23" x14ac:dyDescent="0.3">
      <c r="A145" s="147"/>
      <c r="B145" s="205">
        <f t="shared" si="24"/>
        <v>20</v>
      </c>
      <c r="C145" s="206">
        <v>45162</v>
      </c>
      <c r="D145" s="161" t="s">
        <v>9</v>
      </c>
      <c r="E145" s="161" t="s">
        <v>1765</v>
      </c>
      <c r="F145" s="207">
        <v>120</v>
      </c>
      <c r="G145" s="222">
        <v>170</v>
      </c>
      <c r="H145" s="222">
        <v>50</v>
      </c>
      <c r="I145" s="207">
        <v>300</v>
      </c>
      <c r="J145" s="242">
        <f t="shared" si="21"/>
        <v>15000</v>
      </c>
      <c r="K145" s="153"/>
      <c r="V145" s="25">
        <f t="shared" si="22"/>
        <v>1</v>
      </c>
      <c r="W145" s="25">
        <f t="shared" si="23"/>
        <v>0</v>
      </c>
    </row>
    <row r="146" spans="1:23" x14ac:dyDescent="0.3">
      <c r="A146" s="147"/>
      <c r="B146" s="205">
        <f t="shared" si="24"/>
        <v>21</v>
      </c>
      <c r="C146" s="206">
        <v>45163</v>
      </c>
      <c r="D146" s="161" t="s">
        <v>9</v>
      </c>
      <c r="E146" s="161" t="s">
        <v>1760</v>
      </c>
      <c r="F146" s="207">
        <v>125</v>
      </c>
      <c r="G146" s="222">
        <v>100</v>
      </c>
      <c r="H146" s="222">
        <v>-25</v>
      </c>
      <c r="I146" s="207">
        <v>300</v>
      </c>
      <c r="J146" s="242">
        <f t="shared" si="21"/>
        <v>-7500</v>
      </c>
      <c r="K146" s="153"/>
      <c r="V146" s="25">
        <f t="shared" si="22"/>
        <v>0</v>
      </c>
      <c r="W146" s="25">
        <f t="shared" si="23"/>
        <v>1</v>
      </c>
    </row>
    <row r="147" spans="1:23" x14ac:dyDescent="0.3">
      <c r="A147" s="147"/>
      <c r="B147" s="205">
        <f t="shared" si="24"/>
        <v>22</v>
      </c>
      <c r="C147" s="206">
        <v>45166</v>
      </c>
      <c r="D147" s="161" t="s">
        <v>9</v>
      </c>
      <c r="E147" s="161" t="s">
        <v>2965</v>
      </c>
      <c r="F147" s="207">
        <v>145</v>
      </c>
      <c r="G147" s="222">
        <v>182</v>
      </c>
      <c r="H147" s="222">
        <f>182-145</f>
        <v>37</v>
      </c>
      <c r="I147" s="207">
        <v>300</v>
      </c>
      <c r="J147" s="242">
        <f t="shared" si="21"/>
        <v>11100</v>
      </c>
      <c r="K147" s="153"/>
      <c r="V147" s="25">
        <f t="shared" si="22"/>
        <v>1</v>
      </c>
      <c r="W147" s="25">
        <f t="shared" si="23"/>
        <v>0</v>
      </c>
    </row>
    <row r="148" spans="1:23" x14ac:dyDescent="0.3">
      <c r="A148" s="147"/>
      <c r="B148" s="205">
        <f t="shared" si="24"/>
        <v>23</v>
      </c>
      <c r="C148" s="206">
        <v>45167</v>
      </c>
      <c r="D148" s="161" t="s">
        <v>9</v>
      </c>
      <c r="E148" s="161" t="s">
        <v>4259</v>
      </c>
      <c r="F148" s="207">
        <v>115</v>
      </c>
      <c r="G148" s="222">
        <v>130</v>
      </c>
      <c r="H148" s="161">
        <v>15</v>
      </c>
      <c r="I148" s="207">
        <v>300</v>
      </c>
      <c r="J148" s="242">
        <f t="shared" si="21"/>
        <v>4500</v>
      </c>
      <c r="K148" s="153"/>
      <c r="V148" s="25">
        <f t="shared" si="22"/>
        <v>1</v>
      </c>
      <c r="W148" s="25">
        <f t="shared" si="23"/>
        <v>0</v>
      </c>
    </row>
    <row r="149" spans="1:23" x14ac:dyDescent="0.3">
      <c r="A149" s="147"/>
      <c r="B149" s="205">
        <f t="shared" si="24"/>
        <v>24</v>
      </c>
      <c r="C149" s="264">
        <v>45168</v>
      </c>
      <c r="D149" s="265" t="s">
        <v>9</v>
      </c>
      <c r="E149" s="265" t="s">
        <v>4264</v>
      </c>
      <c r="F149" s="266">
        <v>140</v>
      </c>
      <c r="G149" s="267">
        <v>150</v>
      </c>
      <c r="H149" s="265">
        <v>10</v>
      </c>
      <c r="I149" s="266">
        <v>300</v>
      </c>
      <c r="J149" s="242">
        <f t="shared" si="21"/>
        <v>3000</v>
      </c>
      <c r="K149" s="153"/>
      <c r="V149" s="25">
        <f t="shared" si="22"/>
        <v>1</v>
      </c>
      <c r="W149" s="25">
        <f t="shared" si="23"/>
        <v>0</v>
      </c>
    </row>
    <row r="150" spans="1:23" x14ac:dyDescent="0.3">
      <c r="A150" s="147"/>
      <c r="B150" s="205">
        <f t="shared" si="24"/>
        <v>25</v>
      </c>
      <c r="C150" s="264">
        <v>45168</v>
      </c>
      <c r="D150" s="265" t="s">
        <v>9</v>
      </c>
      <c r="E150" s="265" t="s">
        <v>1764</v>
      </c>
      <c r="F150" s="266">
        <v>140</v>
      </c>
      <c r="G150" s="267">
        <v>173</v>
      </c>
      <c r="H150" s="265">
        <f>173-140</f>
        <v>33</v>
      </c>
      <c r="I150" s="266">
        <v>300</v>
      </c>
      <c r="J150" s="242">
        <f t="shared" si="21"/>
        <v>9900</v>
      </c>
      <c r="K150" s="153"/>
      <c r="V150" s="25">
        <f t="shared" si="22"/>
        <v>1</v>
      </c>
      <c r="W150" s="25">
        <f t="shared" si="23"/>
        <v>0</v>
      </c>
    </row>
    <row r="151" spans="1:23" x14ac:dyDescent="0.3">
      <c r="A151" s="147"/>
      <c r="B151" s="205">
        <f t="shared" si="24"/>
        <v>26</v>
      </c>
      <c r="C151" s="264">
        <v>45169</v>
      </c>
      <c r="D151" s="265" t="s">
        <v>9</v>
      </c>
      <c r="E151" s="265" t="s">
        <v>4269</v>
      </c>
      <c r="F151" s="266">
        <v>120</v>
      </c>
      <c r="G151" s="267">
        <v>145</v>
      </c>
      <c r="H151" s="265">
        <f>145-120</f>
        <v>25</v>
      </c>
      <c r="I151" s="266">
        <v>300</v>
      </c>
      <c r="J151" s="242">
        <f t="shared" si="21"/>
        <v>7500</v>
      </c>
      <c r="K151" s="153"/>
      <c r="V151" s="25">
        <f t="shared" si="22"/>
        <v>1</v>
      </c>
      <c r="W151" s="25">
        <f t="shared" si="23"/>
        <v>0</v>
      </c>
    </row>
    <row r="152" spans="1:23" ht="15" thickBot="1" x14ac:dyDescent="0.35">
      <c r="A152" s="147"/>
      <c r="B152" s="205">
        <f t="shared" si="24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1"/>
        <v>0</v>
      </c>
      <c r="K152" s="153"/>
      <c r="V152" s="25">
        <f t="shared" si="22"/>
        <v>0</v>
      </c>
      <c r="W152" s="25">
        <f t="shared" si="23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112800</v>
      </c>
      <c r="K153" s="153"/>
      <c r="V153" s="25">
        <f>SUM(V126:V152)</f>
        <v>19</v>
      </c>
      <c r="W153" s="25">
        <f>SUM(W126:W152)</f>
        <v>7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4300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2367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45139</v>
      </c>
      <c r="D161" s="185" t="s">
        <v>8</v>
      </c>
      <c r="E161" s="185" t="s">
        <v>301</v>
      </c>
      <c r="F161" s="219">
        <v>45850</v>
      </c>
      <c r="G161" s="231">
        <v>45650</v>
      </c>
      <c r="H161" s="185">
        <v>200</v>
      </c>
      <c r="I161" s="219">
        <v>60</v>
      </c>
      <c r="J161" s="246">
        <f t="shared" ref="J161:J186" si="25">I161*H161</f>
        <v>12000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45140</v>
      </c>
      <c r="D162" s="185" t="s">
        <v>8</v>
      </c>
      <c r="E162" s="185" t="s">
        <v>301</v>
      </c>
      <c r="F162" s="219">
        <v>45450</v>
      </c>
      <c r="G162" s="219">
        <v>45150</v>
      </c>
      <c r="H162" s="185">
        <v>300</v>
      </c>
      <c r="I162" s="219">
        <v>60</v>
      </c>
      <c r="J162" s="242">
        <f t="shared" si="25"/>
        <v>18000</v>
      </c>
      <c r="K162" s="153"/>
      <c r="V162" s="25">
        <f t="shared" ref="V162:V186" si="26">IF($J162&gt;0,1,0)</f>
        <v>1</v>
      </c>
      <c r="W162" s="25">
        <f t="shared" ref="W162:W186" si="27">IF($J162&lt;0,1,0)</f>
        <v>0</v>
      </c>
    </row>
    <row r="163" spans="1:23" x14ac:dyDescent="0.3">
      <c r="A163" s="147"/>
      <c r="B163" s="205">
        <f t="shared" ref="B163:B186" si="28">B162+1</f>
        <v>3</v>
      </c>
      <c r="C163" s="206">
        <v>45141</v>
      </c>
      <c r="D163" s="161" t="s">
        <v>8</v>
      </c>
      <c r="E163" s="161" t="s">
        <v>301</v>
      </c>
      <c r="F163" s="207">
        <v>45050</v>
      </c>
      <c r="G163" s="207">
        <v>44750</v>
      </c>
      <c r="H163" s="161">
        <v>300</v>
      </c>
      <c r="I163" s="207">
        <v>60</v>
      </c>
      <c r="J163" s="242">
        <f t="shared" si="25"/>
        <v>18000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4</v>
      </c>
      <c r="C164" s="206">
        <v>45142</v>
      </c>
      <c r="D164" s="161" t="s">
        <v>9</v>
      </c>
      <c r="E164" s="161" t="s">
        <v>301</v>
      </c>
      <c r="F164" s="207">
        <v>44750</v>
      </c>
      <c r="G164" s="207">
        <v>45050</v>
      </c>
      <c r="H164" s="161">
        <v>300</v>
      </c>
      <c r="I164" s="207">
        <v>60</v>
      </c>
      <c r="J164" s="242">
        <f t="shared" si="25"/>
        <v>18000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5</v>
      </c>
      <c r="C165" s="206">
        <v>45145</v>
      </c>
      <c r="D165" s="161" t="s">
        <v>9</v>
      </c>
      <c r="E165" s="161" t="s">
        <v>301</v>
      </c>
      <c r="F165" s="207">
        <v>45000</v>
      </c>
      <c r="G165" s="207">
        <v>45100</v>
      </c>
      <c r="H165" s="161">
        <v>100</v>
      </c>
      <c r="I165" s="207">
        <v>60</v>
      </c>
      <c r="J165" s="242">
        <f t="shared" si="25"/>
        <v>6000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6</v>
      </c>
      <c r="C166" s="206">
        <v>45146</v>
      </c>
      <c r="D166" s="161" t="s">
        <v>9</v>
      </c>
      <c r="E166" s="161" t="s">
        <v>301</v>
      </c>
      <c r="F166" s="207">
        <v>44950</v>
      </c>
      <c r="G166" s="207">
        <v>45230</v>
      </c>
      <c r="H166" s="161">
        <f>45230-44950</f>
        <v>280</v>
      </c>
      <c r="I166" s="207">
        <v>60</v>
      </c>
      <c r="J166" s="242">
        <f t="shared" si="25"/>
        <v>16800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7</v>
      </c>
      <c r="C167" s="206">
        <v>45147</v>
      </c>
      <c r="D167" s="161" t="s">
        <v>8</v>
      </c>
      <c r="E167" s="161" t="s">
        <v>301</v>
      </c>
      <c r="F167" s="207">
        <v>44850</v>
      </c>
      <c r="G167" s="207">
        <v>44700</v>
      </c>
      <c r="H167" s="161">
        <f>44850-44700</f>
        <v>150</v>
      </c>
      <c r="I167" s="207">
        <v>60</v>
      </c>
      <c r="J167" s="242">
        <f t="shared" si="25"/>
        <v>9000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8</v>
      </c>
      <c r="C168" s="206">
        <v>45148</v>
      </c>
      <c r="D168" s="161" t="s">
        <v>9</v>
      </c>
      <c r="E168" s="161" t="s">
        <v>301</v>
      </c>
      <c r="F168" s="207">
        <v>45050</v>
      </c>
      <c r="G168" s="207">
        <v>45120</v>
      </c>
      <c r="H168" s="161">
        <f>45120-45050</f>
        <v>70</v>
      </c>
      <c r="I168" s="207">
        <v>60</v>
      </c>
      <c r="J168" s="242">
        <f t="shared" si="25"/>
        <v>4200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9</v>
      </c>
      <c r="C169" s="206">
        <v>45149</v>
      </c>
      <c r="D169" s="161" t="s">
        <v>8</v>
      </c>
      <c r="E169" s="161" t="s">
        <v>301</v>
      </c>
      <c r="F169" s="207">
        <v>44550</v>
      </c>
      <c r="G169" s="207">
        <v>44500</v>
      </c>
      <c r="H169" s="161">
        <v>50</v>
      </c>
      <c r="I169" s="207">
        <v>60</v>
      </c>
      <c r="J169" s="242">
        <f t="shared" si="25"/>
        <v>3000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10</v>
      </c>
      <c r="C170" s="206">
        <v>45152</v>
      </c>
      <c r="D170" s="161" t="s">
        <v>9</v>
      </c>
      <c r="E170" s="161" t="s">
        <v>301</v>
      </c>
      <c r="F170" s="207">
        <v>44100</v>
      </c>
      <c r="G170" s="207">
        <v>44310</v>
      </c>
      <c r="H170" s="161">
        <v>200</v>
      </c>
      <c r="I170" s="207">
        <v>60</v>
      </c>
      <c r="J170" s="242">
        <f t="shared" si="25"/>
        <v>12000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11</v>
      </c>
      <c r="C171" s="206">
        <v>45154</v>
      </c>
      <c r="D171" s="161" t="s">
        <v>9</v>
      </c>
      <c r="E171" s="161" t="s">
        <v>301</v>
      </c>
      <c r="F171" s="207">
        <v>43950</v>
      </c>
      <c r="G171" s="207">
        <v>44100</v>
      </c>
      <c r="H171" s="161">
        <f>44100-43950</f>
        <v>150</v>
      </c>
      <c r="I171" s="207">
        <v>60</v>
      </c>
      <c r="J171" s="242">
        <f t="shared" si="25"/>
        <v>9000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12</v>
      </c>
      <c r="C172" s="206">
        <v>45155</v>
      </c>
      <c r="D172" s="161" t="s">
        <v>9</v>
      </c>
      <c r="E172" s="161" t="s">
        <v>301</v>
      </c>
      <c r="F172" s="207">
        <v>44150</v>
      </c>
      <c r="G172" s="207">
        <v>44200</v>
      </c>
      <c r="H172" s="161">
        <v>50</v>
      </c>
      <c r="I172" s="207">
        <v>60</v>
      </c>
      <c r="J172" s="242">
        <f t="shared" si="25"/>
        <v>3000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13</v>
      </c>
      <c r="C173" s="206">
        <v>45156</v>
      </c>
      <c r="D173" s="161" t="s">
        <v>8</v>
      </c>
      <c r="E173" s="161" t="s">
        <v>301</v>
      </c>
      <c r="F173" s="207">
        <v>44000</v>
      </c>
      <c r="G173" s="207">
        <v>43900</v>
      </c>
      <c r="H173" s="161">
        <v>100</v>
      </c>
      <c r="I173" s="207">
        <v>60</v>
      </c>
      <c r="J173" s="242">
        <f t="shared" si="25"/>
        <v>6000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14</v>
      </c>
      <c r="C174" s="206">
        <v>45159</v>
      </c>
      <c r="D174" s="161" t="s">
        <v>9</v>
      </c>
      <c r="E174" s="161" t="s">
        <v>301</v>
      </c>
      <c r="F174" s="207">
        <v>44050</v>
      </c>
      <c r="G174" s="207">
        <v>44200</v>
      </c>
      <c r="H174" s="161">
        <f>44200-44050</f>
        <v>150</v>
      </c>
      <c r="I174" s="207">
        <v>60</v>
      </c>
      <c r="J174" s="242">
        <f t="shared" si="25"/>
        <v>9000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15</v>
      </c>
      <c r="C175" s="206">
        <v>45160</v>
      </c>
      <c r="D175" s="161" t="s">
        <v>9</v>
      </c>
      <c r="E175" s="161" t="s">
        <v>301</v>
      </c>
      <c r="F175" s="207">
        <v>44150</v>
      </c>
      <c r="G175" s="207">
        <v>44100</v>
      </c>
      <c r="H175" s="161">
        <v>-50</v>
      </c>
      <c r="I175" s="207">
        <v>60</v>
      </c>
      <c r="J175" s="242">
        <f t="shared" si="25"/>
        <v>-3000</v>
      </c>
      <c r="K175" s="153"/>
      <c r="V175" s="25">
        <f t="shared" si="26"/>
        <v>0</v>
      </c>
      <c r="W175" s="25">
        <f t="shared" si="27"/>
        <v>1</v>
      </c>
    </row>
    <row r="176" spans="1:23" x14ac:dyDescent="0.3">
      <c r="A176" s="147"/>
      <c r="B176" s="205">
        <f t="shared" si="28"/>
        <v>16</v>
      </c>
      <c r="C176" s="206">
        <v>45161</v>
      </c>
      <c r="D176" s="161" t="s">
        <v>8</v>
      </c>
      <c r="E176" s="161" t="s">
        <v>301</v>
      </c>
      <c r="F176" s="207">
        <v>44050</v>
      </c>
      <c r="G176" s="207">
        <v>44200</v>
      </c>
      <c r="H176" s="161">
        <v>-150</v>
      </c>
      <c r="I176" s="207">
        <v>60</v>
      </c>
      <c r="J176" s="242">
        <f t="shared" si="25"/>
        <v>-9000</v>
      </c>
      <c r="K176" s="153"/>
      <c r="V176" s="25">
        <f t="shared" si="26"/>
        <v>0</v>
      </c>
      <c r="W176" s="25">
        <f t="shared" si="27"/>
        <v>1</v>
      </c>
    </row>
    <row r="177" spans="1:23" x14ac:dyDescent="0.3">
      <c r="A177" s="147"/>
      <c r="B177" s="205">
        <f t="shared" si="28"/>
        <v>17</v>
      </c>
      <c r="C177" s="206">
        <v>45161</v>
      </c>
      <c r="D177" s="161" t="s">
        <v>9</v>
      </c>
      <c r="E177" s="161" t="s">
        <v>301</v>
      </c>
      <c r="F177" s="207">
        <v>44500</v>
      </c>
      <c r="G177" s="207">
        <v>44560</v>
      </c>
      <c r="H177" s="161">
        <v>60</v>
      </c>
      <c r="I177" s="207">
        <v>60</v>
      </c>
      <c r="J177" s="242">
        <f t="shared" si="25"/>
        <v>3600</v>
      </c>
      <c r="K177" s="153"/>
      <c r="V177" s="25">
        <f t="shared" si="26"/>
        <v>1</v>
      </c>
      <c r="W177" s="25">
        <f t="shared" si="27"/>
        <v>0</v>
      </c>
    </row>
    <row r="178" spans="1:23" x14ac:dyDescent="0.3">
      <c r="A178" s="147"/>
      <c r="B178" s="205">
        <f t="shared" si="28"/>
        <v>18</v>
      </c>
      <c r="C178" s="206">
        <v>45162</v>
      </c>
      <c r="D178" s="161" t="s">
        <v>9</v>
      </c>
      <c r="E178" s="161" t="s">
        <v>301</v>
      </c>
      <c r="F178" s="207">
        <v>44950</v>
      </c>
      <c r="G178" s="207">
        <v>44800</v>
      </c>
      <c r="H178" s="161">
        <v>-150</v>
      </c>
      <c r="I178" s="207">
        <v>60</v>
      </c>
      <c r="J178" s="242">
        <f t="shared" si="25"/>
        <v>-9000</v>
      </c>
      <c r="K178" s="153"/>
      <c r="V178" s="25">
        <f t="shared" si="26"/>
        <v>0</v>
      </c>
      <c r="W178" s="25">
        <f t="shared" si="27"/>
        <v>1</v>
      </c>
    </row>
    <row r="179" spans="1:23" x14ac:dyDescent="0.3">
      <c r="A179" s="147"/>
      <c r="B179" s="205">
        <f t="shared" si="28"/>
        <v>19</v>
      </c>
      <c r="C179" s="206">
        <v>45162</v>
      </c>
      <c r="D179" s="161" t="s">
        <v>8</v>
      </c>
      <c r="E179" s="161" t="s">
        <v>301</v>
      </c>
      <c r="F179" s="207">
        <v>44750</v>
      </c>
      <c r="G179" s="207">
        <v>44540</v>
      </c>
      <c r="H179" s="161">
        <f>44750-44540</f>
        <v>210</v>
      </c>
      <c r="I179" s="207">
        <v>60</v>
      </c>
      <c r="J179" s="242">
        <f t="shared" si="25"/>
        <v>12600</v>
      </c>
      <c r="K179" s="153"/>
      <c r="V179" s="25">
        <f t="shared" si="26"/>
        <v>1</v>
      </c>
      <c r="W179" s="25">
        <f t="shared" si="27"/>
        <v>0</v>
      </c>
    </row>
    <row r="180" spans="1:23" x14ac:dyDescent="0.3">
      <c r="A180" s="147"/>
      <c r="B180" s="205">
        <f t="shared" si="28"/>
        <v>20</v>
      </c>
      <c r="C180" s="206">
        <v>45163</v>
      </c>
      <c r="D180" s="161" t="s">
        <v>8</v>
      </c>
      <c r="E180" s="161" t="s">
        <v>301</v>
      </c>
      <c r="F180" s="207">
        <v>44300</v>
      </c>
      <c r="G180" s="207">
        <v>44000</v>
      </c>
      <c r="H180" s="161">
        <v>300</v>
      </c>
      <c r="I180" s="207">
        <v>60</v>
      </c>
      <c r="J180" s="242">
        <f t="shared" si="25"/>
        <v>18000</v>
      </c>
      <c r="K180" s="153"/>
      <c r="V180" s="25">
        <f t="shared" si="26"/>
        <v>1</v>
      </c>
      <c r="W180" s="25">
        <f t="shared" si="27"/>
        <v>0</v>
      </c>
    </row>
    <row r="181" spans="1:23" x14ac:dyDescent="0.3">
      <c r="A181" s="147"/>
      <c r="B181" s="205">
        <f t="shared" si="28"/>
        <v>21</v>
      </c>
      <c r="C181" s="206">
        <v>45166</v>
      </c>
      <c r="D181" s="161" t="s">
        <v>9</v>
      </c>
      <c r="E181" s="161" t="s">
        <v>301</v>
      </c>
      <c r="F181" s="207">
        <v>44350</v>
      </c>
      <c r="G181" s="207">
        <v>44550</v>
      </c>
      <c r="H181" s="161">
        <v>200</v>
      </c>
      <c r="I181" s="207">
        <v>60</v>
      </c>
      <c r="J181" s="242">
        <f t="shared" si="25"/>
        <v>12000</v>
      </c>
      <c r="K181" s="153"/>
      <c r="V181" s="25">
        <f t="shared" si="26"/>
        <v>1</v>
      </c>
      <c r="W181" s="25">
        <f t="shared" si="27"/>
        <v>0</v>
      </c>
    </row>
    <row r="182" spans="1:23" x14ac:dyDescent="0.3">
      <c r="A182" s="147"/>
      <c r="B182" s="205">
        <f t="shared" si="28"/>
        <v>22</v>
      </c>
      <c r="C182" s="206">
        <v>45167</v>
      </c>
      <c r="D182" s="161" t="s">
        <v>9</v>
      </c>
      <c r="E182" s="161" t="s">
        <v>301</v>
      </c>
      <c r="F182" s="207">
        <v>44500</v>
      </c>
      <c r="G182" s="207">
        <v>44545</v>
      </c>
      <c r="H182" s="161">
        <v>45</v>
      </c>
      <c r="I182" s="207">
        <v>60</v>
      </c>
      <c r="J182" s="242">
        <f t="shared" si="25"/>
        <v>2700</v>
      </c>
      <c r="K182" s="153"/>
      <c r="V182" s="25">
        <f t="shared" si="26"/>
        <v>1</v>
      </c>
      <c r="W182" s="25">
        <f t="shared" si="27"/>
        <v>0</v>
      </c>
    </row>
    <row r="183" spans="1:23" x14ac:dyDescent="0.3">
      <c r="A183" s="147"/>
      <c r="B183" s="205">
        <f t="shared" si="28"/>
        <v>23</v>
      </c>
      <c r="C183" s="206">
        <v>45168</v>
      </c>
      <c r="D183" s="161" t="s">
        <v>9</v>
      </c>
      <c r="E183" s="161" t="s">
        <v>301</v>
      </c>
      <c r="F183" s="207">
        <v>44650</v>
      </c>
      <c r="G183" s="207">
        <v>44500</v>
      </c>
      <c r="H183" s="161">
        <v>-150</v>
      </c>
      <c r="I183" s="207">
        <v>60</v>
      </c>
      <c r="J183" s="242">
        <f t="shared" si="25"/>
        <v>-9000</v>
      </c>
      <c r="K183" s="153"/>
      <c r="V183" s="25">
        <f t="shared" si="26"/>
        <v>0</v>
      </c>
      <c r="W183" s="25">
        <f t="shared" si="27"/>
        <v>1</v>
      </c>
    </row>
    <row r="184" spans="1:23" x14ac:dyDescent="0.3">
      <c r="A184" s="147"/>
      <c r="B184" s="205">
        <f t="shared" si="28"/>
        <v>24</v>
      </c>
      <c r="C184" s="206">
        <v>45169</v>
      </c>
      <c r="D184" s="161" t="s">
        <v>8</v>
      </c>
      <c r="E184" s="161" t="s">
        <v>301</v>
      </c>
      <c r="F184" s="207">
        <v>44300</v>
      </c>
      <c r="G184" s="207">
        <v>44100</v>
      </c>
      <c r="H184" s="161">
        <v>200</v>
      </c>
      <c r="I184" s="207">
        <v>60</v>
      </c>
      <c r="J184" s="242">
        <f t="shared" si="25"/>
        <v>12000</v>
      </c>
      <c r="K184" s="153"/>
      <c r="V184" s="25">
        <f t="shared" si="26"/>
        <v>1</v>
      </c>
      <c r="W184" s="25">
        <f t="shared" si="27"/>
        <v>0</v>
      </c>
    </row>
    <row r="185" spans="1:23" x14ac:dyDescent="0.3">
      <c r="A185" s="147"/>
      <c r="B185" s="205">
        <f t="shared" si="28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5"/>
        <v>0</v>
      </c>
      <c r="K185" s="153"/>
      <c r="V185" s="25">
        <f t="shared" si="26"/>
        <v>0</v>
      </c>
      <c r="W185" s="25">
        <f t="shared" si="27"/>
        <v>0</v>
      </c>
    </row>
    <row r="186" spans="1:23" ht="15" thickBot="1" x14ac:dyDescent="0.35">
      <c r="A186" s="147"/>
      <c r="B186" s="205">
        <f t="shared" si="28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5"/>
        <v>0</v>
      </c>
      <c r="K186" s="153"/>
      <c r="V186" s="25">
        <f t="shared" si="26"/>
        <v>0</v>
      </c>
      <c r="W186" s="25">
        <f t="shared" si="27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174900</v>
      </c>
      <c r="K187" s="153"/>
      <c r="V187" s="25">
        <f>SUM(V161:V186)</f>
        <v>20</v>
      </c>
      <c r="W187" s="25">
        <f>SUM(W161:W186)</f>
        <v>4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4302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1152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45139</v>
      </c>
      <c r="D195" s="185" t="s">
        <v>9</v>
      </c>
      <c r="E195" s="185" t="s">
        <v>4319</v>
      </c>
      <c r="F195" s="231">
        <v>300</v>
      </c>
      <c r="G195" s="231">
        <v>445</v>
      </c>
      <c r="H195" s="231">
        <v>145</v>
      </c>
      <c r="I195" s="219">
        <v>120</v>
      </c>
      <c r="J195" s="246">
        <f t="shared" ref="J195:J220" si="29">I195*H195</f>
        <v>17400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45140</v>
      </c>
      <c r="D196" s="185" t="s">
        <v>9</v>
      </c>
      <c r="E196" s="185" t="s">
        <v>4320</v>
      </c>
      <c r="F196" s="231">
        <v>350</v>
      </c>
      <c r="G196" s="231">
        <v>550</v>
      </c>
      <c r="H196" s="231">
        <v>200</v>
      </c>
      <c r="I196" s="219">
        <v>120</v>
      </c>
      <c r="J196" s="242">
        <f t="shared" si="29"/>
        <v>24000</v>
      </c>
      <c r="K196" s="153"/>
      <c r="V196" s="25">
        <f t="shared" ref="V196:V220" si="30">IF($J196&gt;0,1,0)</f>
        <v>1</v>
      </c>
      <c r="W196" s="25">
        <f t="shared" ref="W196:W220" si="31">IF($J196&lt;0,1,0)</f>
        <v>0</v>
      </c>
    </row>
    <row r="197" spans="1:23" x14ac:dyDescent="0.3">
      <c r="A197" s="147"/>
      <c r="B197" s="205">
        <f t="shared" ref="B197:B216" si="32">B196+1</f>
        <v>3</v>
      </c>
      <c r="C197" s="206">
        <v>45141</v>
      </c>
      <c r="D197" s="161" t="s">
        <v>9</v>
      </c>
      <c r="E197" s="161" t="s">
        <v>4266</v>
      </c>
      <c r="F197" s="222">
        <v>350</v>
      </c>
      <c r="G197" s="222">
        <v>550</v>
      </c>
      <c r="H197" s="222">
        <v>200</v>
      </c>
      <c r="I197" s="207">
        <v>120</v>
      </c>
      <c r="J197" s="242">
        <f t="shared" si="29"/>
        <v>24000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4</v>
      </c>
      <c r="C198" s="206">
        <v>45142</v>
      </c>
      <c r="D198" s="161" t="s">
        <v>9</v>
      </c>
      <c r="E198" s="161" t="s">
        <v>4273</v>
      </c>
      <c r="F198" s="222">
        <v>310</v>
      </c>
      <c r="G198" s="222">
        <v>510</v>
      </c>
      <c r="H198" s="222">
        <v>200</v>
      </c>
      <c r="I198" s="207">
        <v>120</v>
      </c>
      <c r="J198" s="242">
        <f t="shared" si="29"/>
        <v>24000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5</v>
      </c>
      <c r="C199" s="206">
        <v>45145</v>
      </c>
      <c r="D199" s="161" t="s">
        <v>9</v>
      </c>
      <c r="E199" s="161" t="s">
        <v>4272</v>
      </c>
      <c r="F199" s="222">
        <v>300</v>
      </c>
      <c r="G199" s="222">
        <v>340</v>
      </c>
      <c r="H199" s="222">
        <v>40</v>
      </c>
      <c r="I199" s="207">
        <v>120</v>
      </c>
      <c r="J199" s="242">
        <f t="shared" si="29"/>
        <v>4800</v>
      </c>
      <c r="K199" s="153"/>
      <c r="O199" s="25" t="s">
        <v>2008</v>
      </c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6</v>
      </c>
      <c r="C200" s="206">
        <v>45146</v>
      </c>
      <c r="D200" s="161" t="s">
        <v>9</v>
      </c>
      <c r="E200" s="161" t="s">
        <v>4278</v>
      </c>
      <c r="F200" s="222">
        <v>320</v>
      </c>
      <c r="G200" s="222">
        <v>470</v>
      </c>
      <c r="H200" s="222">
        <v>150</v>
      </c>
      <c r="I200" s="207">
        <v>120</v>
      </c>
      <c r="J200" s="242">
        <f t="shared" si="29"/>
        <v>18000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7</v>
      </c>
      <c r="C201" s="206">
        <v>45147</v>
      </c>
      <c r="D201" s="161" t="s">
        <v>9</v>
      </c>
      <c r="E201" s="161" t="s">
        <v>4267</v>
      </c>
      <c r="F201" s="222">
        <v>380</v>
      </c>
      <c r="G201" s="222">
        <v>480</v>
      </c>
      <c r="H201" s="222">
        <v>100</v>
      </c>
      <c r="I201" s="207">
        <v>120</v>
      </c>
      <c r="J201" s="242">
        <f t="shared" si="29"/>
        <v>12000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8</v>
      </c>
      <c r="C202" s="206">
        <v>45148</v>
      </c>
      <c r="D202" s="161" t="s">
        <v>9</v>
      </c>
      <c r="E202" s="161" t="s">
        <v>4273</v>
      </c>
      <c r="F202" s="222">
        <v>330</v>
      </c>
      <c r="G202" s="222">
        <v>230</v>
      </c>
      <c r="H202" s="222">
        <v>-100</v>
      </c>
      <c r="I202" s="207">
        <v>120</v>
      </c>
      <c r="J202" s="242">
        <f t="shared" si="29"/>
        <v>-12000</v>
      </c>
      <c r="K202" s="153"/>
      <c r="V202" s="25">
        <f t="shared" si="30"/>
        <v>0</v>
      </c>
      <c r="W202" s="25">
        <f t="shared" si="31"/>
        <v>1</v>
      </c>
    </row>
    <row r="203" spans="1:23" x14ac:dyDescent="0.3">
      <c r="A203" s="147"/>
      <c r="B203" s="205">
        <f t="shared" si="32"/>
        <v>9</v>
      </c>
      <c r="C203" s="206">
        <v>45149</v>
      </c>
      <c r="D203" s="161" t="s">
        <v>9</v>
      </c>
      <c r="E203" s="161" t="s">
        <v>4321</v>
      </c>
      <c r="F203" s="222">
        <v>340</v>
      </c>
      <c r="G203" s="222">
        <v>380</v>
      </c>
      <c r="H203" s="255">
        <v>40</v>
      </c>
      <c r="I203" s="207">
        <v>120</v>
      </c>
      <c r="J203" s="242">
        <f t="shared" si="29"/>
        <v>4800</v>
      </c>
      <c r="K203" s="153"/>
      <c r="V203" s="25">
        <f t="shared" si="30"/>
        <v>1</v>
      </c>
      <c r="W203" s="25">
        <f t="shared" si="31"/>
        <v>0</v>
      </c>
    </row>
    <row r="204" spans="1:23" x14ac:dyDescent="0.3">
      <c r="A204" s="147"/>
      <c r="B204" s="205">
        <f t="shared" si="32"/>
        <v>10</v>
      </c>
      <c r="C204" s="206">
        <v>45152</v>
      </c>
      <c r="D204" s="161" t="s">
        <v>9</v>
      </c>
      <c r="E204" s="161" t="s">
        <v>4040</v>
      </c>
      <c r="F204" s="222">
        <v>250</v>
      </c>
      <c r="G204" s="222">
        <v>375</v>
      </c>
      <c r="H204" s="255">
        <v>125</v>
      </c>
      <c r="I204" s="207">
        <v>120</v>
      </c>
      <c r="J204" s="242">
        <f t="shared" si="29"/>
        <v>15000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11</v>
      </c>
      <c r="C205" s="206">
        <v>45154</v>
      </c>
      <c r="D205" s="161" t="s">
        <v>9</v>
      </c>
      <c r="E205" s="161" t="s">
        <v>4208</v>
      </c>
      <c r="F205" s="222">
        <v>300</v>
      </c>
      <c r="G205" s="222">
        <v>400</v>
      </c>
      <c r="H205" s="255">
        <v>100</v>
      </c>
      <c r="I205" s="207">
        <v>120</v>
      </c>
      <c r="J205" s="242">
        <f t="shared" si="29"/>
        <v>12000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12</v>
      </c>
      <c r="C206" s="206">
        <v>45155</v>
      </c>
      <c r="D206" s="161" t="s">
        <v>9</v>
      </c>
      <c r="E206" s="161" t="s">
        <v>4033</v>
      </c>
      <c r="F206" s="222">
        <v>300</v>
      </c>
      <c r="G206" s="222">
        <v>367</v>
      </c>
      <c r="H206" s="255">
        <v>67</v>
      </c>
      <c r="I206" s="207">
        <v>120</v>
      </c>
      <c r="J206" s="242">
        <f t="shared" si="29"/>
        <v>8040</v>
      </c>
      <c r="K206" s="153"/>
      <c r="V206" s="25">
        <f t="shared" si="30"/>
        <v>1</v>
      </c>
      <c r="W206" s="25">
        <f t="shared" si="31"/>
        <v>0</v>
      </c>
    </row>
    <row r="207" spans="1:23" x14ac:dyDescent="0.3">
      <c r="A207" s="147"/>
      <c r="B207" s="205">
        <f t="shared" si="32"/>
        <v>13</v>
      </c>
      <c r="C207" s="206">
        <v>45156</v>
      </c>
      <c r="D207" s="161" t="s">
        <v>9</v>
      </c>
      <c r="E207" s="161" t="s">
        <v>4207</v>
      </c>
      <c r="F207" s="222">
        <v>300</v>
      </c>
      <c r="G207" s="222">
        <v>350</v>
      </c>
      <c r="H207" s="255">
        <v>50</v>
      </c>
      <c r="I207" s="207">
        <v>120</v>
      </c>
      <c r="J207" s="242">
        <f t="shared" si="29"/>
        <v>6000</v>
      </c>
      <c r="K207" s="153"/>
      <c r="V207" s="25">
        <f t="shared" si="30"/>
        <v>1</v>
      </c>
      <c r="W207" s="25">
        <f t="shared" si="31"/>
        <v>0</v>
      </c>
    </row>
    <row r="208" spans="1:23" x14ac:dyDescent="0.3">
      <c r="A208" s="147"/>
      <c r="B208" s="205">
        <f t="shared" si="32"/>
        <v>14</v>
      </c>
      <c r="C208" s="206">
        <v>45159</v>
      </c>
      <c r="D208" s="161" t="s">
        <v>9</v>
      </c>
      <c r="E208" s="161" t="s">
        <v>4196</v>
      </c>
      <c r="F208" s="207">
        <v>310</v>
      </c>
      <c r="G208" s="207">
        <v>410</v>
      </c>
      <c r="H208" s="161">
        <v>100</v>
      </c>
      <c r="I208" s="207">
        <v>120</v>
      </c>
      <c r="J208" s="242">
        <f t="shared" si="29"/>
        <v>12000</v>
      </c>
      <c r="K208" s="153"/>
      <c r="V208" s="25">
        <f t="shared" si="30"/>
        <v>1</v>
      </c>
      <c r="W208" s="25">
        <f t="shared" si="31"/>
        <v>0</v>
      </c>
    </row>
    <row r="209" spans="1:23" x14ac:dyDescent="0.3">
      <c r="A209" s="147"/>
      <c r="B209" s="205">
        <f t="shared" si="32"/>
        <v>15</v>
      </c>
      <c r="C209" s="206">
        <v>45160</v>
      </c>
      <c r="D209" s="161" t="s">
        <v>9</v>
      </c>
      <c r="E209" s="161" t="s">
        <v>4196</v>
      </c>
      <c r="F209" s="207">
        <v>340</v>
      </c>
      <c r="G209" s="207">
        <v>315</v>
      </c>
      <c r="H209" s="161">
        <v>-25</v>
      </c>
      <c r="I209" s="207">
        <v>120</v>
      </c>
      <c r="J209" s="242">
        <f t="shared" si="29"/>
        <v>-3000</v>
      </c>
      <c r="K209" s="153"/>
      <c r="V209" s="25">
        <f t="shared" si="30"/>
        <v>0</v>
      </c>
      <c r="W209" s="25">
        <f t="shared" si="31"/>
        <v>1</v>
      </c>
    </row>
    <row r="210" spans="1:23" x14ac:dyDescent="0.3">
      <c r="A210" s="147"/>
      <c r="B210" s="205">
        <f t="shared" si="32"/>
        <v>16</v>
      </c>
      <c r="C210" s="206">
        <v>45161</v>
      </c>
      <c r="D210" s="161" t="s">
        <v>9</v>
      </c>
      <c r="E210" s="161" t="s">
        <v>4042</v>
      </c>
      <c r="F210" s="207">
        <v>350</v>
      </c>
      <c r="G210" s="207">
        <v>250</v>
      </c>
      <c r="H210" s="161">
        <v>-100</v>
      </c>
      <c r="I210" s="207">
        <v>120</v>
      </c>
      <c r="J210" s="242">
        <f t="shared" si="29"/>
        <v>-12000</v>
      </c>
      <c r="K210" s="153"/>
      <c r="V210" s="25">
        <f t="shared" si="30"/>
        <v>0</v>
      </c>
      <c r="W210" s="25">
        <f t="shared" si="31"/>
        <v>1</v>
      </c>
    </row>
    <row r="211" spans="1:23" x14ac:dyDescent="0.3">
      <c r="A211" s="147"/>
      <c r="B211" s="205">
        <f t="shared" si="32"/>
        <v>17</v>
      </c>
      <c r="C211" s="206">
        <v>45161</v>
      </c>
      <c r="D211" s="161" t="s">
        <v>9</v>
      </c>
      <c r="E211" s="161" t="s">
        <v>4222</v>
      </c>
      <c r="F211" s="207">
        <v>350</v>
      </c>
      <c r="G211" s="207">
        <v>420</v>
      </c>
      <c r="H211" s="161">
        <f>420-350</f>
        <v>70</v>
      </c>
      <c r="I211" s="207">
        <v>120</v>
      </c>
      <c r="J211" s="242">
        <f t="shared" si="29"/>
        <v>8400</v>
      </c>
      <c r="K211" s="153"/>
      <c r="V211" s="25">
        <f t="shared" si="30"/>
        <v>1</v>
      </c>
      <c r="W211" s="25">
        <f t="shared" si="31"/>
        <v>0</v>
      </c>
    </row>
    <row r="212" spans="1:23" x14ac:dyDescent="0.3">
      <c r="A212" s="147"/>
      <c r="B212" s="205">
        <f t="shared" si="32"/>
        <v>18</v>
      </c>
      <c r="C212" s="206">
        <v>45162</v>
      </c>
      <c r="D212" s="161" t="s">
        <v>9</v>
      </c>
      <c r="E212" s="161" t="s">
        <v>4267</v>
      </c>
      <c r="F212" s="207">
        <v>350</v>
      </c>
      <c r="G212" s="207">
        <v>550</v>
      </c>
      <c r="H212" s="161">
        <v>200</v>
      </c>
      <c r="I212" s="207">
        <v>120</v>
      </c>
      <c r="J212" s="242">
        <f t="shared" si="29"/>
        <v>24000</v>
      </c>
      <c r="K212" s="153"/>
      <c r="V212" s="25">
        <f t="shared" si="30"/>
        <v>1</v>
      </c>
      <c r="W212" s="25">
        <f t="shared" si="31"/>
        <v>0</v>
      </c>
    </row>
    <row r="213" spans="1:23" x14ac:dyDescent="0.3">
      <c r="A213" s="147"/>
      <c r="B213" s="205">
        <f t="shared" si="32"/>
        <v>19</v>
      </c>
      <c r="C213" s="206">
        <v>45163</v>
      </c>
      <c r="D213" s="161" t="s">
        <v>9</v>
      </c>
      <c r="E213" s="161" t="s">
        <v>4215</v>
      </c>
      <c r="F213" s="207">
        <v>330</v>
      </c>
      <c r="G213" s="207">
        <v>460</v>
      </c>
      <c r="H213" s="161">
        <f>460-330</f>
        <v>130</v>
      </c>
      <c r="I213" s="207">
        <v>120</v>
      </c>
      <c r="J213" s="161">
        <f t="shared" si="29"/>
        <v>15600</v>
      </c>
      <c r="K213" s="153"/>
      <c r="V213" s="25">
        <f t="shared" si="30"/>
        <v>1</v>
      </c>
      <c r="W213" s="25">
        <f t="shared" si="31"/>
        <v>0</v>
      </c>
    </row>
    <row r="214" spans="1:23" x14ac:dyDescent="0.3">
      <c r="A214" s="147"/>
      <c r="B214" s="205">
        <f t="shared" si="32"/>
        <v>20</v>
      </c>
      <c r="C214" s="206">
        <v>45166</v>
      </c>
      <c r="D214" s="161" t="s">
        <v>9</v>
      </c>
      <c r="E214" s="161" t="s">
        <v>4213</v>
      </c>
      <c r="F214" s="207">
        <v>330</v>
      </c>
      <c r="G214" s="207">
        <v>485</v>
      </c>
      <c r="H214" s="161">
        <f>485-330</f>
        <v>155</v>
      </c>
      <c r="I214" s="207">
        <v>120</v>
      </c>
      <c r="J214" s="161">
        <f t="shared" si="29"/>
        <v>18600</v>
      </c>
      <c r="K214" s="153"/>
      <c r="V214" s="25">
        <f t="shared" si="30"/>
        <v>1</v>
      </c>
      <c r="W214" s="25">
        <f t="shared" si="31"/>
        <v>0</v>
      </c>
    </row>
    <row r="215" spans="1:23" x14ac:dyDescent="0.3">
      <c r="A215" s="147"/>
      <c r="B215" s="205">
        <f t="shared" si="32"/>
        <v>21</v>
      </c>
      <c r="C215" s="206">
        <v>45167</v>
      </c>
      <c r="D215" s="161" t="s">
        <v>9</v>
      </c>
      <c r="E215" s="161" t="s">
        <v>4328</v>
      </c>
      <c r="F215" s="207">
        <v>320</v>
      </c>
      <c r="G215" s="207">
        <v>350</v>
      </c>
      <c r="H215" s="161">
        <v>30</v>
      </c>
      <c r="I215" s="207">
        <v>120</v>
      </c>
      <c r="J215" s="161">
        <f t="shared" si="29"/>
        <v>3600</v>
      </c>
      <c r="K215" s="153"/>
      <c r="V215" s="25">
        <f t="shared" si="30"/>
        <v>1</v>
      </c>
      <c r="W215" s="25">
        <f t="shared" si="31"/>
        <v>0</v>
      </c>
    </row>
    <row r="216" spans="1:23" x14ac:dyDescent="0.3">
      <c r="A216" s="147"/>
      <c r="B216" s="205">
        <f t="shared" si="32"/>
        <v>22</v>
      </c>
      <c r="C216" s="206">
        <v>45168</v>
      </c>
      <c r="D216" s="161" t="s">
        <v>9</v>
      </c>
      <c r="E216" s="161" t="s">
        <v>4250</v>
      </c>
      <c r="F216" s="207">
        <v>300</v>
      </c>
      <c r="G216" s="207">
        <v>230</v>
      </c>
      <c r="H216" s="161">
        <v>-70</v>
      </c>
      <c r="I216" s="207">
        <v>120</v>
      </c>
      <c r="J216" s="161">
        <f t="shared" si="29"/>
        <v>-8400</v>
      </c>
      <c r="K216" s="153"/>
      <c r="T216" s="25" t="s">
        <v>2008</v>
      </c>
      <c r="V216" s="25">
        <f t="shared" si="30"/>
        <v>0</v>
      </c>
      <c r="W216" s="25">
        <f t="shared" si="31"/>
        <v>1</v>
      </c>
    </row>
    <row r="217" spans="1:23" x14ac:dyDescent="0.3">
      <c r="A217" s="147"/>
      <c r="B217" s="269">
        <v>23</v>
      </c>
      <c r="C217" s="264">
        <v>45169</v>
      </c>
      <c r="D217" s="265" t="s">
        <v>9</v>
      </c>
      <c r="E217" s="265" t="s">
        <v>4321</v>
      </c>
      <c r="F217" s="266">
        <v>330</v>
      </c>
      <c r="G217" s="266">
        <v>530</v>
      </c>
      <c r="H217" s="265">
        <v>200</v>
      </c>
      <c r="I217" s="266">
        <v>120</v>
      </c>
      <c r="J217" s="161">
        <f t="shared" si="29"/>
        <v>24000</v>
      </c>
      <c r="K217" s="153"/>
      <c r="V217" s="25">
        <f t="shared" si="30"/>
        <v>1</v>
      </c>
      <c r="W217" s="25">
        <f t="shared" si="31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29"/>
        <v>0</v>
      </c>
      <c r="K218" s="153"/>
      <c r="V218" s="25">
        <f t="shared" si="30"/>
        <v>0</v>
      </c>
      <c r="W218" s="25">
        <f t="shared" si="31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29"/>
        <v>0</v>
      </c>
      <c r="K219" s="153"/>
      <c r="V219" s="25">
        <f t="shared" si="30"/>
        <v>0</v>
      </c>
      <c r="W219" s="25">
        <f t="shared" si="31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29"/>
        <v>0</v>
      </c>
      <c r="K220" s="153"/>
      <c r="V220" s="25">
        <f t="shared" si="30"/>
        <v>0</v>
      </c>
      <c r="W220" s="25">
        <f t="shared" si="31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240840</v>
      </c>
      <c r="K221" s="153"/>
      <c r="V221" s="25">
        <f>SUM(V195:V220)</f>
        <v>19</v>
      </c>
      <c r="W221" s="25">
        <f>SUM(W195:W220)</f>
        <v>4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3875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45139</v>
      </c>
      <c r="D229" s="185" t="s">
        <v>9</v>
      </c>
      <c r="E229" s="185" t="s">
        <v>4309</v>
      </c>
      <c r="F229" s="231">
        <v>155</v>
      </c>
      <c r="G229" s="231">
        <v>175</v>
      </c>
      <c r="H229" s="231">
        <v>20</v>
      </c>
      <c r="I229" s="219">
        <v>125</v>
      </c>
      <c r="J229" s="246">
        <f t="shared" ref="J229:J252" si="33">I229*H229</f>
        <v>2500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45140</v>
      </c>
      <c r="D230" s="185" t="s">
        <v>9</v>
      </c>
      <c r="E230" s="185" t="s">
        <v>4310</v>
      </c>
      <c r="F230" s="231">
        <v>125</v>
      </c>
      <c r="G230" s="231">
        <v>165</v>
      </c>
      <c r="H230" s="231">
        <f>165-125</f>
        <v>40</v>
      </c>
      <c r="I230" s="219">
        <v>150</v>
      </c>
      <c r="J230" s="242">
        <f>I230*H230</f>
        <v>6000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4">B230+1</f>
        <v>3</v>
      </c>
      <c r="C231" s="206">
        <v>45141</v>
      </c>
      <c r="D231" s="161" t="s">
        <v>9</v>
      </c>
      <c r="E231" s="161" t="s">
        <v>3707</v>
      </c>
      <c r="F231" s="222">
        <v>165</v>
      </c>
      <c r="G231" s="222">
        <v>220</v>
      </c>
      <c r="H231" s="222">
        <f>200-165</f>
        <v>35</v>
      </c>
      <c r="I231" s="207">
        <v>200</v>
      </c>
      <c r="J231" s="242">
        <f t="shared" si="33"/>
        <v>7000</v>
      </c>
      <c r="K231" s="153"/>
      <c r="V231" s="25">
        <f t="shared" ref="V231:V252" si="35">IF($J231&gt;0,1,0)</f>
        <v>1</v>
      </c>
      <c r="W231" s="25">
        <f t="shared" ref="W231:W252" si="36">IF($J231&lt;0,1,0)</f>
        <v>0</v>
      </c>
    </row>
    <row r="232" spans="1:23" x14ac:dyDescent="0.3">
      <c r="A232" s="147"/>
      <c r="B232" s="205">
        <f t="shared" si="34"/>
        <v>4</v>
      </c>
      <c r="C232" s="206">
        <v>45142</v>
      </c>
      <c r="D232" s="161" t="s">
        <v>9</v>
      </c>
      <c r="E232" s="161" t="s">
        <v>4311</v>
      </c>
      <c r="F232" s="222">
        <v>190</v>
      </c>
      <c r="G232" s="222">
        <v>250</v>
      </c>
      <c r="H232" s="222">
        <f>250-190</f>
        <v>60</v>
      </c>
      <c r="I232" s="207">
        <v>200</v>
      </c>
      <c r="J232" s="242">
        <f t="shared" si="33"/>
        <v>12000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5</v>
      </c>
      <c r="C233" s="206">
        <v>45145</v>
      </c>
      <c r="D233" s="161" t="s">
        <v>9</v>
      </c>
      <c r="E233" s="161" t="s">
        <v>4066</v>
      </c>
      <c r="F233" s="222">
        <v>20</v>
      </c>
      <c r="G233" s="222">
        <v>23</v>
      </c>
      <c r="H233" s="222">
        <v>3</v>
      </c>
      <c r="I233" s="207">
        <v>650</v>
      </c>
      <c r="J233" s="242">
        <f t="shared" si="33"/>
        <v>1950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6</v>
      </c>
      <c r="C234" s="206">
        <v>45146</v>
      </c>
      <c r="D234" s="161" t="s">
        <v>9</v>
      </c>
      <c r="E234" s="161" t="s">
        <v>4312</v>
      </c>
      <c r="F234" s="222">
        <v>37</v>
      </c>
      <c r="G234" s="222">
        <v>43</v>
      </c>
      <c r="H234" s="222">
        <f>43-37</f>
        <v>6</v>
      </c>
      <c r="I234" s="207">
        <v>650</v>
      </c>
      <c r="J234" s="242">
        <f t="shared" si="33"/>
        <v>3900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7</v>
      </c>
      <c r="C235" s="206">
        <v>45147</v>
      </c>
      <c r="D235" s="161" t="s">
        <v>9</v>
      </c>
      <c r="E235" s="161" t="s">
        <v>4313</v>
      </c>
      <c r="F235" s="222">
        <v>150</v>
      </c>
      <c r="G235" s="222">
        <v>200</v>
      </c>
      <c r="H235" s="222">
        <v>50</v>
      </c>
      <c r="I235" s="207">
        <v>125</v>
      </c>
      <c r="J235" s="242">
        <f t="shared" si="33"/>
        <v>6250</v>
      </c>
      <c r="K235" s="153"/>
      <c r="V235" s="25">
        <f t="shared" si="35"/>
        <v>1</v>
      </c>
      <c r="W235" s="25">
        <f t="shared" si="36"/>
        <v>0</v>
      </c>
    </row>
    <row r="236" spans="1:23" x14ac:dyDescent="0.3">
      <c r="A236" s="147"/>
      <c r="B236" s="205">
        <f t="shared" si="34"/>
        <v>8</v>
      </c>
      <c r="C236" s="206">
        <v>45148</v>
      </c>
      <c r="D236" s="161" t="s">
        <v>9</v>
      </c>
      <c r="E236" s="161" t="s">
        <v>4314</v>
      </c>
      <c r="F236" s="222">
        <v>130</v>
      </c>
      <c r="G236" s="222">
        <v>170</v>
      </c>
      <c r="H236" s="222">
        <v>40</v>
      </c>
      <c r="I236" s="207">
        <v>125</v>
      </c>
      <c r="J236" s="242">
        <f t="shared" si="33"/>
        <v>5000</v>
      </c>
      <c r="K236" s="153"/>
      <c r="V236" s="25">
        <f t="shared" si="35"/>
        <v>1</v>
      </c>
      <c r="W236" s="25">
        <f t="shared" si="36"/>
        <v>0</v>
      </c>
    </row>
    <row r="237" spans="1:23" x14ac:dyDescent="0.3">
      <c r="A237" s="147"/>
      <c r="B237" s="205">
        <f t="shared" si="34"/>
        <v>9</v>
      </c>
      <c r="C237" s="206">
        <v>45149</v>
      </c>
      <c r="D237" s="161" t="s">
        <v>9</v>
      </c>
      <c r="E237" s="161" t="s">
        <v>4233</v>
      </c>
      <c r="F237" s="222">
        <v>140</v>
      </c>
      <c r="G237" s="222">
        <v>168</v>
      </c>
      <c r="H237" s="255">
        <v>28</v>
      </c>
      <c r="I237" s="207">
        <v>300</v>
      </c>
      <c r="J237" s="242">
        <f t="shared" si="33"/>
        <v>8400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10</v>
      </c>
      <c r="C238" s="206">
        <v>45152</v>
      </c>
      <c r="D238" s="161" t="s">
        <v>9</v>
      </c>
      <c r="E238" s="161" t="s">
        <v>4315</v>
      </c>
      <c r="F238" s="222">
        <v>28</v>
      </c>
      <c r="G238" s="222">
        <v>23</v>
      </c>
      <c r="H238" s="255">
        <v>-5</v>
      </c>
      <c r="I238" s="207">
        <v>1100</v>
      </c>
      <c r="J238" s="242">
        <f t="shared" si="33"/>
        <v>-5500</v>
      </c>
      <c r="K238" s="153"/>
      <c r="V238" s="25">
        <f t="shared" si="35"/>
        <v>0</v>
      </c>
      <c r="W238" s="25">
        <f t="shared" si="36"/>
        <v>1</v>
      </c>
    </row>
    <row r="239" spans="1:23" x14ac:dyDescent="0.3">
      <c r="A239" s="147"/>
      <c r="B239" s="205">
        <f t="shared" si="34"/>
        <v>11</v>
      </c>
      <c r="C239" s="206">
        <v>45154</v>
      </c>
      <c r="D239" s="161" t="s">
        <v>9</v>
      </c>
      <c r="E239" s="161" t="s">
        <v>4316</v>
      </c>
      <c r="F239" s="222">
        <v>135</v>
      </c>
      <c r="G239" s="222">
        <v>147</v>
      </c>
      <c r="H239" s="255">
        <f>147-135</f>
        <v>12</v>
      </c>
      <c r="I239" s="207">
        <v>150</v>
      </c>
      <c r="J239" s="242">
        <f t="shared" si="33"/>
        <v>1800</v>
      </c>
      <c r="K239" s="153"/>
      <c r="V239" s="25">
        <f t="shared" si="35"/>
        <v>1</v>
      </c>
      <c r="W239" s="25">
        <f t="shared" si="36"/>
        <v>0</v>
      </c>
    </row>
    <row r="240" spans="1:23" x14ac:dyDescent="0.3">
      <c r="A240" s="147"/>
      <c r="B240" s="205">
        <f t="shared" si="34"/>
        <v>12</v>
      </c>
      <c r="C240" s="206">
        <v>45155</v>
      </c>
      <c r="D240" s="161" t="s">
        <v>9</v>
      </c>
      <c r="E240" s="161" t="s">
        <v>4317</v>
      </c>
      <c r="F240" s="222">
        <v>80</v>
      </c>
      <c r="G240" s="222">
        <v>110</v>
      </c>
      <c r="H240" s="255">
        <f>110-80</f>
        <v>30</v>
      </c>
      <c r="I240" s="207">
        <v>275</v>
      </c>
      <c r="J240" s="242">
        <f t="shared" si="33"/>
        <v>8250</v>
      </c>
      <c r="K240" s="153"/>
      <c r="V240" s="25">
        <f t="shared" si="35"/>
        <v>1</v>
      </c>
      <c r="W240" s="25">
        <f t="shared" si="36"/>
        <v>0</v>
      </c>
    </row>
    <row r="241" spans="1:23" x14ac:dyDescent="0.3">
      <c r="A241" s="147"/>
      <c r="B241" s="205">
        <f t="shared" si="34"/>
        <v>13</v>
      </c>
      <c r="C241" s="206">
        <v>45156</v>
      </c>
      <c r="D241" s="161" t="s">
        <v>9</v>
      </c>
      <c r="E241" s="161" t="s">
        <v>4318</v>
      </c>
      <c r="F241" s="222">
        <v>75</v>
      </c>
      <c r="G241" s="222">
        <v>95</v>
      </c>
      <c r="H241" s="255">
        <v>20</v>
      </c>
      <c r="I241" s="207">
        <v>275</v>
      </c>
      <c r="J241" s="242">
        <f t="shared" si="33"/>
        <v>5500</v>
      </c>
      <c r="K241" s="153"/>
      <c r="V241" s="25">
        <f t="shared" si="35"/>
        <v>1</v>
      </c>
      <c r="W241" s="25">
        <f t="shared" si="36"/>
        <v>0</v>
      </c>
    </row>
    <row r="242" spans="1:23" x14ac:dyDescent="0.3">
      <c r="A242" s="147"/>
      <c r="B242" s="205">
        <f t="shared" si="34"/>
        <v>14</v>
      </c>
      <c r="C242" s="206">
        <v>45159</v>
      </c>
      <c r="D242" s="161" t="s">
        <v>9</v>
      </c>
      <c r="E242" s="161" t="s">
        <v>4322</v>
      </c>
      <c r="F242" s="222">
        <v>100</v>
      </c>
      <c r="G242" s="222">
        <v>80</v>
      </c>
      <c r="H242" s="255">
        <v>-20</v>
      </c>
      <c r="I242" s="207">
        <v>150</v>
      </c>
      <c r="J242" s="242">
        <f>I242*H242</f>
        <v>-3000</v>
      </c>
      <c r="K242" s="153"/>
      <c r="V242" s="25">
        <f t="shared" si="35"/>
        <v>0</v>
      </c>
      <c r="W242" s="25">
        <f t="shared" si="36"/>
        <v>1</v>
      </c>
    </row>
    <row r="243" spans="1:23" x14ac:dyDescent="0.3">
      <c r="A243" s="147"/>
      <c r="B243" s="205">
        <f t="shared" si="34"/>
        <v>15</v>
      </c>
      <c r="C243" s="206">
        <v>45160</v>
      </c>
      <c r="D243" s="161" t="s">
        <v>9</v>
      </c>
      <c r="E243" s="161" t="s">
        <v>4323</v>
      </c>
      <c r="F243" s="222">
        <v>110</v>
      </c>
      <c r="G243" s="222">
        <v>120</v>
      </c>
      <c r="H243" s="255">
        <v>10</v>
      </c>
      <c r="I243" s="207">
        <v>100</v>
      </c>
      <c r="J243" s="242">
        <f t="shared" si="33"/>
        <v>1000</v>
      </c>
      <c r="K243" s="153"/>
      <c r="V243" s="25">
        <f t="shared" si="35"/>
        <v>1</v>
      </c>
      <c r="W243" s="25">
        <f t="shared" si="36"/>
        <v>0</v>
      </c>
    </row>
    <row r="244" spans="1:23" x14ac:dyDescent="0.3">
      <c r="A244" s="147"/>
      <c r="B244" s="205">
        <f t="shared" si="34"/>
        <v>16</v>
      </c>
      <c r="C244" s="206">
        <v>45161</v>
      </c>
      <c r="D244" s="161" t="s">
        <v>9</v>
      </c>
      <c r="E244" s="161" t="s">
        <v>4324</v>
      </c>
      <c r="F244" s="222">
        <v>90</v>
      </c>
      <c r="G244" s="222">
        <v>130</v>
      </c>
      <c r="H244" s="222">
        <f>130-90</f>
        <v>40</v>
      </c>
      <c r="I244" s="207">
        <v>300</v>
      </c>
      <c r="J244" s="242">
        <f t="shared" si="33"/>
        <v>12000</v>
      </c>
      <c r="K244" s="153"/>
      <c r="V244" s="25">
        <f t="shared" si="35"/>
        <v>1</v>
      </c>
      <c r="W244" s="25">
        <f t="shared" si="36"/>
        <v>0</v>
      </c>
    </row>
    <row r="245" spans="1:23" x14ac:dyDescent="0.3">
      <c r="A245" s="147"/>
      <c r="B245" s="205">
        <f t="shared" si="34"/>
        <v>17</v>
      </c>
      <c r="C245" s="206">
        <v>45162</v>
      </c>
      <c r="D245" s="161" t="s">
        <v>9</v>
      </c>
      <c r="E245" s="161" t="s">
        <v>4325</v>
      </c>
      <c r="F245" s="222">
        <v>105</v>
      </c>
      <c r="G245" s="222">
        <v>118</v>
      </c>
      <c r="H245" s="222">
        <f>118-105</f>
        <v>13</v>
      </c>
      <c r="I245" s="207">
        <v>200</v>
      </c>
      <c r="J245" s="242">
        <f t="shared" si="33"/>
        <v>2600</v>
      </c>
      <c r="K245" s="153"/>
      <c r="V245" s="25">
        <f t="shared" si="35"/>
        <v>1</v>
      </c>
      <c r="W245" s="25">
        <f t="shared" si="36"/>
        <v>0</v>
      </c>
    </row>
    <row r="246" spans="1:23" x14ac:dyDescent="0.3">
      <c r="A246" s="147"/>
      <c r="B246" s="205">
        <f t="shared" si="34"/>
        <v>18</v>
      </c>
      <c r="C246" s="206">
        <v>45163</v>
      </c>
      <c r="D246" s="161" t="s">
        <v>9</v>
      </c>
      <c r="E246" s="161" t="s">
        <v>4327</v>
      </c>
      <c r="F246" s="222">
        <v>100</v>
      </c>
      <c r="G246" s="222">
        <v>130</v>
      </c>
      <c r="H246" s="222">
        <v>30</v>
      </c>
      <c r="I246" s="207">
        <v>200</v>
      </c>
      <c r="J246" s="242">
        <f t="shared" si="33"/>
        <v>6000</v>
      </c>
      <c r="K246" s="153"/>
      <c r="V246" s="25">
        <f t="shared" si="35"/>
        <v>1</v>
      </c>
      <c r="W246" s="25">
        <f t="shared" si="36"/>
        <v>0</v>
      </c>
    </row>
    <row r="247" spans="1:23" x14ac:dyDescent="0.3">
      <c r="A247" s="147"/>
      <c r="B247" s="205">
        <f t="shared" si="34"/>
        <v>19</v>
      </c>
      <c r="C247" s="206">
        <v>45166</v>
      </c>
      <c r="D247" s="161" t="s">
        <v>9</v>
      </c>
      <c r="E247" s="161" t="s">
        <v>4329</v>
      </c>
      <c r="F247" s="222">
        <v>11</v>
      </c>
      <c r="G247" s="222">
        <v>12.5</v>
      </c>
      <c r="H247" s="222">
        <v>1.5</v>
      </c>
      <c r="I247" s="207">
        <v>1300</v>
      </c>
      <c r="J247" s="242">
        <f t="shared" si="33"/>
        <v>1950</v>
      </c>
      <c r="K247" s="153"/>
      <c r="V247" s="25">
        <f t="shared" si="35"/>
        <v>1</v>
      </c>
      <c r="W247" s="25">
        <f t="shared" si="36"/>
        <v>0</v>
      </c>
    </row>
    <row r="248" spans="1:23" x14ac:dyDescent="0.3">
      <c r="A248" s="147"/>
      <c r="B248" s="205">
        <f t="shared" si="34"/>
        <v>20</v>
      </c>
      <c r="C248" s="206">
        <v>45167</v>
      </c>
      <c r="D248" s="161" t="s">
        <v>9</v>
      </c>
      <c r="E248" s="161" t="s">
        <v>4316</v>
      </c>
      <c r="F248" s="222">
        <v>35</v>
      </c>
      <c r="G248" s="222">
        <v>45</v>
      </c>
      <c r="H248" s="222">
        <v>10</v>
      </c>
      <c r="I248" s="207">
        <v>150</v>
      </c>
      <c r="J248" s="242">
        <f t="shared" si="33"/>
        <v>1500</v>
      </c>
      <c r="K248" s="153"/>
      <c r="V248" s="25">
        <f t="shared" si="35"/>
        <v>1</v>
      </c>
      <c r="W248" s="25">
        <f t="shared" si="36"/>
        <v>0</v>
      </c>
    </row>
    <row r="249" spans="1:23" x14ac:dyDescent="0.3">
      <c r="A249" s="147"/>
      <c r="B249" s="205">
        <f t="shared" si="34"/>
        <v>21</v>
      </c>
      <c r="C249" s="206">
        <v>45168</v>
      </c>
      <c r="D249" s="161" t="s">
        <v>9</v>
      </c>
      <c r="E249" s="161" t="s">
        <v>4330</v>
      </c>
      <c r="F249" s="222">
        <v>7</v>
      </c>
      <c r="G249" s="222">
        <v>3</v>
      </c>
      <c r="H249" s="222">
        <v>-4</v>
      </c>
      <c r="I249" s="207">
        <v>625</v>
      </c>
      <c r="J249" s="242">
        <f t="shared" si="33"/>
        <v>-2500</v>
      </c>
      <c r="K249" s="153"/>
      <c r="V249" s="25">
        <f t="shared" si="35"/>
        <v>0</v>
      </c>
      <c r="W249" s="25">
        <f t="shared" si="36"/>
        <v>1</v>
      </c>
    </row>
    <row r="250" spans="1:23" x14ac:dyDescent="0.3">
      <c r="A250" s="147"/>
      <c r="B250" s="205">
        <f t="shared" si="34"/>
        <v>22</v>
      </c>
      <c r="C250" s="206">
        <v>45169</v>
      </c>
      <c r="D250" s="161" t="s">
        <v>9</v>
      </c>
      <c r="E250" s="161" t="s">
        <v>4331</v>
      </c>
      <c r="F250" s="222">
        <v>4</v>
      </c>
      <c r="G250" s="222">
        <v>7</v>
      </c>
      <c r="H250" s="222">
        <v>3</v>
      </c>
      <c r="I250" s="207">
        <v>700</v>
      </c>
      <c r="J250" s="242">
        <f t="shared" si="33"/>
        <v>2100</v>
      </c>
      <c r="K250" s="153"/>
      <c r="V250" s="25">
        <f t="shared" si="35"/>
        <v>1</v>
      </c>
      <c r="W250" s="25">
        <f t="shared" si="36"/>
        <v>0</v>
      </c>
    </row>
    <row r="251" spans="1:23" x14ac:dyDescent="0.3">
      <c r="A251" s="147"/>
      <c r="B251" s="205">
        <f t="shared" si="34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3"/>
        <v>0</v>
      </c>
      <c r="K251" s="153"/>
      <c r="V251" s="25">
        <f t="shared" si="35"/>
        <v>0</v>
      </c>
      <c r="W251" s="25">
        <f t="shared" si="36"/>
        <v>0</v>
      </c>
    </row>
    <row r="252" spans="1:23" ht="15" thickBot="1" x14ac:dyDescent="0.35">
      <c r="A252" s="147"/>
      <c r="B252" s="208">
        <f t="shared" si="34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3"/>
        <v>0</v>
      </c>
      <c r="K252" s="153"/>
      <c r="V252" s="25">
        <f t="shared" si="35"/>
        <v>0</v>
      </c>
      <c r="W252" s="25">
        <f t="shared" si="36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84700</v>
      </c>
      <c r="K253" s="153"/>
      <c r="V253" s="25">
        <f>SUM(V229:V252)</f>
        <v>19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7C00-000000000000}"/>
    <hyperlink ref="B118" r:id="rId2" xr:uid="{00000000-0004-0000-7C00-000001000000}"/>
    <hyperlink ref="B153" r:id="rId3" xr:uid="{00000000-0004-0000-7C00-000002000000}"/>
    <hyperlink ref="B187" r:id="rId4" xr:uid="{00000000-0004-0000-7C00-000003000000}"/>
    <hyperlink ref="B221" r:id="rId5" xr:uid="{00000000-0004-0000-7C00-000004000000}"/>
    <hyperlink ref="B253" r:id="rId6" xr:uid="{00000000-0004-0000-7C00-000005000000}"/>
    <hyperlink ref="M1" location="'MASTER '!A1" display="Back" xr:uid="{00000000-0004-0000-7C00-000006000000}"/>
    <hyperlink ref="M6:M7" location="'JULY 2023'!A77" display="STOCK FUTURE" xr:uid="{00000000-0004-0000-7C00-000007000000}"/>
    <hyperlink ref="M12:M13" location="'JULY 2023'!A170" display="BANK NIFTY" xr:uid="{00000000-0004-0000-7C00-000008000000}"/>
    <hyperlink ref="M10:M11" location="'JULY 2023'!A139" display="NF. OPTION" xr:uid="{00000000-0004-0000-7C00-000009000000}"/>
    <hyperlink ref="M8:M9" location="'JULY 2023'!A108" display="NIFTY FUTURE" xr:uid="{00000000-0004-0000-7C00-00000A000000}"/>
    <hyperlink ref="M4:M5" location="'JUN 2023'!A1" display="CASH" xr:uid="{00000000-0004-0000-7C00-00000B000000}"/>
    <hyperlink ref="M14:M15" location="'JULY 2023'!A201" display="B.NIFTY OPTION" xr:uid="{00000000-0004-0000-7C00-00000C000000}"/>
    <hyperlink ref="M16:M17" location="'JULY 2023'!A216" display="STOCK OPTION" xr:uid="{00000000-0004-0000-7C00-00000D000000}"/>
    <hyperlink ref="B52" r:id="rId7" xr:uid="{00000000-0004-0000-7C00-00000E000000}"/>
  </hyperlinks>
  <pageMargins left="0" right="0" top="0" bottom="0" header="0" footer="0"/>
  <pageSetup scale="95" orientation="portrait" r:id="rId8"/>
  <drawing r:id="rId9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W254"/>
  <sheetViews>
    <sheetView topLeftCell="A186" zoomScale="90" zoomScaleNormal="90" workbookViewId="0">
      <selection activeCell="C195" sqref="C195:J218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4332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33</v>
      </c>
      <c r="P4" s="386">
        <f>W52</f>
        <v>7</v>
      </c>
      <c r="Q4" s="387">
        <f>N4-O4-P4</f>
        <v>0</v>
      </c>
      <c r="R4" s="380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45170</v>
      </c>
      <c r="D6" s="158" t="s">
        <v>9</v>
      </c>
      <c r="E6" s="158" t="s">
        <v>37</v>
      </c>
      <c r="F6" s="230">
        <v>474</v>
      </c>
      <c r="G6" s="222">
        <v>478</v>
      </c>
      <c r="H6" s="222">
        <v>4</v>
      </c>
      <c r="I6" s="207">
        <f t="shared" ref="I6" si="0">300000/F6</f>
        <v>632.91139240506334</v>
      </c>
      <c r="J6" s="161">
        <f t="shared" ref="J6" si="1">H6*I6</f>
        <v>2531.6455696202534</v>
      </c>
      <c r="K6" s="153"/>
      <c r="M6" s="394" t="s">
        <v>450</v>
      </c>
      <c r="N6" s="344">
        <f>COUNT(C60:C85)</f>
        <v>21</v>
      </c>
      <c r="O6" s="346">
        <f>V86</f>
        <v>19</v>
      </c>
      <c r="P6" s="346">
        <f>W86</f>
        <v>2</v>
      </c>
      <c r="Q6" s="374">
        <f>N6-O6-P6</f>
        <v>0</v>
      </c>
      <c r="R6" s="376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45170</v>
      </c>
      <c r="D7" s="161" t="s">
        <v>9</v>
      </c>
      <c r="E7" s="161" t="s">
        <v>25</v>
      </c>
      <c r="F7" s="222">
        <v>126</v>
      </c>
      <c r="G7" s="231">
        <v>128</v>
      </c>
      <c r="H7" s="255">
        <v>2</v>
      </c>
      <c r="I7" s="207">
        <f t="shared" ref="I7:I45" si="3">300000/F7</f>
        <v>2380.9523809523807</v>
      </c>
      <c r="J7" s="246">
        <f t="shared" ref="J7:J9" si="4">I7*H7</f>
        <v>4761.9047619047615</v>
      </c>
      <c r="K7" s="153"/>
      <c r="M7" s="396"/>
      <c r="N7" s="385"/>
      <c r="O7" s="382"/>
      <c r="P7" s="382"/>
      <c r="Q7" s="383"/>
      <c r="R7" s="384"/>
      <c r="V7" s="25">
        <f t="shared" ref="V7:V51" si="5">IF($J7&gt;0,1,0)</f>
        <v>1</v>
      </c>
      <c r="W7" s="25">
        <f t="shared" ref="W7:W51" si="6">IF($J7&lt;0,1,0)</f>
        <v>0</v>
      </c>
    </row>
    <row r="8" spans="1:23" x14ac:dyDescent="0.3">
      <c r="A8" s="147"/>
      <c r="B8" s="205">
        <f t="shared" ref="B8:B51" si="7">B7+1</f>
        <v>3</v>
      </c>
      <c r="C8" s="206">
        <v>45173</v>
      </c>
      <c r="D8" s="161" t="s">
        <v>9</v>
      </c>
      <c r="E8" s="161" t="s">
        <v>496</v>
      </c>
      <c r="F8" s="222">
        <v>450</v>
      </c>
      <c r="G8" s="222">
        <v>455</v>
      </c>
      <c r="H8" s="222">
        <v>5</v>
      </c>
      <c r="I8" s="207">
        <f t="shared" si="3"/>
        <v>666.66666666666663</v>
      </c>
      <c r="J8" s="246">
        <f t="shared" si="4"/>
        <v>3333.333333333333</v>
      </c>
      <c r="K8" s="153"/>
      <c r="M8" s="394" t="s">
        <v>451</v>
      </c>
      <c r="N8" s="344">
        <f>COUNT(C94:C117)</f>
        <v>21</v>
      </c>
      <c r="O8" s="346">
        <f>V118</f>
        <v>17</v>
      </c>
      <c r="P8" s="346">
        <f>W118</f>
        <v>4</v>
      </c>
      <c r="Q8" s="374">
        <f>N8-O8-P8</f>
        <v>0</v>
      </c>
      <c r="R8" s="376">
        <f t="shared" ref="R8" si="8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7"/>
        <v>4</v>
      </c>
      <c r="C9" s="206">
        <v>45173</v>
      </c>
      <c r="D9" s="161" t="s">
        <v>9</v>
      </c>
      <c r="E9" s="161" t="s">
        <v>800</v>
      </c>
      <c r="F9" s="222">
        <v>1565</v>
      </c>
      <c r="G9" s="231">
        <v>1558</v>
      </c>
      <c r="H9" s="255">
        <f>1565-1558</f>
        <v>7</v>
      </c>
      <c r="I9" s="207">
        <f t="shared" si="3"/>
        <v>191.69329073482427</v>
      </c>
      <c r="J9" s="246">
        <f t="shared" si="4"/>
        <v>1341.8530351437698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7"/>
        <v>5</v>
      </c>
      <c r="C10" s="206">
        <v>45174</v>
      </c>
      <c r="D10" s="161" t="s">
        <v>9</v>
      </c>
      <c r="E10" s="161" t="s">
        <v>111</v>
      </c>
      <c r="F10" s="222">
        <v>266</v>
      </c>
      <c r="G10" s="222">
        <v>269</v>
      </c>
      <c r="H10" s="222">
        <v>3</v>
      </c>
      <c r="I10" s="207">
        <f t="shared" si="3"/>
        <v>1127.8195488721803</v>
      </c>
      <c r="J10" s="161">
        <f t="shared" ref="J10:J48" si="9">H10*I10</f>
        <v>3383.458646616541</v>
      </c>
      <c r="K10" s="153"/>
      <c r="M10" s="394" t="s">
        <v>1176</v>
      </c>
      <c r="N10" s="344">
        <f>COUNT(C126:C152)</f>
        <v>23</v>
      </c>
      <c r="O10" s="346">
        <f>V153</f>
        <v>18</v>
      </c>
      <c r="P10" s="346">
        <f>W153</f>
        <v>5</v>
      </c>
      <c r="Q10" s="374">
        <f>N10-O10-P10</f>
        <v>0</v>
      </c>
      <c r="R10" s="376">
        <f t="shared" ref="R10:R16" si="10">O10/N10</f>
        <v>0.78260869565217395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7"/>
        <v>6</v>
      </c>
      <c r="C11" s="206">
        <v>45174</v>
      </c>
      <c r="D11" s="161" t="s">
        <v>9</v>
      </c>
      <c r="E11" s="161" t="s">
        <v>4336</v>
      </c>
      <c r="F11" s="222">
        <v>3230</v>
      </c>
      <c r="G11" s="222">
        <v>3245</v>
      </c>
      <c r="H11" s="255">
        <v>15</v>
      </c>
      <c r="I11" s="207">
        <f t="shared" si="3"/>
        <v>92.879256965944279</v>
      </c>
      <c r="J11" s="161">
        <f t="shared" si="9"/>
        <v>1393.1888544891642</v>
      </c>
      <c r="K11" s="153"/>
      <c r="M11" s="396"/>
      <c r="N11" s="385"/>
      <c r="O11" s="382"/>
      <c r="P11" s="382"/>
      <c r="Q11" s="383"/>
      <c r="R11" s="384"/>
      <c r="V11" s="25">
        <f t="shared" si="5"/>
        <v>1</v>
      </c>
      <c r="W11" s="25">
        <f t="shared" si="6"/>
        <v>0</v>
      </c>
    </row>
    <row r="12" spans="1:23" x14ac:dyDescent="0.3">
      <c r="A12" s="147"/>
      <c r="B12" s="205">
        <f t="shared" si="7"/>
        <v>7</v>
      </c>
      <c r="C12" s="206">
        <v>45175</v>
      </c>
      <c r="D12" s="161" t="s">
        <v>9</v>
      </c>
      <c r="E12" s="161" t="s">
        <v>85</v>
      </c>
      <c r="F12" s="222">
        <v>873</v>
      </c>
      <c r="G12" s="222">
        <v>880</v>
      </c>
      <c r="H12" s="222">
        <v>7</v>
      </c>
      <c r="I12" s="207">
        <f t="shared" si="3"/>
        <v>343.64261168384877</v>
      </c>
      <c r="J12" s="161">
        <f t="shared" si="9"/>
        <v>2405.4982817869413</v>
      </c>
      <c r="K12" s="153"/>
      <c r="M12" s="394" t="s">
        <v>41</v>
      </c>
      <c r="N12" s="344">
        <f>COUNT(C161:C186)</f>
        <v>21</v>
      </c>
      <c r="O12" s="346">
        <f>V187</f>
        <v>18</v>
      </c>
      <c r="P12" s="346">
        <f>W187</f>
        <v>3</v>
      </c>
      <c r="Q12" s="374">
        <f t="shared" ref="Q12" si="11">N12-O12-P12</f>
        <v>0</v>
      </c>
      <c r="R12" s="376">
        <f t="shared" si="10"/>
        <v>0.8571428571428571</v>
      </c>
      <c r="V12" s="25">
        <f t="shared" si="5"/>
        <v>1</v>
      </c>
      <c r="W12" s="25">
        <f t="shared" si="6"/>
        <v>0</v>
      </c>
    </row>
    <row r="13" spans="1:23" x14ac:dyDescent="0.3">
      <c r="A13" s="147"/>
      <c r="B13" s="205">
        <f t="shared" si="7"/>
        <v>8</v>
      </c>
      <c r="C13" s="206">
        <v>45175</v>
      </c>
      <c r="D13" s="161" t="s">
        <v>8</v>
      </c>
      <c r="E13" s="161" t="s">
        <v>552</v>
      </c>
      <c r="F13" s="222">
        <v>1405</v>
      </c>
      <c r="G13" s="222">
        <v>1396.8</v>
      </c>
      <c r="H13" s="255">
        <f>1405-1396.8</f>
        <v>8.2000000000000455</v>
      </c>
      <c r="I13" s="207">
        <f t="shared" si="3"/>
        <v>213.52313167259786</v>
      </c>
      <c r="J13" s="161">
        <f t="shared" si="9"/>
        <v>1750.8896797153122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5"/>
        <v>1</v>
      </c>
      <c r="W13" s="25">
        <f t="shared" si="6"/>
        <v>0</v>
      </c>
    </row>
    <row r="14" spans="1:23" x14ac:dyDescent="0.3">
      <c r="A14" s="147"/>
      <c r="B14" s="205">
        <f t="shared" si="7"/>
        <v>9</v>
      </c>
      <c r="C14" s="206">
        <v>45176</v>
      </c>
      <c r="D14" s="161" t="s">
        <v>9</v>
      </c>
      <c r="E14" s="161" t="s">
        <v>4210</v>
      </c>
      <c r="F14" s="222">
        <v>1860</v>
      </c>
      <c r="G14" s="222">
        <v>1870</v>
      </c>
      <c r="H14" s="222">
        <v>10</v>
      </c>
      <c r="I14" s="207">
        <f t="shared" si="3"/>
        <v>161.29032258064515</v>
      </c>
      <c r="J14" s="161">
        <f t="shared" si="9"/>
        <v>1612.9032258064515</v>
      </c>
      <c r="K14" s="153"/>
      <c r="M14" s="394" t="s">
        <v>1175</v>
      </c>
      <c r="N14" s="344">
        <f>COUNT(C195:C220)</f>
        <v>24</v>
      </c>
      <c r="O14" s="346">
        <f>V221</f>
        <v>17</v>
      </c>
      <c r="P14" s="346">
        <f>W221</f>
        <v>7</v>
      </c>
      <c r="Q14" s="374">
        <f t="shared" ref="Q14" si="12">N14-O14-P14</f>
        <v>0</v>
      </c>
      <c r="R14" s="376">
        <f t="shared" si="10"/>
        <v>0.70833333333333337</v>
      </c>
      <c r="V14" s="25">
        <f t="shared" si="5"/>
        <v>1</v>
      </c>
      <c r="W14" s="25">
        <f t="shared" si="6"/>
        <v>0</v>
      </c>
    </row>
    <row r="15" spans="1:23" x14ac:dyDescent="0.3">
      <c r="A15" s="147"/>
      <c r="B15" s="205">
        <f t="shared" si="7"/>
        <v>10</v>
      </c>
      <c r="C15" s="206">
        <v>45176</v>
      </c>
      <c r="D15" s="161" t="s">
        <v>9</v>
      </c>
      <c r="E15" s="161" t="s">
        <v>78</v>
      </c>
      <c r="F15" s="222">
        <v>2805</v>
      </c>
      <c r="G15" s="222">
        <v>2835</v>
      </c>
      <c r="H15" s="222">
        <v>30</v>
      </c>
      <c r="I15" s="207">
        <f t="shared" si="3"/>
        <v>106.95187165775401</v>
      </c>
      <c r="J15" s="161">
        <f t="shared" si="9"/>
        <v>3208.5561497326203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7"/>
        <v>11</v>
      </c>
      <c r="C16" s="206">
        <v>45177</v>
      </c>
      <c r="D16" s="161" t="s">
        <v>9</v>
      </c>
      <c r="E16" s="161" t="s">
        <v>3941</v>
      </c>
      <c r="F16" s="222">
        <v>134</v>
      </c>
      <c r="G16" s="222">
        <v>133.19999999999999</v>
      </c>
      <c r="H16" s="222">
        <v>-0.8</v>
      </c>
      <c r="I16" s="207">
        <f t="shared" si="3"/>
        <v>2238.8059701492539</v>
      </c>
      <c r="J16" s="161">
        <f t="shared" si="9"/>
        <v>-1791.0447761194032</v>
      </c>
      <c r="K16" s="153"/>
      <c r="L16" s="25" t="s">
        <v>2008</v>
      </c>
      <c r="M16" s="394" t="s">
        <v>1090</v>
      </c>
      <c r="N16" s="344">
        <f>COUNT(C229:C252)</f>
        <v>21</v>
      </c>
      <c r="O16" s="346">
        <f>V253</f>
        <v>15</v>
      </c>
      <c r="P16" s="346">
        <f>W253</f>
        <v>6</v>
      </c>
      <c r="Q16" s="374">
        <v>0</v>
      </c>
      <c r="R16" s="376">
        <f t="shared" si="10"/>
        <v>0.7142857142857143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7"/>
        <v>12</v>
      </c>
      <c r="C17" s="206">
        <v>45177</v>
      </c>
      <c r="D17" s="161" t="s">
        <v>9</v>
      </c>
      <c r="E17" s="161" t="s">
        <v>433</v>
      </c>
      <c r="F17" s="222">
        <v>483</v>
      </c>
      <c r="G17" s="222">
        <v>485.5</v>
      </c>
      <c r="H17" s="222">
        <f>485.5-483</f>
        <v>2.5</v>
      </c>
      <c r="I17" s="207">
        <f t="shared" si="3"/>
        <v>621.11801242236027</v>
      </c>
      <c r="J17" s="161">
        <f t="shared" si="9"/>
        <v>1552.7950310559006</v>
      </c>
      <c r="K17" s="153"/>
      <c r="M17" s="395"/>
      <c r="N17" s="385"/>
      <c r="O17" s="373"/>
      <c r="P17" s="373"/>
      <c r="Q17" s="375"/>
      <c r="R17" s="377"/>
      <c r="V17" s="25">
        <f t="shared" si="5"/>
        <v>1</v>
      </c>
      <c r="W17" s="25">
        <f t="shared" si="6"/>
        <v>0</v>
      </c>
    </row>
    <row r="18" spans="1:23" x14ac:dyDescent="0.3">
      <c r="A18" s="147"/>
      <c r="B18" s="205">
        <f t="shared" si="7"/>
        <v>13</v>
      </c>
      <c r="C18" s="206">
        <v>45180</v>
      </c>
      <c r="D18" s="161" t="s">
        <v>9</v>
      </c>
      <c r="E18" s="161" t="s">
        <v>124</v>
      </c>
      <c r="F18" s="222">
        <v>633</v>
      </c>
      <c r="G18" s="222">
        <v>635</v>
      </c>
      <c r="H18" s="222">
        <v>2</v>
      </c>
      <c r="I18" s="207">
        <f t="shared" si="3"/>
        <v>473.93364928909955</v>
      </c>
      <c r="J18" s="161">
        <f t="shared" si="9"/>
        <v>947.8672985781991</v>
      </c>
      <c r="K18" s="153"/>
      <c r="M18" s="392" t="s">
        <v>946</v>
      </c>
      <c r="N18" s="378">
        <f>SUM(N4:N17)</f>
        <v>171</v>
      </c>
      <c r="O18" s="378">
        <f t="shared" ref="O18:Q18" si="13">SUM(O4:O17)</f>
        <v>137</v>
      </c>
      <c r="P18" s="378">
        <f t="shared" si="13"/>
        <v>34</v>
      </c>
      <c r="Q18" s="378">
        <f t="shared" si="13"/>
        <v>0</v>
      </c>
      <c r="R18" s="380">
        <f t="shared" ref="R18" si="14">O18/N18</f>
        <v>0.80116959064327486</v>
      </c>
      <c r="V18" s="25">
        <f t="shared" si="5"/>
        <v>1</v>
      </c>
      <c r="W18" s="25">
        <f t="shared" si="6"/>
        <v>0</v>
      </c>
    </row>
    <row r="19" spans="1:23" ht="15" thickBot="1" x14ac:dyDescent="0.35">
      <c r="A19" s="147"/>
      <c r="B19" s="205">
        <f t="shared" si="7"/>
        <v>14</v>
      </c>
      <c r="C19" s="206">
        <v>45180</v>
      </c>
      <c r="D19" s="161" t="s">
        <v>9</v>
      </c>
      <c r="E19" s="161" t="s">
        <v>109</v>
      </c>
      <c r="F19" s="222">
        <v>1575</v>
      </c>
      <c r="G19" s="222">
        <v>1588</v>
      </c>
      <c r="H19" s="222">
        <f>1588-1575</f>
        <v>13</v>
      </c>
      <c r="I19" s="207">
        <f t="shared" si="3"/>
        <v>190.47619047619048</v>
      </c>
      <c r="J19" s="161">
        <f t="shared" si="9"/>
        <v>2476.1904761904761</v>
      </c>
      <c r="K19" s="153"/>
      <c r="M19" s="393"/>
      <c r="N19" s="379"/>
      <c r="O19" s="379"/>
      <c r="P19" s="379"/>
      <c r="Q19" s="379"/>
      <c r="R19" s="377"/>
      <c r="V19" s="25">
        <f t="shared" si="5"/>
        <v>1</v>
      </c>
      <c r="W19" s="25">
        <f t="shared" si="6"/>
        <v>0</v>
      </c>
    </row>
    <row r="20" spans="1:23" ht="15" customHeight="1" x14ac:dyDescent="0.3">
      <c r="A20" s="147"/>
      <c r="B20" s="205">
        <f t="shared" si="7"/>
        <v>15</v>
      </c>
      <c r="C20" s="206">
        <v>45181</v>
      </c>
      <c r="D20" s="161" t="s">
        <v>8</v>
      </c>
      <c r="E20" s="161" t="s">
        <v>4351</v>
      </c>
      <c r="F20" s="222">
        <v>630</v>
      </c>
      <c r="G20" s="222">
        <v>616</v>
      </c>
      <c r="H20" s="222">
        <f>630-616</f>
        <v>14</v>
      </c>
      <c r="I20" s="207">
        <f t="shared" si="3"/>
        <v>476.1904761904762</v>
      </c>
      <c r="J20" s="161">
        <f t="shared" si="9"/>
        <v>6666.666666666667</v>
      </c>
      <c r="K20" s="153"/>
      <c r="M20" s="316" t="s">
        <v>2253</v>
      </c>
      <c r="N20" s="317"/>
      <c r="O20" s="318"/>
      <c r="P20" s="325">
        <f>R18</f>
        <v>0.80116959064327486</v>
      </c>
      <c r="Q20" s="326"/>
      <c r="R20" s="327"/>
      <c r="V20" s="25">
        <f t="shared" si="5"/>
        <v>1</v>
      </c>
      <c r="W20" s="25">
        <f t="shared" si="6"/>
        <v>0</v>
      </c>
    </row>
    <row r="21" spans="1:23" ht="15" customHeight="1" x14ac:dyDescent="0.3">
      <c r="A21" s="147"/>
      <c r="B21" s="205">
        <f t="shared" si="7"/>
        <v>16</v>
      </c>
      <c r="C21" s="206">
        <v>45181</v>
      </c>
      <c r="D21" s="161" t="s">
        <v>8</v>
      </c>
      <c r="E21" s="161" t="s">
        <v>85</v>
      </c>
      <c r="F21" s="222">
        <v>890</v>
      </c>
      <c r="G21" s="222">
        <v>885</v>
      </c>
      <c r="H21" s="222">
        <v>5</v>
      </c>
      <c r="I21" s="207">
        <f t="shared" si="3"/>
        <v>337.07865168539325</v>
      </c>
      <c r="J21" s="161">
        <f t="shared" si="9"/>
        <v>1685.3932584269662</v>
      </c>
      <c r="K21" s="153"/>
      <c r="M21" s="319"/>
      <c r="N21" s="320"/>
      <c r="O21" s="321"/>
      <c r="P21" s="328"/>
      <c r="Q21" s="329"/>
      <c r="R21" s="330"/>
      <c r="V21" s="25">
        <f t="shared" si="5"/>
        <v>1</v>
      </c>
      <c r="W21" s="25">
        <f t="shared" si="6"/>
        <v>0</v>
      </c>
    </row>
    <row r="22" spans="1:23" ht="15" customHeight="1" thickBot="1" x14ac:dyDescent="0.35">
      <c r="A22" s="147"/>
      <c r="B22" s="205">
        <f t="shared" si="7"/>
        <v>17</v>
      </c>
      <c r="C22" s="206">
        <v>45182</v>
      </c>
      <c r="D22" s="161" t="s">
        <v>9</v>
      </c>
      <c r="E22" s="161" t="s">
        <v>108</v>
      </c>
      <c r="F22" s="222">
        <v>842</v>
      </c>
      <c r="G22" s="222">
        <v>862</v>
      </c>
      <c r="H22" s="222">
        <v>20</v>
      </c>
      <c r="I22" s="207">
        <f t="shared" si="3"/>
        <v>356.29453681710214</v>
      </c>
      <c r="J22" s="161">
        <f t="shared" si="9"/>
        <v>7125.8907363420431</v>
      </c>
      <c r="K22" s="153"/>
      <c r="M22" s="322"/>
      <c r="N22" s="323"/>
      <c r="O22" s="324"/>
      <c r="P22" s="331"/>
      <c r="Q22" s="332"/>
      <c r="R22" s="333"/>
      <c r="V22" s="25">
        <f t="shared" si="5"/>
        <v>1</v>
      </c>
      <c r="W22" s="25">
        <f t="shared" si="6"/>
        <v>0</v>
      </c>
    </row>
    <row r="23" spans="1:23" ht="15" customHeight="1" x14ac:dyDescent="0.3">
      <c r="A23" s="147"/>
      <c r="B23" s="205">
        <f t="shared" si="7"/>
        <v>18</v>
      </c>
      <c r="C23" s="206">
        <v>45182</v>
      </c>
      <c r="D23" s="161" t="s">
        <v>9</v>
      </c>
      <c r="E23" s="161" t="s">
        <v>31</v>
      </c>
      <c r="F23" s="222">
        <v>2450</v>
      </c>
      <c r="G23" s="222">
        <v>2460</v>
      </c>
      <c r="H23" s="222">
        <v>10</v>
      </c>
      <c r="I23" s="207">
        <f t="shared" si="3"/>
        <v>122.44897959183673</v>
      </c>
      <c r="J23" s="161">
        <f t="shared" si="9"/>
        <v>1224.4897959183672</v>
      </c>
      <c r="K23" s="153"/>
      <c r="V23" s="25">
        <f t="shared" si="5"/>
        <v>1</v>
      </c>
      <c r="W23" s="25">
        <f t="shared" si="6"/>
        <v>0</v>
      </c>
    </row>
    <row r="24" spans="1:23" ht="15.75" customHeight="1" x14ac:dyDescent="0.3">
      <c r="A24" s="147"/>
      <c r="B24" s="205">
        <f t="shared" si="7"/>
        <v>19</v>
      </c>
      <c r="C24" s="206">
        <v>45183</v>
      </c>
      <c r="D24" s="161" t="s">
        <v>9</v>
      </c>
      <c r="E24" s="161" t="s">
        <v>85</v>
      </c>
      <c r="F24" s="222">
        <v>1110</v>
      </c>
      <c r="G24" s="222">
        <v>1118</v>
      </c>
      <c r="H24" s="222">
        <v>8</v>
      </c>
      <c r="I24" s="207">
        <f t="shared" si="3"/>
        <v>270.27027027027026</v>
      </c>
      <c r="J24" s="161">
        <f t="shared" si="9"/>
        <v>2162.1621621621621</v>
      </c>
      <c r="K24" s="153"/>
      <c r="V24" s="25">
        <f t="shared" si="5"/>
        <v>1</v>
      </c>
      <c r="W24" s="25">
        <f t="shared" si="6"/>
        <v>0</v>
      </c>
    </row>
    <row r="25" spans="1:23" x14ac:dyDescent="0.3">
      <c r="A25" s="147"/>
      <c r="B25" s="205">
        <f t="shared" si="7"/>
        <v>20</v>
      </c>
      <c r="C25" s="206">
        <v>45183</v>
      </c>
      <c r="D25" s="161" t="s">
        <v>9</v>
      </c>
      <c r="E25" s="161" t="s">
        <v>48</v>
      </c>
      <c r="F25" s="222">
        <v>212.5</v>
      </c>
      <c r="G25" s="222">
        <v>212</v>
      </c>
      <c r="H25" s="222">
        <v>-0.5</v>
      </c>
      <c r="I25" s="207">
        <f t="shared" si="3"/>
        <v>1411.7647058823529</v>
      </c>
      <c r="J25" s="161">
        <f t="shared" si="9"/>
        <v>-705.88235294117646</v>
      </c>
      <c r="K25" s="153"/>
      <c r="V25" s="25">
        <f t="shared" si="5"/>
        <v>0</v>
      </c>
      <c r="W25" s="25">
        <f t="shared" si="6"/>
        <v>1</v>
      </c>
    </row>
    <row r="26" spans="1:23" x14ac:dyDescent="0.3">
      <c r="A26" s="147"/>
      <c r="B26" s="205">
        <f t="shared" si="7"/>
        <v>21</v>
      </c>
      <c r="C26" s="206">
        <v>45184</v>
      </c>
      <c r="D26" s="161" t="s">
        <v>9</v>
      </c>
      <c r="E26" s="161" t="s">
        <v>3453</v>
      </c>
      <c r="F26" s="222">
        <v>1500</v>
      </c>
      <c r="G26" s="222">
        <v>1515</v>
      </c>
      <c r="H26" s="222">
        <v>15</v>
      </c>
      <c r="I26" s="207">
        <f t="shared" si="3"/>
        <v>200</v>
      </c>
      <c r="J26" s="161">
        <f t="shared" si="9"/>
        <v>3000</v>
      </c>
      <c r="K26" s="153"/>
      <c r="V26" s="25">
        <f t="shared" si="5"/>
        <v>1</v>
      </c>
      <c r="W26" s="25">
        <f t="shared" si="6"/>
        <v>0</v>
      </c>
    </row>
    <row r="27" spans="1:23" x14ac:dyDescent="0.3">
      <c r="A27" s="147"/>
      <c r="B27" s="205">
        <f t="shared" si="7"/>
        <v>22</v>
      </c>
      <c r="C27" s="206">
        <v>45184</v>
      </c>
      <c r="D27" s="161" t="s">
        <v>9</v>
      </c>
      <c r="E27" s="161" t="s">
        <v>2470</v>
      </c>
      <c r="F27" s="222">
        <v>1224</v>
      </c>
      <c r="G27" s="222">
        <v>1240</v>
      </c>
      <c r="H27" s="222">
        <f>1240-1224</f>
        <v>16</v>
      </c>
      <c r="I27" s="207">
        <f t="shared" si="3"/>
        <v>245.09803921568627</v>
      </c>
      <c r="J27" s="161">
        <f t="shared" si="9"/>
        <v>3921.5686274509803</v>
      </c>
      <c r="K27" s="153"/>
      <c r="V27" s="25">
        <f t="shared" si="5"/>
        <v>1</v>
      </c>
      <c r="W27" s="25">
        <f t="shared" si="6"/>
        <v>0</v>
      </c>
    </row>
    <row r="28" spans="1:23" x14ac:dyDescent="0.3">
      <c r="A28" s="147"/>
      <c r="B28" s="205">
        <f t="shared" si="7"/>
        <v>23</v>
      </c>
      <c r="C28" s="206">
        <v>45187</v>
      </c>
      <c r="D28" s="161" t="s">
        <v>9</v>
      </c>
      <c r="E28" s="161" t="s">
        <v>28</v>
      </c>
      <c r="F28" s="222">
        <v>76.3</v>
      </c>
      <c r="G28" s="222">
        <v>78.3</v>
      </c>
      <c r="H28" s="222">
        <v>2</v>
      </c>
      <c r="I28" s="207">
        <f t="shared" si="3"/>
        <v>3931.8479685452162</v>
      </c>
      <c r="J28" s="161">
        <f t="shared" si="9"/>
        <v>7863.6959370904324</v>
      </c>
      <c r="K28" s="153"/>
      <c r="M28" s="25" t="s">
        <v>2008</v>
      </c>
      <c r="V28" s="25">
        <f t="shared" si="5"/>
        <v>1</v>
      </c>
      <c r="W28" s="25">
        <f t="shared" si="6"/>
        <v>0</v>
      </c>
    </row>
    <row r="29" spans="1:23" x14ac:dyDescent="0.3">
      <c r="A29" s="147"/>
      <c r="B29" s="205">
        <f t="shared" si="7"/>
        <v>24</v>
      </c>
      <c r="C29" s="206">
        <v>45187</v>
      </c>
      <c r="D29" s="161" t="s">
        <v>8</v>
      </c>
      <c r="E29" s="161" t="s">
        <v>341</v>
      </c>
      <c r="F29" s="222">
        <v>567</v>
      </c>
      <c r="G29" s="222">
        <v>564</v>
      </c>
      <c r="H29" s="222">
        <v>3</v>
      </c>
      <c r="I29" s="207">
        <f t="shared" si="3"/>
        <v>529.10052910052912</v>
      </c>
      <c r="J29" s="161">
        <f t="shared" si="9"/>
        <v>1587.3015873015875</v>
      </c>
      <c r="K29" s="153"/>
      <c r="V29" s="25">
        <f t="shared" si="5"/>
        <v>1</v>
      </c>
      <c r="W29" s="25">
        <f t="shared" si="6"/>
        <v>0</v>
      </c>
    </row>
    <row r="30" spans="1:23" x14ac:dyDescent="0.3">
      <c r="A30" s="147"/>
      <c r="B30" s="205">
        <f t="shared" si="7"/>
        <v>25</v>
      </c>
      <c r="C30" s="206">
        <v>45189</v>
      </c>
      <c r="D30" s="161" t="s">
        <v>9</v>
      </c>
      <c r="E30" s="161" t="s">
        <v>124</v>
      </c>
      <c r="F30" s="222">
        <v>645</v>
      </c>
      <c r="G30" s="222">
        <v>639</v>
      </c>
      <c r="H30" s="222">
        <v>-6</v>
      </c>
      <c r="I30" s="207">
        <f t="shared" si="3"/>
        <v>465.11627906976742</v>
      </c>
      <c r="J30" s="161">
        <f t="shared" si="9"/>
        <v>-2790.6976744186045</v>
      </c>
      <c r="K30" s="153"/>
      <c r="V30" s="25">
        <f t="shared" si="5"/>
        <v>0</v>
      </c>
      <c r="W30" s="25">
        <f t="shared" si="6"/>
        <v>1</v>
      </c>
    </row>
    <row r="31" spans="1:23" x14ac:dyDescent="0.3">
      <c r="A31" s="147"/>
      <c r="B31" s="205">
        <f t="shared" si="7"/>
        <v>26</v>
      </c>
      <c r="C31" s="206">
        <v>45189</v>
      </c>
      <c r="D31" s="161" t="s">
        <v>8</v>
      </c>
      <c r="E31" s="161" t="s">
        <v>94</v>
      </c>
      <c r="F31" s="223">
        <v>1575</v>
      </c>
      <c r="G31" s="222">
        <v>1563</v>
      </c>
      <c r="H31" s="255">
        <v>12</v>
      </c>
      <c r="I31" s="207">
        <f t="shared" si="3"/>
        <v>190.47619047619048</v>
      </c>
      <c r="J31" s="161">
        <f t="shared" si="9"/>
        <v>2285.7142857142858</v>
      </c>
      <c r="K31" s="153"/>
      <c r="V31" s="25">
        <f t="shared" si="5"/>
        <v>1</v>
      </c>
      <c r="W31" s="25">
        <f t="shared" si="6"/>
        <v>0</v>
      </c>
    </row>
    <row r="32" spans="1:23" x14ac:dyDescent="0.3">
      <c r="A32" s="147"/>
      <c r="B32" s="205">
        <f t="shared" si="7"/>
        <v>27</v>
      </c>
      <c r="C32" s="206">
        <v>45190</v>
      </c>
      <c r="D32" s="161" t="s">
        <v>9</v>
      </c>
      <c r="E32" s="161" t="s">
        <v>299</v>
      </c>
      <c r="F32" s="222">
        <v>2495</v>
      </c>
      <c r="G32" s="222">
        <v>2470</v>
      </c>
      <c r="H32" s="222">
        <v>-25</v>
      </c>
      <c r="I32" s="207">
        <f t="shared" si="3"/>
        <v>120.24048096192385</v>
      </c>
      <c r="J32" s="161">
        <f t="shared" si="9"/>
        <v>-3006.0120240480965</v>
      </c>
      <c r="K32" s="153"/>
      <c r="V32" s="25">
        <f t="shared" si="5"/>
        <v>0</v>
      </c>
      <c r="W32" s="25">
        <f t="shared" si="6"/>
        <v>1</v>
      </c>
    </row>
    <row r="33" spans="1:23" x14ac:dyDescent="0.3">
      <c r="A33" s="147"/>
      <c r="B33" s="205">
        <f t="shared" si="7"/>
        <v>28</v>
      </c>
      <c r="C33" s="206">
        <v>45190</v>
      </c>
      <c r="D33" s="161" t="s">
        <v>9</v>
      </c>
      <c r="E33" s="161" t="s">
        <v>308</v>
      </c>
      <c r="F33" s="223">
        <v>265</v>
      </c>
      <c r="G33" s="222">
        <v>261</v>
      </c>
      <c r="H33" s="255">
        <v>-4</v>
      </c>
      <c r="I33" s="207">
        <f t="shared" si="3"/>
        <v>1132.0754716981132</v>
      </c>
      <c r="J33" s="161">
        <f t="shared" si="9"/>
        <v>-4528.3018867924529</v>
      </c>
      <c r="K33" s="153"/>
      <c r="V33" s="25">
        <f t="shared" si="5"/>
        <v>0</v>
      </c>
      <c r="W33" s="25">
        <f t="shared" si="6"/>
        <v>1</v>
      </c>
    </row>
    <row r="34" spans="1:23" x14ac:dyDescent="0.3">
      <c r="A34" s="147"/>
      <c r="B34" s="205">
        <f t="shared" si="7"/>
        <v>29</v>
      </c>
      <c r="C34" s="206">
        <v>45191</v>
      </c>
      <c r="D34" s="161" t="s">
        <v>9</v>
      </c>
      <c r="E34" s="161" t="s">
        <v>795</v>
      </c>
      <c r="F34" s="222">
        <v>2000</v>
      </c>
      <c r="G34" s="222">
        <v>2014.5</v>
      </c>
      <c r="H34" s="222">
        <v>14.5</v>
      </c>
      <c r="I34" s="207">
        <f t="shared" si="3"/>
        <v>150</v>
      </c>
      <c r="J34" s="161">
        <f t="shared" si="9"/>
        <v>2175</v>
      </c>
      <c r="K34" s="153"/>
      <c r="V34" s="25">
        <f t="shared" si="5"/>
        <v>1</v>
      </c>
      <c r="W34" s="25">
        <f t="shared" si="6"/>
        <v>0</v>
      </c>
    </row>
    <row r="35" spans="1:23" x14ac:dyDescent="0.3">
      <c r="A35" s="147"/>
      <c r="B35" s="205">
        <f t="shared" si="7"/>
        <v>30</v>
      </c>
      <c r="C35" s="206">
        <v>45191</v>
      </c>
      <c r="D35" s="161" t="s">
        <v>8</v>
      </c>
      <c r="E35" s="161" t="s">
        <v>433</v>
      </c>
      <c r="F35" s="222">
        <v>454</v>
      </c>
      <c r="G35" s="222">
        <v>452</v>
      </c>
      <c r="H35" s="222">
        <v>2</v>
      </c>
      <c r="I35" s="207">
        <f t="shared" si="3"/>
        <v>660.79295154185024</v>
      </c>
      <c r="J35" s="161">
        <f t="shared" si="9"/>
        <v>1321.5859030837005</v>
      </c>
      <c r="K35" s="153"/>
      <c r="V35" s="25">
        <f t="shared" si="5"/>
        <v>1</v>
      </c>
      <c r="W35" s="25">
        <f t="shared" si="6"/>
        <v>0</v>
      </c>
    </row>
    <row r="36" spans="1:23" x14ac:dyDescent="0.3">
      <c r="A36" s="147"/>
      <c r="B36" s="205">
        <f t="shared" si="7"/>
        <v>31</v>
      </c>
      <c r="C36" s="206">
        <v>45194</v>
      </c>
      <c r="D36" s="161" t="s">
        <v>9</v>
      </c>
      <c r="E36" s="161" t="s">
        <v>3563</v>
      </c>
      <c r="F36" s="222">
        <v>1845</v>
      </c>
      <c r="G36" s="222">
        <v>1885</v>
      </c>
      <c r="H36" s="222">
        <v>40</v>
      </c>
      <c r="I36" s="207">
        <f t="shared" si="3"/>
        <v>162.60162601626016</v>
      </c>
      <c r="J36" s="161">
        <f t="shared" si="9"/>
        <v>6504.0650406504064</v>
      </c>
      <c r="K36" s="153"/>
      <c r="V36" s="25">
        <f t="shared" si="5"/>
        <v>1</v>
      </c>
      <c r="W36" s="25">
        <f t="shared" si="6"/>
        <v>0</v>
      </c>
    </row>
    <row r="37" spans="1:23" x14ac:dyDescent="0.3">
      <c r="A37" s="147"/>
      <c r="B37" s="205">
        <f t="shared" si="7"/>
        <v>32</v>
      </c>
      <c r="C37" s="206">
        <v>45194</v>
      </c>
      <c r="D37" s="161" t="s">
        <v>8</v>
      </c>
      <c r="E37" s="161" t="s">
        <v>19</v>
      </c>
      <c r="F37" s="222">
        <v>592</v>
      </c>
      <c r="G37" s="222">
        <v>590.45000000000005</v>
      </c>
      <c r="H37" s="222">
        <f>592-590.45</f>
        <v>1.5499999999999545</v>
      </c>
      <c r="I37" s="207">
        <f t="shared" si="3"/>
        <v>506.75675675675677</v>
      </c>
      <c r="J37" s="161">
        <f t="shared" si="9"/>
        <v>785.47297297294995</v>
      </c>
      <c r="K37" s="153"/>
      <c r="V37" s="25">
        <f t="shared" si="5"/>
        <v>1</v>
      </c>
      <c r="W37" s="25">
        <f t="shared" si="6"/>
        <v>0</v>
      </c>
    </row>
    <row r="38" spans="1:23" x14ac:dyDescent="0.3">
      <c r="A38" s="147"/>
      <c r="B38" s="205">
        <f t="shared" si="7"/>
        <v>33</v>
      </c>
      <c r="C38" s="206">
        <v>45195</v>
      </c>
      <c r="D38" s="161" t="s">
        <v>9</v>
      </c>
      <c r="E38" s="161" t="s">
        <v>3516</v>
      </c>
      <c r="F38" s="222">
        <v>2175</v>
      </c>
      <c r="G38" s="222">
        <v>2185</v>
      </c>
      <c r="H38" s="222">
        <v>10</v>
      </c>
      <c r="I38" s="207">
        <f t="shared" si="3"/>
        <v>137.93103448275863</v>
      </c>
      <c r="J38" s="161">
        <f t="shared" si="9"/>
        <v>1379.3103448275863</v>
      </c>
      <c r="K38" s="153"/>
      <c r="V38" s="25">
        <f t="shared" si="5"/>
        <v>1</v>
      </c>
      <c r="W38" s="25">
        <f t="shared" si="6"/>
        <v>0</v>
      </c>
    </row>
    <row r="39" spans="1:23" x14ac:dyDescent="0.3">
      <c r="A39" s="147"/>
      <c r="B39" s="205">
        <f t="shared" si="7"/>
        <v>34</v>
      </c>
      <c r="C39" s="206">
        <v>45195</v>
      </c>
      <c r="D39" s="161" t="s">
        <v>9</v>
      </c>
      <c r="E39" s="161" t="s">
        <v>132</v>
      </c>
      <c r="F39" s="222">
        <v>610</v>
      </c>
      <c r="G39" s="222">
        <v>617</v>
      </c>
      <c r="H39" s="222">
        <v>7</v>
      </c>
      <c r="I39" s="207">
        <f t="shared" si="3"/>
        <v>491.80327868852459</v>
      </c>
      <c r="J39" s="161">
        <f t="shared" si="9"/>
        <v>3442.622950819672</v>
      </c>
      <c r="K39" s="153"/>
      <c r="V39" s="25">
        <f t="shared" si="5"/>
        <v>1</v>
      </c>
      <c r="W39" s="25">
        <f t="shared" si="6"/>
        <v>0</v>
      </c>
    </row>
    <row r="40" spans="1:23" x14ac:dyDescent="0.3">
      <c r="A40" s="147"/>
      <c r="B40" s="205">
        <f t="shared" si="7"/>
        <v>35</v>
      </c>
      <c r="C40" s="206">
        <v>45196</v>
      </c>
      <c r="D40" s="161" t="s">
        <v>9</v>
      </c>
      <c r="E40" s="161" t="s">
        <v>795</v>
      </c>
      <c r="F40" s="222">
        <v>2085</v>
      </c>
      <c r="G40" s="222">
        <v>2065</v>
      </c>
      <c r="H40" s="222">
        <v>20</v>
      </c>
      <c r="I40" s="207">
        <f t="shared" si="3"/>
        <v>143.88489208633092</v>
      </c>
      <c r="J40" s="161">
        <f t="shared" si="9"/>
        <v>2877.6978417266182</v>
      </c>
      <c r="K40" s="153"/>
      <c r="V40" s="25">
        <f t="shared" si="5"/>
        <v>1</v>
      </c>
      <c r="W40" s="25">
        <f t="shared" si="6"/>
        <v>0</v>
      </c>
    </row>
    <row r="41" spans="1:23" x14ac:dyDescent="0.3">
      <c r="A41" s="147"/>
      <c r="B41" s="205">
        <f t="shared" si="7"/>
        <v>36</v>
      </c>
      <c r="C41" s="206">
        <v>45196</v>
      </c>
      <c r="D41" s="161" t="s">
        <v>9</v>
      </c>
      <c r="E41" s="161" t="s">
        <v>4363</v>
      </c>
      <c r="F41" s="222">
        <v>150</v>
      </c>
      <c r="G41" s="223">
        <v>151</v>
      </c>
      <c r="H41" s="222">
        <v>1</v>
      </c>
      <c r="I41" s="207">
        <f t="shared" si="3"/>
        <v>2000</v>
      </c>
      <c r="J41" s="161">
        <f t="shared" si="9"/>
        <v>2000</v>
      </c>
      <c r="K41" s="153"/>
      <c r="V41" s="25">
        <f t="shared" si="5"/>
        <v>1</v>
      </c>
      <c r="W41" s="25">
        <f t="shared" si="6"/>
        <v>0</v>
      </c>
    </row>
    <row r="42" spans="1:23" x14ac:dyDescent="0.3">
      <c r="A42" s="147"/>
      <c r="B42" s="205">
        <f t="shared" si="7"/>
        <v>37</v>
      </c>
      <c r="C42" s="206">
        <v>45197</v>
      </c>
      <c r="D42" s="161" t="s">
        <v>9</v>
      </c>
      <c r="E42" s="161" t="s">
        <v>3528</v>
      </c>
      <c r="F42" s="222">
        <v>262</v>
      </c>
      <c r="G42" s="222">
        <v>258</v>
      </c>
      <c r="H42" s="222">
        <v>-2</v>
      </c>
      <c r="I42" s="207">
        <f t="shared" si="3"/>
        <v>1145.0381679389313</v>
      </c>
      <c r="J42" s="161">
        <f t="shared" si="9"/>
        <v>-2290.0763358778627</v>
      </c>
      <c r="K42" s="153"/>
      <c r="V42" s="25">
        <f t="shared" si="5"/>
        <v>0</v>
      </c>
      <c r="W42" s="25">
        <f t="shared" si="6"/>
        <v>1</v>
      </c>
    </row>
    <row r="43" spans="1:23" x14ac:dyDescent="0.3">
      <c r="A43" s="147"/>
      <c r="B43" s="205">
        <f t="shared" si="7"/>
        <v>38</v>
      </c>
      <c r="C43" s="206">
        <v>45197</v>
      </c>
      <c r="D43" s="161" t="s">
        <v>9</v>
      </c>
      <c r="E43" s="161" t="s">
        <v>85</v>
      </c>
      <c r="F43" s="222">
        <v>922</v>
      </c>
      <c r="G43" s="222">
        <v>932</v>
      </c>
      <c r="H43" s="222">
        <v>10</v>
      </c>
      <c r="I43" s="207">
        <f t="shared" si="3"/>
        <v>325.37960954446856</v>
      </c>
      <c r="J43" s="161">
        <f t="shared" si="9"/>
        <v>3253.7960954446858</v>
      </c>
      <c r="K43" s="153"/>
      <c r="V43" s="25">
        <f t="shared" si="5"/>
        <v>1</v>
      </c>
      <c r="W43" s="25">
        <f t="shared" si="6"/>
        <v>0</v>
      </c>
    </row>
    <row r="44" spans="1:23" x14ac:dyDescent="0.3">
      <c r="A44" s="147"/>
      <c r="B44" s="205">
        <f t="shared" si="7"/>
        <v>39</v>
      </c>
      <c r="C44" s="206">
        <v>45198</v>
      </c>
      <c r="D44" s="161" t="s">
        <v>9</v>
      </c>
      <c r="E44" s="161" t="s">
        <v>48</v>
      </c>
      <c r="F44" s="222">
        <v>213</v>
      </c>
      <c r="G44" s="222">
        <v>215</v>
      </c>
      <c r="H44" s="222">
        <v>2</v>
      </c>
      <c r="I44" s="207">
        <f t="shared" si="3"/>
        <v>1408.4507042253522</v>
      </c>
      <c r="J44" s="161">
        <f t="shared" si="9"/>
        <v>2816.9014084507044</v>
      </c>
      <c r="K44" s="153"/>
      <c r="V44" s="25">
        <f t="shared" si="5"/>
        <v>1</v>
      </c>
      <c r="W44" s="25">
        <f t="shared" si="6"/>
        <v>0</v>
      </c>
    </row>
    <row r="45" spans="1:23" x14ac:dyDescent="0.3">
      <c r="A45" s="147"/>
      <c r="B45" s="205">
        <f t="shared" si="7"/>
        <v>40</v>
      </c>
      <c r="C45" s="206">
        <v>45198</v>
      </c>
      <c r="D45" s="161" t="s">
        <v>9</v>
      </c>
      <c r="E45" s="161" t="s">
        <v>119</v>
      </c>
      <c r="F45" s="222">
        <v>1740</v>
      </c>
      <c r="G45" s="222">
        <v>1737</v>
      </c>
      <c r="H45" s="222">
        <v>-3</v>
      </c>
      <c r="I45" s="207">
        <f t="shared" si="3"/>
        <v>172.41379310344828</v>
      </c>
      <c r="J45" s="161">
        <f t="shared" si="9"/>
        <v>-517.24137931034488</v>
      </c>
      <c r="K45" s="153"/>
      <c r="V45" s="25">
        <f t="shared" si="5"/>
        <v>0</v>
      </c>
      <c r="W45" s="25">
        <f t="shared" si="6"/>
        <v>1</v>
      </c>
    </row>
    <row r="46" spans="1:23" x14ac:dyDescent="0.3">
      <c r="A46" s="147"/>
      <c r="B46" s="205">
        <f t="shared" si="7"/>
        <v>41</v>
      </c>
      <c r="C46" s="206"/>
      <c r="D46" s="161"/>
      <c r="E46" s="161"/>
      <c r="F46" s="222"/>
      <c r="G46" s="222"/>
      <c r="H46" s="222"/>
      <c r="I46" s="207"/>
      <c r="J46" s="161">
        <f t="shared" si="9"/>
        <v>0</v>
      </c>
      <c r="K46" s="153"/>
      <c r="V46" s="25">
        <f t="shared" si="5"/>
        <v>0</v>
      </c>
      <c r="W46" s="25">
        <f t="shared" si="6"/>
        <v>0</v>
      </c>
    </row>
    <row r="47" spans="1:23" x14ac:dyDescent="0.3">
      <c r="A47" s="147"/>
      <c r="B47" s="205">
        <f t="shared" si="7"/>
        <v>42</v>
      </c>
      <c r="C47" s="206"/>
      <c r="D47" s="161"/>
      <c r="E47" s="161"/>
      <c r="F47" s="222"/>
      <c r="G47" s="222"/>
      <c r="H47" s="222"/>
      <c r="I47" s="207"/>
      <c r="J47" s="161">
        <f t="shared" si="9"/>
        <v>0</v>
      </c>
      <c r="K47" s="153"/>
      <c r="V47" s="25">
        <f t="shared" si="5"/>
        <v>0</v>
      </c>
      <c r="W47" s="25">
        <f t="shared" si="6"/>
        <v>0</v>
      </c>
    </row>
    <row r="48" spans="1:23" x14ac:dyDescent="0.3">
      <c r="A48" s="147"/>
      <c r="B48" s="205">
        <f t="shared" si="7"/>
        <v>43</v>
      </c>
      <c r="C48" s="206"/>
      <c r="D48" s="161"/>
      <c r="E48" s="161"/>
      <c r="F48" s="222"/>
      <c r="G48" s="222"/>
      <c r="H48" s="222"/>
      <c r="I48" s="207"/>
      <c r="J48" s="161">
        <f t="shared" si="9"/>
        <v>0</v>
      </c>
      <c r="K48" s="153"/>
      <c r="V48" s="25">
        <f t="shared" si="5"/>
        <v>0</v>
      </c>
      <c r="W48" s="25">
        <f t="shared" si="6"/>
        <v>0</v>
      </c>
    </row>
    <row r="49" spans="1:23" x14ac:dyDescent="0.3">
      <c r="A49" s="147"/>
      <c r="B49" s="205">
        <f t="shared" si="7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5"/>
        <v>0</v>
      </c>
      <c r="W49" s="25">
        <f t="shared" si="6"/>
        <v>0</v>
      </c>
    </row>
    <row r="50" spans="1:23" x14ac:dyDescent="0.3">
      <c r="A50" s="147"/>
      <c r="B50" s="205">
        <f t="shared" si="7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5"/>
        <v>0</v>
      </c>
      <c r="W50" s="25">
        <f t="shared" si="6"/>
        <v>0</v>
      </c>
    </row>
    <row r="51" spans="1:23" ht="15" thickBot="1" x14ac:dyDescent="0.35">
      <c r="A51" s="147"/>
      <c r="B51" s="208">
        <f t="shared" si="7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5"/>
        <v>0</v>
      </c>
      <c r="W51" s="25">
        <f t="shared" si="6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79150.163529515587</v>
      </c>
      <c r="K52" s="153"/>
      <c r="V52" s="25">
        <f>SUM(V6:V51)</f>
        <v>33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4333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45170</v>
      </c>
      <c r="D60" s="161" t="s">
        <v>9</v>
      </c>
      <c r="E60" s="161" t="s">
        <v>586</v>
      </c>
      <c r="F60" s="222">
        <v>1805</v>
      </c>
      <c r="G60" s="222">
        <v>1825</v>
      </c>
      <c r="H60" s="222">
        <v>20</v>
      </c>
      <c r="I60" s="279">
        <v>475</v>
      </c>
      <c r="J60" s="241">
        <f t="shared" ref="J60:J85" si="15">I60*H60</f>
        <v>9500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45173</v>
      </c>
      <c r="D61" s="161" t="s">
        <v>9</v>
      </c>
      <c r="E61" s="161" t="s">
        <v>117</v>
      </c>
      <c r="F61" s="222">
        <v>442</v>
      </c>
      <c r="G61" s="222">
        <v>447</v>
      </c>
      <c r="H61" s="222">
        <v>5</v>
      </c>
      <c r="I61" s="207">
        <v>1800</v>
      </c>
      <c r="J61" s="242">
        <f t="shared" si="15"/>
        <v>9000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45174</v>
      </c>
      <c r="D62" s="161" t="s">
        <v>9</v>
      </c>
      <c r="E62" s="161" t="s">
        <v>3562</v>
      </c>
      <c r="F62" s="222">
        <v>5180</v>
      </c>
      <c r="G62" s="222">
        <v>5248</v>
      </c>
      <c r="H62" s="222">
        <f>5248-5180</f>
        <v>68</v>
      </c>
      <c r="I62" s="207">
        <v>200</v>
      </c>
      <c r="J62" s="242">
        <f t="shared" si="15"/>
        <v>13600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45175</v>
      </c>
      <c r="D63" s="161" t="s">
        <v>9</v>
      </c>
      <c r="E63" s="161" t="s">
        <v>3801</v>
      </c>
      <c r="F63" s="222">
        <v>460</v>
      </c>
      <c r="G63" s="222">
        <v>464.8</v>
      </c>
      <c r="H63" s="222">
        <v>4.8</v>
      </c>
      <c r="I63" s="207">
        <v>1250</v>
      </c>
      <c r="J63" s="242">
        <f>I63*H63</f>
        <v>6000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45176</v>
      </c>
      <c r="D64" s="161" t="s">
        <v>9</v>
      </c>
      <c r="E64" s="161" t="s">
        <v>3515</v>
      </c>
      <c r="F64" s="222">
        <v>4020</v>
      </c>
      <c r="G64" s="222">
        <v>4070</v>
      </c>
      <c r="H64" s="222">
        <v>50</v>
      </c>
      <c r="I64" s="207">
        <v>300</v>
      </c>
      <c r="J64" s="242">
        <f>I64*H64</f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45177</v>
      </c>
      <c r="D65" s="161" t="s">
        <v>9</v>
      </c>
      <c r="E65" s="161" t="s">
        <v>85</v>
      </c>
      <c r="F65" s="222">
        <v>883</v>
      </c>
      <c r="G65" s="222">
        <v>8890</v>
      </c>
      <c r="H65" s="222">
        <v>7</v>
      </c>
      <c r="I65" s="207">
        <v>950</v>
      </c>
      <c r="J65" s="242">
        <f>I65*H65</f>
        <v>6650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45180</v>
      </c>
      <c r="D66" s="161" t="s">
        <v>9</v>
      </c>
      <c r="E66" s="161" t="s">
        <v>796</v>
      </c>
      <c r="F66" s="222">
        <v>5090</v>
      </c>
      <c r="G66" s="222">
        <v>5120</v>
      </c>
      <c r="H66" s="222">
        <f>5120-5090</f>
        <v>30</v>
      </c>
      <c r="I66" s="207">
        <v>125</v>
      </c>
      <c r="J66" s="242">
        <f t="shared" si="15"/>
        <v>3750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45181</v>
      </c>
      <c r="D67" s="161" t="s">
        <v>9</v>
      </c>
      <c r="E67" s="161" t="s">
        <v>3137</v>
      </c>
      <c r="F67" s="222">
        <v>5560</v>
      </c>
      <c r="G67" s="222">
        <v>5520</v>
      </c>
      <c r="H67" s="222">
        <v>-40</v>
      </c>
      <c r="I67" s="207">
        <v>150</v>
      </c>
      <c r="J67" s="242">
        <f t="shared" si="15"/>
        <v>-6000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45182</v>
      </c>
      <c r="D68" s="161" t="s">
        <v>9</v>
      </c>
      <c r="E68" s="161" t="s">
        <v>395</v>
      </c>
      <c r="F68" s="222">
        <v>5720</v>
      </c>
      <c r="G68" s="222">
        <v>5759</v>
      </c>
      <c r="H68" s="222">
        <f>5759-5720</f>
        <v>39</v>
      </c>
      <c r="I68" s="207">
        <v>125</v>
      </c>
      <c r="J68" s="242">
        <f t="shared" si="15"/>
        <v>4875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45183</v>
      </c>
      <c r="D69" s="161" t="s">
        <v>9</v>
      </c>
      <c r="E69" s="161" t="s">
        <v>90</v>
      </c>
      <c r="F69" s="222">
        <v>1288</v>
      </c>
      <c r="G69" s="222">
        <v>1278</v>
      </c>
      <c r="H69" s="222">
        <v>-10</v>
      </c>
      <c r="I69" s="207">
        <v>700</v>
      </c>
      <c r="J69" s="242">
        <f t="shared" si="15"/>
        <v>-7000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45184</v>
      </c>
      <c r="D70" s="161" t="s">
        <v>9</v>
      </c>
      <c r="E70" s="161" t="s">
        <v>365</v>
      </c>
      <c r="F70" s="161">
        <v>812</v>
      </c>
      <c r="G70" s="222">
        <v>813</v>
      </c>
      <c r="H70" s="222">
        <v>1</v>
      </c>
      <c r="I70" s="207">
        <v>1350</v>
      </c>
      <c r="J70" s="242">
        <f t="shared" si="15"/>
        <v>1350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45184</v>
      </c>
      <c r="D71" s="161" t="s">
        <v>9</v>
      </c>
      <c r="E71" s="161" t="s">
        <v>4355</v>
      </c>
      <c r="F71" s="222">
        <v>1315</v>
      </c>
      <c r="G71" s="222">
        <v>1336</v>
      </c>
      <c r="H71" s="222">
        <f>1336-1315</f>
        <v>21</v>
      </c>
      <c r="I71" s="207">
        <v>550</v>
      </c>
      <c r="J71" s="242">
        <f t="shared" si="15"/>
        <v>11550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45187</v>
      </c>
      <c r="D72" s="161" t="s">
        <v>9</v>
      </c>
      <c r="E72" s="161" t="s">
        <v>4079</v>
      </c>
      <c r="F72" s="222">
        <v>3320</v>
      </c>
      <c r="G72" s="222">
        <v>3340</v>
      </c>
      <c r="H72" s="222">
        <v>20</v>
      </c>
      <c r="I72" s="207">
        <v>250</v>
      </c>
      <c r="J72" s="242">
        <f t="shared" si="15"/>
        <v>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45189</v>
      </c>
      <c r="D73" s="161" t="s">
        <v>9</v>
      </c>
      <c r="E73" s="161" t="s">
        <v>3515</v>
      </c>
      <c r="F73" s="222">
        <v>4000</v>
      </c>
      <c r="G73" s="222">
        <v>4057</v>
      </c>
      <c r="H73" s="255">
        <v>57</v>
      </c>
      <c r="I73" s="207">
        <v>300</v>
      </c>
      <c r="J73" s="242">
        <f t="shared" si="15"/>
        <v>17100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45190</v>
      </c>
      <c r="D74" s="265" t="s">
        <v>9</v>
      </c>
      <c r="E74" s="265" t="s">
        <v>862</v>
      </c>
      <c r="F74" s="277">
        <v>627</v>
      </c>
      <c r="G74" s="267">
        <v>635.4</v>
      </c>
      <c r="H74" s="222">
        <f>635.4-627</f>
        <v>8.3999999999999773</v>
      </c>
      <c r="I74" s="207">
        <v>1300</v>
      </c>
      <c r="J74" s="242">
        <f t="shared" si="15"/>
        <v>10919.999999999971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64">
        <v>45191</v>
      </c>
      <c r="D75" s="265" t="s">
        <v>9</v>
      </c>
      <c r="E75" s="265" t="s">
        <v>48</v>
      </c>
      <c r="F75" s="277">
        <v>212</v>
      </c>
      <c r="G75" s="267">
        <v>218</v>
      </c>
      <c r="H75" s="222">
        <v>6</v>
      </c>
      <c r="I75" s="207">
        <v>5850</v>
      </c>
      <c r="J75" s="242">
        <f t="shared" si="15"/>
        <v>35100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45194</v>
      </c>
      <c r="D76" s="161" t="s">
        <v>9</v>
      </c>
      <c r="E76" s="161" t="s">
        <v>173</v>
      </c>
      <c r="F76" s="222">
        <v>3310</v>
      </c>
      <c r="G76" s="222">
        <v>3320</v>
      </c>
      <c r="H76" s="222">
        <v>10</v>
      </c>
      <c r="I76" s="207">
        <v>200</v>
      </c>
      <c r="J76" s="242">
        <f t="shared" si="15"/>
        <v>2000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45195</v>
      </c>
      <c r="D77" s="161" t="s">
        <v>9</v>
      </c>
      <c r="E77" s="161" t="s">
        <v>3334</v>
      </c>
      <c r="F77" s="222">
        <v>2720</v>
      </c>
      <c r="G77" s="222">
        <v>2733</v>
      </c>
      <c r="H77" s="222">
        <f>2733-2720</f>
        <v>13</v>
      </c>
      <c r="I77" s="207">
        <v>300</v>
      </c>
      <c r="J77" s="242">
        <f t="shared" si="15"/>
        <v>3900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45196</v>
      </c>
      <c r="D78" s="161" t="s">
        <v>8</v>
      </c>
      <c r="E78" s="161" t="s">
        <v>95</v>
      </c>
      <c r="F78" s="223">
        <v>941</v>
      </c>
      <c r="G78" s="222">
        <v>935</v>
      </c>
      <c r="H78" s="255">
        <f>941-395</f>
        <v>546</v>
      </c>
      <c r="I78" s="207">
        <v>700</v>
      </c>
      <c r="J78" s="242">
        <f t="shared" si="15"/>
        <v>382200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45197</v>
      </c>
      <c r="D79" s="161" t="s">
        <v>9</v>
      </c>
      <c r="E79" s="161" t="s">
        <v>422</v>
      </c>
      <c r="F79" s="222">
        <v>1890</v>
      </c>
      <c r="G79" s="222">
        <v>1910</v>
      </c>
      <c r="H79" s="222">
        <f>1910-1890</f>
        <v>20</v>
      </c>
      <c r="I79" s="207">
        <v>500</v>
      </c>
      <c r="J79" s="242">
        <f t="shared" si="15"/>
        <v>10000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45198</v>
      </c>
      <c r="D80" s="161" t="s">
        <v>9</v>
      </c>
      <c r="E80" s="161" t="s">
        <v>1916</v>
      </c>
      <c r="F80" s="222">
        <v>1900</v>
      </c>
      <c r="G80" s="222">
        <v>1940</v>
      </c>
      <c r="H80" s="222">
        <v>40</v>
      </c>
      <c r="I80" s="207">
        <v>500</v>
      </c>
      <c r="J80" s="242">
        <f t="shared" si="15"/>
        <v>20000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5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554495</v>
      </c>
      <c r="K86" s="153"/>
      <c r="V86" s="25">
        <f>SUM(V60:V85)</f>
        <v>19</v>
      </c>
      <c r="W86" s="25">
        <f>SUM(W60:W85)</f>
        <v>2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4332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45170</v>
      </c>
      <c r="D94" s="185" t="s">
        <v>9</v>
      </c>
      <c r="E94" s="185" t="s">
        <v>39</v>
      </c>
      <c r="F94" s="219">
        <v>19400</v>
      </c>
      <c r="G94" s="219">
        <v>19460</v>
      </c>
      <c r="H94" s="185">
        <v>60</v>
      </c>
      <c r="I94" s="219">
        <v>150</v>
      </c>
      <c r="J94" s="246">
        <f t="shared" ref="J94:J117" si="19">I94*H94</f>
        <v>9000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45173</v>
      </c>
      <c r="D95" s="185" t="s">
        <v>8</v>
      </c>
      <c r="E95" s="185" t="s">
        <v>39</v>
      </c>
      <c r="F95" s="219">
        <v>19520</v>
      </c>
      <c r="G95" s="219">
        <v>19560</v>
      </c>
      <c r="H95" s="185">
        <v>-40</v>
      </c>
      <c r="I95" s="219">
        <v>150</v>
      </c>
      <c r="J95" s="242">
        <f t="shared" si="19"/>
        <v>-6000</v>
      </c>
      <c r="K95" s="153"/>
      <c r="V95" s="25">
        <f t="shared" ref="V95:V117" si="20">IF($J95&gt;0,1,0)</f>
        <v>0</v>
      </c>
      <c r="W95" s="25">
        <f t="shared" ref="W95:W117" si="21">IF($J95&lt;0,1,0)</f>
        <v>1</v>
      </c>
    </row>
    <row r="96" spans="1:23" x14ac:dyDescent="0.3">
      <c r="A96" s="147"/>
      <c r="B96" s="205">
        <f t="shared" ref="B96:B115" si="22">B95+1</f>
        <v>3</v>
      </c>
      <c r="C96" s="206">
        <v>45174</v>
      </c>
      <c r="D96" s="161" t="s">
        <v>9</v>
      </c>
      <c r="E96" s="161" t="s">
        <v>39</v>
      </c>
      <c r="F96" s="207">
        <v>19630</v>
      </c>
      <c r="G96" s="207">
        <v>19649</v>
      </c>
      <c r="H96" s="161">
        <f>19649-19630</f>
        <v>19</v>
      </c>
      <c r="I96" s="207">
        <v>150</v>
      </c>
      <c r="J96" s="242">
        <f t="shared" si="19"/>
        <v>2850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45175</v>
      </c>
      <c r="D97" s="161" t="s">
        <v>8</v>
      </c>
      <c r="E97" s="161" t="s">
        <v>39</v>
      </c>
      <c r="F97" s="207">
        <v>19630</v>
      </c>
      <c r="G97" s="207">
        <v>19572</v>
      </c>
      <c r="H97" s="161">
        <f>19630-19572</f>
        <v>58</v>
      </c>
      <c r="I97" s="207">
        <v>150</v>
      </c>
      <c r="J97" s="242">
        <f t="shared" si="19"/>
        <v>8700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45176</v>
      </c>
      <c r="D98" s="161" t="s">
        <v>8</v>
      </c>
      <c r="E98" s="161" t="s">
        <v>39</v>
      </c>
      <c r="F98" s="207">
        <v>19610</v>
      </c>
      <c r="G98" s="207">
        <v>19650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6</v>
      </c>
      <c r="C99" s="206">
        <v>45176</v>
      </c>
      <c r="D99" s="161" t="s">
        <v>9</v>
      </c>
      <c r="E99" s="161" t="s">
        <v>39</v>
      </c>
      <c r="F99" s="207">
        <v>19670</v>
      </c>
      <c r="G99" s="207">
        <v>19750</v>
      </c>
      <c r="H99" s="161">
        <f>19750-19670</f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45177</v>
      </c>
      <c r="D100" s="161" t="s">
        <v>8</v>
      </c>
      <c r="E100" s="161" t="s">
        <v>39</v>
      </c>
      <c r="F100" s="207">
        <v>19800</v>
      </c>
      <c r="G100" s="207">
        <v>19780</v>
      </c>
      <c r="H100" s="161">
        <f>19800-19780</f>
        <v>20</v>
      </c>
      <c r="I100" s="207">
        <v>150</v>
      </c>
      <c r="J100" s="242">
        <f t="shared" si="19"/>
        <v>3000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8</v>
      </c>
      <c r="C101" s="206">
        <v>45180</v>
      </c>
      <c r="D101" s="161" t="s">
        <v>9</v>
      </c>
      <c r="E101" s="161" t="s">
        <v>39</v>
      </c>
      <c r="F101" s="207">
        <v>19950</v>
      </c>
      <c r="G101" s="207">
        <v>20030</v>
      </c>
      <c r="H101" s="161">
        <f>20030-19950</f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45181</v>
      </c>
      <c r="D102" s="161" t="s">
        <v>8</v>
      </c>
      <c r="E102" s="161" t="s">
        <v>39</v>
      </c>
      <c r="F102" s="207">
        <v>20080</v>
      </c>
      <c r="G102" s="207">
        <v>20000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45182</v>
      </c>
      <c r="D103" s="161" t="s">
        <v>8</v>
      </c>
      <c r="E103" s="161" t="s">
        <v>39</v>
      </c>
      <c r="F103" s="207">
        <v>20040</v>
      </c>
      <c r="G103" s="207">
        <v>20015</v>
      </c>
      <c r="H103" s="161">
        <f>20040-20015</f>
        <v>25</v>
      </c>
      <c r="I103" s="207">
        <v>150</v>
      </c>
      <c r="J103" s="242">
        <f t="shared" si="19"/>
        <v>3750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45183</v>
      </c>
      <c r="D104" s="161" t="s">
        <v>8</v>
      </c>
      <c r="E104" s="161" t="s">
        <v>39</v>
      </c>
      <c r="F104" s="207">
        <v>20160</v>
      </c>
      <c r="G104" s="207">
        <v>20095</v>
      </c>
      <c r="H104" s="161">
        <f>20160-20095</f>
        <v>65</v>
      </c>
      <c r="I104" s="207">
        <v>150</v>
      </c>
      <c r="J104" s="242">
        <f t="shared" si="19"/>
        <v>9750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12</v>
      </c>
      <c r="C105" s="206">
        <v>45184</v>
      </c>
      <c r="D105" s="161" t="s">
        <v>9</v>
      </c>
      <c r="E105" s="161" t="s">
        <v>39</v>
      </c>
      <c r="F105" s="207">
        <v>20210</v>
      </c>
      <c r="G105" s="207">
        <v>20265</v>
      </c>
      <c r="H105" s="161">
        <f>20265-20210</f>
        <v>55</v>
      </c>
      <c r="I105" s="207">
        <v>150</v>
      </c>
      <c r="J105" s="242">
        <f t="shared" si="19"/>
        <v>8250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45187</v>
      </c>
      <c r="D106" s="161" t="s">
        <v>9</v>
      </c>
      <c r="E106" s="161" t="s">
        <v>39</v>
      </c>
      <c r="F106" s="207">
        <v>20220</v>
      </c>
      <c r="G106" s="207">
        <v>20180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14</v>
      </c>
      <c r="C107" s="206">
        <v>45189</v>
      </c>
      <c r="D107" s="161" t="s">
        <v>8</v>
      </c>
      <c r="E107" s="161" t="s">
        <v>39</v>
      </c>
      <c r="F107" s="207">
        <v>20020</v>
      </c>
      <c r="G107" s="207">
        <v>19940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45190</v>
      </c>
      <c r="D108" s="161" t="s">
        <v>8</v>
      </c>
      <c r="E108" s="161" t="s">
        <v>39</v>
      </c>
      <c r="F108" s="207">
        <v>19820</v>
      </c>
      <c r="G108" s="207">
        <v>19780</v>
      </c>
      <c r="H108" s="161">
        <v>40</v>
      </c>
      <c r="I108" s="207">
        <v>150</v>
      </c>
      <c r="J108" s="242">
        <f t="shared" si="19"/>
        <v>6000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45191</v>
      </c>
      <c r="D109" s="161" t="s">
        <v>8</v>
      </c>
      <c r="E109" s="161" t="s">
        <v>39</v>
      </c>
      <c r="F109" s="207">
        <v>19710</v>
      </c>
      <c r="G109" s="207">
        <v>19750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17</v>
      </c>
      <c r="C110" s="206">
        <v>45194</v>
      </c>
      <c r="D110" s="161" t="s">
        <v>8</v>
      </c>
      <c r="E110" s="161" t="s">
        <v>39</v>
      </c>
      <c r="F110" s="207">
        <v>19670</v>
      </c>
      <c r="G110" s="207">
        <v>19650</v>
      </c>
      <c r="H110" s="161">
        <v>20</v>
      </c>
      <c r="I110" s="207">
        <v>150</v>
      </c>
      <c r="J110" s="242">
        <f t="shared" si="19"/>
        <v>3000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45195</v>
      </c>
      <c r="D111" s="161" t="s">
        <v>8</v>
      </c>
      <c r="E111" s="161" t="s">
        <v>39</v>
      </c>
      <c r="F111" s="207">
        <v>19690</v>
      </c>
      <c r="G111" s="207">
        <v>19650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45196</v>
      </c>
      <c r="D112" s="161" t="s">
        <v>8</v>
      </c>
      <c r="E112" s="161" t="s">
        <v>39</v>
      </c>
      <c r="F112" s="207">
        <v>19560</v>
      </c>
      <c r="G112" s="207">
        <v>19543</v>
      </c>
      <c r="H112" s="161">
        <f>19560-19543</f>
        <v>17</v>
      </c>
      <c r="I112" s="207">
        <v>150</v>
      </c>
      <c r="J112" s="242">
        <f>I112*H112</f>
        <v>2550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45197</v>
      </c>
      <c r="D113" s="161" t="s">
        <v>9</v>
      </c>
      <c r="E113" s="161" t="s">
        <v>39</v>
      </c>
      <c r="F113" s="207">
        <v>19710</v>
      </c>
      <c r="G113" s="207">
        <v>19730</v>
      </c>
      <c r="H113" s="161">
        <v>20</v>
      </c>
      <c r="I113" s="207">
        <v>150</v>
      </c>
      <c r="J113" s="242">
        <f t="shared" si="19"/>
        <v>3000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45198</v>
      </c>
      <c r="D114" s="161" t="s">
        <v>9</v>
      </c>
      <c r="E114" s="161" t="s">
        <v>39</v>
      </c>
      <c r="F114" s="207">
        <v>19690</v>
      </c>
      <c r="G114" s="207">
        <v>19770</v>
      </c>
      <c r="H114" s="161">
        <f>19770-19690</f>
        <v>80</v>
      </c>
      <c r="I114" s="207">
        <v>150</v>
      </c>
      <c r="J114" s="242">
        <f t="shared" si="19"/>
        <v>12000</v>
      </c>
      <c r="K114" s="153"/>
      <c r="V114" s="25">
        <f t="shared" si="20"/>
        <v>1</v>
      </c>
      <c r="W114" s="25">
        <f t="shared" si="21"/>
        <v>0</v>
      </c>
    </row>
    <row r="115" spans="1:23" x14ac:dyDescent="0.3">
      <c r="A115" s="147"/>
      <c r="B115" s="205">
        <f t="shared" si="22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9"/>
        <v>0</v>
      </c>
      <c r="K115" s="153"/>
      <c r="V115" s="25">
        <f t="shared" si="20"/>
        <v>0</v>
      </c>
      <c r="W115" s="25">
        <f t="shared" si="21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9"/>
        <v>0</v>
      </c>
      <c r="K116" s="153"/>
      <c r="V116" s="25">
        <f t="shared" si="20"/>
        <v>0</v>
      </c>
      <c r="W116" s="25">
        <f t="shared" si="21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9"/>
        <v>0</v>
      </c>
      <c r="K117" s="153"/>
      <c r="V117" s="25">
        <f t="shared" si="20"/>
        <v>0</v>
      </c>
      <c r="W117" s="25">
        <f t="shared" si="21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101850</v>
      </c>
      <c r="K118" s="153"/>
      <c r="V118" s="25">
        <f>SUM(V94:V117)</f>
        <v>17</v>
      </c>
      <c r="W118" s="25">
        <f>SUM(W94:W117)</f>
        <v>4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4334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45170</v>
      </c>
      <c r="D126" s="185" t="s">
        <v>9</v>
      </c>
      <c r="E126" s="185" t="s">
        <v>4259</v>
      </c>
      <c r="F126" s="219">
        <v>140</v>
      </c>
      <c r="G126" s="231">
        <v>190</v>
      </c>
      <c r="H126" s="231">
        <v>50</v>
      </c>
      <c r="I126" s="219">
        <v>300</v>
      </c>
      <c r="J126" s="246">
        <f t="shared" ref="J126:J152" si="23">I126*H126</f>
        <v>15000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45173</v>
      </c>
      <c r="D127" s="185" t="s">
        <v>9</v>
      </c>
      <c r="E127" s="185" t="s">
        <v>4271</v>
      </c>
      <c r="F127" s="219">
        <v>125</v>
      </c>
      <c r="G127" s="219">
        <v>100</v>
      </c>
      <c r="H127" s="185">
        <v>-25</v>
      </c>
      <c r="I127" s="219">
        <v>300</v>
      </c>
      <c r="J127" s="242">
        <f t="shared" si="23"/>
        <v>-7500</v>
      </c>
      <c r="K127" s="153"/>
      <c r="V127" s="25">
        <f t="shared" ref="V127:V152" si="24">IF($J127&gt;0,1,0)</f>
        <v>0</v>
      </c>
      <c r="W127" s="25">
        <f t="shared" ref="W127:W152" si="25">IF($J127&lt;0,1,0)</f>
        <v>1</v>
      </c>
    </row>
    <row r="128" spans="1:23" x14ac:dyDescent="0.3">
      <c r="A128" s="147"/>
      <c r="B128" s="205">
        <f>B127+1</f>
        <v>3</v>
      </c>
      <c r="C128" s="206">
        <v>45173</v>
      </c>
      <c r="D128" s="161" t="s">
        <v>9</v>
      </c>
      <c r="E128" s="161" t="s">
        <v>4265</v>
      </c>
      <c r="F128" s="207">
        <v>145</v>
      </c>
      <c r="G128" s="207">
        <v>170</v>
      </c>
      <c r="H128" s="161">
        <f>170-145</f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ref="B129:B152" si="26">B128+1</f>
        <v>4</v>
      </c>
      <c r="C129" s="206">
        <v>45174</v>
      </c>
      <c r="D129" s="161" t="s">
        <v>9</v>
      </c>
      <c r="E129" s="161" t="s">
        <v>4307</v>
      </c>
      <c r="F129" s="207">
        <v>140</v>
      </c>
      <c r="G129" s="207">
        <v>150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5</v>
      </c>
      <c r="C130" s="206">
        <v>45175</v>
      </c>
      <c r="D130" s="161" t="s">
        <v>9</v>
      </c>
      <c r="E130" s="161" t="s">
        <v>1817</v>
      </c>
      <c r="F130" s="207">
        <v>145</v>
      </c>
      <c r="G130" s="207">
        <v>195</v>
      </c>
      <c r="H130" s="161">
        <v>50</v>
      </c>
      <c r="I130" s="207">
        <v>300</v>
      </c>
      <c r="J130" s="242">
        <f t="shared" si="23"/>
        <v>15000</v>
      </c>
      <c r="K130" s="153"/>
      <c r="M130" s="25" t="s">
        <v>2008</v>
      </c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6</v>
      </c>
      <c r="C131" s="206">
        <v>45176</v>
      </c>
      <c r="D131" s="161" t="s">
        <v>9</v>
      </c>
      <c r="E131" s="161" t="s">
        <v>4277</v>
      </c>
      <c r="F131" s="207">
        <v>115</v>
      </c>
      <c r="G131" s="222">
        <v>121</v>
      </c>
      <c r="H131" s="222">
        <f>121-115</f>
        <v>6</v>
      </c>
      <c r="I131" s="207">
        <v>300</v>
      </c>
      <c r="J131" s="242">
        <f t="shared" si="23"/>
        <v>1800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7</v>
      </c>
      <c r="C132" s="206">
        <v>45177</v>
      </c>
      <c r="D132" s="161" t="s">
        <v>9</v>
      </c>
      <c r="E132" s="161" t="s">
        <v>1816</v>
      </c>
      <c r="F132" s="207">
        <v>115</v>
      </c>
      <c r="G132" s="207">
        <v>130</v>
      </c>
      <c r="H132" s="161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8</v>
      </c>
      <c r="C133" s="206">
        <v>45180</v>
      </c>
      <c r="D133" s="161" t="s">
        <v>9</v>
      </c>
      <c r="E133" s="161" t="s">
        <v>4349</v>
      </c>
      <c r="F133" s="207">
        <v>130</v>
      </c>
      <c r="G133" s="207">
        <v>180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9</v>
      </c>
      <c r="C134" s="206">
        <v>45181</v>
      </c>
      <c r="D134" s="161" t="s">
        <v>9</v>
      </c>
      <c r="E134" s="161" t="s">
        <v>4350</v>
      </c>
      <c r="F134" s="207">
        <v>120</v>
      </c>
      <c r="G134" s="222">
        <v>95</v>
      </c>
      <c r="H134" s="161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10</v>
      </c>
      <c r="C135" s="206">
        <v>45181</v>
      </c>
      <c r="D135" s="161" t="s">
        <v>9</v>
      </c>
      <c r="E135" s="161" t="s">
        <v>4350</v>
      </c>
      <c r="F135" s="207">
        <v>130</v>
      </c>
      <c r="G135" s="222">
        <v>140</v>
      </c>
      <c r="H135" s="222">
        <v>10</v>
      </c>
      <c r="I135" s="207">
        <v>300</v>
      </c>
      <c r="J135" s="242">
        <f t="shared" si="23"/>
        <v>3000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11</v>
      </c>
      <c r="C136" s="206">
        <v>45182</v>
      </c>
      <c r="D136" s="161" t="s">
        <v>9</v>
      </c>
      <c r="E136" s="161" t="s">
        <v>1986</v>
      </c>
      <c r="F136" s="207">
        <v>135</v>
      </c>
      <c r="G136" s="222">
        <v>149</v>
      </c>
      <c r="H136" s="222">
        <f>149-135</f>
        <v>14</v>
      </c>
      <c r="I136" s="207">
        <v>300</v>
      </c>
      <c r="J136" s="242">
        <f t="shared" si="23"/>
        <v>4200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12</v>
      </c>
      <c r="C137" s="206">
        <v>45183</v>
      </c>
      <c r="D137" s="161" t="s">
        <v>9</v>
      </c>
      <c r="E137" s="161" t="s">
        <v>1810</v>
      </c>
      <c r="F137" s="207">
        <v>140</v>
      </c>
      <c r="G137" s="222">
        <v>177</v>
      </c>
      <c r="H137" s="222">
        <f>177-140</f>
        <v>37</v>
      </c>
      <c r="I137" s="207">
        <v>300</v>
      </c>
      <c r="J137" s="242">
        <f t="shared" si="23"/>
        <v>11100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13</v>
      </c>
      <c r="C138" s="206">
        <v>45184</v>
      </c>
      <c r="D138" s="161" t="s">
        <v>9</v>
      </c>
      <c r="E138" s="161" t="s">
        <v>2963</v>
      </c>
      <c r="F138" s="207">
        <v>150</v>
      </c>
      <c r="G138" s="207">
        <v>180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14</v>
      </c>
      <c r="C139" s="206">
        <v>45187</v>
      </c>
      <c r="D139" s="161" t="s">
        <v>9</v>
      </c>
      <c r="E139" s="161" t="s">
        <v>2963</v>
      </c>
      <c r="F139" s="207">
        <v>135</v>
      </c>
      <c r="G139" s="207">
        <v>110</v>
      </c>
      <c r="H139" s="161">
        <v>-25</v>
      </c>
      <c r="I139" s="207">
        <v>300</v>
      </c>
      <c r="J139" s="242">
        <f t="shared" si="23"/>
        <v>-7500</v>
      </c>
      <c r="K139" s="153"/>
      <c r="V139" s="25">
        <f>IF($J139&gt;0,1,0)</f>
        <v>0</v>
      </c>
      <c r="W139" s="25">
        <f>IF($J139&lt;0,1,0)</f>
        <v>1</v>
      </c>
    </row>
    <row r="140" spans="1:23" x14ac:dyDescent="0.3">
      <c r="A140" s="147"/>
      <c r="B140" s="205">
        <f t="shared" si="26"/>
        <v>15</v>
      </c>
      <c r="C140" s="206">
        <v>45189</v>
      </c>
      <c r="D140" s="161" t="s">
        <v>9</v>
      </c>
      <c r="E140" s="161" t="s">
        <v>1986</v>
      </c>
      <c r="F140" s="207">
        <v>140</v>
      </c>
      <c r="G140" s="207">
        <v>190</v>
      </c>
      <c r="H140" s="161">
        <v>50</v>
      </c>
      <c r="I140" s="207">
        <v>300</v>
      </c>
      <c r="J140" s="242">
        <f t="shared" si="23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6"/>
        <v>16</v>
      </c>
      <c r="C141" s="206">
        <v>45190</v>
      </c>
      <c r="D141" s="161" t="s">
        <v>9</v>
      </c>
      <c r="E141" s="161" t="s">
        <v>1799</v>
      </c>
      <c r="F141" s="207">
        <v>125</v>
      </c>
      <c r="G141" s="207">
        <v>175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17</v>
      </c>
      <c r="C142" s="206">
        <v>45191</v>
      </c>
      <c r="D142" s="161" t="s">
        <v>9</v>
      </c>
      <c r="E142" s="161" t="s">
        <v>4290</v>
      </c>
      <c r="F142" s="207">
        <v>120</v>
      </c>
      <c r="G142" s="207">
        <v>130</v>
      </c>
      <c r="H142" s="161">
        <v>10</v>
      </c>
      <c r="I142" s="207">
        <v>300</v>
      </c>
      <c r="J142" s="242">
        <f t="shared" si="23"/>
        <v>3000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18</v>
      </c>
      <c r="C143" s="206">
        <v>45194</v>
      </c>
      <c r="D143" s="161" t="s">
        <v>9</v>
      </c>
      <c r="E143" s="161" t="s">
        <v>4290</v>
      </c>
      <c r="F143" s="207">
        <v>140</v>
      </c>
      <c r="G143" s="222">
        <v>150</v>
      </c>
      <c r="H143" s="222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19</v>
      </c>
      <c r="C144" s="206">
        <v>45195</v>
      </c>
      <c r="D144" s="161" t="s">
        <v>9</v>
      </c>
      <c r="E144" s="161" t="s">
        <v>1816</v>
      </c>
      <c r="F144" s="207">
        <v>140</v>
      </c>
      <c r="G144" s="222">
        <v>175</v>
      </c>
      <c r="H144" s="222">
        <f>175-140</f>
        <v>35</v>
      </c>
      <c r="I144" s="207">
        <v>300</v>
      </c>
      <c r="J144" s="242">
        <f t="shared" si="23"/>
        <v>10500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20</v>
      </c>
      <c r="C145" s="206">
        <v>45196</v>
      </c>
      <c r="D145" s="161" t="s">
        <v>9</v>
      </c>
      <c r="E145" s="161" t="s">
        <v>4364</v>
      </c>
      <c r="F145" s="207">
        <v>120</v>
      </c>
      <c r="G145" s="222">
        <v>110</v>
      </c>
      <c r="H145" s="222">
        <v>-10</v>
      </c>
      <c r="I145" s="207">
        <v>300</v>
      </c>
      <c r="J145" s="242">
        <f t="shared" si="23"/>
        <v>-3000</v>
      </c>
      <c r="K145" s="153"/>
      <c r="V145" s="25">
        <f t="shared" si="24"/>
        <v>0</v>
      </c>
      <c r="W145" s="25">
        <f t="shared" si="25"/>
        <v>1</v>
      </c>
    </row>
    <row r="146" spans="1:23" x14ac:dyDescent="0.3">
      <c r="A146" s="147"/>
      <c r="B146" s="205">
        <f t="shared" si="26"/>
        <v>21</v>
      </c>
      <c r="C146" s="206">
        <v>45197</v>
      </c>
      <c r="D146" s="161" t="s">
        <v>9</v>
      </c>
      <c r="E146" s="161" t="s">
        <v>1816</v>
      </c>
      <c r="F146" s="207">
        <v>150</v>
      </c>
      <c r="G146" s="222">
        <v>125</v>
      </c>
      <c r="H146" s="222">
        <v>-25</v>
      </c>
      <c r="I146" s="207">
        <v>300</v>
      </c>
      <c r="J146" s="242">
        <f t="shared" si="23"/>
        <v>-7500</v>
      </c>
      <c r="K146" s="153"/>
      <c r="V146" s="25">
        <f t="shared" si="24"/>
        <v>0</v>
      </c>
      <c r="W146" s="25">
        <f t="shared" si="25"/>
        <v>1</v>
      </c>
    </row>
    <row r="147" spans="1:23" x14ac:dyDescent="0.3">
      <c r="A147" s="147"/>
      <c r="B147" s="205">
        <f t="shared" si="26"/>
        <v>22</v>
      </c>
      <c r="C147" s="206">
        <v>45197</v>
      </c>
      <c r="D147" s="161" t="s">
        <v>9</v>
      </c>
      <c r="E147" s="161" t="s">
        <v>1817</v>
      </c>
      <c r="F147" s="207">
        <v>150</v>
      </c>
      <c r="G147" s="222">
        <v>165</v>
      </c>
      <c r="H147" s="222">
        <v>15</v>
      </c>
      <c r="I147" s="207">
        <v>300</v>
      </c>
      <c r="J147" s="242">
        <f t="shared" si="23"/>
        <v>4500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23</v>
      </c>
      <c r="C148" s="206">
        <v>45198</v>
      </c>
      <c r="D148" s="161" t="s">
        <v>9</v>
      </c>
      <c r="E148" s="161" t="s">
        <v>4365</v>
      </c>
      <c r="F148" s="207">
        <v>140</v>
      </c>
      <c r="G148" s="222">
        <v>190</v>
      </c>
      <c r="H148" s="161">
        <v>50</v>
      </c>
      <c r="I148" s="207">
        <v>300</v>
      </c>
      <c r="J148" s="242">
        <f t="shared" si="23"/>
        <v>15000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3"/>
        <v>0</v>
      </c>
      <c r="K149" s="153"/>
      <c r="V149" s="25">
        <f t="shared" si="24"/>
        <v>0</v>
      </c>
      <c r="W149" s="25">
        <f t="shared" si="25"/>
        <v>0</v>
      </c>
    </row>
    <row r="150" spans="1:23" x14ac:dyDescent="0.3">
      <c r="A150" s="147"/>
      <c r="B150" s="205">
        <f t="shared" si="26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3"/>
        <v>0</v>
      </c>
      <c r="K150" s="153"/>
      <c r="V150" s="25">
        <f t="shared" si="24"/>
        <v>0</v>
      </c>
      <c r="W150" s="25">
        <f t="shared" si="25"/>
        <v>0</v>
      </c>
    </row>
    <row r="151" spans="1:23" x14ac:dyDescent="0.3">
      <c r="A151" s="147"/>
      <c r="B151" s="205">
        <f t="shared" si="26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3"/>
        <v>0</v>
      </c>
      <c r="K151" s="153"/>
      <c r="V151" s="25">
        <f t="shared" si="24"/>
        <v>0</v>
      </c>
      <c r="W151" s="25">
        <f t="shared" si="25"/>
        <v>0</v>
      </c>
    </row>
    <row r="152" spans="1:23" ht="15" thickBot="1" x14ac:dyDescent="0.35">
      <c r="A152" s="147"/>
      <c r="B152" s="205">
        <f t="shared" si="26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3"/>
        <v>0</v>
      </c>
      <c r="K152" s="153"/>
      <c r="V152" s="25">
        <f t="shared" si="24"/>
        <v>0</v>
      </c>
      <c r="W152" s="25">
        <f t="shared" si="25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122100</v>
      </c>
      <c r="K153" s="153"/>
      <c r="V153" s="25">
        <f>SUM(V126:V152)</f>
        <v>18</v>
      </c>
      <c r="W153" s="25">
        <f>SUM(W126:W152)</f>
        <v>5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4332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2367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45170</v>
      </c>
      <c r="D161" s="185" t="s">
        <v>9</v>
      </c>
      <c r="E161" s="185" t="s">
        <v>301</v>
      </c>
      <c r="F161" s="219">
        <v>44150</v>
      </c>
      <c r="G161" s="231">
        <v>44450</v>
      </c>
      <c r="H161" s="185">
        <v>300</v>
      </c>
      <c r="I161" s="219">
        <v>60</v>
      </c>
      <c r="J161" s="246">
        <f t="shared" ref="J161:J186" si="27">I161*H161</f>
        <v>18000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45173</v>
      </c>
      <c r="D162" s="185" t="s">
        <v>8</v>
      </c>
      <c r="E162" s="185" t="s">
        <v>301</v>
      </c>
      <c r="F162" s="219">
        <v>44550</v>
      </c>
      <c r="G162" s="219">
        <v>44700</v>
      </c>
      <c r="H162" s="185">
        <v>-150</v>
      </c>
      <c r="I162" s="219">
        <v>60</v>
      </c>
      <c r="J162" s="242">
        <f t="shared" si="27"/>
        <v>-9000</v>
      </c>
      <c r="K162" s="153"/>
      <c r="V162" s="25">
        <f t="shared" ref="V162:V186" si="28">IF($J162&gt;0,1,0)</f>
        <v>0</v>
      </c>
      <c r="W162" s="25">
        <f t="shared" ref="W162:W186" si="29">IF($J162&lt;0,1,0)</f>
        <v>1</v>
      </c>
    </row>
    <row r="163" spans="1:23" x14ac:dyDescent="0.3">
      <c r="A163" s="147"/>
      <c r="B163" s="205">
        <f t="shared" ref="B163:B186" si="30">B162+1</f>
        <v>3</v>
      </c>
      <c r="C163" s="206">
        <v>45174</v>
      </c>
      <c r="D163" s="161" t="s">
        <v>8</v>
      </c>
      <c r="E163" s="161" t="s">
        <v>301</v>
      </c>
      <c r="F163" s="207">
        <v>44700</v>
      </c>
      <c r="G163" s="207">
        <v>44610</v>
      </c>
      <c r="H163" s="161">
        <f>44700-44610</f>
        <v>90</v>
      </c>
      <c r="I163" s="207">
        <v>60</v>
      </c>
      <c r="J163" s="242">
        <f t="shared" si="27"/>
        <v>5400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4</v>
      </c>
      <c r="C164" s="206">
        <v>45175</v>
      </c>
      <c r="D164" s="161" t="s">
        <v>8</v>
      </c>
      <c r="E164" s="161" t="s">
        <v>301</v>
      </c>
      <c r="F164" s="207">
        <v>44650</v>
      </c>
      <c r="G164" s="207">
        <v>44500</v>
      </c>
      <c r="H164" s="161">
        <v>150</v>
      </c>
      <c r="I164" s="207">
        <v>60</v>
      </c>
      <c r="J164" s="242">
        <f t="shared" si="27"/>
        <v>9000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5</v>
      </c>
      <c r="C165" s="206">
        <v>45176</v>
      </c>
      <c r="D165" s="161" t="s">
        <v>8</v>
      </c>
      <c r="E165" s="161" t="s">
        <v>301</v>
      </c>
      <c r="F165" s="207">
        <v>44550</v>
      </c>
      <c r="G165" s="207">
        <v>44700</v>
      </c>
      <c r="H165" s="161">
        <v>-150</v>
      </c>
      <c r="I165" s="207">
        <v>60</v>
      </c>
      <c r="J165" s="242">
        <f t="shared" si="27"/>
        <v>-9000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6</v>
      </c>
      <c r="C166" s="206">
        <v>45176</v>
      </c>
      <c r="D166" s="161" t="s">
        <v>9</v>
      </c>
      <c r="E166" s="161" t="s">
        <v>301</v>
      </c>
      <c r="F166" s="207">
        <v>44700</v>
      </c>
      <c r="G166" s="207">
        <v>45000</v>
      </c>
      <c r="H166" s="161">
        <f>45000-44700</f>
        <v>300</v>
      </c>
      <c r="I166" s="207">
        <v>60</v>
      </c>
      <c r="J166" s="242">
        <f t="shared" si="27"/>
        <v>18000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7</v>
      </c>
      <c r="C167" s="206">
        <v>45177</v>
      </c>
      <c r="D167" s="161" t="s">
        <v>9</v>
      </c>
      <c r="E167" s="161" t="s">
        <v>301</v>
      </c>
      <c r="F167" s="207">
        <v>45350</v>
      </c>
      <c r="G167" s="207">
        <v>45545</v>
      </c>
      <c r="H167" s="161">
        <f>45545-45350</f>
        <v>195</v>
      </c>
      <c r="I167" s="207">
        <v>60</v>
      </c>
      <c r="J167" s="242">
        <f t="shared" si="27"/>
        <v>11700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8</v>
      </c>
      <c r="C168" s="206">
        <v>45180</v>
      </c>
      <c r="D168" s="161" t="s">
        <v>9</v>
      </c>
      <c r="E168" s="161" t="s">
        <v>301</v>
      </c>
      <c r="F168" s="207">
        <v>45550</v>
      </c>
      <c r="G168" s="207">
        <v>45760</v>
      </c>
      <c r="H168" s="161">
        <f>45760-45550</f>
        <v>210</v>
      </c>
      <c r="I168" s="207">
        <v>60</v>
      </c>
      <c r="J168" s="242">
        <f t="shared" si="27"/>
        <v>12600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9</v>
      </c>
      <c r="C169" s="206">
        <v>45181</v>
      </c>
      <c r="D169" s="161" t="s">
        <v>8</v>
      </c>
      <c r="E169" s="161" t="s">
        <v>301</v>
      </c>
      <c r="F169" s="207">
        <v>45750</v>
      </c>
      <c r="G169" s="207">
        <v>45600</v>
      </c>
      <c r="H169" s="161">
        <f>45750-45600</f>
        <v>150</v>
      </c>
      <c r="I169" s="207">
        <v>60</v>
      </c>
      <c r="J169" s="242">
        <f t="shared" si="27"/>
        <v>9000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10</v>
      </c>
      <c r="C170" s="206">
        <v>45182</v>
      </c>
      <c r="D170" s="161" t="s">
        <v>8</v>
      </c>
      <c r="E170" s="161" t="s">
        <v>301</v>
      </c>
      <c r="F170" s="207">
        <v>45500</v>
      </c>
      <c r="G170" s="207">
        <v>45650</v>
      </c>
      <c r="H170" s="161">
        <v>-150</v>
      </c>
      <c r="I170" s="207">
        <v>60</v>
      </c>
      <c r="J170" s="242">
        <f t="shared" si="27"/>
        <v>-9000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11</v>
      </c>
      <c r="C171" s="206">
        <v>45183</v>
      </c>
      <c r="D171" s="161" t="s">
        <v>8</v>
      </c>
      <c r="E171" s="161" t="s">
        <v>301</v>
      </c>
      <c r="F171" s="207">
        <v>46050</v>
      </c>
      <c r="G171" s="207">
        <v>45900</v>
      </c>
      <c r="H171" s="161">
        <v>150</v>
      </c>
      <c r="I171" s="207">
        <v>60</v>
      </c>
      <c r="J171" s="242">
        <f t="shared" si="27"/>
        <v>9000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12</v>
      </c>
      <c r="C172" s="206">
        <v>45184</v>
      </c>
      <c r="D172" s="161" t="s">
        <v>9</v>
      </c>
      <c r="E172" s="161" t="s">
        <v>301</v>
      </c>
      <c r="F172" s="207">
        <v>46150</v>
      </c>
      <c r="G172" s="207">
        <v>46355</v>
      </c>
      <c r="H172" s="161">
        <f>46355-46150</f>
        <v>205</v>
      </c>
      <c r="I172" s="207">
        <v>60</v>
      </c>
      <c r="J172" s="242">
        <f t="shared" si="27"/>
        <v>12300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13</v>
      </c>
      <c r="C173" s="206">
        <v>45187</v>
      </c>
      <c r="D173" s="161" t="s">
        <v>9</v>
      </c>
      <c r="E173" s="161" t="s">
        <v>301</v>
      </c>
      <c r="F173" s="207">
        <v>46200</v>
      </c>
      <c r="G173" s="207">
        <v>46305</v>
      </c>
      <c r="H173" s="161">
        <f>46305-46200</f>
        <v>105</v>
      </c>
      <c r="I173" s="207">
        <v>60</v>
      </c>
      <c r="J173" s="242">
        <f t="shared" si="27"/>
        <v>6300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14</v>
      </c>
      <c r="C174" s="206">
        <v>45189</v>
      </c>
      <c r="D174" s="161" t="s">
        <v>8</v>
      </c>
      <c r="E174" s="161" t="s">
        <v>301</v>
      </c>
      <c r="F174" s="207">
        <v>45700</v>
      </c>
      <c r="G174" s="207">
        <v>45550</v>
      </c>
      <c r="H174" s="161">
        <v>150</v>
      </c>
      <c r="I174" s="207">
        <v>60</v>
      </c>
      <c r="J174" s="242">
        <f t="shared" si="27"/>
        <v>9000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15</v>
      </c>
      <c r="C175" s="206">
        <v>45190</v>
      </c>
      <c r="D175" s="161" t="s">
        <v>8</v>
      </c>
      <c r="E175" s="161" t="s">
        <v>301</v>
      </c>
      <c r="F175" s="207">
        <v>45250</v>
      </c>
      <c r="G175" s="207">
        <v>44950</v>
      </c>
      <c r="H175" s="161">
        <v>300</v>
      </c>
      <c r="I175" s="207">
        <v>60</v>
      </c>
      <c r="J175" s="242">
        <f t="shared" si="27"/>
        <v>18000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16</v>
      </c>
      <c r="C176" s="206">
        <v>45191</v>
      </c>
      <c r="D176" s="161" t="s">
        <v>8</v>
      </c>
      <c r="E176" s="161" t="s">
        <v>301</v>
      </c>
      <c r="F176" s="207">
        <v>44700</v>
      </c>
      <c r="G176" s="207">
        <v>44600</v>
      </c>
      <c r="H176" s="161">
        <v>100</v>
      </c>
      <c r="I176" s="207">
        <v>60</v>
      </c>
      <c r="J176" s="242">
        <f t="shared" si="27"/>
        <v>6000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17</v>
      </c>
      <c r="C177" s="206">
        <v>45194</v>
      </c>
      <c r="D177" s="161" t="s">
        <v>8</v>
      </c>
      <c r="E177" s="161" t="s">
        <v>301</v>
      </c>
      <c r="F177" s="207">
        <v>44650</v>
      </c>
      <c r="G177" s="207">
        <v>44500</v>
      </c>
      <c r="H177" s="161">
        <v>150</v>
      </c>
      <c r="I177" s="207">
        <v>60</v>
      </c>
      <c r="J177" s="242">
        <f t="shared" si="27"/>
        <v>9000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18</v>
      </c>
      <c r="C178" s="206">
        <v>45195</v>
      </c>
      <c r="D178" s="161" t="s">
        <v>8</v>
      </c>
      <c r="E178" s="161" t="s">
        <v>301</v>
      </c>
      <c r="F178" s="207">
        <v>44700</v>
      </c>
      <c r="G178" s="207">
        <v>44550</v>
      </c>
      <c r="H178" s="161">
        <f>44700-44550</f>
        <v>150</v>
      </c>
      <c r="I178" s="207">
        <v>60</v>
      </c>
      <c r="J178" s="242">
        <f t="shared" si="27"/>
        <v>9000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19</v>
      </c>
      <c r="C179" s="206">
        <v>45196</v>
      </c>
      <c r="D179" s="161" t="s">
        <v>8</v>
      </c>
      <c r="E179" s="161" t="s">
        <v>301</v>
      </c>
      <c r="F179" s="207">
        <v>44250</v>
      </c>
      <c r="G179" s="207">
        <v>44190</v>
      </c>
      <c r="H179" s="161">
        <f>44250-44190</f>
        <v>60</v>
      </c>
      <c r="I179" s="207">
        <v>60</v>
      </c>
      <c r="J179" s="242">
        <f t="shared" si="27"/>
        <v>3600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20</v>
      </c>
      <c r="C180" s="206">
        <v>45197</v>
      </c>
      <c r="D180" s="161" t="s">
        <v>9</v>
      </c>
      <c r="E180" s="161" t="s">
        <v>301</v>
      </c>
      <c r="F180" s="207">
        <v>44650</v>
      </c>
      <c r="G180" s="207">
        <v>44710</v>
      </c>
      <c r="H180" s="161">
        <f>44710-44650</f>
        <v>60</v>
      </c>
      <c r="I180" s="207">
        <v>60</v>
      </c>
      <c r="J180" s="242">
        <f t="shared" si="27"/>
        <v>3600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21</v>
      </c>
      <c r="C181" s="206">
        <v>45198</v>
      </c>
      <c r="D181" s="161" t="s">
        <v>9</v>
      </c>
      <c r="E181" s="161" t="s">
        <v>301</v>
      </c>
      <c r="F181" s="207">
        <v>44850</v>
      </c>
      <c r="G181" s="207">
        <v>44998</v>
      </c>
      <c r="H181" s="161">
        <f>44998-44850</f>
        <v>148</v>
      </c>
      <c r="I181" s="207">
        <v>60</v>
      </c>
      <c r="J181" s="242">
        <f t="shared" si="27"/>
        <v>8880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7"/>
        <v>0</v>
      </c>
      <c r="K182" s="153"/>
      <c r="V182" s="25">
        <f t="shared" si="28"/>
        <v>0</v>
      </c>
      <c r="W182" s="25">
        <f t="shared" si="29"/>
        <v>0</v>
      </c>
    </row>
    <row r="183" spans="1:23" x14ac:dyDescent="0.3">
      <c r="A183" s="147"/>
      <c r="B183" s="205">
        <f t="shared" si="30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7"/>
        <v>0</v>
      </c>
      <c r="K183" s="153"/>
      <c r="V183" s="25">
        <f t="shared" si="28"/>
        <v>0</v>
      </c>
      <c r="W183" s="25">
        <f t="shared" si="29"/>
        <v>0</v>
      </c>
    </row>
    <row r="184" spans="1:23" x14ac:dyDescent="0.3">
      <c r="A184" s="147"/>
      <c r="B184" s="205">
        <f t="shared" si="30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7"/>
        <v>0</v>
      </c>
      <c r="K184" s="153"/>
      <c r="V184" s="25">
        <f t="shared" si="28"/>
        <v>0</v>
      </c>
      <c r="W184" s="25">
        <f t="shared" si="29"/>
        <v>0</v>
      </c>
    </row>
    <row r="185" spans="1:23" x14ac:dyDescent="0.3">
      <c r="A185" s="147"/>
      <c r="B185" s="205">
        <f t="shared" si="30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7"/>
        <v>0</v>
      </c>
      <c r="K185" s="153"/>
      <c r="V185" s="25">
        <f t="shared" si="28"/>
        <v>0</v>
      </c>
      <c r="W185" s="25">
        <f t="shared" si="29"/>
        <v>0</v>
      </c>
    </row>
    <row r="186" spans="1:23" ht="15" thickBot="1" x14ac:dyDescent="0.35">
      <c r="A186" s="147"/>
      <c r="B186" s="205">
        <f t="shared" si="30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7"/>
        <v>0</v>
      </c>
      <c r="K186" s="153"/>
      <c r="V186" s="25">
        <f t="shared" si="28"/>
        <v>0</v>
      </c>
      <c r="W186" s="25">
        <f t="shared" si="29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151380</v>
      </c>
      <c r="K187" s="153"/>
      <c r="V187" s="25">
        <f>SUM(V161:V186)</f>
        <v>18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4334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1152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45170</v>
      </c>
      <c r="D195" s="185" t="s">
        <v>9</v>
      </c>
      <c r="E195" s="185" t="s">
        <v>4040</v>
      </c>
      <c r="F195" s="231">
        <v>300</v>
      </c>
      <c r="G195" s="231">
        <v>500</v>
      </c>
      <c r="H195" s="231">
        <v>200</v>
      </c>
      <c r="I195" s="219">
        <v>120</v>
      </c>
      <c r="J195" s="246">
        <f t="shared" ref="J195:J220" si="31">I195*H195</f>
        <v>24000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45173</v>
      </c>
      <c r="D196" s="185" t="s">
        <v>9</v>
      </c>
      <c r="E196" s="185" t="s">
        <v>4321</v>
      </c>
      <c r="F196" s="231">
        <v>350</v>
      </c>
      <c r="G196" s="231">
        <v>250</v>
      </c>
      <c r="H196" s="231">
        <v>-100</v>
      </c>
      <c r="I196" s="219">
        <v>120</v>
      </c>
      <c r="J196" s="242">
        <f t="shared" si="31"/>
        <v>-12000</v>
      </c>
      <c r="K196" s="153"/>
      <c r="V196" s="25">
        <f t="shared" ref="V196:V220" si="32">IF($J196&gt;0,1,0)</f>
        <v>0</v>
      </c>
      <c r="W196" s="25">
        <f t="shared" ref="W196:W220" si="33">IF($J196&lt;0,1,0)</f>
        <v>1</v>
      </c>
    </row>
    <row r="197" spans="1:23" x14ac:dyDescent="0.3">
      <c r="A197" s="147"/>
      <c r="B197" s="205">
        <f t="shared" ref="B197:B216" si="34">B196+1</f>
        <v>3</v>
      </c>
      <c r="C197" s="206">
        <v>45173</v>
      </c>
      <c r="D197" s="161" t="s">
        <v>9</v>
      </c>
      <c r="E197" s="161" t="s">
        <v>4328</v>
      </c>
      <c r="F197" s="222">
        <v>320</v>
      </c>
      <c r="G197" s="222">
        <v>385</v>
      </c>
      <c r="H197" s="222">
        <f>385-320</f>
        <v>65</v>
      </c>
      <c r="I197" s="207">
        <v>120</v>
      </c>
      <c r="J197" s="242">
        <f t="shared" si="31"/>
        <v>7800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4</v>
      </c>
      <c r="C198" s="206">
        <v>45174</v>
      </c>
      <c r="D198" s="161" t="s">
        <v>9</v>
      </c>
      <c r="E198" s="161" t="s">
        <v>4215</v>
      </c>
      <c r="F198" s="222">
        <v>300</v>
      </c>
      <c r="G198" s="222">
        <v>335</v>
      </c>
      <c r="H198" s="222">
        <v>35</v>
      </c>
      <c r="I198" s="207">
        <v>120</v>
      </c>
      <c r="J198" s="242">
        <f t="shared" si="31"/>
        <v>4200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5</v>
      </c>
      <c r="C199" s="206">
        <v>45175</v>
      </c>
      <c r="D199" s="161" t="s">
        <v>9</v>
      </c>
      <c r="E199" s="161" t="s">
        <v>4339</v>
      </c>
      <c r="F199" s="222">
        <v>300</v>
      </c>
      <c r="G199" s="222">
        <v>450</v>
      </c>
      <c r="H199" s="222">
        <v>150</v>
      </c>
      <c r="I199" s="207">
        <v>120</v>
      </c>
      <c r="J199" s="242">
        <f t="shared" si="31"/>
        <v>18000</v>
      </c>
      <c r="K199" s="153"/>
      <c r="O199" s="25" t="s">
        <v>2008</v>
      </c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6</v>
      </c>
      <c r="C200" s="206">
        <v>45176</v>
      </c>
      <c r="D200" s="161" t="s">
        <v>9</v>
      </c>
      <c r="E200" s="161" t="s">
        <v>4250</v>
      </c>
      <c r="F200" s="222">
        <v>320</v>
      </c>
      <c r="G200" s="222">
        <v>520</v>
      </c>
      <c r="H200" s="222">
        <v>200</v>
      </c>
      <c r="I200" s="207">
        <v>120</v>
      </c>
      <c r="J200" s="242">
        <f t="shared" si="31"/>
        <v>24000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7</v>
      </c>
      <c r="C201" s="206">
        <v>45177</v>
      </c>
      <c r="D201" s="161" t="s">
        <v>9</v>
      </c>
      <c r="E201" s="161" t="s">
        <v>4267</v>
      </c>
      <c r="F201" s="222">
        <v>320</v>
      </c>
      <c r="G201" s="222">
        <v>220</v>
      </c>
      <c r="H201" s="222">
        <v>-100</v>
      </c>
      <c r="I201" s="207">
        <v>120</v>
      </c>
      <c r="J201" s="242">
        <f t="shared" si="31"/>
        <v>-12000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8</v>
      </c>
      <c r="C202" s="206">
        <v>45177</v>
      </c>
      <c r="D202" s="161" t="s">
        <v>9</v>
      </c>
      <c r="E202" s="161" t="s">
        <v>4342</v>
      </c>
      <c r="F202" s="222">
        <v>300</v>
      </c>
      <c r="G202" s="222">
        <v>400</v>
      </c>
      <c r="H202" s="222">
        <v>100</v>
      </c>
      <c r="I202" s="207">
        <v>120</v>
      </c>
      <c r="J202" s="242">
        <f t="shared" si="31"/>
        <v>12000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9</v>
      </c>
      <c r="C203" s="206">
        <v>45180</v>
      </c>
      <c r="D203" s="161" t="s">
        <v>9</v>
      </c>
      <c r="E203" s="161" t="s">
        <v>4255</v>
      </c>
      <c r="F203" s="222">
        <v>330</v>
      </c>
      <c r="G203" s="222">
        <v>430</v>
      </c>
      <c r="H203" s="255">
        <v>100</v>
      </c>
      <c r="I203" s="207">
        <v>120</v>
      </c>
      <c r="J203" s="242">
        <f t="shared" si="31"/>
        <v>12000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10</v>
      </c>
      <c r="C204" s="206">
        <v>45181</v>
      </c>
      <c r="D204" s="161" t="s">
        <v>9</v>
      </c>
      <c r="E204" s="161" t="s">
        <v>4347</v>
      </c>
      <c r="F204" s="222">
        <v>350</v>
      </c>
      <c r="G204" s="222">
        <v>250</v>
      </c>
      <c r="H204" s="255">
        <v>-100</v>
      </c>
      <c r="I204" s="207">
        <v>120</v>
      </c>
      <c r="J204" s="242">
        <f t="shared" si="31"/>
        <v>-12000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11</v>
      </c>
      <c r="C205" s="206">
        <v>45182</v>
      </c>
      <c r="D205" s="161" t="s">
        <v>9</v>
      </c>
      <c r="E205" s="161" t="s">
        <v>4348</v>
      </c>
      <c r="F205" s="222">
        <v>310</v>
      </c>
      <c r="G205" s="222">
        <v>210</v>
      </c>
      <c r="H205" s="255">
        <v>-100</v>
      </c>
      <c r="I205" s="207">
        <v>120</v>
      </c>
      <c r="J205" s="242">
        <f t="shared" si="31"/>
        <v>-12000</v>
      </c>
      <c r="K205" s="153"/>
      <c r="V205" s="25">
        <f t="shared" si="32"/>
        <v>0</v>
      </c>
      <c r="W205" s="25">
        <f t="shared" si="33"/>
        <v>1</v>
      </c>
    </row>
    <row r="206" spans="1:23" x14ac:dyDescent="0.3">
      <c r="A206" s="147"/>
      <c r="B206" s="205">
        <f t="shared" si="34"/>
        <v>12</v>
      </c>
      <c r="C206" s="206">
        <v>45183</v>
      </c>
      <c r="D206" s="161" t="s">
        <v>9</v>
      </c>
      <c r="E206" s="161" t="s">
        <v>4348</v>
      </c>
      <c r="F206" s="222">
        <v>350</v>
      </c>
      <c r="G206" s="222">
        <v>390</v>
      </c>
      <c r="H206" s="255">
        <v>40</v>
      </c>
      <c r="I206" s="207">
        <v>120</v>
      </c>
      <c r="J206" s="242">
        <f t="shared" si="31"/>
        <v>4800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13</v>
      </c>
      <c r="C207" s="206">
        <v>45184</v>
      </c>
      <c r="D207" s="161" t="s">
        <v>9</v>
      </c>
      <c r="E207" s="161" t="s">
        <v>4352</v>
      </c>
      <c r="F207" s="222">
        <v>310</v>
      </c>
      <c r="G207" s="222">
        <v>443</v>
      </c>
      <c r="H207" s="255">
        <f>443-310</f>
        <v>133</v>
      </c>
      <c r="I207" s="207">
        <v>120</v>
      </c>
      <c r="J207" s="242">
        <f t="shared" si="31"/>
        <v>15960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14</v>
      </c>
      <c r="C208" s="206">
        <v>45187</v>
      </c>
      <c r="D208" s="161" t="s">
        <v>9</v>
      </c>
      <c r="E208" s="161" t="s">
        <v>4356</v>
      </c>
      <c r="F208" s="207">
        <v>330</v>
      </c>
      <c r="G208" s="207">
        <v>400</v>
      </c>
      <c r="H208" s="161">
        <f>400-330</f>
        <v>70</v>
      </c>
      <c r="I208" s="207">
        <v>120</v>
      </c>
      <c r="J208" s="242">
        <f t="shared" si="31"/>
        <v>8400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15</v>
      </c>
      <c r="C209" s="206">
        <v>45189</v>
      </c>
      <c r="D209" s="161" t="s">
        <v>9</v>
      </c>
      <c r="E209" s="161" t="s">
        <v>4357</v>
      </c>
      <c r="F209" s="207">
        <v>330</v>
      </c>
      <c r="G209" s="207">
        <v>469</v>
      </c>
      <c r="H209" s="161">
        <f>469-330</f>
        <v>139</v>
      </c>
      <c r="I209" s="207">
        <v>120</v>
      </c>
      <c r="J209" s="242">
        <f t="shared" si="31"/>
        <v>16680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16</v>
      </c>
      <c r="C210" s="206">
        <v>45190</v>
      </c>
      <c r="D210" s="161" t="s">
        <v>9</v>
      </c>
      <c r="E210" s="161" t="s">
        <v>4358</v>
      </c>
      <c r="F210" s="207">
        <v>310</v>
      </c>
      <c r="G210" s="207">
        <v>510</v>
      </c>
      <c r="H210" s="161">
        <v>200</v>
      </c>
      <c r="I210" s="207">
        <v>120</v>
      </c>
      <c r="J210" s="242">
        <f t="shared" si="31"/>
        <v>24000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17</v>
      </c>
      <c r="C211" s="206">
        <v>45191</v>
      </c>
      <c r="D211" s="161" t="s">
        <v>9</v>
      </c>
      <c r="E211" s="161" t="s">
        <v>4339</v>
      </c>
      <c r="F211" s="207">
        <v>310</v>
      </c>
      <c r="G211" s="207">
        <v>210</v>
      </c>
      <c r="H211" s="161">
        <v>-100</v>
      </c>
      <c r="I211" s="207">
        <v>120</v>
      </c>
      <c r="J211" s="242">
        <f t="shared" si="31"/>
        <v>-12000</v>
      </c>
      <c r="K211" s="153"/>
      <c r="V211" s="25">
        <f t="shared" si="32"/>
        <v>0</v>
      </c>
      <c r="W211" s="25">
        <f t="shared" si="33"/>
        <v>1</v>
      </c>
    </row>
    <row r="212" spans="1:23" x14ac:dyDescent="0.3">
      <c r="A212" s="147"/>
      <c r="B212" s="205">
        <f t="shared" si="34"/>
        <v>18</v>
      </c>
      <c r="C212" s="206">
        <v>45191</v>
      </c>
      <c r="D212" s="161" t="s">
        <v>9</v>
      </c>
      <c r="E212" s="161" t="s">
        <v>4361</v>
      </c>
      <c r="F212" s="207">
        <v>300</v>
      </c>
      <c r="G212" s="207">
        <v>370</v>
      </c>
      <c r="H212" s="161">
        <v>70</v>
      </c>
      <c r="I212" s="207">
        <v>120</v>
      </c>
      <c r="J212" s="242">
        <f t="shared" si="31"/>
        <v>8400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19</v>
      </c>
      <c r="C213" s="206">
        <v>45194</v>
      </c>
      <c r="D213" s="161" t="s">
        <v>9</v>
      </c>
      <c r="E213" s="161" t="s">
        <v>4339</v>
      </c>
      <c r="F213" s="207">
        <v>350</v>
      </c>
      <c r="G213" s="207">
        <v>380</v>
      </c>
      <c r="H213" s="161">
        <v>30</v>
      </c>
      <c r="I213" s="207">
        <v>120</v>
      </c>
      <c r="J213" s="161">
        <f t="shared" si="31"/>
        <v>3600</v>
      </c>
      <c r="K213" s="153"/>
      <c r="V213" s="25">
        <f t="shared" si="32"/>
        <v>1</v>
      </c>
      <c r="W213" s="25">
        <f t="shared" si="33"/>
        <v>0</v>
      </c>
    </row>
    <row r="214" spans="1:23" x14ac:dyDescent="0.3">
      <c r="A214" s="147"/>
      <c r="B214" s="205">
        <f t="shared" si="34"/>
        <v>20</v>
      </c>
      <c r="C214" s="206">
        <v>45194</v>
      </c>
      <c r="D214" s="161" t="s">
        <v>9</v>
      </c>
      <c r="E214" s="161" t="s">
        <v>4361</v>
      </c>
      <c r="F214" s="207">
        <v>320</v>
      </c>
      <c r="G214" s="207">
        <v>275</v>
      </c>
      <c r="H214" s="161">
        <v>-45</v>
      </c>
      <c r="I214" s="207">
        <v>120</v>
      </c>
      <c r="J214" s="161">
        <f t="shared" si="31"/>
        <v>-5400</v>
      </c>
      <c r="K214" s="153"/>
      <c r="V214" s="25">
        <f t="shared" si="32"/>
        <v>0</v>
      </c>
      <c r="W214" s="25">
        <f t="shared" si="33"/>
        <v>1</v>
      </c>
    </row>
    <row r="215" spans="1:23" x14ac:dyDescent="0.3">
      <c r="A215" s="147"/>
      <c r="B215" s="205">
        <f t="shared" si="34"/>
        <v>21</v>
      </c>
      <c r="C215" s="206">
        <v>45195</v>
      </c>
      <c r="D215" s="161" t="s">
        <v>9</v>
      </c>
      <c r="E215" s="161" t="s">
        <v>4366</v>
      </c>
      <c r="F215" s="207">
        <v>320</v>
      </c>
      <c r="G215" s="207">
        <v>420</v>
      </c>
      <c r="H215" s="161">
        <v>100</v>
      </c>
      <c r="I215" s="207">
        <v>120</v>
      </c>
      <c r="J215" s="161">
        <f t="shared" si="31"/>
        <v>12000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22</v>
      </c>
      <c r="C216" s="206">
        <v>45196</v>
      </c>
      <c r="D216" s="161" t="s">
        <v>9</v>
      </c>
      <c r="E216" s="161" t="s">
        <v>4321</v>
      </c>
      <c r="F216" s="207">
        <v>300</v>
      </c>
      <c r="G216" s="207">
        <v>200</v>
      </c>
      <c r="H216" s="161">
        <v>-100</v>
      </c>
      <c r="I216" s="207">
        <v>120</v>
      </c>
      <c r="J216" s="161">
        <f t="shared" si="31"/>
        <v>-12000</v>
      </c>
      <c r="K216" s="153"/>
      <c r="T216" s="25" t="s">
        <v>2008</v>
      </c>
      <c r="V216" s="25">
        <f t="shared" si="32"/>
        <v>0</v>
      </c>
      <c r="W216" s="25">
        <f t="shared" si="33"/>
        <v>1</v>
      </c>
    </row>
    <row r="217" spans="1:23" x14ac:dyDescent="0.3">
      <c r="A217" s="147"/>
      <c r="B217" s="269">
        <v>23</v>
      </c>
      <c r="C217" s="264">
        <v>45197</v>
      </c>
      <c r="D217" s="265" t="s">
        <v>9</v>
      </c>
      <c r="E217" s="265" t="s">
        <v>4361</v>
      </c>
      <c r="F217" s="266">
        <v>300</v>
      </c>
      <c r="G217" s="266">
        <v>500</v>
      </c>
      <c r="H217" s="265">
        <v>200</v>
      </c>
      <c r="I217" s="266">
        <v>120</v>
      </c>
      <c r="J217" s="161">
        <f t="shared" si="31"/>
        <v>24000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69">
        <v>24</v>
      </c>
      <c r="C218" s="264">
        <v>45198</v>
      </c>
      <c r="D218" s="265" t="s">
        <v>9</v>
      </c>
      <c r="E218" s="265" t="s">
        <v>4367</v>
      </c>
      <c r="F218" s="266">
        <v>340</v>
      </c>
      <c r="G218" s="266">
        <v>380</v>
      </c>
      <c r="H218" s="265">
        <v>40</v>
      </c>
      <c r="I218" s="266">
        <v>120</v>
      </c>
      <c r="J218" s="161">
        <f t="shared" si="31"/>
        <v>4800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1"/>
        <v>0</v>
      </c>
      <c r="K219" s="153"/>
      <c r="V219" s="25">
        <f t="shared" si="32"/>
        <v>0</v>
      </c>
      <c r="W219" s="25">
        <f t="shared" si="33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1"/>
        <v>0</v>
      </c>
      <c r="K220" s="153"/>
      <c r="V220" s="25">
        <f t="shared" si="32"/>
        <v>0</v>
      </c>
      <c r="W220" s="25">
        <f t="shared" si="33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147240</v>
      </c>
      <c r="K221" s="153"/>
      <c r="V221" s="25">
        <f>SUM(V195:V220)</f>
        <v>17</v>
      </c>
      <c r="W221" s="25">
        <f>SUM(W195:W220)</f>
        <v>7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3906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45170</v>
      </c>
      <c r="D229" s="185" t="s">
        <v>9</v>
      </c>
      <c r="E229" s="185" t="s">
        <v>4335</v>
      </c>
      <c r="F229" s="231">
        <v>125</v>
      </c>
      <c r="G229" s="231">
        <v>144.9</v>
      </c>
      <c r="H229" s="231">
        <f>144.9-125</f>
        <v>19.900000000000006</v>
      </c>
      <c r="I229" s="219">
        <v>300</v>
      </c>
      <c r="J229" s="246">
        <f t="shared" ref="J229:J252" si="35">I229*H229</f>
        <v>5970.0000000000018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45173</v>
      </c>
      <c r="D230" s="185" t="s">
        <v>9</v>
      </c>
      <c r="E230" s="185" t="s">
        <v>4335</v>
      </c>
      <c r="F230" s="231">
        <v>145</v>
      </c>
      <c r="G230" s="231">
        <v>161</v>
      </c>
      <c r="H230" s="231">
        <f>161-145</f>
        <v>16</v>
      </c>
      <c r="I230" s="219">
        <v>300</v>
      </c>
      <c r="J230" s="242">
        <f>I230*H230</f>
        <v>4800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6">B230+1</f>
        <v>3</v>
      </c>
      <c r="C231" s="206">
        <v>45174</v>
      </c>
      <c r="D231" s="161" t="s">
        <v>9</v>
      </c>
      <c r="E231" s="161" t="s">
        <v>4337</v>
      </c>
      <c r="F231" s="222">
        <v>175</v>
      </c>
      <c r="G231" s="222">
        <v>208</v>
      </c>
      <c r="H231" s="222">
        <f>208-175</f>
        <v>33</v>
      </c>
      <c r="I231" s="207">
        <v>200</v>
      </c>
      <c r="J231" s="242">
        <f t="shared" si="35"/>
        <v>6600</v>
      </c>
      <c r="K231" s="153"/>
      <c r="V231" s="25">
        <f t="shared" ref="V231:V252" si="37">IF($J231&gt;0,1,0)</f>
        <v>1</v>
      </c>
      <c r="W231" s="25">
        <f t="shared" ref="W231:W252" si="38">IF($J231&lt;0,1,0)</f>
        <v>0</v>
      </c>
    </row>
    <row r="232" spans="1:23" x14ac:dyDescent="0.3">
      <c r="A232" s="147"/>
      <c r="B232" s="205">
        <f t="shared" si="36"/>
        <v>4</v>
      </c>
      <c r="C232" s="206">
        <v>45175</v>
      </c>
      <c r="D232" s="161" t="s">
        <v>9</v>
      </c>
      <c r="E232" s="161" t="s">
        <v>4338</v>
      </c>
      <c r="F232" s="222">
        <v>58</v>
      </c>
      <c r="G232" s="222">
        <v>64</v>
      </c>
      <c r="H232" s="222">
        <f>64-58</f>
        <v>6</v>
      </c>
      <c r="I232" s="207">
        <v>407</v>
      </c>
      <c r="J232" s="242">
        <f t="shared" si="35"/>
        <v>2442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5</v>
      </c>
      <c r="C233" s="206">
        <v>45176</v>
      </c>
      <c r="D233" s="161" t="s">
        <v>9</v>
      </c>
      <c r="E233" s="161" t="s">
        <v>4340</v>
      </c>
      <c r="F233" s="222">
        <v>115</v>
      </c>
      <c r="G233" s="222">
        <v>148</v>
      </c>
      <c r="H233" s="222">
        <f>148-115</f>
        <v>33</v>
      </c>
      <c r="I233" s="207">
        <v>300</v>
      </c>
      <c r="J233" s="242">
        <f t="shared" si="35"/>
        <v>9900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6</v>
      </c>
      <c r="C234" s="206">
        <v>45177</v>
      </c>
      <c r="D234" s="161" t="s">
        <v>9</v>
      </c>
      <c r="E234" s="161" t="s">
        <v>4341</v>
      </c>
      <c r="F234" s="222">
        <v>3.9</v>
      </c>
      <c r="G234" s="222">
        <v>4.2</v>
      </c>
      <c r="H234" s="222">
        <f>4.2-3.9</f>
        <v>0.30000000000000027</v>
      </c>
      <c r="I234" s="207">
        <v>5700</v>
      </c>
      <c r="J234" s="242">
        <f t="shared" si="35"/>
        <v>1710.0000000000016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7</v>
      </c>
      <c r="C235" s="206">
        <v>45180</v>
      </c>
      <c r="D235" s="161" t="s">
        <v>9</v>
      </c>
      <c r="E235" s="161" t="s">
        <v>4343</v>
      </c>
      <c r="F235" s="222">
        <v>110</v>
      </c>
      <c r="G235" s="222">
        <v>123</v>
      </c>
      <c r="H235" s="222">
        <f>123-110</f>
        <v>13</v>
      </c>
      <c r="I235" s="207">
        <v>125</v>
      </c>
      <c r="J235" s="242">
        <f t="shared" si="35"/>
        <v>1625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8</v>
      </c>
      <c r="C236" s="206">
        <v>45181</v>
      </c>
      <c r="D236" s="161" t="s">
        <v>9</v>
      </c>
      <c r="E236" s="161" t="s">
        <v>4344</v>
      </c>
      <c r="F236" s="222">
        <v>130</v>
      </c>
      <c r="G236" s="222">
        <v>100</v>
      </c>
      <c r="H236" s="222">
        <v>-30</v>
      </c>
      <c r="I236" s="207">
        <v>150</v>
      </c>
      <c r="J236" s="242">
        <f t="shared" si="35"/>
        <v>-4500</v>
      </c>
      <c r="K236" s="153"/>
      <c r="V236" s="25">
        <f t="shared" si="37"/>
        <v>0</v>
      </c>
      <c r="W236" s="25">
        <f t="shared" si="38"/>
        <v>1</v>
      </c>
    </row>
    <row r="237" spans="1:23" x14ac:dyDescent="0.3">
      <c r="A237" s="147"/>
      <c r="B237" s="205">
        <f t="shared" si="36"/>
        <v>9</v>
      </c>
      <c r="C237" s="206">
        <v>45182</v>
      </c>
      <c r="D237" s="161" t="s">
        <v>9</v>
      </c>
      <c r="E237" s="161" t="s">
        <v>4345</v>
      </c>
      <c r="F237" s="222">
        <v>130</v>
      </c>
      <c r="G237" s="222">
        <v>140</v>
      </c>
      <c r="H237" s="255">
        <v>10</v>
      </c>
      <c r="I237" s="207">
        <v>200</v>
      </c>
      <c r="J237" s="242">
        <f t="shared" si="35"/>
        <v>2000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10</v>
      </c>
      <c r="C238" s="206">
        <v>45183</v>
      </c>
      <c r="D238" s="161" t="s">
        <v>9</v>
      </c>
      <c r="E238" s="161" t="s">
        <v>4346</v>
      </c>
      <c r="F238" s="222">
        <v>20</v>
      </c>
      <c r="G238" s="222">
        <v>18</v>
      </c>
      <c r="H238" s="255">
        <v>-2</v>
      </c>
      <c r="I238" s="207">
        <v>400</v>
      </c>
      <c r="J238" s="242">
        <f t="shared" si="35"/>
        <v>-800</v>
      </c>
      <c r="K238" s="153"/>
      <c r="V238" s="25">
        <f t="shared" si="37"/>
        <v>0</v>
      </c>
      <c r="W238" s="25">
        <f t="shared" si="38"/>
        <v>1</v>
      </c>
    </row>
    <row r="239" spans="1:23" x14ac:dyDescent="0.3">
      <c r="A239" s="147"/>
      <c r="B239" s="205">
        <f t="shared" si="36"/>
        <v>11</v>
      </c>
      <c r="C239" s="206">
        <v>45184</v>
      </c>
      <c r="D239" s="161" t="s">
        <v>9</v>
      </c>
      <c r="E239" s="161" t="s">
        <v>4353</v>
      </c>
      <c r="F239" s="222">
        <v>46</v>
      </c>
      <c r="G239" s="222">
        <v>36</v>
      </c>
      <c r="H239" s="255">
        <v>-10</v>
      </c>
      <c r="I239" s="207">
        <v>400</v>
      </c>
      <c r="J239" s="242">
        <f t="shared" si="35"/>
        <v>-4000</v>
      </c>
      <c r="K239" s="153"/>
      <c r="V239" s="25">
        <f t="shared" si="37"/>
        <v>0</v>
      </c>
      <c r="W239" s="25">
        <f t="shared" si="38"/>
        <v>1</v>
      </c>
    </row>
    <row r="240" spans="1:23" x14ac:dyDescent="0.3">
      <c r="A240" s="147"/>
      <c r="B240" s="205">
        <f t="shared" si="36"/>
        <v>12</v>
      </c>
      <c r="C240" s="206">
        <v>45184</v>
      </c>
      <c r="D240" s="161" t="s">
        <v>9</v>
      </c>
      <c r="E240" s="161" t="s">
        <v>4354</v>
      </c>
      <c r="F240" s="222">
        <v>145</v>
      </c>
      <c r="G240" s="222">
        <v>160</v>
      </c>
      <c r="H240" s="255">
        <f>160-145</f>
        <v>15</v>
      </c>
      <c r="I240" s="207">
        <v>200</v>
      </c>
      <c r="J240" s="242">
        <f t="shared" si="35"/>
        <v>3000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13</v>
      </c>
      <c r="C241" s="206">
        <v>45187</v>
      </c>
      <c r="D241" s="161" t="s">
        <v>9</v>
      </c>
      <c r="E241" s="161" t="s">
        <v>4359</v>
      </c>
      <c r="F241" s="222">
        <v>82</v>
      </c>
      <c r="G241" s="222">
        <v>102</v>
      </c>
      <c r="H241" s="255">
        <f>102-82</f>
        <v>20</v>
      </c>
      <c r="I241" s="207">
        <v>300</v>
      </c>
      <c r="J241" s="242">
        <f t="shared" si="35"/>
        <v>6000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14</v>
      </c>
      <c r="C242" s="206">
        <v>45189</v>
      </c>
      <c r="D242" s="161" t="s">
        <v>9</v>
      </c>
      <c r="E242" s="161" t="s">
        <v>4335</v>
      </c>
      <c r="F242" s="222">
        <v>87</v>
      </c>
      <c r="G242" s="222">
        <v>113</v>
      </c>
      <c r="H242" s="255">
        <f>113-87</f>
        <v>26</v>
      </c>
      <c r="I242" s="207">
        <v>300</v>
      </c>
      <c r="J242" s="242">
        <f>I242*H242</f>
        <v>7800</v>
      </c>
      <c r="K242" s="153"/>
      <c r="V242" s="25">
        <f t="shared" si="37"/>
        <v>1</v>
      </c>
      <c r="W242" s="25">
        <f t="shared" si="38"/>
        <v>0</v>
      </c>
    </row>
    <row r="243" spans="1:23" x14ac:dyDescent="0.3">
      <c r="A243" s="147"/>
      <c r="B243" s="205">
        <f t="shared" si="36"/>
        <v>15</v>
      </c>
      <c r="C243" s="206">
        <v>45190</v>
      </c>
      <c r="D243" s="161" t="s">
        <v>9</v>
      </c>
      <c r="E243" s="161" t="s">
        <v>4360</v>
      </c>
      <c r="F243" s="222">
        <v>23</v>
      </c>
      <c r="G243" s="222">
        <v>16</v>
      </c>
      <c r="H243" s="255">
        <v>-7</v>
      </c>
      <c r="I243" s="207">
        <v>550</v>
      </c>
      <c r="J243" s="242">
        <f t="shared" si="35"/>
        <v>-3850</v>
      </c>
      <c r="K243" s="153"/>
      <c r="V243" s="25">
        <f t="shared" si="37"/>
        <v>0</v>
      </c>
      <c r="W243" s="25">
        <f t="shared" si="38"/>
        <v>1</v>
      </c>
    </row>
    <row r="244" spans="1:23" x14ac:dyDescent="0.3">
      <c r="A244" s="147"/>
      <c r="B244" s="205">
        <f t="shared" si="36"/>
        <v>16</v>
      </c>
      <c r="C244" s="206">
        <v>45191</v>
      </c>
      <c r="D244" s="161" t="s">
        <v>9</v>
      </c>
      <c r="E244" s="161" t="s">
        <v>4362</v>
      </c>
      <c r="F244" s="222">
        <v>62</v>
      </c>
      <c r="G244" s="222">
        <v>73.5</v>
      </c>
      <c r="H244" s="222">
        <f>73.5-62</f>
        <v>11.5</v>
      </c>
      <c r="I244" s="207">
        <v>300</v>
      </c>
      <c r="J244" s="242">
        <f t="shared" si="35"/>
        <v>3450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17</v>
      </c>
      <c r="C245" s="206">
        <v>45194</v>
      </c>
      <c r="D245" s="161" t="s">
        <v>9</v>
      </c>
      <c r="E245" s="161" t="s">
        <v>4362</v>
      </c>
      <c r="F245" s="222">
        <v>70</v>
      </c>
      <c r="G245" s="222">
        <v>97</v>
      </c>
      <c r="H245" s="222">
        <f>97-70</f>
        <v>27</v>
      </c>
      <c r="I245" s="207">
        <v>300</v>
      </c>
      <c r="J245" s="242">
        <f t="shared" si="35"/>
        <v>8100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18</v>
      </c>
      <c r="C246" s="206">
        <v>45195</v>
      </c>
      <c r="D246" s="161" t="s">
        <v>9</v>
      </c>
      <c r="E246" s="161" t="s">
        <v>4368</v>
      </c>
      <c r="F246" s="222">
        <v>50</v>
      </c>
      <c r="G246" s="222">
        <v>30</v>
      </c>
      <c r="H246" s="222">
        <v>-20</v>
      </c>
      <c r="I246" s="207">
        <v>300</v>
      </c>
      <c r="J246" s="242">
        <f t="shared" si="35"/>
        <v>-6000</v>
      </c>
      <c r="K246" s="153"/>
      <c r="V246" s="25">
        <f t="shared" si="37"/>
        <v>0</v>
      </c>
      <c r="W246" s="25">
        <f t="shared" si="38"/>
        <v>1</v>
      </c>
    </row>
    <row r="247" spans="1:23" x14ac:dyDescent="0.3">
      <c r="A247" s="147"/>
      <c r="B247" s="205">
        <f t="shared" si="36"/>
        <v>19</v>
      </c>
      <c r="C247" s="206">
        <v>45196</v>
      </c>
      <c r="D247" s="161" t="s">
        <v>9</v>
      </c>
      <c r="E247" s="161" t="s">
        <v>4190</v>
      </c>
      <c r="F247" s="222">
        <v>3.8</v>
      </c>
      <c r="G247" s="222">
        <v>7.8</v>
      </c>
      <c r="H247" s="222">
        <v>4</v>
      </c>
      <c r="I247" s="207">
        <v>700</v>
      </c>
      <c r="J247" s="242">
        <f t="shared" si="35"/>
        <v>2800</v>
      </c>
      <c r="K247" s="153"/>
      <c r="V247" s="25">
        <f t="shared" si="37"/>
        <v>1</v>
      </c>
      <c r="W247" s="25">
        <f t="shared" si="38"/>
        <v>0</v>
      </c>
    </row>
    <row r="248" spans="1:23" x14ac:dyDescent="0.3">
      <c r="A248" s="147"/>
      <c r="B248" s="205">
        <f t="shared" si="36"/>
        <v>20</v>
      </c>
      <c r="C248" s="206">
        <v>45197</v>
      </c>
      <c r="D248" s="161" t="s">
        <v>9</v>
      </c>
      <c r="E248" s="161" t="s">
        <v>4190</v>
      </c>
      <c r="F248" s="222">
        <v>3</v>
      </c>
      <c r="G248" s="222">
        <v>5.6</v>
      </c>
      <c r="H248" s="222">
        <v>2.6</v>
      </c>
      <c r="I248" s="207">
        <v>700</v>
      </c>
      <c r="J248" s="242">
        <f t="shared" si="35"/>
        <v>1820</v>
      </c>
      <c r="K248" s="153"/>
      <c r="V248" s="25">
        <f t="shared" si="37"/>
        <v>1</v>
      </c>
      <c r="W248" s="25">
        <f t="shared" si="38"/>
        <v>0</v>
      </c>
    </row>
    <row r="249" spans="1:23" x14ac:dyDescent="0.3">
      <c r="A249" s="147"/>
      <c r="B249" s="205">
        <f t="shared" si="36"/>
        <v>21</v>
      </c>
      <c r="C249" s="206">
        <v>45198</v>
      </c>
      <c r="D249" s="161" t="s">
        <v>9</v>
      </c>
      <c r="E249" s="161" t="s">
        <v>4369</v>
      </c>
      <c r="F249" s="222">
        <v>39</v>
      </c>
      <c r="G249" s="222">
        <v>38</v>
      </c>
      <c r="H249" s="222">
        <v>-1</v>
      </c>
      <c r="I249" s="207">
        <v>550</v>
      </c>
      <c r="J249" s="242">
        <f t="shared" si="35"/>
        <v>-550</v>
      </c>
      <c r="K249" s="153"/>
      <c r="V249" s="25">
        <f t="shared" si="37"/>
        <v>0</v>
      </c>
      <c r="W249" s="25">
        <f t="shared" si="38"/>
        <v>1</v>
      </c>
    </row>
    <row r="250" spans="1:23" x14ac:dyDescent="0.3">
      <c r="A250" s="147"/>
      <c r="B250" s="205">
        <f t="shared" si="36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5"/>
        <v>0</v>
      </c>
      <c r="K250" s="153"/>
      <c r="V250" s="25">
        <f t="shared" si="37"/>
        <v>0</v>
      </c>
      <c r="W250" s="25">
        <f t="shared" si="38"/>
        <v>0</v>
      </c>
    </row>
    <row r="251" spans="1:23" x14ac:dyDescent="0.3">
      <c r="A251" s="147"/>
      <c r="B251" s="205">
        <f t="shared" si="36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5"/>
        <v>0</v>
      </c>
      <c r="K251" s="153"/>
      <c r="V251" s="25">
        <f t="shared" si="37"/>
        <v>0</v>
      </c>
      <c r="W251" s="25">
        <f t="shared" si="38"/>
        <v>0</v>
      </c>
    </row>
    <row r="252" spans="1:23" ht="15" thickBot="1" x14ac:dyDescent="0.35">
      <c r="A252" s="147"/>
      <c r="B252" s="208">
        <f t="shared" si="36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5"/>
        <v>0</v>
      </c>
      <c r="K252" s="153"/>
      <c r="V252" s="25">
        <f t="shared" si="37"/>
        <v>0</v>
      </c>
      <c r="W252" s="25">
        <f t="shared" si="38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48317</v>
      </c>
      <c r="K253" s="153"/>
      <c r="V253" s="25">
        <f>SUM(V229:V252)</f>
        <v>15</v>
      </c>
      <c r="W253" s="25">
        <f>SUM(W229:W252)</f>
        <v>6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7D00-000000000000}"/>
    <hyperlink ref="B118" r:id="rId2" xr:uid="{00000000-0004-0000-7D00-000001000000}"/>
    <hyperlink ref="B153" r:id="rId3" xr:uid="{00000000-0004-0000-7D00-000002000000}"/>
    <hyperlink ref="B187" r:id="rId4" xr:uid="{00000000-0004-0000-7D00-000003000000}"/>
    <hyperlink ref="B221" r:id="rId5" xr:uid="{00000000-0004-0000-7D00-000004000000}"/>
    <hyperlink ref="B253" r:id="rId6" xr:uid="{00000000-0004-0000-7D00-000005000000}"/>
    <hyperlink ref="M1" location="'MASTER '!A1" display="Back" xr:uid="{00000000-0004-0000-7D00-000006000000}"/>
    <hyperlink ref="M6:M7" location="'JULY 2023'!A77" display="STOCK FUTURE" xr:uid="{00000000-0004-0000-7D00-000007000000}"/>
    <hyperlink ref="M12:M13" location="'JULY 2023'!A170" display="BANK NIFTY" xr:uid="{00000000-0004-0000-7D00-000008000000}"/>
    <hyperlink ref="M10:M11" location="'JULY 2023'!A139" display="NF. OPTION" xr:uid="{00000000-0004-0000-7D00-000009000000}"/>
    <hyperlink ref="M8:M9" location="'JULY 2023'!A108" display="NIFTY FUTURE" xr:uid="{00000000-0004-0000-7D00-00000A000000}"/>
    <hyperlink ref="M4:M5" location="'JUN 2023'!A1" display="CASH" xr:uid="{00000000-0004-0000-7D00-00000B000000}"/>
    <hyperlink ref="M14:M15" location="'JULY 2023'!A201" display="B.NIFTY OPTION" xr:uid="{00000000-0004-0000-7D00-00000C000000}"/>
    <hyperlink ref="M16:M17" location="'JULY 2023'!A216" display="STOCK OPTION" xr:uid="{00000000-0004-0000-7D00-00000D000000}"/>
    <hyperlink ref="B52" r:id="rId7" xr:uid="{00000000-0004-0000-7D00-00000E000000}"/>
  </hyperlinks>
  <pageMargins left="0" right="0" top="0" bottom="0" header="0" footer="0"/>
  <pageSetup scale="95" orientation="portrait" r:id="rId8"/>
  <drawing r:id="rId9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W254"/>
  <sheetViews>
    <sheetView topLeftCell="A188" zoomScaleNormal="100" workbookViewId="0">
      <selection activeCell="M202" sqref="M202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4370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32</v>
      </c>
      <c r="P4" s="386">
        <f>W52</f>
        <v>6</v>
      </c>
      <c r="Q4" s="387">
        <f>N4-O4-P4</f>
        <v>2</v>
      </c>
      <c r="R4" s="380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45202</v>
      </c>
      <c r="D6" s="158" t="s">
        <v>9</v>
      </c>
      <c r="E6" s="158" t="s">
        <v>3562</v>
      </c>
      <c r="F6" s="230">
        <v>5330</v>
      </c>
      <c r="G6" s="222">
        <v>5355</v>
      </c>
      <c r="H6" s="222">
        <f>5355-5330</f>
        <v>25</v>
      </c>
      <c r="I6" s="207">
        <f t="shared" ref="I6:I45" si="0">300000/F6</f>
        <v>56.285178236397748</v>
      </c>
      <c r="J6" s="161">
        <f t="shared" ref="J6" si="1">H6*I6</f>
        <v>1407.1294559099438</v>
      </c>
      <c r="K6" s="153"/>
      <c r="M6" s="394" t="s">
        <v>450</v>
      </c>
      <c r="N6" s="344">
        <f>COUNT(C60:C85)</f>
        <v>20</v>
      </c>
      <c r="O6" s="346">
        <f>V86</f>
        <v>20</v>
      </c>
      <c r="P6" s="346">
        <f>W86</f>
        <v>0</v>
      </c>
      <c r="Q6" s="374">
        <f>N6-O6-P6</f>
        <v>0</v>
      </c>
      <c r="R6" s="376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45202</v>
      </c>
      <c r="D7" s="161" t="s">
        <v>9</v>
      </c>
      <c r="E7" s="161" t="s">
        <v>137</v>
      </c>
      <c r="F7" s="222">
        <v>2485</v>
      </c>
      <c r="G7" s="231">
        <v>2499</v>
      </c>
      <c r="H7" s="255">
        <f>2499-2485</f>
        <v>14</v>
      </c>
      <c r="I7" s="207">
        <f t="shared" si="0"/>
        <v>120.72434607645876</v>
      </c>
      <c r="J7" s="246">
        <f t="shared" ref="J7:J9" si="3">I7*H7</f>
        <v>1690.1408450704225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45203</v>
      </c>
      <c r="D8" s="161" t="s">
        <v>9</v>
      </c>
      <c r="E8" s="161" t="s">
        <v>94</v>
      </c>
      <c r="F8" s="222">
        <v>1520</v>
      </c>
      <c r="G8" s="222">
        <v>1535</v>
      </c>
      <c r="H8" s="222">
        <v>15</v>
      </c>
      <c r="I8" s="207">
        <f t="shared" si="0"/>
        <v>197.36842105263159</v>
      </c>
      <c r="J8" s="246">
        <f t="shared" si="3"/>
        <v>2960.5263157894738</v>
      </c>
      <c r="K8" s="153"/>
      <c r="M8" s="394" t="s">
        <v>451</v>
      </c>
      <c r="N8" s="344">
        <f>COUNT(C94:C117)</f>
        <v>21</v>
      </c>
      <c r="O8" s="346">
        <f>V118</f>
        <v>20</v>
      </c>
      <c r="P8" s="346">
        <f>W118</f>
        <v>0</v>
      </c>
      <c r="Q8" s="374">
        <f>N8-O8-P8</f>
        <v>1</v>
      </c>
      <c r="R8" s="376">
        <f t="shared" ref="R8" si="7">O8/N8</f>
        <v>0.95238095238095233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45203</v>
      </c>
      <c r="D9" s="161" t="s">
        <v>9</v>
      </c>
      <c r="E9" s="161" t="s">
        <v>48</v>
      </c>
      <c r="F9" s="222">
        <v>216</v>
      </c>
      <c r="G9" s="231">
        <v>217</v>
      </c>
      <c r="H9" s="255">
        <v>1</v>
      </c>
      <c r="I9" s="207">
        <f t="shared" si="0"/>
        <v>1388.8888888888889</v>
      </c>
      <c r="J9" s="246">
        <f t="shared" si="3"/>
        <v>1388.8888888888889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45204</v>
      </c>
      <c r="D10" s="161" t="s">
        <v>9</v>
      </c>
      <c r="E10" s="161" t="s">
        <v>3773</v>
      </c>
      <c r="F10" s="222">
        <v>504</v>
      </c>
      <c r="G10" s="222">
        <v>512</v>
      </c>
      <c r="H10" s="222">
        <f>512-504</f>
        <v>8</v>
      </c>
      <c r="I10" s="207">
        <f t="shared" si="0"/>
        <v>595.23809523809518</v>
      </c>
      <c r="J10" s="161">
        <f t="shared" ref="J10:J48" si="8">H10*I10</f>
        <v>4761.9047619047615</v>
      </c>
      <c r="K10" s="153"/>
      <c r="M10" s="394" t="s">
        <v>1176</v>
      </c>
      <c r="N10" s="344">
        <f>COUNT(C126:C152)</f>
        <v>20</v>
      </c>
      <c r="O10" s="346">
        <f>V153</f>
        <v>19</v>
      </c>
      <c r="P10" s="346">
        <f>W153</f>
        <v>1</v>
      </c>
      <c r="Q10" s="374">
        <f>N10-O10-P10</f>
        <v>0</v>
      </c>
      <c r="R10" s="376">
        <f t="shared" ref="R10:R16" si="9">O10/N10</f>
        <v>0.95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45204</v>
      </c>
      <c r="D11" s="161" t="s">
        <v>9</v>
      </c>
      <c r="E11" s="161" t="s">
        <v>3436</v>
      </c>
      <c r="F11" s="222">
        <v>720</v>
      </c>
      <c r="G11" s="222">
        <v>726.5</v>
      </c>
      <c r="H11" s="255">
        <v>6.5</v>
      </c>
      <c r="I11" s="207">
        <f t="shared" si="0"/>
        <v>416.66666666666669</v>
      </c>
      <c r="J11" s="161">
        <f t="shared" si="8"/>
        <v>2708.3333333333335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45205</v>
      </c>
      <c r="D12" s="161" t="s">
        <v>9</v>
      </c>
      <c r="E12" s="161" t="s">
        <v>2563</v>
      </c>
      <c r="F12" s="222">
        <v>2525</v>
      </c>
      <c r="G12" s="222">
        <v>2550</v>
      </c>
      <c r="H12" s="222">
        <v>25</v>
      </c>
      <c r="I12" s="207">
        <f t="shared" si="0"/>
        <v>118.81188118811882</v>
      </c>
      <c r="J12" s="161">
        <f t="shared" si="8"/>
        <v>2970.2970297029706</v>
      </c>
      <c r="K12" s="153"/>
      <c r="M12" s="394" t="s">
        <v>41</v>
      </c>
      <c r="N12" s="344">
        <f>COUNT(C161:C186)</f>
        <v>20</v>
      </c>
      <c r="O12" s="346">
        <f>V187</f>
        <v>17</v>
      </c>
      <c r="P12" s="346">
        <f>W187</f>
        <v>3</v>
      </c>
      <c r="Q12" s="374">
        <f t="shared" ref="Q12" si="10">N12-O12-P12</f>
        <v>0</v>
      </c>
      <c r="R12" s="376">
        <f t="shared" si="9"/>
        <v>0.85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45205</v>
      </c>
      <c r="D13" s="161" t="s">
        <v>8</v>
      </c>
      <c r="E13" s="161" t="s">
        <v>94</v>
      </c>
      <c r="F13" s="222">
        <v>1540</v>
      </c>
      <c r="G13" s="222">
        <v>1530</v>
      </c>
      <c r="H13" s="255">
        <v>10</v>
      </c>
      <c r="I13" s="207">
        <f t="shared" si="0"/>
        <v>194.80519480519482</v>
      </c>
      <c r="J13" s="161">
        <f t="shared" si="8"/>
        <v>1948.0519480519481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45208</v>
      </c>
      <c r="D14" s="161" t="s">
        <v>9</v>
      </c>
      <c r="E14" s="161" t="s">
        <v>175</v>
      </c>
      <c r="F14" s="222">
        <v>905</v>
      </c>
      <c r="G14" s="222">
        <v>912</v>
      </c>
      <c r="H14" s="222">
        <f>912-905</f>
        <v>7</v>
      </c>
      <c r="I14" s="207">
        <f t="shared" si="0"/>
        <v>331.49171270718233</v>
      </c>
      <c r="J14" s="161">
        <f t="shared" si="8"/>
        <v>2320.4419889502765</v>
      </c>
      <c r="K14" s="153"/>
      <c r="M14" s="394" t="s">
        <v>1175</v>
      </c>
      <c r="N14" s="344">
        <f>COUNT(C195:C220)</f>
        <v>21</v>
      </c>
      <c r="O14" s="346">
        <f>V221</f>
        <v>19</v>
      </c>
      <c r="P14" s="346">
        <f>W221</f>
        <v>2</v>
      </c>
      <c r="Q14" s="374">
        <f t="shared" ref="Q14" si="11">N14-O14-P14</f>
        <v>0</v>
      </c>
      <c r="R14" s="376">
        <f t="shared" si="9"/>
        <v>0.90476190476190477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45208</v>
      </c>
      <c r="D15" s="161" t="s">
        <v>8</v>
      </c>
      <c r="E15" s="161" t="s">
        <v>122</v>
      </c>
      <c r="F15" s="222">
        <v>1620</v>
      </c>
      <c r="G15" s="222">
        <v>1625</v>
      </c>
      <c r="H15" s="222">
        <v>5</v>
      </c>
      <c r="I15" s="207">
        <f t="shared" si="0"/>
        <v>185.18518518518519</v>
      </c>
      <c r="J15" s="161">
        <f t="shared" si="8"/>
        <v>925.92592592592598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45209</v>
      </c>
      <c r="D16" s="161" t="s">
        <v>9</v>
      </c>
      <c r="E16" s="161" t="s">
        <v>3248</v>
      </c>
      <c r="F16" s="222">
        <v>1710</v>
      </c>
      <c r="G16" s="222">
        <v>1738</v>
      </c>
      <c r="H16" s="222">
        <f>1738-1710</f>
        <v>28</v>
      </c>
      <c r="I16" s="207">
        <f t="shared" si="0"/>
        <v>175.43859649122808</v>
      </c>
      <c r="J16" s="161">
        <f t="shared" si="8"/>
        <v>4912.2807017543864</v>
      </c>
      <c r="K16" s="153"/>
      <c r="L16" s="25" t="s">
        <v>2008</v>
      </c>
      <c r="M16" s="394" t="s">
        <v>1090</v>
      </c>
      <c r="N16" s="344">
        <f>COUNT(C229:C252)</f>
        <v>20</v>
      </c>
      <c r="O16" s="346">
        <f>V253</f>
        <v>18</v>
      </c>
      <c r="P16" s="346">
        <f>W253</f>
        <v>2</v>
      </c>
      <c r="Q16" s="374">
        <v>0</v>
      </c>
      <c r="R16" s="376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45209</v>
      </c>
      <c r="D17" s="161" t="s">
        <v>9</v>
      </c>
      <c r="E17" s="161" t="s">
        <v>3515</v>
      </c>
      <c r="F17" s="222">
        <v>1940</v>
      </c>
      <c r="G17" s="222">
        <v>1967</v>
      </c>
      <c r="H17" s="222">
        <f>1967-1940</f>
        <v>27</v>
      </c>
      <c r="I17" s="207">
        <f t="shared" si="0"/>
        <v>154.63917525773195</v>
      </c>
      <c r="J17" s="161">
        <f t="shared" si="8"/>
        <v>4175.2577319587626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45210</v>
      </c>
      <c r="D18" s="161" t="s">
        <v>9</v>
      </c>
      <c r="E18" s="161" t="s">
        <v>117</v>
      </c>
      <c r="F18" s="222">
        <v>440</v>
      </c>
      <c r="G18" s="222">
        <v>445</v>
      </c>
      <c r="H18" s="222">
        <v>5</v>
      </c>
      <c r="I18" s="207">
        <f t="shared" si="0"/>
        <v>681.81818181818187</v>
      </c>
      <c r="J18" s="161">
        <f t="shared" si="8"/>
        <v>3409.0909090909095</v>
      </c>
      <c r="K18" s="153"/>
      <c r="M18" s="392" t="s">
        <v>946</v>
      </c>
      <c r="N18" s="378">
        <f>SUM(N4:N17)</f>
        <v>162</v>
      </c>
      <c r="O18" s="378">
        <f t="shared" ref="O18:Q18" si="12">SUM(O4:O17)</f>
        <v>145</v>
      </c>
      <c r="P18" s="378">
        <f t="shared" si="12"/>
        <v>14</v>
      </c>
      <c r="Q18" s="378">
        <f t="shared" si="12"/>
        <v>3</v>
      </c>
      <c r="R18" s="380">
        <f t="shared" ref="R18" si="13">O18/N18</f>
        <v>0.89506172839506171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45210</v>
      </c>
      <c r="D19" s="161" t="s">
        <v>9</v>
      </c>
      <c r="E19" s="161" t="s">
        <v>112</v>
      </c>
      <c r="F19" s="222">
        <v>262</v>
      </c>
      <c r="G19" s="222">
        <v>263.5</v>
      </c>
      <c r="H19" s="222">
        <v>1.5</v>
      </c>
      <c r="I19" s="207">
        <f t="shared" si="0"/>
        <v>1145.0381679389313</v>
      </c>
      <c r="J19" s="161">
        <f t="shared" si="8"/>
        <v>1717.5572519083971</v>
      </c>
      <c r="K19" s="153"/>
      <c r="M19" s="393"/>
      <c r="N19" s="379"/>
      <c r="O19" s="379"/>
      <c r="P19" s="379"/>
      <c r="Q19" s="379"/>
      <c r="R19" s="377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45211</v>
      </c>
      <c r="D20" s="161" t="s">
        <v>9</v>
      </c>
      <c r="E20" s="161" t="s">
        <v>3515</v>
      </c>
      <c r="F20" s="222">
        <v>1960</v>
      </c>
      <c r="G20" s="222">
        <v>1970</v>
      </c>
      <c r="H20" s="222">
        <v>10</v>
      </c>
      <c r="I20" s="207">
        <f t="shared" si="0"/>
        <v>153.0612244897959</v>
      </c>
      <c r="J20" s="161">
        <f t="shared" si="8"/>
        <v>1530.612244897959</v>
      </c>
      <c r="K20" s="153"/>
      <c r="M20" s="316" t="s">
        <v>2253</v>
      </c>
      <c r="N20" s="317"/>
      <c r="O20" s="318"/>
      <c r="P20" s="325">
        <f>R18</f>
        <v>0.89506172839506171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45211</v>
      </c>
      <c r="D21" s="161" t="s">
        <v>9</v>
      </c>
      <c r="E21" s="161" t="s">
        <v>124</v>
      </c>
      <c r="F21" s="222">
        <v>638</v>
      </c>
      <c r="G21" s="222">
        <v>638</v>
      </c>
      <c r="H21" s="222">
        <v>0</v>
      </c>
      <c r="I21" s="207">
        <f t="shared" si="0"/>
        <v>470.2194357366771</v>
      </c>
      <c r="J21" s="161">
        <f t="shared" si="8"/>
        <v>0</v>
      </c>
      <c r="K21" s="153"/>
      <c r="M21" s="319"/>
      <c r="N21" s="320"/>
      <c r="O21" s="321"/>
      <c r="P21" s="328"/>
      <c r="Q21" s="329"/>
      <c r="R21" s="330"/>
      <c r="V21" s="25">
        <f t="shared" si="4"/>
        <v>0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45212</v>
      </c>
      <c r="D22" s="161" t="s">
        <v>9</v>
      </c>
      <c r="E22" s="161" t="s">
        <v>4210</v>
      </c>
      <c r="F22" s="222">
        <v>1775</v>
      </c>
      <c r="G22" s="222">
        <v>1755</v>
      </c>
      <c r="H22" s="222">
        <v>-20</v>
      </c>
      <c r="I22" s="207">
        <f t="shared" si="0"/>
        <v>169.01408450704224</v>
      </c>
      <c r="J22" s="161">
        <f t="shared" si="8"/>
        <v>-3380.2816901408451</v>
      </c>
      <c r="K22" s="153"/>
      <c r="M22" s="322"/>
      <c r="N22" s="323"/>
      <c r="O22" s="324"/>
      <c r="P22" s="331"/>
      <c r="Q22" s="332"/>
      <c r="R22" s="333"/>
      <c r="V22" s="25">
        <f t="shared" si="4"/>
        <v>0</v>
      </c>
      <c r="W22" s="25">
        <f t="shared" si="5"/>
        <v>1</v>
      </c>
    </row>
    <row r="23" spans="1:23" ht="15" customHeight="1" x14ac:dyDescent="0.3">
      <c r="A23" s="147"/>
      <c r="B23" s="205">
        <f t="shared" si="6"/>
        <v>18</v>
      </c>
      <c r="C23" s="206">
        <v>45212</v>
      </c>
      <c r="D23" s="161" t="s">
        <v>8</v>
      </c>
      <c r="E23" s="161" t="s">
        <v>19</v>
      </c>
      <c r="F23" s="222">
        <v>576</v>
      </c>
      <c r="G23" s="222">
        <v>576</v>
      </c>
      <c r="H23" s="222">
        <v>0</v>
      </c>
      <c r="I23" s="207">
        <f t="shared" si="0"/>
        <v>520.83333333333337</v>
      </c>
      <c r="J23" s="161">
        <f t="shared" si="8"/>
        <v>0</v>
      </c>
      <c r="K23" s="153"/>
      <c r="V23" s="25">
        <f t="shared" si="4"/>
        <v>0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45215</v>
      </c>
      <c r="D24" s="161" t="s">
        <v>9</v>
      </c>
      <c r="E24" s="161" t="s">
        <v>3515</v>
      </c>
      <c r="F24" s="222">
        <v>1975</v>
      </c>
      <c r="G24" s="222">
        <v>1963</v>
      </c>
      <c r="H24" s="222">
        <v>-12</v>
      </c>
      <c r="I24" s="207">
        <f t="shared" si="0"/>
        <v>151.8987341772152</v>
      </c>
      <c r="J24" s="161">
        <f t="shared" si="8"/>
        <v>-1822.7848101265824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45215</v>
      </c>
      <c r="D25" s="161" t="s">
        <v>9</v>
      </c>
      <c r="E25" s="161" t="s">
        <v>58</v>
      </c>
      <c r="F25" s="222">
        <v>1000</v>
      </c>
      <c r="G25" s="222">
        <v>1009</v>
      </c>
      <c r="H25" s="222">
        <v>9</v>
      </c>
      <c r="I25" s="207">
        <f t="shared" si="0"/>
        <v>300</v>
      </c>
      <c r="J25" s="161">
        <f t="shared" si="8"/>
        <v>2700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45216</v>
      </c>
      <c r="D26" s="161" t="s">
        <v>9</v>
      </c>
      <c r="E26" s="161" t="s">
        <v>95</v>
      </c>
      <c r="F26" s="222">
        <v>958</v>
      </c>
      <c r="G26" s="222">
        <v>960.9</v>
      </c>
      <c r="H26" s="222">
        <v>2.9</v>
      </c>
      <c r="I26" s="207">
        <f t="shared" si="0"/>
        <v>313.15240083507308</v>
      </c>
      <c r="J26" s="161">
        <f t="shared" si="8"/>
        <v>908.14196242171192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45216</v>
      </c>
      <c r="D27" s="161" t="s">
        <v>9</v>
      </c>
      <c r="E27" s="161" t="s">
        <v>1361</v>
      </c>
      <c r="F27" s="222">
        <v>1005</v>
      </c>
      <c r="G27" s="222">
        <v>999</v>
      </c>
      <c r="H27" s="222">
        <v>-6</v>
      </c>
      <c r="I27" s="207">
        <f t="shared" si="0"/>
        <v>298.50746268656718</v>
      </c>
      <c r="J27" s="161">
        <f t="shared" si="8"/>
        <v>-1791.0447761194032</v>
      </c>
      <c r="K27" s="153"/>
      <c r="V27" s="25">
        <f t="shared" si="4"/>
        <v>0</v>
      </c>
      <c r="W27" s="25">
        <f t="shared" si="5"/>
        <v>1</v>
      </c>
    </row>
    <row r="28" spans="1:23" x14ac:dyDescent="0.3">
      <c r="A28" s="147"/>
      <c r="B28" s="205">
        <f t="shared" si="6"/>
        <v>23</v>
      </c>
      <c r="C28" s="206">
        <v>45217</v>
      </c>
      <c r="D28" s="161" t="s">
        <v>9</v>
      </c>
      <c r="E28" s="161" t="s">
        <v>48</v>
      </c>
      <c r="F28" s="222">
        <v>208</v>
      </c>
      <c r="G28" s="222">
        <v>205</v>
      </c>
      <c r="H28" s="222">
        <v>-3</v>
      </c>
      <c r="I28" s="207">
        <f t="shared" si="0"/>
        <v>1442.3076923076924</v>
      </c>
      <c r="J28" s="161">
        <f t="shared" si="8"/>
        <v>-4326.9230769230771</v>
      </c>
      <c r="K28" s="153"/>
      <c r="M28" s="25" t="s">
        <v>2008</v>
      </c>
      <c r="V28" s="25">
        <f t="shared" si="4"/>
        <v>0</v>
      </c>
      <c r="W28" s="25">
        <f t="shared" si="5"/>
        <v>1</v>
      </c>
    </row>
    <row r="29" spans="1:23" x14ac:dyDescent="0.3">
      <c r="A29" s="147"/>
      <c r="B29" s="205">
        <f t="shared" si="6"/>
        <v>24</v>
      </c>
      <c r="C29" s="206">
        <v>45217</v>
      </c>
      <c r="D29" s="161" t="s">
        <v>8</v>
      </c>
      <c r="E29" s="161" t="s">
        <v>58</v>
      </c>
      <c r="F29" s="222">
        <v>1007</v>
      </c>
      <c r="G29" s="222">
        <v>994</v>
      </c>
      <c r="H29" s="222">
        <f>1004-994</f>
        <v>10</v>
      </c>
      <c r="I29" s="207">
        <f t="shared" si="0"/>
        <v>297.91459781529295</v>
      </c>
      <c r="J29" s="161">
        <f t="shared" si="8"/>
        <v>2979.1459781529293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45218</v>
      </c>
      <c r="D30" s="161" t="s">
        <v>9</v>
      </c>
      <c r="E30" s="161" t="s">
        <v>4210</v>
      </c>
      <c r="F30" s="222">
        <v>1775</v>
      </c>
      <c r="G30" s="222">
        <v>1784</v>
      </c>
      <c r="H30" s="222">
        <f>1784-1775</f>
        <v>9</v>
      </c>
      <c r="I30" s="207">
        <f t="shared" si="0"/>
        <v>169.01408450704224</v>
      </c>
      <c r="J30" s="161">
        <f t="shared" si="8"/>
        <v>1521.1267605633802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45218</v>
      </c>
      <c r="D31" s="161" t="s">
        <v>9</v>
      </c>
      <c r="E31" s="161" t="s">
        <v>3562</v>
      </c>
      <c r="F31" s="223">
        <v>5520</v>
      </c>
      <c r="G31" s="222">
        <v>5545</v>
      </c>
      <c r="H31" s="255">
        <f>5545-5520</f>
        <v>25</v>
      </c>
      <c r="I31" s="207">
        <f t="shared" si="0"/>
        <v>54.347826086956523</v>
      </c>
      <c r="J31" s="161">
        <f t="shared" si="8"/>
        <v>1358.695652173913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45219</v>
      </c>
      <c r="D32" s="161" t="s">
        <v>8</v>
      </c>
      <c r="E32" s="161" t="s">
        <v>3515</v>
      </c>
      <c r="F32" s="222">
        <v>1940</v>
      </c>
      <c r="G32" s="222">
        <v>1910</v>
      </c>
      <c r="H32" s="222">
        <v>30</v>
      </c>
      <c r="I32" s="207">
        <f t="shared" si="0"/>
        <v>154.63917525773195</v>
      </c>
      <c r="J32" s="161">
        <f t="shared" si="8"/>
        <v>4639.1752577319585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45219</v>
      </c>
      <c r="D33" s="161" t="s">
        <v>8</v>
      </c>
      <c r="E33" s="161" t="s">
        <v>19</v>
      </c>
      <c r="F33" s="223">
        <v>568</v>
      </c>
      <c r="G33" s="222">
        <v>563</v>
      </c>
      <c r="H33" s="255">
        <v>5</v>
      </c>
      <c r="I33" s="207">
        <f t="shared" si="0"/>
        <v>528.16901408450701</v>
      </c>
      <c r="J33" s="161">
        <f t="shared" si="8"/>
        <v>2640.8450704225352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45222</v>
      </c>
      <c r="D34" s="161" t="s">
        <v>9</v>
      </c>
      <c r="E34" s="161" t="s">
        <v>3563</v>
      </c>
      <c r="F34" s="222">
        <v>2400</v>
      </c>
      <c r="G34" s="222">
        <v>2375</v>
      </c>
      <c r="H34" s="222">
        <f>2400-2375</f>
        <v>25</v>
      </c>
      <c r="I34" s="207">
        <f t="shared" si="0"/>
        <v>125</v>
      </c>
      <c r="J34" s="161">
        <f t="shared" si="8"/>
        <v>3125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45222</v>
      </c>
      <c r="D35" s="161" t="s">
        <v>8</v>
      </c>
      <c r="E35" s="161" t="s">
        <v>3515</v>
      </c>
      <c r="F35" s="222">
        <v>1900</v>
      </c>
      <c r="G35" s="222">
        <v>1860</v>
      </c>
      <c r="H35" s="222">
        <v>-25</v>
      </c>
      <c r="I35" s="207">
        <f t="shared" si="0"/>
        <v>157.89473684210526</v>
      </c>
      <c r="J35" s="161">
        <f t="shared" si="8"/>
        <v>-3947.3684210526317</v>
      </c>
      <c r="K35" s="153"/>
      <c r="V35" s="25">
        <f t="shared" si="4"/>
        <v>0</v>
      </c>
      <c r="W35" s="25">
        <f t="shared" si="5"/>
        <v>1</v>
      </c>
    </row>
    <row r="36" spans="1:23" x14ac:dyDescent="0.3">
      <c r="A36" s="147"/>
      <c r="B36" s="205">
        <f t="shared" si="6"/>
        <v>31</v>
      </c>
      <c r="C36" s="206">
        <v>45224</v>
      </c>
      <c r="D36" s="161" t="s">
        <v>9</v>
      </c>
      <c r="E36" s="161" t="s">
        <v>58</v>
      </c>
      <c r="F36" s="222">
        <v>968</v>
      </c>
      <c r="G36" s="222">
        <v>974</v>
      </c>
      <c r="H36" s="222">
        <v>6</v>
      </c>
      <c r="I36" s="207">
        <f t="shared" si="0"/>
        <v>309.91735537190084</v>
      </c>
      <c r="J36" s="161">
        <f t="shared" si="8"/>
        <v>1859.504132231405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45224</v>
      </c>
      <c r="D37" s="161" t="s">
        <v>8</v>
      </c>
      <c r="E37" s="161" t="s">
        <v>3515</v>
      </c>
      <c r="F37" s="222">
        <v>1825</v>
      </c>
      <c r="G37" s="222">
        <v>1785</v>
      </c>
      <c r="H37" s="222">
        <f>1825-1785</f>
        <v>40</v>
      </c>
      <c r="I37" s="207">
        <f t="shared" si="0"/>
        <v>164.38356164383561</v>
      </c>
      <c r="J37" s="161">
        <f t="shared" si="8"/>
        <v>6575.3424657534242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45225</v>
      </c>
      <c r="D38" s="161" t="s">
        <v>9</v>
      </c>
      <c r="E38" s="161" t="s">
        <v>3515</v>
      </c>
      <c r="F38" s="222">
        <v>1780</v>
      </c>
      <c r="G38" s="222">
        <v>1820</v>
      </c>
      <c r="H38" s="222">
        <f>1820-1780</f>
        <v>40</v>
      </c>
      <c r="I38" s="207">
        <f t="shared" si="0"/>
        <v>168.53932584269663</v>
      </c>
      <c r="J38" s="161">
        <f t="shared" si="8"/>
        <v>6741.5730337078649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45225</v>
      </c>
      <c r="D39" s="161" t="s">
        <v>8</v>
      </c>
      <c r="E39" s="161" t="s">
        <v>95</v>
      </c>
      <c r="F39" s="222">
        <v>911</v>
      </c>
      <c r="G39" s="222">
        <v>901</v>
      </c>
      <c r="H39" s="222">
        <f>911-901</f>
        <v>10</v>
      </c>
      <c r="I39" s="207">
        <f t="shared" si="0"/>
        <v>329.3084522502744</v>
      </c>
      <c r="J39" s="161">
        <f t="shared" si="8"/>
        <v>3293.0845225027442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45226</v>
      </c>
      <c r="D40" s="161" t="s">
        <v>9</v>
      </c>
      <c r="E40" s="161" t="s">
        <v>3516</v>
      </c>
      <c r="F40" s="222">
        <v>2120</v>
      </c>
      <c r="G40" s="222">
        <v>2140</v>
      </c>
      <c r="H40" s="222">
        <v>20</v>
      </c>
      <c r="I40" s="207">
        <f t="shared" si="0"/>
        <v>141.50943396226415</v>
      </c>
      <c r="J40" s="161">
        <f t="shared" si="8"/>
        <v>2830.1886792452833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45226</v>
      </c>
      <c r="D41" s="161" t="s">
        <v>9</v>
      </c>
      <c r="E41" s="161" t="s">
        <v>3515</v>
      </c>
      <c r="F41" s="222">
        <v>1840</v>
      </c>
      <c r="G41" s="223">
        <v>1860</v>
      </c>
      <c r="H41" s="222">
        <v>20</v>
      </c>
      <c r="I41" s="207">
        <f t="shared" si="0"/>
        <v>163.04347826086956</v>
      </c>
      <c r="J41" s="161">
        <f t="shared" si="8"/>
        <v>3260.869565217391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45229</v>
      </c>
      <c r="D42" s="161" t="s">
        <v>9</v>
      </c>
      <c r="E42" s="161" t="s">
        <v>3515</v>
      </c>
      <c r="F42" s="222">
        <v>1840</v>
      </c>
      <c r="G42" s="222">
        <v>1837</v>
      </c>
      <c r="H42" s="222">
        <v>-3</v>
      </c>
      <c r="I42" s="207">
        <f t="shared" si="0"/>
        <v>163.04347826086956</v>
      </c>
      <c r="J42" s="161">
        <f t="shared" si="8"/>
        <v>-489.13043478260869</v>
      </c>
      <c r="K42" s="153"/>
      <c r="V42" s="25">
        <f t="shared" si="4"/>
        <v>0</v>
      </c>
      <c r="W42" s="25">
        <f t="shared" si="5"/>
        <v>1</v>
      </c>
    </row>
    <row r="43" spans="1:23" x14ac:dyDescent="0.3">
      <c r="A43" s="147"/>
      <c r="B43" s="205">
        <f t="shared" si="6"/>
        <v>38</v>
      </c>
      <c r="C43" s="206">
        <v>45229</v>
      </c>
      <c r="D43" s="161" t="s">
        <v>9</v>
      </c>
      <c r="E43" s="161" t="s">
        <v>4387</v>
      </c>
      <c r="F43" s="222">
        <v>362</v>
      </c>
      <c r="G43" s="222">
        <v>364.8</v>
      </c>
      <c r="H43" s="222">
        <f>364.8-362</f>
        <v>2.8000000000000114</v>
      </c>
      <c r="I43" s="207">
        <f t="shared" si="0"/>
        <v>828.72928176795585</v>
      </c>
      <c r="J43" s="161">
        <f t="shared" si="8"/>
        <v>2320.441988950286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45230</v>
      </c>
      <c r="D44" s="161" t="s">
        <v>9</v>
      </c>
      <c r="E44" s="161" t="s">
        <v>19</v>
      </c>
      <c r="F44" s="222">
        <v>567</v>
      </c>
      <c r="G44" s="222">
        <v>570</v>
      </c>
      <c r="H44" s="222">
        <f>570-567</f>
        <v>3</v>
      </c>
      <c r="I44" s="207">
        <f t="shared" si="0"/>
        <v>529.10052910052912</v>
      </c>
      <c r="J44" s="161">
        <f t="shared" si="8"/>
        <v>1587.3015873015875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45230</v>
      </c>
      <c r="D45" s="161" t="s">
        <v>9</v>
      </c>
      <c r="E45" s="161" t="s">
        <v>3515</v>
      </c>
      <c r="F45" s="222">
        <v>1840</v>
      </c>
      <c r="G45" s="222">
        <v>1848</v>
      </c>
      <c r="H45" s="222">
        <v>8</v>
      </c>
      <c r="I45" s="207">
        <f t="shared" si="0"/>
        <v>163.04347826086956</v>
      </c>
      <c r="J45" s="161">
        <f t="shared" si="8"/>
        <v>1304.3478260869565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8"/>
        <v>0</v>
      </c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8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8"/>
        <v>0</v>
      </c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72713.69060645657</v>
      </c>
      <c r="K52" s="153"/>
      <c r="V52" s="25">
        <f>SUM(V6:V51)</f>
        <v>32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4371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45202</v>
      </c>
      <c r="D60" s="161" t="s">
        <v>9</v>
      </c>
      <c r="E60" s="161" t="s">
        <v>3562</v>
      </c>
      <c r="F60" s="222">
        <v>5330</v>
      </c>
      <c r="G60" s="222">
        <v>5355</v>
      </c>
      <c r="H60" s="222">
        <f>5355-5330</f>
        <v>25</v>
      </c>
      <c r="I60" s="279">
        <v>200</v>
      </c>
      <c r="J60" s="241">
        <f t="shared" ref="J60:J85" si="14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45203</v>
      </c>
      <c r="D61" s="161" t="s">
        <v>9</v>
      </c>
      <c r="E61" s="161" t="s">
        <v>2203</v>
      </c>
      <c r="F61" s="222">
        <v>1122</v>
      </c>
      <c r="G61" s="222">
        <v>1142</v>
      </c>
      <c r="H61" s="222">
        <v>20</v>
      </c>
      <c r="I61" s="207">
        <v>800</v>
      </c>
      <c r="J61" s="242">
        <f t="shared" si="14"/>
        <v>16000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45204</v>
      </c>
      <c r="D62" s="161" t="s">
        <v>9</v>
      </c>
      <c r="E62" s="161" t="s">
        <v>2093</v>
      </c>
      <c r="F62" s="222">
        <v>897</v>
      </c>
      <c r="G62" s="222">
        <v>917</v>
      </c>
      <c r="H62" s="222">
        <f>917-897</f>
        <v>20</v>
      </c>
      <c r="I62" s="207">
        <v>800</v>
      </c>
      <c r="J62" s="242">
        <f t="shared" si="14"/>
        <v>16000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45205</v>
      </c>
      <c r="D63" s="161" t="s">
        <v>9</v>
      </c>
      <c r="E63" s="161" t="s">
        <v>299</v>
      </c>
      <c r="F63" s="222">
        <v>2510</v>
      </c>
      <c r="G63" s="222">
        <v>2527</v>
      </c>
      <c r="H63" s="222">
        <f>2527-2510</f>
        <v>17</v>
      </c>
      <c r="I63" s="207">
        <v>300</v>
      </c>
      <c r="J63" s="242">
        <f>I63*H63</f>
        <v>5100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45208</v>
      </c>
      <c r="D64" s="161" t="s">
        <v>9</v>
      </c>
      <c r="E64" s="161" t="s">
        <v>3562</v>
      </c>
      <c r="F64" s="222">
        <v>5120</v>
      </c>
      <c r="G64" s="222">
        <v>5187</v>
      </c>
      <c r="H64" s="222">
        <f>5187-5120</f>
        <v>67</v>
      </c>
      <c r="I64" s="207">
        <v>200</v>
      </c>
      <c r="J64" s="242">
        <f>I64*H64</f>
        <v>13400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45209</v>
      </c>
      <c r="D65" s="161" t="s">
        <v>9</v>
      </c>
      <c r="E65" s="161" t="s">
        <v>549</v>
      </c>
      <c r="F65" s="222">
        <v>1545</v>
      </c>
      <c r="G65" s="222">
        <v>1551</v>
      </c>
      <c r="H65" s="222">
        <f>1551-1545</f>
        <v>6</v>
      </c>
      <c r="I65" s="207">
        <v>700</v>
      </c>
      <c r="J65" s="242">
        <f>I65*H65</f>
        <v>4200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45210</v>
      </c>
      <c r="D66" s="161" t="s">
        <v>9</v>
      </c>
      <c r="E66" s="161" t="s">
        <v>3248</v>
      </c>
      <c r="F66" s="222">
        <v>1745</v>
      </c>
      <c r="G66" s="222">
        <v>1749</v>
      </c>
      <c r="H66" s="222">
        <v>4</v>
      </c>
      <c r="I66" s="207">
        <v>1000</v>
      </c>
      <c r="J66" s="242">
        <f t="shared" si="14"/>
        <v>4000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45211</v>
      </c>
      <c r="D67" s="161" t="s">
        <v>9</v>
      </c>
      <c r="E67" s="161" t="s">
        <v>2563</v>
      </c>
      <c r="F67" s="222">
        <v>2570</v>
      </c>
      <c r="G67" s="222">
        <v>2620</v>
      </c>
      <c r="H67" s="222">
        <f>2620-2570</f>
        <v>50</v>
      </c>
      <c r="I67" s="207">
        <v>300</v>
      </c>
      <c r="J67" s="242">
        <f t="shared" si="14"/>
        <v>15000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45212</v>
      </c>
      <c r="D68" s="161" t="s">
        <v>9</v>
      </c>
      <c r="E68" s="161" t="s">
        <v>3562</v>
      </c>
      <c r="F68" s="222">
        <v>5330</v>
      </c>
      <c r="G68" s="222">
        <v>5370</v>
      </c>
      <c r="H68" s="222">
        <v>40</v>
      </c>
      <c r="I68" s="207">
        <v>200</v>
      </c>
      <c r="J68" s="242">
        <f t="shared" si="14"/>
        <v>8000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45215</v>
      </c>
      <c r="D69" s="161" t="s">
        <v>9</v>
      </c>
      <c r="E69" s="161" t="s">
        <v>124</v>
      </c>
      <c r="F69" s="222">
        <v>666</v>
      </c>
      <c r="G69" s="222">
        <v>678</v>
      </c>
      <c r="H69" s="222">
        <f>678-666</f>
        <v>12</v>
      </c>
      <c r="I69" s="207">
        <v>1425</v>
      </c>
      <c r="J69" s="242">
        <f t="shared" si="14"/>
        <v>17100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45216</v>
      </c>
      <c r="D70" s="161" t="s">
        <v>9</v>
      </c>
      <c r="E70" s="161" t="s">
        <v>3562</v>
      </c>
      <c r="F70" s="161">
        <v>5430</v>
      </c>
      <c r="G70" s="222">
        <v>5487</v>
      </c>
      <c r="H70" s="222">
        <f>5487-5430</f>
        <v>57</v>
      </c>
      <c r="I70" s="207">
        <v>200</v>
      </c>
      <c r="J70" s="242">
        <f t="shared" si="14"/>
        <v>11400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45217</v>
      </c>
      <c r="D71" s="161" t="s">
        <v>9</v>
      </c>
      <c r="E71" s="161" t="s">
        <v>3562</v>
      </c>
      <c r="F71" s="222">
        <v>5460</v>
      </c>
      <c r="G71" s="222">
        <v>5490</v>
      </c>
      <c r="H71" s="222">
        <f>5490-5460</f>
        <v>30</v>
      </c>
      <c r="I71" s="207">
        <v>200</v>
      </c>
      <c r="J71" s="242">
        <f t="shared" si="14"/>
        <v>6000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45218</v>
      </c>
      <c r="D72" s="161" t="s">
        <v>9</v>
      </c>
      <c r="E72" s="161" t="s">
        <v>98</v>
      </c>
      <c r="F72" s="222">
        <v>3175</v>
      </c>
      <c r="G72" s="222">
        <v>3235</v>
      </c>
      <c r="H72" s="222">
        <f>3235-3175</f>
        <v>60</v>
      </c>
      <c r="I72" s="207">
        <v>300</v>
      </c>
      <c r="J72" s="242">
        <f t="shared" si="14"/>
        <v>18000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45219</v>
      </c>
      <c r="D73" s="161" t="s">
        <v>9</v>
      </c>
      <c r="E73" s="161" t="s">
        <v>3562</v>
      </c>
      <c r="F73" s="222">
        <v>5510</v>
      </c>
      <c r="G73" s="222">
        <v>5527</v>
      </c>
      <c r="H73" s="255">
        <f>5527-5510</f>
        <v>17</v>
      </c>
      <c r="I73" s="207">
        <v>200</v>
      </c>
      <c r="J73" s="242">
        <f t="shared" si="14"/>
        <v>3400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45222</v>
      </c>
      <c r="D74" s="265" t="s">
        <v>9</v>
      </c>
      <c r="E74" s="265" t="s">
        <v>3562</v>
      </c>
      <c r="F74" s="277">
        <v>5490</v>
      </c>
      <c r="G74" s="267">
        <v>5507</v>
      </c>
      <c r="H74" s="222">
        <f>5507-5490</f>
        <v>17</v>
      </c>
      <c r="I74" s="207">
        <v>200</v>
      </c>
      <c r="J74" s="242">
        <f t="shared" si="14"/>
        <v>3400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45224</v>
      </c>
      <c r="D75" s="265" t="s">
        <v>9</v>
      </c>
      <c r="E75" s="265" t="s">
        <v>3562</v>
      </c>
      <c r="F75" s="277">
        <v>5500</v>
      </c>
      <c r="G75" s="267">
        <v>5518</v>
      </c>
      <c r="H75" s="222">
        <v>18</v>
      </c>
      <c r="I75" s="207">
        <v>200</v>
      </c>
      <c r="J75" s="242">
        <f t="shared" si="14"/>
        <v>3600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45225</v>
      </c>
      <c r="D76" s="161" t="s">
        <v>8</v>
      </c>
      <c r="E76" s="161" t="s">
        <v>299</v>
      </c>
      <c r="F76" s="222">
        <v>2205</v>
      </c>
      <c r="G76" s="222">
        <v>2155</v>
      </c>
      <c r="H76" s="222">
        <f>2205-2155</f>
        <v>50</v>
      </c>
      <c r="I76" s="207">
        <v>300</v>
      </c>
      <c r="J76" s="242">
        <f t="shared" si="14"/>
        <v>15000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45226</v>
      </c>
      <c r="D77" s="161" t="s">
        <v>9</v>
      </c>
      <c r="E77" s="161" t="s">
        <v>578</v>
      </c>
      <c r="F77" s="222">
        <v>1382</v>
      </c>
      <c r="G77" s="222">
        <v>1390</v>
      </c>
      <c r="H77" s="222">
        <f>1390-1382</f>
        <v>8</v>
      </c>
      <c r="I77" s="207">
        <v>400</v>
      </c>
      <c r="J77" s="242">
        <f t="shared" si="14"/>
        <v>3200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45229</v>
      </c>
      <c r="D78" s="161" t="s">
        <v>8</v>
      </c>
      <c r="E78" s="161" t="s">
        <v>58</v>
      </c>
      <c r="F78" s="223">
        <v>988</v>
      </c>
      <c r="G78" s="222">
        <v>984.5</v>
      </c>
      <c r="H78" s="255">
        <f>988-984.5</f>
        <v>3.5</v>
      </c>
      <c r="I78" s="207">
        <v>625</v>
      </c>
      <c r="J78" s="242">
        <f t="shared" si="14"/>
        <v>2187.5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45230</v>
      </c>
      <c r="D79" s="161" t="s">
        <v>9</v>
      </c>
      <c r="E79" s="161" t="s">
        <v>3562</v>
      </c>
      <c r="F79" s="222">
        <v>5190</v>
      </c>
      <c r="G79" s="222">
        <v>5242</v>
      </c>
      <c r="H79" s="222">
        <f>5242-5190</f>
        <v>52</v>
      </c>
      <c r="I79" s="207">
        <v>200</v>
      </c>
      <c r="J79" s="242">
        <f t="shared" si="14"/>
        <v>10400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180387.5</v>
      </c>
      <c r="K86" s="153"/>
      <c r="V86" s="25">
        <f>SUM(V60:V85)</f>
        <v>20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4370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45202</v>
      </c>
      <c r="D94" s="185" t="s">
        <v>8</v>
      </c>
      <c r="E94" s="185" t="s">
        <v>39</v>
      </c>
      <c r="F94" s="219">
        <v>19580</v>
      </c>
      <c r="G94" s="219">
        <v>19540</v>
      </c>
      <c r="H94" s="185">
        <v>40</v>
      </c>
      <c r="I94" s="219">
        <v>150</v>
      </c>
      <c r="J94" s="246">
        <f t="shared" ref="J94:J117" si="18">I94*H94</f>
        <v>6000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45203</v>
      </c>
      <c r="D95" s="185" t="s">
        <v>8</v>
      </c>
      <c r="E95" s="185" t="s">
        <v>39</v>
      </c>
      <c r="F95" s="219">
        <v>19440</v>
      </c>
      <c r="G95" s="219">
        <v>19380</v>
      </c>
      <c r="H95" s="185">
        <f>19440-19380</f>
        <v>60</v>
      </c>
      <c r="I95" s="219">
        <v>150</v>
      </c>
      <c r="J95" s="242">
        <f t="shared" si="18"/>
        <v>9000</v>
      </c>
      <c r="K95" s="153"/>
      <c r="V95" s="25">
        <f t="shared" ref="V95:V117" si="19">IF($J95&gt;0,1,0)</f>
        <v>1</v>
      </c>
      <c r="W95" s="25">
        <f t="shared" ref="W95:W117" si="20">IF($J95&lt;0,1,0)</f>
        <v>0</v>
      </c>
    </row>
    <row r="96" spans="1:23" x14ac:dyDescent="0.3">
      <c r="A96" s="147"/>
      <c r="B96" s="205">
        <f t="shared" ref="B96:B115" si="21">B95+1</f>
        <v>3</v>
      </c>
      <c r="C96" s="206">
        <v>45204</v>
      </c>
      <c r="D96" s="161" t="s">
        <v>9</v>
      </c>
      <c r="E96" s="161" t="s">
        <v>39</v>
      </c>
      <c r="F96" s="207">
        <v>19560</v>
      </c>
      <c r="G96" s="207">
        <v>19600</v>
      </c>
      <c r="H96" s="161">
        <f>19600-19560</f>
        <v>40</v>
      </c>
      <c r="I96" s="207">
        <v>150</v>
      </c>
      <c r="J96" s="242">
        <f t="shared" si="18"/>
        <v>6000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45205</v>
      </c>
      <c r="D97" s="161" t="s">
        <v>9</v>
      </c>
      <c r="E97" s="161" t="s">
        <v>39</v>
      </c>
      <c r="F97" s="207">
        <v>19630</v>
      </c>
      <c r="G97" s="207">
        <v>19690</v>
      </c>
      <c r="H97" s="161">
        <f>19690-19630</f>
        <v>60</v>
      </c>
      <c r="I97" s="207">
        <v>150</v>
      </c>
      <c r="J97" s="242">
        <f t="shared" si="18"/>
        <v>9000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45208</v>
      </c>
      <c r="D98" s="161" t="s">
        <v>9</v>
      </c>
      <c r="E98" s="161" t="s">
        <v>39</v>
      </c>
      <c r="F98" s="207">
        <v>19600</v>
      </c>
      <c r="G98" s="207">
        <v>19615</v>
      </c>
      <c r="H98" s="161">
        <v>15</v>
      </c>
      <c r="I98" s="207">
        <v>150</v>
      </c>
      <c r="J98" s="242">
        <f t="shared" si="18"/>
        <v>2250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45208</v>
      </c>
      <c r="D99" s="161" t="s">
        <v>9</v>
      </c>
      <c r="E99" s="161" t="s">
        <v>39</v>
      </c>
      <c r="F99" s="207">
        <v>19540</v>
      </c>
      <c r="G99" s="207">
        <v>19525</v>
      </c>
      <c r="H99" s="161">
        <f>19540-19525</f>
        <v>15</v>
      </c>
      <c r="I99" s="207">
        <v>150</v>
      </c>
      <c r="J99" s="242">
        <f t="shared" si="18"/>
        <v>2250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45209</v>
      </c>
      <c r="D100" s="161" t="s">
        <v>9</v>
      </c>
      <c r="E100" s="161" t="s">
        <v>39</v>
      </c>
      <c r="F100" s="207">
        <v>19650</v>
      </c>
      <c r="G100" s="207">
        <v>19730</v>
      </c>
      <c r="H100" s="161">
        <f>19730-19650</f>
        <v>80</v>
      </c>
      <c r="I100" s="207">
        <v>150</v>
      </c>
      <c r="J100" s="242">
        <f t="shared" si="18"/>
        <v>12000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45210</v>
      </c>
      <c r="D101" s="161" t="s">
        <v>9</v>
      </c>
      <c r="E101" s="161" t="s">
        <v>39</v>
      </c>
      <c r="F101" s="207">
        <v>19840</v>
      </c>
      <c r="G101" s="207">
        <v>19874</v>
      </c>
      <c r="H101" s="161">
        <f>19874-19840</f>
        <v>34</v>
      </c>
      <c r="I101" s="207">
        <v>150</v>
      </c>
      <c r="J101" s="242">
        <f t="shared" si="18"/>
        <v>5100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45211</v>
      </c>
      <c r="D102" s="161" t="s">
        <v>9</v>
      </c>
      <c r="E102" s="161" t="s">
        <v>39</v>
      </c>
      <c r="F102" s="207">
        <v>19830</v>
      </c>
      <c r="G102" s="207">
        <v>19868</v>
      </c>
      <c r="H102" s="161">
        <v>38</v>
      </c>
      <c r="I102" s="207">
        <v>150</v>
      </c>
      <c r="J102" s="242">
        <f t="shared" si="18"/>
        <v>5700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45212</v>
      </c>
      <c r="D103" s="161" t="s">
        <v>8</v>
      </c>
      <c r="E103" s="161" t="s">
        <v>39</v>
      </c>
      <c r="F103" s="207">
        <v>19720</v>
      </c>
      <c r="G103" s="207">
        <v>19688</v>
      </c>
      <c r="H103" s="161">
        <f>19720-19688</f>
        <v>32</v>
      </c>
      <c r="I103" s="207">
        <v>150</v>
      </c>
      <c r="J103" s="242">
        <f t="shared" si="18"/>
        <v>4800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45215</v>
      </c>
      <c r="D104" s="161" t="s">
        <v>9</v>
      </c>
      <c r="E104" s="161" t="s">
        <v>39</v>
      </c>
      <c r="F104" s="207">
        <v>19750</v>
      </c>
      <c r="G104" s="207">
        <v>19790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45216</v>
      </c>
      <c r="D105" s="161" t="s">
        <v>9</v>
      </c>
      <c r="E105" s="161" t="s">
        <v>39</v>
      </c>
      <c r="F105" s="207">
        <v>19830</v>
      </c>
      <c r="G105" s="207">
        <v>19850</v>
      </c>
      <c r="H105" s="161">
        <v>20</v>
      </c>
      <c r="I105" s="207">
        <v>150</v>
      </c>
      <c r="J105" s="242">
        <f t="shared" si="18"/>
        <v>3000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45217</v>
      </c>
      <c r="D106" s="161" t="s">
        <v>9</v>
      </c>
      <c r="E106" s="161" t="s">
        <v>39</v>
      </c>
      <c r="F106" s="207">
        <v>19810</v>
      </c>
      <c r="G106" s="207">
        <v>19845</v>
      </c>
      <c r="H106" s="161">
        <f>19845-19810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45218</v>
      </c>
      <c r="D107" s="161" t="s">
        <v>8</v>
      </c>
      <c r="E107" s="161" t="s">
        <v>39</v>
      </c>
      <c r="F107" s="207">
        <v>19570</v>
      </c>
      <c r="G107" s="207">
        <v>19551</v>
      </c>
      <c r="H107" s="161">
        <f>19570-19551</f>
        <v>19</v>
      </c>
      <c r="I107" s="207">
        <v>150</v>
      </c>
      <c r="J107" s="242">
        <f t="shared" si="18"/>
        <v>2850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45219</v>
      </c>
      <c r="D108" s="161" t="s">
        <v>8</v>
      </c>
      <c r="E108" s="161" t="s">
        <v>39</v>
      </c>
      <c r="F108" s="207">
        <v>19530</v>
      </c>
      <c r="G108" s="207">
        <v>19508</v>
      </c>
      <c r="H108" s="161">
        <f>19530-19508</f>
        <v>22</v>
      </c>
      <c r="I108" s="207">
        <v>150</v>
      </c>
      <c r="J108" s="242">
        <f t="shared" si="18"/>
        <v>3300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45222</v>
      </c>
      <c r="D109" s="161" t="s">
        <v>8</v>
      </c>
      <c r="E109" s="161" t="s">
        <v>39</v>
      </c>
      <c r="F109" s="207">
        <v>19450</v>
      </c>
      <c r="G109" s="207">
        <v>19370</v>
      </c>
      <c r="H109" s="161">
        <f>19450-19370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45224</v>
      </c>
      <c r="D110" s="161" t="s">
        <v>8</v>
      </c>
      <c r="E110" s="161" t="s">
        <v>39</v>
      </c>
      <c r="F110" s="207">
        <v>19200</v>
      </c>
      <c r="G110" s="207">
        <v>19120</v>
      </c>
      <c r="H110" s="161">
        <f>19200-19120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45225</v>
      </c>
      <c r="D111" s="161" t="s">
        <v>8</v>
      </c>
      <c r="E111" s="161" t="s">
        <v>39</v>
      </c>
      <c r="F111" s="207">
        <v>18880</v>
      </c>
      <c r="G111" s="207">
        <v>18840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45226</v>
      </c>
      <c r="D112" s="161" t="s">
        <v>9</v>
      </c>
      <c r="E112" s="161" t="s">
        <v>39</v>
      </c>
      <c r="F112" s="207">
        <v>19090</v>
      </c>
      <c r="G112" s="207">
        <v>19160</v>
      </c>
      <c r="H112" s="161">
        <v>70</v>
      </c>
      <c r="I112" s="207">
        <v>150</v>
      </c>
      <c r="J112" s="242">
        <f>I112*H112</f>
        <v>10500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45229</v>
      </c>
      <c r="D113" s="161" t="s">
        <v>9</v>
      </c>
      <c r="E113" s="161" t="s">
        <v>39</v>
      </c>
      <c r="F113" s="207">
        <v>19210</v>
      </c>
      <c r="G113" s="207">
        <v>19210</v>
      </c>
      <c r="H113" s="161">
        <v>0</v>
      </c>
      <c r="I113" s="207">
        <v>150</v>
      </c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45230</v>
      </c>
      <c r="D114" s="161" t="s">
        <v>8</v>
      </c>
      <c r="E114" s="161" t="s">
        <v>39</v>
      </c>
      <c r="F114" s="207">
        <v>19170</v>
      </c>
      <c r="G114" s="207">
        <v>19120</v>
      </c>
      <c r="H114" s="161">
        <v>50</v>
      </c>
      <c r="I114" s="207">
        <v>150</v>
      </c>
      <c r="J114" s="242">
        <f t="shared" si="18"/>
        <v>7500</v>
      </c>
      <c r="K114" s="153"/>
      <c r="V114" s="25">
        <f t="shared" si="19"/>
        <v>1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130500</v>
      </c>
      <c r="K118" s="153"/>
      <c r="V118" s="25">
        <f>SUM(V94:V117)</f>
        <v>20</v>
      </c>
      <c r="W118" s="25">
        <f>SUM(W94:W117)</f>
        <v>0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4372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45202</v>
      </c>
      <c r="D126" s="185" t="s">
        <v>9</v>
      </c>
      <c r="E126" s="185" t="s">
        <v>1765</v>
      </c>
      <c r="F126" s="219">
        <v>125</v>
      </c>
      <c r="G126" s="231">
        <v>150</v>
      </c>
      <c r="H126" s="231">
        <v>25</v>
      </c>
      <c r="I126" s="219">
        <v>300</v>
      </c>
      <c r="J126" s="246">
        <f t="shared" ref="J126:J152" si="22">I126*H126</f>
        <v>7500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45203</v>
      </c>
      <c r="D127" s="185" t="s">
        <v>9</v>
      </c>
      <c r="E127" s="185" t="s">
        <v>1764</v>
      </c>
      <c r="F127" s="219">
        <v>125</v>
      </c>
      <c r="G127" s="219">
        <v>105</v>
      </c>
      <c r="H127" s="185">
        <v>-20</v>
      </c>
      <c r="I127" s="219">
        <v>300</v>
      </c>
      <c r="J127" s="242">
        <f t="shared" si="22"/>
        <v>-6000</v>
      </c>
      <c r="K127" s="153"/>
      <c r="V127" s="25">
        <f t="shared" ref="V127:V152" si="23">IF($J127&gt;0,1,0)</f>
        <v>0</v>
      </c>
      <c r="W127" s="25">
        <f t="shared" ref="W127:W152" si="24">IF($J127&lt;0,1,0)</f>
        <v>1</v>
      </c>
    </row>
    <row r="128" spans="1:23" x14ac:dyDescent="0.3">
      <c r="A128" s="147"/>
      <c r="B128" s="205">
        <f>B127+1</f>
        <v>3</v>
      </c>
      <c r="C128" s="206">
        <v>45204</v>
      </c>
      <c r="D128" s="161" t="s">
        <v>9</v>
      </c>
      <c r="E128" s="161" t="s">
        <v>4307</v>
      </c>
      <c r="F128" s="207">
        <v>125</v>
      </c>
      <c r="G128" s="207">
        <v>135</v>
      </c>
      <c r="H128" s="161">
        <v>10</v>
      </c>
      <c r="I128" s="207">
        <v>300</v>
      </c>
      <c r="J128" s="242">
        <f t="shared" si="22"/>
        <v>3000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ref="B129:B152" si="25">B128+1</f>
        <v>4</v>
      </c>
      <c r="C129" s="206">
        <v>45205</v>
      </c>
      <c r="D129" s="161" t="s">
        <v>9</v>
      </c>
      <c r="E129" s="161" t="s">
        <v>4365</v>
      </c>
      <c r="F129" s="207">
        <v>135</v>
      </c>
      <c r="G129" s="207">
        <v>165</v>
      </c>
      <c r="H129" s="161">
        <v>30</v>
      </c>
      <c r="I129" s="207">
        <v>300</v>
      </c>
      <c r="J129" s="242">
        <f t="shared" si="22"/>
        <v>9000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45208</v>
      </c>
      <c r="D130" s="161" t="s">
        <v>9</v>
      </c>
      <c r="E130" s="161" t="s">
        <v>1765</v>
      </c>
      <c r="F130" s="207">
        <v>120</v>
      </c>
      <c r="G130" s="207">
        <v>143</v>
      </c>
      <c r="H130" s="161">
        <f>143-120</f>
        <v>23</v>
      </c>
      <c r="I130" s="207">
        <v>300</v>
      </c>
      <c r="J130" s="242">
        <f t="shared" si="22"/>
        <v>6900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45209</v>
      </c>
      <c r="D131" s="161" t="s">
        <v>9</v>
      </c>
      <c r="E131" s="161" t="s">
        <v>4365</v>
      </c>
      <c r="F131" s="207">
        <v>125</v>
      </c>
      <c r="G131" s="222">
        <v>175</v>
      </c>
      <c r="H131" s="222"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45210</v>
      </c>
      <c r="D132" s="161" t="s">
        <v>9</v>
      </c>
      <c r="E132" s="161" t="s">
        <v>1770</v>
      </c>
      <c r="F132" s="207">
        <v>135</v>
      </c>
      <c r="G132" s="207">
        <v>160</v>
      </c>
      <c r="H132" s="161">
        <f>160-135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45211</v>
      </c>
      <c r="D133" s="161" t="s">
        <v>9</v>
      </c>
      <c r="E133" s="161" t="s">
        <v>1770</v>
      </c>
      <c r="F133" s="207">
        <v>105</v>
      </c>
      <c r="G133" s="207">
        <v>124</v>
      </c>
      <c r="H133" s="161">
        <f>124-105</f>
        <v>19</v>
      </c>
      <c r="I133" s="207">
        <v>300</v>
      </c>
      <c r="J133" s="242">
        <f t="shared" si="22"/>
        <v>5700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9</v>
      </c>
      <c r="C134" s="206">
        <v>45212</v>
      </c>
      <c r="D134" s="161" t="s">
        <v>9</v>
      </c>
      <c r="E134" s="161" t="s">
        <v>1816</v>
      </c>
      <c r="F134" s="207">
        <v>135</v>
      </c>
      <c r="G134" s="222">
        <v>160</v>
      </c>
      <c r="H134" s="161">
        <f>160-135</f>
        <v>25</v>
      </c>
      <c r="I134" s="207">
        <v>300</v>
      </c>
      <c r="J134" s="242">
        <f t="shared" si="22"/>
        <v>7500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45215</v>
      </c>
      <c r="D135" s="161" t="s">
        <v>9</v>
      </c>
      <c r="E135" s="161" t="s">
        <v>1770</v>
      </c>
      <c r="F135" s="207">
        <v>115</v>
      </c>
      <c r="G135" s="222">
        <v>140</v>
      </c>
      <c r="H135" s="222">
        <f>140-115</f>
        <v>25</v>
      </c>
      <c r="I135" s="207">
        <v>300</v>
      </c>
      <c r="J135" s="242">
        <f t="shared" si="22"/>
        <v>7500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45216</v>
      </c>
      <c r="D136" s="161" t="s">
        <v>9</v>
      </c>
      <c r="E136" s="161" t="s">
        <v>4381</v>
      </c>
      <c r="F136" s="207">
        <v>125</v>
      </c>
      <c r="G136" s="222">
        <v>135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45217</v>
      </c>
      <c r="D137" s="161" t="s">
        <v>9</v>
      </c>
      <c r="E137" s="161" t="s">
        <v>1770</v>
      </c>
      <c r="F137" s="207">
        <v>135</v>
      </c>
      <c r="G137" s="222">
        <v>160</v>
      </c>
      <c r="H137" s="222">
        <f>160-135</f>
        <v>25</v>
      </c>
      <c r="I137" s="207">
        <v>300</v>
      </c>
      <c r="J137" s="242">
        <f t="shared" si="22"/>
        <v>7500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13</v>
      </c>
      <c r="C138" s="206">
        <v>45218</v>
      </c>
      <c r="D138" s="161" t="s">
        <v>9</v>
      </c>
      <c r="E138" s="161" t="s">
        <v>1817</v>
      </c>
      <c r="F138" s="207">
        <v>150</v>
      </c>
      <c r="G138" s="207">
        <v>175</v>
      </c>
      <c r="H138" s="161">
        <f>175-150</f>
        <v>25</v>
      </c>
      <c r="I138" s="207">
        <v>300</v>
      </c>
      <c r="J138" s="242">
        <f t="shared" si="22"/>
        <v>7500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45219</v>
      </c>
      <c r="D139" s="161" t="s">
        <v>9</v>
      </c>
      <c r="E139" s="161" t="s">
        <v>1765</v>
      </c>
      <c r="F139" s="207">
        <v>125</v>
      </c>
      <c r="G139" s="207">
        <v>144</v>
      </c>
      <c r="H139" s="161">
        <f>144-125</f>
        <v>19</v>
      </c>
      <c r="I139" s="207">
        <v>300</v>
      </c>
      <c r="J139" s="242">
        <f t="shared" si="22"/>
        <v>5700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15</v>
      </c>
      <c r="C140" s="206">
        <v>45222</v>
      </c>
      <c r="D140" s="161" t="s">
        <v>9</v>
      </c>
      <c r="E140" s="161" t="s">
        <v>4271</v>
      </c>
      <c r="F140" s="207">
        <v>150</v>
      </c>
      <c r="G140" s="207">
        <v>200</v>
      </c>
      <c r="H140" s="161">
        <v>50</v>
      </c>
      <c r="I140" s="207">
        <v>300</v>
      </c>
      <c r="J140" s="242">
        <f t="shared" si="22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5"/>
        <v>16</v>
      </c>
      <c r="C141" s="206">
        <v>45224</v>
      </c>
      <c r="D141" s="161" t="s">
        <v>9</v>
      </c>
      <c r="E141" s="161" t="s">
        <v>2965</v>
      </c>
      <c r="F141" s="207">
        <v>145</v>
      </c>
      <c r="G141" s="207">
        <v>169</v>
      </c>
      <c r="H141" s="161">
        <f>169-145</f>
        <v>24</v>
      </c>
      <c r="I141" s="207">
        <v>300</v>
      </c>
      <c r="J141" s="242">
        <f t="shared" si="22"/>
        <v>7200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45225</v>
      </c>
      <c r="D142" s="161" t="s">
        <v>9</v>
      </c>
      <c r="E142" s="161" t="s">
        <v>4383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45226</v>
      </c>
      <c r="D143" s="161" t="s">
        <v>9</v>
      </c>
      <c r="E143" s="161" t="s">
        <v>4384</v>
      </c>
      <c r="F143" s="207">
        <v>145</v>
      </c>
      <c r="G143" s="222">
        <v>195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45229</v>
      </c>
      <c r="D144" s="161" t="s">
        <v>9</v>
      </c>
      <c r="E144" s="161" t="s">
        <v>4383</v>
      </c>
      <c r="F144" s="207">
        <v>135</v>
      </c>
      <c r="G144" s="222">
        <v>146</v>
      </c>
      <c r="H144" s="222">
        <f>146-135</f>
        <v>11</v>
      </c>
      <c r="I144" s="207">
        <v>300</v>
      </c>
      <c r="J144" s="242">
        <f t="shared" si="22"/>
        <v>3300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45230</v>
      </c>
      <c r="D145" s="161" t="s">
        <v>9</v>
      </c>
      <c r="E145" s="161" t="s">
        <v>1769</v>
      </c>
      <c r="F145" s="207">
        <v>135</v>
      </c>
      <c r="G145" s="222">
        <v>160</v>
      </c>
      <c r="H145" s="222">
        <f>160-135</f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150300</v>
      </c>
      <c r="K153" s="153"/>
      <c r="V153" s="25">
        <f>SUM(V126:V152)</f>
        <v>19</v>
      </c>
      <c r="W153" s="25">
        <f>SUM(W126:W152)</f>
        <v>1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4370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45202</v>
      </c>
      <c r="D161" s="185" t="s">
        <v>8</v>
      </c>
      <c r="E161" s="185" t="s">
        <v>4374</v>
      </c>
      <c r="F161" s="219">
        <v>44550</v>
      </c>
      <c r="G161" s="231">
        <v>44500</v>
      </c>
      <c r="H161" s="185">
        <f>44550-44500</f>
        <v>50</v>
      </c>
      <c r="I161" s="219">
        <v>60</v>
      </c>
      <c r="J161" s="246">
        <f t="shared" ref="J161:J186" si="26">I161*H161</f>
        <v>3000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45203</v>
      </c>
      <c r="D162" s="185" t="s">
        <v>8</v>
      </c>
      <c r="E162" s="185" t="s">
        <v>4374</v>
      </c>
      <c r="F162" s="219">
        <v>44200</v>
      </c>
      <c r="G162" s="219">
        <v>44050</v>
      </c>
      <c r="H162" s="185">
        <f>44200-44050</f>
        <v>150</v>
      </c>
      <c r="I162" s="219">
        <v>60</v>
      </c>
      <c r="J162" s="242">
        <f t="shared" si="26"/>
        <v>9000</v>
      </c>
      <c r="K162" s="153"/>
      <c r="V162" s="25">
        <f t="shared" ref="V162:V186" si="27">IF($J162&gt;0,1,0)</f>
        <v>1</v>
      </c>
      <c r="W162" s="25">
        <f t="shared" ref="W162:W186" si="28">IF($J162&lt;0,1,0)</f>
        <v>0</v>
      </c>
    </row>
    <row r="163" spans="1:23" x14ac:dyDescent="0.3">
      <c r="A163" s="147"/>
      <c r="B163" s="205">
        <f t="shared" ref="B163:B186" si="29">B162+1</f>
        <v>3</v>
      </c>
      <c r="C163" s="206">
        <v>45204</v>
      </c>
      <c r="D163" s="161" t="s">
        <v>9</v>
      </c>
      <c r="E163" s="161" t="s">
        <v>4374</v>
      </c>
      <c r="F163" s="207">
        <v>44400</v>
      </c>
      <c r="G163" s="207">
        <v>44550</v>
      </c>
      <c r="H163" s="161">
        <f>44550-44400</f>
        <v>150</v>
      </c>
      <c r="I163" s="207">
        <v>60</v>
      </c>
      <c r="J163" s="242">
        <f t="shared" si="26"/>
        <v>9000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45205</v>
      </c>
      <c r="D164" s="161" t="s">
        <v>9</v>
      </c>
      <c r="E164" s="161" t="s">
        <v>4374</v>
      </c>
      <c r="F164" s="207">
        <v>44500</v>
      </c>
      <c r="G164" s="207">
        <v>44650</v>
      </c>
      <c r="H164" s="161"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45208</v>
      </c>
      <c r="D165" s="161" t="s">
        <v>9</v>
      </c>
      <c r="E165" s="161" t="s">
        <v>4374</v>
      </c>
      <c r="F165" s="207">
        <v>44150</v>
      </c>
      <c r="G165" s="207">
        <v>44400</v>
      </c>
      <c r="H165" s="161">
        <v>-150</v>
      </c>
      <c r="I165" s="207">
        <v>60</v>
      </c>
      <c r="J165" s="242">
        <f t="shared" si="26"/>
        <v>-9000</v>
      </c>
      <c r="K165" s="153"/>
      <c r="V165" s="25">
        <f t="shared" si="27"/>
        <v>0</v>
      </c>
      <c r="W165" s="25">
        <f t="shared" si="28"/>
        <v>1</v>
      </c>
    </row>
    <row r="166" spans="1:23" x14ac:dyDescent="0.3">
      <c r="A166" s="147"/>
      <c r="B166" s="205">
        <f t="shared" si="29"/>
        <v>6</v>
      </c>
      <c r="C166" s="206">
        <v>45209</v>
      </c>
      <c r="D166" s="161" t="s">
        <v>9</v>
      </c>
      <c r="E166" s="161" t="s">
        <v>4374</v>
      </c>
      <c r="F166" s="207">
        <v>44250</v>
      </c>
      <c r="G166" s="207">
        <v>44550</v>
      </c>
      <c r="H166" s="161">
        <v>300</v>
      </c>
      <c r="I166" s="207">
        <v>60</v>
      </c>
      <c r="J166" s="242">
        <f t="shared" si="26"/>
        <v>18000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45210</v>
      </c>
      <c r="D167" s="161" t="s">
        <v>8</v>
      </c>
      <c r="E167" s="161" t="s">
        <v>4374</v>
      </c>
      <c r="F167" s="207">
        <v>44600</v>
      </c>
      <c r="G167" s="207">
        <v>44555</v>
      </c>
      <c r="H167" s="161">
        <f>44600-44555</f>
        <v>45</v>
      </c>
      <c r="I167" s="207">
        <v>60</v>
      </c>
      <c r="J167" s="242">
        <f t="shared" si="26"/>
        <v>2700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45211</v>
      </c>
      <c r="D168" s="161" t="s">
        <v>9</v>
      </c>
      <c r="E168" s="161" t="s">
        <v>4374</v>
      </c>
      <c r="F168" s="207">
        <v>44750</v>
      </c>
      <c r="G168" s="207">
        <v>44770</v>
      </c>
      <c r="H168" s="161">
        <f>44770-44750</f>
        <v>20</v>
      </c>
      <c r="I168" s="207">
        <v>60</v>
      </c>
      <c r="J168" s="242">
        <f t="shared" si="26"/>
        <v>1200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45212</v>
      </c>
      <c r="D169" s="161" t="s">
        <v>8</v>
      </c>
      <c r="E169" s="161" t="s">
        <v>4374</v>
      </c>
      <c r="F169" s="207">
        <v>44350</v>
      </c>
      <c r="G169" s="207">
        <v>44500</v>
      </c>
      <c r="H169" s="161">
        <v>-150</v>
      </c>
      <c r="I169" s="207">
        <v>60</v>
      </c>
      <c r="J169" s="242">
        <f t="shared" si="26"/>
        <v>-9000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10</v>
      </c>
      <c r="C170" s="206">
        <v>45215</v>
      </c>
      <c r="D170" s="161" t="s">
        <v>9</v>
      </c>
      <c r="E170" s="161" t="s">
        <v>4374</v>
      </c>
      <c r="F170" s="207">
        <v>44350</v>
      </c>
      <c r="G170" s="207">
        <v>44455</v>
      </c>
      <c r="H170" s="161">
        <f>44455-44350</f>
        <v>105</v>
      </c>
      <c r="I170" s="207">
        <v>60</v>
      </c>
      <c r="J170" s="242">
        <f t="shared" si="26"/>
        <v>6300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11</v>
      </c>
      <c r="C171" s="206">
        <v>45216</v>
      </c>
      <c r="D171" s="161" t="s">
        <v>9</v>
      </c>
      <c r="E171" s="161" t="s">
        <v>4374</v>
      </c>
      <c r="F171" s="207">
        <v>44550</v>
      </c>
      <c r="G171" s="207">
        <v>44595</v>
      </c>
      <c r="H171" s="161">
        <f>44595-44550</f>
        <v>45</v>
      </c>
      <c r="I171" s="207">
        <v>60</v>
      </c>
      <c r="J171" s="242">
        <f t="shared" si="26"/>
        <v>2700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45217</v>
      </c>
      <c r="D172" s="161" t="s">
        <v>9</v>
      </c>
      <c r="E172" s="161" t="s">
        <v>4374</v>
      </c>
      <c r="F172" s="207">
        <v>44350</v>
      </c>
      <c r="G172" s="207">
        <v>44480</v>
      </c>
      <c r="H172" s="161">
        <f>44480-44350</f>
        <v>130</v>
      </c>
      <c r="I172" s="207">
        <v>60</v>
      </c>
      <c r="J172" s="242">
        <f t="shared" si="26"/>
        <v>7800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13</v>
      </c>
      <c r="C173" s="206">
        <v>45218</v>
      </c>
      <c r="D173" s="161" t="s">
        <v>8</v>
      </c>
      <c r="E173" s="161" t="s">
        <v>4374</v>
      </c>
      <c r="F173" s="207">
        <v>43900</v>
      </c>
      <c r="G173" s="207">
        <v>43785</v>
      </c>
      <c r="H173" s="161">
        <f>43900-43785</f>
        <v>115</v>
      </c>
      <c r="I173" s="207">
        <v>60</v>
      </c>
      <c r="J173" s="242">
        <f t="shared" si="26"/>
        <v>6900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45219</v>
      </c>
      <c r="D174" s="161" t="s">
        <v>9</v>
      </c>
      <c r="E174" s="161" t="s">
        <v>4374</v>
      </c>
      <c r="F174" s="207">
        <v>43800</v>
      </c>
      <c r="G174" s="207">
        <v>43650</v>
      </c>
      <c r="H174" s="161">
        <v>-150</v>
      </c>
      <c r="I174" s="207">
        <v>60</v>
      </c>
      <c r="J174" s="242">
        <f t="shared" si="26"/>
        <v>-9000</v>
      </c>
      <c r="K174" s="153"/>
      <c r="V174" s="25">
        <f t="shared" si="27"/>
        <v>0</v>
      </c>
      <c r="W174" s="25">
        <f t="shared" si="28"/>
        <v>1</v>
      </c>
    </row>
    <row r="175" spans="1:23" x14ac:dyDescent="0.3">
      <c r="A175" s="147"/>
      <c r="B175" s="205">
        <f t="shared" si="29"/>
        <v>15</v>
      </c>
      <c r="C175" s="206">
        <v>45222</v>
      </c>
      <c r="D175" s="161" t="s">
        <v>8</v>
      </c>
      <c r="E175" s="161" t="s">
        <v>4374</v>
      </c>
      <c r="F175" s="207">
        <v>43600</v>
      </c>
      <c r="G175" s="207">
        <v>43300</v>
      </c>
      <c r="H175" s="161">
        <v>300</v>
      </c>
      <c r="I175" s="207">
        <v>60</v>
      </c>
      <c r="J175" s="242">
        <f t="shared" si="26"/>
        <v>18000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45224</v>
      </c>
      <c r="D176" s="161" t="s">
        <v>8</v>
      </c>
      <c r="E176" s="161" t="s">
        <v>4374</v>
      </c>
      <c r="F176" s="207">
        <v>42950</v>
      </c>
      <c r="G176" s="207">
        <v>42800</v>
      </c>
      <c r="H176" s="161">
        <v>150</v>
      </c>
      <c r="I176" s="207">
        <v>60</v>
      </c>
      <c r="J176" s="242">
        <f t="shared" si="26"/>
        <v>9000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45225</v>
      </c>
      <c r="D177" s="161" t="s">
        <v>8</v>
      </c>
      <c r="E177" s="161" t="s">
        <v>4374</v>
      </c>
      <c r="F177" s="207">
        <v>42400</v>
      </c>
      <c r="G177" s="207">
        <v>42100</v>
      </c>
      <c r="H177" s="161">
        <v>300</v>
      </c>
      <c r="I177" s="207">
        <v>60</v>
      </c>
      <c r="J177" s="242">
        <f t="shared" si="26"/>
        <v>18000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45226</v>
      </c>
      <c r="D178" s="161" t="s">
        <v>9</v>
      </c>
      <c r="E178" s="161" t="s">
        <v>4374</v>
      </c>
      <c r="F178" s="207">
        <v>42950</v>
      </c>
      <c r="G178" s="207">
        <v>43086</v>
      </c>
      <c r="H178" s="161">
        <f>43086-42950</f>
        <v>136</v>
      </c>
      <c r="I178" s="207">
        <v>60</v>
      </c>
      <c r="J178" s="242">
        <f t="shared" si="26"/>
        <v>8160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45229</v>
      </c>
      <c r="D179" s="161" t="s">
        <v>8</v>
      </c>
      <c r="E179" s="161" t="s">
        <v>4374</v>
      </c>
      <c r="F179" s="207">
        <v>42700</v>
      </c>
      <c r="G179" s="207">
        <v>42850</v>
      </c>
      <c r="H179" s="161">
        <f>42850-42700</f>
        <v>150</v>
      </c>
      <c r="I179" s="207">
        <v>60</v>
      </c>
      <c r="J179" s="242">
        <f t="shared" si="26"/>
        <v>9000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>
        <v>45230</v>
      </c>
      <c r="D180" s="161" t="s">
        <v>8</v>
      </c>
      <c r="E180" s="161" t="s">
        <v>4374</v>
      </c>
      <c r="F180" s="207">
        <v>43250</v>
      </c>
      <c r="G180" s="207">
        <v>43020</v>
      </c>
      <c r="H180" s="161">
        <f>43250-43020</f>
        <v>230</v>
      </c>
      <c r="I180" s="207">
        <v>60</v>
      </c>
      <c r="J180" s="242">
        <f t="shared" si="26"/>
        <v>13800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6"/>
        <v>0</v>
      </c>
      <c r="K181" s="153"/>
      <c r="V181" s="25">
        <f t="shared" si="27"/>
        <v>0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124560</v>
      </c>
      <c r="K187" s="153"/>
      <c r="V187" s="25">
        <f>SUM(V161:V186)</f>
        <v>17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4372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45202</v>
      </c>
      <c r="D195" s="185" t="s">
        <v>9</v>
      </c>
      <c r="E195" s="185" t="s">
        <v>4321</v>
      </c>
      <c r="F195" s="231">
        <v>320</v>
      </c>
      <c r="G195" s="231">
        <v>365</v>
      </c>
      <c r="H195" s="231">
        <f>365-320</f>
        <v>45</v>
      </c>
      <c r="I195" s="219">
        <v>120</v>
      </c>
      <c r="J195" s="246">
        <f t="shared" ref="J195:J220" si="30">I195*H195</f>
        <v>5400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45203</v>
      </c>
      <c r="D196" s="185" t="s">
        <v>9</v>
      </c>
      <c r="E196" s="185" t="s">
        <v>4198</v>
      </c>
      <c r="F196" s="231">
        <v>290</v>
      </c>
      <c r="G196" s="231">
        <v>370</v>
      </c>
      <c r="H196" s="231">
        <f>370-290</f>
        <v>80</v>
      </c>
      <c r="I196" s="219">
        <v>120</v>
      </c>
      <c r="J196" s="242">
        <f t="shared" si="30"/>
        <v>9600</v>
      </c>
      <c r="K196" s="153"/>
      <c r="V196" s="25">
        <f t="shared" ref="V196:V220" si="31">IF($J196&gt;0,1,0)</f>
        <v>1</v>
      </c>
      <c r="W196" s="25">
        <f t="shared" ref="W196:W220" si="32">IF($J196&lt;0,1,0)</f>
        <v>0</v>
      </c>
    </row>
    <row r="197" spans="1:23" x14ac:dyDescent="0.3">
      <c r="A197" s="147"/>
      <c r="B197" s="205">
        <f t="shared" ref="B197:B216" si="33">B196+1</f>
        <v>3</v>
      </c>
      <c r="C197" s="206">
        <v>45204</v>
      </c>
      <c r="D197" s="161" t="s">
        <v>9</v>
      </c>
      <c r="E197" s="161" t="s">
        <v>4213</v>
      </c>
      <c r="F197" s="222">
        <v>320</v>
      </c>
      <c r="G197" s="222">
        <v>393</v>
      </c>
      <c r="H197" s="222">
        <f>393-320</f>
        <v>73</v>
      </c>
      <c r="I197" s="207">
        <v>120</v>
      </c>
      <c r="J197" s="242">
        <f t="shared" si="30"/>
        <v>8760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45205</v>
      </c>
      <c r="D198" s="161" t="s">
        <v>9</v>
      </c>
      <c r="E198" s="161" t="s">
        <v>4213</v>
      </c>
      <c r="F198" s="222">
        <v>330</v>
      </c>
      <c r="G198" s="222">
        <v>430</v>
      </c>
      <c r="H198" s="222">
        <v>100</v>
      </c>
      <c r="I198" s="207">
        <v>120</v>
      </c>
      <c r="J198" s="242">
        <f t="shared" si="30"/>
        <v>12000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45208</v>
      </c>
      <c r="D199" s="161" t="s">
        <v>9</v>
      </c>
      <c r="E199" s="161" t="s">
        <v>4196</v>
      </c>
      <c r="F199" s="222">
        <v>330</v>
      </c>
      <c r="G199" s="222">
        <v>310</v>
      </c>
      <c r="H199" s="222">
        <v>-20</v>
      </c>
      <c r="I199" s="207">
        <v>120</v>
      </c>
      <c r="J199" s="242">
        <f t="shared" si="30"/>
        <v>-2400</v>
      </c>
      <c r="K199" s="153"/>
      <c r="O199" s="25" t="s">
        <v>2008</v>
      </c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6</v>
      </c>
      <c r="C200" s="206">
        <v>45209</v>
      </c>
      <c r="D200" s="161" t="s">
        <v>9</v>
      </c>
      <c r="E200" s="161" t="s">
        <v>4040</v>
      </c>
      <c r="F200" s="222">
        <v>320</v>
      </c>
      <c r="G200" s="222">
        <v>480</v>
      </c>
      <c r="H200" s="222">
        <f>480-320</f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45210</v>
      </c>
      <c r="D201" s="161" t="s">
        <v>9</v>
      </c>
      <c r="E201" s="161" t="s">
        <v>4328</v>
      </c>
      <c r="F201" s="222">
        <v>330</v>
      </c>
      <c r="G201" s="222">
        <v>396</v>
      </c>
      <c r="H201" s="222">
        <f>396-330</f>
        <v>66</v>
      </c>
      <c r="I201" s="207">
        <v>120</v>
      </c>
      <c r="J201" s="242">
        <f t="shared" si="30"/>
        <v>7920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45211</v>
      </c>
      <c r="D202" s="161" t="s">
        <v>9</v>
      </c>
      <c r="E202" s="161" t="s">
        <v>4273</v>
      </c>
      <c r="F202" s="222">
        <v>320</v>
      </c>
      <c r="G202" s="222">
        <v>295</v>
      </c>
      <c r="H202" s="222">
        <f>320-295</f>
        <v>25</v>
      </c>
      <c r="I202" s="207">
        <v>120</v>
      </c>
      <c r="J202" s="242">
        <f t="shared" si="30"/>
        <v>3000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45212</v>
      </c>
      <c r="D203" s="161" t="s">
        <v>9</v>
      </c>
      <c r="E203" s="161" t="s">
        <v>4215</v>
      </c>
      <c r="F203" s="222">
        <v>290</v>
      </c>
      <c r="G203" s="222">
        <v>328</v>
      </c>
      <c r="H203" s="255">
        <f>328-290</f>
        <v>38</v>
      </c>
      <c r="I203" s="207">
        <v>120</v>
      </c>
      <c r="J203" s="242">
        <f t="shared" si="30"/>
        <v>4560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45215</v>
      </c>
      <c r="D204" s="161" t="s">
        <v>9</v>
      </c>
      <c r="E204" s="161" t="s">
        <v>4226</v>
      </c>
      <c r="F204" s="222">
        <v>340</v>
      </c>
      <c r="G204" s="222">
        <v>420</v>
      </c>
      <c r="H204" s="255">
        <f>420-340</f>
        <v>80</v>
      </c>
      <c r="I204" s="207">
        <v>120</v>
      </c>
      <c r="J204" s="242">
        <f t="shared" si="30"/>
        <v>9600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45216</v>
      </c>
      <c r="D205" s="161" t="s">
        <v>9</v>
      </c>
      <c r="E205" s="161" t="s">
        <v>4213</v>
      </c>
      <c r="F205" s="222">
        <v>340</v>
      </c>
      <c r="G205" s="222">
        <v>370</v>
      </c>
      <c r="H205" s="255">
        <v>30</v>
      </c>
      <c r="I205" s="207">
        <v>120</v>
      </c>
      <c r="J205" s="242">
        <f t="shared" si="30"/>
        <v>3600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45217</v>
      </c>
      <c r="D206" s="161" t="s">
        <v>9</v>
      </c>
      <c r="E206" s="161" t="s">
        <v>4040</v>
      </c>
      <c r="F206" s="222">
        <v>330</v>
      </c>
      <c r="G206" s="222">
        <v>490</v>
      </c>
      <c r="H206" s="255">
        <f>490-330</f>
        <v>160</v>
      </c>
      <c r="I206" s="207">
        <v>120</v>
      </c>
      <c r="J206" s="242">
        <f t="shared" si="30"/>
        <v>19200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45218</v>
      </c>
      <c r="D207" s="161" t="s">
        <v>9</v>
      </c>
      <c r="E207" s="161" t="s">
        <v>4207</v>
      </c>
      <c r="F207" s="222">
        <v>300</v>
      </c>
      <c r="G207" s="222">
        <v>410</v>
      </c>
      <c r="H207" s="255">
        <f>410-300</f>
        <v>110</v>
      </c>
      <c r="I207" s="207">
        <v>120</v>
      </c>
      <c r="J207" s="242">
        <f t="shared" si="30"/>
        <v>13200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14</v>
      </c>
      <c r="C208" s="206">
        <v>45219</v>
      </c>
      <c r="D208" s="161" t="s">
        <v>9</v>
      </c>
      <c r="E208" s="161" t="s">
        <v>4033</v>
      </c>
      <c r="F208" s="207">
        <v>320</v>
      </c>
      <c r="G208" s="207">
        <v>400</v>
      </c>
      <c r="H208" s="161">
        <f>400-320</f>
        <v>80</v>
      </c>
      <c r="I208" s="207">
        <v>120</v>
      </c>
      <c r="J208" s="242">
        <f t="shared" si="30"/>
        <v>9600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45222</v>
      </c>
      <c r="D209" s="161" t="s">
        <v>9</v>
      </c>
      <c r="E209" s="161" t="s">
        <v>4208</v>
      </c>
      <c r="F209" s="207">
        <v>320</v>
      </c>
      <c r="G209" s="207">
        <v>255</v>
      </c>
      <c r="H209" s="161">
        <v>-65</v>
      </c>
      <c r="I209" s="207">
        <v>120</v>
      </c>
      <c r="J209" s="242">
        <f t="shared" si="30"/>
        <v>-7800</v>
      </c>
      <c r="K209" s="153"/>
      <c r="V209" s="25">
        <f t="shared" si="31"/>
        <v>0</v>
      </c>
      <c r="W209" s="25">
        <f t="shared" si="32"/>
        <v>1</v>
      </c>
    </row>
    <row r="210" spans="1:23" x14ac:dyDescent="0.3">
      <c r="A210" s="147"/>
      <c r="B210" s="205">
        <f t="shared" si="33"/>
        <v>16</v>
      </c>
      <c r="C210" s="206">
        <v>45222</v>
      </c>
      <c r="D210" s="161" t="s">
        <v>9</v>
      </c>
      <c r="E210" s="161" t="s">
        <v>4050</v>
      </c>
      <c r="F210" s="207">
        <v>380</v>
      </c>
      <c r="G210" s="207">
        <v>540</v>
      </c>
      <c r="H210" s="161">
        <f>540-380</f>
        <v>160</v>
      </c>
      <c r="I210" s="207">
        <v>120</v>
      </c>
      <c r="J210" s="242">
        <f t="shared" si="30"/>
        <v>19200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45224</v>
      </c>
      <c r="D211" s="161" t="s">
        <v>9</v>
      </c>
      <c r="E211" s="161" t="s">
        <v>4006</v>
      </c>
      <c r="F211" s="207">
        <v>320</v>
      </c>
      <c r="G211" s="207">
        <v>370</v>
      </c>
      <c r="H211" s="161">
        <v>50</v>
      </c>
      <c r="I211" s="207">
        <v>120</v>
      </c>
      <c r="J211" s="242">
        <f t="shared" si="30"/>
        <v>6000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45225</v>
      </c>
      <c r="D212" s="161" t="s">
        <v>9</v>
      </c>
      <c r="E212" s="161" t="s">
        <v>3996</v>
      </c>
      <c r="F212" s="207">
        <v>320</v>
      </c>
      <c r="G212" s="207">
        <v>480</v>
      </c>
      <c r="H212" s="161">
        <f>480-320</f>
        <v>160</v>
      </c>
      <c r="I212" s="207">
        <v>120</v>
      </c>
      <c r="J212" s="242">
        <f t="shared" si="30"/>
        <v>19200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45226</v>
      </c>
      <c r="D213" s="161" t="s">
        <v>9</v>
      </c>
      <c r="E213" s="161" t="s">
        <v>4086</v>
      </c>
      <c r="F213" s="207">
        <v>300</v>
      </c>
      <c r="G213" s="207">
        <v>363</v>
      </c>
      <c r="H213" s="161">
        <v>63</v>
      </c>
      <c r="I213" s="207">
        <v>120</v>
      </c>
      <c r="J213" s="161">
        <f t="shared" si="30"/>
        <v>7560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45229</v>
      </c>
      <c r="D214" s="161" t="s">
        <v>9</v>
      </c>
      <c r="E214" s="161" t="s">
        <v>4086</v>
      </c>
      <c r="F214" s="207">
        <v>310</v>
      </c>
      <c r="G214" s="207">
        <v>470</v>
      </c>
      <c r="H214" s="161">
        <f>470-310</f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45230</v>
      </c>
      <c r="D215" s="161" t="s">
        <v>9</v>
      </c>
      <c r="E215" s="161" t="s">
        <v>4045</v>
      </c>
      <c r="F215" s="207">
        <v>280</v>
      </c>
      <c r="G215" s="207">
        <v>415</v>
      </c>
      <c r="H215" s="161">
        <f>415-280</f>
        <v>135</v>
      </c>
      <c r="I215" s="207">
        <v>120</v>
      </c>
      <c r="J215" s="161">
        <f t="shared" si="30"/>
        <v>16200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0"/>
        <v>0</v>
      </c>
      <c r="K216" s="153"/>
      <c r="T216" s="25" t="s">
        <v>2008</v>
      </c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202800</v>
      </c>
      <c r="K221" s="153"/>
      <c r="V221" s="25">
        <f>SUM(V195:V220)</f>
        <v>19</v>
      </c>
      <c r="W221" s="25">
        <f>SUM(W195:W220)</f>
        <v>2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3946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45202</v>
      </c>
      <c r="D229" s="185" t="s">
        <v>9</v>
      </c>
      <c r="E229" s="185" t="s">
        <v>3572</v>
      </c>
      <c r="F229" s="231">
        <v>155</v>
      </c>
      <c r="G229" s="231">
        <v>170</v>
      </c>
      <c r="H229" s="231">
        <f>170-155</f>
        <v>15</v>
      </c>
      <c r="I229" s="219">
        <v>200</v>
      </c>
      <c r="J229" s="246">
        <f t="shared" ref="J229:J252" si="34">I229*H229</f>
        <v>3000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45203</v>
      </c>
      <c r="D230" s="185" t="s">
        <v>9</v>
      </c>
      <c r="E230" s="185" t="s">
        <v>4375</v>
      </c>
      <c r="F230" s="231">
        <v>11</v>
      </c>
      <c r="G230" s="231">
        <v>17</v>
      </c>
      <c r="H230" s="231">
        <v>6</v>
      </c>
      <c r="I230" s="219">
        <v>1500</v>
      </c>
      <c r="J230" s="242">
        <f>I230*H230</f>
        <v>9000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45204</v>
      </c>
      <c r="D231" s="161" t="s">
        <v>9</v>
      </c>
      <c r="E231" s="161" t="s">
        <v>4376</v>
      </c>
      <c r="F231" s="222">
        <v>160</v>
      </c>
      <c r="G231" s="222">
        <v>178</v>
      </c>
      <c r="H231" s="222">
        <v>18</v>
      </c>
      <c r="I231" s="207">
        <v>200</v>
      </c>
      <c r="J231" s="242">
        <f t="shared" si="34"/>
        <v>3600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45205</v>
      </c>
      <c r="D232" s="161" t="s">
        <v>9</v>
      </c>
      <c r="E232" s="161" t="s">
        <v>4377</v>
      </c>
      <c r="F232" s="222">
        <v>90</v>
      </c>
      <c r="G232" s="222">
        <v>75</v>
      </c>
      <c r="H232" s="222">
        <v>-15</v>
      </c>
      <c r="I232" s="207">
        <v>300</v>
      </c>
      <c r="J232" s="242">
        <f t="shared" si="34"/>
        <v>-4500</v>
      </c>
      <c r="K232" s="153"/>
      <c r="V232" s="25">
        <f t="shared" si="36"/>
        <v>0</v>
      </c>
      <c r="W232" s="25">
        <f t="shared" si="37"/>
        <v>1</v>
      </c>
    </row>
    <row r="233" spans="1:23" x14ac:dyDescent="0.3">
      <c r="A233" s="147"/>
      <c r="B233" s="205">
        <f t="shared" si="35"/>
        <v>5</v>
      </c>
      <c r="C233" s="206">
        <v>45208</v>
      </c>
      <c r="D233" s="161" t="s">
        <v>9</v>
      </c>
      <c r="E233" s="161" t="s">
        <v>4378</v>
      </c>
      <c r="F233" s="222">
        <v>88</v>
      </c>
      <c r="G233" s="222">
        <v>100</v>
      </c>
      <c r="H233" s="222">
        <f>100-88</f>
        <v>12</v>
      </c>
      <c r="I233" s="207">
        <v>175</v>
      </c>
      <c r="J233" s="242">
        <f t="shared" si="34"/>
        <v>2100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6</v>
      </c>
      <c r="C234" s="206">
        <v>45209</v>
      </c>
      <c r="D234" s="161" t="s">
        <v>9</v>
      </c>
      <c r="E234" s="161" t="s">
        <v>4337</v>
      </c>
      <c r="F234" s="222">
        <v>140</v>
      </c>
      <c r="G234" s="222">
        <v>154</v>
      </c>
      <c r="H234" s="222">
        <v>14</v>
      </c>
      <c r="I234" s="207">
        <v>200</v>
      </c>
      <c r="J234" s="242">
        <f t="shared" si="34"/>
        <v>2800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45210</v>
      </c>
      <c r="D235" s="161" t="s">
        <v>9</v>
      </c>
      <c r="E235" s="161" t="s">
        <v>4337</v>
      </c>
      <c r="F235" s="222">
        <v>145</v>
      </c>
      <c r="G235" s="222">
        <v>185</v>
      </c>
      <c r="H235" s="222">
        <f>185-145</f>
        <v>40</v>
      </c>
      <c r="I235" s="207">
        <v>200</v>
      </c>
      <c r="J235" s="242">
        <f t="shared" si="34"/>
        <v>8000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45211</v>
      </c>
      <c r="D236" s="161" t="s">
        <v>9</v>
      </c>
      <c r="E236" s="161" t="s">
        <v>4379</v>
      </c>
      <c r="F236" s="222">
        <v>50</v>
      </c>
      <c r="G236" s="222">
        <v>80</v>
      </c>
      <c r="H236" s="222">
        <v>30</v>
      </c>
      <c r="I236" s="207">
        <v>300</v>
      </c>
      <c r="J236" s="242">
        <f t="shared" si="34"/>
        <v>9000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45212</v>
      </c>
      <c r="D237" s="161" t="s">
        <v>9</v>
      </c>
      <c r="E237" s="161" t="s">
        <v>4380</v>
      </c>
      <c r="F237" s="222">
        <v>160</v>
      </c>
      <c r="G237" s="222">
        <v>174</v>
      </c>
      <c r="H237" s="255">
        <v>14</v>
      </c>
      <c r="I237" s="207">
        <v>200</v>
      </c>
      <c r="J237" s="242">
        <f t="shared" si="34"/>
        <v>2800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45215</v>
      </c>
      <c r="D238" s="161" t="s">
        <v>9</v>
      </c>
      <c r="E238" s="161" t="s">
        <v>3572</v>
      </c>
      <c r="F238" s="222">
        <v>130</v>
      </c>
      <c r="G238" s="222">
        <v>140</v>
      </c>
      <c r="H238" s="255">
        <v>10</v>
      </c>
      <c r="I238" s="207">
        <v>200</v>
      </c>
      <c r="J238" s="242">
        <f t="shared" si="34"/>
        <v>2000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45216</v>
      </c>
      <c r="D239" s="161" t="s">
        <v>9</v>
      </c>
      <c r="E239" s="161" t="s">
        <v>3572</v>
      </c>
      <c r="F239" s="222">
        <v>140</v>
      </c>
      <c r="G239" s="222">
        <v>158</v>
      </c>
      <c r="H239" s="255">
        <v>18</v>
      </c>
      <c r="I239" s="207">
        <v>200</v>
      </c>
      <c r="J239" s="242">
        <f t="shared" si="34"/>
        <v>3600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45217</v>
      </c>
      <c r="D240" s="161" t="s">
        <v>9</v>
      </c>
      <c r="E240" s="161" t="s">
        <v>3572</v>
      </c>
      <c r="F240" s="222">
        <v>125</v>
      </c>
      <c r="G240" s="222">
        <v>145</v>
      </c>
      <c r="H240" s="255">
        <v>20</v>
      </c>
      <c r="I240" s="207">
        <v>200</v>
      </c>
      <c r="J240" s="242">
        <f t="shared" si="34"/>
        <v>4000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45218</v>
      </c>
      <c r="D241" s="161" t="s">
        <v>9</v>
      </c>
      <c r="E241" s="161" t="s">
        <v>3572</v>
      </c>
      <c r="F241" s="222">
        <v>125</v>
      </c>
      <c r="G241" s="222">
        <v>165</v>
      </c>
      <c r="H241" s="255">
        <v>40</v>
      </c>
      <c r="I241" s="207">
        <v>200</v>
      </c>
      <c r="J241" s="242">
        <f t="shared" si="34"/>
        <v>8000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45219</v>
      </c>
      <c r="D242" s="161" t="s">
        <v>9</v>
      </c>
      <c r="E242" s="161" t="s">
        <v>4382</v>
      </c>
      <c r="F242" s="222">
        <v>25</v>
      </c>
      <c r="G242" s="222">
        <v>15</v>
      </c>
      <c r="H242" s="255">
        <v>-10</v>
      </c>
      <c r="I242" s="207">
        <v>367</v>
      </c>
      <c r="J242" s="242">
        <f>I242*H242</f>
        <v>-3670</v>
      </c>
      <c r="K242" s="153"/>
      <c r="V242" s="25">
        <f t="shared" si="36"/>
        <v>0</v>
      </c>
      <c r="W242" s="25">
        <f t="shared" si="37"/>
        <v>1</v>
      </c>
    </row>
    <row r="243" spans="1:23" x14ac:dyDescent="0.3">
      <c r="A243" s="147"/>
      <c r="B243" s="205">
        <f t="shared" si="35"/>
        <v>15</v>
      </c>
      <c r="C243" s="206">
        <v>45222</v>
      </c>
      <c r="D243" s="161" t="s">
        <v>9</v>
      </c>
      <c r="E243" s="161" t="s">
        <v>4385</v>
      </c>
      <c r="F243" s="222">
        <v>35</v>
      </c>
      <c r="G243" s="222">
        <v>38.5</v>
      </c>
      <c r="H243" s="255">
        <v>3.5</v>
      </c>
      <c r="I243" s="207">
        <v>400</v>
      </c>
      <c r="J243" s="242">
        <f t="shared" si="34"/>
        <v>1400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45224</v>
      </c>
      <c r="D244" s="161" t="s">
        <v>9</v>
      </c>
      <c r="E244" s="161" t="s">
        <v>4246</v>
      </c>
      <c r="F244" s="222">
        <v>6</v>
      </c>
      <c r="G244" s="222">
        <v>12</v>
      </c>
      <c r="H244" s="222">
        <v>6</v>
      </c>
      <c r="I244" s="207">
        <v>700</v>
      </c>
      <c r="J244" s="242">
        <f t="shared" si="34"/>
        <v>4200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45225</v>
      </c>
      <c r="D245" s="161" t="s">
        <v>9</v>
      </c>
      <c r="E245" s="161" t="s">
        <v>4386</v>
      </c>
      <c r="F245" s="222">
        <v>60</v>
      </c>
      <c r="G245" s="222">
        <v>75</v>
      </c>
      <c r="H245" s="222">
        <v>15</v>
      </c>
      <c r="I245" s="207">
        <v>200</v>
      </c>
      <c r="J245" s="242">
        <f t="shared" si="34"/>
        <v>3000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45226</v>
      </c>
      <c r="D246" s="161" t="s">
        <v>9</v>
      </c>
      <c r="E246" s="161" t="s">
        <v>3586</v>
      </c>
      <c r="F246" s="222">
        <v>200</v>
      </c>
      <c r="G246" s="222">
        <v>213</v>
      </c>
      <c r="H246" s="222">
        <v>13</v>
      </c>
      <c r="I246" s="207">
        <v>200</v>
      </c>
      <c r="J246" s="242">
        <f t="shared" si="34"/>
        <v>2600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>
        <v>45229</v>
      </c>
      <c r="D247" s="161" t="s">
        <v>9</v>
      </c>
      <c r="E247" s="161" t="s">
        <v>4354</v>
      </c>
      <c r="F247" s="222">
        <v>160</v>
      </c>
      <c r="G247" s="222">
        <v>183</v>
      </c>
      <c r="H247" s="222">
        <f>183-160</f>
        <v>23</v>
      </c>
      <c r="I247" s="207">
        <v>200</v>
      </c>
      <c r="J247" s="242">
        <f t="shared" si="34"/>
        <v>4600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45230</v>
      </c>
      <c r="D248" s="161" t="s">
        <v>9</v>
      </c>
      <c r="E248" s="161" t="s">
        <v>4337</v>
      </c>
      <c r="F248" s="222">
        <v>190</v>
      </c>
      <c r="G248" s="222">
        <v>205</v>
      </c>
      <c r="H248" s="222">
        <f>205-190</f>
        <v>15</v>
      </c>
      <c r="I248" s="207">
        <v>200</v>
      </c>
      <c r="J248" s="242">
        <f t="shared" si="34"/>
        <v>3000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68530</v>
      </c>
      <c r="K253" s="153"/>
      <c r="V253" s="25">
        <f>SUM(V229:V252)</f>
        <v>18</v>
      </c>
      <c r="W253" s="25">
        <f>SUM(W229:W252)</f>
        <v>2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7E00-000000000000}"/>
    <hyperlink ref="B118" r:id="rId2" xr:uid="{00000000-0004-0000-7E00-000001000000}"/>
    <hyperlink ref="B153" r:id="rId3" xr:uid="{00000000-0004-0000-7E00-000002000000}"/>
    <hyperlink ref="B187" r:id="rId4" xr:uid="{00000000-0004-0000-7E00-000003000000}"/>
    <hyperlink ref="B221" r:id="rId5" xr:uid="{00000000-0004-0000-7E00-000004000000}"/>
    <hyperlink ref="B253" r:id="rId6" xr:uid="{00000000-0004-0000-7E00-000005000000}"/>
    <hyperlink ref="M1" location="'MASTER '!A1" display="Back" xr:uid="{00000000-0004-0000-7E00-000006000000}"/>
    <hyperlink ref="M6:M7" location="'OCT 2023'!A77" display="STOCK FUTURE" xr:uid="{00000000-0004-0000-7E00-000007000000}"/>
    <hyperlink ref="M12:M13" location="'OCT 2023'!A170" display="BANK NIFTY" xr:uid="{00000000-0004-0000-7E00-000008000000}"/>
    <hyperlink ref="M10:M11" location="'OCT 2023'!A139" display="NF. OPTION" xr:uid="{00000000-0004-0000-7E00-000009000000}"/>
    <hyperlink ref="M8:M9" location="'OCT 2023'!A108" display="NIFTY FUTURE" xr:uid="{00000000-0004-0000-7E00-00000A000000}"/>
    <hyperlink ref="M4:M5" location="'OCT 2023'!A1" display="CASH" xr:uid="{00000000-0004-0000-7E00-00000B000000}"/>
    <hyperlink ref="M14:M15" location="'OCT 2023'!A201" display="B.NIFTY OPTION" xr:uid="{00000000-0004-0000-7E00-00000C000000}"/>
    <hyperlink ref="M16:M17" location="'OCT 2023'!A216" display="STOCK OPTION" xr:uid="{00000000-0004-0000-7E00-00000D000000}"/>
    <hyperlink ref="B52" r:id="rId7" xr:uid="{00000000-0004-0000-7E00-00000E000000}"/>
  </hyperlinks>
  <pageMargins left="0" right="0" top="0" bottom="0" header="0" footer="0"/>
  <pageSetup scale="95" orientation="portrait" r:id="rId8"/>
  <ignoredErrors>
    <ignoredError sqref="J33:J45" evalError="1"/>
  </ignoredErrors>
  <drawing r:id="rId9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W254"/>
  <sheetViews>
    <sheetView topLeftCell="A79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4388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29</v>
      </c>
      <c r="O4" s="386">
        <f>V52</f>
        <v>26</v>
      </c>
      <c r="P4" s="386">
        <f>W52</f>
        <v>3</v>
      </c>
      <c r="Q4" s="387">
        <f>N4-O4-P4</f>
        <v>0</v>
      </c>
      <c r="R4" s="380">
        <f>O4/N4</f>
        <v>0.89655172413793105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45231</v>
      </c>
      <c r="D6" s="158" t="s">
        <v>9</v>
      </c>
      <c r="E6" s="158" t="s">
        <v>308</v>
      </c>
      <c r="F6" s="230">
        <v>253</v>
      </c>
      <c r="G6" s="222">
        <v>254.6</v>
      </c>
      <c r="H6" s="222">
        <v>1.6</v>
      </c>
      <c r="I6" s="207">
        <f t="shared" ref="I6:I7" si="0">300000/F6</f>
        <v>1185.7707509881423</v>
      </c>
      <c r="J6" s="161">
        <f t="shared" ref="J6" si="1">H6*I6</f>
        <v>1897.2332015810277</v>
      </c>
      <c r="K6" s="153"/>
      <c r="M6" s="394" t="s">
        <v>450</v>
      </c>
      <c r="N6" s="344">
        <f>COUNT(C60:C85)</f>
        <v>16</v>
      </c>
      <c r="O6" s="346">
        <f>V86</f>
        <v>16</v>
      </c>
      <c r="P6" s="346">
        <f>W86</f>
        <v>0</v>
      </c>
      <c r="Q6" s="374">
        <f>N6-O6-P6</f>
        <v>0</v>
      </c>
      <c r="R6" s="376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45231</v>
      </c>
      <c r="D7" s="161" t="s">
        <v>9</v>
      </c>
      <c r="E7" s="161" t="s">
        <v>3773</v>
      </c>
      <c r="F7" s="222">
        <v>580</v>
      </c>
      <c r="G7" s="231">
        <v>582.79999999999995</v>
      </c>
      <c r="H7" s="255">
        <v>2.8</v>
      </c>
      <c r="I7" s="207">
        <f t="shared" si="0"/>
        <v>517.24137931034488</v>
      </c>
      <c r="J7" s="246">
        <f t="shared" ref="J7:J18" si="3">I7*H7</f>
        <v>1448.2758620689656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45232</v>
      </c>
      <c r="D8" s="161" t="s">
        <v>9</v>
      </c>
      <c r="E8" s="161" t="s">
        <v>117</v>
      </c>
      <c r="F8" s="222">
        <v>415</v>
      </c>
      <c r="G8" s="222">
        <v>424</v>
      </c>
      <c r="H8" s="222">
        <f>424-415</f>
        <v>9</v>
      </c>
      <c r="I8" s="207">
        <f t="shared" ref="I8:I34" si="7">300000/F8</f>
        <v>722.89156626506019</v>
      </c>
      <c r="J8" s="246">
        <f t="shared" ref="J8:J10" si="8">I8*H8</f>
        <v>6506.0240963855413</v>
      </c>
      <c r="K8" s="153"/>
      <c r="M8" s="394" t="s">
        <v>451</v>
      </c>
      <c r="N8" s="344">
        <f>COUNT(C94:C117)</f>
        <v>16</v>
      </c>
      <c r="O8" s="346">
        <f>V118</f>
        <v>14</v>
      </c>
      <c r="P8" s="346">
        <f>W118</f>
        <v>2</v>
      </c>
      <c r="Q8" s="374">
        <f>N8-O8-P8</f>
        <v>0</v>
      </c>
      <c r="R8" s="376">
        <f t="shared" ref="R8" si="9">O8/N8</f>
        <v>0.875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45233</v>
      </c>
      <c r="D9" s="161" t="s">
        <v>9</v>
      </c>
      <c r="E9" s="161" t="s">
        <v>19</v>
      </c>
      <c r="F9" s="222">
        <v>576</v>
      </c>
      <c r="G9" s="231">
        <v>578.29999999999995</v>
      </c>
      <c r="H9" s="255">
        <v>2.2999999999999998</v>
      </c>
      <c r="I9" s="207">
        <f t="shared" si="7"/>
        <v>520.83333333333337</v>
      </c>
      <c r="J9" s="246">
        <f t="shared" si="8"/>
        <v>1197.9166666666667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45233</v>
      </c>
      <c r="D10" s="161" t="s">
        <v>9</v>
      </c>
      <c r="E10" s="161" t="s">
        <v>26</v>
      </c>
      <c r="F10" s="222">
        <v>589</v>
      </c>
      <c r="G10" s="222">
        <v>599</v>
      </c>
      <c r="H10" s="222">
        <v>10</v>
      </c>
      <c r="I10" s="207">
        <f t="shared" si="7"/>
        <v>509.33786078098473</v>
      </c>
      <c r="J10" s="246">
        <f t="shared" si="8"/>
        <v>5093.3786078098474</v>
      </c>
      <c r="K10" s="153"/>
      <c r="M10" s="394" t="s">
        <v>1176</v>
      </c>
      <c r="N10" s="344">
        <f>COUNT(C126:C152)</f>
        <v>16</v>
      </c>
      <c r="O10" s="346">
        <f>V153</f>
        <v>15</v>
      </c>
      <c r="P10" s="346">
        <f>W153</f>
        <v>1</v>
      </c>
      <c r="Q10" s="374">
        <f>N10-O10-P10</f>
        <v>0</v>
      </c>
      <c r="R10" s="376">
        <f t="shared" ref="R10:R16" si="10">O10/N10</f>
        <v>0.9375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45236</v>
      </c>
      <c r="D11" s="161" t="s">
        <v>9</v>
      </c>
      <c r="E11" s="161" t="s">
        <v>58</v>
      </c>
      <c r="F11" s="222">
        <v>1003</v>
      </c>
      <c r="G11" s="222">
        <v>1016</v>
      </c>
      <c r="H11" s="255">
        <f>1016-1003</f>
        <v>13</v>
      </c>
      <c r="I11" s="207">
        <f t="shared" si="7"/>
        <v>299.10269192422732</v>
      </c>
      <c r="J11" s="246">
        <f t="shared" si="3"/>
        <v>3888.334995014955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45236</v>
      </c>
      <c r="D12" s="161" t="s">
        <v>8</v>
      </c>
      <c r="E12" s="161" t="s">
        <v>578</v>
      </c>
      <c r="F12" s="222">
        <v>1395</v>
      </c>
      <c r="G12" s="222">
        <v>1405</v>
      </c>
      <c r="H12" s="222">
        <v>-10</v>
      </c>
      <c r="I12" s="207">
        <f t="shared" si="7"/>
        <v>215.05376344086022</v>
      </c>
      <c r="J12" s="246">
        <f t="shared" si="3"/>
        <v>-2150.5376344086021</v>
      </c>
      <c r="K12" s="153"/>
      <c r="M12" s="394" t="s">
        <v>41</v>
      </c>
      <c r="N12" s="344">
        <f>COUNT(C161:C186)</f>
        <v>16</v>
      </c>
      <c r="O12" s="346">
        <f>V187</f>
        <v>15</v>
      </c>
      <c r="P12" s="346">
        <f>W187</f>
        <v>1</v>
      </c>
      <c r="Q12" s="374">
        <f t="shared" ref="Q12" si="11">N12-O12-P12</f>
        <v>0</v>
      </c>
      <c r="R12" s="376">
        <f t="shared" si="10"/>
        <v>0.9375</v>
      </c>
      <c r="V12" s="25">
        <f t="shared" si="4"/>
        <v>0</v>
      </c>
      <c r="W12" s="25">
        <f t="shared" si="5"/>
        <v>1</v>
      </c>
    </row>
    <row r="13" spans="1:23" x14ac:dyDescent="0.3">
      <c r="A13" s="147"/>
      <c r="B13" s="205">
        <f t="shared" si="6"/>
        <v>8</v>
      </c>
      <c r="C13" s="206">
        <v>45237</v>
      </c>
      <c r="D13" s="161" t="s">
        <v>9</v>
      </c>
      <c r="E13" s="161" t="s">
        <v>552</v>
      </c>
      <c r="F13" s="222">
        <v>1480</v>
      </c>
      <c r="G13" s="222">
        <v>1490</v>
      </c>
      <c r="H13" s="255">
        <v>10</v>
      </c>
      <c r="I13" s="207">
        <f t="shared" si="7"/>
        <v>202.70270270270271</v>
      </c>
      <c r="J13" s="246">
        <f t="shared" si="3"/>
        <v>2027.0270270270271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45237</v>
      </c>
      <c r="D14" s="161" t="s">
        <v>9</v>
      </c>
      <c r="E14" s="161" t="s">
        <v>3515</v>
      </c>
      <c r="F14" s="222">
        <v>1960</v>
      </c>
      <c r="G14" s="222">
        <v>2000</v>
      </c>
      <c r="H14" s="222">
        <f>2000-1960</f>
        <v>40</v>
      </c>
      <c r="I14" s="207">
        <f t="shared" si="7"/>
        <v>153.0612244897959</v>
      </c>
      <c r="J14" s="246">
        <f t="shared" si="3"/>
        <v>6122.4489795918362</v>
      </c>
      <c r="K14" s="153"/>
      <c r="M14" s="394" t="s">
        <v>1175</v>
      </c>
      <c r="N14" s="344">
        <f>COUNT(C195:C220)</f>
        <v>16</v>
      </c>
      <c r="O14" s="346">
        <f>V221</f>
        <v>14</v>
      </c>
      <c r="P14" s="346">
        <f>W221</f>
        <v>2</v>
      </c>
      <c r="Q14" s="374">
        <f t="shared" ref="Q14" si="12">N14-O14-P14</f>
        <v>0</v>
      </c>
      <c r="R14" s="376">
        <f t="shared" si="10"/>
        <v>0.875</v>
      </c>
      <c r="V14" s="25">
        <f t="shared" si="4"/>
        <v>1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45238</v>
      </c>
      <c r="D15" s="161" t="s">
        <v>9</v>
      </c>
      <c r="E15" s="161" t="s">
        <v>2298</v>
      </c>
      <c r="F15" s="222">
        <v>2620</v>
      </c>
      <c r="G15" s="222">
        <v>2600</v>
      </c>
      <c r="H15" s="222">
        <v>-20</v>
      </c>
      <c r="I15" s="207">
        <f t="shared" si="7"/>
        <v>114.50381679389314</v>
      </c>
      <c r="J15" s="246">
        <f t="shared" si="3"/>
        <v>-2290.0763358778627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6"/>
        <v>11</v>
      </c>
      <c r="C16" s="206">
        <v>45238</v>
      </c>
      <c r="D16" s="161" t="s">
        <v>8</v>
      </c>
      <c r="E16" s="161" t="s">
        <v>58</v>
      </c>
      <c r="F16" s="222">
        <v>1018</v>
      </c>
      <c r="G16" s="222">
        <v>1021</v>
      </c>
      <c r="H16" s="222">
        <v>2</v>
      </c>
      <c r="I16" s="207">
        <f t="shared" si="7"/>
        <v>294.69548133595288</v>
      </c>
      <c r="J16" s="246">
        <f t="shared" si="3"/>
        <v>589.39096267190575</v>
      </c>
      <c r="K16" s="153"/>
      <c r="L16" s="25" t="s">
        <v>2008</v>
      </c>
      <c r="M16" s="394" t="s">
        <v>1090</v>
      </c>
      <c r="N16" s="344">
        <f>COUNT(C229:C252)</f>
        <v>15</v>
      </c>
      <c r="O16" s="346">
        <f>V253</f>
        <v>12</v>
      </c>
      <c r="P16" s="346">
        <f>W253</f>
        <v>3</v>
      </c>
      <c r="Q16" s="374">
        <v>0</v>
      </c>
      <c r="R16" s="376">
        <f t="shared" si="10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45239</v>
      </c>
      <c r="D17" s="161" t="s">
        <v>9</v>
      </c>
      <c r="E17" s="161" t="s">
        <v>3453</v>
      </c>
      <c r="F17" s="222">
        <v>1595</v>
      </c>
      <c r="G17" s="222">
        <v>1625</v>
      </c>
      <c r="H17" s="222">
        <f>1625-1595</f>
        <v>30</v>
      </c>
      <c r="I17" s="207">
        <f t="shared" si="7"/>
        <v>188.08777429467085</v>
      </c>
      <c r="J17" s="246">
        <f t="shared" si="3"/>
        <v>5642.6332288401254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45239</v>
      </c>
      <c r="D18" s="161" t="s">
        <v>9</v>
      </c>
      <c r="E18" s="161" t="s">
        <v>133</v>
      </c>
      <c r="F18" s="222">
        <v>1230</v>
      </c>
      <c r="G18" s="222">
        <v>1235</v>
      </c>
      <c r="H18" s="222">
        <v>5</v>
      </c>
      <c r="I18" s="207">
        <f t="shared" si="7"/>
        <v>243.90243902439025</v>
      </c>
      <c r="J18" s="246">
        <f t="shared" si="3"/>
        <v>1219.5121951219512</v>
      </c>
      <c r="K18" s="153"/>
      <c r="M18" s="392" t="s">
        <v>946</v>
      </c>
      <c r="N18" s="378">
        <f>SUM(N4:N17)</f>
        <v>124</v>
      </c>
      <c r="O18" s="378">
        <f t="shared" ref="O18:Q18" si="13">SUM(O4:O17)</f>
        <v>112</v>
      </c>
      <c r="P18" s="378">
        <f t="shared" si="13"/>
        <v>12</v>
      </c>
      <c r="Q18" s="378">
        <f t="shared" si="13"/>
        <v>0</v>
      </c>
      <c r="R18" s="380">
        <f t="shared" ref="R18" si="14">O18/N18</f>
        <v>0.90322580645161288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45240</v>
      </c>
      <c r="D19" s="161" t="s">
        <v>9</v>
      </c>
      <c r="E19" s="161" t="s">
        <v>2999</v>
      </c>
      <c r="F19" s="222">
        <v>628</v>
      </c>
      <c r="G19" s="222">
        <v>627</v>
      </c>
      <c r="H19" s="222">
        <v>-1</v>
      </c>
      <c r="I19" s="207">
        <f t="shared" si="7"/>
        <v>477.70700636942678</v>
      </c>
      <c r="J19" s="161">
        <f t="shared" ref="J19:J48" si="15">H19*I19</f>
        <v>-477.70700636942678</v>
      </c>
      <c r="K19" s="153"/>
      <c r="M19" s="393"/>
      <c r="N19" s="379"/>
      <c r="O19" s="379"/>
      <c r="P19" s="379"/>
      <c r="Q19" s="379"/>
      <c r="R19" s="377"/>
      <c r="V19" s="25">
        <f t="shared" si="4"/>
        <v>0</v>
      </c>
      <c r="W19" s="25">
        <f t="shared" si="5"/>
        <v>1</v>
      </c>
    </row>
    <row r="20" spans="1:23" ht="15" customHeight="1" x14ac:dyDescent="0.3">
      <c r="A20" s="147"/>
      <c r="B20" s="205">
        <f t="shared" si="6"/>
        <v>15</v>
      </c>
      <c r="C20" s="206">
        <v>45240</v>
      </c>
      <c r="D20" s="161" t="s">
        <v>9</v>
      </c>
      <c r="E20" s="161" t="s">
        <v>175</v>
      </c>
      <c r="F20" s="222">
        <v>973</v>
      </c>
      <c r="G20" s="222">
        <v>983</v>
      </c>
      <c r="H20" s="222">
        <v>10</v>
      </c>
      <c r="I20" s="207">
        <f t="shared" si="7"/>
        <v>308.32476875642345</v>
      </c>
      <c r="J20" s="161">
        <f t="shared" si="15"/>
        <v>3083.2476875642346</v>
      </c>
      <c r="K20" s="153"/>
      <c r="M20" s="316" t="s">
        <v>2253</v>
      </c>
      <c r="N20" s="317"/>
      <c r="O20" s="318"/>
      <c r="P20" s="325">
        <f>R18</f>
        <v>0.90322580645161288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45250</v>
      </c>
      <c r="D21" s="161" t="s">
        <v>9</v>
      </c>
      <c r="E21" s="161" t="s">
        <v>19</v>
      </c>
      <c r="F21" s="222">
        <v>564</v>
      </c>
      <c r="G21" s="222">
        <v>566.29999999999995</v>
      </c>
      <c r="H21" s="222">
        <v>2</v>
      </c>
      <c r="I21" s="207">
        <f t="shared" si="7"/>
        <v>531.91489361702122</v>
      </c>
      <c r="J21" s="161">
        <f t="shared" si="15"/>
        <v>1063.8297872340424</v>
      </c>
      <c r="K21" s="153"/>
      <c r="M21" s="319"/>
      <c r="N21" s="320"/>
      <c r="O21" s="321"/>
      <c r="P21" s="328"/>
      <c r="Q21" s="329"/>
      <c r="R21" s="33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45250</v>
      </c>
      <c r="D22" s="161" t="s">
        <v>9</v>
      </c>
      <c r="E22" s="161" t="s">
        <v>58</v>
      </c>
      <c r="F22" s="222">
        <v>992</v>
      </c>
      <c r="G22" s="222">
        <v>994</v>
      </c>
      <c r="H22" s="222">
        <v>2</v>
      </c>
      <c r="I22" s="207">
        <f t="shared" si="7"/>
        <v>302.41935483870969</v>
      </c>
      <c r="J22" s="161">
        <f t="shared" si="15"/>
        <v>604.83870967741939</v>
      </c>
      <c r="K22" s="153"/>
      <c r="M22" s="322"/>
      <c r="N22" s="323"/>
      <c r="O22" s="324"/>
      <c r="P22" s="331"/>
      <c r="Q22" s="332"/>
      <c r="R22" s="33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45251</v>
      </c>
      <c r="D23" s="161" t="s">
        <v>9</v>
      </c>
      <c r="E23" s="161" t="s">
        <v>51</v>
      </c>
      <c r="F23" s="222">
        <v>845</v>
      </c>
      <c r="G23" s="222">
        <v>851</v>
      </c>
      <c r="H23" s="222">
        <f>851-845</f>
        <v>6</v>
      </c>
      <c r="I23" s="207">
        <f t="shared" si="7"/>
        <v>355.02958579881658</v>
      </c>
      <c r="J23" s="161">
        <f t="shared" si="15"/>
        <v>2130.1775147928993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45251</v>
      </c>
      <c r="D24" s="161" t="s">
        <v>9</v>
      </c>
      <c r="E24" s="161" t="s">
        <v>3545</v>
      </c>
      <c r="F24" s="222">
        <v>427</v>
      </c>
      <c r="G24" s="222">
        <v>429.5</v>
      </c>
      <c r="H24" s="222">
        <v>2.5</v>
      </c>
      <c r="I24" s="207">
        <f t="shared" si="7"/>
        <v>702.57611241217796</v>
      </c>
      <c r="J24" s="161">
        <f t="shared" si="15"/>
        <v>1756.440281030445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45252</v>
      </c>
      <c r="D25" s="161" t="s">
        <v>9</v>
      </c>
      <c r="E25" s="161" t="s">
        <v>16</v>
      </c>
      <c r="F25" s="222">
        <v>3420</v>
      </c>
      <c r="G25" s="222">
        <v>3430</v>
      </c>
      <c r="H25" s="222">
        <v>10</v>
      </c>
      <c r="I25" s="207">
        <f t="shared" si="7"/>
        <v>87.719298245614041</v>
      </c>
      <c r="J25" s="161">
        <f t="shared" si="15"/>
        <v>877.19298245614038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45252</v>
      </c>
      <c r="D26" s="161" t="s">
        <v>9</v>
      </c>
      <c r="E26" s="161" t="s">
        <v>160</v>
      </c>
      <c r="F26" s="222">
        <v>1270</v>
      </c>
      <c r="G26" s="222">
        <v>1280</v>
      </c>
      <c r="H26" s="222">
        <v>10</v>
      </c>
      <c r="I26" s="207">
        <f t="shared" si="7"/>
        <v>236.22047244094489</v>
      </c>
      <c r="J26" s="161">
        <f t="shared" si="15"/>
        <v>2362.2047244094488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45253</v>
      </c>
      <c r="D27" s="161" t="s">
        <v>9</v>
      </c>
      <c r="E27" s="161" t="s">
        <v>49</v>
      </c>
      <c r="F27" s="222">
        <v>537</v>
      </c>
      <c r="G27" s="222">
        <v>543</v>
      </c>
      <c r="H27" s="222">
        <f>543-537</f>
        <v>6</v>
      </c>
      <c r="I27" s="207">
        <f t="shared" si="7"/>
        <v>558.65921787709499</v>
      </c>
      <c r="J27" s="161">
        <f t="shared" si="15"/>
        <v>3351.9553072625699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45253</v>
      </c>
      <c r="D28" s="161" t="s">
        <v>8</v>
      </c>
      <c r="E28" s="161" t="s">
        <v>3562</v>
      </c>
      <c r="F28" s="222">
        <v>5390</v>
      </c>
      <c r="G28" s="222">
        <v>5330</v>
      </c>
      <c r="H28" s="222">
        <f>5390-5330</f>
        <v>60</v>
      </c>
      <c r="I28" s="207">
        <f t="shared" si="7"/>
        <v>55.658627087198518</v>
      </c>
      <c r="J28" s="161">
        <f t="shared" si="15"/>
        <v>3339.5176252319111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45254</v>
      </c>
      <c r="D29" s="161" t="s">
        <v>9</v>
      </c>
      <c r="E29" s="161" t="s">
        <v>800</v>
      </c>
      <c r="F29" s="222">
        <v>1620</v>
      </c>
      <c r="G29" s="222">
        <v>1635</v>
      </c>
      <c r="H29" s="222">
        <v>15</v>
      </c>
      <c r="I29" s="207">
        <f t="shared" si="7"/>
        <v>185.18518518518519</v>
      </c>
      <c r="J29" s="161">
        <f t="shared" si="15"/>
        <v>2777.7777777777778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45254</v>
      </c>
      <c r="D30" s="161" t="s">
        <v>9</v>
      </c>
      <c r="E30" s="161" t="s">
        <v>3515</v>
      </c>
      <c r="F30" s="222">
        <v>2170</v>
      </c>
      <c r="G30" s="222">
        <v>2210</v>
      </c>
      <c r="H30" s="222">
        <f>2210-2170</f>
        <v>40</v>
      </c>
      <c r="I30" s="207">
        <f t="shared" si="7"/>
        <v>138.24884792626727</v>
      </c>
      <c r="J30" s="161">
        <f t="shared" si="15"/>
        <v>5529.9539170506905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45258</v>
      </c>
      <c r="D31" s="161" t="s">
        <v>9</v>
      </c>
      <c r="E31" s="161" t="s">
        <v>157</v>
      </c>
      <c r="F31" s="223">
        <v>1115</v>
      </c>
      <c r="G31" s="222">
        <v>1120</v>
      </c>
      <c r="H31" s="255">
        <v>5</v>
      </c>
      <c r="I31" s="207">
        <f t="shared" si="7"/>
        <v>269.05829596412553</v>
      </c>
      <c r="J31" s="161">
        <f t="shared" si="15"/>
        <v>1345.2914798206277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45259</v>
      </c>
      <c r="D32" s="161" t="s">
        <v>9</v>
      </c>
      <c r="E32" s="161" t="s">
        <v>2563</v>
      </c>
      <c r="F32" s="222">
        <v>2670</v>
      </c>
      <c r="G32" s="222">
        <v>2695</v>
      </c>
      <c r="H32" s="222">
        <f>2695-2670</f>
        <v>25</v>
      </c>
      <c r="I32" s="207">
        <f t="shared" si="7"/>
        <v>112.35955056179775</v>
      </c>
      <c r="J32" s="161">
        <f t="shared" si="15"/>
        <v>2808.9887640449438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45260</v>
      </c>
      <c r="D33" s="161" t="s">
        <v>9</v>
      </c>
      <c r="E33" s="161" t="s">
        <v>3515</v>
      </c>
      <c r="F33" s="223">
        <v>2340</v>
      </c>
      <c r="G33" s="222">
        <v>2380</v>
      </c>
      <c r="H33" s="255">
        <v>40</v>
      </c>
      <c r="I33" s="207">
        <f t="shared" si="7"/>
        <v>128.2051282051282</v>
      </c>
      <c r="J33" s="161">
        <f t="shared" si="15"/>
        <v>5128.2051282051279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45260</v>
      </c>
      <c r="D34" s="161" t="s">
        <v>8</v>
      </c>
      <c r="E34" s="161" t="s">
        <v>58</v>
      </c>
      <c r="F34" s="222">
        <v>1065</v>
      </c>
      <c r="G34" s="222">
        <v>1056</v>
      </c>
      <c r="H34" s="222">
        <f>1065-1056</f>
        <v>9</v>
      </c>
      <c r="I34" s="207">
        <f t="shared" si="7"/>
        <v>281.6901408450704</v>
      </c>
      <c r="J34" s="161">
        <f t="shared" si="15"/>
        <v>2535.2112676056336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/>
      <c r="D35" s="161"/>
      <c r="E35" s="161"/>
      <c r="F35" s="222"/>
      <c r="G35" s="222"/>
      <c r="H35" s="222"/>
      <c r="I35" s="207"/>
      <c r="J35" s="161">
        <f t="shared" si="15"/>
        <v>0</v>
      </c>
      <c r="K35" s="153"/>
      <c r="V35" s="25">
        <f t="shared" si="4"/>
        <v>0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/>
      <c r="D36" s="161"/>
      <c r="E36" s="161"/>
      <c r="F36" s="222"/>
      <c r="G36" s="222"/>
      <c r="H36" s="222"/>
      <c r="I36" s="207"/>
      <c r="J36" s="161">
        <f t="shared" si="15"/>
        <v>0</v>
      </c>
      <c r="K36" s="153"/>
      <c r="V36" s="25">
        <f t="shared" si="4"/>
        <v>0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/>
      <c r="D37" s="161"/>
      <c r="E37" s="161"/>
      <c r="F37" s="222"/>
      <c r="G37" s="222"/>
      <c r="H37" s="222"/>
      <c r="I37" s="207"/>
      <c r="J37" s="161">
        <f t="shared" si="15"/>
        <v>0</v>
      </c>
      <c r="K37" s="153"/>
      <c r="V37" s="25">
        <f t="shared" si="4"/>
        <v>0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/>
      <c r="D38" s="161"/>
      <c r="E38" s="161"/>
      <c r="F38" s="222"/>
      <c r="G38" s="222"/>
      <c r="H38" s="222"/>
      <c r="I38" s="207"/>
      <c r="J38" s="161">
        <f t="shared" si="15"/>
        <v>0</v>
      </c>
      <c r="K38" s="153"/>
      <c r="V38" s="25">
        <f t="shared" si="4"/>
        <v>0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/>
      <c r="D39" s="161"/>
      <c r="E39" s="161"/>
      <c r="F39" s="222"/>
      <c r="G39" s="222"/>
      <c r="H39" s="222"/>
      <c r="I39" s="207"/>
      <c r="J39" s="161">
        <f t="shared" si="15"/>
        <v>0</v>
      </c>
      <c r="K39" s="153"/>
      <c r="V39" s="25">
        <f t="shared" si="4"/>
        <v>0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/>
      <c r="D40" s="161"/>
      <c r="E40" s="161"/>
      <c r="F40" s="222"/>
      <c r="G40" s="222"/>
      <c r="H40" s="222"/>
      <c r="I40" s="207"/>
      <c r="J40" s="161">
        <f t="shared" si="15"/>
        <v>0</v>
      </c>
      <c r="K40" s="153"/>
      <c r="V40" s="25">
        <f t="shared" si="4"/>
        <v>0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/>
      <c r="D41" s="161"/>
      <c r="E41" s="161"/>
      <c r="F41" s="222"/>
      <c r="G41" s="223"/>
      <c r="H41" s="222"/>
      <c r="I41" s="207"/>
      <c r="J41" s="161">
        <f t="shared" si="15"/>
        <v>0</v>
      </c>
      <c r="K41" s="153"/>
      <c r="V41" s="25">
        <f t="shared" si="4"/>
        <v>0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/>
      <c r="D42" s="161"/>
      <c r="E42" s="161"/>
      <c r="F42" s="222"/>
      <c r="G42" s="222"/>
      <c r="H42" s="222"/>
      <c r="I42" s="207"/>
      <c r="J42" s="161">
        <f t="shared" si="15"/>
        <v>0</v>
      </c>
      <c r="K42" s="153"/>
      <c r="V42" s="25">
        <f t="shared" si="4"/>
        <v>0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/>
      <c r="D43" s="161"/>
      <c r="E43" s="161"/>
      <c r="F43" s="222"/>
      <c r="G43" s="222"/>
      <c r="H43" s="222"/>
      <c r="I43" s="207"/>
      <c r="J43" s="161">
        <f t="shared" si="15"/>
        <v>0</v>
      </c>
      <c r="K43" s="153"/>
      <c r="V43" s="25">
        <f t="shared" si="4"/>
        <v>0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/>
      <c r="D44" s="161"/>
      <c r="E44" s="161"/>
      <c r="F44" s="222"/>
      <c r="G44" s="222"/>
      <c r="H44" s="222"/>
      <c r="I44" s="207"/>
      <c r="J44" s="161">
        <f t="shared" si="15"/>
        <v>0</v>
      </c>
      <c r="K44" s="153"/>
      <c r="V44" s="25">
        <f t="shared" si="4"/>
        <v>0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/>
      <c r="D45" s="161"/>
      <c r="E45" s="161"/>
      <c r="F45" s="222"/>
      <c r="G45" s="222"/>
      <c r="H45" s="222"/>
      <c r="I45" s="207"/>
      <c r="J45" s="161">
        <f t="shared" si="15"/>
        <v>0</v>
      </c>
      <c r="K45" s="153"/>
      <c r="V45" s="25">
        <f t="shared" si="4"/>
        <v>0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15"/>
        <v>0</v>
      </c>
      <c r="K46" s="153"/>
      <c r="V46" s="25">
        <f t="shared" si="4"/>
        <v>0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5"/>
        <v>0</v>
      </c>
      <c r="K47" s="153"/>
      <c r="V47" s="25">
        <f t="shared" si="4"/>
        <v>0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15"/>
        <v>0</v>
      </c>
      <c r="K48" s="153"/>
      <c r="V48" s="25">
        <f t="shared" si="4"/>
        <v>0</v>
      </c>
      <c r="W48" s="25">
        <f t="shared" si="5"/>
        <v>0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69408.687800287866</v>
      </c>
      <c r="K52" s="153"/>
      <c r="V52" s="25">
        <f>SUM(V6:V51)</f>
        <v>26</v>
      </c>
      <c r="W52" s="25">
        <f>SUM(W6:W51)</f>
        <v>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4389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45231</v>
      </c>
      <c r="D60" s="161" t="s">
        <v>9</v>
      </c>
      <c r="E60" s="161" t="s">
        <v>124</v>
      </c>
      <c r="F60" s="222">
        <v>635</v>
      </c>
      <c r="G60" s="222">
        <v>637.79999999999995</v>
      </c>
      <c r="H60" s="222">
        <v>2.8</v>
      </c>
      <c r="I60" s="279">
        <v>1425</v>
      </c>
      <c r="J60" s="241">
        <f t="shared" ref="J60:J85" si="16">I60*H60</f>
        <v>3989.9999999999995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45232</v>
      </c>
      <c r="D61" s="161" t="s">
        <v>9</v>
      </c>
      <c r="E61" s="161" t="s">
        <v>117</v>
      </c>
      <c r="F61" s="222">
        <v>419</v>
      </c>
      <c r="G61" s="222">
        <v>422.3</v>
      </c>
      <c r="H61" s="222">
        <v>3.3</v>
      </c>
      <c r="I61" s="207">
        <v>1800</v>
      </c>
      <c r="J61" s="242">
        <f t="shared" si="16"/>
        <v>5940</v>
      </c>
      <c r="K61" s="153"/>
      <c r="O61" s="25" t="s">
        <v>2008</v>
      </c>
      <c r="V61" s="25">
        <f t="shared" ref="V61:V85" si="17">IF($J61&gt;0,1,0)</f>
        <v>1</v>
      </c>
      <c r="W61" s="25">
        <f t="shared" ref="W61:W85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45233</v>
      </c>
      <c r="D62" s="161" t="s">
        <v>8</v>
      </c>
      <c r="E62" s="161" t="s">
        <v>4391</v>
      </c>
      <c r="F62" s="222">
        <v>5340</v>
      </c>
      <c r="G62" s="222">
        <v>5260</v>
      </c>
      <c r="H62" s="222">
        <f>5340-5260</f>
        <v>80</v>
      </c>
      <c r="I62" s="207">
        <v>100</v>
      </c>
      <c r="J62" s="242">
        <f t="shared" si="16"/>
        <v>8000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45236</v>
      </c>
      <c r="D63" s="161" t="s">
        <v>9</v>
      </c>
      <c r="E63" s="161" t="s">
        <v>16</v>
      </c>
      <c r="F63" s="222">
        <v>3285</v>
      </c>
      <c r="G63" s="222">
        <v>3296</v>
      </c>
      <c r="H63" s="222">
        <f>3296-3285</f>
        <v>11</v>
      </c>
      <c r="I63" s="207">
        <v>375</v>
      </c>
      <c r="J63" s="242">
        <f>I63*H63</f>
        <v>4125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45237</v>
      </c>
      <c r="D64" s="161" t="s">
        <v>9</v>
      </c>
      <c r="E64" s="161" t="s">
        <v>4391</v>
      </c>
      <c r="F64" s="222">
        <v>5320</v>
      </c>
      <c r="G64" s="222">
        <v>5337</v>
      </c>
      <c r="H64" s="222">
        <f>5337-5320</f>
        <v>17</v>
      </c>
      <c r="I64" s="207">
        <v>100</v>
      </c>
      <c r="J64" s="242">
        <f>I64*H64</f>
        <v>1700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45238</v>
      </c>
      <c r="D65" s="161" t="s">
        <v>9</v>
      </c>
      <c r="E65" s="161" t="s">
        <v>3563</v>
      </c>
      <c r="F65" s="222">
        <v>2615</v>
      </c>
      <c r="G65" s="222">
        <v>2653</v>
      </c>
      <c r="H65" s="222">
        <f>2653-2615</f>
        <v>38</v>
      </c>
      <c r="I65" s="207">
        <v>400</v>
      </c>
      <c r="J65" s="242">
        <f>I65*H65</f>
        <v>15200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45239</v>
      </c>
      <c r="D66" s="161" t="s">
        <v>9</v>
      </c>
      <c r="E66" s="161" t="s">
        <v>3248</v>
      </c>
      <c r="F66" s="222">
        <v>1800</v>
      </c>
      <c r="G66" s="222">
        <v>1840</v>
      </c>
      <c r="H66" s="222">
        <v>40</v>
      </c>
      <c r="I66" s="207">
        <v>500</v>
      </c>
      <c r="J66" s="242">
        <f t="shared" si="16"/>
        <v>20000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45240</v>
      </c>
      <c r="D67" s="161" t="s">
        <v>8</v>
      </c>
      <c r="E67" s="161" t="s">
        <v>4391</v>
      </c>
      <c r="F67" s="222">
        <v>5280</v>
      </c>
      <c r="G67" s="222">
        <v>5240</v>
      </c>
      <c r="H67" s="222">
        <v>40</v>
      </c>
      <c r="I67" s="207">
        <v>100</v>
      </c>
      <c r="J67" s="242">
        <f t="shared" si="16"/>
        <v>4000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45250</v>
      </c>
      <c r="D68" s="161" t="s">
        <v>9</v>
      </c>
      <c r="E68" s="161" t="s">
        <v>4391</v>
      </c>
      <c r="F68" s="222">
        <v>5510</v>
      </c>
      <c r="G68" s="222">
        <v>5537</v>
      </c>
      <c r="H68" s="222">
        <f>5537-5510</f>
        <v>27</v>
      </c>
      <c r="I68" s="207">
        <v>100</v>
      </c>
      <c r="J68" s="242">
        <f t="shared" si="16"/>
        <v>2700</v>
      </c>
      <c r="K68" s="153"/>
      <c r="V68" s="25">
        <f t="shared" si="17"/>
        <v>1</v>
      </c>
      <c r="W68" s="25">
        <f t="shared" si="18"/>
        <v>0</v>
      </c>
    </row>
    <row r="69" spans="1:23" x14ac:dyDescent="0.3">
      <c r="A69" s="147"/>
      <c r="B69" s="205">
        <f t="shared" si="19"/>
        <v>10</v>
      </c>
      <c r="C69" s="206">
        <v>45251</v>
      </c>
      <c r="D69" s="161" t="s">
        <v>9</v>
      </c>
      <c r="E69" s="161" t="s">
        <v>4391</v>
      </c>
      <c r="F69" s="222">
        <v>5510</v>
      </c>
      <c r="G69" s="222">
        <v>5537</v>
      </c>
      <c r="H69" s="222">
        <v>27</v>
      </c>
      <c r="I69" s="207">
        <v>100</v>
      </c>
      <c r="J69" s="242">
        <f t="shared" si="16"/>
        <v>2700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45252</v>
      </c>
      <c r="D70" s="161" t="s">
        <v>9</v>
      </c>
      <c r="E70" s="161" t="s">
        <v>422</v>
      </c>
      <c r="F70" s="161">
        <v>1715</v>
      </c>
      <c r="G70" s="222">
        <v>1729</v>
      </c>
      <c r="H70" s="222">
        <f>1729-1715</f>
        <v>14</v>
      </c>
      <c r="I70" s="207">
        <v>500</v>
      </c>
      <c r="J70" s="242">
        <f t="shared" si="16"/>
        <v>7000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45253</v>
      </c>
      <c r="D71" s="161" t="s">
        <v>8</v>
      </c>
      <c r="E71" s="161" t="s">
        <v>4391</v>
      </c>
      <c r="F71" s="222">
        <v>5390</v>
      </c>
      <c r="G71" s="222">
        <v>5330</v>
      </c>
      <c r="H71" s="222">
        <v>60</v>
      </c>
      <c r="I71" s="207">
        <v>100</v>
      </c>
      <c r="J71" s="242">
        <f t="shared" si="16"/>
        <v>6000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45254</v>
      </c>
      <c r="D72" s="161" t="s">
        <v>9</v>
      </c>
      <c r="E72" s="161" t="s">
        <v>864</v>
      </c>
      <c r="F72" s="222">
        <v>2375</v>
      </c>
      <c r="G72" s="222">
        <v>2377</v>
      </c>
      <c r="H72" s="222">
        <v>2</v>
      </c>
      <c r="I72" s="207">
        <v>375</v>
      </c>
      <c r="J72" s="242">
        <f t="shared" si="16"/>
        <v>750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45258</v>
      </c>
      <c r="D73" s="161" t="s">
        <v>9</v>
      </c>
      <c r="E73" s="161" t="s">
        <v>157</v>
      </c>
      <c r="F73" s="222">
        <v>115</v>
      </c>
      <c r="G73" s="222">
        <v>121</v>
      </c>
      <c r="H73" s="255">
        <f>121-115</f>
        <v>6</v>
      </c>
      <c r="I73" s="207">
        <v>500</v>
      </c>
      <c r="J73" s="242">
        <f t="shared" si="16"/>
        <v>3000</v>
      </c>
      <c r="K73" s="153"/>
      <c r="M73" s="25" t="s">
        <v>2008</v>
      </c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64">
        <v>45259</v>
      </c>
      <c r="D74" s="265" t="s">
        <v>9</v>
      </c>
      <c r="E74" s="265" t="s">
        <v>4391</v>
      </c>
      <c r="F74" s="277">
        <v>5360</v>
      </c>
      <c r="G74" s="267">
        <v>5400</v>
      </c>
      <c r="H74" s="222">
        <f>5400-5360</f>
        <v>40</v>
      </c>
      <c r="I74" s="207">
        <v>100</v>
      </c>
      <c r="J74" s="242">
        <f t="shared" si="16"/>
        <v>4000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64">
        <v>45260</v>
      </c>
      <c r="D75" s="265" t="s">
        <v>9</v>
      </c>
      <c r="E75" s="265" t="s">
        <v>4391</v>
      </c>
      <c r="F75" s="277">
        <v>5420</v>
      </c>
      <c r="G75" s="267">
        <v>5500</v>
      </c>
      <c r="H75" s="222">
        <f>5500-5420</f>
        <v>80</v>
      </c>
      <c r="I75" s="207">
        <v>100</v>
      </c>
      <c r="J75" s="242">
        <f t="shared" si="16"/>
        <v>8000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/>
      <c r="D76" s="161"/>
      <c r="E76" s="161"/>
      <c r="F76" s="222"/>
      <c r="G76" s="222"/>
      <c r="H76" s="222"/>
      <c r="I76" s="207"/>
      <c r="J76" s="242">
        <f t="shared" si="16"/>
        <v>0</v>
      </c>
      <c r="K76" s="153"/>
      <c r="V76" s="25">
        <f t="shared" si="17"/>
        <v>0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/>
      <c r="D77" s="161"/>
      <c r="E77" s="161"/>
      <c r="F77" s="222"/>
      <c r="G77" s="222"/>
      <c r="H77" s="222"/>
      <c r="I77" s="207"/>
      <c r="J77" s="242">
        <f t="shared" si="16"/>
        <v>0</v>
      </c>
      <c r="K77" s="153"/>
      <c r="V77" s="25">
        <f t="shared" si="17"/>
        <v>0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/>
      <c r="D78" s="161"/>
      <c r="E78" s="161"/>
      <c r="F78" s="223"/>
      <c r="G78" s="222"/>
      <c r="H78" s="255"/>
      <c r="I78" s="207"/>
      <c r="J78" s="242">
        <f t="shared" si="16"/>
        <v>0</v>
      </c>
      <c r="K78" s="153"/>
      <c r="V78" s="25">
        <f t="shared" si="17"/>
        <v>0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/>
      <c r="D79" s="161"/>
      <c r="E79" s="161"/>
      <c r="F79" s="222"/>
      <c r="G79" s="222"/>
      <c r="H79" s="222"/>
      <c r="I79" s="207"/>
      <c r="J79" s="242">
        <f t="shared" si="16"/>
        <v>0</v>
      </c>
      <c r="K79" s="153"/>
      <c r="V79" s="25">
        <f t="shared" si="17"/>
        <v>0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/>
      <c r="D80" s="161"/>
      <c r="E80" s="161"/>
      <c r="F80" s="222"/>
      <c r="G80" s="222"/>
      <c r="H80" s="222"/>
      <c r="I80" s="207"/>
      <c r="J80" s="242">
        <f t="shared" si="16"/>
        <v>0</v>
      </c>
      <c r="K80" s="153"/>
      <c r="V80" s="25">
        <f t="shared" si="17"/>
        <v>0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6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6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6"/>
        <v>0</v>
      </c>
      <c r="K85" s="153"/>
      <c r="V85" s="25">
        <f t="shared" si="17"/>
        <v>0</v>
      </c>
      <c r="W85" s="25">
        <f t="shared" si="18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97105</v>
      </c>
      <c r="K86" s="153"/>
      <c r="V86" s="25">
        <f>SUM(V60:V85)</f>
        <v>16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4388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45231</v>
      </c>
      <c r="D94" s="185" t="s">
        <v>8</v>
      </c>
      <c r="E94" s="185" t="s">
        <v>39</v>
      </c>
      <c r="F94" s="219">
        <v>19120</v>
      </c>
      <c r="G94" s="219">
        <v>19063</v>
      </c>
      <c r="H94" s="185">
        <f>19120-19063</f>
        <v>57</v>
      </c>
      <c r="I94" s="219">
        <v>150</v>
      </c>
      <c r="J94" s="246">
        <f t="shared" ref="J94:J117" si="20">I94*H94</f>
        <v>8550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45232</v>
      </c>
      <c r="D95" s="185" t="s">
        <v>8</v>
      </c>
      <c r="E95" s="185" t="s">
        <v>39</v>
      </c>
      <c r="F95" s="219">
        <v>19180</v>
      </c>
      <c r="G95" s="219">
        <v>19140</v>
      </c>
      <c r="H95" s="185">
        <v>40</v>
      </c>
      <c r="I95" s="219">
        <v>150</v>
      </c>
      <c r="J95" s="242">
        <f t="shared" si="20"/>
        <v>6000</v>
      </c>
      <c r="K95" s="153"/>
      <c r="V95" s="25">
        <f t="shared" ref="V95:V117" si="21">IF($J95&gt;0,1,0)</f>
        <v>1</v>
      </c>
      <c r="W95" s="25">
        <f t="shared" ref="W95:W117" si="22">IF($J95&lt;0,1,0)</f>
        <v>0</v>
      </c>
    </row>
    <row r="96" spans="1:23" x14ac:dyDescent="0.3">
      <c r="A96" s="147"/>
      <c r="B96" s="205">
        <f t="shared" ref="B96:B115" si="23">B95+1</f>
        <v>3</v>
      </c>
      <c r="C96" s="206">
        <v>45233</v>
      </c>
      <c r="D96" s="161" t="s">
        <v>9</v>
      </c>
      <c r="E96" s="161" t="s">
        <v>39</v>
      </c>
      <c r="F96" s="207">
        <v>19320</v>
      </c>
      <c r="G96" s="207">
        <v>19340</v>
      </c>
      <c r="H96" s="161">
        <v>20</v>
      </c>
      <c r="I96" s="207">
        <v>150</v>
      </c>
      <c r="J96" s="242">
        <f t="shared" si="20"/>
        <v>3000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4</v>
      </c>
      <c r="C97" s="206">
        <v>45236</v>
      </c>
      <c r="D97" s="161" t="s">
        <v>9</v>
      </c>
      <c r="E97" s="161" t="s">
        <v>39</v>
      </c>
      <c r="F97" s="207">
        <v>19430</v>
      </c>
      <c r="G97" s="207">
        <v>19487</v>
      </c>
      <c r="H97" s="161">
        <v>57</v>
      </c>
      <c r="I97" s="207">
        <v>150</v>
      </c>
      <c r="J97" s="242">
        <f t="shared" si="20"/>
        <v>8550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5</v>
      </c>
      <c r="C98" s="206">
        <v>45237</v>
      </c>
      <c r="D98" s="161" t="s">
        <v>8</v>
      </c>
      <c r="E98" s="161" t="s">
        <v>39</v>
      </c>
      <c r="F98" s="207">
        <v>19460</v>
      </c>
      <c r="G98" s="207">
        <v>19420</v>
      </c>
      <c r="H98" s="161">
        <v>40</v>
      </c>
      <c r="I98" s="207">
        <v>150</v>
      </c>
      <c r="J98" s="242">
        <f t="shared" si="20"/>
        <v>6000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6</v>
      </c>
      <c r="C99" s="206">
        <v>45238</v>
      </c>
      <c r="D99" s="161" t="s">
        <v>9</v>
      </c>
      <c r="E99" s="161" t="s">
        <v>39</v>
      </c>
      <c r="F99" s="207">
        <v>19500</v>
      </c>
      <c r="G99" s="207">
        <v>19518</v>
      </c>
      <c r="H99" s="161">
        <v>18</v>
      </c>
      <c r="I99" s="207">
        <v>150</v>
      </c>
      <c r="J99" s="242">
        <f t="shared" si="20"/>
        <v>2700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7</v>
      </c>
      <c r="C100" s="206">
        <v>45239</v>
      </c>
      <c r="D100" s="161" t="s">
        <v>9</v>
      </c>
      <c r="E100" s="161" t="s">
        <v>39</v>
      </c>
      <c r="F100" s="207">
        <v>19510</v>
      </c>
      <c r="G100" s="207">
        <v>19480</v>
      </c>
      <c r="H100" s="161">
        <v>-30</v>
      </c>
      <c r="I100" s="207">
        <v>150</v>
      </c>
      <c r="J100" s="242">
        <f t="shared" si="20"/>
        <v>-4500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8</v>
      </c>
      <c r="C101" s="206">
        <v>45240</v>
      </c>
      <c r="D101" s="161" t="s">
        <v>9</v>
      </c>
      <c r="E101" s="161" t="s">
        <v>39</v>
      </c>
      <c r="F101" s="207">
        <v>19400</v>
      </c>
      <c r="G101" s="207">
        <v>19480</v>
      </c>
      <c r="H101" s="161">
        <v>80</v>
      </c>
      <c r="I101" s="207">
        <v>150</v>
      </c>
      <c r="J101" s="242">
        <f t="shared" si="20"/>
        <v>12000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9</v>
      </c>
      <c r="C102" s="206">
        <v>45250</v>
      </c>
      <c r="D102" s="161" t="s">
        <v>8</v>
      </c>
      <c r="E102" s="161" t="s">
        <v>39</v>
      </c>
      <c r="F102" s="207">
        <v>19770</v>
      </c>
      <c r="G102" s="207">
        <v>19810</v>
      </c>
      <c r="H102" s="161">
        <v>-40</v>
      </c>
      <c r="I102" s="207">
        <v>150</v>
      </c>
      <c r="J102" s="242">
        <f t="shared" si="20"/>
        <v>-6000</v>
      </c>
      <c r="K102" s="153"/>
      <c r="V102" s="25">
        <f t="shared" si="21"/>
        <v>0</v>
      </c>
      <c r="W102" s="25">
        <f t="shared" si="22"/>
        <v>1</v>
      </c>
    </row>
    <row r="103" spans="1:23" x14ac:dyDescent="0.3">
      <c r="A103" s="147"/>
      <c r="B103" s="205">
        <f t="shared" si="23"/>
        <v>10</v>
      </c>
      <c r="C103" s="206">
        <v>45251</v>
      </c>
      <c r="D103" s="161" t="s">
        <v>9</v>
      </c>
      <c r="E103" s="161" t="s">
        <v>39</v>
      </c>
      <c r="F103" s="207">
        <v>19830</v>
      </c>
      <c r="G103" s="207">
        <v>19888</v>
      </c>
      <c r="H103" s="161">
        <f>19888-19830</f>
        <v>58</v>
      </c>
      <c r="I103" s="207">
        <v>150</v>
      </c>
      <c r="J103" s="242">
        <f t="shared" si="20"/>
        <v>8700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11</v>
      </c>
      <c r="C104" s="206">
        <v>45252</v>
      </c>
      <c r="D104" s="161" t="s">
        <v>9</v>
      </c>
      <c r="E104" s="161" t="s">
        <v>39</v>
      </c>
      <c r="F104" s="207">
        <v>19850</v>
      </c>
      <c r="G104" s="207">
        <v>19870</v>
      </c>
      <c r="H104" s="161">
        <v>20</v>
      </c>
      <c r="I104" s="207">
        <v>150</v>
      </c>
      <c r="J104" s="242">
        <f t="shared" si="20"/>
        <v>3000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12</v>
      </c>
      <c r="C105" s="206">
        <v>45253</v>
      </c>
      <c r="D105" s="161" t="s">
        <v>8</v>
      </c>
      <c r="E105" s="161" t="s">
        <v>39</v>
      </c>
      <c r="F105" s="207">
        <v>19860</v>
      </c>
      <c r="G105" s="207">
        <v>19840</v>
      </c>
      <c r="H105" s="161">
        <v>20</v>
      </c>
      <c r="I105" s="207">
        <v>150</v>
      </c>
      <c r="J105" s="242">
        <f t="shared" si="20"/>
        <v>3000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13</v>
      </c>
      <c r="C106" s="206">
        <v>45254</v>
      </c>
      <c r="D106" s="161" t="s">
        <v>8</v>
      </c>
      <c r="E106" s="161" t="s">
        <v>39</v>
      </c>
      <c r="F106" s="207">
        <v>19830</v>
      </c>
      <c r="G106" s="207">
        <v>19810</v>
      </c>
      <c r="H106" s="161">
        <v>20</v>
      </c>
      <c r="I106" s="207">
        <v>150</v>
      </c>
      <c r="J106" s="242">
        <f t="shared" si="20"/>
        <v>3000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14</v>
      </c>
      <c r="C107" s="206">
        <v>45258</v>
      </c>
      <c r="D107" s="161" t="s">
        <v>9</v>
      </c>
      <c r="E107" s="161" t="s">
        <v>39</v>
      </c>
      <c r="F107" s="207">
        <v>19840</v>
      </c>
      <c r="G107" s="207">
        <v>19920</v>
      </c>
      <c r="H107" s="161">
        <f>19920-19840</f>
        <v>80</v>
      </c>
      <c r="I107" s="207">
        <v>150</v>
      </c>
      <c r="J107" s="242">
        <f t="shared" si="20"/>
        <v>12000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15</v>
      </c>
      <c r="C108" s="206">
        <v>45259</v>
      </c>
      <c r="D108" s="161" t="s">
        <v>9</v>
      </c>
      <c r="E108" s="161" t="s">
        <v>39</v>
      </c>
      <c r="F108" s="207">
        <v>20020</v>
      </c>
      <c r="G108" s="207">
        <v>20100</v>
      </c>
      <c r="H108" s="161">
        <f>20100-20020</f>
        <v>80</v>
      </c>
      <c r="I108" s="207">
        <v>150</v>
      </c>
      <c r="J108" s="242">
        <f t="shared" si="20"/>
        <v>12000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16</v>
      </c>
      <c r="C109" s="206">
        <v>45260</v>
      </c>
      <c r="D109" s="161" t="s">
        <v>8</v>
      </c>
      <c r="E109" s="161" t="s">
        <v>39</v>
      </c>
      <c r="F109" s="207">
        <v>20050</v>
      </c>
      <c r="G109" s="207">
        <v>20010</v>
      </c>
      <c r="H109" s="161">
        <v>40</v>
      </c>
      <c r="I109" s="207">
        <v>150</v>
      </c>
      <c r="J109" s="242">
        <f t="shared" si="20"/>
        <v>6000</v>
      </c>
      <c r="K109" s="153"/>
      <c r="V109" s="25">
        <f t="shared" si="21"/>
        <v>1</v>
      </c>
      <c r="W109" s="25">
        <f t="shared" si="22"/>
        <v>0</v>
      </c>
    </row>
    <row r="110" spans="1:23" x14ac:dyDescent="0.3">
      <c r="A110" s="147"/>
      <c r="B110" s="205">
        <f t="shared" si="23"/>
        <v>17</v>
      </c>
      <c r="C110" s="206"/>
      <c r="D110" s="161"/>
      <c r="E110" s="161"/>
      <c r="F110" s="207"/>
      <c r="G110" s="207"/>
      <c r="H110" s="161"/>
      <c r="I110" s="207"/>
      <c r="J110" s="242">
        <f t="shared" si="20"/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18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19</v>
      </c>
      <c r="C112" s="206"/>
      <c r="D112" s="161"/>
      <c r="E112" s="161"/>
      <c r="F112" s="207"/>
      <c r="G112" s="207"/>
      <c r="H112" s="161"/>
      <c r="I112" s="207"/>
      <c r="J112" s="242">
        <f>I112*H112</f>
        <v>0</v>
      </c>
      <c r="K112" s="153"/>
      <c r="V112" s="25">
        <f t="shared" si="21"/>
        <v>0</v>
      </c>
      <c r="W112" s="25">
        <f t="shared" si="22"/>
        <v>0</v>
      </c>
    </row>
    <row r="113" spans="1:23" x14ac:dyDescent="0.3">
      <c r="A113" s="147"/>
      <c r="B113" s="205">
        <f t="shared" si="23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x14ac:dyDescent="0.3">
      <c r="A114" s="147"/>
      <c r="B114" s="205">
        <f t="shared" si="23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x14ac:dyDescent="0.3">
      <c r="A115" s="147"/>
      <c r="B115" s="205">
        <f t="shared" si="23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20"/>
        <v>0</v>
      </c>
      <c r="K115" s="153"/>
      <c r="V115" s="25">
        <f t="shared" si="21"/>
        <v>0</v>
      </c>
      <c r="W115" s="25">
        <f t="shared" si="22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20"/>
        <v>0</v>
      </c>
      <c r="K116" s="153"/>
      <c r="V116" s="25">
        <f t="shared" si="21"/>
        <v>0</v>
      </c>
      <c r="W116" s="25">
        <f t="shared" si="22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20"/>
        <v>0</v>
      </c>
      <c r="K117" s="153"/>
      <c r="V117" s="25">
        <f t="shared" si="21"/>
        <v>0</v>
      </c>
      <c r="W117" s="25">
        <f t="shared" si="22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84000</v>
      </c>
      <c r="K118" s="153"/>
      <c r="V118" s="25">
        <f>SUM(V94:V117)</f>
        <v>14</v>
      </c>
      <c r="W118" s="25">
        <f>SUM(W94:W117)</f>
        <v>2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4390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45231</v>
      </c>
      <c r="D126" s="185" t="s">
        <v>9</v>
      </c>
      <c r="E126" s="185" t="s">
        <v>1769</v>
      </c>
      <c r="F126" s="219">
        <v>145</v>
      </c>
      <c r="G126" s="231">
        <v>195</v>
      </c>
      <c r="H126" s="231">
        <f>195-145</f>
        <v>50</v>
      </c>
      <c r="I126" s="219">
        <v>300</v>
      </c>
      <c r="J126" s="246">
        <f t="shared" ref="J126:J152" si="24">I126*H126</f>
        <v>15000</v>
      </c>
      <c r="K126" s="153"/>
      <c r="V126" s="25">
        <f>IF($J126&gt;0,1,0)</f>
        <v>1</v>
      </c>
      <c r="W126" s="25">
        <f>IF($J126&lt;0,1,0)</f>
        <v>0</v>
      </c>
    </row>
    <row r="127" spans="1:23" x14ac:dyDescent="0.3">
      <c r="A127" s="147"/>
      <c r="B127" s="205">
        <f>B126+1</f>
        <v>2</v>
      </c>
      <c r="C127" s="218">
        <v>45232</v>
      </c>
      <c r="D127" s="185" t="s">
        <v>9</v>
      </c>
      <c r="E127" s="185" t="s">
        <v>4392</v>
      </c>
      <c r="F127" s="219">
        <v>150</v>
      </c>
      <c r="G127" s="219">
        <v>184</v>
      </c>
      <c r="H127" s="185">
        <f>184-150</f>
        <v>34</v>
      </c>
      <c r="I127" s="219">
        <v>300</v>
      </c>
      <c r="J127" s="242">
        <f t="shared" si="24"/>
        <v>10200</v>
      </c>
      <c r="K127" s="153"/>
      <c r="V127" s="25">
        <f t="shared" ref="V127:V152" si="25">IF($J127&gt;0,1,0)</f>
        <v>1</v>
      </c>
      <c r="W127" s="25">
        <f t="shared" ref="W127:W152" si="26">IF($J127&lt;0,1,0)</f>
        <v>0</v>
      </c>
    </row>
    <row r="128" spans="1:23" x14ac:dyDescent="0.3">
      <c r="A128" s="147"/>
      <c r="B128" s="205">
        <f>B127+1</f>
        <v>3</v>
      </c>
      <c r="C128" s="206">
        <v>45233</v>
      </c>
      <c r="D128" s="161" t="s">
        <v>9</v>
      </c>
      <c r="E128" s="161" t="s">
        <v>4259</v>
      </c>
      <c r="F128" s="207">
        <v>120</v>
      </c>
      <c r="G128" s="207">
        <v>130</v>
      </c>
      <c r="H128" s="161">
        <v>10</v>
      </c>
      <c r="I128" s="207">
        <v>300</v>
      </c>
      <c r="J128" s="242">
        <f t="shared" si="24"/>
        <v>3000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ref="B129:B152" si="27">B128+1</f>
        <v>4</v>
      </c>
      <c r="C129" s="206">
        <v>45236</v>
      </c>
      <c r="D129" s="161" t="s">
        <v>9</v>
      </c>
      <c r="E129" s="161" t="s">
        <v>4259</v>
      </c>
      <c r="F129" s="207">
        <v>150</v>
      </c>
      <c r="G129" s="207">
        <v>171</v>
      </c>
      <c r="H129" s="161">
        <f>171-150</f>
        <v>21</v>
      </c>
      <c r="I129" s="207">
        <v>300</v>
      </c>
      <c r="J129" s="242">
        <f t="shared" si="24"/>
        <v>6300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5</v>
      </c>
      <c r="C130" s="206">
        <v>45237</v>
      </c>
      <c r="D130" s="161" t="s">
        <v>9</v>
      </c>
      <c r="E130" s="161" t="s">
        <v>4269</v>
      </c>
      <c r="F130" s="207">
        <v>120</v>
      </c>
      <c r="G130" s="207">
        <v>135</v>
      </c>
      <c r="H130" s="161">
        <v>15</v>
      </c>
      <c r="I130" s="207">
        <v>300</v>
      </c>
      <c r="J130" s="242">
        <f t="shared" si="24"/>
        <v>4500</v>
      </c>
      <c r="K130" s="153"/>
      <c r="M130" s="25" t="s">
        <v>2008</v>
      </c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6</v>
      </c>
      <c r="C131" s="206">
        <v>45238</v>
      </c>
      <c r="D131" s="161" t="s">
        <v>9</v>
      </c>
      <c r="E131" s="161" t="s">
        <v>4264</v>
      </c>
      <c r="F131" s="207">
        <v>145</v>
      </c>
      <c r="G131" s="222">
        <v>163</v>
      </c>
      <c r="H131" s="222">
        <f>163-145</f>
        <v>18</v>
      </c>
      <c r="I131" s="207">
        <v>300</v>
      </c>
      <c r="J131" s="242">
        <f t="shared" si="24"/>
        <v>5400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7</v>
      </c>
      <c r="C132" s="206">
        <v>45239</v>
      </c>
      <c r="D132" s="161" t="s">
        <v>9</v>
      </c>
      <c r="E132" s="161" t="s">
        <v>4264</v>
      </c>
      <c r="F132" s="207">
        <v>120</v>
      </c>
      <c r="G132" s="207">
        <v>145</v>
      </c>
      <c r="H132" s="161">
        <f>145-120</f>
        <v>25</v>
      </c>
      <c r="I132" s="207">
        <v>300</v>
      </c>
      <c r="J132" s="242">
        <f t="shared" si="24"/>
        <v>7500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8</v>
      </c>
      <c r="C133" s="206">
        <v>45240</v>
      </c>
      <c r="D133" s="161" t="s">
        <v>9</v>
      </c>
      <c r="E133" s="161" t="s">
        <v>4264</v>
      </c>
      <c r="F133" s="207">
        <v>125</v>
      </c>
      <c r="G133" s="207">
        <v>175</v>
      </c>
      <c r="H133" s="161">
        <f>175-125</f>
        <v>50</v>
      </c>
      <c r="I133" s="207">
        <v>300</v>
      </c>
      <c r="J133" s="242">
        <f t="shared" si="24"/>
        <v>15000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9</v>
      </c>
      <c r="C134" s="206">
        <v>45250</v>
      </c>
      <c r="D134" s="161" t="s">
        <v>9</v>
      </c>
      <c r="E134" s="161" t="s">
        <v>1770</v>
      </c>
      <c r="F134" s="207">
        <v>125</v>
      </c>
      <c r="G134" s="222">
        <v>135</v>
      </c>
      <c r="H134" s="161">
        <v>10</v>
      </c>
      <c r="I134" s="207">
        <v>300</v>
      </c>
      <c r="J134" s="242">
        <f t="shared" si="24"/>
        <v>3000</v>
      </c>
      <c r="K134" s="153"/>
      <c r="V134" s="25">
        <f t="shared" si="25"/>
        <v>1</v>
      </c>
      <c r="W134" s="25">
        <f t="shared" si="26"/>
        <v>0</v>
      </c>
    </row>
    <row r="135" spans="1:23" x14ac:dyDescent="0.3">
      <c r="A135" s="147"/>
      <c r="B135" s="205">
        <f t="shared" si="27"/>
        <v>10</v>
      </c>
      <c r="C135" s="206">
        <v>45251</v>
      </c>
      <c r="D135" s="161" t="s">
        <v>9</v>
      </c>
      <c r="E135" s="161" t="s">
        <v>1770</v>
      </c>
      <c r="F135" s="207">
        <v>135</v>
      </c>
      <c r="G135" s="222">
        <v>185</v>
      </c>
      <c r="H135" s="222">
        <f>185-135</f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11</v>
      </c>
      <c r="C136" s="206">
        <v>45252</v>
      </c>
      <c r="D136" s="161" t="s">
        <v>9</v>
      </c>
      <c r="E136" s="161" t="s">
        <v>1770</v>
      </c>
      <c r="F136" s="207">
        <v>125</v>
      </c>
      <c r="G136" s="222">
        <v>159</v>
      </c>
      <c r="H136" s="222">
        <f>159-125</f>
        <v>34</v>
      </c>
      <c r="I136" s="207">
        <v>300</v>
      </c>
      <c r="J136" s="242">
        <f t="shared" si="24"/>
        <v>10200</v>
      </c>
      <c r="K136" s="153"/>
      <c r="V136" s="25">
        <f t="shared" si="25"/>
        <v>1</v>
      </c>
      <c r="W136" s="25">
        <f t="shared" si="26"/>
        <v>0</v>
      </c>
    </row>
    <row r="137" spans="1:23" x14ac:dyDescent="0.3">
      <c r="A137" s="147"/>
      <c r="B137" s="205">
        <f t="shared" si="27"/>
        <v>12</v>
      </c>
      <c r="C137" s="206">
        <v>45253</v>
      </c>
      <c r="D137" s="161" t="s">
        <v>9</v>
      </c>
      <c r="E137" s="161" t="s">
        <v>4400</v>
      </c>
      <c r="F137" s="207">
        <v>135</v>
      </c>
      <c r="G137" s="222">
        <v>170</v>
      </c>
      <c r="H137" s="222">
        <v>35</v>
      </c>
      <c r="I137" s="207">
        <v>300</v>
      </c>
      <c r="J137" s="242">
        <f t="shared" si="24"/>
        <v>10500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13</v>
      </c>
      <c r="C138" s="206">
        <v>45254</v>
      </c>
      <c r="D138" s="161" t="s">
        <v>9</v>
      </c>
      <c r="E138" s="161" t="s">
        <v>1799</v>
      </c>
      <c r="F138" s="207">
        <v>135</v>
      </c>
      <c r="G138" s="207">
        <v>110</v>
      </c>
      <c r="H138" s="161">
        <v>-25</v>
      </c>
      <c r="I138" s="207">
        <v>300</v>
      </c>
      <c r="J138" s="242">
        <f t="shared" si="24"/>
        <v>-7500</v>
      </c>
      <c r="K138" s="153"/>
      <c r="V138" s="25">
        <f t="shared" si="25"/>
        <v>0</v>
      </c>
      <c r="W138" s="25">
        <f t="shared" si="26"/>
        <v>1</v>
      </c>
    </row>
    <row r="139" spans="1:23" x14ac:dyDescent="0.3">
      <c r="A139" s="147"/>
      <c r="B139" s="205">
        <f t="shared" si="27"/>
        <v>14</v>
      </c>
      <c r="C139" s="206">
        <v>45258</v>
      </c>
      <c r="D139" s="161" t="s">
        <v>9</v>
      </c>
      <c r="E139" s="161" t="s">
        <v>4381</v>
      </c>
      <c r="F139" s="207">
        <v>120</v>
      </c>
      <c r="G139" s="207">
        <v>170</v>
      </c>
      <c r="H139" s="161">
        <v>50</v>
      </c>
      <c r="I139" s="207">
        <v>300</v>
      </c>
      <c r="J139" s="242">
        <f t="shared" si="24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7"/>
        <v>15</v>
      </c>
      <c r="C140" s="206">
        <v>45259</v>
      </c>
      <c r="D140" s="161" t="s">
        <v>9</v>
      </c>
      <c r="E140" s="161" t="s">
        <v>4404</v>
      </c>
      <c r="F140" s="207">
        <v>140</v>
      </c>
      <c r="G140" s="207">
        <v>190</v>
      </c>
      <c r="H140" s="161">
        <v>50</v>
      </c>
      <c r="I140" s="207">
        <v>300</v>
      </c>
      <c r="J140" s="242">
        <f t="shared" si="24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7"/>
        <v>16</v>
      </c>
      <c r="C141" s="206">
        <v>45260</v>
      </c>
      <c r="D141" s="161" t="s">
        <v>9</v>
      </c>
      <c r="E141" s="161" t="s">
        <v>4405</v>
      </c>
      <c r="F141" s="207">
        <v>125</v>
      </c>
      <c r="G141" s="207">
        <v>175</v>
      </c>
      <c r="H141" s="161">
        <v>50</v>
      </c>
      <c r="I141" s="207">
        <v>300</v>
      </c>
      <c r="J141" s="242">
        <f t="shared" si="24"/>
        <v>15000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17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18</v>
      </c>
      <c r="C143" s="206"/>
      <c r="D143" s="161"/>
      <c r="E143" s="161"/>
      <c r="F143" s="207"/>
      <c r="G143" s="222"/>
      <c r="H143" s="222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19</v>
      </c>
      <c r="C144" s="206"/>
      <c r="D144" s="161"/>
      <c r="E144" s="161"/>
      <c r="F144" s="207"/>
      <c r="G144" s="222"/>
      <c r="H144" s="222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x14ac:dyDescent="0.3">
      <c r="A145" s="147"/>
      <c r="B145" s="205">
        <f t="shared" si="27"/>
        <v>20</v>
      </c>
      <c r="C145" s="206"/>
      <c r="D145" s="161"/>
      <c r="E145" s="161"/>
      <c r="F145" s="207"/>
      <c r="G145" s="222"/>
      <c r="H145" s="222"/>
      <c r="I145" s="207"/>
      <c r="J145" s="242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x14ac:dyDescent="0.3">
      <c r="A146" s="147"/>
      <c r="B146" s="205">
        <f t="shared" si="27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4"/>
        <v>0</v>
      </c>
      <c r="K146" s="153"/>
      <c r="V146" s="25">
        <f t="shared" si="25"/>
        <v>0</v>
      </c>
      <c r="W146" s="25">
        <f t="shared" si="26"/>
        <v>0</v>
      </c>
    </row>
    <row r="147" spans="1:23" x14ac:dyDescent="0.3">
      <c r="A147" s="147"/>
      <c r="B147" s="205">
        <f t="shared" si="27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4"/>
        <v>0</v>
      </c>
      <c r="K147" s="153"/>
      <c r="V147" s="25">
        <f t="shared" si="25"/>
        <v>0</v>
      </c>
      <c r="W147" s="25">
        <f t="shared" si="26"/>
        <v>0</v>
      </c>
    </row>
    <row r="148" spans="1:23" x14ac:dyDescent="0.3">
      <c r="A148" s="147"/>
      <c r="B148" s="205">
        <f t="shared" si="27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4"/>
        <v>0</v>
      </c>
      <c r="K148" s="153"/>
      <c r="V148" s="25">
        <f t="shared" si="25"/>
        <v>0</v>
      </c>
      <c r="W148" s="25">
        <f t="shared" si="26"/>
        <v>0</v>
      </c>
    </row>
    <row r="149" spans="1:23" x14ac:dyDescent="0.3">
      <c r="A149" s="147"/>
      <c r="B149" s="205">
        <f t="shared" si="27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4"/>
        <v>0</v>
      </c>
      <c r="K149" s="153"/>
      <c r="V149" s="25">
        <f t="shared" si="25"/>
        <v>0</v>
      </c>
      <c r="W149" s="25">
        <f t="shared" si="26"/>
        <v>0</v>
      </c>
    </row>
    <row r="150" spans="1:23" x14ac:dyDescent="0.3">
      <c r="A150" s="147"/>
      <c r="B150" s="205">
        <f t="shared" si="27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4"/>
        <v>0</v>
      </c>
      <c r="K150" s="153"/>
      <c r="V150" s="25">
        <f t="shared" si="25"/>
        <v>0</v>
      </c>
      <c r="W150" s="25">
        <f t="shared" si="26"/>
        <v>0</v>
      </c>
    </row>
    <row r="151" spans="1:23" x14ac:dyDescent="0.3">
      <c r="A151" s="147"/>
      <c r="B151" s="205">
        <f t="shared" si="27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4"/>
        <v>0</v>
      </c>
      <c r="K151" s="153"/>
      <c r="V151" s="25">
        <f t="shared" si="25"/>
        <v>0</v>
      </c>
      <c r="W151" s="25">
        <f t="shared" si="26"/>
        <v>0</v>
      </c>
    </row>
    <row r="152" spans="1:23" ht="15" thickBot="1" x14ac:dyDescent="0.35">
      <c r="A152" s="147"/>
      <c r="B152" s="205">
        <f t="shared" si="27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4"/>
        <v>0</v>
      </c>
      <c r="K152" s="153"/>
      <c r="V152" s="25">
        <f t="shared" si="25"/>
        <v>0</v>
      </c>
      <c r="W152" s="25">
        <f t="shared" si="26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143100</v>
      </c>
      <c r="K153" s="153"/>
      <c r="V153" s="25">
        <f>SUM(V126:V152)</f>
        <v>15</v>
      </c>
      <c r="W153" s="25">
        <f>SUM(W126:W152)</f>
        <v>1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4388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45231</v>
      </c>
      <c r="D161" s="185" t="s">
        <v>8</v>
      </c>
      <c r="E161" s="185" t="s">
        <v>301</v>
      </c>
      <c r="F161" s="219">
        <v>42900</v>
      </c>
      <c r="G161" s="231">
        <v>42850</v>
      </c>
      <c r="H161" s="185">
        <v>50</v>
      </c>
      <c r="I161" s="219">
        <v>60</v>
      </c>
      <c r="J161" s="246">
        <f t="shared" ref="J161:J186" si="28">I161*H161</f>
        <v>3000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45232</v>
      </c>
      <c r="D162" s="185" t="s">
        <v>9</v>
      </c>
      <c r="E162" s="185" t="s">
        <v>301</v>
      </c>
      <c r="F162" s="219">
        <v>43450</v>
      </c>
      <c r="G162" s="219">
        <v>43300</v>
      </c>
      <c r="H162" s="185">
        <v>-150</v>
      </c>
      <c r="I162" s="219">
        <v>60</v>
      </c>
      <c r="J162" s="242">
        <f t="shared" si="28"/>
        <v>-9000</v>
      </c>
      <c r="K162" s="153"/>
      <c r="V162" s="25">
        <f t="shared" ref="V162:V186" si="29">IF($J162&gt;0,1,0)</f>
        <v>0</v>
      </c>
      <c r="W162" s="25">
        <f t="shared" ref="W162:W186" si="30">IF($J162&lt;0,1,0)</f>
        <v>1</v>
      </c>
    </row>
    <row r="163" spans="1:23" x14ac:dyDescent="0.3">
      <c r="A163" s="147"/>
      <c r="B163" s="205">
        <f t="shared" ref="B163:B186" si="31">B162+1</f>
        <v>3</v>
      </c>
      <c r="C163" s="206">
        <v>45233</v>
      </c>
      <c r="D163" s="161" t="s">
        <v>9</v>
      </c>
      <c r="E163" s="161" t="s">
        <v>301</v>
      </c>
      <c r="F163" s="207">
        <v>43500</v>
      </c>
      <c r="G163" s="207">
        <v>43580</v>
      </c>
      <c r="H163" s="161">
        <v>80</v>
      </c>
      <c r="I163" s="207">
        <v>60</v>
      </c>
      <c r="J163" s="242">
        <f t="shared" si="28"/>
        <v>4800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4</v>
      </c>
      <c r="C164" s="206">
        <v>45236</v>
      </c>
      <c r="D164" s="161" t="s">
        <v>9</v>
      </c>
      <c r="E164" s="161" t="s">
        <v>301</v>
      </c>
      <c r="F164" s="207">
        <v>43700</v>
      </c>
      <c r="G164" s="207">
        <v>43800</v>
      </c>
      <c r="H164" s="161">
        <v>100</v>
      </c>
      <c r="I164" s="207">
        <v>60</v>
      </c>
      <c r="J164" s="242">
        <f t="shared" si="28"/>
        <v>6000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5</v>
      </c>
      <c r="C165" s="206">
        <v>45237</v>
      </c>
      <c r="D165" s="161" t="s">
        <v>8</v>
      </c>
      <c r="E165" s="161" t="s">
        <v>301</v>
      </c>
      <c r="F165" s="207">
        <v>43700</v>
      </c>
      <c r="G165" s="207">
        <v>43550</v>
      </c>
      <c r="H165" s="161">
        <f>43700-43550</f>
        <v>150</v>
      </c>
      <c r="I165" s="207">
        <v>60</v>
      </c>
      <c r="J165" s="242">
        <f t="shared" si="28"/>
        <v>9000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6</v>
      </c>
      <c r="C166" s="206">
        <v>45238</v>
      </c>
      <c r="D166" s="161" t="s">
        <v>9</v>
      </c>
      <c r="E166" s="161" t="s">
        <v>301</v>
      </c>
      <c r="F166" s="207">
        <v>43900</v>
      </c>
      <c r="G166" s="207">
        <v>43840</v>
      </c>
      <c r="H166" s="161">
        <f>43900-43840</f>
        <v>60</v>
      </c>
      <c r="I166" s="207">
        <v>60</v>
      </c>
      <c r="J166" s="242">
        <f t="shared" si="28"/>
        <v>3600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7</v>
      </c>
      <c r="C167" s="206">
        <v>45239</v>
      </c>
      <c r="D167" s="161" t="s">
        <v>9</v>
      </c>
      <c r="E167" s="161" t="s">
        <v>301</v>
      </c>
      <c r="F167" s="207">
        <v>43900</v>
      </c>
      <c r="G167" s="207">
        <v>44050</v>
      </c>
      <c r="H167" s="161">
        <f>44050-43900</f>
        <v>150</v>
      </c>
      <c r="I167" s="207">
        <v>60</v>
      </c>
      <c r="J167" s="242">
        <f t="shared" si="28"/>
        <v>9000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8</v>
      </c>
      <c r="C168" s="206">
        <v>45240</v>
      </c>
      <c r="D168" s="161" t="s">
        <v>9</v>
      </c>
      <c r="E168" s="161" t="s">
        <v>301</v>
      </c>
      <c r="F168" s="207">
        <v>43750</v>
      </c>
      <c r="G168" s="207">
        <v>43950</v>
      </c>
      <c r="H168" s="161">
        <v>200</v>
      </c>
      <c r="I168" s="207">
        <v>60</v>
      </c>
      <c r="J168" s="242">
        <f t="shared" si="28"/>
        <v>12000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9</v>
      </c>
      <c r="C169" s="206">
        <v>45250</v>
      </c>
      <c r="D169" s="161" t="s">
        <v>9</v>
      </c>
      <c r="E169" s="161" t="s">
        <v>301</v>
      </c>
      <c r="F169" s="207">
        <v>43850</v>
      </c>
      <c r="G169" s="207">
        <v>43900</v>
      </c>
      <c r="H169" s="161">
        <v>50</v>
      </c>
      <c r="I169" s="207">
        <v>60</v>
      </c>
      <c r="J169" s="242">
        <f t="shared" si="28"/>
        <v>3000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10</v>
      </c>
      <c r="C170" s="206">
        <v>45251</v>
      </c>
      <c r="D170" s="161" t="s">
        <v>9</v>
      </c>
      <c r="E170" s="161" t="s">
        <v>301</v>
      </c>
      <c r="F170" s="207">
        <v>43800</v>
      </c>
      <c r="G170" s="207">
        <v>43894</v>
      </c>
      <c r="H170" s="161">
        <v>94</v>
      </c>
      <c r="I170" s="207">
        <v>60</v>
      </c>
      <c r="J170" s="242">
        <f t="shared" si="28"/>
        <v>5640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11</v>
      </c>
      <c r="C171" s="206">
        <v>45252</v>
      </c>
      <c r="D171" s="161" t="s">
        <v>9</v>
      </c>
      <c r="E171" s="161" t="s">
        <v>301</v>
      </c>
      <c r="F171" s="207">
        <v>43700</v>
      </c>
      <c r="G171" s="207">
        <v>43750</v>
      </c>
      <c r="H171" s="161">
        <v>50</v>
      </c>
      <c r="I171" s="207">
        <v>60</v>
      </c>
      <c r="J171" s="242">
        <f t="shared" si="28"/>
        <v>3000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12</v>
      </c>
      <c r="C172" s="206">
        <v>45253</v>
      </c>
      <c r="D172" s="161" t="s">
        <v>9</v>
      </c>
      <c r="E172" s="161" t="s">
        <v>301</v>
      </c>
      <c r="F172" s="207">
        <v>43700</v>
      </c>
      <c r="G172" s="207">
        <v>43755</v>
      </c>
      <c r="H172" s="161">
        <v>55</v>
      </c>
      <c r="I172" s="207">
        <v>60</v>
      </c>
      <c r="J172" s="242">
        <f t="shared" si="28"/>
        <v>3300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13</v>
      </c>
      <c r="C173" s="206">
        <v>45254</v>
      </c>
      <c r="D173" s="161" t="s">
        <v>8</v>
      </c>
      <c r="E173" s="161" t="s">
        <v>301</v>
      </c>
      <c r="F173" s="207">
        <v>43600</v>
      </c>
      <c r="G173" s="207">
        <v>43750</v>
      </c>
      <c r="H173" s="161">
        <v>150</v>
      </c>
      <c r="I173" s="207">
        <v>60</v>
      </c>
      <c r="J173" s="242">
        <f t="shared" si="28"/>
        <v>9000</v>
      </c>
      <c r="K173" s="153"/>
      <c r="V173" s="25">
        <f t="shared" si="29"/>
        <v>1</v>
      </c>
      <c r="W173" s="25">
        <f t="shared" si="30"/>
        <v>0</v>
      </c>
    </row>
    <row r="174" spans="1:23" x14ac:dyDescent="0.3">
      <c r="A174" s="147"/>
      <c r="B174" s="205">
        <f t="shared" si="31"/>
        <v>14</v>
      </c>
      <c r="C174" s="206">
        <v>45258</v>
      </c>
      <c r="D174" s="161" t="s">
        <v>9</v>
      </c>
      <c r="E174" s="161" t="s">
        <v>301</v>
      </c>
      <c r="F174" s="207">
        <v>43850</v>
      </c>
      <c r="G174" s="207">
        <v>44000</v>
      </c>
      <c r="H174" s="161">
        <v>150</v>
      </c>
      <c r="I174" s="207">
        <v>60</v>
      </c>
      <c r="J174" s="242">
        <f t="shared" si="28"/>
        <v>9000</v>
      </c>
      <c r="K174" s="153"/>
      <c r="V174" s="25">
        <f t="shared" si="29"/>
        <v>1</v>
      </c>
      <c r="W174" s="25">
        <f t="shared" si="30"/>
        <v>0</v>
      </c>
    </row>
    <row r="175" spans="1:23" x14ac:dyDescent="0.3">
      <c r="A175" s="147"/>
      <c r="B175" s="205">
        <f t="shared" si="31"/>
        <v>15</v>
      </c>
      <c r="C175" s="206">
        <v>45259</v>
      </c>
      <c r="D175" s="161" t="s">
        <v>9</v>
      </c>
      <c r="E175" s="161" t="s">
        <v>301</v>
      </c>
      <c r="F175" s="207">
        <v>44150</v>
      </c>
      <c r="G175" s="207">
        <v>44450</v>
      </c>
      <c r="H175" s="161">
        <v>300</v>
      </c>
      <c r="I175" s="207">
        <v>60</v>
      </c>
      <c r="J175" s="242">
        <f t="shared" si="28"/>
        <v>18000</v>
      </c>
      <c r="K175" s="153"/>
      <c r="V175" s="25">
        <f t="shared" si="29"/>
        <v>1</v>
      </c>
      <c r="W175" s="25">
        <f t="shared" si="30"/>
        <v>0</v>
      </c>
    </row>
    <row r="176" spans="1:23" x14ac:dyDescent="0.3">
      <c r="A176" s="147"/>
      <c r="B176" s="205">
        <f t="shared" si="31"/>
        <v>16</v>
      </c>
      <c r="C176" s="206">
        <v>45260</v>
      </c>
      <c r="D176" s="161" t="s">
        <v>8</v>
      </c>
      <c r="E176" s="161" t="s">
        <v>301</v>
      </c>
      <c r="F176" s="207">
        <v>44650</v>
      </c>
      <c r="G176" s="207">
        <v>44350</v>
      </c>
      <c r="H176" s="161">
        <v>300</v>
      </c>
      <c r="I176" s="207">
        <v>60</v>
      </c>
      <c r="J176" s="242">
        <f t="shared" si="28"/>
        <v>18000</v>
      </c>
      <c r="K176" s="153"/>
      <c r="V176" s="25">
        <f t="shared" si="29"/>
        <v>1</v>
      </c>
      <c r="W176" s="25">
        <f t="shared" si="30"/>
        <v>0</v>
      </c>
    </row>
    <row r="177" spans="1:23" x14ac:dyDescent="0.3">
      <c r="A177" s="147"/>
      <c r="B177" s="205">
        <f t="shared" si="31"/>
        <v>17</v>
      </c>
      <c r="C177" s="206"/>
      <c r="D177" s="161"/>
      <c r="E177" s="161"/>
      <c r="F177" s="207"/>
      <c r="G177" s="207"/>
      <c r="H177" s="161"/>
      <c r="I177" s="207"/>
      <c r="J177" s="242">
        <f t="shared" si="28"/>
        <v>0</v>
      </c>
      <c r="K177" s="153"/>
      <c r="V177" s="25">
        <f t="shared" si="29"/>
        <v>0</v>
      </c>
      <c r="W177" s="25">
        <f t="shared" si="30"/>
        <v>0</v>
      </c>
    </row>
    <row r="178" spans="1:23" x14ac:dyDescent="0.3">
      <c r="A178" s="147"/>
      <c r="B178" s="205">
        <f t="shared" si="31"/>
        <v>18</v>
      </c>
      <c r="C178" s="206"/>
      <c r="D178" s="161"/>
      <c r="E178" s="161"/>
      <c r="F178" s="207"/>
      <c r="G178" s="207"/>
      <c r="H178" s="161"/>
      <c r="I178" s="207"/>
      <c r="J178" s="242">
        <f t="shared" si="28"/>
        <v>0</v>
      </c>
      <c r="K178" s="153"/>
      <c r="V178" s="25">
        <f t="shared" si="29"/>
        <v>0</v>
      </c>
      <c r="W178" s="25">
        <f t="shared" si="30"/>
        <v>0</v>
      </c>
    </row>
    <row r="179" spans="1:23" x14ac:dyDescent="0.3">
      <c r="A179" s="147"/>
      <c r="B179" s="205">
        <f t="shared" si="31"/>
        <v>19</v>
      </c>
      <c r="C179" s="206"/>
      <c r="D179" s="161"/>
      <c r="E179" s="161"/>
      <c r="F179" s="207"/>
      <c r="G179" s="207"/>
      <c r="H179" s="161"/>
      <c r="I179" s="207"/>
      <c r="J179" s="242">
        <f t="shared" si="28"/>
        <v>0</v>
      </c>
      <c r="K179" s="153"/>
      <c r="V179" s="25">
        <f t="shared" si="29"/>
        <v>0</v>
      </c>
      <c r="W179" s="25">
        <f t="shared" si="30"/>
        <v>0</v>
      </c>
    </row>
    <row r="180" spans="1:23" x14ac:dyDescent="0.3">
      <c r="A180" s="147"/>
      <c r="B180" s="205">
        <f t="shared" si="31"/>
        <v>20</v>
      </c>
      <c r="C180" s="206"/>
      <c r="D180" s="161"/>
      <c r="E180" s="161"/>
      <c r="F180" s="207"/>
      <c r="G180" s="207"/>
      <c r="H180" s="161"/>
      <c r="I180" s="207"/>
      <c r="J180" s="242">
        <f t="shared" si="28"/>
        <v>0</v>
      </c>
      <c r="K180" s="153"/>
      <c r="V180" s="25">
        <f t="shared" si="29"/>
        <v>0</v>
      </c>
      <c r="W180" s="25">
        <f t="shared" si="30"/>
        <v>0</v>
      </c>
    </row>
    <row r="181" spans="1:23" x14ac:dyDescent="0.3">
      <c r="A181" s="147"/>
      <c r="B181" s="205">
        <f t="shared" si="31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8"/>
        <v>0</v>
      </c>
      <c r="K181" s="153"/>
      <c r="V181" s="25">
        <f t="shared" si="29"/>
        <v>0</v>
      </c>
      <c r="W181" s="25">
        <f t="shared" si="30"/>
        <v>0</v>
      </c>
    </row>
    <row r="182" spans="1:23" x14ac:dyDescent="0.3">
      <c r="A182" s="147"/>
      <c r="B182" s="205">
        <f t="shared" si="31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8"/>
        <v>0</v>
      </c>
      <c r="K182" s="153"/>
      <c r="V182" s="25">
        <f t="shared" si="29"/>
        <v>0</v>
      </c>
      <c r="W182" s="25">
        <f t="shared" si="30"/>
        <v>0</v>
      </c>
    </row>
    <row r="183" spans="1:23" x14ac:dyDescent="0.3">
      <c r="A183" s="147"/>
      <c r="B183" s="205">
        <f t="shared" si="31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8"/>
        <v>0</v>
      </c>
      <c r="K183" s="153"/>
      <c r="V183" s="25">
        <f t="shared" si="29"/>
        <v>0</v>
      </c>
      <c r="W183" s="25">
        <f t="shared" si="30"/>
        <v>0</v>
      </c>
    </row>
    <row r="184" spans="1:23" x14ac:dyDescent="0.3">
      <c r="A184" s="147"/>
      <c r="B184" s="205">
        <f t="shared" si="31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8"/>
        <v>0</v>
      </c>
      <c r="K184" s="153"/>
      <c r="V184" s="25">
        <f t="shared" si="29"/>
        <v>0</v>
      </c>
      <c r="W184" s="25">
        <f t="shared" si="30"/>
        <v>0</v>
      </c>
    </row>
    <row r="185" spans="1:23" x14ac:dyDescent="0.3">
      <c r="A185" s="147"/>
      <c r="B185" s="205">
        <f t="shared" si="31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8"/>
        <v>0</v>
      </c>
      <c r="K185" s="153"/>
      <c r="V185" s="25">
        <f t="shared" si="29"/>
        <v>0</v>
      </c>
      <c r="W185" s="25">
        <f t="shared" si="30"/>
        <v>0</v>
      </c>
    </row>
    <row r="186" spans="1:23" ht="15" thickBot="1" x14ac:dyDescent="0.35">
      <c r="A186" s="147"/>
      <c r="B186" s="205">
        <f t="shared" si="31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8"/>
        <v>0</v>
      </c>
      <c r="K186" s="153"/>
      <c r="V186" s="25">
        <f t="shared" si="29"/>
        <v>0</v>
      </c>
      <c r="W186" s="25">
        <f t="shared" si="30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107340</v>
      </c>
      <c r="K187" s="153"/>
      <c r="V187" s="25">
        <f>SUM(V161:V186)</f>
        <v>15</v>
      </c>
      <c r="W187" s="25">
        <f>SUM(W161:W186)</f>
        <v>1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4390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45231</v>
      </c>
      <c r="D195" s="185" t="s">
        <v>9</v>
      </c>
      <c r="E195" s="185" t="s">
        <v>4071</v>
      </c>
      <c r="F195" s="231">
        <v>300</v>
      </c>
      <c r="G195" s="231">
        <v>408</v>
      </c>
      <c r="H195" s="231">
        <f>408-300</f>
        <v>108</v>
      </c>
      <c r="I195" s="219">
        <v>120</v>
      </c>
      <c r="J195" s="246">
        <f t="shared" ref="J195:J220" si="32">I195*H195</f>
        <v>12960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45232</v>
      </c>
      <c r="D196" s="185" t="s">
        <v>9</v>
      </c>
      <c r="E196" s="185" t="s">
        <v>4006</v>
      </c>
      <c r="F196" s="231">
        <v>340</v>
      </c>
      <c r="G196" s="231">
        <v>380</v>
      </c>
      <c r="H196" s="231">
        <v>40</v>
      </c>
      <c r="I196" s="219">
        <v>120</v>
      </c>
      <c r="J196" s="242">
        <f t="shared" si="32"/>
        <v>4800</v>
      </c>
      <c r="K196" s="153"/>
      <c r="V196" s="25">
        <f t="shared" ref="V196:V220" si="33">IF($J196&gt;0,1,0)</f>
        <v>1</v>
      </c>
      <c r="W196" s="25">
        <f t="shared" ref="W196:W220" si="34">IF($J196&lt;0,1,0)</f>
        <v>0</v>
      </c>
    </row>
    <row r="197" spans="1:23" x14ac:dyDescent="0.3">
      <c r="A197" s="147"/>
      <c r="B197" s="205">
        <f t="shared" ref="B197:B216" si="35">B196+1</f>
        <v>3</v>
      </c>
      <c r="C197" s="206">
        <v>45233</v>
      </c>
      <c r="D197" s="161" t="s">
        <v>9</v>
      </c>
      <c r="E197" s="161" t="s">
        <v>4026</v>
      </c>
      <c r="F197" s="222">
        <v>310</v>
      </c>
      <c r="G197" s="222">
        <v>375</v>
      </c>
      <c r="H197" s="222">
        <f>375-310</f>
        <v>65</v>
      </c>
      <c r="I197" s="207">
        <v>120</v>
      </c>
      <c r="J197" s="242">
        <f t="shared" si="32"/>
        <v>7800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4</v>
      </c>
      <c r="C198" s="206">
        <v>45236</v>
      </c>
      <c r="D198" s="161" t="s">
        <v>9</v>
      </c>
      <c r="E198" s="161" t="s">
        <v>4065</v>
      </c>
      <c r="F198" s="222">
        <v>300</v>
      </c>
      <c r="G198" s="222">
        <v>330</v>
      </c>
      <c r="H198" s="222">
        <v>30</v>
      </c>
      <c r="I198" s="207">
        <v>120</v>
      </c>
      <c r="J198" s="242">
        <f t="shared" si="32"/>
        <v>3600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5</v>
      </c>
      <c r="C199" s="206">
        <v>45237</v>
      </c>
      <c r="D199" s="161" t="s">
        <v>9</v>
      </c>
      <c r="E199" s="161" t="s">
        <v>4023</v>
      </c>
      <c r="F199" s="222">
        <v>320</v>
      </c>
      <c r="G199" s="222">
        <v>240</v>
      </c>
      <c r="H199" s="222">
        <v>-80</v>
      </c>
      <c r="I199" s="207">
        <v>120</v>
      </c>
      <c r="J199" s="242">
        <f t="shared" si="32"/>
        <v>-9600</v>
      </c>
      <c r="K199" s="153"/>
      <c r="O199" s="25" t="s">
        <v>2008</v>
      </c>
      <c r="V199" s="25">
        <f t="shared" si="33"/>
        <v>0</v>
      </c>
      <c r="W199" s="25">
        <f t="shared" si="34"/>
        <v>1</v>
      </c>
    </row>
    <row r="200" spans="1:23" x14ac:dyDescent="0.3">
      <c r="A200" s="147"/>
      <c r="B200" s="205">
        <f t="shared" si="35"/>
        <v>6</v>
      </c>
      <c r="C200" s="206">
        <v>45238</v>
      </c>
      <c r="D200" s="161" t="s">
        <v>9</v>
      </c>
      <c r="E200" s="161" t="s">
        <v>4065</v>
      </c>
      <c r="F200" s="222">
        <v>340</v>
      </c>
      <c r="G200" s="222">
        <v>380</v>
      </c>
      <c r="H200" s="222">
        <v>40</v>
      </c>
      <c r="I200" s="207">
        <v>120</v>
      </c>
      <c r="J200" s="242">
        <f t="shared" si="32"/>
        <v>4800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7</v>
      </c>
      <c r="C201" s="206">
        <v>45239</v>
      </c>
      <c r="D201" s="161" t="s">
        <v>9</v>
      </c>
      <c r="E201" s="161" t="s">
        <v>4208</v>
      </c>
      <c r="F201" s="222">
        <v>340</v>
      </c>
      <c r="G201" s="222">
        <v>470</v>
      </c>
      <c r="H201" s="222">
        <f>470-340</f>
        <v>130</v>
      </c>
      <c r="I201" s="207">
        <v>120</v>
      </c>
      <c r="J201" s="242">
        <f t="shared" si="32"/>
        <v>15600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8</v>
      </c>
      <c r="C202" s="206">
        <v>45240</v>
      </c>
      <c r="D202" s="161" t="s">
        <v>9</v>
      </c>
      <c r="E202" s="161" t="s">
        <v>4036</v>
      </c>
      <c r="F202" s="222">
        <v>300</v>
      </c>
      <c r="G202" s="222">
        <v>450</v>
      </c>
      <c r="H202" s="222">
        <v>150</v>
      </c>
      <c r="I202" s="207">
        <v>120</v>
      </c>
      <c r="J202" s="242">
        <f t="shared" si="32"/>
        <v>18000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9</v>
      </c>
      <c r="C203" s="206">
        <v>45250</v>
      </c>
      <c r="D203" s="161" t="s">
        <v>9</v>
      </c>
      <c r="E203" s="161" t="s">
        <v>4208</v>
      </c>
      <c r="F203" s="222">
        <v>300</v>
      </c>
      <c r="G203" s="222">
        <v>330</v>
      </c>
      <c r="H203" s="255">
        <v>30</v>
      </c>
      <c r="I203" s="207">
        <v>120</v>
      </c>
      <c r="J203" s="242">
        <f t="shared" si="32"/>
        <v>3600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10</v>
      </c>
      <c r="C204" s="206">
        <v>45251</v>
      </c>
      <c r="D204" s="161" t="s">
        <v>9</v>
      </c>
      <c r="E204" s="161" t="s">
        <v>4065</v>
      </c>
      <c r="F204" s="222">
        <v>350</v>
      </c>
      <c r="G204" s="222">
        <v>400</v>
      </c>
      <c r="H204" s="255">
        <v>50</v>
      </c>
      <c r="I204" s="207">
        <v>120</v>
      </c>
      <c r="J204" s="242">
        <f t="shared" si="32"/>
        <v>6000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11</v>
      </c>
      <c r="C205" s="206">
        <v>45252</v>
      </c>
      <c r="D205" s="161" t="s">
        <v>9</v>
      </c>
      <c r="E205" s="161" t="s">
        <v>4055</v>
      </c>
      <c r="F205" s="222">
        <v>300</v>
      </c>
      <c r="G205" s="222">
        <v>220</v>
      </c>
      <c r="H205" s="255">
        <v>-80</v>
      </c>
      <c r="I205" s="207">
        <v>120</v>
      </c>
      <c r="J205" s="242">
        <f t="shared" si="32"/>
        <v>-9600</v>
      </c>
      <c r="K205" s="153"/>
      <c r="V205" s="25">
        <f t="shared" si="33"/>
        <v>0</v>
      </c>
      <c r="W205" s="25">
        <f t="shared" si="34"/>
        <v>1</v>
      </c>
    </row>
    <row r="206" spans="1:23" x14ac:dyDescent="0.3">
      <c r="A206" s="147"/>
      <c r="B206" s="205">
        <f t="shared" si="35"/>
        <v>12</v>
      </c>
      <c r="C206" s="206">
        <v>45253</v>
      </c>
      <c r="D206" s="161" t="s">
        <v>9</v>
      </c>
      <c r="E206" s="161" t="s">
        <v>4036</v>
      </c>
      <c r="F206" s="222">
        <v>340</v>
      </c>
      <c r="G206" s="222">
        <v>405</v>
      </c>
      <c r="H206" s="255">
        <f>405-340</f>
        <v>65</v>
      </c>
      <c r="I206" s="207">
        <v>120</v>
      </c>
      <c r="J206" s="242">
        <f t="shared" si="32"/>
        <v>7800</v>
      </c>
      <c r="K206" s="153"/>
      <c r="V206" s="25">
        <f t="shared" si="33"/>
        <v>1</v>
      </c>
      <c r="W206" s="25">
        <f t="shared" si="34"/>
        <v>0</v>
      </c>
    </row>
    <row r="207" spans="1:23" x14ac:dyDescent="0.3">
      <c r="A207" s="147"/>
      <c r="B207" s="205">
        <f t="shared" si="35"/>
        <v>13</v>
      </c>
      <c r="C207" s="206">
        <v>45254</v>
      </c>
      <c r="D207" s="161" t="s">
        <v>9</v>
      </c>
      <c r="E207" s="161" t="s">
        <v>4208</v>
      </c>
      <c r="F207" s="222">
        <v>300</v>
      </c>
      <c r="G207" s="222">
        <v>350</v>
      </c>
      <c r="H207" s="255">
        <v>50</v>
      </c>
      <c r="I207" s="207">
        <v>120</v>
      </c>
      <c r="J207" s="242">
        <f t="shared" si="32"/>
        <v>6000</v>
      </c>
      <c r="K207" s="153"/>
      <c r="V207" s="25">
        <f t="shared" si="33"/>
        <v>1</v>
      </c>
      <c r="W207" s="25">
        <f t="shared" si="34"/>
        <v>0</v>
      </c>
    </row>
    <row r="208" spans="1:23" x14ac:dyDescent="0.3">
      <c r="A208" s="147"/>
      <c r="B208" s="205">
        <f t="shared" si="35"/>
        <v>14</v>
      </c>
      <c r="C208" s="206">
        <v>45258</v>
      </c>
      <c r="D208" s="161" t="s">
        <v>9</v>
      </c>
      <c r="E208" s="161" t="s">
        <v>4033</v>
      </c>
      <c r="F208" s="207">
        <v>300</v>
      </c>
      <c r="G208" s="207">
        <v>415</v>
      </c>
      <c r="H208" s="161">
        <f>415-300</f>
        <v>115</v>
      </c>
      <c r="I208" s="207">
        <v>120</v>
      </c>
      <c r="J208" s="242">
        <f t="shared" si="32"/>
        <v>13800</v>
      </c>
      <c r="K208" s="153"/>
      <c r="V208" s="25">
        <f t="shared" si="33"/>
        <v>1</v>
      </c>
      <c r="W208" s="25">
        <f t="shared" si="34"/>
        <v>0</v>
      </c>
    </row>
    <row r="209" spans="1:23" x14ac:dyDescent="0.3">
      <c r="A209" s="147"/>
      <c r="B209" s="205">
        <f t="shared" si="35"/>
        <v>15</v>
      </c>
      <c r="C209" s="206">
        <v>45259</v>
      </c>
      <c r="D209" s="161" t="s">
        <v>9</v>
      </c>
      <c r="E209" s="161" t="s">
        <v>4196</v>
      </c>
      <c r="F209" s="207">
        <v>320</v>
      </c>
      <c r="G209" s="207">
        <v>480</v>
      </c>
      <c r="H209" s="161">
        <f>480-320</f>
        <v>160</v>
      </c>
      <c r="I209" s="207">
        <v>120</v>
      </c>
      <c r="J209" s="242">
        <f t="shared" si="32"/>
        <v>19200</v>
      </c>
      <c r="K209" s="153"/>
      <c r="V209" s="25">
        <f t="shared" si="33"/>
        <v>1</v>
      </c>
      <c r="W209" s="25">
        <f t="shared" si="34"/>
        <v>0</v>
      </c>
    </row>
    <row r="210" spans="1:23" x14ac:dyDescent="0.3">
      <c r="A210" s="147"/>
      <c r="B210" s="205">
        <f t="shared" si="35"/>
        <v>16</v>
      </c>
      <c r="C210" s="206">
        <v>45260</v>
      </c>
      <c r="D210" s="161" t="s">
        <v>9</v>
      </c>
      <c r="E210" s="161" t="s">
        <v>4366</v>
      </c>
      <c r="F210" s="207">
        <v>280</v>
      </c>
      <c r="G210" s="207">
        <v>440</v>
      </c>
      <c r="H210" s="161">
        <f>440-280</f>
        <v>160</v>
      </c>
      <c r="I210" s="207">
        <v>120</v>
      </c>
      <c r="J210" s="242">
        <f t="shared" si="32"/>
        <v>19200</v>
      </c>
      <c r="K210" s="153"/>
      <c r="V210" s="25">
        <f t="shared" si="33"/>
        <v>1</v>
      </c>
      <c r="W210" s="25">
        <f t="shared" si="34"/>
        <v>0</v>
      </c>
    </row>
    <row r="211" spans="1:23" x14ac:dyDescent="0.3">
      <c r="A211" s="147"/>
      <c r="B211" s="205">
        <f t="shared" si="35"/>
        <v>17</v>
      </c>
      <c r="C211" s="206"/>
      <c r="D211" s="161"/>
      <c r="E211" s="161"/>
      <c r="F211" s="207"/>
      <c r="G211" s="207"/>
      <c r="H211" s="161"/>
      <c r="I211" s="207"/>
      <c r="J211" s="242">
        <f t="shared" si="32"/>
        <v>0</v>
      </c>
      <c r="K211" s="153"/>
      <c r="V211" s="25">
        <f t="shared" si="33"/>
        <v>0</v>
      </c>
      <c r="W211" s="25">
        <f t="shared" si="34"/>
        <v>0</v>
      </c>
    </row>
    <row r="212" spans="1:23" x14ac:dyDescent="0.3">
      <c r="A212" s="147"/>
      <c r="B212" s="205">
        <f t="shared" si="35"/>
        <v>18</v>
      </c>
      <c r="C212" s="206"/>
      <c r="D212" s="161"/>
      <c r="E212" s="161"/>
      <c r="F212" s="207"/>
      <c r="G212" s="207"/>
      <c r="H212" s="161"/>
      <c r="I212" s="207"/>
      <c r="J212" s="242">
        <f t="shared" si="32"/>
        <v>0</v>
      </c>
      <c r="K212" s="153"/>
      <c r="V212" s="25">
        <f t="shared" si="33"/>
        <v>0</v>
      </c>
      <c r="W212" s="25">
        <f t="shared" si="34"/>
        <v>0</v>
      </c>
    </row>
    <row r="213" spans="1:23" x14ac:dyDescent="0.3">
      <c r="A213" s="147"/>
      <c r="B213" s="205">
        <f t="shared" si="35"/>
        <v>19</v>
      </c>
      <c r="C213" s="206"/>
      <c r="D213" s="161"/>
      <c r="E213" s="161"/>
      <c r="F213" s="207"/>
      <c r="G213" s="207"/>
      <c r="H213" s="161"/>
      <c r="I213" s="207"/>
      <c r="J213" s="161">
        <f t="shared" si="32"/>
        <v>0</v>
      </c>
      <c r="K213" s="153"/>
      <c r="V213" s="25">
        <f t="shared" si="33"/>
        <v>0</v>
      </c>
      <c r="W213" s="25">
        <f t="shared" si="34"/>
        <v>0</v>
      </c>
    </row>
    <row r="214" spans="1:23" x14ac:dyDescent="0.3">
      <c r="A214" s="147"/>
      <c r="B214" s="205">
        <f t="shared" si="35"/>
        <v>20</v>
      </c>
      <c r="C214" s="206"/>
      <c r="D214" s="161"/>
      <c r="E214" s="161"/>
      <c r="F214" s="207"/>
      <c r="G214" s="207"/>
      <c r="H214" s="161"/>
      <c r="I214" s="207"/>
      <c r="J214" s="161">
        <f t="shared" si="32"/>
        <v>0</v>
      </c>
      <c r="K214" s="153"/>
      <c r="V214" s="25">
        <f t="shared" si="33"/>
        <v>0</v>
      </c>
      <c r="W214" s="25">
        <f t="shared" si="34"/>
        <v>0</v>
      </c>
    </row>
    <row r="215" spans="1:23" x14ac:dyDescent="0.3">
      <c r="A215" s="147"/>
      <c r="B215" s="205">
        <f t="shared" si="35"/>
        <v>21</v>
      </c>
      <c r="C215" s="206"/>
      <c r="D215" s="161"/>
      <c r="E215" s="161"/>
      <c r="F215" s="207"/>
      <c r="G215" s="207"/>
      <c r="H215" s="161"/>
      <c r="I215" s="207"/>
      <c r="J215" s="161">
        <f t="shared" si="32"/>
        <v>0</v>
      </c>
      <c r="K215" s="153"/>
      <c r="V215" s="25">
        <f t="shared" si="33"/>
        <v>0</v>
      </c>
      <c r="W215" s="25">
        <f t="shared" si="34"/>
        <v>0</v>
      </c>
    </row>
    <row r="216" spans="1:23" x14ac:dyDescent="0.3">
      <c r="A216" s="147"/>
      <c r="B216" s="205">
        <f t="shared" si="35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2"/>
        <v>0</v>
      </c>
      <c r="K216" s="153"/>
      <c r="T216" s="25" t="s">
        <v>2008</v>
      </c>
      <c r="V216" s="25">
        <f t="shared" si="33"/>
        <v>0</v>
      </c>
      <c r="W216" s="25">
        <f t="shared" si="34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2"/>
        <v>0</v>
      </c>
      <c r="K217" s="153"/>
      <c r="V217" s="25">
        <f t="shared" si="33"/>
        <v>0</v>
      </c>
      <c r="W217" s="25">
        <f t="shared" si="34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2"/>
        <v>0</v>
      </c>
      <c r="K218" s="153"/>
      <c r="V218" s="25">
        <f t="shared" si="33"/>
        <v>0</v>
      </c>
      <c r="W218" s="25">
        <f t="shared" si="34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2"/>
        <v>0</v>
      </c>
      <c r="K219" s="153"/>
      <c r="V219" s="25">
        <f t="shared" si="33"/>
        <v>0</v>
      </c>
      <c r="W219" s="25">
        <f t="shared" si="34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2"/>
        <v>0</v>
      </c>
      <c r="K220" s="153"/>
      <c r="V220" s="25">
        <f t="shared" si="33"/>
        <v>0</v>
      </c>
      <c r="W220" s="25">
        <f t="shared" si="34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123960</v>
      </c>
      <c r="K221" s="153"/>
      <c r="V221" s="25">
        <f>SUM(V195:V220)</f>
        <v>14</v>
      </c>
      <c r="W221" s="25">
        <f>SUM(W195:W220)</f>
        <v>2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3973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45231</v>
      </c>
      <c r="D229" s="185" t="s">
        <v>9</v>
      </c>
      <c r="E229" s="185" t="s">
        <v>4188</v>
      </c>
      <c r="F229" s="231">
        <v>17</v>
      </c>
      <c r="G229" s="231">
        <v>18.350000000000001</v>
      </c>
      <c r="H229" s="231">
        <v>1.35</v>
      </c>
      <c r="I229" s="219">
        <v>700</v>
      </c>
      <c r="J229" s="246">
        <f t="shared" ref="J229:J252" si="36">I229*H229</f>
        <v>945.00000000000011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45232</v>
      </c>
      <c r="D230" s="185" t="s">
        <v>9</v>
      </c>
      <c r="E230" s="185" t="s">
        <v>4393</v>
      </c>
      <c r="F230" s="231">
        <v>130</v>
      </c>
      <c r="G230" s="231">
        <v>110</v>
      </c>
      <c r="H230" s="231">
        <v>-20</v>
      </c>
      <c r="I230" s="219">
        <v>200</v>
      </c>
      <c r="J230" s="242">
        <f>I230*H230</f>
        <v>-4000</v>
      </c>
      <c r="K230" s="153"/>
      <c r="V230" s="25">
        <f>IF($J230&gt;0,1,0)</f>
        <v>0</v>
      </c>
      <c r="W230" s="25">
        <f>IF($J230&lt;0,1,0)</f>
        <v>1</v>
      </c>
    </row>
    <row r="231" spans="1:23" x14ac:dyDescent="0.3">
      <c r="A231" s="147"/>
      <c r="B231" s="205">
        <f t="shared" ref="B231:B252" si="37">B230+1</f>
        <v>3</v>
      </c>
      <c r="C231" s="206">
        <v>45233</v>
      </c>
      <c r="D231" s="161" t="s">
        <v>9</v>
      </c>
      <c r="E231" s="161" t="s">
        <v>4394</v>
      </c>
      <c r="F231" s="222">
        <v>135</v>
      </c>
      <c r="G231" s="222">
        <v>174</v>
      </c>
      <c r="H231" s="222">
        <f>174-135</f>
        <v>39</v>
      </c>
      <c r="I231" s="207">
        <v>100</v>
      </c>
      <c r="J231" s="242">
        <f t="shared" si="36"/>
        <v>3900</v>
      </c>
      <c r="K231" s="153"/>
      <c r="V231" s="25">
        <f t="shared" ref="V231:V252" si="38">IF($J231&gt;0,1,0)</f>
        <v>1</v>
      </c>
      <c r="W231" s="25">
        <f t="shared" ref="W231:W252" si="39">IF($J231&lt;0,1,0)</f>
        <v>0</v>
      </c>
    </row>
    <row r="232" spans="1:23" x14ac:dyDescent="0.3">
      <c r="A232" s="147"/>
      <c r="B232" s="205">
        <f t="shared" si="37"/>
        <v>4</v>
      </c>
      <c r="C232" s="206">
        <v>45236</v>
      </c>
      <c r="D232" s="161" t="s">
        <v>9</v>
      </c>
      <c r="E232" s="161" t="s">
        <v>4395</v>
      </c>
      <c r="F232" s="222">
        <v>145</v>
      </c>
      <c r="G232" s="222">
        <v>115</v>
      </c>
      <c r="H232" s="222">
        <v>-30</v>
      </c>
      <c r="I232" s="207">
        <v>100</v>
      </c>
      <c r="J232" s="242">
        <f t="shared" si="36"/>
        <v>-3000</v>
      </c>
      <c r="K232" s="153"/>
      <c r="V232" s="25">
        <f t="shared" si="38"/>
        <v>0</v>
      </c>
      <c r="W232" s="25">
        <f t="shared" si="39"/>
        <v>1</v>
      </c>
    </row>
    <row r="233" spans="1:23" x14ac:dyDescent="0.3">
      <c r="A233" s="147"/>
      <c r="B233" s="205">
        <f t="shared" si="37"/>
        <v>5</v>
      </c>
      <c r="C233" s="206">
        <v>45237</v>
      </c>
      <c r="D233" s="161" t="s">
        <v>9</v>
      </c>
      <c r="E233" s="161" t="s">
        <v>4396</v>
      </c>
      <c r="F233" s="222">
        <v>150</v>
      </c>
      <c r="G233" s="222">
        <v>165</v>
      </c>
      <c r="H233" s="222">
        <v>15</v>
      </c>
      <c r="I233" s="207">
        <v>200</v>
      </c>
      <c r="J233" s="242">
        <f t="shared" si="36"/>
        <v>3000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6</v>
      </c>
      <c r="C234" s="206">
        <v>45238</v>
      </c>
      <c r="D234" s="161" t="s">
        <v>9</v>
      </c>
      <c r="E234" s="161" t="s">
        <v>4397</v>
      </c>
      <c r="F234" s="222">
        <v>50</v>
      </c>
      <c r="G234" s="222">
        <v>70</v>
      </c>
      <c r="H234" s="222">
        <v>20</v>
      </c>
      <c r="I234" s="207">
        <v>200</v>
      </c>
      <c r="J234" s="242">
        <f t="shared" si="36"/>
        <v>4000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7</v>
      </c>
      <c r="C235" s="206">
        <v>45239</v>
      </c>
      <c r="D235" s="161" t="s">
        <v>9</v>
      </c>
      <c r="E235" s="161" t="s">
        <v>4398</v>
      </c>
      <c r="F235" s="222">
        <v>50</v>
      </c>
      <c r="G235" s="222">
        <v>70</v>
      </c>
      <c r="H235" s="222">
        <v>20</v>
      </c>
      <c r="I235" s="207">
        <v>500</v>
      </c>
      <c r="J235" s="242">
        <f t="shared" si="36"/>
        <v>10000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8</v>
      </c>
      <c r="C236" s="206">
        <v>45240</v>
      </c>
      <c r="D236" s="161" t="s">
        <v>9</v>
      </c>
      <c r="E236" s="161" t="s">
        <v>4399</v>
      </c>
      <c r="F236" s="222">
        <v>120</v>
      </c>
      <c r="G236" s="222">
        <v>135</v>
      </c>
      <c r="H236" s="222">
        <v>15</v>
      </c>
      <c r="I236" s="207">
        <v>100</v>
      </c>
      <c r="J236" s="242">
        <f t="shared" si="36"/>
        <v>1500</v>
      </c>
      <c r="K236" s="153"/>
      <c r="V236" s="25">
        <f t="shared" si="38"/>
        <v>1</v>
      </c>
      <c r="W236" s="25">
        <f t="shared" si="39"/>
        <v>0</v>
      </c>
    </row>
    <row r="237" spans="1:23" x14ac:dyDescent="0.3">
      <c r="A237" s="147"/>
      <c r="B237" s="205">
        <f t="shared" si="37"/>
        <v>9</v>
      </c>
      <c r="C237" s="206">
        <v>45250</v>
      </c>
      <c r="D237" s="161" t="s">
        <v>9</v>
      </c>
      <c r="E237" s="161" t="s">
        <v>3586</v>
      </c>
      <c r="F237" s="222">
        <v>125</v>
      </c>
      <c r="G237" s="222">
        <v>140</v>
      </c>
      <c r="H237" s="255">
        <f>140-125</f>
        <v>15</v>
      </c>
      <c r="I237" s="207">
        <v>100</v>
      </c>
      <c r="J237" s="242">
        <f t="shared" si="36"/>
        <v>1500</v>
      </c>
      <c r="K237" s="153"/>
      <c r="V237" s="25">
        <f t="shared" si="38"/>
        <v>1</v>
      </c>
      <c r="W237" s="25">
        <f t="shared" si="39"/>
        <v>0</v>
      </c>
    </row>
    <row r="238" spans="1:23" x14ac:dyDescent="0.3">
      <c r="A238" s="147"/>
      <c r="B238" s="205">
        <f t="shared" si="37"/>
        <v>10</v>
      </c>
      <c r="C238" s="206">
        <v>45251</v>
      </c>
      <c r="D238" s="161" t="s">
        <v>9</v>
      </c>
      <c r="E238" s="161" t="s">
        <v>3586</v>
      </c>
      <c r="F238" s="222">
        <v>130</v>
      </c>
      <c r="G238" s="222">
        <v>110</v>
      </c>
      <c r="H238" s="255">
        <v>-20</v>
      </c>
      <c r="I238" s="207">
        <v>100</v>
      </c>
      <c r="J238" s="242">
        <f t="shared" si="36"/>
        <v>-2000</v>
      </c>
      <c r="K238" s="153"/>
      <c r="V238" s="25">
        <f t="shared" si="38"/>
        <v>0</v>
      </c>
      <c r="W238" s="25">
        <f t="shared" si="39"/>
        <v>1</v>
      </c>
    </row>
    <row r="239" spans="1:23" x14ac:dyDescent="0.3">
      <c r="A239" s="147"/>
      <c r="B239" s="205">
        <f t="shared" si="37"/>
        <v>11</v>
      </c>
      <c r="C239" s="206">
        <v>45252</v>
      </c>
      <c r="D239" s="161" t="s">
        <v>9</v>
      </c>
      <c r="E239" s="161" t="s">
        <v>4401</v>
      </c>
      <c r="F239" s="222">
        <v>28</v>
      </c>
      <c r="G239" s="222">
        <v>32.200000000000003</v>
      </c>
      <c r="H239" s="255">
        <f>32.2-28</f>
        <v>4.2000000000000028</v>
      </c>
      <c r="I239" s="207">
        <v>500</v>
      </c>
      <c r="J239" s="242">
        <f t="shared" si="36"/>
        <v>2100.0000000000014</v>
      </c>
      <c r="K239" s="153"/>
      <c r="V239" s="25">
        <f t="shared" si="38"/>
        <v>1</v>
      </c>
      <c r="W239" s="25">
        <f t="shared" si="39"/>
        <v>0</v>
      </c>
    </row>
    <row r="240" spans="1:23" x14ac:dyDescent="0.3">
      <c r="A240" s="147"/>
      <c r="B240" s="205">
        <f t="shared" si="37"/>
        <v>12</v>
      </c>
      <c r="C240" s="206">
        <v>45253</v>
      </c>
      <c r="D240" s="161" t="s">
        <v>9</v>
      </c>
      <c r="E240" s="161" t="s">
        <v>4402</v>
      </c>
      <c r="F240" s="222">
        <v>85</v>
      </c>
      <c r="G240" s="222">
        <v>125</v>
      </c>
      <c r="H240" s="255">
        <f>125-85</f>
        <v>40</v>
      </c>
      <c r="I240" s="207">
        <v>100</v>
      </c>
      <c r="J240" s="242">
        <f t="shared" si="36"/>
        <v>4000</v>
      </c>
      <c r="K240" s="153"/>
      <c r="V240" s="25">
        <f t="shared" si="38"/>
        <v>1</v>
      </c>
      <c r="W240" s="25">
        <f t="shared" si="39"/>
        <v>0</v>
      </c>
    </row>
    <row r="241" spans="1:23" x14ac:dyDescent="0.3">
      <c r="A241" s="147"/>
      <c r="B241" s="205">
        <f t="shared" si="37"/>
        <v>13</v>
      </c>
      <c r="C241" s="206">
        <v>45254</v>
      </c>
      <c r="D241" s="161" t="s">
        <v>9</v>
      </c>
      <c r="E241" s="161" t="s">
        <v>4403</v>
      </c>
      <c r="F241" s="222">
        <v>22</v>
      </c>
      <c r="G241" s="222">
        <v>28</v>
      </c>
      <c r="H241" s="255">
        <v>6</v>
      </c>
      <c r="I241" s="207">
        <v>400</v>
      </c>
      <c r="J241" s="242">
        <f t="shared" si="36"/>
        <v>2400</v>
      </c>
      <c r="K241" s="153"/>
      <c r="V241" s="25">
        <f t="shared" si="38"/>
        <v>1</v>
      </c>
      <c r="W241" s="25">
        <f t="shared" si="39"/>
        <v>0</v>
      </c>
    </row>
    <row r="242" spans="1:23" x14ac:dyDescent="0.3">
      <c r="A242" s="147"/>
      <c r="B242" s="205">
        <f t="shared" si="37"/>
        <v>14</v>
      </c>
      <c r="C242" s="206">
        <v>45258</v>
      </c>
      <c r="D242" s="161" t="s">
        <v>9</v>
      </c>
      <c r="E242" s="161" t="s">
        <v>4406</v>
      </c>
      <c r="F242" s="222">
        <v>8</v>
      </c>
      <c r="G242" s="222">
        <v>9.4</v>
      </c>
      <c r="H242" s="255">
        <v>1.4</v>
      </c>
      <c r="I242" s="207">
        <v>500</v>
      </c>
      <c r="J242" s="242">
        <f>I242*H242</f>
        <v>700</v>
      </c>
      <c r="K242" s="153"/>
      <c r="V242" s="25">
        <f t="shared" si="38"/>
        <v>1</v>
      </c>
      <c r="W242" s="25">
        <f t="shared" si="39"/>
        <v>0</v>
      </c>
    </row>
    <row r="243" spans="1:23" x14ac:dyDescent="0.3">
      <c r="A243" s="147"/>
      <c r="B243" s="205">
        <f t="shared" si="37"/>
        <v>15</v>
      </c>
      <c r="C243" s="206">
        <v>45259</v>
      </c>
      <c r="D243" s="161" t="s">
        <v>9</v>
      </c>
      <c r="E243" s="161" t="s">
        <v>4407</v>
      </c>
      <c r="F243" s="222">
        <v>25</v>
      </c>
      <c r="G243" s="222">
        <v>29</v>
      </c>
      <c r="H243" s="255">
        <v>4</v>
      </c>
      <c r="I243" s="207">
        <v>300</v>
      </c>
      <c r="J243" s="242">
        <f t="shared" si="36"/>
        <v>1200</v>
      </c>
      <c r="K243" s="153"/>
      <c r="V243" s="25">
        <f t="shared" si="38"/>
        <v>1</v>
      </c>
      <c r="W243" s="25">
        <f t="shared" si="39"/>
        <v>0</v>
      </c>
    </row>
    <row r="244" spans="1:23" x14ac:dyDescent="0.3">
      <c r="A244" s="147"/>
      <c r="B244" s="205">
        <f t="shared" si="37"/>
        <v>16</v>
      </c>
      <c r="C244" s="206"/>
      <c r="D244" s="161"/>
      <c r="E244" s="161"/>
      <c r="F244" s="222"/>
      <c r="G244" s="222"/>
      <c r="H244" s="222"/>
      <c r="I244" s="207"/>
      <c r="J244" s="242">
        <f t="shared" si="36"/>
        <v>0</v>
      </c>
      <c r="K244" s="153"/>
      <c r="V244" s="25">
        <f t="shared" si="38"/>
        <v>0</v>
      </c>
      <c r="W244" s="25">
        <f t="shared" si="39"/>
        <v>0</v>
      </c>
    </row>
    <row r="245" spans="1:23" x14ac:dyDescent="0.3">
      <c r="A245" s="147"/>
      <c r="B245" s="205">
        <f t="shared" si="37"/>
        <v>17</v>
      </c>
      <c r="C245" s="206"/>
      <c r="D245" s="161"/>
      <c r="E245" s="161"/>
      <c r="F245" s="222"/>
      <c r="G245" s="222"/>
      <c r="H245" s="222"/>
      <c r="I245" s="207"/>
      <c r="J245" s="242">
        <f t="shared" si="36"/>
        <v>0</v>
      </c>
      <c r="K245" s="153"/>
      <c r="V245" s="25">
        <f t="shared" si="38"/>
        <v>0</v>
      </c>
      <c r="W245" s="25">
        <f t="shared" si="39"/>
        <v>0</v>
      </c>
    </row>
    <row r="246" spans="1:23" x14ac:dyDescent="0.3">
      <c r="A246" s="147"/>
      <c r="B246" s="205">
        <f t="shared" si="37"/>
        <v>18</v>
      </c>
      <c r="C246" s="206"/>
      <c r="D246" s="161"/>
      <c r="E246" s="161"/>
      <c r="F246" s="222"/>
      <c r="G246" s="222"/>
      <c r="H246" s="222"/>
      <c r="I246" s="207"/>
      <c r="J246" s="242">
        <f t="shared" si="36"/>
        <v>0</v>
      </c>
      <c r="K246" s="153"/>
      <c r="V246" s="25">
        <f t="shared" si="38"/>
        <v>0</v>
      </c>
      <c r="W246" s="25">
        <f t="shared" si="39"/>
        <v>0</v>
      </c>
    </row>
    <row r="247" spans="1:23" x14ac:dyDescent="0.3">
      <c r="A247" s="147"/>
      <c r="B247" s="205">
        <f t="shared" si="37"/>
        <v>19</v>
      </c>
      <c r="C247" s="206"/>
      <c r="D247" s="161"/>
      <c r="E247" s="161"/>
      <c r="F247" s="222"/>
      <c r="G247" s="222"/>
      <c r="H247" s="222"/>
      <c r="I247" s="207"/>
      <c r="J247" s="242">
        <f t="shared" si="36"/>
        <v>0</v>
      </c>
      <c r="K247" s="153"/>
      <c r="V247" s="25">
        <f t="shared" si="38"/>
        <v>0</v>
      </c>
      <c r="W247" s="25">
        <f t="shared" si="39"/>
        <v>0</v>
      </c>
    </row>
    <row r="248" spans="1:23" x14ac:dyDescent="0.3">
      <c r="A248" s="147"/>
      <c r="B248" s="205">
        <f t="shared" si="37"/>
        <v>20</v>
      </c>
      <c r="C248" s="206"/>
      <c r="D248" s="161"/>
      <c r="E248" s="161"/>
      <c r="F248" s="222"/>
      <c r="G248" s="222"/>
      <c r="H248" s="222"/>
      <c r="I248" s="207"/>
      <c r="J248" s="242">
        <f t="shared" si="36"/>
        <v>0</v>
      </c>
      <c r="K248" s="153"/>
      <c r="V248" s="25">
        <f t="shared" si="38"/>
        <v>0</v>
      </c>
      <c r="W248" s="25">
        <f t="shared" si="39"/>
        <v>0</v>
      </c>
    </row>
    <row r="249" spans="1:23" x14ac:dyDescent="0.3">
      <c r="A249" s="147"/>
      <c r="B249" s="205">
        <f t="shared" si="37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6"/>
        <v>0</v>
      </c>
      <c r="K249" s="153"/>
      <c r="V249" s="25">
        <f t="shared" si="38"/>
        <v>0</v>
      </c>
      <c r="W249" s="25">
        <f t="shared" si="39"/>
        <v>0</v>
      </c>
    </row>
    <row r="250" spans="1:23" x14ac:dyDescent="0.3">
      <c r="A250" s="147"/>
      <c r="B250" s="205">
        <f t="shared" si="37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6"/>
        <v>0</v>
      </c>
      <c r="K250" s="153"/>
      <c r="V250" s="25">
        <f t="shared" si="38"/>
        <v>0</v>
      </c>
      <c r="W250" s="25">
        <f t="shared" si="39"/>
        <v>0</v>
      </c>
    </row>
    <row r="251" spans="1:23" x14ac:dyDescent="0.3">
      <c r="A251" s="147"/>
      <c r="B251" s="205">
        <f t="shared" si="37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6"/>
        <v>0</v>
      </c>
      <c r="K251" s="153"/>
      <c r="V251" s="25">
        <f t="shared" si="38"/>
        <v>0</v>
      </c>
      <c r="W251" s="25">
        <f t="shared" si="39"/>
        <v>0</v>
      </c>
    </row>
    <row r="252" spans="1:23" ht="15" thickBot="1" x14ac:dyDescent="0.35">
      <c r="A252" s="147"/>
      <c r="B252" s="208">
        <f t="shared" si="37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6"/>
        <v>0</v>
      </c>
      <c r="K252" s="153"/>
      <c r="V252" s="25">
        <f t="shared" si="38"/>
        <v>0</v>
      </c>
      <c r="W252" s="25">
        <f t="shared" si="39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26245</v>
      </c>
      <c r="K253" s="153"/>
      <c r="V253" s="25">
        <f>SUM(V229:V252)</f>
        <v>12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</mergeCells>
  <hyperlinks>
    <hyperlink ref="B86" r:id="rId1" xr:uid="{00000000-0004-0000-7F00-000000000000}"/>
    <hyperlink ref="B118" r:id="rId2" xr:uid="{00000000-0004-0000-7F00-000001000000}"/>
    <hyperlink ref="B153" r:id="rId3" xr:uid="{00000000-0004-0000-7F00-000002000000}"/>
    <hyperlink ref="B187" r:id="rId4" xr:uid="{00000000-0004-0000-7F00-000003000000}"/>
    <hyperlink ref="B221" r:id="rId5" xr:uid="{00000000-0004-0000-7F00-000004000000}"/>
    <hyperlink ref="B253" r:id="rId6" xr:uid="{00000000-0004-0000-7F00-000005000000}"/>
    <hyperlink ref="M1" location="'MASTER '!A1" display="Back" xr:uid="{00000000-0004-0000-7F00-000006000000}"/>
    <hyperlink ref="M6:M7" location="'NOV 2023'!A77" display="STOCK FUTURE" xr:uid="{00000000-0004-0000-7F00-000007000000}"/>
    <hyperlink ref="M12:M13" location="'NOV 2023'!A170" display="BANK NIFTY" xr:uid="{00000000-0004-0000-7F00-000008000000}"/>
    <hyperlink ref="M10:M11" location="'NOV 2023'!A139" display="NF. OPTION" xr:uid="{00000000-0004-0000-7F00-000009000000}"/>
    <hyperlink ref="M8:M9" location="'NOV 2023'!A108" display="NIFTY FUTURE" xr:uid="{00000000-0004-0000-7F00-00000A000000}"/>
    <hyperlink ref="M4:M5" location="'NOV 2023'!A1" display="CASH" xr:uid="{00000000-0004-0000-7F00-00000B000000}"/>
    <hyperlink ref="M14:M15" location="'NOV 2023'!A201" display="B.NIFTY OPTION" xr:uid="{00000000-0004-0000-7F00-00000C000000}"/>
    <hyperlink ref="M16:M17" location="'NOV 2023'!A216" display="STOCK OPTION" xr:uid="{00000000-0004-0000-7F00-00000D000000}"/>
    <hyperlink ref="B52" r:id="rId7" xr:uid="{00000000-0004-0000-7F00-00000E000000}"/>
  </hyperlinks>
  <pageMargins left="0" right="0" top="0" bottom="0" header="0" footer="0"/>
  <pageSetup scale="95" orientation="portrait" r:id="rId8"/>
  <drawing r:id="rId9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W254"/>
  <sheetViews>
    <sheetView topLeftCell="A223" zoomScaleNormal="100" workbookViewId="0">
      <selection activeCell="N237" sqref="N237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4408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31</v>
      </c>
      <c r="P4" s="386">
        <f>W52</f>
        <v>8</v>
      </c>
      <c r="Q4" s="387">
        <f>N4-O4-P4</f>
        <v>1</v>
      </c>
      <c r="R4" s="380">
        <f>O4/N4</f>
        <v>0.77500000000000002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45261</v>
      </c>
      <c r="D6" s="158" t="s">
        <v>9</v>
      </c>
      <c r="E6" s="158" t="s">
        <v>3746</v>
      </c>
      <c r="F6" s="230">
        <v>149</v>
      </c>
      <c r="G6" s="222">
        <v>150.6</v>
      </c>
      <c r="H6" s="222">
        <v>1.6</v>
      </c>
      <c r="I6" s="207">
        <f t="shared" ref="I6:I45" si="0">300000/F6</f>
        <v>2013.4228187919464</v>
      </c>
      <c r="J6" s="161">
        <f t="shared" ref="J6" si="1">H6*I6</f>
        <v>3221.4765100671143</v>
      </c>
      <c r="K6" s="153"/>
      <c r="M6" s="394" t="s">
        <v>450</v>
      </c>
      <c r="N6" s="344">
        <f>COUNT(C60:C85)</f>
        <v>20</v>
      </c>
      <c r="O6" s="346">
        <f>V86</f>
        <v>20</v>
      </c>
      <c r="P6" s="346">
        <f>W86</f>
        <v>0</v>
      </c>
      <c r="Q6" s="374">
        <f>N6-O6-P6</f>
        <v>0</v>
      </c>
      <c r="R6" s="376">
        <f t="shared" ref="R6" si="2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45261</v>
      </c>
      <c r="D7" s="161" t="s">
        <v>9</v>
      </c>
      <c r="E7" s="161" t="s">
        <v>58</v>
      </c>
      <c r="F7" s="222">
        <v>1094</v>
      </c>
      <c r="G7" s="231">
        <v>1108</v>
      </c>
      <c r="H7" s="255">
        <f>1108-1094</f>
        <v>14</v>
      </c>
      <c r="I7" s="207">
        <f t="shared" si="0"/>
        <v>274.22303473491775</v>
      </c>
      <c r="J7" s="246">
        <f t="shared" ref="J7:J18" si="3">I7*H7</f>
        <v>3839.1224862888484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45264</v>
      </c>
      <c r="D8" s="161" t="s">
        <v>9</v>
      </c>
      <c r="E8" s="161" t="s">
        <v>3515</v>
      </c>
      <c r="F8" s="222">
        <v>2505</v>
      </c>
      <c r="G8" s="222">
        <v>2525</v>
      </c>
      <c r="H8" s="222">
        <v>20</v>
      </c>
      <c r="I8" s="207">
        <f t="shared" si="0"/>
        <v>119.76047904191617</v>
      </c>
      <c r="J8" s="246">
        <f t="shared" si="3"/>
        <v>2395.2095808383233</v>
      </c>
      <c r="K8" s="153"/>
      <c r="M8" s="394" t="s">
        <v>451</v>
      </c>
      <c r="N8" s="344">
        <f>COUNT(C94:C117)</f>
        <v>20</v>
      </c>
      <c r="O8" s="346">
        <f>V118</f>
        <v>17</v>
      </c>
      <c r="P8" s="346">
        <f>W118</f>
        <v>3</v>
      </c>
      <c r="Q8" s="374">
        <f>N8-O8-P8</f>
        <v>0</v>
      </c>
      <c r="R8" s="376">
        <f t="shared" ref="R8" si="7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6"/>
        <v>4</v>
      </c>
      <c r="C9" s="206">
        <v>45264</v>
      </c>
      <c r="D9" s="161" t="s">
        <v>8</v>
      </c>
      <c r="E9" s="161" t="s">
        <v>58</v>
      </c>
      <c r="F9" s="222">
        <v>1108</v>
      </c>
      <c r="G9" s="231">
        <v>1100</v>
      </c>
      <c r="H9" s="255">
        <v>8</v>
      </c>
      <c r="I9" s="207">
        <f t="shared" si="0"/>
        <v>270.75812274368229</v>
      </c>
      <c r="J9" s="246">
        <f t="shared" si="3"/>
        <v>2166.0649819494583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45265</v>
      </c>
      <c r="D10" s="161" t="s">
        <v>9</v>
      </c>
      <c r="E10" s="161" t="s">
        <v>299</v>
      </c>
      <c r="F10" s="222">
        <v>2810</v>
      </c>
      <c r="G10" s="222">
        <v>2780</v>
      </c>
      <c r="H10" s="222">
        <v>-30</v>
      </c>
      <c r="I10" s="207">
        <f t="shared" si="0"/>
        <v>106.76156583629893</v>
      </c>
      <c r="J10" s="246">
        <f t="shared" si="3"/>
        <v>-3202.8469750889681</v>
      </c>
      <c r="K10" s="153"/>
      <c r="M10" s="394" t="s">
        <v>1176</v>
      </c>
      <c r="N10" s="344">
        <f>COUNT(C126:C152)</f>
        <v>20</v>
      </c>
      <c r="O10" s="346">
        <f>V153</f>
        <v>17</v>
      </c>
      <c r="P10" s="346">
        <f>W153</f>
        <v>3</v>
      </c>
      <c r="Q10" s="374">
        <f>N10-O10-P10</f>
        <v>0</v>
      </c>
      <c r="R10" s="376">
        <f t="shared" ref="R10:R16" si="8">O10/N10</f>
        <v>0.85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6"/>
        <v>6</v>
      </c>
      <c r="C11" s="206">
        <v>45265</v>
      </c>
      <c r="D11" s="161" t="s">
        <v>9</v>
      </c>
      <c r="E11" s="161" t="s">
        <v>3515</v>
      </c>
      <c r="F11" s="222">
        <v>2550</v>
      </c>
      <c r="G11" s="222">
        <v>2570</v>
      </c>
      <c r="H11" s="255">
        <v>20</v>
      </c>
      <c r="I11" s="207">
        <f t="shared" si="0"/>
        <v>117.64705882352941</v>
      </c>
      <c r="J11" s="246">
        <f t="shared" si="3"/>
        <v>2352.9411764705883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45266</v>
      </c>
      <c r="D12" s="161" t="s">
        <v>9</v>
      </c>
      <c r="E12" s="161" t="s">
        <v>3515</v>
      </c>
      <c r="F12" s="222">
        <v>2585</v>
      </c>
      <c r="G12" s="222">
        <v>2625</v>
      </c>
      <c r="H12" s="222">
        <f>2625-2585</f>
        <v>40</v>
      </c>
      <c r="I12" s="207">
        <f t="shared" si="0"/>
        <v>116.0541586073501</v>
      </c>
      <c r="J12" s="246">
        <f t="shared" si="3"/>
        <v>4642.1663442940044</v>
      </c>
      <c r="K12" s="153"/>
      <c r="M12" s="394" t="s">
        <v>41</v>
      </c>
      <c r="N12" s="344">
        <f>COUNT(C161:C186)</f>
        <v>21</v>
      </c>
      <c r="O12" s="346">
        <f>V187</f>
        <v>18</v>
      </c>
      <c r="P12" s="346">
        <f>W187</f>
        <v>3</v>
      </c>
      <c r="Q12" s="374">
        <f t="shared" ref="Q12" si="9">N12-O12-P12</f>
        <v>0</v>
      </c>
      <c r="R12" s="376">
        <f t="shared" si="8"/>
        <v>0.8571428571428571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45266</v>
      </c>
      <c r="D13" s="161" t="s">
        <v>8</v>
      </c>
      <c r="E13" s="161" t="s">
        <v>58</v>
      </c>
      <c r="F13" s="222">
        <v>1128</v>
      </c>
      <c r="G13" s="222">
        <v>1119</v>
      </c>
      <c r="H13" s="255">
        <f>1128-1119</f>
        <v>9</v>
      </c>
      <c r="I13" s="207">
        <f t="shared" si="0"/>
        <v>265.95744680851061</v>
      </c>
      <c r="J13" s="246">
        <f t="shared" si="3"/>
        <v>2393.6170212765956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45267</v>
      </c>
      <c r="D14" s="161" t="s">
        <v>9</v>
      </c>
      <c r="E14" s="161" t="s">
        <v>132</v>
      </c>
      <c r="F14" s="222">
        <v>677</v>
      </c>
      <c r="G14" s="222">
        <v>677</v>
      </c>
      <c r="H14" s="222">
        <v>0</v>
      </c>
      <c r="I14" s="207">
        <f t="shared" si="0"/>
        <v>443.13146233382571</v>
      </c>
      <c r="J14" s="246">
        <f t="shared" si="3"/>
        <v>0</v>
      </c>
      <c r="K14" s="153"/>
      <c r="M14" s="394" t="s">
        <v>1175</v>
      </c>
      <c r="N14" s="344">
        <f>COUNT(C195:C220)</f>
        <v>22</v>
      </c>
      <c r="O14" s="346">
        <f>V221</f>
        <v>19</v>
      </c>
      <c r="P14" s="346">
        <f>W221</f>
        <v>3</v>
      </c>
      <c r="Q14" s="374">
        <f t="shared" ref="Q14" si="10">N14-O14-P14</f>
        <v>0</v>
      </c>
      <c r="R14" s="376">
        <f t="shared" si="8"/>
        <v>0.86363636363636365</v>
      </c>
      <c r="V14" s="25">
        <f t="shared" si="4"/>
        <v>0</v>
      </c>
      <c r="W14" s="25">
        <f t="shared" si="5"/>
        <v>0</v>
      </c>
    </row>
    <row r="15" spans="1:23" x14ac:dyDescent="0.3">
      <c r="A15" s="147"/>
      <c r="B15" s="205">
        <f t="shared" si="6"/>
        <v>10</v>
      </c>
      <c r="C15" s="206">
        <v>45267</v>
      </c>
      <c r="D15" s="161" t="s">
        <v>9</v>
      </c>
      <c r="E15" s="161" t="s">
        <v>2563</v>
      </c>
      <c r="F15" s="222">
        <v>2910</v>
      </c>
      <c r="G15" s="222">
        <v>2920</v>
      </c>
      <c r="H15" s="222">
        <v>10</v>
      </c>
      <c r="I15" s="207">
        <f t="shared" si="0"/>
        <v>103.09278350515464</v>
      </c>
      <c r="J15" s="246">
        <f t="shared" si="3"/>
        <v>1030.9278350515465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45268</v>
      </c>
      <c r="D16" s="161" t="s">
        <v>9</v>
      </c>
      <c r="E16" s="161" t="s">
        <v>95</v>
      </c>
      <c r="F16" s="222">
        <v>1003</v>
      </c>
      <c r="G16" s="222">
        <v>1010</v>
      </c>
      <c r="H16" s="222">
        <v>7</v>
      </c>
      <c r="I16" s="207">
        <f t="shared" si="0"/>
        <v>299.10269192422732</v>
      </c>
      <c r="J16" s="246">
        <f t="shared" si="3"/>
        <v>2093.7188434695913</v>
      </c>
      <c r="K16" s="153"/>
      <c r="L16" s="25" t="s">
        <v>2008</v>
      </c>
      <c r="M16" s="394" t="s">
        <v>1090</v>
      </c>
      <c r="N16" s="344">
        <f>COUNT(C229:C252)</f>
        <v>20</v>
      </c>
      <c r="O16" s="346">
        <f>V253</f>
        <v>13</v>
      </c>
      <c r="P16" s="346">
        <f>W253</f>
        <v>7</v>
      </c>
      <c r="Q16" s="374">
        <v>0</v>
      </c>
      <c r="R16" s="376">
        <f t="shared" si="8"/>
        <v>0.65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45268</v>
      </c>
      <c r="D17" s="161" t="s">
        <v>9</v>
      </c>
      <c r="E17" s="161" t="s">
        <v>3886</v>
      </c>
      <c r="F17" s="222">
        <v>4960</v>
      </c>
      <c r="G17" s="222">
        <v>4920</v>
      </c>
      <c r="H17" s="222">
        <v>-40</v>
      </c>
      <c r="I17" s="207">
        <f t="shared" si="0"/>
        <v>60.483870967741936</v>
      </c>
      <c r="J17" s="246">
        <f t="shared" si="3"/>
        <v>-2419.3548387096776</v>
      </c>
      <c r="K17" s="153"/>
      <c r="M17" s="395"/>
      <c r="N17" s="385"/>
      <c r="O17" s="373"/>
      <c r="P17" s="373"/>
      <c r="Q17" s="375"/>
      <c r="R17" s="377"/>
      <c r="V17" s="25">
        <f t="shared" si="4"/>
        <v>0</v>
      </c>
      <c r="W17" s="25">
        <f t="shared" si="5"/>
        <v>1</v>
      </c>
    </row>
    <row r="18" spans="1:23" x14ac:dyDescent="0.3">
      <c r="A18" s="147"/>
      <c r="B18" s="205">
        <f t="shared" si="6"/>
        <v>13</v>
      </c>
      <c r="C18" s="206">
        <v>45271</v>
      </c>
      <c r="D18" s="161" t="s">
        <v>9</v>
      </c>
      <c r="E18" s="161" t="s">
        <v>3515</v>
      </c>
      <c r="F18" s="222">
        <v>2800</v>
      </c>
      <c r="G18" s="222">
        <v>2775</v>
      </c>
      <c r="H18" s="222">
        <v>-25</v>
      </c>
      <c r="I18" s="207">
        <f t="shared" si="0"/>
        <v>107.14285714285714</v>
      </c>
      <c r="J18" s="246">
        <f t="shared" si="3"/>
        <v>-2678.5714285714284</v>
      </c>
      <c r="K18" s="153"/>
      <c r="M18" s="392" t="s">
        <v>946</v>
      </c>
      <c r="N18" s="378">
        <f>SUM(N4:N17)</f>
        <v>163</v>
      </c>
      <c r="O18" s="378">
        <f t="shared" ref="O18:Q18" si="11">SUM(O4:O17)</f>
        <v>135</v>
      </c>
      <c r="P18" s="378">
        <f t="shared" si="11"/>
        <v>27</v>
      </c>
      <c r="Q18" s="378">
        <f t="shared" si="11"/>
        <v>1</v>
      </c>
      <c r="R18" s="380">
        <f t="shared" ref="R18" si="12">O18/N18</f>
        <v>0.82822085889570551</v>
      </c>
      <c r="V18" s="25">
        <f t="shared" si="4"/>
        <v>0</v>
      </c>
      <c r="W18" s="25">
        <f t="shared" si="5"/>
        <v>1</v>
      </c>
    </row>
    <row r="19" spans="1:23" ht="15" thickBot="1" x14ac:dyDescent="0.35">
      <c r="A19" s="147"/>
      <c r="B19" s="205">
        <f t="shared" si="6"/>
        <v>14</v>
      </c>
      <c r="C19" s="206">
        <v>45271</v>
      </c>
      <c r="D19" s="161" t="s">
        <v>9</v>
      </c>
      <c r="E19" s="161" t="s">
        <v>422</v>
      </c>
      <c r="F19" s="222">
        <v>1700</v>
      </c>
      <c r="G19" s="222">
        <v>1710</v>
      </c>
      <c r="H19" s="222">
        <v>10</v>
      </c>
      <c r="I19" s="207">
        <f t="shared" si="0"/>
        <v>176.47058823529412</v>
      </c>
      <c r="J19" s="161">
        <f t="shared" ref="J19:J48" si="13">H19*I19</f>
        <v>1764.7058823529412</v>
      </c>
      <c r="K19" s="153"/>
      <c r="M19" s="393"/>
      <c r="N19" s="379"/>
      <c r="O19" s="379"/>
      <c r="P19" s="379"/>
      <c r="Q19" s="379"/>
      <c r="R19" s="377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45272</v>
      </c>
      <c r="D20" s="161" t="s">
        <v>9</v>
      </c>
      <c r="E20" s="161" t="s">
        <v>422</v>
      </c>
      <c r="F20" s="222">
        <v>1720</v>
      </c>
      <c r="G20" s="222">
        <v>1740</v>
      </c>
      <c r="H20" s="222">
        <v>20</v>
      </c>
      <c r="I20" s="207">
        <f t="shared" si="0"/>
        <v>174.41860465116278</v>
      </c>
      <c r="J20" s="161">
        <f t="shared" si="13"/>
        <v>3488.3720930232557</v>
      </c>
      <c r="K20" s="153"/>
      <c r="M20" s="316" t="s">
        <v>2253</v>
      </c>
      <c r="N20" s="317"/>
      <c r="O20" s="318"/>
      <c r="P20" s="325">
        <f>R18</f>
        <v>0.82822085889570551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45272</v>
      </c>
      <c r="D21" s="161" t="s">
        <v>8</v>
      </c>
      <c r="E21" s="161" t="s">
        <v>3515</v>
      </c>
      <c r="F21" s="222">
        <v>2755</v>
      </c>
      <c r="G21" s="222">
        <v>2722</v>
      </c>
      <c r="H21" s="222">
        <f>2755-2722</f>
        <v>33</v>
      </c>
      <c r="I21" s="207">
        <f t="shared" si="0"/>
        <v>108.8929219600726</v>
      </c>
      <c r="J21" s="161">
        <f t="shared" si="13"/>
        <v>3593.4664246823959</v>
      </c>
      <c r="K21" s="153"/>
      <c r="M21" s="319"/>
      <c r="N21" s="320"/>
      <c r="O21" s="321"/>
      <c r="P21" s="328"/>
      <c r="Q21" s="329"/>
      <c r="R21" s="33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45273</v>
      </c>
      <c r="D22" s="161" t="s">
        <v>9</v>
      </c>
      <c r="E22" s="161" t="s">
        <v>3515</v>
      </c>
      <c r="F22" s="222">
        <v>2760</v>
      </c>
      <c r="G22" s="222">
        <v>2776.5</v>
      </c>
      <c r="H22" s="222">
        <f>2776.5-2760</f>
        <v>16.5</v>
      </c>
      <c r="I22" s="207">
        <f t="shared" si="0"/>
        <v>108.69565217391305</v>
      </c>
      <c r="J22" s="161">
        <f t="shared" si="13"/>
        <v>1793.4782608695652</v>
      </c>
      <c r="K22" s="153"/>
      <c r="M22" s="322"/>
      <c r="N22" s="323"/>
      <c r="O22" s="324"/>
      <c r="P22" s="331"/>
      <c r="Q22" s="332"/>
      <c r="R22" s="33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45273</v>
      </c>
      <c r="D23" s="161" t="s">
        <v>8</v>
      </c>
      <c r="E23" s="161" t="s">
        <v>299</v>
      </c>
      <c r="F23" s="222">
        <v>2815</v>
      </c>
      <c r="G23" s="222">
        <v>2805</v>
      </c>
      <c r="H23" s="222">
        <v>10</v>
      </c>
      <c r="I23" s="207">
        <f t="shared" si="0"/>
        <v>106.57193605683837</v>
      </c>
      <c r="J23" s="161">
        <f t="shared" si="13"/>
        <v>1065.7193605683838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45274</v>
      </c>
      <c r="D24" s="161" t="s">
        <v>8</v>
      </c>
      <c r="E24" s="161" t="s">
        <v>864</v>
      </c>
      <c r="F24" s="222">
        <v>2405</v>
      </c>
      <c r="G24" s="222">
        <v>2425</v>
      </c>
      <c r="H24" s="222">
        <v>-20</v>
      </c>
      <c r="I24" s="207">
        <f t="shared" si="0"/>
        <v>124.74012474012474</v>
      </c>
      <c r="J24" s="161">
        <f t="shared" si="13"/>
        <v>-2494.8024948024949</v>
      </c>
      <c r="K24" s="153"/>
      <c r="V24" s="25">
        <f t="shared" si="4"/>
        <v>0</v>
      </c>
      <c r="W24" s="25">
        <f t="shared" si="5"/>
        <v>1</v>
      </c>
    </row>
    <row r="25" spans="1:23" x14ac:dyDescent="0.3">
      <c r="A25" s="147"/>
      <c r="B25" s="205">
        <f t="shared" si="6"/>
        <v>20</v>
      </c>
      <c r="C25" s="206">
        <v>45274</v>
      </c>
      <c r="D25" s="161" t="s">
        <v>8</v>
      </c>
      <c r="E25" s="161" t="s">
        <v>476</v>
      </c>
      <c r="F25" s="222">
        <v>1010</v>
      </c>
      <c r="G25" s="222">
        <v>1008</v>
      </c>
      <c r="H25" s="222">
        <v>10</v>
      </c>
      <c r="I25" s="207">
        <f t="shared" si="0"/>
        <v>297.02970297029702</v>
      </c>
      <c r="J25" s="161">
        <f t="shared" si="13"/>
        <v>2970.2970297029701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45275</v>
      </c>
      <c r="D26" s="161" t="s">
        <v>9</v>
      </c>
      <c r="E26" s="161" t="s">
        <v>124</v>
      </c>
      <c r="F26" s="222">
        <v>728</v>
      </c>
      <c r="G26" s="222">
        <v>732</v>
      </c>
      <c r="H26" s="222">
        <v>4</v>
      </c>
      <c r="I26" s="207">
        <f t="shared" si="0"/>
        <v>412.08791208791212</v>
      </c>
      <c r="J26" s="161">
        <f t="shared" si="13"/>
        <v>1648.3516483516485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45275</v>
      </c>
      <c r="D27" s="161" t="s">
        <v>9</v>
      </c>
      <c r="E27" s="161" t="s">
        <v>299</v>
      </c>
      <c r="F27" s="222">
        <v>2965</v>
      </c>
      <c r="G27" s="222">
        <v>3000</v>
      </c>
      <c r="H27" s="222">
        <f>3000-2965</f>
        <v>35</v>
      </c>
      <c r="I27" s="207">
        <f t="shared" si="0"/>
        <v>101.1804384485666</v>
      </c>
      <c r="J27" s="161">
        <f t="shared" si="13"/>
        <v>3541.3153456998311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45278</v>
      </c>
      <c r="D28" s="161" t="s">
        <v>9</v>
      </c>
      <c r="E28" s="161" t="s">
        <v>3515</v>
      </c>
      <c r="F28" s="222">
        <v>2780</v>
      </c>
      <c r="G28" s="222">
        <v>2820</v>
      </c>
      <c r="H28" s="222">
        <f>2820-2780</f>
        <v>40</v>
      </c>
      <c r="I28" s="207">
        <f t="shared" si="0"/>
        <v>107.91366906474821</v>
      </c>
      <c r="J28" s="161">
        <f t="shared" si="13"/>
        <v>4316.5467625899282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45278</v>
      </c>
      <c r="D29" s="161" t="s">
        <v>8</v>
      </c>
      <c r="E29" s="161" t="s">
        <v>95</v>
      </c>
      <c r="F29" s="222">
        <v>1026</v>
      </c>
      <c r="G29" s="222">
        <v>1022</v>
      </c>
      <c r="H29" s="222">
        <v>4</v>
      </c>
      <c r="I29" s="207">
        <f t="shared" si="0"/>
        <v>292.39766081871346</v>
      </c>
      <c r="J29" s="161">
        <f t="shared" si="13"/>
        <v>1169.5906432748538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45279</v>
      </c>
      <c r="D30" s="161" t="s">
        <v>9</v>
      </c>
      <c r="E30" s="161" t="s">
        <v>4435</v>
      </c>
      <c r="F30" s="222">
        <v>2550</v>
      </c>
      <c r="G30" s="222">
        <v>2565</v>
      </c>
      <c r="H30" s="222">
        <v>15</v>
      </c>
      <c r="I30" s="207">
        <f t="shared" si="0"/>
        <v>117.64705882352941</v>
      </c>
      <c r="J30" s="161">
        <f t="shared" si="13"/>
        <v>1764.705882352941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45279</v>
      </c>
      <c r="D31" s="161" t="s">
        <v>9</v>
      </c>
      <c r="E31" s="161" t="s">
        <v>31</v>
      </c>
      <c r="F31" s="223">
        <v>2550</v>
      </c>
      <c r="G31" s="222">
        <v>2570</v>
      </c>
      <c r="H31" s="255">
        <v>20</v>
      </c>
      <c r="I31" s="207">
        <f t="shared" si="0"/>
        <v>117.64705882352941</v>
      </c>
      <c r="J31" s="161">
        <f t="shared" si="13"/>
        <v>2352.9411764705883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45280</v>
      </c>
      <c r="D32" s="161" t="s">
        <v>9</v>
      </c>
      <c r="E32" s="161" t="s">
        <v>132</v>
      </c>
      <c r="F32" s="222">
        <v>710</v>
      </c>
      <c r="G32" s="222">
        <v>718</v>
      </c>
      <c r="H32" s="222">
        <v>8</v>
      </c>
      <c r="I32" s="207">
        <f t="shared" si="0"/>
        <v>422.53521126760563</v>
      </c>
      <c r="J32" s="161">
        <f t="shared" si="13"/>
        <v>3380.2816901408451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45280</v>
      </c>
      <c r="D33" s="161" t="s">
        <v>8</v>
      </c>
      <c r="E33" s="161" t="s">
        <v>250</v>
      </c>
      <c r="F33" s="223">
        <v>2195</v>
      </c>
      <c r="G33" s="222">
        <v>2155</v>
      </c>
      <c r="H33" s="255">
        <f>2195-2155</f>
        <v>40</v>
      </c>
      <c r="I33" s="207">
        <f t="shared" si="0"/>
        <v>136.67425968109339</v>
      </c>
      <c r="J33" s="161">
        <f t="shared" si="13"/>
        <v>5466.9703872437358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45281</v>
      </c>
      <c r="D34" s="161" t="s">
        <v>9</v>
      </c>
      <c r="E34" s="161" t="s">
        <v>3515</v>
      </c>
      <c r="F34" s="222">
        <v>2710</v>
      </c>
      <c r="G34" s="222">
        <v>2737</v>
      </c>
      <c r="H34" s="222">
        <f>2737-2710</f>
        <v>27</v>
      </c>
      <c r="I34" s="207">
        <f t="shared" si="0"/>
        <v>110.70110701107011</v>
      </c>
      <c r="J34" s="161">
        <f t="shared" si="13"/>
        <v>2988.9298892988927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45281</v>
      </c>
      <c r="D35" s="161" t="s">
        <v>9</v>
      </c>
      <c r="E35" s="161" t="s">
        <v>94</v>
      </c>
      <c r="F35" s="222">
        <v>1665</v>
      </c>
      <c r="G35" s="222">
        <v>1685</v>
      </c>
      <c r="H35" s="222">
        <v>20</v>
      </c>
      <c r="I35" s="207">
        <f t="shared" si="0"/>
        <v>180.18018018018017</v>
      </c>
      <c r="J35" s="161">
        <f t="shared" si="13"/>
        <v>3603.6036036036035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45282</v>
      </c>
      <c r="D36" s="161" t="s">
        <v>9</v>
      </c>
      <c r="E36" s="161" t="s">
        <v>422</v>
      </c>
      <c r="F36" s="222">
        <v>1750</v>
      </c>
      <c r="G36" s="222">
        <v>1735</v>
      </c>
      <c r="H36" s="222">
        <v>-15</v>
      </c>
      <c r="I36" s="207">
        <f t="shared" si="0"/>
        <v>171.42857142857142</v>
      </c>
      <c r="J36" s="161">
        <f t="shared" si="13"/>
        <v>-2571.4285714285711</v>
      </c>
      <c r="K36" s="153"/>
      <c r="V36" s="25">
        <f t="shared" si="4"/>
        <v>0</v>
      </c>
      <c r="W36" s="25">
        <f t="shared" si="5"/>
        <v>1</v>
      </c>
    </row>
    <row r="37" spans="1:23" x14ac:dyDescent="0.3">
      <c r="A37" s="147"/>
      <c r="B37" s="205">
        <f t="shared" si="6"/>
        <v>32</v>
      </c>
      <c r="C37" s="206">
        <v>45282</v>
      </c>
      <c r="D37" s="161" t="s">
        <v>8</v>
      </c>
      <c r="E37" s="161" t="s">
        <v>29</v>
      </c>
      <c r="F37" s="222">
        <v>1432</v>
      </c>
      <c r="G37" s="222">
        <v>1426</v>
      </c>
      <c r="H37" s="222">
        <v>-6</v>
      </c>
      <c r="I37" s="207">
        <f t="shared" si="0"/>
        <v>209.49720670391062</v>
      </c>
      <c r="J37" s="161">
        <f t="shared" si="13"/>
        <v>-1256.9832402234638</v>
      </c>
      <c r="K37" s="153"/>
      <c r="V37" s="25">
        <f t="shared" si="4"/>
        <v>0</v>
      </c>
      <c r="W37" s="25">
        <f t="shared" si="5"/>
        <v>1</v>
      </c>
    </row>
    <row r="38" spans="1:23" x14ac:dyDescent="0.3">
      <c r="A38" s="147"/>
      <c r="B38" s="205">
        <f t="shared" si="6"/>
        <v>33</v>
      </c>
      <c r="C38" s="206">
        <v>45286</v>
      </c>
      <c r="D38" s="161" t="s">
        <v>9</v>
      </c>
      <c r="E38" s="161" t="s">
        <v>2563</v>
      </c>
      <c r="F38" s="222">
        <v>2895</v>
      </c>
      <c r="G38" s="222">
        <v>2931</v>
      </c>
      <c r="H38" s="222">
        <f>2931-2895</f>
        <v>36</v>
      </c>
      <c r="I38" s="207">
        <f t="shared" si="0"/>
        <v>103.62694300518135</v>
      </c>
      <c r="J38" s="161">
        <f t="shared" si="13"/>
        <v>3730.5699481865286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45286</v>
      </c>
      <c r="D39" s="161" t="s">
        <v>9</v>
      </c>
      <c r="E39" s="161" t="s">
        <v>117</v>
      </c>
      <c r="F39" s="222">
        <v>505</v>
      </c>
      <c r="G39" s="222">
        <v>508.4</v>
      </c>
      <c r="H39" s="222">
        <v>3.4</v>
      </c>
      <c r="I39" s="207">
        <f t="shared" si="0"/>
        <v>594.05940594059405</v>
      </c>
      <c r="J39" s="161">
        <f t="shared" si="13"/>
        <v>2019.8019801980197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45287</v>
      </c>
      <c r="D40" s="161" t="s">
        <v>9</v>
      </c>
      <c r="E40" s="161" t="s">
        <v>78</v>
      </c>
      <c r="F40" s="222">
        <v>3530</v>
      </c>
      <c r="G40" s="222">
        <v>3548</v>
      </c>
      <c r="H40" s="222">
        <v>18</v>
      </c>
      <c r="I40" s="207">
        <f t="shared" si="0"/>
        <v>84.985835694050991</v>
      </c>
      <c r="J40" s="161">
        <f t="shared" si="13"/>
        <v>1529.7450424929179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45287</v>
      </c>
      <c r="D41" s="161" t="s">
        <v>9</v>
      </c>
      <c r="E41" s="161" t="s">
        <v>95</v>
      </c>
      <c r="F41" s="222">
        <v>1002</v>
      </c>
      <c r="G41" s="223">
        <v>992</v>
      </c>
      <c r="H41" s="222">
        <v>-10</v>
      </c>
      <c r="I41" s="207">
        <f t="shared" si="0"/>
        <v>299.40119760479041</v>
      </c>
      <c r="J41" s="161">
        <f t="shared" si="13"/>
        <v>-2994.0119760479042</v>
      </c>
      <c r="K41" s="153"/>
      <c r="V41" s="25">
        <f t="shared" si="4"/>
        <v>0</v>
      </c>
      <c r="W41" s="25">
        <f t="shared" si="5"/>
        <v>1</v>
      </c>
    </row>
    <row r="42" spans="1:23" x14ac:dyDescent="0.3">
      <c r="A42" s="147"/>
      <c r="B42" s="205">
        <f t="shared" si="6"/>
        <v>37</v>
      </c>
      <c r="C42" s="206">
        <v>45288</v>
      </c>
      <c r="D42" s="161" t="s">
        <v>9</v>
      </c>
      <c r="E42" s="161" t="s">
        <v>3515</v>
      </c>
      <c r="F42" s="222">
        <v>2815</v>
      </c>
      <c r="G42" s="222">
        <v>2827</v>
      </c>
      <c r="H42" s="222">
        <f>2827-2815</f>
        <v>12</v>
      </c>
      <c r="I42" s="207">
        <f t="shared" si="0"/>
        <v>106.57193605683837</v>
      </c>
      <c r="J42" s="161">
        <f t="shared" si="13"/>
        <v>1278.8632326820605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45288</v>
      </c>
      <c r="D43" s="161" t="s">
        <v>9</v>
      </c>
      <c r="E43" s="161" t="s">
        <v>4435</v>
      </c>
      <c r="F43" s="222">
        <v>2610</v>
      </c>
      <c r="G43" s="222">
        <v>2630</v>
      </c>
      <c r="H43" s="222">
        <v>20</v>
      </c>
      <c r="I43" s="207">
        <f t="shared" si="0"/>
        <v>114.94252873563218</v>
      </c>
      <c r="J43" s="161">
        <f t="shared" si="13"/>
        <v>2298.8505747126437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45289</v>
      </c>
      <c r="D44" s="161" t="s">
        <v>9</v>
      </c>
      <c r="E44" s="161" t="s">
        <v>3515</v>
      </c>
      <c r="F44" s="222">
        <v>2825</v>
      </c>
      <c r="G44" s="222">
        <v>2805</v>
      </c>
      <c r="H44" s="222">
        <v>-20</v>
      </c>
      <c r="I44" s="207">
        <f t="shared" si="0"/>
        <v>106.19469026548673</v>
      </c>
      <c r="J44" s="161">
        <f t="shared" si="13"/>
        <v>-2123.8938053097345</v>
      </c>
      <c r="K44" s="153"/>
      <c r="V44" s="25">
        <f t="shared" si="4"/>
        <v>0</v>
      </c>
      <c r="W44" s="25">
        <f t="shared" si="5"/>
        <v>1</v>
      </c>
    </row>
    <row r="45" spans="1:23" x14ac:dyDescent="0.3">
      <c r="A45" s="147"/>
      <c r="B45" s="205">
        <f t="shared" si="6"/>
        <v>40</v>
      </c>
      <c r="C45" s="206">
        <v>45289</v>
      </c>
      <c r="D45" s="161" t="s">
        <v>8</v>
      </c>
      <c r="E45" s="161" t="s">
        <v>132</v>
      </c>
      <c r="F45" s="222">
        <v>712</v>
      </c>
      <c r="G45" s="222">
        <v>707</v>
      </c>
      <c r="H45" s="222">
        <v>5</v>
      </c>
      <c r="I45" s="207">
        <f t="shared" si="0"/>
        <v>421.34831460674155</v>
      </c>
      <c r="J45" s="161">
        <f t="shared" si="13"/>
        <v>2106.7415730337079</v>
      </c>
      <c r="K45" s="153"/>
      <c r="V45" s="25">
        <f t="shared" si="4"/>
        <v>1</v>
      </c>
      <c r="W45" s="25">
        <f t="shared" si="5"/>
        <v>0</v>
      </c>
    </row>
    <row r="46" spans="1:23" x14ac:dyDescent="0.3">
      <c r="A46" s="147"/>
      <c r="B46" s="205">
        <f t="shared" si="6"/>
        <v>41</v>
      </c>
      <c r="C46" s="206"/>
      <c r="D46" s="161"/>
      <c r="E46" s="161"/>
      <c r="F46" s="222"/>
      <c r="G46" s="222"/>
      <c r="H46" s="222"/>
      <c r="I46" s="207"/>
      <c r="J46" s="161">
        <f t="shared" si="13"/>
        <v>0</v>
      </c>
      <c r="K46" s="153"/>
      <c r="V46" s="25">
        <f t="shared" si="4"/>
        <v>0</v>
      </c>
      <c r="W46" s="25">
        <f t="shared" si="5"/>
        <v>0</v>
      </c>
    </row>
    <row r="47" spans="1:23" hidden="1" x14ac:dyDescent="0.3">
      <c r="A47" s="147"/>
      <c r="B47" s="205">
        <f t="shared" si="6"/>
        <v>42</v>
      </c>
      <c r="C47" s="206"/>
      <c r="D47" s="161"/>
      <c r="E47" s="161"/>
      <c r="F47" s="222"/>
      <c r="G47" s="222"/>
      <c r="H47" s="222"/>
      <c r="I47" s="207"/>
      <c r="J47" s="161">
        <f t="shared" si="13"/>
        <v>0</v>
      </c>
      <c r="K47" s="153"/>
      <c r="V47" s="25">
        <f t="shared" si="4"/>
        <v>0</v>
      </c>
      <c r="W47" s="25">
        <f t="shared" si="5"/>
        <v>0</v>
      </c>
    </row>
    <row r="48" spans="1:23" hidden="1" x14ac:dyDescent="0.3">
      <c r="A48" s="147"/>
      <c r="B48" s="205">
        <f t="shared" si="6"/>
        <v>43</v>
      </c>
      <c r="C48" s="206"/>
      <c r="D48" s="161"/>
      <c r="E48" s="161"/>
      <c r="F48" s="222"/>
      <c r="G48" s="222"/>
      <c r="H48" s="222"/>
      <c r="I48" s="207"/>
      <c r="J48" s="161">
        <f t="shared" si="13"/>
        <v>0</v>
      </c>
      <c r="K48" s="153"/>
      <c r="V48" s="25">
        <f t="shared" si="4"/>
        <v>0</v>
      </c>
      <c r="W48" s="25">
        <f t="shared" si="5"/>
        <v>0</v>
      </c>
    </row>
    <row r="49" spans="1:23" hidden="1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hidden="1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hidden="1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62267.199881056091</v>
      </c>
      <c r="K52" s="153"/>
      <c r="V52" s="25">
        <f>SUM(V6:V51)</f>
        <v>31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4409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45261</v>
      </c>
      <c r="D60" s="161" t="s">
        <v>9</v>
      </c>
      <c r="E60" s="161" t="s">
        <v>3515</v>
      </c>
      <c r="F60" s="222">
        <v>2475</v>
      </c>
      <c r="G60" s="222">
        <v>2504</v>
      </c>
      <c r="H60" s="222">
        <f>2504-2475</f>
        <v>29</v>
      </c>
      <c r="I60" s="279">
        <v>300</v>
      </c>
      <c r="J60" s="241">
        <f t="shared" ref="J60:J85" si="14">I60*H60</f>
        <v>8700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45264</v>
      </c>
      <c r="D61" s="161" t="s">
        <v>8</v>
      </c>
      <c r="E61" s="161" t="s">
        <v>3562</v>
      </c>
      <c r="F61" s="222">
        <v>5930</v>
      </c>
      <c r="G61" s="222">
        <v>5904</v>
      </c>
      <c r="H61" s="222">
        <f>5930-5904</f>
        <v>26</v>
      </c>
      <c r="I61" s="207">
        <v>100</v>
      </c>
      <c r="J61" s="242">
        <f t="shared" si="14"/>
        <v>2600</v>
      </c>
      <c r="K61" s="153"/>
      <c r="O61" s="25" t="s">
        <v>2008</v>
      </c>
      <c r="V61" s="25">
        <f t="shared" ref="V61:V85" si="15">IF($J61&gt;0,1,0)</f>
        <v>1</v>
      </c>
      <c r="W61" s="25">
        <f t="shared" ref="W61:W85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45265</v>
      </c>
      <c r="D62" s="161" t="s">
        <v>9</v>
      </c>
      <c r="E62" s="161" t="s">
        <v>299</v>
      </c>
      <c r="F62" s="222">
        <v>2710</v>
      </c>
      <c r="G62" s="222">
        <v>2760</v>
      </c>
      <c r="H62" s="222">
        <v>50</v>
      </c>
      <c r="I62" s="207">
        <v>300</v>
      </c>
      <c r="J62" s="242">
        <f t="shared" si="14"/>
        <v>15000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45266</v>
      </c>
      <c r="D63" s="161" t="s">
        <v>9</v>
      </c>
      <c r="E63" s="161" t="s">
        <v>173</v>
      </c>
      <c r="F63" s="222">
        <v>3280</v>
      </c>
      <c r="G63" s="222">
        <v>3300</v>
      </c>
      <c r="H63" s="222">
        <f>3300-3280</f>
        <v>20</v>
      </c>
      <c r="I63" s="207">
        <v>200</v>
      </c>
      <c r="J63" s="242">
        <f>I63*H63</f>
        <v>4000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45267</v>
      </c>
      <c r="D64" s="161" t="s">
        <v>9</v>
      </c>
      <c r="E64" s="161" t="s">
        <v>403</v>
      </c>
      <c r="F64" s="222">
        <v>3770</v>
      </c>
      <c r="G64" s="222">
        <v>3797</v>
      </c>
      <c r="H64" s="222">
        <f>3797-3770</f>
        <v>27</v>
      </c>
      <c r="I64" s="207">
        <v>200</v>
      </c>
      <c r="J64" s="242">
        <f>I64*H64</f>
        <v>5400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45268</v>
      </c>
      <c r="D65" s="161" t="s">
        <v>9</v>
      </c>
      <c r="E65" s="161" t="s">
        <v>52</v>
      </c>
      <c r="F65" s="222">
        <v>4810</v>
      </c>
      <c r="G65" s="222">
        <v>4844</v>
      </c>
      <c r="H65" s="222">
        <f>4844-4810</f>
        <v>34</v>
      </c>
      <c r="I65" s="207">
        <v>125</v>
      </c>
      <c r="J65" s="242">
        <f>I65*H65</f>
        <v>4250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45271</v>
      </c>
      <c r="D66" s="161" t="s">
        <v>9</v>
      </c>
      <c r="E66" s="161" t="s">
        <v>250</v>
      </c>
      <c r="F66" s="222">
        <v>2165</v>
      </c>
      <c r="G66" s="222">
        <v>2188</v>
      </c>
      <c r="H66" s="222">
        <v>23</v>
      </c>
      <c r="I66" s="207">
        <v>300</v>
      </c>
      <c r="J66" s="242">
        <f t="shared" si="14"/>
        <v>6900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45272</v>
      </c>
      <c r="D67" s="161" t="s">
        <v>9</v>
      </c>
      <c r="E67" s="161" t="s">
        <v>3334</v>
      </c>
      <c r="F67" s="222">
        <v>3025</v>
      </c>
      <c r="G67" s="222">
        <v>3044</v>
      </c>
      <c r="H67" s="222">
        <f>3044-3025</f>
        <v>19</v>
      </c>
      <c r="I67" s="207">
        <v>300</v>
      </c>
      <c r="J67" s="242">
        <f t="shared" si="14"/>
        <v>5700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45273</v>
      </c>
      <c r="D68" s="161" t="s">
        <v>9</v>
      </c>
      <c r="E68" s="161" t="s">
        <v>2563</v>
      </c>
      <c r="F68" s="222">
        <v>2995</v>
      </c>
      <c r="G68" s="222">
        <v>3007</v>
      </c>
      <c r="H68" s="222">
        <f>3007-2995</f>
        <v>12</v>
      </c>
      <c r="I68" s="207">
        <v>300</v>
      </c>
      <c r="J68" s="242">
        <f t="shared" si="14"/>
        <v>3600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45274</v>
      </c>
      <c r="D69" s="161" t="s">
        <v>9</v>
      </c>
      <c r="E69" s="161" t="s">
        <v>3562</v>
      </c>
      <c r="F69" s="222">
        <v>6420</v>
      </c>
      <c r="G69" s="222">
        <v>6489</v>
      </c>
      <c r="H69" s="222">
        <f>6489-6420</f>
        <v>69</v>
      </c>
      <c r="I69" s="207">
        <v>100</v>
      </c>
      <c r="J69" s="242">
        <f t="shared" si="14"/>
        <v>6900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45275</v>
      </c>
      <c r="D70" s="161" t="s">
        <v>9</v>
      </c>
      <c r="E70" s="161" t="s">
        <v>3443</v>
      </c>
      <c r="F70" s="161">
        <v>2320</v>
      </c>
      <c r="G70" s="222">
        <v>2360</v>
      </c>
      <c r="H70" s="222">
        <v>40</v>
      </c>
      <c r="I70" s="207">
        <v>300</v>
      </c>
      <c r="J70" s="242">
        <f t="shared" si="14"/>
        <v>12000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45278</v>
      </c>
      <c r="D71" s="161" t="s">
        <v>8</v>
      </c>
      <c r="E71" s="161" t="s">
        <v>3628</v>
      </c>
      <c r="F71" s="222">
        <v>2700</v>
      </c>
      <c r="G71" s="222">
        <v>2723</v>
      </c>
      <c r="H71" s="222">
        <v>23</v>
      </c>
      <c r="I71" s="207">
        <v>275</v>
      </c>
      <c r="J71" s="242">
        <f t="shared" si="14"/>
        <v>6325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45279</v>
      </c>
      <c r="D72" s="161" t="s">
        <v>8</v>
      </c>
      <c r="E72" s="161" t="s">
        <v>126</v>
      </c>
      <c r="F72" s="222">
        <v>3820</v>
      </c>
      <c r="G72" s="222">
        <v>3807</v>
      </c>
      <c r="H72" s="222">
        <f>3820-3807</f>
        <v>13</v>
      </c>
      <c r="I72" s="207">
        <v>175</v>
      </c>
      <c r="J72" s="242">
        <f t="shared" si="14"/>
        <v>2275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45280</v>
      </c>
      <c r="D73" s="161" t="s">
        <v>9</v>
      </c>
      <c r="E73" s="161" t="s">
        <v>3563</v>
      </c>
      <c r="F73" s="222">
        <v>3270</v>
      </c>
      <c r="G73" s="222">
        <v>3330</v>
      </c>
      <c r="H73" s="255">
        <f>3330-3270</f>
        <v>60</v>
      </c>
      <c r="I73" s="207">
        <v>400</v>
      </c>
      <c r="J73" s="242">
        <f t="shared" si="14"/>
        <v>24000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45281</v>
      </c>
      <c r="D74" s="265" t="s">
        <v>9</v>
      </c>
      <c r="E74" s="265" t="s">
        <v>3562</v>
      </c>
      <c r="F74" s="277">
        <v>6340</v>
      </c>
      <c r="G74" s="267">
        <v>6420</v>
      </c>
      <c r="H74" s="222">
        <f>6420-6340</f>
        <v>80</v>
      </c>
      <c r="I74" s="207">
        <v>100</v>
      </c>
      <c r="J74" s="242">
        <f t="shared" si="14"/>
        <v>8000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45282</v>
      </c>
      <c r="D75" s="265" t="s">
        <v>9</v>
      </c>
      <c r="E75" s="265" t="s">
        <v>250</v>
      </c>
      <c r="F75" s="277">
        <v>2110</v>
      </c>
      <c r="G75" s="267">
        <v>2127</v>
      </c>
      <c r="H75" s="222">
        <f>2127-2110</f>
        <v>17</v>
      </c>
      <c r="I75" s="207">
        <v>300</v>
      </c>
      <c r="J75" s="242">
        <f t="shared" si="14"/>
        <v>5100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45286</v>
      </c>
      <c r="D76" s="161" t="s">
        <v>9</v>
      </c>
      <c r="E76" s="161" t="s">
        <v>2563</v>
      </c>
      <c r="F76" s="222">
        <v>2895</v>
      </c>
      <c r="G76" s="222">
        <v>2931</v>
      </c>
      <c r="H76" s="222">
        <v>36</v>
      </c>
      <c r="I76" s="207">
        <v>300</v>
      </c>
      <c r="J76" s="242">
        <f t="shared" si="14"/>
        <v>10800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45287</v>
      </c>
      <c r="D77" s="161" t="s">
        <v>9</v>
      </c>
      <c r="E77" s="161" t="s">
        <v>250</v>
      </c>
      <c r="F77" s="222">
        <v>2155</v>
      </c>
      <c r="G77" s="222">
        <v>2171</v>
      </c>
      <c r="H77" s="222">
        <f>2171-2155</f>
        <v>16</v>
      </c>
      <c r="I77" s="207">
        <v>300</v>
      </c>
      <c r="J77" s="242">
        <f t="shared" si="14"/>
        <v>4800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45288</v>
      </c>
      <c r="D78" s="161" t="s">
        <v>8</v>
      </c>
      <c r="E78" s="161" t="s">
        <v>3562</v>
      </c>
      <c r="F78" s="223">
        <v>6440</v>
      </c>
      <c r="G78" s="222">
        <v>6400</v>
      </c>
      <c r="H78" s="255">
        <v>40</v>
      </c>
      <c r="I78" s="207">
        <v>100</v>
      </c>
      <c r="J78" s="242">
        <f t="shared" si="14"/>
        <v>4000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45289</v>
      </c>
      <c r="D79" s="161" t="s">
        <v>8</v>
      </c>
      <c r="E79" s="161" t="s">
        <v>58</v>
      </c>
      <c r="F79" s="222">
        <v>1110</v>
      </c>
      <c r="G79" s="222">
        <v>1103</v>
      </c>
      <c r="H79" s="222">
        <v>7</v>
      </c>
      <c r="I79" s="207">
        <v>625</v>
      </c>
      <c r="J79" s="242">
        <f t="shared" si="14"/>
        <v>4375</v>
      </c>
      <c r="K79" s="153"/>
      <c r="V79" s="25">
        <f t="shared" si="15"/>
        <v>1</v>
      </c>
      <c r="W79" s="25">
        <f t="shared" si="16"/>
        <v>0</v>
      </c>
    </row>
    <row r="80" spans="1:23" hidden="1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hidden="1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hidden="1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idden="1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hidden="1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 t="shared" si="15"/>
        <v>0</v>
      </c>
      <c r="W85" s="25">
        <f t="shared" si="16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144725</v>
      </c>
      <c r="K86" s="153"/>
      <c r="V86" s="25">
        <f>SUM(V60:V85)</f>
        <v>20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4408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45261</v>
      </c>
      <c r="D94" s="185" t="s">
        <v>9</v>
      </c>
      <c r="E94" s="185" t="s">
        <v>39</v>
      </c>
      <c r="F94" s="219">
        <v>20390</v>
      </c>
      <c r="G94" s="219">
        <v>20410</v>
      </c>
      <c r="H94" s="185">
        <f>20410-20390</f>
        <v>20</v>
      </c>
      <c r="I94" s="219">
        <v>150</v>
      </c>
      <c r="J94" s="246">
        <f t="shared" ref="J94:J117" si="18">I94*H94</f>
        <v>3000</v>
      </c>
      <c r="K94" s="153"/>
      <c r="V94" s="25">
        <f>IF($J94&gt;0,1,0)</f>
        <v>1</v>
      </c>
      <c r="W94" s="25">
        <f>IF($J94&lt;0,1,0)</f>
        <v>0</v>
      </c>
    </row>
    <row r="95" spans="1:23" x14ac:dyDescent="0.3">
      <c r="A95" s="147"/>
      <c r="B95" s="205">
        <f>B94+1</f>
        <v>2</v>
      </c>
      <c r="C95" s="218">
        <v>45264</v>
      </c>
      <c r="D95" s="185" t="s">
        <v>9</v>
      </c>
      <c r="E95" s="185" t="s">
        <v>39</v>
      </c>
      <c r="F95" s="219">
        <v>20650</v>
      </c>
      <c r="G95" s="219">
        <v>20730</v>
      </c>
      <c r="H95" s="185">
        <f>20730-20650</f>
        <v>80</v>
      </c>
      <c r="I95" s="219">
        <v>150</v>
      </c>
      <c r="J95" s="242">
        <f t="shared" si="18"/>
        <v>12000</v>
      </c>
      <c r="K95" s="153"/>
      <c r="V95" s="25">
        <f t="shared" ref="V95:V117" si="19">IF($J95&gt;0,1,0)</f>
        <v>1</v>
      </c>
      <c r="W95" s="25">
        <f t="shared" ref="W95:W117" si="20">IF($J95&lt;0,1,0)</f>
        <v>0</v>
      </c>
    </row>
    <row r="96" spans="1:23" x14ac:dyDescent="0.3">
      <c r="A96" s="147"/>
      <c r="B96" s="205">
        <f t="shared" ref="B96:B115" si="21">B95+1</f>
        <v>3</v>
      </c>
      <c r="C96" s="206">
        <v>45265</v>
      </c>
      <c r="D96" s="161" t="s">
        <v>9</v>
      </c>
      <c r="E96" s="161" t="s">
        <v>39</v>
      </c>
      <c r="F96" s="207">
        <v>20870</v>
      </c>
      <c r="G96" s="207">
        <v>20933</v>
      </c>
      <c r="H96" s="161">
        <f>20933-20870</f>
        <v>63</v>
      </c>
      <c r="I96" s="207">
        <v>150</v>
      </c>
      <c r="J96" s="242">
        <f t="shared" si="18"/>
        <v>9450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45266</v>
      </c>
      <c r="D97" s="161" t="s">
        <v>8</v>
      </c>
      <c r="E97" s="161" t="s">
        <v>39</v>
      </c>
      <c r="F97" s="207">
        <v>21000</v>
      </c>
      <c r="G97" s="207">
        <v>20980</v>
      </c>
      <c r="H97" s="161">
        <f>21000-20980</f>
        <v>20</v>
      </c>
      <c r="I97" s="207">
        <v>150</v>
      </c>
      <c r="J97" s="242">
        <f t="shared" si="18"/>
        <v>3000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45267</v>
      </c>
      <c r="D98" s="161" t="s">
        <v>9</v>
      </c>
      <c r="E98" s="161" t="s">
        <v>39</v>
      </c>
      <c r="F98" s="207">
        <v>20990</v>
      </c>
      <c r="G98" s="207">
        <v>21045</v>
      </c>
      <c r="H98" s="161">
        <f>21045-20990</f>
        <v>55</v>
      </c>
      <c r="I98" s="207">
        <v>150</v>
      </c>
      <c r="J98" s="242">
        <f t="shared" si="18"/>
        <v>8250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45268</v>
      </c>
      <c r="D99" s="161" t="s">
        <v>9</v>
      </c>
      <c r="E99" s="161" t="s">
        <v>39</v>
      </c>
      <c r="F99" s="207">
        <v>21080</v>
      </c>
      <c r="G99" s="207">
        <v>21097</v>
      </c>
      <c r="H99" s="161">
        <f>21097-21080</f>
        <v>17</v>
      </c>
      <c r="I99" s="207">
        <v>150</v>
      </c>
      <c r="J99" s="242">
        <f t="shared" si="18"/>
        <v>2550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45271</v>
      </c>
      <c r="D100" s="161" t="s">
        <v>9</v>
      </c>
      <c r="E100" s="161" t="s">
        <v>39</v>
      </c>
      <c r="F100" s="207">
        <v>21080</v>
      </c>
      <c r="G100" s="207">
        <v>21119</v>
      </c>
      <c r="H100" s="161">
        <f>21119-21080</f>
        <v>39</v>
      </c>
      <c r="I100" s="207">
        <v>150</v>
      </c>
      <c r="J100" s="242">
        <f t="shared" si="18"/>
        <v>5850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45272</v>
      </c>
      <c r="D101" s="161" t="s">
        <v>9</v>
      </c>
      <c r="E101" s="161" t="s">
        <v>39</v>
      </c>
      <c r="F101" s="207">
        <v>21110</v>
      </c>
      <c r="G101" s="207">
        <v>21070</v>
      </c>
      <c r="H101" s="161">
        <v>-40</v>
      </c>
      <c r="I101" s="207">
        <v>150</v>
      </c>
      <c r="J101" s="242">
        <f t="shared" si="18"/>
        <v>-6000</v>
      </c>
      <c r="K101" s="153"/>
      <c r="V101" s="25">
        <f t="shared" si="19"/>
        <v>0</v>
      </c>
      <c r="W101" s="25">
        <f t="shared" si="20"/>
        <v>1</v>
      </c>
    </row>
    <row r="102" spans="1:23" x14ac:dyDescent="0.3">
      <c r="A102" s="147"/>
      <c r="B102" s="205">
        <f t="shared" si="21"/>
        <v>9</v>
      </c>
      <c r="C102" s="206">
        <v>45273</v>
      </c>
      <c r="D102" s="161" t="s">
        <v>8</v>
      </c>
      <c r="E102" s="161" t="s">
        <v>39</v>
      </c>
      <c r="F102" s="207">
        <v>21020</v>
      </c>
      <c r="G102" s="207">
        <v>20940</v>
      </c>
      <c r="H102" s="161">
        <f>21020-20940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45274</v>
      </c>
      <c r="D103" s="161" t="s">
        <v>9</v>
      </c>
      <c r="E103" s="161" t="s">
        <v>39</v>
      </c>
      <c r="F103" s="207">
        <v>21270</v>
      </c>
      <c r="G103" s="207">
        <v>21230</v>
      </c>
      <c r="H103" s="161">
        <v>-40</v>
      </c>
      <c r="I103" s="207">
        <v>150</v>
      </c>
      <c r="J103" s="242">
        <f t="shared" si="18"/>
        <v>-6000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45275</v>
      </c>
      <c r="D104" s="161" t="s">
        <v>8</v>
      </c>
      <c r="E104" s="161" t="s">
        <v>39</v>
      </c>
      <c r="F104" s="207">
        <v>21380</v>
      </c>
      <c r="G104" s="207">
        <v>21355</v>
      </c>
      <c r="H104" s="161">
        <f>21380-21355</f>
        <v>25</v>
      </c>
      <c r="I104" s="207">
        <v>150</v>
      </c>
      <c r="J104" s="242">
        <f t="shared" si="18"/>
        <v>3750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45278</v>
      </c>
      <c r="D105" s="161" t="s">
        <v>9</v>
      </c>
      <c r="E105" s="161" t="s">
        <v>39</v>
      </c>
      <c r="F105" s="207">
        <v>21530</v>
      </c>
      <c r="G105" s="207">
        <v>21490</v>
      </c>
      <c r="H105" s="161">
        <v>-40</v>
      </c>
      <c r="I105" s="207">
        <v>150</v>
      </c>
      <c r="J105" s="242">
        <f t="shared" si="18"/>
        <v>-6000</v>
      </c>
      <c r="K105" s="153"/>
      <c r="V105" s="25">
        <f t="shared" si="19"/>
        <v>0</v>
      </c>
      <c r="W105" s="25">
        <f t="shared" si="20"/>
        <v>1</v>
      </c>
    </row>
    <row r="106" spans="1:23" x14ac:dyDescent="0.3">
      <c r="A106" s="147"/>
      <c r="B106" s="205">
        <f t="shared" si="21"/>
        <v>13</v>
      </c>
      <c r="C106" s="206">
        <v>45279</v>
      </c>
      <c r="D106" s="161" t="s">
        <v>8</v>
      </c>
      <c r="E106" s="161" t="s">
        <v>39</v>
      </c>
      <c r="F106" s="207">
        <v>21450</v>
      </c>
      <c r="G106" s="207">
        <v>21415</v>
      </c>
      <c r="H106" s="161">
        <f>21450-21415</f>
        <v>35</v>
      </c>
      <c r="I106" s="207">
        <v>150</v>
      </c>
      <c r="J106" s="242">
        <f t="shared" si="18"/>
        <v>5250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45280</v>
      </c>
      <c r="D107" s="161" t="s">
        <v>9</v>
      </c>
      <c r="E107" s="161" t="s">
        <v>39</v>
      </c>
      <c r="F107" s="207">
        <v>21640</v>
      </c>
      <c r="G107" s="207">
        <v>21680</v>
      </c>
      <c r="H107" s="161">
        <v>40</v>
      </c>
      <c r="I107" s="207">
        <v>150</v>
      </c>
      <c r="J107" s="242">
        <f t="shared" si="18"/>
        <v>6000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45281</v>
      </c>
      <c r="D108" s="161" t="s">
        <v>9</v>
      </c>
      <c r="E108" s="161" t="s">
        <v>39</v>
      </c>
      <c r="F108" s="207">
        <v>21150</v>
      </c>
      <c r="G108" s="207">
        <v>21230</v>
      </c>
      <c r="H108" s="161">
        <f>21230-21150</f>
        <v>80</v>
      </c>
      <c r="I108" s="207">
        <v>150</v>
      </c>
      <c r="J108" s="242">
        <f t="shared" si="18"/>
        <v>12000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45282</v>
      </c>
      <c r="D109" s="161" t="s">
        <v>9</v>
      </c>
      <c r="E109" s="161" t="s">
        <v>39</v>
      </c>
      <c r="F109" s="207">
        <v>21380</v>
      </c>
      <c r="G109" s="207">
        <v>21460</v>
      </c>
      <c r="H109" s="161">
        <f>21460-21380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45286</v>
      </c>
      <c r="D110" s="161" t="s">
        <v>9</v>
      </c>
      <c r="E110" s="161" t="s">
        <v>39</v>
      </c>
      <c r="F110" s="207">
        <v>21450</v>
      </c>
      <c r="G110" s="207">
        <v>21530</v>
      </c>
      <c r="H110" s="161">
        <f>21530-21450</f>
        <v>80</v>
      </c>
      <c r="I110" s="207">
        <v>150</v>
      </c>
      <c r="J110" s="242">
        <f t="shared" si="18"/>
        <v>12000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45287</v>
      </c>
      <c r="D111" s="161" t="s">
        <v>9</v>
      </c>
      <c r="E111" s="161" t="s">
        <v>39</v>
      </c>
      <c r="F111" s="207">
        <v>21570</v>
      </c>
      <c r="G111" s="207">
        <v>21650</v>
      </c>
      <c r="H111" s="161">
        <v>80</v>
      </c>
      <c r="I111" s="207">
        <v>150</v>
      </c>
      <c r="J111" s="242">
        <f t="shared" si="18"/>
        <v>12000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45288</v>
      </c>
      <c r="D112" s="161" t="s">
        <v>9</v>
      </c>
      <c r="E112" s="161" t="s">
        <v>39</v>
      </c>
      <c r="F112" s="207">
        <v>21740</v>
      </c>
      <c r="G112" s="207">
        <v>21770</v>
      </c>
      <c r="H112" s="161">
        <v>30</v>
      </c>
      <c r="I112" s="207">
        <v>150</v>
      </c>
      <c r="J112" s="242">
        <f>I112*H112</f>
        <v>4500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45289</v>
      </c>
      <c r="D113" s="161" t="s">
        <v>8</v>
      </c>
      <c r="E113" s="161" t="s">
        <v>39</v>
      </c>
      <c r="F113" s="207">
        <v>21900</v>
      </c>
      <c r="G113" s="207">
        <v>21830</v>
      </c>
      <c r="H113" s="161">
        <f>21900-21830</f>
        <v>70</v>
      </c>
      <c r="I113" s="207">
        <v>150</v>
      </c>
      <c r="J113" s="242">
        <f t="shared" si="18"/>
        <v>10500</v>
      </c>
      <c r="K113" s="153"/>
      <c r="V113" s="25">
        <f t="shared" si="19"/>
        <v>1</v>
      </c>
      <c r="W113" s="25">
        <f t="shared" si="20"/>
        <v>0</v>
      </c>
    </row>
    <row r="114" spans="1:23" hidden="1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idden="1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hidden="1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116100</v>
      </c>
      <c r="K118" s="153"/>
      <c r="V118" s="25">
        <f>SUM(V94:V117)</f>
        <v>17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4410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45261</v>
      </c>
      <c r="D126" s="185" t="s">
        <v>9</v>
      </c>
      <c r="E126" s="185" t="s">
        <v>4411</v>
      </c>
      <c r="F126" s="219">
        <v>135</v>
      </c>
      <c r="G126" s="231">
        <v>132</v>
      </c>
      <c r="H126" s="231">
        <v>-3</v>
      </c>
      <c r="I126" s="219">
        <v>300</v>
      </c>
      <c r="J126" s="246">
        <f t="shared" ref="J126:J152" si="22">I126*H126</f>
        <v>-900</v>
      </c>
      <c r="K126" s="153"/>
      <c r="V126" s="25">
        <f>IF($J126&gt;0,1,0)</f>
        <v>0</v>
      </c>
      <c r="W126" s="25">
        <f>IF($J126&lt;0,1,0)</f>
        <v>1</v>
      </c>
    </row>
    <row r="127" spans="1:23" x14ac:dyDescent="0.3">
      <c r="A127" s="147"/>
      <c r="B127" s="205">
        <f>B126+1</f>
        <v>2</v>
      </c>
      <c r="C127" s="218">
        <v>45264</v>
      </c>
      <c r="D127" s="185" t="s">
        <v>9</v>
      </c>
      <c r="E127" s="185" t="s">
        <v>1802</v>
      </c>
      <c r="F127" s="219">
        <v>135</v>
      </c>
      <c r="G127" s="219">
        <v>185</v>
      </c>
      <c r="H127" s="185">
        <f>185-135</f>
        <v>50</v>
      </c>
      <c r="I127" s="219">
        <v>300</v>
      </c>
      <c r="J127" s="242">
        <f t="shared" si="22"/>
        <v>15000</v>
      </c>
      <c r="K127" s="153"/>
      <c r="V127" s="25">
        <f t="shared" ref="V127:V152" si="23">IF($J127&gt;0,1,0)</f>
        <v>1</v>
      </c>
      <c r="W127" s="25">
        <f t="shared" ref="W127:W152" si="24">IF($J127&lt;0,1,0)</f>
        <v>0</v>
      </c>
    </row>
    <row r="128" spans="1:23" x14ac:dyDescent="0.3">
      <c r="A128" s="147"/>
      <c r="B128" s="205">
        <f>B127+1</f>
        <v>3</v>
      </c>
      <c r="C128" s="206">
        <v>45265</v>
      </c>
      <c r="D128" s="161" t="s">
        <v>9</v>
      </c>
      <c r="E128" s="161" t="s">
        <v>2974</v>
      </c>
      <c r="F128" s="207">
        <v>140</v>
      </c>
      <c r="G128" s="207">
        <v>190</v>
      </c>
      <c r="H128" s="161">
        <f>190-140</f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ref="B129:B152" si="25">B128+1</f>
        <v>4</v>
      </c>
      <c r="C129" s="206">
        <v>45266</v>
      </c>
      <c r="D129" s="161" t="s">
        <v>9</v>
      </c>
      <c r="E129" s="161" t="s">
        <v>2055</v>
      </c>
      <c r="F129" s="207">
        <v>125</v>
      </c>
      <c r="G129" s="207">
        <v>140</v>
      </c>
      <c r="H129" s="161">
        <f>140-125</f>
        <v>15</v>
      </c>
      <c r="I129" s="207">
        <v>300</v>
      </c>
      <c r="J129" s="242">
        <f t="shared" si="22"/>
        <v>4500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45267</v>
      </c>
      <c r="D130" s="161" t="s">
        <v>9</v>
      </c>
      <c r="E130" s="161" t="s">
        <v>4417</v>
      </c>
      <c r="F130" s="207">
        <v>140</v>
      </c>
      <c r="G130" s="207">
        <v>184</v>
      </c>
      <c r="H130" s="161">
        <f>184-140</f>
        <v>44</v>
      </c>
      <c r="I130" s="207">
        <v>300</v>
      </c>
      <c r="J130" s="242">
        <f t="shared" si="22"/>
        <v>13200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45268</v>
      </c>
      <c r="D131" s="161" t="s">
        <v>9</v>
      </c>
      <c r="E131" s="161" t="s">
        <v>3000</v>
      </c>
      <c r="F131" s="207">
        <v>125</v>
      </c>
      <c r="G131" s="222">
        <v>140</v>
      </c>
      <c r="H131" s="222">
        <f>140-125</f>
        <v>15</v>
      </c>
      <c r="I131" s="207">
        <v>300</v>
      </c>
      <c r="J131" s="242">
        <f t="shared" si="22"/>
        <v>4500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45271</v>
      </c>
      <c r="D132" s="161" t="s">
        <v>9</v>
      </c>
      <c r="E132" s="161" t="s">
        <v>4422</v>
      </c>
      <c r="F132" s="207">
        <v>135</v>
      </c>
      <c r="G132" s="207">
        <v>160</v>
      </c>
      <c r="H132" s="161">
        <f>160-135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45272</v>
      </c>
      <c r="D133" s="161" t="s">
        <v>9</v>
      </c>
      <c r="E133" s="161" t="s">
        <v>4422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2"/>
        <v>-7500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9</v>
      </c>
      <c r="C134" s="206">
        <v>45273</v>
      </c>
      <c r="D134" s="161" t="s">
        <v>9</v>
      </c>
      <c r="E134" s="161" t="s">
        <v>2055</v>
      </c>
      <c r="F134" s="207">
        <v>125</v>
      </c>
      <c r="G134" s="222">
        <v>175</v>
      </c>
      <c r="H134" s="161">
        <f>175-125</f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45274</v>
      </c>
      <c r="D135" s="161" t="s">
        <v>9</v>
      </c>
      <c r="E135" s="161" t="s">
        <v>3000</v>
      </c>
      <c r="F135" s="207">
        <v>145</v>
      </c>
      <c r="G135" s="222">
        <v>195</v>
      </c>
      <c r="H135" s="222">
        <f>195-145</f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45275</v>
      </c>
      <c r="D136" s="161" t="s">
        <v>9</v>
      </c>
      <c r="E136" s="161" t="s">
        <v>4427</v>
      </c>
      <c r="F136" s="207">
        <v>125</v>
      </c>
      <c r="G136" s="222">
        <v>135</v>
      </c>
      <c r="H136" s="222">
        <v>10</v>
      </c>
      <c r="I136" s="207">
        <v>300</v>
      </c>
      <c r="J136" s="242">
        <f t="shared" si="22"/>
        <v>3000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45278</v>
      </c>
      <c r="D137" s="161" t="s">
        <v>9</v>
      </c>
      <c r="E137" s="161" t="s">
        <v>3024</v>
      </c>
      <c r="F137" s="207">
        <v>140</v>
      </c>
      <c r="G137" s="222">
        <v>115</v>
      </c>
      <c r="H137" s="222">
        <v>-25</v>
      </c>
      <c r="I137" s="207">
        <v>300</v>
      </c>
      <c r="J137" s="242">
        <f t="shared" si="22"/>
        <v>-7500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13</v>
      </c>
      <c r="C138" s="206">
        <v>45279</v>
      </c>
      <c r="D138" s="161" t="s">
        <v>9</v>
      </c>
      <c r="E138" s="161" t="s">
        <v>4436</v>
      </c>
      <c r="F138" s="207">
        <v>125</v>
      </c>
      <c r="G138" s="207">
        <v>140</v>
      </c>
      <c r="H138" s="161">
        <f>140-125</f>
        <v>15</v>
      </c>
      <c r="I138" s="207">
        <v>300</v>
      </c>
      <c r="J138" s="242">
        <f t="shared" si="22"/>
        <v>4500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45280</v>
      </c>
      <c r="D139" s="161" t="s">
        <v>9</v>
      </c>
      <c r="E139" s="161" t="s">
        <v>4437</v>
      </c>
      <c r="F139" s="207">
        <v>140</v>
      </c>
      <c r="G139" s="207">
        <v>160</v>
      </c>
      <c r="H139" s="161">
        <v>20</v>
      </c>
      <c r="I139" s="207">
        <v>300</v>
      </c>
      <c r="J139" s="242">
        <f t="shared" si="22"/>
        <v>6000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5"/>
        <v>15</v>
      </c>
      <c r="C140" s="206">
        <v>45281</v>
      </c>
      <c r="D140" s="161" t="s">
        <v>9</v>
      </c>
      <c r="E140" s="161" t="s">
        <v>4438</v>
      </c>
      <c r="F140" s="207">
        <v>120</v>
      </c>
      <c r="G140" s="207">
        <v>170</v>
      </c>
      <c r="H140" s="161">
        <v>50</v>
      </c>
      <c r="I140" s="207">
        <v>300</v>
      </c>
      <c r="J140" s="242">
        <f t="shared" si="22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5"/>
        <v>16</v>
      </c>
      <c r="C141" s="206">
        <v>45282</v>
      </c>
      <c r="D141" s="161" t="s">
        <v>9</v>
      </c>
      <c r="E141" s="161" t="s">
        <v>3024</v>
      </c>
      <c r="F141" s="207">
        <v>125</v>
      </c>
      <c r="G141" s="207">
        <v>175</v>
      </c>
      <c r="H141" s="161">
        <f>175-125</f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45286</v>
      </c>
      <c r="D142" s="161" t="s">
        <v>9</v>
      </c>
      <c r="E142" s="161" t="s">
        <v>3024</v>
      </c>
      <c r="F142" s="207">
        <v>130</v>
      </c>
      <c r="G142" s="207">
        <v>180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45287</v>
      </c>
      <c r="D143" s="161" t="s">
        <v>9</v>
      </c>
      <c r="E143" s="161" t="s">
        <v>4437</v>
      </c>
      <c r="F143" s="207">
        <v>150</v>
      </c>
      <c r="G143" s="222">
        <v>200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45288</v>
      </c>
      <c r="D144" s="161" t="s">
        <v>9</v>
      </c>
      <c r="E144" s="161" t="s">
        <v>4451</v>
      </c>
      <c r="F144" s="207">
        <v>125</v>
      </c>
      <c r="G144" s="222">
        <v>144</v>
      </c>
      <c r="H144" s="222">
        <f>144-125</f>
        <v>19</v>
      </c>
      <c r="I144" s="207">
        <v>300</v>
      </c>
      <c r="J144" s="242">
        <f t="shared" si="22"/>
        <v>5700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45289</v>
      </c>
      <c r="D145" s="161" t="s">
        <v>9</v>
      </c>
      <c r="E145" s="161" t="s">
        <v>4452</v>
      </c>
      <c r="F145" s="207">
        <v>140</v>
      </c>
      <c r="G145" s="222">
        <v>180</v>
      </c>
      <c r="H145" s="222">
        <v>40</v>
      </c>
      <c r="I145" s="207">
        <v>300</v>
      </c>
      <c r="J145" s="242">
        <f t="shared" si="22"/>
        <v>12000</v>
      </c>
      <c r="K145" s="153"/>
      <c r="V145" s="25">
        <f t="shared" si="23"/>
        <v>1</v>
      </c>
      <c r="W145" s="25">
        <f t="shared" si="24"/>
        <v>0</v>
      </c>
    </row>
    <row r="146" spans="1:23" hidden="1" x14ac:dyDescent="0.3">
      <c r="A146" s="147"/>
      <c r="B146" s="205">
        <f t="shared" si="25"/>
        <v>21</v>
      </c>
      <c r="C146" s="206"/>
      <c r="D146" s="161"/>
      <c r="E146" s="161"/>
      <c r="F146" s="207"/>
      <c r="G146" s="222"/>
      <c r="H146" s="222"/>
      <c r="I146" s="207"/>
      <c r="J146" s="242">
        <f t="shared" si="22"/>
        <v>0</v>
      </c>
      <c r="K146" s="153"/>
      <c r="V146" s="25">
        <f t="shared" si="23"/>
        <v>0</v>
      </c>
      <c r="W146" s="25">
        <f t="shared" si="24"/>
        <v>0</v>
      </c>
    </row>
    <row r="147" spans="1:23" hidden="1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hidden="1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hidden="1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hidden="1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hidden="1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165000</v>
      </c>
      <c r="K153" s="153"/>
      <c r="V153" s="25">
        <f>SUM(V126:V152)</f>
        <v>17</v>
      </c>
      <c r="W153" s="25">
        <f>SUM(W126:W152)</f>
        <v>3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4408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45261</v>
      </c>
      <c r="D161" s="185" t="s">
        <v>9</v>
      </c>
      <c r="E161" s="185" t="s">
        <v>301</v>
      </c>
      <c r="F161" s="219">
        <v>44950</v>
      </c>
      <c r="G161" s="231">
        <v>45160</v>
      </c>
      <c r="H161" s="185">
        <f>45160-44950</f>
        <v>210</v>
      </c>
      <c r="I161" s="219">
        <v>60</v>
      </c>
      <c r="J161" s="246">
        <f t="shared" ref="J161:J186" si="26">I161*H161</f>
        <v>12600</v>
      </c>
      <c r="K161" s="153"/>
      <c r="V161" s="25">
        <f>IF($J161&gt;0,1,0)</f>
        <v>1</v>
      </c>
      <c r="W161" s="25">
        <f>IF($J161&lt;0,1,0)</f>
        <v>0</v>
      </c>
    </row>
    <row r="162" spans="1:23" x14ac:dyDescent="0.3">
      <c r="A162" s="147"/>
      <c r="B162" s="205">
        <f>B161+1</f>
        <v>2</v>
      </c>
      <c r="C162" s="218">
        <v>45264</v>
      </c>
      <c r="D162" s="185" t="s">
        <v>9</v>
      </c>
      <c r="E162" s="185" t="s">
        <v>301</v>
      </c>
      <c r="F162" s="219">
        <v>45950</v>
      </c>
      <c r="G162" s="219">
        <v>46250</v>
      </c>
      <c r="H162" s="185">
        <v>300</v>
      </c>
      <c r="I162" s="219">
        <v>60</v>
      </c>
      <c r="J162" s="242">
        <f t="shared" si="26"/>
        <v>18000</v>
      </c>
      <c r="K162" s="153"/>
      <c r="V162" s="25">
        <f t="shared" ref="V162:V186" si="27">IF($J162&gt;0,1,0)</f>
        <v>1</v>
      </c>
      <c r="W162" s="25">
        <f t="shared" ref="W162:W186" si="28">IF($J162&lt;0,1,0)</f>
        <v>0</v>
      </c>
    </row>
    <row r="163" spans="1:23" x14ac:dyDescent="0.3">
      <c r="A163" s="147"/>
      <c r="B163" s="205">
        <f t="shared" ref="B163:B186" si="29">B162+1</f>
        <v>3</v>
      </c>
      <c r="C163" s="206">
        <v>45265</v>
      </c>
      <c r="D163" s="161" t="s">
        <v>9</v>
      </c>
      <c r="E163" s="161" t="s">
        <v>301</v>
      </c>
      <c r="F163" s="207">
        <v>46950</v>
      </c>
      <c r="G163" s="207">
        <v>47250</v>
      </c>
      <c r="H163" s="161">
        <v>300</v>
      </c>
      <c r="I163" s="207">
        <v>60</v>
      </c>
      <c r="J163" s="242">
        <f t="shared" si="26"/>
        <v>18000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45266</v>
      </c>
      <c r="D164" s="161" t="s">
        <v>8</v>
      </c>
      <c r="E164" s="161" t="s">
        <v>301</v>
      </c>
      <c r="F164" s="207">
        <v>47000</v>
      </c>
      <c r="G164" s="207">
        <v>46850</v>
      </c>
      <c r="H164" s="161">
        <f>47000-46850</f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45267</v>
      </c>
      <c r="D165" s="161" t="s">
        <v>9</v>
      </c>
      <c r="E165" s="161" t="s">
        <v>301</v>
      </c>
      <c r="F165" s="207">
        <v>46750</v>
      </c>
      <c r="G165" s="207">
        <v>47050</v>
      </c>
      <c r="H165" s="161">
        <v>300</v>
      </c>
      <c r="I165" s="207">
        <v>60</v>
      </c>
      <c r="J165" s="242">
        <f t="shared" si="26"/>
        <v>18000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45268</v>
      </c>
      <c r="D166" s="161" t="s">
        <v>9</v>
      </c>
      <c r="E166" s="161" t="s">
        <v>301</v>
      </c>
      <c r="F166" s="207">
        <v>47150</v>
      </c>
      <c r="G166" s="207">
        <v>47300</v>
      </c>
      <c r="H166" s="161">
        <v>150</v>
      </c>
      <c r="I166" s="207">
        <v>60</v>
      </c>
      <c r="J166" s="242">
        <f t="shared" si="26"/>
        <v>9000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45271</v>
      </c>
      <c r="D167" s="161" t="s">
        <v>9</v>
      </c>
      <c r="E167" s="161" t="s">
        <v>301</v>
      </c>
      <c r="F167" s="207">
        <v>47500</v>
      </c>
      <c r="G167" s="207">
        <v>47650</v>
      </c>
      <c r="H167" s="161">
        <v>150</v>
      </c>
      <c r="I167" s="207">
        <v>60</v>
      </c>
      <c r="J167" s="242">
        <f t="shared" si="26"/>
        <v>9000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45272</v>
      </c>
      <c r="D168" s="161" t="s">
        <v>8</v>
      </c>
      <c r="E168" s="161" t="s">
        <v>301</v>
      </c>
      <c r="F168" s="207">
        <v>47350</v>
      </c>
      <c r="G168" s="207">
        <v>47500</v>
      </c>
      <c r="H168" s="161">
        <v>-150</v>
      </c>
      <c r="I168" s="207">
        <v>60</v>
      </c>
      <c r="J168" s="242">
        <f t="shared" si="26"/>
        <v>-9000</v>
      </c>
      <c r="K168" s="153"/>
      <c r="V168" s="25">
        <f t="shared" si="27"/>
        <v>0</v>
      </c>
      <c r="W168" s="25">
        <f t="shared" si="28"/>
        <v>1</v>
      </c>
    </row>
    <row r="169" spans="1:23" x14ac:dyDescent="0.3">
      <c r="A169" s="147"/>
      <c r="B169" s="205">
        <f t="shared" si="29"/>
        <v>9</v>
      </c>
      <c r="C169" s="206">
        <v>45273</v>
      </c>
      <c r="D169" s="161" t="s">
        <v>8</v>
      </c>
      <c r="E169" s="161" t="s">
        <v>301</v>
      </c>
      <c r="F169" s="207">
        <v>47200</v>
      </c>
      <c r="G169" s="207">
        <v>47145</v>
      </c>
      <c r="H169" s="161">
        <f>47200-47145</f>
        <v>55</v>
      </c>
      <c r="I169" s="207">
        <v>60</v>
      </c>
      <c r="J169" s="242">
        <f t="shared" si="26"/>
        <v>3300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45274</v>
      </c>
      <c r="D170" s="161" t="s">
        <v>9</v>
      </c>
      <c r="E170" s="161" t="s">
        <v>301</v>
      </c>
      <c r="F170" s="207">
        <v>48050</v>
      </c>
      <c r="G170" s="207">
        <v>48199</v>
      </c>
      <c r="H170" s="161">
        <f>48199-48050</f>
        <v>149</v>
      </c>
      <c r="I170" s="207">
        <v>60</v>
      </c>
      <c r="J170" s="242">
        <f t="shared" si="26"/>
        <v>8940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11</v>
      </c>
      <c r="C171" s="206">
        <v>45275</v>
      </c>
      <c r="D171" s="161" t="s">
        <v>8</v>
      </c>
      <c r="E171" s="161" t="s">
        <v>301</v>
      </c>
      <c r="F171" s="207">
        <v>47950</v>
      </c>
      <c r="G171" s="207">
        <v>47800</v>
      </c>
      <c r="H171" s="161">
        <v>150</v>
      </c>
      <c r="I171" s="207">
        <v>60</v>
      </c>
      <c r="J171" s="242">
        <f t="shared" si="26"/>
        <v>9000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45278</v>
      </c>
      <c r="D172" s="161" t="s">
        <v>8</v>
      </c>
      <c r="E172" s="161" t="s">
        <v>301</v>
      </c>
      <c r="F172" s="207">
        <v>48000</v>
      </c>
      <c r="G172" s="207">
        <v>47960</v>
      </c>
      <c r="H172" s="161">
        <f>48000-47960</f>
        <v>40</v>
      </c>
      <c r="I172" s="207">
        <v>60</v>
      </c>
      <c r="J172" s="242">
        <f t="shared" si="26"/>
        <v>2400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13</v>
      </c>
      <c r="C173" s="206">
        <v>45279</v>
      </c>
      <c r="D173" s="161" t="s">
        <v>8</v>
      </c>
      <c r="E173" s="161" t="s">
        <v>301</v>
      </c>
      <c r="F173" s="207">
        <v>47850</v>
      </c>
      <c r="G173" s="207">
        <v>47800</v>
      </c>
      <c r="H173" s="161">
        <v>50</v>
      </c>
      <c r="I173" s="207">
        <v>60</v>
      </c>
      <c r="J173" s="242">
        <f t="shared" si="26"/>
        <v>3000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45280</v>
      </c>
      <c r="D174" s="161" t="s">
        <v>9</v>
      </c>
      <c r="E174" s="161" t="s">
        <v>301</v>
      </c>
      <c r="F174" s="207">
        <v>48150</v>
      </c>
      <c r="G174" s="207">
        <v>48000</v>
      </c>
      <c r="H174" s="161">
        <v>-150</v>
      </c>
      <c r="I174" s="207">
        <v>60</v>
      </c>
      <c r="J174" s="242">
        <f t="shared" si="26"/>
        <v>-9000</v>
      </c>
      <c r="K174" s="153"/>
      <c r="V174" s="25">
        <f t="shared" si="27"/>
        <v>0</v>
      </c>
      <c r="W174" s="25">
        <f t="shared" si="28"/>
        <v>1</v>
      </c>
    </row>
    <row r="175" spans="1:23" x14ac:dyDescent="0.3">
      <c r="A175" s="147"/>
      <c r="B175" s="205">
        <f t="shared" si="29"/>
        <v>15</v>
      </c>
      <c r="C175" s="206">
        <v>45281</v>
      </c>
      <c r="D175" s="161" t="s">
        <v>9</v>
      </c>
      <c r="E175" s="161" t="s">
        <v>301</v>
      </c>
      <c r="F175" s="207">
        <v>47300</v>
      </c>
      <c r="G175" s="207">
        <v>47600</v>
      </c>
      <c r="H175" s="161">
        <v>300</v>
      </c>
      <c r="I175" s="207">
        <v>60</v>
      </c>
      <c r="J175" s="242">
        <f t="shared" si="26"/>
        <v>18000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45282</v>
      </c>
      <c r="D176" s="161" t="s">
        <v>9</v>
      </c>
      <c r="E176" s="161" t="s">
        <v>301</v>
      </c>
      <c r="F176" s="207">
        <v>48050</v>
      </c>
      <c r="G176" s="207">
        <v>48280</v>
      </c>
      <c r="H176" s="161">
        <f>48280-48050</f>
        <v>230</v>
      </c>
      <c r="I176" s="207">
        <v>60</v>
      </c>
      <c r="J176" s="242">
        <f t="shared" si="26"/>
        <v>13800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45286</v>
      </c>
      <c r="D177" s="161" t="s">
        <v>8</v>
      </c>
      <c r="E177" s="161" t="s">
        <v>301</v>
      </c>
      <c r="F177" s="207">
        <v>47550</v>
      </c>
      <c r="G177" s="207">
        <v>47505</v>
      </c>
      <c r="H177" s="161">
        <f>47550-47505</f>
        <v>45</v>
      </c>
      <c r="I177" s="207">
        <v>60</v>
      </c>
      <c r="J177" s="242">
        <f t="shared" si="26"/>
        <v>2700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45287</v>
      </c>
      <c r="D178" s="161" t="s">
        <v>9</v>
      </c>
      <c r="E178" s="161" t="s">
        <v>301</v>
      </c>
      <c r="F178" s="207">
        <v>48000</v>
      </c>
      <c r="G178" s="207">
        <v>48300</v>
      </c>
      <c r="H178" s="161">
        <v>300</v>
      </c>
      <c r="I178" s="207">
        <v>60</v>
      </c>
      <c r="J178" s="242">
        <f t="shared" si="26"/>
        <v>18000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45288</v>
      </c>
      <c r="D179" s="161" t="s">
        <v>9</v>
      </c>
      <c r="E179" s="161" t="s">
        <v>301</v>
      </c>
      <c r="F179" s="207">
        <v>48550</v>
      </c>
      <c r="G179" s="207">
        <v>48400</v>
      </c>
      <c r="H179" s="161">
        <v>-150</v>
      </c>
      <c r="I179" s="207">
        <v>60</v>
      </c>
      <c r="J179" s="242">
        <f t="shared" si="26"/>
        <v>-9000</v>
      </c>
      <c r="K179" s="153"/>
      <c r="V179" s="25">
        <f t="shared" si="27"/>
        <v>0</v>
      </c>
      <c r="W179" s="25">
        <f t="shared" si="28"/>
        <v>1</v>
      </c>
    </row>
    <row r="180" spans="1:23" x14ac:dyDescent="0.3">
      <c r="A180" s="147"/>
      <c r="B180" s="205">
        <f t="shared" si="29"/>
        <v>20</v>
      </c>
      <c r="C180" s="206">
        <v>45288</v>
      </c>
      <c r="D180" s="161" t="s">
        <v>9</v>
      </c>
      <c r="E180" s="161" t="s">
        <v>301</v>
      </c>
      <c r="F180" s="207">
        <v>48500</v>
      </c>
      <c r="G180" s="207">
        <v>48620</v>
      </c>
      <c r="H180" s="161">
        <f>48620-48500</f>
        <v>120</v>
      </c>
      <c r="I180" s="207">
        <v>60</v>
      </c>
      <c r="J180" s="242">
        <f t="shared" si="26"/>
        <v>7200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>
        <v>45289</v>
      </c>
      <c r="D181" s="161" t="s">
        <v>8</v>
      </c>
      <c r="E181" s="161" t="s">
        <v>301</v>
      </c>
      <c r="F181" s="207">
        <v>48650</v>
      </c>
      <c r="G181" s="207">
        <v>48410</v>
      </c>
      <c r="H181" s="161">
        <f>48650-48410</f>
        <v>240</v>
      </c>
      <c r="I181" s="207">
        <v>60</v>
      </c>
      <c r="J181" s="242">
        <f t="shared" si="26"/>
        <v>14400</v>
      </c>
      <c r="K181" s="153"/>
      <c r="V181" s="25">
        <f t="shared" si="27"/>
        <v>1</v>
      </c>
      <c r="W181" s="25">
        <f t="shared" si="28"/>
        <v>0</v>
      </c>
    </row>
    <row r="182" spans="1:23" hidden="1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hidden="1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hidden="1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hidden="1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167340</v>
      </c>
      <c r="K187" s="153"/>
      <c r="V187" s="25">
        <f>SUM(V161:V186)</f>
        <v>18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4410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45261</v>
      </c>
      <c r="D195" s="185" t="s">
        <v>9</v>
      </c>
      <c r="E195" s="185" t="s">
        <v>4272</v>
      </c>
      <c r="F195" s="231">
        <v>300</v>
      </c>
      <c r="G195" s="231">
        <v>460</v>
      </c>
      <c r="H195" s="231">
        <v>160</v>
      </c>
      <c r="I195" s="219">
        <v>120</v>
      </c>
      <c r="J195" s="246">
        <f t="shared" ref="J195:J220" si="30">I195*H195</f>
        <v>19200</v>
      </c>
      <c r="K195" s="153"/>
      <c r="V195" s="25">
        <f>IF($J195&gt;0,1,0)</f>
        <v>1</v>
      </c>
      <c r="W195" s="25">
        <f>IF($J195&lt;0,1,0)</f>
        <v>0</v>
      </c>
    </row>
    <row r="196" spans="1:23" x14ac:dyDescent="0.3">
      <c r="A196" s="147"/>
      <c r="B196" s="205">
        <f>B195+1</f>
        <v>2</v>
      </c>
      <c r="C196" s="218">
        <v>45264</v>
      </c>
      <c r="D196" s="185" t="s">
        <v>9</v>
      </c>
      <c r="E196" s="185" t="s">
        <v>4412</v>
      </c>
      <c r="F196" s="231">
        <v>400</v>
      </c>
      <c r="G196" s="231">
        <v>445</v>
      </c>
      <c r="H196" s="231">
        <v>45</v>
      </c>
      <c r="I196" s="219">
        <v>120</v>
      </c>
      <c r="J196" s="242">
        <f t="shared" si="30"/>
        <v>5400</v>
      </c>
      <c r="K196" s="153"/>
      <c r="V196" s="25">
        <f t="shared" ref="V196:V220" si="31">IF($J196&gt;0,1,0)</f>
        <v>1</v>
      </c>
      <c r="W196" s="25">
        <f t="shared" ref="W196:W220" si="32">IF($J196&lt;0,1,0)</f>
        <v>0</v>
      </c>
    </row>
    <row r="197" spans="1:23" x14ac:dyDescent="0.3">
      <c r="A197" s="147"/>
      <c r="B197" s="205">
        <f t="shared" ref="B197:B216" si="33">B196+1</f>
        <v>3</v>
      </c>
      <c r="C197" s="206">
        <v>45265</v>
      </c>
      <c r="D197" s="161" t="s">
        <v>9</v>
      </c>
      <c r="E197" s="161" t="s">
        <v>4413</v>
      </c>
      <c r="F197" s="222">
        <v>300</v>
      </c>
      <c r="G197" s="222">
        <v>460</v>
      </c>
      <c r="H197" s="222">
        <v>160</v>
      </c>
      <c r="I197" s="207">
        <v>120</v>
      </c>
      <c r="J197" s="242">
        <f t="shared" si="30"/>
        <v>19200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45266</v>
      </c>
      <c r="D198" s="161" t="s">
        <v>9</v>
      </c>
      <c r="E198" s="161" t="s">
        <v>4418</v>
      </c>
      <c r="F198" s="222">
        <v>300</v>
      </c>
      <c r="G198" s="222">
        <v>400</v>
      </c>
      <c r="H198" s="222">
        <v>100</v>
      </c>
      <c r="I198" s="207">
        <v>120</v>
      </c>
      <c r="J198" s="242">
        <f t="shared" si="30"/>
        <v>12000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45267</v>
      </c>
      <c r="D199" s="161" t="s">
        <v>9</v>
      </c>
      <c r="E199" s="161" t="s">
        <v>4413</v>
      </c>
      <c r="F199" s="222">
        <v>320</v>
      </c>
      <c r="G199" s="222">
        <v>480</v>
      </c>
      <c r="H199" s="222">
        <f>480-320</f>
        <v>160</v>
      </c>
      <c r="I199" s="207">
        <v>120</v>
      </c>
      <c r="J199" s="242">
        <f t="shared" si="30"/>
        <v>19200</v>
      </c>
      <c r="K199" s="153"/>
      <c r="O199" s="25" t="s">
        <v>2008</v>
      </c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6</v>
      </c>
      <c r="C200" s="206">
        <v>45268</v>
      </c>
      <c r="D200" s="161" t="s">
        <v>9</v>
      </c>
      <c r="E200" s="161" t="s">
        <v>4421</v>
      </c>
      <c r="F200" s="222">
        <v>300</v>
      </c>
      <c r="G200" s="222">
        <v>460</v>
      </c>
      <c r="H200" s="222">
        <f>460-300</f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45271</v>
      </c>
      <c r="D201" s="161" t="s">
        <v>9</v>
      </c>
      <c r="E201" s="161" t="s">
        <v>4423</v>
      </c>
      <c r="F201" s="222">
        <v>320</v>
      </c>
      <c r="G201" s="222">
        <v>480</v>
      </c>
      <c r="H201" s="222">
        <f>480-320</f>
        <v>160</v>
      </c>
      <c r="I201" s="207">
        <v>120</v>
      </c>
      <c r="J201" s="242">
        <f t="shared" si="30"/>
        <v>19200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45272</v>
      </c>
      <c r="D202" s="161" t="s">
        <v>9</v>
      </c>
      <c r="E202" s="161" t="s">
        <v>4424</v>
      </c>
      <c r="F202" s="222">
        <v>300</v>
      </c>
      <c r="G202" s="222">
        <v>220</v>
      </c>
      <c r="H202" s="222">
        <v>-80</v>
      </c>
      <c r="I202" s="207">
        <v>120</v>
      </c>
      <c r="J202" s="242">
        <f t="shared" si="30"/>
        <v>-9600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9</v>
      </c>
      <c r="C203" s="206">
        <v>45273</v>
      </c>
      <c r="D203" s="161" t="s">
        <v>9</v>
      </c>
      <c r="E203" s="161" t="s">
        <v>4428</v>
      </c>
      <c r="F203" s="222">
        <v>330</v>
      </c>
      <c r="G203" s="222">
        <v>380</v>
      </c>
      <c r="H203" s="255">
        <v>50</v>
      </c>
      <c r="I203" s="207">
        <v>120</v>
      </c>
      <c r="J203" s="242">
        <f t="shared" si="30"/>
        <v>6000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45274</v>
      </c>
      <c r="D204" s="161" t="s">
        <v>9</v>
      </c>
      <c r="E204" s="161" t="s">
        <v>4429</v>
      </c>
      <c r="F204" s="222">
        <v>320</v>
      </c>
      <c r="G204" s="222">
        <v>365</v>
      </c>
      <c r="H204" s="255">
        <f>365-320</f>
        <v>45</v>
      </c>
      <c r="I204" s="207">
        <v>120</v>
      </c>
      <c r="J204" s="242">
        <f t="shared" si="30"/>
        <v>5400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45275</v>
      </c>
      <c r="D205" s="161" t="s">
        <v>9</v>
      </c>
      <c r="E205" s="161" t="s">
        <v>4430</v>
      </c>
      <c r="F205" s="222">
        <v>300</v>
      </c>
      <c r="G205" s="222">
        <v>413</v>
      </c>
      <c r="H205" s="255">
        <f>413-300</f>
        <v>113</v>
      </c>
      <c r="I205" s="207">
        <v>120</v>
      </c>
      <c r="J205" s="242">
        <f t="shared" si="30"/>
        <v>13560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45278</v>
      </c>
      <c r="D206" s="161" t="s">
        <v>9</v>
      </c>
      <c r="E206" s="161" t="s">
        <v>4433</v>
      </c>
      <c r="F206" s="222">
        <v>300</v>
      </c>
      <c r="G206" s="222">
        <v>220</v>
      </c>
      <c r="H206" s="255">
        <v>-60</v>
      </c>
      <c r="I206" s="207">
        <v>120</v>
      </c>
      <c r="J206" s="242">
        <f t="shared" si="30"/>
        <v>-7200</v>
      </c>
      <c r="K206" s="153"/>
      <c r="V206" s="25">
        <f t="shared" si="31"/>
        <v>0</v>
      </c>
      <c r="W206" s="25">
        <f t="shared" si="32"/>
        <v>1</v>
      </c>
    </row>
    <row r="207" spans="1:23" x14ac:dyDescent="0.3">
      <c r="A207" s="147"/>
      <c r="B207" s="205">
        <f t="shared" si="33"/>
        <v>13</v>
      </c>
      <c r="C207" s="206">
        <v>45279</v>
      </c>
      <c r="D207" s="161" t="s">
        <v>9</v>
      </c>
      <c r="E207" s="161" t="s">
        <v>4433</v>
      </c>
      <c r="F207" s="222">
        <v>340</v>
      </c>
      <c r="G207" s="222">
        <v>394</v>
      </c>
      <c r="H207" s="255">
        <f>394-340</f>
        <v>54</v>
      </c>
      <c r="I207" s="207">
        <v>120</v>
      </c>
      <c r="J207" s="242">
        <f t="shared" si="30"/>
        <v>6480</v>
      </c>
      <c r="K207" s="153"/>
      <c r="V207" s="25">
        <f t="shared" si="31"/>
        <v>1</v>
      </c>
      <c r="W207" s="25">
        <f t="shared" si="32"/>
        <v>0</v>
      </c>
    </row>
    <row r="208" spans="1:23" x14ac:dyDescent="0.3">
      <c r="A208" s="147"/>
      <c r="B208" s="205">
        <f t="shared" si="33"/>
        <v>14</v>
      </c>
      <c r="C208" s="206">
        <v>45280</v>
      </c>
      <c r="D208" s="161" t="s">
        <v>9</v>
      </c>
      <c r="E208" s="161" t="s">
        <v>4439</v>
      </c>
      <c r="F208" s="207">
        <v>320</v>
      </c>
      <c r="G208" s="207">
        <v>240</v>
      </c>
      <c r="H208" s="161">
        <v>-80</v>
      </c>
      <c r="I208" s="207">
        <v>120</v>
      </c>
      <c r="J208" s="242">
        <f t="shared" si="30"/>
        <v>-9600</v>
      </c>
      <c r="K208" s="153"/>
      <c r="V208" s="25">
        <f t="shared" si="31"/>
        <v>0</v>
      </c>
      <c r="W208" s="25">
        <f t="shared" si="32"/>
        <v>1</v>
      </c>
    </row>
    <row r="209" spans="1:23" x14ac:dyDescent="0.3">
      <c r="A209" s="147"/>
      <c r="B209" s="205">
        <f t="shared" si="33"/>
        <v>15</v>
      </c>
      <c r="C209" s="206">
        <v>45280</v>
      </c>
      <c r="D209" s="161" t="s">
        <v>9</v>
      </c>
      <c r="E209" s="161" t="s">
        <v>4433</v>
      </c>
      <c r="F209" s="207">
        <v>300</v>
      </c>
      <c r="G209" s="207">
        <v>460</v>
      </c>
      <c r="H209" s="161">
        <v>160</v>
      </c>
      <c r="I209" s="207">
        <v>120</v>
      </c>
      <c r="J209" s="242">
        <f t="shared" si="30"/>
        <v>19200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45281</v>
      </c>
      <c r="D210" s="161" t="s">
        <v>9</v>
      </c>
      <c r="E210" s="161" t="s">
        <v>4440</v>
      </c>
      <c r="F210" s="207">
        <v>300</v>
      </c>
      <c r="G210" s="207">
        <v>338</v>
      </c>
      <c r="H210" s="161">
        <v>38</v>
      </c>
      <c r="I210" s="207">
        <v>120</v>
      </c>
      <c r="J210" s="242">
        <f t="shared" si="30"/>
        <v>4560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45281</v>
      </c>
      <c r="D211" s="161" t="s">
        <v>9</v>
      </c>
      <c r="E211" s="161" t="s">
        <v>4441</v>
      </c>
      <c r="F211" s="207">
        <v>300</v>
      </c>
      <c r="G211" s="207">
        <v>460</v>
      </c>
      <c r="H211" s="161">
        <v>160</v>
      </c>
      <c r="I211" s="207">
        <v>120</v>
      </c>
      <c r="J211" s="242">
        <f t="shared" si="30"/>
        <v>19200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45282</v>
      </c>
      <c r="D212" s="161" t="s">
        <v>9</v>
      </c>
      <c r="E212" s="161" t="s">
        <v>4442</v>
      </c>
      <c r="F212" s="207">
        <v>280</v>
      </c>
      <c r="G212" s="207">
        <v>410</v>
      </c>
      <c r="H212" s="161">
        <f>410-280</f>
        <v>130</v>
      </c>
      <c r="I212" s="207">
        <v>120</v>
      </c>
      <c r="J212" s="242">
        <f t="shared" si="30"/>
        <v>15600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45286</v>
      </c>
      <c r="D213" s="161" t="s">
        <v>9</v>
      </c>
      <c r="E213" s="161" t="s">
        <v>4447</v>
      </c>
      <c r="F213" s="207">
        <v>300</v>
      </c>
      <c r="G213" s="207">
        <v>357</v>
      </c>
      <c r="H213" s="161">
        <v>57</v>
      </c>
      <c r="I213" s="207">
        <v>120</v>
      </c>
      <c r="J213" s="161">
        <f t="shared" si="30"/>
        <v>6840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45287</v>
      </c>
      <c r="D214" s="161" t="s">
        <v>9</v>
      </c>
      <c r="E214" s="161" t="s">
        <v>4441</v>
      </c>
      <c r="F214" s="207">
        <v>340</v>
      </c>
      <c r="G214" s="207">
        <v>500</v>
      </c>
      <c r="H214" s="161">
        <f>500-340</f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45288</v>
      </c>
      <c r="D215" s="161" t="s">
        <v>9</v>
      </c>
      <c r="E215" s="161" t="s">
        <v>4442</v>
      </c>
      <c r="F215" s="207">
        <v>300</v>
      </c>
      <c r="G215" s="207">
        <v>430</v>
      </c>
      <c r="H215" s="161">
        <v>130</v>
      </c>
      <c r="I215" s="207">
        <v>120</v>
      </c>
      <c r="J215" s="161">
        <f t="shared" si="30"/>
        <v>15600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>
        <v>45289</v>
      </c>
      <c r="D216" s="161" t="s">
        <v>9</v>
      </c>
      <c r="E216" s="161" t="s">
        <v>4453</v>
      </c>
      <c r="F216" s="207">
        <v>320</v>
      </c>
      <c r="G216" s="207">
        <v>400</v>
      </c>
      <c r="H216" s="161">
        <v>80</v>
      </c>
      <c r="I216" s="207">
        <v>120</v>
      </c>
      <c r="J216" s="161">
        <f t="shared" si="30"/>
        <v>9600</v>
      </c>
      <c r="K216" s="153"/>
      <c r="T216" s="25" t="s">
        <v>2008</v>
      </c>
      <c r="V216" s="25">
        <f t="shared" si="31"/>
        <v>1</v>
      </c>
      <c r="W216" s="25">
        <f t="shared" si="32"/>
        <v>0</v>
      </c>
    </row>
    <row r="217" spans="1:23" hidden="1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hidden="1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hidden="1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228240</v>
      </c>
      <c r="K221" s="153"/>
      <c r="V221" s="25">
        <f>SUM(V195:V220)</f>
        <v>19</v>
      </c>
      <c r="W221" s="25">
        <f>SUM(W195:W220)</f>
        <v>3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4410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45261</v>
      </c>
      <c r="D229" s="185" t="s">
        <v>9</v>
      </c>
      <c r="E229" s="185" t="s">
        <v>4414</v>
      </c>
      <c r="F229" s="231">
        <v>10.5</v>
      </c>
      <c r="G229" s="231">
        <v>8.9</v>
      </c>
      <c r="H229" s="231">
        <v>-1.6</v>
      </c>
      <c r="I229" s="219">
        <v>2800</v>
      </c>
      <c r="J229" s="246">
        <f t="shared" ref="J229:J252" si="34">I229*H229</f>
        <v>-4480</v>
      </c>
      <c r="K229" s="153"/>
      <c r="V229" s="25">
        <f>IF($J229&gt;0,1,0)</f>
        <v>0</v>
      </c>
      <c r="W229" s="25">
        <f>IF($J229&lt;0,1,0)</f>
        <v>1</v>
      </c>
    </row>
    <row r="230" spans="1:23" x14ac:dyDescent="0.3">
      <c r="A230" s="147"/>
      <c r="B230" s="205">
        <f>B229+1</f>
        <v>2</v>
      </c>
      <c r="C230" s="218">
        <v>45264</v>
      </c>
      <c r="D230" s="185" t="s">
        <v>9</v>
      </c>
      <c r="E230" s="185" t="s">
        <v>4415</v>
      </c>
      <c r="F230" s="231">
        <v>225</v>
      </c>
      <c r="G230" s="231">
        <v>235</v>
      </c>
      <c r="H230" s="231">
        <v>20</v>
      </c>
      <c r="I230" s="219">
        <v>100</v>
      </c>
      <c r="J230" s="242">
        <f>I230*H230</f>
        <v>2000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45265</v>
      </c>
      <c r="D231" s="161" t="s">
        <v>9</v>
      </c>
      <c r="E231" s="161" t="s">
        <v>4416</v>
      </c>
      <c r="F231" s="222">
        <v>220</v>
      </c>
      <c r="G231" s="222">
        <v>190</v>
      </c>
      <c r="H231" s="222">
        <v>-20</v>
      </c>
      <c r="I231" s="207">
        <v>100</v>
      </c>
      <c r="J231" s="242">
        <f t="shared" si="34"/>
        <v>-2000</v>
      </c>
      <c r="K231" s="153"/>
      <c r="V231" s="25">
        <f t="shared" ref="V231:V252" si="36">IF($J231&gt;0,1,0)</f>
        <v>0</v>
      </c>
      <c r="W231" s="25">
        <f t="shared" ref="W231:W252" si="37">IF($J231&lt;0,1,0)</f>
        <v>1</v>
      </c>
    </row>
    <row r="232" spans="1:23" x14ac:dyDescent="0.3">
      <c r="A232" s="147"/>
      <c r="B232" s="205">
        <f t="shared" si="35"/>
        <v>4</v>
      </c>
      <c r="C232" s="206">
        <v>45266</v>
      </c>
      <c r="D232" s="161" t="s">
        <v>9</v>
      </c>
      <c r="E232" s="161" t="s">
        <v>3497</v>
      </c>
      <c r="F232" s="222">
        <v>70</v>
      </c>
      <c r="G232" s="222">
        <v>78</v>
      </c>
      <c r="H232" s="222">
        <v>8</v>
      </c>
      <c r="I232" s="207">
        <v>200</v>
      </c>
      <c r="J232" s="242">
        <f t="shared" si="34"/>
        <v>1600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45267</v>
      </c>
      <c r="D233" s="161" t="s">
        <v>9</v>
      </c>
      <c r="E233" s="161" t="s">
        <v>4419</v>
      </c>
      <c r="F233" s="222">
        <v>110</v>
      </c>
      <c r="G233" s="222">
        <v>90</v>
      </c>
      <c r="H233" s="222">
        <v>-20</v>
      </c>
      <c r="I233" s="207">
        <v>300</v>
      </c>
      <c r="J233" s="242">
        <f t="shared" si="34"/>
        <v>-6000</v>
      </c>
      <c r="K233" s="153"/>
      <c r="V233" s="25">
        <f t="shared" si="36"/>
        <v>0</v>
      </c>
      <c r="W233" s="25">
        <f t="shared" si="37"/>
        <v>1</v>
      </c>
    </row>
    <row r="234" spans="1:23" x14ac:dyDescent="0.3">
      <c r="A234" s="147"/>
      <c r="B234" s="205">
        <f t="shared" si="35"/>
        <v>6</v>
      </c>
      <c r="C234" s="206">
        <v>45268</v>
      </c>
      <c r="D234" s="161" t="s">
        <v>9</v>
      </c>
      <c r="E234" s="161" t="s">
        <v>4420</v>
      </c>
      <c r="F234" s="222">
        <v>68</v>
      </c>
      <c r="G234" s="222">
        <v>88</v>
      </c>
      <c r="H234" s="222">
        <v>20</v>
      </c>
      <c r="I234" s="207">
        <v>300</v>
      </c>
      <c r="J234" s="242">
        <f t="shared" si="34"/>
        <v>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45271</v>
      </c>
      <c r="D235" s="161" t="s">
        <v>9</v>
      </c>
      <c r="E235" s="161" t="s">
        <v>4425</v>
      </c>
      <c r="F235" s="222">
        <v>195</v>
      </c>
      <c r="G235" s="222">
        <v>255</v>
      </c>
      <c r="H235" s="222">
        <f>255-195</f>
        <v>60</v>
      </c>
      <c r="I235" s="207">
        <v>300</v>
      </c>
      <c r="J235" s="242">
        <f t="shared" si="34"/>
        <v>18000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45272</v>
      </c>
      <c r="D236" s="161" t="s">
        <v>9</v>
      </c>
      <c r="E236" s="161" t="s">
        <v>4426</v>
      </c>
      <c r="F236" s="222">
        <v>88</v>
      </c>
      <c r="G236" s="222">
        <v>73</v>
      </c>
      <c r="H236" s="222">
        <v>-15</v>
      </c>
      <c r="I236" s="207">
        <v>300</v>
      </c>
      <c r="J236" s="242">
        <f t="shared" si="34"/>
        <v>-4500</v>
      </c>
      <c r="K236" s="153"/>
      <c r="V236" s="25">
        <f t="shared" si="36"/>
        <v>0</v>
      </c>
      <c r="W236" s="25">
        <f t="shared" si="37"/>
        <v>1</v>
      </c>
    </row>
    <row r="237" spans="1:23" x14ac:dyDescent="0.3">
      <c r="A237" s="147"/>
      <c r="B237" s="205">
        <f t="shared" si="35"/>
        <v>9</v>
      </c>
      <c r="C237" s="206">
        <v>45273</v>
      </c>
      <c r="D237" s="161" t="s">
        <v>9</v>
      </c>
      <c r="E237" s="161" t="s">
        <v>4431</v>
      </c>
      <c r="F237" s="222">
        <v>22</v>
      </c>
      <c r="G237" s="222">
        <v>20.5</v>
      </c>
      <c r="H237" s="255">
        <f>22-20.5</f>
        <v>1.5</v>
      </c>
      <c r="I237" s="207">
        <v>625</v>
      </c>
      <c r="J237" s="242">
        <f t="shared" si="34"/>
        <v>937.5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45274</v>
      </c>
      <c r="D238" s="161" t="s">
        <v>9</v>
      </c>
      <c r="E238" s="161" t="s">
        <v>4432</v>
      </c>
      <c r="F238" s="222">
        <v>140</v>
      </c>
      <c r="G238" s="222">
        <v>169</v>
      </c>
      <c r="H238" s="255">
        <f>169-140</f>
        <v>29</v>
      </c>
      <c r="I238" s="207">
        <v>125</v>
      </c>
      <c r="J238" s="242">
        <f t="shared" si="34"/>
        <v>3625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45275</v>
      </c>
      <c r="D239" s="161" t="s">
        <v>9</v>
      </c>
      <c r="E239" s="161" t="s">
        <v>3780</v>
      </c>
      <c r="F239" s="222">
        <v>80</v>
      </c>
      <c r="G239" s="222">
        <v>110</v>
      </c>
      <c r="H239" s="255">
        <f>110-80</f>
        <v>30</v>
      </c>
      <c r="I239" s="207">
        <v>300</v>
      </c>
      <c r="J239" s="242">
        <f t="shared" si="34"/>
        <v>9000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45278</v>
      </c>
      <c r="D240" s="161" t="s">
        <v>9</v>
      </c>
      <c r="E240" s="161" t="s">
        <v>4434</v>
      </c>
      <c r="F240" s="222">
        <v>12</v>
      </c>
      <c r="G240" s="222">
        <v>15.1</v>
      </c>
      <c r="H240" s="255">
        <v>3.1</v>
      </c>
      <c r="I240" s="207">
        <v>700</v>
      </c>
      <c r="J240" s="242">
        <f t="shared" si="34"/>
        <v>2170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45279</v>
      </c>
      <c r="D241" s="161" t="s">
        <v>9</v>
      </c>
      <c r="E241" s="161" t="s">
        <v>4443</v>
      </c>
      <c r="F241" s="222">
        <v>140</v>
      </c>
      <c r="G241" s="222">
        <v>110</v>
      </c>
      <c r="H241" s="255">
        <v>-30</v>
      </c>
      <c r="I241" s="207">
        <v>125</v>
      </c>
      <c r="J241" s="242">
        <f t="shared" si="34"/>
        <v>-3750</v>
      </c>
      <c r="K241" s="153"/>
      <c r="V241" s="25">
        <f t="shared" si="36"/>
        <v>0</v>
      </c>
      <c r="W241" s="25">
        <f t="shared" si="37"/>
        <v>1</v>
      </c>
    </row>
    <row r="242" spans="1:23" x14ac:dyDescent="0.3">
      <c r="A242" s="147"/>
      <c r="B242" s="205">
        <f t="shared" si="35"/>
        <v>14</v>
      </c>
      <c r="C242" s="206">
        <v>45280</v>
      </c>
      <c r="D242" s="161" t="s">
        <v>9</v>
      </c>
      <c r="E242" s="161" t="s">
        <v>4444</v>
      </c>
      <c r="F242" s="222">
        <v>220</v>
      </c>
      <c r="G242" s="222">
        <v>260</v>
      </c>
      <c r="H242" s="255">
        <v>40</v>
      </c>
      <c r="I242" s="207">
        <v>100</v>
      </c>
      <c r="J242" s="242">
        <f>I242*H242</f>
        <v>4000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45281</v>
      </c>
      <c r="D243" s="161" t="s">
        <v>9</v>
      </c>
      <c r="E243" s="161" t="s">
        <v>4445</v>
      </c>
      <c r="F243" s="222">
        <v>180</v>
      </c>
      <c r="G243" s="222">
        <v>240</v>
      </c>
      <c r="H243" s="255">
        <f>240-180</f>
        <v>60</v>
      </c>
      <c r="I243" s="207">
        <v>100</v>
      </c>
      <c r="J243" s="242">
        <f t="shared" si="34"/>
        <v>6000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45282</v>
      </c>
      <c r="D244" s="161" t="s">
        <v>9</v>
      </c>
      <c r="E244" s="161" t="s">
        <v>4446</v>
      </c>
      <c r="F244" s="222">
        <v>27</v>
      </c>
      <c r="G244" s="222">
        <v>32</v>
      </c>
      <c r="H244" s="222">
        <v>5</v>
      </c>
      <c r="I244" s="207">
        <v>200</v>
      </c>
      <c r="J244" s="242">
        <f t="shared" si="34"/>
        <v>1000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45286</v>
      </c>
      <c r="D245" s="161" t="s">
        <v>9</v>
      </c>
      <c r="E245" s="161" t="s">
        <v>4448</v>
      </c>
      <c r="F245" s="222">
        <v>65</v>
      </c>
      <c r="G245" s="222">
        <v>80</v>
      </c>
      <c r="H245" s="222">
        <v>15</v>
      </c>
      <c r="I245" s="207">
        <v>300</v>
      </c>
      <c r="J245" s="242">
        <f t="shared" si="34"/>
        <v>4500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45287</v>
      </c>
      <c r="D246" s="161" t="s">
        <v>9</v>
      </c>
      <c r="E246" s="161" t="s">
        <v>4449</v>
      </c>
      <c r="F246" s="222">
        <v>7.5</v>
      </c>
      <c r="G246" s="222">
        <v>4.5</v>
      </c>
      <c r="H246" s="222">
        <v>-3</v>
      </c>
      <c r="I246" s="207">
        <v>700</v>
      </c>
      <c r="J246" s="242">
        <f t="shared" si="34"/>
        <v>-2100</v>
      </c>
      <c r="K246" s="153"/>
      <c r="V246" s="25">
        <f t="shared" si="36"/>
        <v>0</v>
      </c>
      <c r="W246" s="25">
        <f t="shared" si="37"/>
        <v>1</v>
      </c>
    </row>
    <row r="247" spans="1:23" x14ac:dyDescent="0.3">
      <c r="A247" s="147"/>
      <c r="B247" s="205">
        <f t="shared" si="35"/>
        <v>19</v>
      </c>
      <c r="C247" s="206">
        <v>45288</v>
      </c>
      <c r="D247" s="161" t="s">
        <v>9</v>
      </c>
      <c r="E247" s="161" t="s">
        <v>4450</v>
      </c>
      <c r="F247" s="222">
        <v>11</v>
      </c>
      <c r="G247" s="222">
        <v>17</v>
      </c>
      <c r="H247" s="222">
        <v>6</v>
      </c>
      <c r="I247" s="207">
        <v>550</v>
      </c>
      <c r="J247" s="242">
        <f t="shared" si="34"/>
        <v>3300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45289</v>
      </c>
      <c r="D248" s="161" t="s">
        <v>9</v>
      </c>
      <c r="E248" s="161" t="s">
        <v>4454</v>
      </c>
      <c r="F248" s="222">
        <v>95</v>
      </c>
      <c r="G248" s="222">
        <v>91</v>
      </c>
      <c r="H248" s="222">
        <v>-4</v>
      </c>
      <c r="I248" s="207">
        <v>175</v>
      </c>
      <c r="J248" s="242">
        <f t="shared" si="34"/>
        <v>-700</v>
      </c>
      <c r="K248" s="153"/>
      <c r="V248" s="25">
        <f t="shared" si="36"/>
        <v>0</v>
      </c>
      <c r="W248" s="25">
        <f t="shared" si="37"/>
        <v>1</v>
      </c>
    </row>
    <row r="249" spans="1:23" hidden="1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hidden="1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hidden="1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38602.5</v>
      </c>
      <c r="K253" s="153"/>
      <c r="V253" s="25">
        <f>SUM(V229:V252)</f>
        <v>13</v>
      </c>
      <c r="W253" s="25">
        <f>SUM(W229:W252)</f>
        <v>7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8000-000000000000}"/>
    <hyperlink ref="B118" r:id="rId2" xr:uid="{00000000-0004-0000-8000-000001000000}"/>
    <hyperlink ref="B153" r:id="rId3" xr:uid="{00000000-0004-0000-8000-000002000000}"/>
    <hyperlink ref="B187" r:id="rId4" xr:uid="{00000000-0004-0000-8000-000003000000}"/>
    <hyperlink ref="B221" r:id="rId5" xr:uid="{00000000-0004-0000-8000-000004000000}"/>
    <hyperlink ref="B253" r:id="rId6" xr:uid="{00000000-0004-0000-8000-000005000000}"/>
    <hyperlink ref="M1" location="'MASTER '!A1" display="Back" xr:uid="{00000000-0004-0000-8000-000006000000}"/>
    <hyperlink ref="M6:M7" location="'NOV 2023'!A77" display="STOCK FUTURE" xr:uid="{00000000-0004-0000-8000-000007000000}"/>
    <hyperlink ref="M12:M13" location="'NOV 2023'!A170" display="BANK NIFTY" xr:uid="{00000000-0004-0000-8000-000008000000}"/>
    <hyperlink ref="M10:M11" location="'NOV 2023'!A139" display="NF. OPTION" xr:uid="{00000000-0004-0000-8000-000009000000}"/>
    <hyperlink ref="M8:M9" location="'NOV 2023'!A108" display="NIFTY FUTURE" xr:uid="{00000000-0004-0000-8000-00000A000000}"/>
    <hyperlink ref="M4:M5" location="'NOV 2023'!A1" display="CASH" xr:uid="{00000000-0004-0000-8000-00000B000000}"/>
    <hyperlink ref="M14:M15" location="'NOV 2023'!A201" display="B.NIFTY OPTION" xr:uid="{00000000-0004-0000-8000-00000C000000}"/>
    <hyperlink ref="M16:M17" location="'NOV 2023'!A216" display="STOCK OPTION" xr:uid="{00000000-0004-0000-8000-00000D000000}"/>
    <hyperlink ref="B52" r:id="rId7" xr:uid="{00000000-0004-0000-8000-00000E000000}"/>
  </hyperlinks>
  <pageMargins left="0" right="0" top="0" bottom="0" header="0" footer="0"/>
  <pageSetup scale="95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6"/>
  <sheetViews>
    <sheetView workbookViewId="0"/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314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41730</v>
      </c>
      <c r="C6" s="2" t="s">
        <v>8</v>
      </c>
      <c r="D6" s="2" t="s">
        <v>315</v>
      </c>
      <c r="E6" s="41" t="s">
        <v>316</v>
      </c>
      <c r="F6" s="40" t="s">
        <v>317</v>
      </c>
      <c r="G6" s="5">
        <v>331</v>
      </c>
      <c r="H6" s="41" t="s">
        <v>318</v>
      </c>
      <c r="K6" s="16"/>
    </row>
    <row r="7" spans="1:11" x14ac:dyDescent="0.3">
      <c r="B7" s="43">
        <v>41731</v>
      </c>
      <c r="C7" s="2" t="s">
        <v>11</v>
      </c>
      <c r="D7" s="28" t="s">
        <v>121</v>
      </c>
      <c r="E7" s="30">
        <v>141</v>
      </c>
      <c r="F7" s="30">
        <v>143.5</v>
      </c>
      <c r="G7" s="30">
        <v>2127</v>
      </c>
      <c r="H7" s="41" t="s">
        <v>326</v>
      </c>
      <c r="K7" s="16"/>
    </row>
    <row r="8" spans="1:11" x14ac:dyDescent="0.3">
      <c r="B8" s="43">
        <v>41732</v>
      </c>
      <c r="C8" s="2" t="s">
        <v>8</v>
      </c>
      <c r="D8" s="28" t="s">
        <v>31</v>
      </c>
      <c r="E8" s="30">
        <v>955</v>
      </c>
      <c r="F8" s="30">
        <v>941</v>
      </c>
      <c r="G8" s="30">
        <v>314</v>
      </c>
      <c r="H8" s="30">
        <v>4710</v>
      </c>
      <c r="K8" s="16"/>
    </row>
    <row r="9" spans="1:11" x14ac:dyDescent="0.3">
      <c r="B9" s="43">
        <v>41733</v>
      </c>
      <c r="C9" s="2" t="s">
        <v>9</v>
      </c>
      <c r="D9" s="28" t="s">
        <v>331</v>
      </c>
      <c r="E9" s="30">
        <v>552</v>
      </c>
      <c r="F9" s="30">
        <v>548</v>
      </c>
      <c r="G9" s="30">
        <v>543</v>
      </c>
      <c r="H9" s="30">
        <v>-2172</v>
      </c>
      <c r="K9" s="16"/>
    </row>
    <row r="10" spans="1:11" x14ac:dyDescent="0.3">
      <c r="B10" s="43">
        <v>41736</v>
      </c>
      <c r="C10" s="2" t="s">
        <v>8</v>
      </c>
      <c r="D10" s="28" t="s">
        <v>146</v>
      </c>
      <c r="E10" s="30">
        <v>121</v>
      </c>
      <c r="F10" s="30">
        <v>119.1</v>
      </c>
      <c r="G10" s="30">
        <v>2479</v>
      </c>
      <c r="H10" s="30">
        <v>4710</v>
      </c>
      <c r="K10" s="16"/>
    </row>
    <row r="11" spans="1:11" x14ac:dyDescent="0.3">
      <c r="B11" s="43">
        <v>41738</v>
      </c>
      <c r="C11" s="2" t="s">
        <v>8</v>
      </c>
      <c r="D11" s="28" t="s">
        <v>90</v>
      </c>
      <c r="E11" s="30">
        <v>1753</v>
      </c>
      <c r="F11" s="30">
        <v>1740</v>
      </c>
      <c r="G11" s="30">
        <v>171</v>
      </c>
      <c r="H11" s="30">
        <v>2223</v>
      </c>
      <c r="K11" s="16"/>
    </row>
    <row r="12" spans="1:11" x14ac:dyDescent="0.3">
      <c r="B12" s="43">
        <v>41739</v>
      </c>
      <c r="C12" s="2" t="s">
        <v>8</v>
      </c>
      <c r="D12" s="28" t="s">
        <v>109</v>
      </c>
      <c r="E12" s="30">
        <v>1007</v>
      </c>
      <c r="F12" s="30">
        <v>998</v>
      </c>
      <c r="G12" s="30">
        <v>297</v>
      </c>
      <c r="H12" s="30">
        <v>2673</v>
      </c>
      <c r="K12" s="16"/>
    </row>
    <row r="13" spans="1:11" x14ac:dyDescent="0.3">
      <c r="B13" s="43">
        <v>41740</v>
      </c>
      <c r="C13" s="2" t="s">
        <v>8</v>
      </c>
      <c r="D13" s="28" t="s">
        <v>29</v>
      </c>
      <c r="E13" s="30">
        <v>1365</v>
      </c>
      <c r="F13" s="30">
        <v>1377</v>
      </c>
      <c r="G13" s="30">
        <v>219</v>
      </c>
      <c r="H13" s="30">
        <v>-2628</v>
      </c>
      <c r="K13" s="16"/>
    </row>
    <row r="14" spans="1:11" x14ac:dyDescent="0.3">
      <c r="B14" s="43">
        <v>41744</v>
      </c>
      <c r="C14" s="2" t="s">
        <v>8</v>
      </c>
      <c r="D14" s="28" t="s">
        <v>334</v>
      </c>
      <c r="E14" s="30">
        <v>1255</v>
      </c>
      <c r="F14" s="30">
        <v>1231</v>
      </c>
      <c r="G14" s="30">
        <v>239</v>
      </c>
      <c r="H14" s="30">
        <v>5736</v>
      </c>
      <c r="K14" s="16"/>
    </row>
    <row r="15" spans="1:11" x14ac:dyDescent="0.3">
      <c r="B15" s="43">
        <v>41745</v>
      </c>
      <c r="C15" s="2" t="s">
        <v>9</v>
      </c>
      <c r="D15" s="28" t="s">
        <v>106</v>
      </c>
      <c r="E15" s="30">
        <v>374</v>
      </c>
      <c r="F15" s="30">
        <v>381</v>
      </c>
      <c r="G15" s="30">
        <v>802</v>
      </c>
      <c r="H15" s="30">
        <v>5614</v>
      </c>
      <c r="K15" s="16"/>
    </row>
    <row r="16" spans="1:11" x14ac:dyDescent="0.3">
      <c r="B16" s="43">
        <v>41745</v>
      </c>
      <c r="C16" s="2" t="s">
        <v>8</v>
      </c>
      <c r="D16" s="28" t="s">
        <v>175</v>
      </c>
      <c r="E16" s="30">
        <v>549</v>
      </c>
      <c r="F16" s="30">
        <v>547</v>
      </c>
      <c r="G16" s="30">
        <v>546</v>
      </c>
      <c r="H16" s="30">
        <v>1092</v>
      </c>
      <c r="K16" s="16"/>
    </row>
    <row r="17" spans="2:11" x14ac:dyDescent="0.3">
      <c r="B17" s="43">
        <v>41746</v>
      </c>
      <c r="C17" s="2" t="s">
        <v>9</v>
      </c>
      <c r="D17" s="28" t="s">
        <v>338</v>
      </c>
      <c r="E17" s="30">
        <v>267</v>
      </c>
      <c r="F17" s="30">
        <v>266.5</v>
      </c>
      <c r="G17" s="30">
        <v>1123</v>
      </c>
      <c r="H17" s="30">
        <v>-561</v>
      </c>
      <c r="K17" s="16"/>
    </row>
    <row r="18" spans="2:11" x14ac:dyDescent="0.3">
      <c r="B18" s="43">
        <v>41750</v>
      </c>
      <c r="C18" s="2" t="s">
        <v>9</v>
      </c>
      <c r="D18" s="28" t="s">
        <v>121</v>
      </c>
      <c r="E18" s="30">
        <v>141</v>
      </c>
      <c r="F18" s="30">
        <v>143</v>
      </c>
      <c r="G18" s="30">
        <v>2127</v>
      </c>
      <c r="H18" s="30">
        <v>4254</v>
      </c>
      <c r="K18" s="16"/>
    </row>
    <row r="19" spans="2:11" x14ac:dyDescent="0.3">
      <c r="B19" s="43">
        <v>41751</v>
      </c>
      <c r="C19" s="2" t="s">
        <v>8</v>
      </c>
      <c r="D19" s="28" t="s">
        <v>48</v>
      </c>
      <c r="E19" s="30">
        <v>781</v>
      </c>
      <c r="F19" s="30">
        <v>775</v>
      </c>
      <c r="G19" s="30">
        <v>384</v>
      </c>
      <c r="H19" s="30">
        <v>2304</v>
      </c>
      <c r="K19" s="16"/>
    </row>
    <row r="20" spans="2:11" x14ac:dyDescent="0.3">
      <c r="B20" s="43">
        <v>41752</v>
      </c>
      <c r="C20" s="2" t="s">
        <v>8</v>
      </c>
      <c r="D20" s="28" t="s">
        <v>114</v>
      </c>
      <c r="E20" s="30">
        <v>1125</v>
      </c>
      <c r="F20" s="30">
        <v>1115</v>
      </c>
      <c r="G20" s="30">
        <v>266</v>
      </c>
      <c r="H20" s="30">
        <v>2660</v>
      </c>
      <c r="K20" s="16"/>
    </row>
    <row r="21" spans="2:11" x14ac:dyDescent="0.3">
      <c r="B21" s="43">
        <v>41754</v>
      </c>
      <c r="C21" s="30" t="s">
        <v>8</v>
      </c>
      <c r="D21" s="30" t="s">
        <v>48</v>
      </c>
      <c r="E21" s="30">
        <v>818</v>
      </c>
      <c r="F21" s="30">
        <v>807</v>
      </c>
      <c r="G21" s="30">
        <v>366</v>
      </c>
      <c r="H21" s="30">
        <v>4026</v>
      </c>
      <c r="K21" s="16"/>
    </row>
    <row r="22" spans="2:11" x14ac:dyDescent="0.3">
      <c r="B22" s="43">
        <v>41757</v>
      </c>
      <c r="C22" s="28" t="s">
        <v>8</v>
      </c>
      <c r="D22" s="28" t="s">
        <v>13</v>
      </c>
      <c r="E22" s="30">
        <v>525</v>
      </c>
      <c r="F22" s="30">
        <v>523.70000000000005</v>
      </c>
      <c r="G22" s="30">
        <v>571</v>
      </c>
      <c r="H22" s="30">
        <v>742</v>
      </c>
      <c r="K22" s="16"/>
    </row>
    <row r="23" spans="2:11" x14ac:dyDescent="0.3">
      <c r="B23" s="43">
        <v>41758</v>
      </c>
      <c r="C23" s="28" t="s">
        <v>8</v>
      </c>
      <c r="D23" s="30" t="s">
        <v>137</v>
      </c>
      <c r="E23" s="30">
        <v>567</v>
      </c>
      <c r="F23" s="30">
        <v>562</v>
      </c>
      <c r="G23" s="30">
        <v>529</v>
      </c>
      <c r="H23" s="30">
        <v>2645</v>
      </c>
      <c r="K23" s="16"/>
    </row>
    <row r="24" spans="2:11" x14ac:dyDescent="0.3">
      <c r="B24" s="43">
        <v>41759</v>
      </c>
      <c r="C24" s="28" t="s">
        <v>8</v>
      </c>
      <c r="D24" s="30" t="s">
        <v>345</v>
      </c>
      <c r="E24" s="30">
        <v>1918</v>
      </c>
      <c r="F24" s="30">
        <v>1902</v>
      </c>
      <c r="G24" s="30">
        <v>156</v>
      </c>
      <c r="H24" s="30">
        <v>2496</v>
      </c>
      <c r="K24" s="16"/>
    </row>
    <row r="25" spans="2:11" ht="15.6" x14ac:dyDescent="0.3">
      <c r="C25" s="28"/>
      <c r="D25" s="28"/>
      <c r="E25" s="28"/>
      <c r="F25" s="28"/>
      <c r="G25" s="28"/>
      <c r="H25" s="34">
        <v>40524</v>
      </c>
    </row>
    <row r="27" spans="2:11" ht="15.6" x14ac:dyDescent="0.3">
      <c r="B27" s="48" t="s">
        <v>62</v>
      </c>
      <c r="C27" s="48"/>
      <c r="D27" s="48"/>
      <c r="E27" s="48"/>
      <c r="F27" s="48"/>
      <c r="G27" s="48"/>
      <c r="H27" s="48"/>
    </row>
    <row r="28" spans="2:11" x14ac:dyDescent="0.3">
      <c r="B28" s="43">
        <v>41730</v>
      </c>
      <c r="C28" s="2" t="s">
        <v>8</v>
      </c>
      <c r="D28" s="2" t="s">
        <v>299</v>
      </c>
      <c r="E28" s="41" t="s">
        <v>284</v>
      </c>
      <c r="F28" s="40" t="s">
        <v>319</v>
      </c>
      <c r="G28" s="5">
        <v>2000</v>
      </c>
      <c r="H28" s="40" t="s">
        <v>320</v>
      </c>
    </row>
    <row r="29" spans="2:11" x14ac:dyDescent="0.3">
      <c r="B29" s="43">
        <v>41731</v>
      </c>
      <c r="C29" s="30" t="s">
        <v>9</v>
      </c>
      <c r="D29" s="30" t="s">
        <v>184</v>
      </c>
      <c r="E29" s="30">
        <v>569</v>
      </c>
      <c r="F29" s="30">
        <v>573</v>
      </c>
      <c r="G29" s="30">
        <v>500</v>
      </c>
      <c r="H29" s="30">
        <v>2000</v>
      </c>
    </row>
    <row r="30" spans="2:11" x14ac:dyDescent="0.3">
      <c r="B30" s="43">
        <v>41732</v>
      </c>
      <c r="C30" s="30" t="s">
        <v>8</v>
      </c>
      <c r="D30" s="30" t="s">
        <v>30</v>
      </c>
      <c r="E30" s="30">
        <v>373</v>
      </c>
      <c r="F30" s="30">
        <v>368</v>
      </c>
      <c r="G30" s="30">
        <v>1000</v>
      </c>
      <c r="H30" s="30">
        <v>5000</v>
      </c>
    </row>
    <row r="31" spans="2:11" x14ac:dyDescent="0.3">
      <c r="B31" s="43">
        <v>41732</v>
      </c>
      <c r="C31" s="30" t="s">
        <v>9</v>
      </c>
      <c r="D31" s="30" t="s">
        <v>117</v>
      </c>
      <c r="E31" s="30">
        <v>205</v>
      </c>
      <c r="F31" s="30">
        <v>205.5</v>
      </c>
      <c r="G31" s="30">
        <v>2000</v>
      </c>
      <c r="H31" s="30">
        <v>1000</v>
      </c>
    </row>
    <row r="32" spans="2:11" x14ac:dyDescent="0.3">
      <c r="B32" s="43">
        <v>41733</v>
      </c>
      <c r="C32" s="30" t="s">
        <v>9</v>
      </c>
      <c r="D32" s="30" t="s">
        <v>299</v>
      </c>
      <c r="E32" s="30">
        <v>365.5</v>
      </c>
      <c r="F32" s="30">
        <v>369</v>
      </c>
      <c r="G32" s="30">
        <v>2000</v>
      </c>
      <c r="H32" s="30">
        <v>7000</v>
      </c>
    </row>
    <row r="33" spans="2:8" x14ac:dyDescent="0.3">
      <c r="B33" s="43">
        <v>41736</v>
      </c>
      <c r="C33" s="30" t="s">
        <v>8</v>
      </c>
      <c r="D33" s="30" t="s">
        <v>22</v>
      </c>
      <c r="E33" s="30">
        <v>124.5</v>
      </c>
      <c r="F33" s="30">
        <v>123</v>
      </c>
      <c r="G33" s="30">
        <v>4000</v>
      </c>
      <c r="H33" s="30">
        <v>6000</v>
      </c>
    </row>
    <row r="34" spans="2:8" x14ac:dyDescent="0.3">
      <c r="B34" s="43">
        <v>41738</v>
      </c>
      <c r="C34" s="30" t="s">
        <v>8</v>
      </c>
      <c r="D34" s="30" t="s">
        <v>22</v>
      </c>
      <c r="E34" s="30">
        <v>124</v>
      </c>
      <c r="F34" s="30">
        <v>123.5</v>
      </c>
      <c r="G34" s="30">
        <v>4000</v>
      </c>
      <c r="H34" s="30">
        <v>2000</v>
      </c>
    </row>
    <row r="35" spans="2:8" x14ac:dyDescent="0.3">
      <c r="B35" s="43">
        <v>41739</v>
      </c>
      <c r="C35" s="30" t="s">
        <v>8</v>
      </c>
      <c r="D35" s="30" t="s">
        <v>250</v>
      </c>
      <c r="E35" s="30">
        <v>1372</v>
      </c>
      <c r="F35" s="30">
        <v>1384</v>
      </c>
      <c r="G35" s="30">
        <v>250</v>
      </c>
      <c r="H35" s="30">
        <v>-3500</v>
      </c>
    </row>
    <row r="36" spans="2:8" x14ac:dyDescent="0.3">
      <c r="B36" s="43">
        <v>41740</v>
      </c>
      <c r="C36" s="30" t="s">
        <v>9</v>
      </c>
      <c r="D36" s="30" t="s">
        <v>299</v>
      </c>
      <c r="E36" s="30">
        <v>462</v>
      </c>
      <c r="F36" s="30">
        <v>465</v>
      </c>
      <c r="G36" s="30">
        <v>2000</v>
      </c>
      <c r="H36" s="30">
        <v>6000</v>
      </c>
    </row>
    <row r="37" spans="2:8" x14ac:dyDescent="0.3">
      <c r="B37" s="43">
        <v>41744</v>
      </c>
      <c r="C37" s="30" t="s">
        <v>8</v>
      </c>
      <c r="D37" s="30" t="s">
        <v>124</v>
      </c>
      <c r="E37" s="30">
        <v>419</v>
      </c>
      <c r="F37" s="30">
        <v>413</v>
      </c>
      <c r="G37" s="30">
        <v>1000</v>
      </c>
      <c r="H37" s="30">
        <v>6000</v>
      </c>
    </row>
    <row r="38" spans="2:8" x14ac:dyDescent="0.3">
      <c r="B38" s="43">
        <v>41745</v>
      </c>
      <c r="C38" s="30" t="s">
        <v>9</v>
      </c>
      <c r="D38" s="30" t="s">
        <v>26</v>
      </c>
      <c r="E38" s="30">
        <v>167</v>
      </c>
      <c r="F38" s="30">
        <v>165</v>
      </c>
      <c r="G38" s="30">
        <v>2000</v>
      </c>
      <c r="H38" s="30">
        <v>-4000</v>
      </c>
    </row>
    <row r="39" spans="2:8" x14ac:dyDescent="0.3">
      <c r="B39" s="43">
        <v>41746</v>
      </c>
      <c r="C39" s="30" t="s">
        <v>8</v>
      </c>
      <c r="D39" s="30" t="s">
        <v>339</v>
      </c>
      <c r="E39" s="30">
        <v>323</v>
      </c>
      <c r="F39" s="30">
        <v>326</v>
      </c>
      <c r="G39" s="30">
        <v>1000</v>
      </c>
      <c r="H39" s="30">
        <v>-3000</v>
      </c>
    </row>
    <row r="40" spans="2:8" x14ac:dyDescent="0.3">
      <c r="B40" s="43">
        <v>41750</v>
      </c>
      <c r="C40" s="30" t="s">
        <v>8</v>
      </c>
      <c r="D40" s="30" t="s">
        <v>341</v>
      </c>
      <c r="E40" s="30">
        <v>179.5</v>
      </c>
      <c r="F40" s="30">
        <v>178.5</v>
      </c>
      <c r="G40" s="30">
        <v>2000</v>
      </c>
      <c r="H40" s="30">
        <v>2000</v>
      </c>
    </row>
    <row r="41" spans="2:8" x14ac:dyDescent="0.3">
      <c r="B41" s="43">
        <v>41751</v>
      </c>
      <c r="C41" s="30" t="s">
        <v>8</v>
      </c>
      <c r="D41" s="30" t="s">
        <v>290</v>
      </c>
      <c r="E41" s="30">
        <v>191</v>
      </c>
      <c r="F41" s="30">
        <v>189</v>
      </c>
      <c r="G41" s="30">
        <v>4000</v>
      </c>
      <c r="H41" s="30">
        <v>8000</v>
      </c>
    </row>
    <row r="42" spans="2:8" x14ac:dyDescent="0.3">
      <c r="B42" s="43">
        <v>41752</v>
      </c>
      <c r="C42" s="30" t="s">
        <v>8</v>
      </c>
      <c r="D42" s="30" t="s">
        <v>124</v>
      </c>
      <c r="E42" s="30">
        <v>428.5</v>
      </c>
      <c r="F42" s="30">
        <v>423.5</v>
      </c>
      <c r="G42" s="30">
        <v>100</v>
      </c>
      <c r="H42" s="30">
        <v>5000</v>
      </c>
    </row>
    <row r="43" spans="2:8" x14ac:dyDescent="0.3">
      <c r="B43" s="43">
        <v>41754</v>
      </c>
      <c r="C43" s="30" t="s">
        <v>8</v>
      </c>
      <c r="D43" s="28" t="s">
        <v>250</v>
      </c>
      <c r="E43" s="30">
        <v>1323</v>
      </c>
      <c r="F43" s="30">
        <v>1302</v>
      </c>
      <c r="G43" s="30">
        <v>250</v>
      </c>
      <c r="H43" s="30">
        <v>5250</v>
      </c>
    </row>
    <row r="44" spans="2:8" x14ac:dyDescent="0.3">
      <c r="B44" s="43">
        <v>41757</v>
      </c>
      <c r="C44" s="30" t="s">
        <v>8</v>
      </c>
      <c r="D44" s="30" t="s">
        <v>124</v>
      </c>
      <c r="E44" s="30">
        <v>423</v>
      </c>
      <c r="F44" s="30">
        <v>420.5</v>
      </c>
      <c r="G44" s="30">
        <v>1000</v>
      </c>
      <c r="H44" s="30">
        <v>2500</v>
      </c>
    </row>
    <row r="45" spans="2:8" x14ac:dyDescent="0.3">
      <c r="B45" s="43">
        <v>41758</v>
      </c>
      <c r="C45" s="30" t="s">
        <v>8</v>
      </c>
      <c r="D45" s="30" t="s">
        <v>124</v>
      </c>
      <c r="E45" s="30">
        <v>419</v>
      </c>
      <c r="F45" s="30">
        <v>413</v>
      </c>
      <c r="G45" s="30">
        <v>1000</v>
      </c>
      <c r="H45" s="30">
        <v>6000</v>
      </c>
    </row>
    <row r="46" spans="2:8" x14ac:dyDescent="0.3">
      <c r="B46" s="43">
        <v>41759</v>
      </c>
      <c r="C46" s="30" t="s">
        <v>8</v>
      </c>
      <c r="D46" s="30" t="s">
        <v>124</v>
      </c>
      <c r="E46" s="30">
        <v>419</v>
      </c>
      <c r="F46" s="30">
        <v>413</v>
      </c>
      <c r="G46" s="30">
        <v>1000</v>
      </c>
      <c r="H46" s="30">
        <v>6000</v>
      </c>
    </row>
    <row r="47" spans="2:8" ht="15.6" x14ac:dyDescent="0.3">
      <c r="B47" s="43"/>
      <c r="C47" s="30"/>
      <c r="D47" s="30"/>
      <c r="E47" s="30"/>
      <c r="F47" s="30"/>
      <c r="G47" s="30"/>
      <c r="H47" s="33">
        <v>59250</v>
      </c>
    </row>
    <row r="48" spans="2:8" ht="15.6" x14ac:dyDescent="0.3">
      <c r="B48" s="1"/>
      <c r="H48" s="34"/>
    </row>
    <row r="49" spans="2:10" x14ac:dyDescent="0.3">
      <c r="B49" s="1"/>
    </row>
    <row r="50" spans="2:10" ht="15.6" x14ac:dyDescent="0.3">
      <c r="B50" s="48" t="s">
        <v>63</v>
      </c>
      <c r="C50" s="48"/>
      <c r="D50" s="48"/>
      <c r="E50" s="48"/>
      <c r="F50" s="48"/>
      <c r="G50" s="48"/>
      <c r="H50" s="48"/>
    </row>
    <row r="51" spans="2:10" x14ac:dyDescent="0.3">
      <c r="B51" s="43">
        <v>41730</v>
      </c>
      <c r="C51" s="2" t="s">
        <v>8</v>
      </c>
      <c r="D51" s="2" t="s">
        <v>39</v>
      </c>
      <c r="E51" s="41" t="s">
        <v>321</v>
      </c>
      <c r="F51" s="40" t="s">
        <v>322</v>
      </c>
      <c r="G51" s="41" t="s">
        <v>217</v>
      </c>
      <c r="H51" s="41" t="s">
        <v>311</v>
      </c>
    </row>
    <row r="52" spans="2:10" x14ac:dyDescent="0.3">
      <c r="B52" s="43">
        <v>41731</v>
      </c>
      <c r="C52" s="30" t="s">
        <v>9</v>
      </c>
      <c r="D52" s="30" t="s">
        <v>39</v>
      </c>
      <c r="E52" s="30">
        <v>6770</v>
      </c>
      <c r="F52" s="30">
        <v>6790</v>
      </c>
      <c r="G52" s="30">
        <v>100</v>
      </c>
      <c r="H52" s="30">
        <v>2000</v>
      </c>
    </row>
    <row r="53" spans="2:10" x14ac:dyDescent="0.3">
      <c r="B53" s="43">
        <v>41732</v>
      </c>
      <c r="C53" s="30" t="s">
        <v>8</v>
      </c>
      <c r="D53" s="30" t="s">
        <v>39</v>
      </c>
      <c r="E53" s="30">
        <v>6765</v>
      </c>
      <c r="F53" s="30">
        <v>6745</v>
      </c>
      <c r="G53" s="30">
        <v>100</v>
      </c>
      <c r="H53" s="30">
        <v>2000</v>
      </c>
    </row>
    <row r="54" spans="2:10" x14ac:dyDescent="0.3">
      <c r="B54" s="43">
        <v>41733</v>
      </c>
      <c r="C54" s="30" t="s">
        <v>8</v>
      </c>
      <c r="D54" s="30" t="s">
        <v>39</v>
      </c>
      <c r="E54" s="30">
        <v>6750</v>
      </c>
      <c r="F54" s="30">
        <v>6735</v>
      </c>
      <c r="G54" s="30">
        <v>100</v>
      </c>
      <c r="H54" s="30">
        <v>1500</v>
      </c>
    </row>
    <row r="55" spans="2:10" x14ac:dyDescent="0.3">
      <c r="B55" s="43">
        <v>41736</v>
      </c>
      <c r="C55" s="30" t="s">
        <v>8</v>
      </c>
      <c r="D55" s="30" t="s">
        <v>39</v>
      </c>
      <c r="E55" s="30">
        <v>6755</v>
      </c>
      <c r="F55" s="30">
        <v>6710</v>
      </c>
      <c r="G55" s="30">
        <v>100</v>
      </c>
      <c r="H55" s="30">
        <v>3500</v>
      </c>
    </row>
    <row r="56" spans="2:10" x14ac:dyDescent="0.3">
      <c r="B56" s="43">
        <v>41738</v>
      </c>
      <c r="C56" s="30" t="s">
        <v>8</v>
      </c>
      <c r="D56" s="30" t="s">
        <v>39</v>
      </c>
      <c r="E56" s="30">
        <v>6760</v>
      </c>
      <c r="F56" s="30">
        <v>6790</v>
      </c>
      <c r="G56" s="30">
        <v>100</v>
      </c>
      <c r="H56" s="30">
        <v>-3000</v>
      </c>
    </row>
    <row r="57" spans="2:10" x14ac:dyDescent="0.3">
      <c r="B57" s="43">
        <v>41739</v>
      </c>
      <c r="C57" s="30" t="s">
        <v>9</v>
      </c>
      <c r="D57" s="30" t="s">
        <v>39</v>
      </c>
      <c r="E57" s="30">
        <v>6830</v>
      </c>
      <c r="F57" s="30">
        <v>6850</v>
      </c>
      <c r="G57" s="30">
        <v>100</v>
      </c>
      <c r="H57" s="30">
        <v>2000</v>
      </c>
    </row>
    <row r="58" spans="2:10" x14ac:dyDescent="0.3">
      <c r="B58" s="43">
        <v>41740</v>
      </c>
      <c r="C58" s="30" t="s">
        <v>8</v>
      </c>
      <c r="D58" s="30" t="s">
        <v>39</v>
      </c>
      <c r="E58" s="30">
        <v>6790</v>
      </c>
      <c r="F58" s="30">
        <v>6810</v>
      </c>
      <c r="G58" s="30">
        <v>100</v>
      </c>
      <c r="H58" s="30">
        <v>-2000</v>
      </c>
      <c r="J58" s="1"/>
    </row>
    <row r="59" spans="2:10" x14ac:dyDescent="0.3">
      <c r="B59" s="43">
        <v>41744</v>
      </c>
      <c r="C59" s="30" t="s">
        <v>8</v>
      </c>
      <c r="D59" s="30" t="s">
        <v>39</v>
      </c>
      <c r="E59" s="30">
        <v>6745</v>
      </c>
      <c r="F59" s="30">
        <v>6765</v>
      </c>
      <c r="G59" s="30">
        <v>100</v>
      </c>
      <c r="H59" s="30">
        <v>-2000</v>
      </c>
      <c r="J59" s="1"/>
    </row>
    <row r="60" spans="2:10" x14ac:dyDescent="0.3">
      <c r="B60" s="43">
        <v>41745</v>
      </c>
      <c r="C60" s="30" t="s">
        <v>9</v>
      </c>
      <c r="D60" s="30" t="s">
        <v>39</v>
      </c>
      <c r="E60" s="30">
        <v>6765</v>
      </c>
      <c r="F60" s="30">
        <v>6740</v>
      </c>
      <c r="G60" s="30">
        <v>100</v>
      </c>
      <c r="H60" s="30">
        <v>-2500</v>
      </c>
      <c r="J60" s="1"/>
    </row>
    <row r="61" spans="2:10" x14ac:dyDescent="0.3">
      <c r="B61" s="43">
        <v>41746</v>
      </c>
      <c r="C61" s="30" t="s">
        <v>8</v>
      </c>
      <c r="D61" s="30" t="s">
        <v>39</v>
      </c>
      <c r="E61" s="30">
        <v>6755</v>
      </c>
      <c r="F61" s="30">
        <v>6775</v>
      </c>
      <c r="G61" s="30">
        <v>100</v>
      </c>
      <c r="H61" s="30">
        <v>2000</v>
      </c>
      <c r="J61" s="1"/>
    </row>
    <row r="62" spans="2:10" x14ac:dyDescent="0.3">
      <c r="B62" s="43">
        <v>41750</v>
      </c>
      <c r="C62" s="30" t="s">
        <v>8</v>
      </c>
      <c r="D62" s="30" t="s">
        <v>39</v>
      </c>
      <c r="E62" s="30">
        <v>6815</v>
      </c>
      <c r="F62" s="30">
        <v>6835</v>
      </c>
      <c r="G62" s="30">
        <v>100</v>
      </c>
      <c r="H62" s="30">
        <v>2000</v>
      </c>
      <c r="J62" s="1"/>
    </row>
    <row r="63" spans="2:10" x14ac:dyDescent="0.3">
      <c r="B63" s="43">
        <v>41751</v>
      </c>
      <c r="C63" s="30" t="s">
        <v>8</v>
      </c>
      <c r="D63" s="30" t="s">
        <v>39</v>
      </c>
      <c r="E63" s="30">
        <v>6840</v>
      </c>
      <c r="F63" s="30">
        <v>6820</v>
      </c>
      <c r="G63" s="30">
        <v>100</v>
      </c>
      <c r="H63" s="30">
        <v>2000</v>
      </c>
      <c r="J63" s="1"/>
    </row>
    <row r="64" spans="2:10" x14ac:dyDescent="0.3">
      <c r="B64" s="43">
        <v>41752</v>
      </c>
      <c r="C64" s="30" t="s">
        <v>9</v>
      </c>
      <c r="D64" s="30" t="s">
        <v>39</v>
      </c>
      <c r="E64" s="30">
        <v>6845</v>
      </c>
      <c r="F64" s="30">
        <v>6855</v>
      </c>
      <c r="G64" s="30">
        <v>100</v>
      </c>
      <c r="H64" s="30">
        <v>1000</v>
      </c>
      <c r="J64" s="46"/>
    </row>
    <row r="65" spans="2:10" x14ac:dyDescent="0.3">
      <c r="B65" s="43">
        <v>41754</v>
      </c>
      <c r="C65" s="30" t="s">
        <v>8</v>
      </c>
      <c r="D65" s="30" t="s">
        <v>39</v>
      </c>
      <c r="E65" s="30">
        <v>6870</v>
      </c>
      <c r="F65" s="30">
        <v>6726</v>
      </c>
      <c r="G65" s="30">
        <v>100</v>
      </c>
      <c r="H65" s="30">
        <v>4400</v>
      </c>
      <c r="J65" s="46"/>
    </row>
    <row r="66" spans="2:10" x14ac:dyDescent="0.3">
      <c r="B66" s="43">
        <v>41757</v>
      </c>
      <c r="C66" s="30" t="s">
        <v>8</v>
      </c>
      <c r="D66" s="30" t="s">
        <v>39</v>
      </c>
      <c r="E66" s="30">
        <v>6820</v>
      </c>
      <c r="F66" s="30">
        <v>6800</v>
      </c>
      <c r="G66" s="30">
        <v>100</v>
      </c>
      <c r="H66" s="30">
        <v>2000</v>
      </c>
      <c r="J66" s="46"/>
    </row>
    <row r="67" spans="2:10" x14ac:dyDescent="0.3">
      <c r="B67" s="43">
        <v>41758</v>
      </c>
      <c r="C67" s="30" t="s">
        <v>8</v>
      </c>
      <c r="D67" s="30" t="s">
        <v>39</v>
      </c>
      <c r="E67" s="30">
        <v>6870</v>
      </c>
      <c r="F67" s="30">
        <v>6850</v>
      </c>
      <c r="G67" s="30">
        <v>100</v>
      </c>
      <c r="H67" s="30">
        <v>2000</v>
      </c>
      <c r="J67" s="46"/>
    </row>
    <row r="68" spans="2:10" x14ac:dyDescent="0.3">
      <c r="B68" s="43">
        <v>41759</v>
      </c>
      <c r="C68" s="30" t="s">
        <v>8</v>
      </c>
      <c r="D68" s="30" t="s">
        <v>39</v>
      </c>
      <c r="E68" s="30">
        <v>6820</v>
      </c>
      <c r="F68" s="30">
        <v>6778</v>
      </c>
      <c r="G68" s="30">
        <v>100</v>
      </c>
      <c r="H68" s="30">
        <v>4200</v>
      </c>
      <c r="J68" s="46"/>
    </row>
    <row r="69" spans="2:10" ht="15.6" x14ac:dyDescent="0.3">
      <c r="B69" s="43"/>
      <c r="C69" s="30"/>
      <c r="D69" s="30"/>
      <c r="E69" s="30"/>
      <c r="F69" s="30"/>
      <c r="G69" s="30"/>
      <c r="H69" s="34">
        <v>21100</v>
      </c>
      <c r="J69" s="46"/>
    </row>
    <row r="70" spans="2:10" ht="15.6" x14ac:dyDescent="0.3">
      <c r="B70" s="43"/>
      <c r="C70" s="30"/>
      <c r="D70" s="30"/>
      <c r="E70" s="30"/>
      <c r="F70" s="30"/>
      <c r="G70" s="30"/>
      <c r="H70" s="36"/>
      <c r="J70" s="46"/>
    </row>
    <row r="71" spans="2:10" x14ac:dyDescent="0.3">
      <c r="B71" s="43"/>
      <c r="C71" s="28"/>
      <c r="D71" s="30"/>
      <c r="E71" s="28"/>
      <c r="F71" s="28"/>
      <c r="G71" s="28"/>
      <c r="H71" s="28"/>
      <c r="J71" s="47"/>
    </row>
    <row r="72" spans="2:10" ht="15.6" x14ac:dyDescent="0.3">
      <c r="B72" s="48" t="s">
        <v>333</v>
      </c>
      <c r="C72" s="61"/>
      <c r="D72" s="61"/>
      <c r="E72" s="61"/>
      <c r="F72" s="61"/>
      <c r="G72" s="61"/>
      <c r="H72" s="61"/>
      <c r="J72" s="46"/>
    </row>
    <row r="73" spans="2:10" x14ac:dyDescent="0.3">
      <c r="B73" s="43">
        <v>41730</v>
      </c>
      <c r="C73" s="3" t="s">
        <v>9</v>
      </c>
      <c r="D73" s="3" t="s">
        <v>323</v>
      </c>
      <c r="E73" s="40" t="s">
        <v>324</v>
      </c>
      <c r="F73" s="40" t="s">
        <v>325</v>
      </c>
      <c r="G73" s="30">
        <v>1000</v>
      </c>
      <c r="H73" s="8">
        <v>2500</v>
      </c>
      <c r="J73" s="46"/>
    </row>
    <row r="74" spans="2:10" x14ac:dyDescent="0.3">
      <c r="B74" s="43">
        <v>41731</v>
      </c>
      <c r="C74" s="3" t="s">
        <v>9</v>
      </c>
      <c r="D74" s="3" t="s">
        <v>328</v>
      </c>
      <c r="E74" s="40" t="s">
        <v>214</v>
      </c>
      <c r="F74" s="40" t="s">
        <v>232</v>
      </c>
      <c r="G74" s="30">
        <v>200</v>
      </c>
      <c r="H74" s="8">
        <v>2000</v>
      </c>
      <c r="J74" s="46"/>
    </row>
    <row r="75" spans="2:10" x14ac:dyDescent="0.3">
      <c r="B75" s="43">
        <v>41731</v>
      </c>
      <c r="C75" s="3" t="s">
        <v>9</v>
      </c>
      <c r="D75" s="3" t="s">
        <v>327</v>
      </c>
      <c r="E75" s="30">
        <v>15</v>
      </c>
      <c r="F75" s="30">
        <v>14.8</v>
      </c>
      <c r="G75" s="30">
        <v>1000</v>
      </c>
      <c r="H75" s="30">
        <v>-200</v>
      </c>
    </row>
    <row r="76" spans="2:10" x14ac:dyDescent="0.3">
      <c r="B76" s="43">
        <v>41732</v>
      </c>
      <c r="C76" s="3" t="s">
        <v>9</v>
      </c>
      <c r="D76" s="3" t="s">
        <v>330</v>
      </c>
      <c r="E76" s="30">
        <v>8.5</v>
      </c>
      <c r="F76" s="30">
        <v>11</v>
      </c>
      <c r="G76" s="30">
        <v>2000</v>
      </c>
      <c r="H76" s="30">
        <v>5000</v>
      </c>
    </row>
    <row r="77" spans="2:10" x14ac:dyDescent="0.3">
      <c r="B77" s="43">
        <v>41732</v>
      </c>
      <c r="C77" s="30" t="s">
        <v>9</v>
      </c>
      <c r="D77" s="30" t="s">
        <v>329</v>
      </c>
      <c r="E77" s="30">
        <v>105</v>
      </c>
      <c r="F77" s="30">
        <v>123</v>
      </c>
      <c r="G77" s="30">
        <v>200</v>
      </c>
      <c r="H77" s="30">
        <v>3600</v>
      </c>
    </row>
    <row r="78" spans="2:10" x14ac:dyDescent="0.3">
      <c r="B78" s="43">
        <v>41733</v>
      </c>
      <c r="C78" s="30" t="s">
        <v>9</v>
      </c>
      <c r="D78" s="30" t="s">
        <v>329</v>
      </c>
      <c r="E78" s="30">
        <v>105</v>
      </c>
      <c r="F78" s="30">
        <v>115</v>
      </c>
      <c r="G78" s="30">
        <v>200</v>
      </c>
      <c r="H78" s="30">
        <v>2000</v>
      </c>
    </row>
    <row r="79" spans="2:10" x14ac:dyDescent="0.3">
      <c r="B79" s="43">
        <v>41736</v>
      </c>
      <c r="C79" s="30" t="s">
        <v>9</v>
      </c>
      <c r="D79" s="30" t="s">
        <v>329</v>
      </c>
      <c r="E79" s="30">
        <v>103</v>
      </c>
      <c r="F79" s="30">
        <v>125</v>
      </c>
      <c r="G79" s="30">
        <v>200</v>
      </c>
      <c r="H79" s="30">
        <v>4400</v>
      </c>
    </row>
    <row r="80" spans="2:10" x14ac:dyDescent="0.3">
      <c r="B80" s="43">
        <v>41737</v>
      </c>
      <c r="C80" s="30" t="s">
        <v>9</v>
      </c>
      <c r="D80" s="30" t="s">
        <v>329</v>
      </c>
      <c r="E80" s="30">
        <v>85</v>
      </c>
      <c r="F80" s="30">
        <v>70</v>
      </c>
      <c r="G80" s="30">
        <v>200</v>
      </c>
      <c r="H80" s="30">
        <v>-3000</v>
      </c>
    </row>
    <row r="81" spans="2:8" x14ac:dyDescent="0.3">
      <c r="B81" s="43">
        <v>41739</v>
      </c>
      <c r="C81" s="30" t="s">
        <v>9</v>
      </c>
      <c r="D81" s="30" t="s">
        <v>332</v>
      </c>
      <c r="E81" s="30">
        <v>53</v>
      </c>
      <c r="F81" s="30">
        <v>70</v>
      </c>
      <c r="G81" s="30">
        <v>250</v>
      </c>
      <c r="H81" s="30">
        <v>4250</v>
      </c>
    </row>
    <row r="82" spans="2:8" x14ac:dyDescent="0.3">
      <c r="B82" s="43">
        <v>41739</v>
      </c>
      <c r="C82" s="30" t="s">
        <v>9</v>
      </c>
      <c r="D82" s="30" t="s">
        <v>328</v>
      </c>
      <c r="E82" s="30">
        <v>155</v>
      </c>
      <c r="F82" s="30">
        <v>175</v>
      </c>
      <c r="G82" s="30">
        <v>200</v>
      </c>
      <c r="H82" s="30">
        <v>4000</v>
      </c>
    </row>
    <row r="83" spans="2:8" x14ac:dyDescent="0.3">
      <c r="B83" s="43">
        <v>41740</v>
      </c>
      <c r="C83" s="30" t="s">
        <v>9</v>
      </c>
      <c r="D83" s="30" t="s">
        <v>335</v>
      </c>
      <c r="E83" s="30">
        <v>130</v>
      </c>
      <c r="F83" s="30">
        <v>115</v>
      </c>
      <c r="G83" s="30">
        <v>200</v>
      </c>
      <c r="H83" s="30">
        <v>-3000</v>
      </c>
    </row>
    <row r="84" spans="2:8" x14ac:dyDescent="0.3">
      <c r="B84" s="43">
        <v>41744</v>
      </c>
      <c r="C84" s="30" t="s">
        <v>9</v>
      </c>
      <c r="D84" s="30" t="s">
        <v>335</v>
      </c>
      <c r="E84" s="30">
        <v>155</v>
      </c>
      <c r="F84" s="30">
        <v>165</v>
      </c>
      <c r="G84" s="30">
        <v>200</v>
      </c>
      <c r="H84" s="30">
        <v>2000</v>
      </c>
    </row>
    <row r="85" spans="2:8" x14ac:dyDescent="0.3">
      <c r="B85" s="43">
        <v>41745</v>
      </c>
      <c r="C85" s="30" t="s">
        <v>9</v>
      </c>
      <c r="D85" s="30" t="s">
        <v>336</v>
      </c>
      <c r="E85" s="30">
        <v>70</v>
      </c>
      <c r="F85" s="30">
        <v>80</v>
      </c>
      <c r="G85" s="30">
        <v>250</v>
      </c>
      <c r="H85" s="30">
        <v>2500</v>
      </c>
    </row>
    <row r="86" spans="2:8" x14ac:dyDescent="0.3">
      <c r="B86" s="43">
        <v>41745</v>
      </c>
      <c r="C86" s="30" t="s">
        <v>9</v>
      </c>
      <c r="D86" s="30" t="s">
        <v>337</v>
      </c>
      <c r="E86" s="30">
        <v>175</v>
      </c>
      <c r="F86" s="30">
        <v>155</v>
      </c>
      <c r="G86" s="30">
        <v>200</v>
      </c>
      <c r="H86" s="30">
        <v>-4000</v>
      </c>
    </row>
    <row r="87" spans="2:8" x14ac:dyDescent="0.3">
      <c r="B87" s="43">
        <v>41746</v>
      </c>
      <c r="C87" s="30" t="s">
        <v>9</v>
      </c>
      <c r="D87" s="30" t="s">
        <v>340</v>
      </c>
      <c r="E87" s="30">
        <v>14</v>
      </c>
      <c r="F87" s="30">
        <v>10</v>
      </c>
      <c r="G87" s="30">
        <v>500</v>
      </c>
      <c r="H87" s="30">
        <v>-2000</v>
      </c>
    </row>
    <row r="88" spans="2:8" x14ac:dyDescent="0.3">
      <c r="B88" s="43">
        <v>41746</v>
      </c>
      <c r="C88" s="30" t="s">
        <v>9</v>
      </c>
      <c r="D88" s="30" t="s">
        <v>329</v>
      </c>
      <c r="E88" s="30">
        <v>70</v>
      </c>
      <c r="F88" s="30">
        <v>55</v>
      </c>
      <c r="G88" s="30">
        <v>200</v>
      </c>
      <c r="H88" s="30">
        <v>3000</v>
      </c>
    </row>
    <row r="89" spans="2:8" x14ac:dyDescent="0.3">
      <c r="B89" s="43">
        <v>41750</v>
      </c>
      <c r="C89" s="30" t="s">
        <v>9</v>
      </c>
      <c r="D89" s="30" t="s">
        <v>342</v>
      </c>
      <c r="E89" s="30">
        <v>7</v>
      </c>
      <c r="F89" s="30">
        <v>9</v>
      </c>
      <c r="G89" s="30">
        <v>1000</v>
      </c>
      <c r="H89" s="30">
        <v>2000</v>
      </c>
    </row>
    <row r="90" spans="2:8" x14ac:dyDescent="0.3">
      <c r="B90" s="43">
        <v>41751</v>
      </c>
      <c r="C90" s="30" t="s">
        <v>9</v>
      </c>
      <c r="D90" s="30" t="s">
        <v>343</v>
      </c>
      <c r="E90" s="30">
        <v>30</v>
      </c>
      <c r="F90" s="30">
        <v>20</v>
      </c>
      <c r="G90" s="30">
        <v>250</v>
      </c>
      <c r="H90" s="30">
        <v>2500</v>
      </c>
    </row>
    <row r="91" spans="2:8" x14ac:dyDescent="0.3">
      <c r="B91" s="43">
        <v>41752</v>
      </c>
      <c r="C91" s="30" t="s">
        <v>9</v>
      </c>
      <c r="D91" s="30" t="s">
        <v>344</v>
      </c>
      <c r="E91" s="30">
        <v>10</v>
      </c>
      <c r="F91" s="30">
        <v>16</v>
      </c>
      <c r="G91" s="30">
        <v>1000</v>
      </c>
      <c r="H91" s="30">
        <v>6000</v>
      </c>
    </row>
    <row r="92" spans="2:8" x14ac:dyDescent="0.3">
      <c r="B92" s="43">
        <v>41754</v>
      </c>
      <c r="C92" s="30" t="s">
        <v>9</v>
      </c>
      <c r="D92" s="30" t="s">
        <v>294</v>
      </c>
      <c r="E92" s="30">
        <v>135</v>
      </c>
      <c r="F92" s="30">
        <v>135</v>
      </c>
      <c r="G92" s="30">
        <v>200</v>
      </c>
      <c r="H92" s="30">
        <v>0</v>
      </c>
    </row>
    <row r="93" spans="2:8" x14ac:dyDescent="0.3">
      <c r="B93" s="43">
        <v>41757</v>
      </c>
      <c r="C93" s="30" t="s">
        <v>9</v>
      </c>
      <c r="D93" s="30" t="s">
        <v>294</v>
      </c>
      <c r="E93" s="30">
        <v>150</v>
      </c>
      <c r="F93" s="30">
        <v>150</v>
      </c>
      <c r="G93" s="30">
        <v>200</v>
      </c>
      <c r="H93" s="30">
        <v>0</v>
      </c>
    </row>
    <row r="94" spans="2:8" x14ac:dyDescent="0.3">
      <c r="B94" s="43">
        <v>41758</v>
      </c>
      <c r="C94" s="30" t="s">
        <v>9</v>
      </c>
      <c r="D94" s="30" t="s">
        <v>294</v>
      </c>
      <c r="E94" s="30">
        <v>160</v>
      </c>
      <c r="F94" s="30">
        <v>175</v>
      </c>
      <c r="G94" s="30">
        <v>200</v>
      </c>
      <c r="H94" s="30">
        <v>3000</v>
      </c>
    </row>
    <row r="95" spans="2:8" x14ac:dyDescent="0.3">
      <c r="B95" s="43">
        <v>41759</v>
      </c>
      <c r="C95" s="30" t="s">
        <v>9</v>
      </c>
      <c r="D95" s="30" t="s">
        <v>294</v>
      </c>
      <c r="E95" s="30">
        <v>140</v>
      </c>
      <c r="F95" s="30">
        <v>170</v>
      </c>
      <c r="G95" s="30">
        <v>200</v>
      </c>
      <c r="H95" s="30">
        <v>6000</v>
      </c>
    </row>
    <row r="96" spans="2:8" x14ac:dyDescent="0.3">
      <c r="B96" s="1">
        <v>41759</v>
      </c>
      <c r="C96" s="28" t="s">
        <v>9</v>
      </c>
      <c r="D96" s="28" t="s">
        <v>346</v>
      </c>
      <c r="E96" s="49">
        <v>115</v>
      </c>
      <c r="F96" s="49">
        <v>140</v>
      </c>
      <c r="G96" s="28">
        <v>250</v>
      </c>
      <c r="H96" s="49" t="s">
        <v>347</v>
      </c>
    </row>
    <row r="97" spans="2:8" ht="15.6" x14ac:dyDescent="0.3">
      <c r="B97" s="1"/>
      <c r="C97" s="28"/>
      <c r="D97" s="28"/>
      <c r="E97" s="28"/>
      <c r="F97" s="28"/>
      <c r="G97" s="28"/>
      <c r="H97" s="34">
        <v>42550</v>
      </c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9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</sheetData>
  <mergeCells count="3">
    <mergeCell ref="B1:H1"/>
    <mergeCell ref="B2:H2"/>
    <mergeCell ref="B3:H3"/>
  </mergeCells>
  <hyperlinks>
    <hyperlink ref="J2" location="'MASTER '!A1" display="Back" xr:uid="{00000000-0004-0000-0C00-000000000000}"/>
  </hyperlinks>
  <pageMargins left="0.7" right="0.7" top="0.75" bottom="0.75" header="0.3" footer="0.3"/>
  <pageSetup orientation="portrait" horizontalDpi="300" verticalDpi="0" r:id="rId1"/>
  <ignoredErrors>
    <ignoredError sqref="E6:F6 H6:H7 E28:H28 E51:H51 E73:F73 E74:F74 H96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W254"/>
  <sheetViews>
    <sheetView topLeftCell="A31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4489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43</v>
      </c>
      <c r="O4" s="386">
        <f>V52</f>
        <v>39</v>
      </c>
      <c r="P4" s="386">
        <f>W52</f>
        <v>4</v>
      </c>
      <c r="Q4" s="387">
        <f>N4-O4-P4</f>
        <v>0</v>
      </c>
      <c r="R4" s="380">
        <f>O4/N4</f>
        <v>0.90697674418604646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45292</v>
      </c>
      <c r="D6" s="158" t="s">
        <v>9</v>
      </c>
      <c r="E6" s="158" t="s">
        <v>117</v>
      </c>
      <c r="F6" s="230">
        <v>545</v>
      </c>
      <c r="G6" s="222">
        <v>549</v>
      </c>
      <c r="H6" s="222">
        <v>4</v>
      </c>
      <c r="I6" s="207">
        <f t="shared" ref="I6:I7" si="0">300000/F6</f>
        <v>550.45871559633031</v>
      </c>
      <c r="J6" s="161">
        <f t="shared" ref="J6" si="1">H6*I6</f>
        <v>2201.8348623853212</v>
      </c>
      <c r="K6" s="153"/>
      <c r="M6" s="394" t="s">
        <v>450</v>
      </c>
      <c r="N6" s="344">
        <f>COUNT(C60:C85)</f>
        <v>24</v>
      </c>
      <c r="O6" s="346">
        <f>V86</f>
        <v>18</v>
      </c>
      <c r="P6" s="346">
        <f>W86</f>
        <v>4</v>
      </c>
      <c r="Q6" s="374">
        <f>N6-O6-P6</f>
        <v>2</v>
      </c>
      <c r="R6" s="376">
        <f t="shared" ref="R6" si="2">O6/N6</f>
        <v>0.75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45292</v>
      </c>
      <c r="D7" s="161" t="s">
        <v>9</v>
      </c>
      <c r="E7" s="161" t="s">
        <v>3515</v>
      </c>
      <c r="F7" s="222">
        <v>2800</v>
      </c>
      <c r="G7" s="231">
        <v>2840</v>
      </c>
      <c r="H7" s="255">
        <v>40</v>
      </c>
      <c r="I7" s="207">
        <f t="shared" si="0"/>
        <v>107.14285714285714</v>
      </c>
      <c r="J7" s="246">
        <f t="shared" ref="J7" si="3">I7*H7</f>
        <v>4285.7142857142853</v>
      </c>
      <c r="K7" s="153"/>
      <c r="M7" s="396"/>
      <c r="N7" s="385"/>
      <c r="O7" s="382"/>
      <c r="P7" s="382"/>
      <c r="Q7" s="383"/>
      <c r="R7" s="384"/>
      <c r="V7" s="25">
        <f t="shared" ref="V7:V51" si="4">IF($J7&gt;0,1,0)</f>
        <v>1</v>
      </c>
      <c r="W7" s="25">
        <f t="shared" ref="W7:W51" si="5">IF($J7&lt;0,1,0)</f>
        <v>0</v>
      </c>
    </row>
    <row r="8" spans="1:23" x14ac:dyDescent="0.3">
      <c r="A8" s="147"/>
      <c r="B8" s="205">
        <f t="shared" ref="B8:B51" si="6">B7+1</f>
        <v>3</v>
      </c>
      <c r="C8" s="206">
        <v>45293</v>
      </c>
      <c r="D8" s="161" t="s">
        <v>9</v>
      </c>
      <c r="E8" s="161" t="s">
        <v>3515</v>
      </c>
      <c r="F8" s="222">
        <v>2815</v>
      </c>
      <c r="G8" s="222">
        <v>2795</v>
      </c>
      <c r="H8" s="222">
        <v>-20</v>
      </c>
      <c r="I8" s="207">
        <f t="shared" ref="I8:I48" si="7">300000/F8</f>
        <v>106.57193605683837</v>
      </c>
      <c r="J8" s="246">
        <f t="shared" ref="J8:J48" si="8">I8*H8</f>
        <v>-2131.4387211367675</v>
      </c>
      <c r="K8" s="153"/>
      <c r="M8" s="394" t="s">
        <v>451</v>
      </c>
      <c r="N8" s="344">
        <f>COUNT(C94:C117)</f>
        <v>23</v>
      </c>
      <c r="O8" s="346">
        <f>V118</f>
        <v>19</v>
      </c>
      <c r="P8" s="346">
        <f>W118</f>
        <v>4</v>
      </c>
      <c r="Q8" s="374">
        <f>N8-O8-P8</f>
        <v>0</v>
      </c>
      <c r="R8" s="376">
        <f t="shared" ref="R8" si="9">O8/N8</f>
        <v>0.82608695652173914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6"/>
        <v>4</v>
      </c>
      <c r="C9" s="206">
        <v>45293</v>
      </c>
      <c r="D9" s="161" t="s">
        <v>8</v>
      </c>
      <c r="E9" s="161" t="s">
        <v>184</v>
      </c>
      <c r="F9" s="222">
        <v>472</v>
      </c>
      <c r="G9" s="231">
        <v>465.65</v>
      </c>
      <c r="H9" s="255">
        <f>472-465.65</f>
        <v>6.3500000000000227</v>
      </c>
      <c r="I9" s="207">
        <f t="shared" si="7"/>
        <v>635.59322033898309</v>
      </c>
      <c r="J9" s="246">
        <f t="shared" si="8"/>
        <v>4036.0169491525571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6"/>
        <v>5</v>
      </c>
      <c r="C10" s="206">
        <v>45294</v>
      </c>
      <c r="D10" s="161" t="s">
        <v>9</v>
      </c>
      <c r="E10" s="161" t="s">
        <v>117</v>
      </c>
      <c r="F10" s="222">
        <v>545</v>
      </c>
      <c r="G10" s="222">
        <v>549</v>
      </c>
      <c r="H10" s="222">
        <v>4</v>
      </c>
      <c r="I10" s="207">
        <f t="shared" si="7"/>
        <v>550.45871559633031</v>
      </c>
      <c r="J10" s="246">
        <f t="shared" si="8"/>
        <v>2201.8348623853212</v>
      </c>
      <c r="K10" s="153"/>
      <c r="M10" s="394" t="s">
        <v>1176</v>
      </c>
      <c r="N10" s="344">
        <f>COUNT(C126:C152)</f>
        <v>24</v>
      </c>
      <c r="O10" s="346">
        <f>V153</f>
        <v>19</v>
      </c>
      <c r="P10" s="346">
        <f>W153</f>
        <v>5</v>
      </c>
      <c r="Q10" s="374">
        <f>N10-O10-P10</f>
        <v>0</v>
      </c>
      <c r="R10" s="376">
        <f t="shared" ref="R10:R16" si="10">O10/N10</f>
        <v>0.79166666666666663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6"/>
        <v>6</v>
      </c>
      <c r="C11" s="206">
        <v>45294</v>
      </c>
      <c r="D11" s="161" t="s">
        <v>9</v>
      </c>
      <c r="E11" s="161" t="s">
        <v>3515</v>
      </c>
      <c r="F11" s="222">
        <v>2800</v>
      </c>
      <c r="G11" s="222">
        <v>2840</v>
      </c>
      <c r="H11" s="255">
        <v>40</v>
      </c>
      <c r="I11" s="207">
        <f t="shared" si="7"/>
        <v>107.14285714285714</v>
      </c>
      <c r="J11" s="246">
        <f t="shared" si="8"/>
        <v>4285.7142857142853</v>
      </c>
      <c r="K11" s="153"/>
      <c r="M11" s="396"/>
      <c r="N11" s="385"/>
      <c r="O11" s="382"/>
      <c r="P11" s="382"/>
      <c r="Q11" s="383"/>
      <c r="R11" s="384"/>
      <c r="V11" s="25">
        <f t="shared" si="4"/>
        <v>1</v>
      </c>
      <c r="W11" s="25">
        <f t="shared" si="5"/>
        <v>0</v>
      </c>
    </row>
    <row r="12" spans="1:23" x14ac:dyDescent="0.3">
      <c r="A12" s="147"/>
      <c r="B12" s="205">
        <f t="shared" si="6"/>
        <v>7</v>
      </c>
      <c r="C12" s="206">
        <v>45295</v>
      </c>
      <c r="D12" s="161" t="s">
        <v>9</v>
      </c>
      <c r="E12" s="161" t="s">
        <v>58</v>
      </c>
      <c r="F12" s="222">
        <v>1112</v>
      </c>
      <c r="G12" s="222">
        <v>1130</v>
      </c>
      <c r="H12" s="222">
        <f>1130-1112</f>
        <v>18</v>
      </c>
      <c r="I12" s="207">
        <f t="shared" si="7"/>
        <v>269.78417266187051</v>
      </c>
      <c r="J12" s="246">
        <f t="shared" si="8"/>
        <v>4856.1151079136689</v>
      </c>
      <c r="K12" s="153"/>
      <c r="M12" s="394" t="s">
        <v>41</v>
      </c>
      <c r="N12" s="344">
        <f>COUNT(C161:C186)</f>
        <v>22</v>
      </c>
      <c r="O12" s="346">
        <f>V187</f>
        <v>19</v>
      </c>
      <c r="P12" s="346">
        <f>W187</f>
        <v>3</v>
      </c>
      <c r="Q12" s="374">
        <f t="shared" ref="Q12" si="11">N12-O12-P12</f>
        <v>0</v>
      </c>
      <c r="R12" s="376">
        <f t="shared" si="10"/>
        <v>0.86363636363636365</v>
      </c>
      <c r="V12" s="25">
        <f t="shared" si="4"/>
        <v>1</v>
      </c>
      <c r="W12" s="25">
        <f t="shared" si="5"/>
        <v>0</v>
      </c>
    </row>
    <row r="13" spans="1:23" x14ac:dyDescent="0.3">
      <c r="A13" s="147"/>
      <c r="B13" s="205">
        <f t="shared" si="6"/>
        <v>8</v>
      </c>
      <c r="C13" s="206">
        <v>45295</v>
      </c>
      <c r="D13" s="161" t="s">
        <v>9</v>
      </c>
      <c r="E13" s="161" t="s">
        <v>3515</v>
      </c>
      <c r="F13" s="222">
        <v>2905</v>
      </c>
      <c r="G13" s="222">
        <v>2912</v>
      </c>
      <c r="H13" s="255">
        <v>7</v>
      </c>
      <c r="I13" s="207">
        <f t="shared" si="7"/>
        <v>103.27022375215147</v>
      </c>
      <c r="J13" s="246">
        <f t="shared" si="8"/>
        <v>722.89156626506031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4"/>
        <v>1</v>
      </c>
      <c r="W13" s="25">
        <f t="shared" si="5"/>
        <v>0</v>
      </c>
    </row>
    <row r="14" spans="1:23" x14ac:dyDescent="0.3">
      <c r="A14" s="147"/>
      <c r="B14" s="205">
        <f t="shared" si="6"/>
        <v>9</v>
      </c>
      <c r="C14" s="206">
        <v>45296</v>
      </c>
      <c r="D14" s="161" t="s">
        <v>9</v>
      </c>
      <c r="E14" s="161" t="s">
        <v>124</v>
      </c>
      <c r="F14" s="222">
        <v>805</v>
      </c>
      <c r="G14" s="222">
        <v>795</v>
      </c>
      <c r="H14" s="222">
        <v>-10</v>
      </c>
      <c r="I14" s="207">
        <f t="shared" si="7"/>
        <v>372.67080745341616</v>
      </c>
      <c r="J14" s="246">
        <f t="shared" si="8"/>
        <v>-3726.7080745341618</v>
      </c>
      <c r="K14" s="153"/>
      <c r="M14" s="394" t="s">
        <v>1175</v>
      </c>
      <c r="N14" s="344">
        <f>COUNT(C195:C220)</f>
        <v>24</v>
      </c>
      <c r="O14" s="346">
        <f>V221</f>
        <v>21</v>
      </c>
      <c r="P14" s="346">
        <f>W221</f>
        <v>3</v>
      </c>
      <c r="Q14" s="374">
        <f t="shared" ref="Q14" si="12">N14-O14-P14</f>
        <v>0</v>
      </c>
      <c r="R14" s="376">
        <f t="shared" si="10"/>
        <v>0.875</v>
      </c>
      <c r="V14" s="25">
        <f t="shared" si="4"/>
        <v>0</v>
      </c>
      <c r="W14" s="25">
        <f t="shared" si="5"/>
        <v>1</v>
      </c>
    </row>
    <row r="15" spans="1:23" x14ac:dyDescent="0.3">
      <c r="A15" s="147"/>
      <c r="B15" s="205">
        <f t="shared" si="6"/>
        <v>10</v>
      </c>
      <c r="C15" s="206">
        <v>45296</v>
      </c>
      <c r="D15" s="161" t="s">
        <v>9</v>
      </c>
      <c r="E15" s="161" t="s">
        <v>58</v>
      </c>
      <c r="F15" s="222">
        <v>1130</v>
      </c>
      <c r="G15" s="222">
        <v>1135.5</v>
      </c>
      <c r="H15" s="222">
        <v>5.5</v>
      </c>
      <c r="I15" s="207">
        <f t="shared" si="7"/>
        <v>265.48672566371681</v>
      </c>
      <c r="J15" s="246">
        <f t="shared" si="8"/>
        <v>1460.1769911504425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6"/>
        <v>11</v>
      </c>
      <c r="C16" s="206">
        <v>45299</v>
      </c>
      <c r="D16" s="161" t="s">
        <v>9</v>
      </c>
      <c r="E16" s="161" t="s">
        <v>3515</v>
      </c>
      <c r="F16" s="222">
        <v>3005</v>
      </c>
      <c r="G16" s="222">
        <v>3025</v>
      </c>
      <c r="H16" s="222">
        <v>20</v>
      </c>
      <c r="I16" s="207">
        <f t="shared" si="7"/>
        <v>99.833610648918466</v>
      </c>
      <c r="J16" s="246">
        <f t="shared" si="8"/>
        <v>1996.6722129783693</v>
      </c>
      <c r="K16" s="153"/>
      <c r="L16" s="25" t="s">
        <v>2008</v>
      </c>
      <c r="M16" s="394" t="s">
        <v>1090</v>
      </c>
      <c r="N16" s="344">
        <f>COUNT(C229:C252)</f>
        <v>22</v>
      </c>
      <c r="O16" s="346">
        <f>V253</f>
        <v>21</v>
      </c>
      <c r="P16" s="346">
        <f>W253</f>
        <v>1</v>
      </c>
      <c r="Q16" s="374">
        <v>0</v>
      </c>
      <c r="R16" s="376">
        <f t="shared" si="10"/>
        <v>0.95454545454545459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6"/>
        <v>12</v>
      </c>
      <c r="C17" s="206">
        <v>45299</v>
      </c>
      <c r="D17" s="161" t="s">
        <v>8</v>
      </c>
      <c r="E17" s="161" t="s">
        <v>3706</v>
      </c>
      <c r="F17" s="222">
        <v>748</v>
      </c>
      <c r="G17" s="222">
        <v>740</v>
      </c>
      <c r="H17" s="222">
        <v>8</v>
      </c>
      <c r="I17" s="207">
        <f t="shared" si="7"/>
        <v>401.06951871657753</v>
      </c>
      <c r="J17" s="246">
        <f t="shared" si="8"/>
        <v>3208.5561497326203</v>
      </c>
      <c r="K17" s="153"/>
      <c r="M17" s="395"/>
      <c r="N17" s="385"/>
      <c r="O17" s="373"/>
      <c r="P17" s="373"/>
      <c r="Q17" s="375"/>
      <c r="R17" s="377"/>
      <c r="V17" s="25">
        <f t="shared" si="4"/>
        <v>1</v>
      </c>
      <c r="W17" s="25">
        <f t="shared" si="5"/>
        <v>0</v>
      </c>
    </row>
    <row r="18" spans="1:23" x14ac:dyDescent="0.3">
      <c r="A18" s="147"/>
      <c r="B18" s="205">
        <f t="shared" si="6"/>
        <v>13</v>
      </c>
      <c r="C18" s="206">
        <v>45300</v>
      </c>
      <c r="D18" s="161" t="s">
        <v>9</v>
      </c>
      <c r="E18" s="161" t="s">
        <v>29</v>
      </c>
      <c r="F18" s="222">
        <v>1470</v>
      </c>
      <c r="G18" s="222">
        <v>1476</v>
      </c>
      <c r="H18" s="222">
        <v>6</v>
      </c>
      <c r="I18" s="207">
        <f t="shared" si="7"/>
        <v>204.08163265306123</v>
      </c>
      <c r="J18" s="246">
        <f t="shared" si="8"/>
        <v>1224.4897959183675</v>
      </c>
      <c r="K18" s="153"/>
      <c r="M18" s="392" t="s">
        <v>946</v>
      </c>
      <c r="N18" s="378">
        <f>SUM(N4:N17)</f>
        <v>182</v>
      </c>
      <c r="O18" s="378">
        <f t="shared" ref="O18:Q18" si="13">SUM(O4:O17)</f>
        <v>156</v>
      </c>
      <c r="P18" s="378">
        <f t="shared" si="13"/>
        <v>24</v>
      </c>
      <c r="Q18" s="378">
        <f t="shared" si="13"/>
        <v>2</v>
      </c>
      <c r="R18" s="380">
        <f t="shared" ref="R18" si="14">O18/N18</f>
        <v>0.8571428571428571</v>
      </c>
      <c r="V18" s="25">
        <f t="shared" si="4"/>
        <v>1</v>
      </c>
      <c r="W18" s="25">
        <f t="shared" si="5"/>
        <v>0</v>
      </c>
    </row>
    <row r="19" spans="1:23" ht="15" thickBot="1" x14ac:dyDescent="0.35">
      <c r="A19" s="147"/>
      <c r="B19" s="205">
        <f t="shared" si="6"/>
        <v>14</v>
      </c>
      <c r="C19" s="206">
        <v>45300</v>
      </c>
      <c r="D19" s="161" t="s">
        <v>8</v>
      </c>
      <c r="E19" s="161" t="s">
        <v>94</v>
      </c>
      <c r="F19" s="222">
        <v>1665</v>
      </c>
      <c r="G19" s="222">
        <v>1650</v>
      </c>
      <c r="H19" s="222">
        <f>1665-1650</f>
        <v>15</v>
      </c>
      <c r="I19" s="207">
        <f t="shared" si="7"/>
        <v>180.18018018018017</v>
      </c>
      <c r="J19" s="246">
        <f t="shared" si="8"/>
        <v>2702.7027027027025</v>
      </c>
      <c r="K19" s="153"/>
      <c r="M19" s="393"/>
      <c r="N19" s="379"/>
      <c r="O19" s="379"/>
      <c r="P19" s="379"/>
      <c r="Q19" s="379"/>
      <c r="R19" s="377"/>
      <c r="V19" s="25">
        <f t="shared" si="4"/>
        <v>1</v>
      </c>
      <c r="W19" s="25">
        <f t="shared" si="5"/>
        <v>0</v>
      </c>
    </row>
    <row r="20" spans="1:23" ht="15" customHeight="1" x14ac:dyDescent="0.3">
      <c r="A20" s="147"/>
      <c r="B20" s="205">
        <f t="shared" si="6"/>
        <v>15</v>
      </c>
      <c r="C20" s="206">
        <v>45301</v>
      </c>
      <c r="D20" s="161" t="s">
        <v>9</v>
      </c>
      <c r="E20" s="161" t="s">
        <v>94</v>
      </c>
      <c r="F20" s="222">
        <v>1650</v>
      </c>
      <c r="G20" s="222">
        <v>1656</v>
      </c>
      <c r="H20" s="222">
        <v>6</v>
      </c>
      <c r="I20" s="207">
        <f t="shared" si="7"/>
        <v>181.81818181818181</v>
      </c>
      <c r="J20" s="246">
        <f t="shared" si="8"/>
        <v>1090.909090909091</v>
      </c>
      <c r="K20" s="153"/>
      <c r="M20" s="316" t="s">
        <v>2253</v>
      </c>
      <c r="N20" s="317"/>
      <c r="O20" s="318"/>
      <c r="P20" s="325">
        <f>R18</f>
        <v>0.8571428571428571</v>
      </c>
      <c r="Q20" s="326"/>
      <c r="R20" s="327"/>
      <c r="V20" s="25">
        <f t="shared" si="4"/>
        <v>1</v>
      </c>
      <c r="W20" s="25">
        <f t="shared" si="5"/>
        <v>0</v>
      </c>
    </row>
    <row r="21" spans="1:23" ht="15" customHeight="1" x14ac:dyDescent="0.3">
      <c r="A21" s="147"/>
      <c r="B21" s="205">
        <f t="shared" si="6"/>
        <v>16</v>
      </c>
      <c r="C21" s="206">
        <v>45301</v>
      </c>
      <c r="D21" s="161" t="s">
        <v>9</v>
      </c>
      <c r="E21" s="161" t="s">
        <v>3515</v>
      </c>
      <c r="F21" s="222">
        <v>3010</v>
      </c>
      <c r="G21" s="222">
        <v>3024</v>
      </c>
      <c r="H21" s="222">
        <f>3024-3010</f>
        <v>14</v>
      </c>
      <c r="I21" s="207">
        <f t="shared" si="7"/>
        <v>99.667774086378742</v>
      </c>
      <c r="J21" s="246">
        <f t="shared" si="8"/>
        <v>1395.3488372093025</v>
      </c>
      <c r="K21" s="153"/>
      <c r="M21" s="319"/>
      <c r="N21" s="320"/>
      <c r="O21" s="321"/>
      <c r="P21" s="328"/>
      <c r="Q21" s="329"/>
      <c r="R21" s="330"/>
      <c r="V21" s="25">
        <f t="shared" si="4"/>
        <v>1</v>
      </c>
      <c r="W21" s="25">
        <f t="shared" si="5"/>
        <v>0</v>
      </c>
    </row>
    <row r="22" spans="1:23" ht="15" customHeight="1" thickBot="1" x14ac:dyDescent="0.35">
      <c r="A22" s="147"/>
      <c r="B22" s="205">
        <f t="shared" si="6"/>
        <v>17</v>
      </c>
      <c r="C22" s="206">
        <v>45302</v>
      </c>
      <c r="D22" s="161" t="s">
        <v>9</v>
      </c>
      <c r="E22" s="161" t="s">
        <v>3515</v>
      </c>
      <c r="F22" s="222">
        <v>3030</v>
      </c>
      <c r="G22" s="222">
        <v>3038</v>
      </c>
      <c r="H22" s="222">
        <v>8</v>
      </c>
      <c r="I22" s="207">
        <f t="shared" si="7"/>
        <v>99.009900990099013</v>
      </c>
      <c r="J22" s="246">
        <f t="shared" si="8"/>
        <v>792.0792079207921</v>
      </c>
      <c r="K22" s="153"/>
      <c r="M22" s="322"/>
      <c r="N22" s="323"/>
      <c r="O22" s="324"/>
      <c r="P22" s="331"/>
      <c r="Q22" s="332"/>
      <c r="R22" s="333"/>
      <c r="V22" s="25">
        <f t="shared" si="4"/>
        <v>1</v>
      </c>
      <c r="W22" s="25">
        <f t="shared" si="5"/>
        <v>0</v>
      </c>
    </row>
    <row r="23" spans="1:23" ht="15" customHeight="1" x14ac:dyDescent="0.3">
      <c r="A23" s="147"/>
      <c r="B23" s="205">
        <f t="shared" si="6"/>
        <v>18</v>
      </c>
      <c r="C23" s="206">
        <v>45302</v>
      </c>
      <c r="D23" s="161" t="s">
        <v>8</v>
      </c>
      <c r="E23" s="161" t="s">
        <v>95</v>
      </c>
      <c r="F23" s="222">
        <v>992</v>
      </c>
      <c r="G23" s="222">
        <v>987.5</v>
      </c>
      <c r="H23" s="222">
        <f>992-987.5</f>
        <v>4.5</v>
      </c>
      <c r="I23" s="207">
        <f t="shared" si="7"/>
        <v>302.41935483870969</v>
      </c>
      <c r="J23" s="246">
        <f t="shared" si="8"/>
        <v>1360.8870967741937</v>
      </c>
      <c r="K23" s="153"/>
      <c r="V23" s="25">
        <f t="shared" si="4"/>
        <v>1</v>
      </c>
      <c r="W23" s="25">
        <f t="shared" si="5"/>
        <v>0</v>
      </c>
    </row>
    <row r="24" spans="1:23" ht="15.75" customHeight="1" x14ac:dyDescent="0.3">
      <c r="A24" s="147"/>
      <c r="B24" s="205">
        <f t="shared" si="6"/>
        <v>19</v>
      </c>
      <c r="C24" s="206">
        <v>45303</v>
      </c>
      <c r="D24" s="161" t="s">
        <v>9</v>
      </c>
      <c r="E24" s="161" t="s">
        <v>19</v>
      </c>
      <c r="F24" s="222">
        <v>624</v>
      </c>
      <c r="G24" s="222">
        <v>632</v>
      </c>
      <c r="H24" s="222">
        <f>632-624</f>
        <v>8</v>
      </c>
      <c r="I24" s="207">
        <f t="shared" si="7"/>
        <v>480.76923076923077</v>
      </c>
      <c r="J24" s="246">
        <f t="shared" si="8"/>
        <v>3846.1538461538462</v>
      </c>
      <c r="K24" s="153"/>
      <c r="V24" s="25">
        <f t="shared" si="4"/>
        <v>1</v>
      </c>
      <c r="W24" s="25">
        <f t="shared" si="5"/>
        <v>0</v>
      </c>
    </row>
    <row r="25" spans="1:23" x14ac:dyDescent="0.3">
      <c r="A25" s="147"/>
      <c r="B25" s="205">
        <f t="shared" si="6"/>
        <v>20</v>
      </c>
      <c r="C25" s="206">
        <v>45303</v>
      </c>
      <c r="D25" s="161" t="s">
        <v>8</v>
      </c>
      <c r="E25" s="161" t="s">
        <v>3515</v>
      </c>
      <c r="F25" s="222">
        <v>3015</v>
      </c>
      <c r="G25" s="222">
        <v>2991</v>
      </c>
      <c r="H25" s="222">
        <f>3015-2991</f>
        <v>24</v>
      </c>
      <c r="I25" s="207">
        <f t="shared" si="7"/>
        <v>99.50248756218906</v>
      </c>
      <c r="J25" s="246">
        <f t="shared" si="8"/>
        <v>2388.0597014925374</v>
      </c>
      <c r="K25" s="153"/>
      <c r="V25" s="25">
        <f t="shared" si="4"/>
        <v>1</v>
      </c>
      <c r="W25" s="25">
        <f t="shared" si="5"/>
        <v>0</v>
      </c>
    </row>
    <row r="26" spans="1:23" x14ac:dyDescent="0.3">
      <c r="A26" s="147"/>
      <c r="B26" s="205">
        <f t="shared" si="6"/>
        <v>21</v>
      </c>
      <c r="C26" s="206">
        <v>45306</v>
      </c>
      <c r="D26" s="161" t="s">
        <v>9</v>
      </c>
      <c r="E26" s="161" t="s">
        <v>94</v>
      </c>
      <c r="F26" s="222">
        <v>1665</v>
      </c>
      <c r="G26" s="222">
        <v>1680</v>
      </c>
      <c r="H26" s="222">
        <f>1680-1665</f>
        <v>15</v>
      </c>
      <c r="I26" s="207">
        <f t="shared" si="7"/>
        <v>180.18018018018017</v>
      </c>
      <c r="J26" s="246">
        <f t="shared" si="8"/>
        <v>2702.7027027027025</v>
      </c>
      <c r="K26" s="153"/>
      <c r="V26" s="25">
        <f t="shared" si="4"/>
        <v>1</v>
      </c>
      <c r="W26" s="25">
        <f t="shared" si="5"/>
        <v>0</v>
      </c>
    </row>
    <row r="27" spans="1:23" x14ac:dyDescent="0.3">
      <c r="A27" s="147"/>
      <c r="B27" s="205">
        <f t="shared" si="6"/>
        <v>22</v>
      </c>
      <c r="C27" s="206">
        <v>45306</v>
      </c>
      <c r="D27" s="161" t="s">
        <v>9</v>
      </c>
      <c r="E27" s="161" t="s">
        <v>189</v>
      </c>
      <c r="F27" s="222">
        <v>201</v>
      </c>
      <c r="G27" s="222">
        <v>202.5</v>
      </c>
      <c r="H27" s="222">
        <v>1.5</v>
      </c>
      <c r="I27" s="207">
        <f t="shared" si="7"/>
        <v>1492.5373134328358</v>
      </c>
      <c r="J27" s="246">
        <f t="shared" si="8"/>
        <v>2238.8059701492539</v>
      </c>
      <c r="K27" s="153"/>
      <c r="V27" s="25">
        <f t="shared" si="4"/>
        <v>1</v>
      </c>
      <c r="W27" s="25">
        <f t="shared" si="5"/>
        <v>0</v>
      </c>
    </row>
    <row r="28" spans="1:23" x14ac:dyDescent="0.3">
      <c r="A28" s="147"/>
      <c r="B28" s="205">
        <f t="shared" si="6"/>
        <v>23</v>
      </c>
      <c r="C28" s="206">
        <v>45307</v>
      </c>
      <c r="D28" s="161" t="s">
        <v>9</v>
      </c>
      <c r="E28" s="161" t="s">
        <v>189</v>
      </c>
      <c r="F28" s="222">
        <v>202</v>
      </c>
      <c r="G28" s="222">
        <v>203.75</v>
      </c>
      <c r="H28" s="222">
        <v>1.75</v>
      </c>
      <c r="I28" s="207">
        <f t="shared" si="7"/>
        <v>1485.1485148514851</v>
      </c>
      <c r="J28" s="246">
        <f t="shared" si="8"/>
        <v>2599.0099009900987</v>
      </c>
      <c r="K28" s="153"/>
      <c r="M28" s="25" t="s">
        <v>2008</v>
      </c>
      <c r="V28" s="25">
        <f t="shared" si="4"/>
        <v>1</v>
      </c>
      <c r="W28" s="25">
        <f t="shared" si="5"/>
        <v>0</v>
      </c>
    </row>
    <row r="29" spans="1:23" x14ac:dyDescent="0.3">
      <c r="A29" s="147"/>
      <c r="B29" s="205">
        <f t="shared" si="6"/>
        <v>24</v>
      </c>
      <c r="C29" s="206">
        <v>45307</v>
      </c>
      <c r="D29" s="161" t="s">
        <v>8</v>
      </c>
      <c r="E29" s="161" t="s">
        <v>3706</v>
      </c>
      <c r="F29" s="222">
        <v>755</v>
      </c>
      <c r="G29" s="222">
        <v>745</v>
      </c>
      <c r="H29" s="222">
        <v>10</v>
      </c>
      <c r="I29" s="207">
        <f t="shared" si="7"/>
        <v>397.35099337748346</v>
      </c>
      <c r="J29" s="246">
        <f t="shared" si="8"/>
        <v>3973.5099337748347</v>
      </c>
      <c r="K29" s="153"/>
      <c r="V29" s="25">
        <f t="shared" si="4"/>
        <v>1</v>
      </c>
      <c r="W29" s="25">
        <f t="shared" si="5"/>
        <v>0</v>
      </c>
    </row>
    <row r="30" spans="1:23" x14ac:dyDescent="0.3">
      <c r="A30" s="147"/>
      <c r="B30" s="205">
        <f t="shared" si="6"/>
        <v>25</v>
      </c>
      <c r="C30" s="206">
        <v>45308</v>
      </c>
      <c r="D30" s="161" t="s">
        <v>8</v>
      </c>
      <c r="E30" s="161" t="s">
        <v>94</v>
      </c>
      <c r="F30" s="222">
        <v>1585</v>
      </c>
      <c r="G30" s="222">
        <v>1555</v>
      </c>
      <c r="H30" s="222">
        <f>1585-1555</f>
        <v>30</v>
      </c>
      <c r="I30" s="207">
        <f t="shared" si="7"/>
        <v>189.2744479495268</v>
      </c>
      <c r="J30" s="246">
        <f t="shared" si="8"/>
        <v>5678.2334384858041</v>
      </c>
      <c r="K30" s="153"/>
      <c r="V30" s="25">
        <f t="shared" si="4"/>
        <v>1</v>
      </c>
      <c r="W30" s="25">
        <f t="shared" si="5"/>
        <v>0</v>
      </c>
    </row>
    <row r="31" spans="1:23" x14ac:dyDescent="0.3">
      <c r="A31" s="147"/>
      <c r="B31" s="205">
        <f t="shared" si="6"/>
        <v>26</v>
      </c>
      <c r="C31" s="206">
        <v>45309</v>
      </c>
      <c r="D31" s="161" t="s">
        <v>9</v>
      </c>
      <c r="E31" s="161" t="s">
        <v>85</v>
      </c>
      <c r="F31" s="223">
        <v>1085</v>
      </c>
      <c r="G31" s="222">
        <v>1092.7</v>
      </c>
      <c r="H31" s="255">
        <f>1092.7-1085</f>
        <v>7.7000000000000455</v>
      </c>
      <c r="I31" s="207">
        <f t="shared" si="7"/>
        <v>276.49769585253455</v>
      </c>
      <c r="J31" s="246">
        <f t="shared" si="8"/>
        <v>2129.0322580645284</v>
      </c>
      <c r="K31" s="153"/>
      <c r="V31" s="25">
        <f t="shared" si="4"/>
        <v>1</v>
      </c>
      <c r="W31" s="25">
        <f t="shared" si="5"/>
        <v>0</v>
      </c>
    </row>
    <row r="32" spans="1:23" x14ac:dyDescent="0.3">
      <c r="A32" s="147"/>
      <c r="B32" s="205">
        <f t="shared" si="6"/>
        <v>27</v>
      </c>
      <c r="C32" s="206">
        <v>45309</v>
      </c>
      <c r="D32" s="161" t="s">
        <v>9</v>
      </c>
      <c r="E32" s="161" t="s">
        <v>3515</v>
      </c>
      <c r="F32" s="222">
        <v>2915</v>
      </c>
      <c r="G32" s="222">
        <v>2955</v>
      </c>
      <c r="H32" s="222">
        <f>2955-2915</f>
        <v>40</v>
      </c>
      <c r="I32" s="207">
        <f t="shared" si="7"/>
        <v>102.91595197255575</v>
      </c>
      <c r="J32" s="246">
        <f t="shared" si="8"/>
        <v>4116.6380789022296</v>
      </c>
      <c r="K32" s="153"/>
      <c r="V32" s="25">
        <f t="shared" si="4"/>
        <v>1</v>
      </c>
      <c r="W32" s="25">
        <f t="shared" si="5"/>
        <v>0</v>
      </c>
    </row>
    <row r="33" spans="1:23" x14ac:dyDescent="0.3">
      <c r="A33" s="147"/>
      <c r="B33" s="205">
        <f t="shared" si="6"/>
        <v>28</v>
      </c>
      <c r="C33" s="206">
        <v>45310</v>
      </c>
      <c r="D33" s="161" t="s">
        <v>9</v>
      </c>
      <c r="E33" s="161" t="s">
        <v>58</v>
      </c>
      <c r="F33" s="223">
        <v>1120</v>
      </c>
      <c r="G33" s="222">
        <v>1126</v>
      </c>
      <c r="H33" s="255">
        <v>6</v>
      </c>
      <c r="I33" s="207">
        <f t="shared" si="7"/>
        <v>267.85714285714283</v>
      </c>
      <c r="J33" s="246">
        <f t="shared" si="8"/>
        <v>1607.1428571428569</v>
      </c>
      <c r="K33" s="153"/>
      <c r="V33" s="25">
        <f t="shared" si="4"/>
        <v>1</v>
      </c>
      <c r="W33" s="25">
        <f t="shared" si="5"/>
        <v>0</v>
      </c>
    </row>
    <row r="34" spans="1:23" x14ac:dyDescent="0.3">
      <c r="A34" s="147"/>
      <c r="B34" s="205">
        <f t="shared" si="6"/>
        <v>29</v>
      </c>
      <c r="C34" s="206">
        <v>45310</v>
      </c>
      <c r="D34" s="161" t="s">
        <v>8</v>
      </c>
      <c r="E34" s="161" t="s">
        <v>94</v>
      </c>
      <c r="F34" s="222">
        <v>1488</v>
      </c>
      <c r="G34" s="222">
        <v>1474</v>
      </c>
      <c r="H34" s="222">
        <f>1488-1474</f>
        <v>14</v>
      </c>
      <c r="I34" s="207">
        <f t="shared" si="7"/>
        <v>201.61290322580646</v>
      </c>
      <c r="J34" s="246">
        <f t="shared" si="8"/>
        <v>2822.5806451612907</v>
      </c>
      <c r="K34" s="153"/>
      <c r="V34" s="25">
        <f t="shared" si="4"/>
        <v>1</v>
      </c>
      <c r="W34" s="25">
        <f t="shared" si="5"/>
        <v>0</v>
      </c>
    </row>
    <row r="35" spans="1:23" x14ac:dyDescent="0.3">
      <c r="A35" s="147"/>
      <c r="B35" s="205">
        <f t="shared" si="6"/>
        <v>30</v>
      </c>
      <c r="C35" s="206">
        <v>45311</v>
      </c>
      <c r="D35" s="161" t="s">
        <v>9</v>
      </c>
      <c r="E35" s="161" t="s">
        <v>105</v>
      </c>
      <c r="F35" s="222">
        <v>465</v>
      </c>
      <c r="G35" s="222">
        <v>470</v>
      </c>
      <c r="H35" s="222">
        <v>5</v>
      </c>
      <c r="I35" s="207">
        <f t="shared" si="7"/>
        <v>645.16129032258061</v>
      </c>
      <c r="J35" s="246">
        <f t="shared" si="8"/>
        <v>3225.8064516129029</v>
      </c>
      <c r="K35" s="153"/>
      <c r="V35" s="25">
        <f t="shared" si="4"/>
        <v>1</v>
      </c>
      <c r="W35" s="25">
        <f t="shared" si="5"/>
        <v>0</v>
      </c>
    </row>
    <row r="36" spans="1:23" x14ac:dyDescent="0.3">
      <c r="A36" s="147"/>
      <c r="B36" s="205">
        <f t="shared" si="6"/>
        <v>31</v>
      </c>
      <c r="C36" s="206">
        <v>45311</v>
      </c>
      <c r="D36" s="161" t="s">
        <v>8</v>
      </c>
      <c r="E36" s="161" t="s">
        <v>3515</v>
      </c>
      <c r="F36" s="222">
        <v>3000</v>
      </c>
      <c r="G36" s="222">
        <v>2991</v>
      </c>
      <c r="H36" s="222">
        <f>3000-2991</f>
        <v>9</v>
      </c>
      <c r="I36" s="207">
        <f t="shared" si="7"/>
        <v>100</v>
      </c>
      <c r="J36" s="246">
        <f t="shared" si="8"/>
        <v>900</v>
      </c>
      <c r="K36" s="153"/>
      <c r="V36" s="25">
        <f t="shared" si="4"/>
        <v>1</v>
      </c>
      <c r="W36" s="25">
        <f t="shared" si="5"/>
        <v>0</v>
      </c>
    </row>
    <row r="37" spans="1:23" x14ac:dyDescent="0.3">
      <c r="A37" s="147"/>
      <c r="B37" s="205">
        <f t="shared" si="6"/>
        <v>32</v>
      </c>
      <c r="C37" s="206">
        <v>45314</v>
      </c>
      <c r="D37" s="161" t="s">
        <v>8</v>
      </c>
      <c r="E37" s="161" t="s">
        <v>3515</v>
      </c>
      <c r="F37" s="222">
        <v>2965</v>
      </c>
      <c r="G37" s="222">
        <v>2915</v>
      </c>
      <c r="H37" s="222">
        <f>2965-2915</f>
        <v>50</v>
      </c>
      <c r="I37" s="207">
        <f t="shared" si="7"/>
        <v>101.1804384485666</v>
      </c>
      <c r="J37" s="246">
        <f t="shared" si="8"/>
        <v>5059.0219224283301</v>
      </c>
      <c r="K37" s="153"/>
      <c r="V37" s="25">
        <f t="shared" si="4"/>
        <v>1</v>
      </c>
      <c r="W37" s="25">
        <f t="shared" si="5"/>
        <v>0</v>
      </c>
    </row>
    <row r="38" spans="1:23" x14ac:dyDescent="0.3">
      <c r="A38" s="147"/>
      <c r="B38" s="205">
        <f t="shared" si="6"/>
        <v>33</v>
      </c>
      <c r="C38" s="206">
        <v>45314</v>
      </c>
      <c r="D38" s="161" t="s">
        <v>8</v>
      </c>
      <c r="E38" s="161" t="s">
        <v>94</v>
      </c>
      <c r="F38" s="222">
        <v>1445</v>
      </c>
      <c r="G38" s="222">
        <v>1425</v>
      </c>
      <c r="H38" s="222">
        <v>20</v>
      </c>
      <c r="I38" s="207">
        <f t="shared" si="7"/>
        <v>207.61245674740485</v>
      </c>
      <c r="J38" s="246">
        <f t="shared" si="8"/>
        <v>4152.249134948097</v>
      </c>
      <c r="K38" s="153"/>
      <c r="V38" s="25">
        <f t="shared" si="4"/>
        <v>1</v>
      </c>
      <c r="W38" s="25">
        <f t="shared" si="5"/>
        <v>0</v>
      </c>
    </row>
    <row r="39" spans="1:23" x14ac:dyDescent="0.3">
      <c r="A39" s="147"/>
      <c r="B39" s="205">
        <f t="shared" si="6"/>
        <v>34</v>
      </c>
      <c r="C39" s="206">
        <v>45315</v>
      </c>
      <c r="D39" s="161" t="s">
        <v>9</v>
      </c>
      <c r="E39" s="161" t="s">
        <v>4047</v>
      </c>
      <c r="F39" s="222">
        <v>361</v>
      </c>
      <c r="G39" s="222">
        <v>369</v>
      </c>
      <c r="H39" s="222">
        <v>8</v>
      </c>
      <c r="I39" s="207">
        <f t="shared" si="7"/>
        <v>831.02493074792244</v>
      </c>
      <c r="J39" s="246">
        <f t="shared" si="8"/>
        <v>6648.1994459833795</v>
      </c>
      <c r="K39" s="153"/>
      <c r="V39" s="25">
        <f t="shared" si="4"/>
        <v>1</v>
      </c>
      <c r="W39" s="25">
        <f t="shared" si="5"/>
        <v>0</v>
      </c>
    </row>
    <row r="40" spans="1:23" x14ac:dyDescent="0.3">
      <c r="A40" s="147"/>
      <c r="B40" s="205">
        <f t="shared" si="6"/>
        <v>35</v>
      </c>
      <c r="C40" s="206">
        <v>45315</v>
      </c>
      <c r="D40" s="161" t="s">
        <v>9</v>
      </c>
      <c r="E40" s="161" t="s">
        <v>95</v>
      </c>
      <c r="F40" s="222">
        <v>1032</v>
      </c>
      <c r="G40" s="222">
        <v>1022</v>
      </c>
      <c r="H40" s="222">
        <v>10</v>
      </c>
      <c r="I40" s="207">
        <f t="shared" si="7"/>
        <v>290.69767441860466</v>
      </c>
      <c r="J40" s="246">
        <f t="shared" si="8"/>
        <v>2906.9767441860467</v>
      </c>
      <c r="K40" s="153"/>
      <c r="V40" s="25">
        <f t="shared" si="4"/>
        <v>1</v>
      </c>
      <c r="W40" s="25">
        <f t="shared" si="5"/>
        <v>0</v>
      </c>
    </row>
    <row r="41" spans="1:23" x14ac:dyDescent="0.3">
      <c r="A41" s="147"/>
      <c r="B41" s="205">
        <f t="shared" si="6"/>
        <v>36</v>
      </c>
      <c r="C41" s="206">
        <v>45316</v>
      </c>
      <c r="D41" s="161" t="s">
        <v>9</v>
      </c>
      <c r="E41" s="161" t="s">
        <v>132</v>
      </c>
      <c r="F41" s="222">
        <v>650</v>
      </c>
      <c r="G41" s="223">
        <v>658</v>
      </c>
      <c r="H41" s="222">
        <v>8</v>
      </c>
      <c r="I41" s="207">
        <f t="shared" si="7"/>
        <v>461.53846153846155</v>
      </c>
      <c r="J41" s="161">
        <f t="shared" si="8"/>
        <v>3692.3076923076924</v>
      </c>
      <c r="K41" s="153"/>
      <c r="V41" s="25">
        <f t="shared" si="4"/>
        <v>1</v>
      </c>
      <c r="W41" s="25">
        <f t="shared" si="5"/>
        <v>0</v>
      </c>
    </row>
    <row r="42" spans="1:23" x14ac:dyDescent="0.3">
      <c r="A42" s="147"/>
      <c r="B42" s="205">
        <f t="shared" si="6"/>
        <v>37</v>
      </c>
      <c r="C42" s="206">
        <v>45316</v>
      </c>
      <c r="D42" s="161" t="s">
        <v>8</v>
      </c>
      <c r="E42" s="161" t="s">
        <v>94</v>
      </c>
      <c r="F42" s="222">
        <v>1440</v>
      </c>
      <c r="G42" s="222">
        <v>1420</v>
      </c>
      <c r="H42" s="222">
        <v>20</v>
      </c>
      <c r="I42" s="207">
        <f t="shared" si="7"/>
        <v>208.33333333333334</v>
      </c>
      <c r="J42" s="161">
        <f t="shared" si="8"/>
        <v>4166.666666666667</v>
      </c>
      <c r="K42" s="153"/>
      <c r="V42" s="25">
        <f t="shared" si="4"/>
        <v>1</v>
      </c>
      <c r="W42" s="25">
        <f t="shared" si="5"/>
        <v>0</v>
      </c>
    </row>
    <row r="43" spans="1:23" x14ac:dyDescent="0.3">
      <c r="A43" s="147"/>
      <c r="B43" s="205">
        <f t="shared" si="6"/>
        <v>38</v>
      </c>
      <c r="C43" s="206">
        <v>45320</v>
      </c>
      <c r="D43" s="161" t="s">
        <v>9</v>
      </c>
      <c r="E43" s="161" t="s">
        <v>58</v>
      </c>
      <c r="F43" s="222">
        <v>1062</v>
      </c>
      <c r="G43" s="222">
        <v>1066</v>
      </c>
      <c r="H43" s="222">
        <v>4</v>
      </c>
      <c r="I43" s="207">
        <f t="shared" si="7"/>
        <v>282.4858757062147</v>
      </c>
      <c r="J43" s="161">
        <f t="shared" si="8"/>
        <v>1129.9435028248588</v>
      </c>
      <c r="K43" s="153"/>
      <c r="V43" s="25">
        <f t="shared" si="4"/>
        <v>1</v>
      </c>
      <c r="W43" s="25">
        <f t="shared" si="5"/>
        <v>0</v>
      </c>
    </row>
    <row r="44" spans="1:23" x14ac:dyDescent="0.3">
      <c r="A44" s="147"/>
      <c r="B44" s="205">
        <f t="shared" si="6"/>
        <v>39</v>
      </c>
      <c r="C44" s="206">
        <v>45320</v>
      </c>
      <c r="D44" s="161" t="s">
        <v>9</v>
      </c>
      <c r="E44" s="161" t="s">
        <v>982</v>
      </c>
      <c r="F44" s="222">
        <v>1185</v>
      </c>
      <c r="G44" s="222">
        <v>1199</v>
      </c>
      <c r="H44" s="222">
        <f>1199-1185</f>
        <v>14</v>
      </c>
      <c r="I44" s="207">
        <f t="shared" si="7"/>
        <v>253.16455696202533</v>
      </c>
      <c r="J44" s="161">
        <f t="shared" si="8"/>
        <v>3544.3037974683548</v>
      </c>
      <c r="K44" s="153"/>
      <c r="V44" s="25">
        <f t="shared" si="4"/>
        <v>1</v>
      </c>
      <c r="W44" s="25">
        <f t="shared" si="5"/>
        <v>0</v>
      </c>
    </row>
    <row r="45" spans="1:23" x14ac:dyDescent="0.3">
      <c r="A45" s="147"/>
      <c r="B45" s="205">
        <f t="shared" si="6"/>
        <v>40</v>
      </c>
      <c r="C45" s="206">
        <v>45321</v>
      </c>
      <c r="D45" s="161" t="s">
        <v>9</v>
      </c>
      <c r="E45" s="161" t="s">
        <v>132</v>
      </c>
      <c r="F45" s="222">
        <v>670</v>
      </c>
      <c r="G45" s="222">
        <v>664</v>
      </c>
      <c r="H45" s="222">
        <v>-6</v>
      </c>
      <c r="I45" s="207">
        <f t="shared" si="7"/>
        <v>447.76119402985074</v>
      </c>
      <c r="J45" s="161">
        <f t="shared" si="8"/>
        <v>-2686.5671641791046</v>
      </c>
      <c r="K45" s="153"/>
      <c r="V45" s="25">
        <f t="shared" si="4"/>
        <v>0</v>
      </c>
      <c r="W45" s="25">
        <f t="shared" si="5"/>
        <v>1</v>
      </c>
    </row>
    <row r="46" spans="1:23" x14ac:dyDescent="0.3">
      <c r="A46" s="147"/>
      <c r="B46" s="205">
        <f t="shared" si="6"/>
        <v>41</v>
      </c>
      <c r="C46" s="206">
        <v>45321</v>
      </c>
      <c r="D46" s="161" t="s">
        <v>9</v>
      </c>
      <c r="E46" s="161" t="s">
        <v>3515</v>
      </c>
      <c r="F46" s="222">
        <v>3020</v>
      </c>
      <c r="G46" s="222">
        <v>3059</v>
      </c>
      <c r="H46" s="222">
        <f>3059-3020</f>
        <v>39</v>
      </c>
      <c r="I46" s="207">
        <f t="shared" si="7"/>
        <v>99.337748344370866</v>
      </c>
      <c r="J46" s="161">
        <f t="shared" si="8"/>
        <v>3874.1721854304637</v>
      </c>
      <c r="K46" s="153"/>
      <c r="V46" s="25">
        <f t="shared" si="4"/>
        <v>1</v>
      </c>
      <c r="W46" s="25">
        <f t="shared" si="5"/>
        <v>0</v>
      </c>
    </row>
    <row r="47" spans="1:23" x14ac:dyDescent="0.3">
      <c r="A47" s="147"/>
      <c r="B47" s="205">
        <f t="shared" si="6"/>
        <v>42</v>
      </c>
      <c r="C47" s="206">
        <v>45322</v>
      </c>
      <c r="D47" s="161" t="s">
        <v>9</v>
      </c>
      <c r="E47" s="161" t="s">
        <v>94</v>
      </c>
      <c r="F47" s="222">
        <v>1455</v>
      </c>
      <c r="G47" s="222">
        <v>1470</v>
      </c>
      <c r="H47" s="222">
        <f>1470-1455</f>
        <v>15</v>
      </c>
      <c r="I47" s="207">
        <f t="shared" si="7"/>
        <v>206.18556701030928</v>
      </c>
      <c r="J47" s="161">
        <f t="shared" si="8"/>
        <v>3092.7835051546394</v>
      </c>
      <c r="K47" s="153"/>
      <c r="V47" s="25">
        <f t="shared" si="4"/>
        <v>1</v>
      </c>
      <c r="W47" s="25">
        <f t="shared" si="5"/>
        <v>0</v>
      </c>
    </row>
    <row r="48" spans="1:23" x14ac:dyDescent="0.3">
      <c r="A48" s="147"/>
      <c r="B48" s="205">
        <f t="shared" si="6"/>
        <v>43</v>
      </c>
      <c r="C48" s="206">
        <v>45322</v>
      </c>
      <c r="D48" s="161" t="s">
        <v>8</v>
      </c>
      <c r="E48" s="161" t="s">
        <v>95</v>
      </c>
      <c r="F48" s="222">
        <v>1005</v>
      </c>
      <c r="G48" s="222">
        <v>1015</v>
      </c>
      <c r="H48" s="222">
        <v>-10</v>
      </c>
      <c r="I48" s="207">
        <f t="shared" si="7"/>
        <v>298.50746268656718</v>
      </c>
      <c r="J48" s="161">
        <f t="shared" si="8"/>
        <v>-2985.0746268656717</v>
      </c>
      <c r="K48" s="153"/>
      <c r="V48" s="25">
        <f t="shared" si="4"/>
        <v>0</v>
      </c>
      <c r="W48" s="25">
        <f t="shared" si="5"/>
        <v>1</v>
      </c>
    </row>
    <row r="49" spans="1:23" x14ac:dyDescent="0.3">
      <c r="A49" s="147"/>
      <c r="B49" s="205">
        <f t="shared" si="6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4"/>
        <v>0</v>
      </c>
      <c r="W49" s="25">
        <f t="shared" si="5"/>
        <v>0</v>
      </c>
    </row>
    <row r="50" spans="1:23" x14ac:dyDescent="0.3">
      <c r="A50" s="147"/>
      <c r="B50" s="205">
        <f t="shared" si="6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4"/>
        <v>0</v>
      </c>
      <c r="W50" s="25">
        <f t="shared" si="5"/>
        <v>0</v>
      </c>
    </row>
    <row r="51" spans="1:23" ht="15" thickBot="1" x14ac:dyDescent="0.35">
      <c r="A51" s="147"/>
      <c r="B51" s="208">
        <f t="shared" si="6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4"/>
        <v>0</v>
      </c>
      <c r="W51" s="25">
        <f t="shared" si="5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102786.45580014211</v>
      </c>
      <c r="K52" s="153"/>
      <c r="V52" s="25">
        <f>SUM(V6:V51)</f>
        <v>39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4489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45292</v>
      </c>
      <c r="D60" s="161" t="s">
        <v>9</v>
      </c>
      <c r="E60" s="161" t="s">
        <v>2563</v>
      </c>
      <c r="F60" s="222">
        <v>3030</v>
      </c>
      <c r="G60" s="222">
        <v>3049</v>
      </c>
      <c r="H60" s="222">
        <v>19</v>
      </c>
      <c r="I60" s="279">
        <v>300</v>
      </c>
      <c r="J60" s="241">
        <f t="shared" ref="J60:J85" si="15">I60*H60</f>
        <v>5700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45293</v>
      </c>
      <c r="D61" s="161" t="s">
        <v>8</v>
      </c>
      <c r="E61" s="161" t="s">
        <v>84</v>
      </c>
      <c r="F61" s="222">
        <v>10330</v>
      </c>
      <c r="G61" s="222">
        <v>10230</v>
      </c>
      <c r="H61" s="222">
        <v>100</v>
      </c>
      <c r="I61" s="207">
        <v>50</v>
      </c>
      <c r="J61" s="242">
        <f t="shared" si="15"/>
        <v>5000</v>
      </c>
      <c r="K61" s="153"/>
      <c r="O61" s="25" t="s">
        <v>2008</v>
      </c>
      <c r="V61" s="25">
        <f t="shared" ref="V61:V85" si="16">IF($J61&gt;0,1,0)</f>
        <v>1</v>
      </c>
      <c r="W61" s="25">
        <f t="shared" ref="W61:W85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45294</v>
      </c>
      <c r="D62" s="161" t="s">
        <v>9</v>
      </c>
      <c r="E62" s="161" t="s">
        <v>2563</v>
      </c>
      <c r="F62" s="222">
        <v>2955</v>
      </c>
      <c r="G62" s="222">
        <v>3005</v>
      </c>
      <c r="H62" s="222">
        <f>3005-2955</f>
        <v>50</v>
      </c>
      <c r="I62" s="207">
        <v>300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45295</v>
      </c>
      <c r="D63" s="161" t="s">
        <v>9</v>
      </c>
      <c r="E63" s="161" t="s">
        <v>3334</v>
      </c>
      <c r="F63" s="222">
        <v>3300</v>
      </c>
      <c r="G63" s="222">
        <v>3360</v>
      </c>
      <c r="H63" s="222">
        <v>60</v>
      </c>
      <c r="I63" s="207">
        <v>300</v>
      </c>
      <c r="J63" s="242">
        <f>I63*H63</f>
        <v>18000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45296</v>
      </c>
      <c r="D64" s="161" t="s">
        <v>9</v>
      </c>
      <c r="E64" s="161" t="s">
        <v>3562</v>
      </c>
      <c r="F64" s="222">
        <v>6470</v>
      </c>
      <c r="G64" s="222">
        <v>6430</v>
      </c>
      <c r="H64" s="222">
        <v>-40</v>
      </c>
      <c r="I64" s="207">
        <v>100</v>
      </c>
      <c r="J64" s="242">
        <f>I64*H64</f>
        <v>-4000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45299</v>
      </c>
      <c r="D65" s="161" t="s">
        <v>9</v>
      </c>
      <c r="E65" s="161" t="s">
        <v>3562</v>
      </c>
      <c r="F65" s="222">
        <v>6380</v>
      </c>
      <c r="G65" s="222">
        <v>6340</v>
      </c>
      <c r="H65" s="222">
        <v>-40</v>
      </c>
      <c r="I65" s="207">
        <v>100</v>
      </c>
      <c r="J65" s="242">
        <f>I65*H65</f>
        <v>-4000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45300</v>
      </c>
      <c r="D66" s="161" t="s">
        <v>9</v>
      </c>
      <c r="E66" s="161" t="s">
        <v>4303</v>
      </c>
      <c r="F66" s="222">
        <v>5950</v>
      </c>
      <c r="G66" s="222">
        <v>5968</v>
      </c>
      <c r="H66" s="222">
        <f>5968-5950</f>
        <v>18</v>
      </c>
      <c r="I66" s="207">
        <v>150</v>
      </c>
      <c r="J66" s="242">
        <f t="shared" si="15"/>
        <v>2700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45301</v>
      </c>
      <c r="D67" s="161" t="s">
        <v>9</v>
      </c>
      <c r="E67" s="161" t="s">
        <v>299</v>
      </c>
      <c r="F67" s="222">
        <v>3080</v>
      </c>
      <c r="G67" s="222">
        <v>3123</v>
      </c>
      <c r="H67" s="222">
        <f>3123-3080</f>
        <v>43</v>
      </c>
      <c r="I67" s="207">
        <v>300</v>
      </c>
      <c r="J67" s="242">
        <f t="shared" si="15"/>
        <v>12900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45302</v>
      </c>
      <c r="D68" s="161" t="s">
        <v>9</v>
      </c>
      <c r="E68" s="161" t="s">
        <v>3802</v>
      </c>
      <c r="F68" s="222">
        <v>3900</v>
      </c>
      <c r="G68" s="222">
        <v>3940</v>
      </c>
      <c r="H68" s="222">
        <v>40</v>
      </c>
      <c r="I68" s="207">
        <v>175</v>
      </c>
      <c r="J68" s="242">
        <f t="shared" si="15"/>
        <v>7000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45303</v>
      </c>
      <c r="D69" s="161" t="s">
        <v>9</v>
      </c>
      <c r="E69" s="161" t="s">
        <v>3562</v>
      </c>
      <c r="F69" s="222">
        <v>6570</v>
      </c>
      <c r="G69" s="222">
        <v>6610</v>
      </c>
      <c r="H69" s="222">
        <f>6610-6570</f>
        <v>40</v>
      </c>
      <c r="I69" s="207">
        <v>100</v>
      </c>
      <c r="J69" s="242">
        <f t="shared" si="15"/>
        <v>4000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45306</v>
      </c>
      <c r="D70" s="161" t="s">
        <v>9</v>
      </c>
      <c r="E70" s="161" t="s">
        <v>3562</v>
      </c>
      <c r="F70" s="161">
        <v>6390</v>
      </c>
      <c r="G70" s="222">
        <v>6430</v>
      </c>
      <c r="H70" s="222">
        <f>6430-6390</f>
        <v>40</v>
      </c>
      <c r="I70" s="207">
        <v>100</v>
      </c>
      <c r="J70" s="242">
        <f t="shared" si="15"/>
        <v>4000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45307</v>
      </c>
      <c r="D71" s="161" t="s">
        <v>8</v>
      </c>
      <c r="E71" s="161" t="s">
        <v>299</v>
      </c>
      <c r="F71" s="222">
        <v>3090</v>
      </c>
      <c r="G71" s="222">
        <v>3046</v>
      </c>
      <c r="H71" s="222">
        <f>3090-3046</f>
        <v>44</v>
      </c>
      <c r="I71" s="207">
        <v>300</v>
      </c>
      <c r="J71" s="242">
        <f t="shared" si="15"/>
        <v>13200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45308</v>
      </c>
      <c r="D72" s="161" t="s">
        <v>9</v>
      </c>
      <c r="E72" s="161" t="s">
        <v>895</v>
      </c>
      <c r="F72" s="222">
        <v>188</v>
      </c>
      <c r="G72" s="222">
        <v>186.5</v>
      </c>
      <c r="H72" s="222">
        <v>-1.5</v>
      </c>
      <c r="I72" s="207">
        <v>5700</v>
      </c>
      <c r="J72" s="242">
        <f t="shared" si="15"/>
        <v>-8550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45309</v>
      </c>
      <c r="D73" s="161" t="s">
        <v>8</v>
      </c>
      <c r="E73" s="161" t="s">
        <v>2563</v>
      </c>
      <c r="F73" s="222">
        <v>3025</v>
      </c>
      <c r="G73" s="222">
        <v>3015</v>
      </c>
      <c r="H73" s="255">
        <v>10</v>
      </c>
      <c r="I73" s="207">
        <v>300</v>
      </c>
      <c r="J73" s="242">
        <f t="shared" si="15"/>
        <v>3000</v>
      </c>
      <c r="K73" s="153"/>
      <c r="M73" s="25" t="s">
        <v>2008</v>
      </c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64">
        <v>45310</v>
      </c>
      <c r="D74" s="265" t="s">
        <v>9</v>
      </c>
      <c r="E74" s="265" t="s">
        <v>16</v>
      </c>
      <c r="F74" s="277">
        <v>3840</v>
      </c>
      <c r="G74" s="267">
        <v>3810</v>
      </c>
      <c r="H74" s="222">
        <v>-30</v>
      </c>
      <c r="I74" s="207">
        <v>175</v>
      </c>
      <c r="J74" s="242">
        <f t="shared" si="15"/>
        <v>-5250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64">
        <v>45311</v>
      </c>
      <c r="D75" s="265" t="s">
        <v>8</v>
      </c>
      <c r="E75" s="265" t="s">
        <v>422</v>
      </c>
      <c r="F75" s="277">
        <v>1730</v>
      </c>
      <c r="G75" s="267">
        <v>1723.5</v>
      </c>
      <c r="H75" s="222">
        <f>1730-1723.5</f>
        <v>6.5</v>
      </c>
      <c r="I75" s="207">
        <v>500</v>
      </c>
      <c r="J75" s="242">
        <f t="shared" si="15"/>
        <v>3250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45314</v>
      </c>
      <c r="D76" s="161" t="s">
        <v>8</v>
      </c>
      <c r="E76" s="161" t="s">
        <v>3706</v>
      </c>
      <c r="F76" s="222">
        <v>732</v>
      </c>
      <c r="G76" s="222">
        <v>716</v>
      </c>
      <c r="H76" s="222">
        <f>732-716</f>
        <v>16</v>
      </c>
      <c r="I76" s="207">
        <v>1300</v>
      </c>
      <c r="J76" s="242">
        <f t="shared" si="15"/>
        <v>20800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45315</v>
      </c>
      <c r="D77" s="161" t="s">
        <v>8</v>
      </c>
      <c r="E77" s="161" t="s">
        <v>173</v>
      </c>
      <c r="F77" s="222">
        <v>3005</v>
      </c>
      <c r="G77" s="222">
        <v>2980</v>
      </c>
      <c r="H77" s="222">
        <f>3005-2980</f>
        <v>25</v>
      </c>
      <c r="I77" s="207">
        <v>200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45316</v>
      </c>
      <c r="D78" s="161" t="s">
        <v>9</v>
      </c>
      <c r="E78" s="161" t="s">
        <v>3334</v>
      </c>
      <c r="F78" s="223">
        <v>3470</v>
      </c>
      <c r="G78" s="222">
        <v>3486</v>
      </c>
      <c r="H78" s="255">
        <f>3486-3470</f>
        <v>16</v>
      </c>
      <c r="I78" s="207">
        <v>300</v>
      </c>
      <c r="J78" s="242">
        <f t="shared" si="15"/>
        <v>4800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45320</v>
      </c>
      <c r="D79" s="161" t="s">
        <v>9</v>
      </c>
      <c r="E79" s="161" t="s">
        <v>3562</v>
      </c>
      <c r="F79" s="222">
        <v>5920</v>
      </c>
      <c r="G79" s="222">
        <v>5935</v>
      </c>
      <c r="H79" s="222">
        <v>15</v>
      </c>
      <c r="I79" s="207">
        <v>100</v>
      </c>
      <c r="J79" s="242">
        <f t="shared" si="15"/>
        <v>1500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45321</v>
      </c>
      <c r="D80" s="161" t="s">
        <v>9</v>
      </c>
      <c r="E80" s="161" t="s">
        <v>2023</v>
      </c>
      <c r="F80" s="222">
        <v>6940</v>
      </c>
      <c r="G80" s="222">
        <v>6970</v>
      </c>
      <c r="H80" s="222">
        <v>30</v>
      </c>
      <c r="I80" s="207">
        <v>125</v>
      </c>
      <c r="J80" s="242">
        <f t="shared" si="15"/>
        <v>3750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45321</v>
      </c>
      <c r="D81" s="161" t="s">
        <v>9</v>
      </c>
      <c r="E81" s="161" t="s">
        <v>117</v>
      </c>
      <c r="F81" s="222">
        <v>582</v>
      </c>
      <c r="G81" s="222">
        <v>589</v>
      </c>
      <c r="H81" s="222">
        <v>7</v>
      </c>
      <c r="I81" s="207">
        <v>1800</v>
      </c>
      <c r="J81" s="242">
        <f t="shared" si="15"/>
        <v>12600</v>
      </c>
      <c r="K81" s="153"/>
    </row>
    <row r="82" spans="1:23" x14ac:dyDescent="0.3">
      <c r="A82" s="147"/>
      <c r="B82" s="205">
        <f t="shared" si="18"/>
        <v>23</v>
      </c>
      <c r="C82" s="206">
        <v>45322</v>
      </c>
      <c r="D82" s="161" t="s">
        <v>9</v>
      </c>
      <c r="E82" s="161" t="s">
        <v>94</v>
      </c>
      <c r="F82" s="222">
        <v>1455</v>
      </c>
      <c r="G82" s="222">
        <v>1470</v>
      </c>
      <c r="H82" s="222">
        <f>1470-1455</f>
        <v>15</v>
      </c>
      <c r="I82" s="207">
        <v>550</v>
      </c>
      <c r="J82" s="242">
        <f t="shared" si="15"/>
        <v>8250</v>
      </c>
      <c r="K82" s="153"/>
      <c r="V82" s="25">
        <f t="shared" si="16"/>
        <v>1</v>
      </c>
      <c r="W82" s="25">
        <f t="shared" si="17"/>
        <v>0</v>
      </c>
    </row>
    <row r="83" spans="1:23" x14ac:dyDescent="0.3">
      <c r="A83" s="147"/>
      <c r="B83" s="205">
        <v>24</v>
      </c>
      <c r="C83" s="264">
        <v>45322</v>
      </c>
      <c r="D83" s="265" t="s">
        <v>8</v>
      </c>
      <c r="E83" s="265" t="s">
        <v>95</v>
      </c>
      <c r="F83" s="267">
        <v>1005</v>
      </c>
      <c r="G83" s="267">
        <v>1015</v>
      </c>
      <c r="H83" s="267">
        <v>-15</v>
      </c>
      <c r="I83" s="266">
        <v>700</v>
      </c>
      <c r="J83" s="242">
        <f t="shared" si="15"/>
        <v>-10500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5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5"/>
        <v>0</v>
      </c>
      <c r="K85" s="153"/>
      <c r="V85" s="25">
        <f t="shared" si="16"/>
        <v>0</v>
      </c>
      <c r="W85" s="25">
        <f t="shared" si="17"/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118150</v>
      </c>
      <c r="K86" s="153"/>
      <c r="V86" s="25">
        <f>SUM(V60:V85)</f>
        <v>18</v>
      </c>
      <c r="W86" s="25">
        <f>SUM(W60:W85)</f>
        <v>4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4489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45292</v>
      </c>
      <c r="D94" s="185" t="s">
        <v>8</v>
      </c>
      <c r="E94" s="185" t="s">
        <v>39</v>
      </c>
      <c r="F94" s="219">
        <v>21830</v>
      </c>
      <c r="G94" s="219">
        <v>21870</v>
      </c>
      <c r="H94" s="185">
        <v>-40</v>
      </c>
      <c r="I94" s="219">
        <v>150</v>
      </c>
      <c r="J94" s="246">
        <f t="shared" ref="J94:J117" si="19">I94*H94</f>
        <v>-6000</v>
      </c>
      <c r="K94" s="153"/>
      <c r="V94" s="25">
        <f>IF($J94&gt;0,1,0)</f>
        <v>0</v>
      </c>
      <c r="W94" s="25">
        <f>IF($J94&lt;0,1,0)</f>
        <v>1</v>
      </c>
    </row>
    <row r="95" spans="1:23" x14ac:dyDescent="0.3">
      <c r="A95" s="147"/>
      <c r="B95" s="205">
        <f>B94+1</f>
        <v>2</v>
      </c>
      <c r="C95" s="218">
        <v>45293</v>
      </c>
      <c r="D95" s="185" t="s">
        <v>8</v>
      </c>
      <c r="E95" s="185" t="s">
        <v>39</v>
      </c>
      <c r="F95" s="219">
        <v>21730</v>
      </c>
      <c r="G95" s="219">
        <v>21675</v>
      </c>
      <c r="H95" s="185">
        <v>55</v>
      </c>
      <c r="I95" s="219">
        <v>150</v>
      </c>
      <c r="J95" s="242">
        <f t="shared" si="19"/>
        <v>8250</v>
      </c>
      <c r="K95" s="153"/>
      <c r="V95" s="25">
        <f t="shared" ref="V95:V117" si="20">IF($J95&gt;0,1,0)</f>
        <v>1</v>
      </c>
      <c r="W95" s="25">
        <f t="shared" ref="W95:W117" si="21">IF($J95&lt;0,1,0)</f>
        <v>0</v>
      </c>
    </row>
    <row r="96" spans="1:23" x14ac:dyDescent="0.3">
      <c r="A96" s="147"/>
      <c r="B96" s="205">
        <f t="shared" ref="B96:B115" si="22">B95+1</f>
        <v>3</v>
      </c>
      <c r="C96" s="206">
        <v>45294</v>
      </c>
      <c r="D96" s="161" t="s">
        <v>8</v>
      </c>
      <c r="E96" s="161" t="s">
        <v>39</v>
      </c>
      <c r="F96" s="207">
        <v>21670</v>
      </c>
      <c r="G96" s="207">
        <v>21610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4</v>
      </c>
      <c r="C97" s="206">
        <v>45295</v>
      </c>
      <c r="D97" s="161" t="s">
        <v>9</v>
      </c>
      <c r="E97" s="161" t="s">
        <v>39</v>
      </c>
      <c r="F97" s="207">
        <v>21690</v>
      </c>
      <c r="G97" s="207">
        <v>21770</v>
      </c>
      <c r="H97" s="161">
        <f>21770-21690</f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5</v>
      </c>
      <c r="C98" s="206">
        <v>45296</v>
      </c>
      <c r="D98" s="161" t="s">
        <v>9</v>
      </c>
      <c r="E98" s="161" t="s">
        <v>39</v>
      </c>
      <c r="F98" s="207">
        <v>21800</v>
      </c>
      <c r="G98" s="207">
        <v>21760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6</v>
      </c>
      <c r="C99" s="206">
        <v>45299</v>
      </c>
      <c r="D99" s="161" t="s">
        <v>8</v>
      </c>
      <c r="E99" s="161" t="s">
        <v>39</v>
      </c>
      <c r="F99" s="207">
        <v>21740</v>
      </c>
      <c r="G99" s="207">
        <v>21700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7</v>
      </c>
      <c r="C100" s="206">
        <v>45300</v>
      </c>
      <c r="D100" s="161" t="s">
        <v>8</v>
      </c>
      <c r="E100" s="161" t="s">
        <v>39</v>
      </c>
      <c r="F100" s="207">
        <v>21700</v>
      </c>
      <c r="G100" s="207">
        <v>21665</v>
      </c>
      <c r="H100" s="161">
        <v>35</v>
      </c>
      <c r="I100" s="207">
        <v>150</v>
      </c>
      <c r="J100" s="242">
        <f t="shared" si="19"/>
        <v>5250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8</v>
      </c>
      <c r="C101" s="206">
        <v>45301</v>
      </c>
      <c r="D101" s="161" t="s">
        <v>9</v>
      </c>
      <c r="E101" s="161" t="s">
        <v>39</v>
      </c>
      <c r="F101" s="207">
        <v>21600</v>
      </c>
      <c r="G101" s="207">
        <v>21632</v>
      </c>
      <c r="H101" s="161">
        <v>32</v>
      </c>
      <c r="I101" s="207">
        <v>150</v>
      </c>
      <c r="J101" s="242">
        <f t="shared" si="19"/>
        <v>4800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9</v>
      </c>
      <c r="C102" s="206">
        <v>45302</v>
      </c>
      <c r="D102" s="161" t="s">
        <v>8</v>
      </c>
      <c r="E102" s="161" t="s">
        <v>39</v>
      </c>
      <c r="F102" s="207">
        <v>21720</v>
      </c>
      <c r="G102" s="207">
        <v>21640</v>
      </c>
      <c r="H102" s="161">
        <f>21720-21640</f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10</v>
      </c>
      <c r="C103" s="206">
        <v>45303</v>
      </c>
      <c r="D103" s="161" t="s">
        <v>9</v>
      </c>
      <c r="E103" s="161" t="s">
        <v>39</v>
      </c>
      <c r="F103" s="207">
        <v>21870</v>
      </c>
      <c r="G103" s="207">
        <v>21950</v>
      </c>
      <c r="H103" s="161">
        <f>21950-21870</f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11</v>
      </c>
      <c r="C104" s="206">
        <v>45306</v>
      </c>
      <c r="D104" s="161" t="s">
        <v>9</v>
      </c>
      <c r="E104" s="161" t="s">
        <v>39</v>
      </c>
      <c r="F104" s="207">
        <v>22030</v>
      </c>
      <c r="G104" s="207">
        <v>22110</v>
      </c>
      <c r="H104" s="161">
        <f>22110-22030</f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12</v>
      </c>
      <c r="C105" s="206">
        <v>45307</v>
      </c>
      <c r="D105" s="161" t="s">
        <v>8</v>
      </c>
      <c r="E105" s="161" t="s">
        <v>39</v>
      </c>
      <c r="F105" s="207">
        <v>22120</v>
      </c>
      <c r="G105" s="207">
        <v>22040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13</v>
      </c>
      <c r="C106" s="206">
        <v>45308</v>
      </c>
      <c r="D106" s="161" t="s">
        <v>8</v>
      </c>
      <c r="E106" s="161" t="s">
        <v>39</v>
      </c>
      <c r="F106" s="207">
        <v>21810</v>
      </c>
      <c r="G106" s="207">
        <v>21730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14</v>
      </c>
      <c r="C107" s="206">
        <v>45309</v>
      </c>
      <c r="D107" s="161" t="s">
        <v>8</v>
      </c>
      <c r="E107" s="161" t="s">
        <v>39</v>
      </c>
      <c r="F107" s="207">
        <v>21400</v>
      </c>
      <c r="G107" s="207">
        <v>21320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15</v>
      </c>
      <c r="C108" s="206">
        <v>45310</v>
      </c>
      <c r="D108" s="161" t="s">
        <v>9</v>
      </c>
      <c r="E108" s="161" t="s">
        <v>39</v>
      </c>
      <c r="F108" s="207">
        <v>21650</v>
      </c>
      <c r="G108" s="207">
        <v>21708</v>
      </c>
      <c r="H108" s="161">
        <f>21708-21650</f>
        <v>58</v>
      </c>
      <c r="I108" s="207">
        <v>150</v>
      </c>
      <c r="J108" s="242">
        <f t="shared" si="19"/>
        <v>8700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16</v>
      </c>
      <c r="C109" s="206">
        <v>45311</v>
      </c>
      <c r="D109" s="161" t="s">
        <v>9</v>
      </c>
      <c r="E109" s="161" t="s">
        <v>39</v>
      </c>
      <c r="F109" s="207">
        <v>21700</v>
      </c>
      <c r="G109" s="207">
        <v>21660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17</v>
      </c>
      <c r="C110" s="206">
        <v>45314</v>
      </c>
      <c r="D110" s="161" t="s">
        <v>8</v>
      </c>
      <c r="E110" s="161" t="s">
        <v>39</v>
      </c>
      <c r="F110" s="207">
        <v>21690</v>
      </c>
      <c r="G110" s="207">
        <v>21610</v>
      </c>
      <c r="H110" s="161">
        <f>21690-21610</f>
        <v>80</v>
      </c>
      <c r="I110" s="207">
        <v>150</v>
      </c>
      <c r="J110" s="242">
        <f t="shared" si="19"/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18</v>
      </c>
      <c r="C111" s="206">
        <v>45315</v>
      </c>
      <c r="D111" s="161" t="s">
        <v>9</v>
      </c>
      <c r="E111" s="161" t="s">
        <v>39</v>
      </c>
      <c r="F111" s="207">
        <v>21320</v>
      </c>
      <c r="G111" s="207">
        <v>21400</v>
      </c>
      <c r="H111" s="161">
        <f>21400-21320</f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19</v>
      </c>
      <c r="C112" s="206">
        <v>45316</v>
      </c>
      <c r="D112" s="161" t="s">
        <v>8</v>
      </c>
      <c r="E112" s="161" t="s">
        <v>39</v>
      </c>
      <c r="F112" s="207">
        <v>21380</v>
      </c>
      <c r="G112" s="207">
        <v>21300</v>
      </c>
      <c r="H112" s="161">
        <v>80</v>
      </c>
      <c r="I112" s="207">
        <v>150</v>
      </c>
      <c r="J112" s="242">
        <f>I112*H112</f>
        <v>12000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20</v>
      </c>
      <c r="C113" s="206">
        <v>45320</v>
      </c>
      <c r="D113" s="161" t="s">
        <v>9</v>
      </c>
      <c r="E113" s="161" t="s">
        <v>39</v>
      </c>
      <c r="F113" s="207">
        <v>21680</v>
      </c>
      <c r="G113" s="207">
        <v>21760</v>
      </c>
      <c r="H113" s="161">
        <f>21760-21680</f>
        <v>80</v>
      </c>
      <c r="I113" s="207">
        <v>150</v>
      </c>
      <c r="J113" s="242">
        <f t="shared" si="19"/>
        <v>12000</v>
      </c>
      <c r="K113" s="153"/>
      <c r="V113" s="25">
        <f t="shared" si="20"/>
        <v>1</v>
      </c>
      <c r="W113" s="25">
        <f t="shared" si="21"/>
        <v>0</v>
      </c>
    </row>
    <row r="114" spans="1:23" x14ac:dyDescent="0.3">
      <c r="A114" s="147"/>
      <c r="B114" s="205">
        <f t="shared" si="22"/>
        <v>21</v>
      </c>
      <c r="C114" s="206">
        <v>45321</v>
      </c>
      <c r="D114" s="161" t="s">
        <v>8</v>
      </c>
      <c r="E114" s="161" t="s">
        <v>39</v>
      </c>
      <c r="F114" s="207">
        <v>21840</v>
      </c>
      <c r="G114" s="207">
        <v>21880</v>
      </c>
      <c r="H114" s="161">
        <v>-40</v>
      </c>
      <c r="I114" s="207">
        <v>150</v>
      </c>
      <c r="J114" s="242">
        <f t="shared" si="19"/>
        <v>-6000</v>
      </c>
      <c r="K114" s="153"/>
      <c r="V114" s="25">
        <f t="shared" si="20"/>
        <v>0</v>
      </c>
      <c r="W114" s="25">
        <f t="shared" si="21"/>
        <v>1</v>
      </c>
    </row>
    <row r="115" spans="1:23" x14ac:dyDescent="0.3">
      <c r="A115" s="147"/>
      <c r="B115" s="205">
        <f t="shared" si="22"/>
        <v>22</v>
      </c>
      <c r="C115" s="206">
        <v>45321</v>
      </c>
      <c r="D115" s="161" t="s">
        <v>8</v>
      </c>
      <c r="E115" s="161" t="s">
        <v>39</v>
      </c>
      <c r="F115" s="207">
        <v>21870</v>
      </c>
      <c r="G115" s="207">
        <v>21790</v>
      </c>
      <c r="H115" s="161">
        <f>21870-21790</f>
        <v>80</v>
      </c>
      <c r="I115" s="207">
        <v>150</v>
      </c>
      <c r="J115" s="242">
        <f t="shared" si="19"/>
        <v>12000</v>
      </c>
      <c r="K115" s="153"/>
      <c r="V115" s="25">
        <f t="shared" si="20"/>
        <v>1</v>
      </c>
      <c r="W115" s="25">
        <f t="shared" si="21"/>
        <v>0</v>
      </c>
    </row>
    <row r="116" spans="1:23" x14ac:dyDescent="0.3">
      <c r="A116" s="147"/>
      <c r="B116" s="269">
        <v>23</v>
      </c>
      <c r="C116" s="264">
        <v>45322</v>
      </c>
      <c r="D116" s="265" t="s">
        <v>9</v>
      </c>
      <c r="E116" s="265" t="s">
        <v>39</v>
      </c>
      <c r="F116" s="266">
        <v>21680</v>
      </c>
      <c r="G116" s="266">
        <v>21760</v>
      </c>
      <c r="H116" s="265">
        <v>80</v>
      </c>
      <c r="I116" s="266">
        <v>150</v>
      </c>
      <c r="J116" s="242">
        <f t="shared" si="19"/>
        <v>12000</v>
      </c>
      <c r="K116" s="153"/>
      <c r="V116" s="25">
        <f t="shared" si="20"/>
        <v>1</v>
      </c>
      <c r="W116" s="25">
        <f t="shared" si="21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9"/>
        <v>0</v>
      </c>
      <c r="K117" s="153"/>
      <c r="V117" s="25">
        <f t="shared" si="20"/>
        <v>0</v>
      </c>
      <c r="W117" s="25">
        <f t="shared" si="21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174000</v>
      </c>
      <c r="K118" s="153"/>
      <c r="V118" s="25">
        <f>SUM(V94:V117)</f>
        <v>19</v>
      </c>
      <c r="W118" s="25">
        <f>SUM(W94:W117)</f>
        <v>4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4490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45292</v>
      </c>
      <c r="D126" s="185" t="s">
        <v>9</v>
      </c>
      <c r="E126" s="185" t="s">
        <v>4452</v>
      </c>
      <c r="F126" s="219">
        <v>125</v>
      </c>
      <c r="G126" s="231">
        <v>100</v>
      </c>
      <c r="H126" s="231">
        <v>-25</v>
      </c>
      <c r="I126" s="219">
        <v>300</v>
      </c>
      <c r="J126" s="246">
        <f t="shared" ref="J126:J152" si="23">I126*H126</f>
        <v>-7500</v>
      </c>
      <c r="K126" s="153"/>
      <c r="V126" s="25">
        <f>IF($J126&gt;0,1,0)</f>
        <v>0</v>
      </c>
      <c r="W126" s="25">
        <f>IF($J126&lt;0,1,0)</f>
        <v>1</v>
      </c>
    </row>
    <row r="127" spans="1:23" x14ac:dyDescent="0.3">
      <c r="A127" s="147"/>
      <c r="B127" s="205">
        <f>B126+1</f>
        <v>2</v>
      </c>
      <c r="C127" s="218">
        <v>45293</v>
      </c>
      <c r="D127" s="185" t="s">
        <v>9</v>
      </c>
      <c r="E127" s="185" t="s">
        <v>2096</v>
      </c>
      <c r="F127" s="219">
        <v>135</v>
      </c>
      <c r="G127" s="219">
        <v>110</v>
      </c>
      <c r="H127" s="185">
        <v>-25</v>
      </c>
      <c r="I127" s="219">
        <v>300</v>
      </c>
      <c r="J127" s="242">
        <f t="shared" si="23"/>
        <v>-7500</v>
      </c>
      <c r="K127" s="153"/>
      <c r="V127" s="25">
        <f t="shared" ref="V127:V152" si="24">IF($J127&gt;0,1,0)</f>
        <v>0</v>
      </c>
      <c r="W127" s="25">
        <f t="shared" ref="W127:W152" si="25">IF($J127&lt;0,1,0)</f>
        <v>1</v>
      </c>
    </row>
    <row r="128" spans="1:23" x14ac:dyDescent="0.3">
      <c r="A128" s="147"/>
      <c r="B128" s="205">
        <f>B127+1</f>
        <v>3</v>
      </c>
      <c r="C128" s="206">
        <v>45294</v>
      </c>
      <c r="D128" s="161" t="s">
        <v>9</v>
      </c>
      <c r="E128" s="161" t="s">
        <v>4458</v>
      </c>
      <c r="F128" s="207">
        <v>125</v>
      </c>
      <c r="G128" s="207">
        <v>175</v>
      </c>
      <c r="H128" s="161">
        <v>50</v>
      </c>
      <c r="I128" s="207">
        <v>300</v>
      </c>
      <c r="J128" s="242">
        <f t="shared" si="23"/>
        <v>15000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ref="B129:B152" si="26">B128+1</f>
        <v>4</v>
      </c>
      <c r="C129" s="206">
        <v>45295</v>
      </c>
      <c r="D129" s="161" t="s">
        <v>9</v>
      </c>
      <c r="E129" s="161" t="s">
        <v>2085</v>
      </c>
      <c r="F129" s="207">
        <v>110</v>
      </c>
      <c r="G129" s="207">
        <v>160</v>
      </c>
      <c r="H129" s="161">
        <v>50</v>
      </c>
      <c r="I129" s="207">
        <v>300</v>
      </c>
      <c r="J129" s="242">
        <f t="shared" si="23"/>
        <v>15000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5</v>
      </c>
      <c r="C130" s="206">
        <v>45296</v>
      </c>
      <c r="D130" s="161" t="s">
        <v>9</v>
      </c>
      <c r="E130" s="161" t="s">
        <v>2096</v>
      </c>
      <c r="F130" s="207">
        <v>135</v>
      </c>
      <c r="G130" s="207">
        <v>150</v>
      </c>
      <c r="H130" s="161">
        <f>150-135</f>
        <v>15</v>
      </c>
      <c r="I130" s="207">
        <v>300</v>
      </c>
      <c r="J130" s="242">
        <f t="shared" si="23"/>
        <v>4500</v>
      </c>
      <c r="K130" s="153"/>
      <c r="M130" s="25" t="s">
        <v>2008</v>
      </c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6</v>
      </c>
      <c r="C131" s="206">
        <v>45299</v>
      </c>
      <c r="D131" s="161" t="s">
        <v>9</v>
      </c>
      <c r="E131" s="161" t="s">
        <v>4458</v>
      </c>
      <c r="F131" s="207">
        <v>120</v>
      </c>
      <c r="G131" s="222">
        <v>135</v>
      </c>
      <c r="H131" s="222">
        <v>15</v>
      </c>
      <c r="I131" s="207">
        <v>300</v>
      </c>
      <c r="J131" s="242">
        <f t="shared" si="23"/>
        <v>4500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7</v>
      </c>
      <c r="C132" s="206">
        <v>45300</v>
      </c>
      <c r="D132" s="161" t="s">
        <v>9</v>
      </c>
      <c r="E132" s="161" t="s">
        <v>4458</v>
      </c>
      <c r="F132" s="207">
        <v>120</v>
      </c>
      <c r="G132" s="207">
        <v>139</v>
      </c>
      <c r="H132" s="161">
        <v>19</v>
      </c>
      <c r="I132" s="207">
        <v>300</v>
      </c>
      <c r="J132" s="242">
        <f t="shared" si="23"/>
        <v>5700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8</v>
      </c>
      <c r="C133" s="206">
        <v>45301</v>
      </c>
      <c r="D133" s="161" t="s">
        <v>9</v>
      </c>
      <c r="E133" s="161" t="s">
        <v>4437</v>
      </c>
      <c r="F133" s="207">
        <v>125</v>
      </c>
      <c r="G133" s="207">
        <v>147</v>
      </c>
      <c r="H133" s="161">
        <f>147-125</f>
        <v>22</v>
      </c>
      <c r="I133" s="207">
        <v>300</v>
      </c>
      <c r="J133" s="242">
        <f t="shared" si="23"/>
        <v>6600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9</v>
      </c>
      <c r="C134" s="206">
        <v>45302</v>
      </c>
      <c r="D134" s="161" t="s">
        <v>9</v>
      </c>
      <c r="E134" s="161" t="s">
        <v>4467</v>
      </c>
      <c r="F134" s="207">
        <v>130</v>
      </c>
      <c r="G134" s="222">
        <v>180</v>
      </c>
      <c r="H134" s="161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10</v>
      </c>
      <c r="C135" s="206">
        <v>45303</v>
      </c>
      <c r="D135" s="161" t="s">
        <v>9</v>
      </c>
      <c r="E135" s="161" t="s">
        <v>4452</v>
      </c>
      <c r="F135" s="207">
        <v>125</v>
      </c>
      <c r="G135" s="222">
        <v>100</v>
      </c>
      <c r="H135" s="222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11</v>
      </c>
      <c r="C136" s="206">
        <v>45303</v>
      </c>
      <c r="D136" s="161" t="s">
        <v>9</v>
      </c>
      <c r="E136" s="161" t="s">
        <v>2975</v>
      </c>
      <c r="F136" s="207">
        <v>125</v>
      </c>
      <c r="G136" s="222">
        <v>175</v>
      </c>
      <c r="H136" s="222">
        <f>175-125</f>
        <v>50</v>
      </c>
      <c r="I136" s="207">
        <v>300</v>
      </c>
      <c r="J136" s="242">
        <f t="shared" si="23"/>
        <v>15000</v>
      </c>
      <c r="K136" s="153"/>
      <c r="V136" s="25">
        <f t="shared" si="24"/>
        <v>1</v>
      </c>
      <c r="W136" s="25">
        <f t="shared" si="25"/>
        <v>0</v>
      </c>
    </row>
    <row r="137" spans="1:23" x14ac:dyDescent="0.3">
      <c r="A137" s="147"/>
      <c r="B137" s="205">
        <f t="shared" si="26"/>
        <v>12</v>
      </c>
      <c r="C137" s="206">
        <v>45306</v>
      </c>
      <c r="D137" s="161" t="s">
        <v>9</v>
      </c>
      <c r="E137" s="161" t="s">
        <v>4470</v>
      </c>
      <c r="F137" s="207">
        <v>135</v>
      </c>
      <c r="G137" s="222">
        <v>110</v>
      </c>
      <c r="H137" s="222">
        <v>-25</v>
      </c>
      <c r="I137" s="207">
        <v>300</v>
      </c>
      <c r="J137" s="242">
        <f t="shared" si="23"/>
        <v>-7500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13</v>
      </c>
      <c r="C138" s="206">
        <v>45306</v>
      </c>
      <c r="D138" s="161" t="s">
        <v>9</v>
      </c>
      <c r="E138" s="161" t="s">
        <v>4470</v>
      </c>
      <c r="F138" s="207">
        <v>125</v>
      </c>
      <c r="G138" s="207">
        <v>150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14</v>
      </c>
      <c r="C139" s="206">
        <v>45307</v>
      </c>
      <c r="D139" s="161" t="s">
        <v>9</v>
      </c>
      <c r="E139" s="161" t="s">
        <v>4471</v>
      </c>
      <c r="F139" s="207">
        <v>110</v>
      </c>
      <c r="G139" s="207">
        <v>160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>IF($J139&gt;0,1,0)</f>
        <v>1</v>
      </c>
      <c r="W139" s="25">
        <f>IF($J139&lt;0,1,0)</f>
        <v>0</v>
      </c>
    </row>
    <row r="140" spans="1:23" x14ac:dyDescent="0.3">
      <c r="A140" s="147"/>
      <c r="B140" s="205">
        <f t="shared" si="26"/>
        <v>15</v>
      </c>
      <c r="C140" s="206">
        <v>45308</v>
      </c>
      <c r="D140" s="161" t="s">
        <v>9</v>
      </c>
      <c r="E140" s="161" t="s">
        <v>2097</v>
      </c>
      <c r="F140" s="207">
        <v>125</v>
      </c>
      <c r="G140" s="207">
        <v>175</v>
      </c>
      <c r="H140" s="161">
        <f>175-125</f>
        <v>50</v>
      </c>
      <c r="I140" s="207">
        <v>300</v>
      </c>
      <c r="J140" s="242">
        <f t="shared" si="23"/>
        <v>15000</v>
      </c>
      <c r="K140" s="153"/>
      <c r="V140" s="25">
        <f>IF($J140&gt;0,1,0)</f>
        <v>1</v>
      </c>
      <c r="W140" s="25">
        <f>IF($J140&lt;0,1,0)</f>
        <v>0</v>
      </c>
    </row>
    <row r="141" spans="1:23" x14ac:dyDescent="0.3">
      <c r="A141" s="147"/>
      <c r="B141" s="205">
        <f t="shared" si="26"/>
        <v>16</v>
      </c>
      <c r="C141" s="206">
        <v>45309</v>
      </c>
      <c r="D141" s="161" t="s">
        <v>9</v>
      </c>
      <c r="E141" s="161" t="s">
        <v>2062</v>
      </c>
      <c r="F141" s="207">
        <v>140</v>
      </c>
      <c r="G141" s="207">
        <v>190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17</v>
      </c>
      <c r="C142" s="206">
        <v>45310</v>
      </c>
      <c r="D142" s="161" t="s">
        <v>9</v>
      </c>
      <c r="E142" s="161" t="s">
        <v>2096</v>
      </c>
      <c r="F142" s="207">
        <v>140</v>
      </c>
      <c r="G142" s="207">
        <v>150</v>
      </c>
      <c r="H142" s="161">
        <v>10</v>
      </c>
      <c r="I142" s="207">
        <v>300</v>
      </c>
      <c r="J142" s="242">
        <f t="shared" si="23"/>
        <v>3000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18</v>
      </c>
      <c r="C143" s="206">
        <v>45311</v>
      </c>
      <c r="D143" s="161" t="s">
        <v>9</v>
      </c>
      <c r="E143" s="161" t="s">
        <v>2096</v>
      </c>
      <c r="F143" s="207">
        <v>140</v>
      </c>
      <c r="G143" s="222">
        <v>115</v>
      </c>
      <c r="H143" s="222">
        <v>-25</v>
      </c>
      <c r="I143" s="207">
        <v>300</v>
      </c>
      <c r="J143" s="242">
        <f t="shared" si="23"/>
        <v>-7500</v>
      </c>
      <c r="K143" s="153"/>
      <c r="V143" s="25">
        <f t="shared" si="24"/>
        <v>0</v>
      </c>
      <c r="W143" s="25">
        <f t="shared" si="25"/>
        <v>1</v>
      </c>
    </row>
    <row r="144" spans="1:23" x14ac:dyDescent="0.3">
      <c r="A144" s="147"/>
      <c r="B144" s="205">
        <f t="shared" si="26"/>
        <v>19</v>
      </c>
      <c r="C144" s="206">
        <v>45314</v>
      </c>
      <c r="D144" s="161" t="s">
        <v>9</v>
      </c>
      <c r="E144" s="161" t="s">
        <v>4452</v>
      </c>
      <c r="F144" s="207">
        <v>125</v>
      </c>
      <c r="G144" s="222">
        <v>175</v>
      </c>
      <c r="H144" s="222">
        <f>175-125</f>
        <v>50</v>
      </c>
      <c r="I144" s="207">
        <v>300</v>
      </c>
      <c r="J144" s="242">
        <f t="shared" si="23"/>
        <v>15000</v>
      </c>
      <c r="K144" s="153"/>
      <c r="V144" s="25">
        <f t="shared" si="24"/>
        <v>1</v>
      </c>
      <c r="W144" s="25">
        <f t="shared" si="25"/>
        <v>0</v>
      </c>
    </row>
    <row r="145" spans="1:23" x14ac:dyDescent="0.3">
      <c r="A145" s="147"/>
      <c r="B145" s="205">
        <f t="shared" si="26"/>
        <v>20</v>
      </c>
      <c r="C145" s="206">
        <v>45315</v>
      </c>
      <c r="D145" s="161" t="s">
        <v>9</v>
      </c>
      <c r="E145" s="161" t="s">
        <v>3024</v>
      </c>
      <c r="F145" s="207">
        <v>100</v>
      </c>
      <c r="G145" s="222">
        <v>125</v>
      </c>
      <c r="H145" s="222">
        <v>25</v>
      </c>
      <c r="I145" s="207">
        <v>300</v>
      </c>
      <c r="J145" s="242">
        <f t="shared" si="23"/>
        <v>7500</v>
      </c>
      <c r="K145" s="153"/>
      <c r="V145" s="25">
        <f t="shared" si="24"/>
        <v>1</v>
      </c>
      <c r="W145" s="25">
        <f t="shared" si="25"/>
        <v>0</v>
      </c>
    </row>
    <row r="146" spans="1:23" x14ac:dyDescent="0.3">
      <c r="A146" s="147"/>
      <c r="B146" s="205">
        <f t="shared" si="26"/>
        <v>21</v>
      </c>
      <c r="C146" s="206">
        <v>45316</v>
      </c>
      <c r="D146" s="161" t="s">
        <v>9</v>
      </c>
      <c r="E146" s="161" t="s">
        <v>4436</v>
      </c>
      <c r="F146" s="207">
        <v>105</v>
      </c>
      <c r="G146" s="222">
        <v>140</v>
      </c>
      <c r="H146" s="222">
        <f>140-105</f>
        <v>35</v>
      </c>
      <c r="I146" s="207">
        <v>300</v>
      </c>
      <c r="J146" s="242">
        <f t="shared" si="23"/>
        <v>10500</v>
      </c>
      <c r="K146" s="153"/>
      <c r="V146" s="25">
        <f t="shared" si="24"/>
        <v>1</v>
      </c>
      <c r="W146" s="25">
        <f t="shared" si="25"/>
        <v>0</v>
      </c>
    </row>
    <row r="147" spans="1:23" x14ac:dyDescent="0.3">
      <c r="A147" s="147"/>
      <c r="B147" s="205">
        <f t="shared" si="26"/>
        <v>22</v>
      </c>
      <c r="C147" s="206">
        <v>45320</v>
      </c>
      <c r="D147" s="161" t="s">
        <v>9</v>
      </c>
      <c r="E147" s="161" t="s">
        <v>4484</v>
      </c>
      <c r="F147" s="207">
        <v>130</v>
      </c>
      <c r="G147" s="222">
        <v>155</v>
      </c>
      <c r="H147" s="222">
        <f>155-130</f>
        <v>25</v>
      </c>
      <c r="I147" s="207">
        <v>300</v>
      </c>
      <c r="J147" s="242">
        <f t="shared" si="23"/>
        <v>7500</v>
      </c>
      <c r="K147" s="153"/>
      <c r="V147" s="25">
        <f t="shared" si="24"/>
        <v>1</v>
      </c>
      <c r="W147" s="25">
        <f t="shared" si="25"/>
        <v>0</v>
      </c>
    </row>
    <row r="148" spans="1:23" x14ac:dyDescent="0.3">
      <c r="A148" s="147"/>
      <c r="B148" s="205">
        <f t="shared" si="26"/>
        <v>23</v>
      </c>
      <c r="C148" s="206">
        <v>45321</v>
      </c>
      <c r="D148" s="161" t="s">
        <v>9</v>
      </c>
      <c r="E148" s="161" t="s">
        <v>4458</v>
      </c>
      <c r="F148" s="207">
        <v>130</v>
      </c>
      <c r="G148" s="222">
        <v>180</v>
      </c>
      <c r="H148" s="161">
        <v>50</v>
      </c>
      <c r="I148" s="207">
        <v>300</v>
      </c>
      <c r="J148" s="242">
        <f t="shared" si="23"/>
        <v>15000</v>
      </c>
      <c r="K148" s="153"/>
      <c r="V148" s="25">
        <f t="shared" si="24"/>
        <v>1</v>
      </c>
      <c r="W148" s="25">
        <f t="shared" si="25"/>
        <v>0</v>
      </c>
    </row>
    <row r="149" spans="1:23" x14ac:dyDescent="0.3">
      <c r="A149" s="147"/>
      <c r="B149" s="205">
        <f t="shared" si="26"/>
        <v>24</v>
      </c>
      <c r="C149" s="264">
        <v>45322</v>
      </c>
      <c r="D149" s="265" t="s">
        <v>9</v>
      </c>
      <c r="E149" s="265" t="s">
        <v>4451</v>
      </c>
      <c r="F149" s="266">
        <v>125</v>
      </c>
      <c r="G149" s="267">
        <v>175</v>
      </c>
      <c r="H149" s="265">
        <f>175-125</f>
        <v>50</v>
      </c>
      <c r="I149" s="266">
        <v>300</v>
      </c>
      <c r="J149" s="242">
        <f t="shared" si="23"/>
        <v>15000</v>
      </c>
      <c r="K149" s="153"/>
      <c r="V149" s="25">
        <f t="shared" si="24"/>
        <v>1</v>
      </c>
      <c r="W149" s="25">
        <f t="shared" si="25"/>
        <v>0</v>
      </c>
    </row>
    <row r="150" spans="1:23" x14ac:dyDescent="0.3">
      <c r="A150" s="147"/>
      <c r="B150" s="205">
        <f t="shared" si="26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3"/>
        <v>0</v>
      </c>
      <c r="K150" s="153"/>
      <c r="V150" s="25">
        <f t="shared" si="24"/>
        <v>0</v>
      </c>
      <c r="W150" s="25">
        <f t="shared" si="25"/>
        <v>0</v>
      </c>
    </row>
    <row r="151" spans="1:23" x14ac:dyDescent="0.3">
      <c r="A151" s="147"/>
      <c r="B151" s="205">
        <f t="shared" si="26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3"/>
        <v>0</v>
      </c>
      <c r="K151" s="153"/>
      <c r="V151" s="25">
        <f t="shared" si="24"/>
        <v>0</v>
      </c>
      <c r="W151" s="25">
        <f t="shared" si="25"/>
        <v>0</v>
      </c>
    </row>
    <row r="152" spans="1:23" ht="15" thickBot="1" x14ac:dyDescent="0.35">
      <c r="A152" s="147"/>
      <c r="B152" s="205">
        <f t="shared" si="26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3"/>
        <v>0</v>
      </c>
      <c r="K152" s="153"/>
      <c r="V152" s="25">
        <f t="shared" si="24"/>
        <v>0</v>
      </c>
      <c r="W152" s="25">
        <f t="shared" si="25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169800</v>
      </c>
      <c r="K153" s="153"/>
      <c r="V153" s="25">
        <f>SUM(V126:V152)</f>
        <v>19</v>
      </c>
      <c r="W153" s="25">
        <f>SUM(W126:W152)</f>
        <v>5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4489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45292</v>
      </c>
      <c r="D161" s="185" t="s">
        <v>8</v>
      </c>
      <c r="E161" s="185" t="s">
        <v>301</v>
      </c>
      <c r="F161" s="219">
        <v>48500</v>
      </c>
      <c r="G161" s="231">
        <v>48650</v>
      </c>
      <c r="H161" s="185">
        <v>-150</v>
      </c>
      <c r="I161" s="219">
        <v>60</v>
      </c>
      <c r="J161" s="246">
        <f t="shared" ref="J161:J186" si="27">I161*H161</f>
        <v>-9000</v>
      </c>
      <c r="K161" s="153"/>
      <c r="V161" s="25">
        <f>IF($J161&gt;0,1,0)</f>
        <v>0</v>
      </c>
      <c r="W161" s="25">
        <f>IF($J161&lt;0,1,0)</f>
        <v>1</v>
      </c>
    </row>
    <row r="162" spans="1:23" x14ac:dyDescent="0.3">
      <c r="A162" s="147"/>
      <c r="B162" s="205">
        <f>B161+1</f>
        <v>2</v>
      </c>
      <c r="C162" s="218">
        <v>45293</v>
      </c>
      <c r="D162" s="185" t="s">
        <v>8</v>
      </c>
      <c r="E162" s="185" t="s">
        <v>301</v>
      </c>
      <c r="F162" s="219">
        <v>48200</v>
      </c>
      <c r="G162" s="219">
        <v>47900</v>
      </c>
      <c r="H162" s="185">
        <v>300</v>
      </c>
      <c r="I162" s="219">
        <v>60</v>
      </c>
      <c r="J162" s="242">
        <f t="shared" si="27"/>
        <v>18000</v>
      </c>
      <c r="K162" s="153"/>
      <c r="V162" s="25">
        <f t="shared" ref="V162:V186" si="28">IF($J162&gt;0,1,0)</f>
        <v>1</v>
      </c>
      <c r="W162" s="25">
        <f t="shared" ref="W162:W186" si="29">IF($J162&lt;0,1,0)</f>
        <v>0</v>
      </c>
    </row>
    <row r="163" spans="1:23" x14ac:dyDescent="0.3">
      <c r="A163" s="147"/>
      <c r="B163" s="205">
        <f t="shared" ref="B163:B186" si="30">B162+1</f>
        <v>3</v>
      </c>
      <c r="C163" s="206">
        <v>45294</v>
      </c>
      <c r="D163" s="161" t="s">
        <v>8</v>
      </c>
      <c r="E163" s="161" t="s">
        <v>301</v>
      </c>
      <c r="F163" s="207">
        <v>47800</v>
      </c>
      <c r="G163" s="207">
        <v>47950</v>
      </c>
      <c r="H163" s="161">
        <v>-150</v>
      </c>
      <c r="I163" s="207">
        <v>60</v>
      </c>
      <c r="J163" s="242">
        <f t="shared" si="27"/>
        <v>-9000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4</v>
      </c>
      <c r="C164" s="206">
        <v>45295</v>
      </c>
      <c r="D164" s="161" t="s">
        <v>9</v>
      </c>
      <c r="E164" s="161" t="s">
        <v>301</v>
      </c>
      <c r="F164" s="207">
        <v>48050</v>
      </c>
      <c r="G164" s="207">
        <v>48350</v>
      </c>
      <c r="H164" s="161">
        <v>300</v>
      </c>
      <c r="I164" s="207">
        <v>60</v>
      </c>
      <c r="J164" s="242">
        <f t="shared" si="27"/>
        <v>18000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5</v>
      </c>
      <c r="C165" s="206">
        <v>45296</v>
      </c>
      <c r="D165" s="161" t="s">
        <v>9</v>
      </c>
      <c r="E165" s="161" t="s">
        <v>301</v>
      </c>
      <c r="F165" s="207">
        <v>48550</v>
      </c>
      <c r="G165" s="207">
        <v>48400</v>
      </c>
      <c r="H165" s="161">
        <v>-150</v>
      </c>
      <c r="I165" s="207">
        <v>60</v>
      </c>
      <c r="J165" s="242">
        <f t="shared" si="27"/>
        <v>-9000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6</v>
      </c>
      <c r="C166" s="206">
        <v>45299</v>
      </c>
      <c r="D166" s="161" t="s">
        <v>8</v>
      </c>
      <c r="E166" s="161" t="s">
        <v>301</v>
      </c>
      <c r="F166" s="207">
        <v>48250</v>
      </c>
      <c r="G166" s="207">
        <v>47950</v>
      </c>
      <c r="H166" s="161">
        <v>300</v>
      </c>
      <c r="I166" s="207">
        <v>60</v>
      </c>
      <c r="J166" s="242">
        <f t="shared" si="27"/>
        <v>18000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7</v>
      </c>
      <c r="C167" s="206">
        <v>45300</v>
      </c>
      <c r="D167" s="161" t="s">
        <v>8</v>
      </c>
      <c r="E167" s="161" t="s">
        <v>301</v>
      </c>
      <c r="F167" s="207">
        <v>47850</v>
      </c>
      <c r="G167" s="207">
        <v>47800</v>
      </c>
      <c r="H167" s="161">
        <v>50</v>
      </c>
      <c r="I167" s="207">
        <v>60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8</v>
      </c>
      <c r="C168" s="206">
        <v>45301</v>
      </c>
      <c r="D168" s="161" t="s">
        <v>9</v>
      </c>
      <c r="E168" s="161" t="s">
        <v>301</v>
      </c>
      <c r="F168" s="207">
        <v>47450</v>
      </c>
      <c r="G168" s="207">
        <v>47650</v>
      </c>
      <c r="H168" s="161">
        <v>200</v>
      </c>
      <c r="I168" s="207">
        <v>60</v>
      </c>
      <c r="J168" s="242">
        <f t="shared" si="27"/>
        <v>12000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9</v>
      </c>
      <c r="C169" s="206">
        <v>45302</v>
      </c>
      <c r="D169" s="161" t="s">
        <v>8</v>
      </c>
      <c r="E169" s="161" t="s">
        <v>301</v>
      </c>
      <c r="F169" s="207">
        <v>47650</v>
      </c>
      <c r="G169" s="207">
        <v>47350</v>
      </c>
      <c r="H169" s="161">
        <v>300</v>
      </c>
      <c r="I169" s="207">
        <v>60</v>
      </c>
      <c r="J169" s="242">
        <f t="shared" si="27"/>
        <v>18000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10</v>
      </c>
      <c r="C170" s="206">
        <v>45303</v>
      </c>
      <c r="D170" s="161" t="s">
        <v>8</v>
      </c>
      <c r="E170" s="161" t="s">
        <v>301</v>
      </c>
      <c r="F170" s="207">
        <v>47650</v>
      </c>
      <c r="G170" s="207">
        <v>47580</v>
      </c>
      <c r="H170" s="161">
        <f>47650-47580</f>
        <v>70</v>
      </c>
      <c r="I170" s="207">
        <v>60</v>
      </c>
      <c r="J170" s="242">
        <f t="shared" si="27"/>
        <v>4200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11</v>
      </c>
      <c r="C171" s="206">
        <v>45306</v>
      </c>
      <c r="D171" s="161" t="s">
        <v>9</v>
      </c>
      <c r="E171" s="161" t="s">
        <v>301</v>
      </c>
      <c r="F171" s="207">
        <v>48050</v>
      </c>
      <c r="G171" s="207">
        <v>48350</v>
      </c>
      <c r="H171" s="161">
        <v>300</v>
      </c>
      <c r="I171" s="207">
        <v>60</v>
      </c>
      <c r="J171" s="242">
        <f t="shared" si="27"/>
        <v>18000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12</v>
      </c>
      <c r="C172" s="206">
        <v>45307</v>
      </c>
      <c r="D172" s="161" t="s">
        <v>8</v>
      </c>
      <c r="E172" s="161" t="s">
        <v>301</v>
      </c>
      <c r="F172" s="207">
        <v>48300</v>
      </c>
      <c r="G172" s="207">
        <v>48090</v>
      </c>
      <c r="H172" s="161">
        <f>48300-48090</f>
        <v>210</v>
      </c>
      <c r="I172" s="207">
        <v>60</v>
      </c>
      <c r="J172" s="242">
        <f t="shared" si="27"/>
        <v>12600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13</v>
      </c>
      <c r="C173" s="206">
        <v>45308</v>
      </c>
      <c r="D173" s="161" t="s">
        <v>8</v>
      </c>
      <c r="E173" s="161" t="s">
        <v>301</v>
      </c>
      <c r="F173" s="207">
        <v>47150</v>
      </c>
      <c r="G173" s="207">
        <v>47000</v>
      </c>
      <c r="H173" s="161">
        <v>150</v>
      </c>
      <c r="I173" s="207">
        <v>60</v>
      </c>
      <c r="J173" s="242">
        <f t="shared" si="27"/>
        <v>9000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14</v>
      </c>
      <c r="C174" s="206">
        <v>45309</v>
      </c>
      <c r="D174" s="161" t="s">
        <v>8</v>
      </c>
      <c r="E174" s="161" t="s">
        <v>301</v>
      </c>
      <c r="F174" s="207">
        <v>45900</v>
      </c>
      <c r="G174" s="207">
        <v>45750</v>
      </c>
      <c r="H174" s="161">
        <v>150</v>
      </c>
      <c r="I174" s="207">
        <v>60</v>
      </c>
      <c r="J174" s="242">
        <f t="shared" si="27"/>
        <v>9000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15</v>
      </c>
      <c r="C175" s="206">
        <v>45310</v>
      </c>
      <c r="D175" s="161" t="s">
        <v>9</v>
      </c>
      <c r="E175" s="161" t="s">
        <v>301</v>
      </c>
      <c r="F175" s="207">
        <v>46150</v>
      </c>
      <c r="G175" s="207">
        <v>46300</v>
      </c>
      <c r="H175" s="161">
        <v>150</v>
      </c>
      <c r="I175" s="207">
        <v>60</v>
      </c>
      <c r="J175" s="242">
        <f t="shared" si="27"/>
        <v>9000</v>
      </c>
      <c r="K175" s="153"/>
      <c r="V175" s="25">
        <f t="shared" si="28"/>
        <v>1</v>
      </c>
      <c r="W175" s="25">
        <f t="shared" si="29"/>
        <v>0</v>
      </c>
    </row>
    <row r="176" spans="1:23" x14ac:dyDescent="0.3">
      <c r="A176" s="147"/>
      <c r="B176" s="205">
        <f t="shared" si="30"/>
        <v>16</v>
      </c>
      <c r="C176" s="206">
        <v>45311</v>
      </c>
      <c r="D176" s="161" t="s">
        <v>9</v>
      </c>
      <c r="E176" s="161" t="s">
        <v>301</v>
      </c>
      <c r="F176" s="207">
        <v>45900</v>
      </c>
      <c r="G176" s="207">
        <v>46005</v>
      </c>
      <c r="H176" s="161">
        <f>46005-45900</f>
        <v>105</v>
      </c>
      <c r="I176" s="207">
        <v>60</v>
      </c>
      <c r="J176" s="242">
        <f t="shared" si="27"/>
        <v>6300</v>
      </c>
      <c r="K176" s="153"/>
      <c r="V176" s="25">
        <f t="shared" si="28"/>
        <v>1</v>
      </c>
      <c r="W176" s="25">
        <f t="shared" si="29"/>
        <v>0</v>
      </c>
    </row>
    <row r="177" spans="1:23" x14ac:dyDescent="0.3">
      <c r="A177" s="147"/>
      <c r="B177" s="205">
        <f t="shared" si="30"/>
        <v>17</v>
      </c>
      <c r="C177" s="206">
        <v>45314</v>
      </c>
      <c r="D177" s="161" t="s">
        <v>8</v>
      </c>
      <c r="E177" s="161" t="s">
        <v>301</v>
      </c>
      <c r="F177" s="207">
        <v>46350</v>
      </c>
      <c r="G177" s="207">
        <v>46050</v>
      </c>
      <c r="H177" s="161">
        <v>300</v>
      </c>
      <c r="I177" s="207">
        <v>60</v>
      </c>
      <c r="J177" s="242">
        <f t="shared" si="27"/>
        <v>18000</v>
      </c>
      <c r="K177" s="153"/>
      <c r="V177" s="25">
        <f t="shared" si="28"/>
        <v>1</v>
      </c>
      <c r="W177" s="25">
        <f t="shared" si="29"/>
        <v>0</v>
      </c>
    </row>
    <row r="178" spans="1:23" x14ac:dyDescent="0.3">
      <c r="A178" s="147"/>
      <c r="B178" s="205">
        <f t="shared" si="30"/>
        <v>18</v>
      </c>
      <c r="C178" s="206">
        <v>45315</v>
      </c>
      <c r="D178" s="161" t="s">
        <v>9</v>
      </c>
      <c r="E178" s="161" t="s">
        <v>301</v>
      </c>
      <c r="F178" s="207">
        <v>45150</v>
      </c>
      <c r="G178" s="207">
        <v>45450</v>
      </c>
      <c r="H178" s="161">
        <v>300</v>
      </c>
      <c r="I178" s="207">
        <v>60</v>
      </c>
      <c r="J178" s="242">
        <f t="shared" si="27"/>
        <v>18000</v>
      </c>
      <c r="K178" s="153"/>
      <c r="V178" s="25">
        <f t="shared" si="28"/>
        <v>1</v>
      </c>
      <c r="W178" s="25">
        <f t="shared" si="29"/>
        <v>0</v>
      </c>
    </row>
    <row r="179" spans="1:23" x14ac:dyDescent="0.3">
      <c r="A179" s="147"/>
      <c r="B179" s="205">
        <f t="shared" si="30"/>
        <v>19</v>
      </c>
      <c r="C179" s="206">
        <v>45316</v>
      </c>
      <c r="D179" s="161" t="s">
        <v>8</v>
      </c>
      <c r="E179" s="161" t="s">
        <v>301</v>
      </c>
      <c r="F179" s="207">
        <v>44900</v>
      </c>
      <c r="G179" s="207">
        <v>44600</v>
      </c>
      <c r="H179" s="161">
        <v>300</v>
      </c>
      <c r="I179" s="207">
        <v>60</v>
      </c>
      <c r="J179" s="242">
        <f t="shared" si="27"/>
        <v>18000</v>
      </c>
      <c r="K179" s="153"/>
      <c r="V179" s="25">
        <f t="shared" si="28"/>
        <v>1</v>
      </c>
      <c r="W179" s="25">
        <f t="shared" si="29"/>
        <v>0</v>
      </c>
    </row>
    <row r="180" spans="1:23" x14ac:dyDescent="0.3">
      <c r="A180" s="147"/>
      <c r="B180" s="205">
        <f t="shared" si="30"/>
        <v>20</v>
      </c>
      <c r="C180" s="206">
        <v>45320</v>
      </c>
      <c r="D180" s="161" t="s">
        <v>9</v>
      </c>
      <c r="E180" s="161" t="s">
        <v>301</v>
      </c>
      <c r="F180" s="207">
        <v>45800</v>
      </c>
      <c r="G180" s="207">
        <v>45994</v>
      </c>
      <c r="H180" s="161">
        <v>194</v>
      </c>
      <c r="I180" s="207">
        <v>60</v>
      </c>
      <c r="J180" s="242">
        <f t="shared" si="27"/>
        <v>11640</v>
      </c>
      <c r="K180" s="153"/>
      <c r="V180" s="25">
        <f t="shared" si="28"/>
        <v>1</v>
      </c>
      <c r="W180" s="25">
        <f t="shared" si="29"/>
        <v>0</v>
      </c>
    </row>
    <row r="181" spans="1:23" x14ac:dyDescent="0.3">
      <c r="A181" s="147"/>
      <c r="B181" s="205">
        <f t="shared" si="30"/>
        <v>21</v>
      </c>
      <c r="C181" s="206">
        <v>45321</v>
      </c>
      <c r="D181" s="161" t="s">
        <v>8</v>
      </c>
      <c r="E181" s="161" t="s">
        <v>301</v>
      </c>
      <c r="F181" s="207">
        <v>45700</v>
      </c>
      <c r="G181" s="207">
        <v>45550</v>
      </c>
      <c r="H181" s="161">
        <f>45700-45550</f>
        <v>150</v>
      </c>
      <c r="I181" s="207">
        <v>60</v>
      </c>
      <c r="J181" s="242">
        <f t="shared" si="27"/>
        <v>9000</v>
      </c>
      <c r="K181" s="153"/>
      <c r="V181" s="25">
        <f t="shared" si="28"/>
        <v>1</v>
      </c>
      <c r="W181" s="25">
        <f t="shared" si="29"/>
        <v>0</v>
      </c>
    </row>
    <row r="182" spans="1:23" x14ac:dyDescent="0.3">
      <c r="A182" s="147"/>
      <c r="B182" s="205">
        <f t="shared" si="30"/>
        <v>22</v>
      </c>
      <c r="C182" s="206">
        <v>45322</v>
      </c>
      <c r="D182" s="161" t="s">
        <v>9</v>
      </c>
      <c r="E182" s="161" t="s">
        <v>301</v>
      </c>
      <c r="F182" s="207">
        <v>45750</v>
      </c>
      <c r="G182" s="207">
        <v>46050</v>
      </c>
      <c r="H182" s="161">
        <f>46050-45750</f>
        <v>300</v>
      </c>
      <c r="I182" s="207">
        <v>60</v>
      </c>
      <c r="J182" s="242">
        <f t="shared" si="27"/>
        <v>18000</v>
      </c>
      <c r="K182" s="153"/>
      <c r="V182" s="25">
        <f t="shared" si="28"/>
        <v>1</v>
      </c>
      <c r="W182" s="25">
        <f t="shared" si="29"/>
        <v>0</v>
      </c>
    </row>
    <row r="183" spans="1:23" x14ac:dyDescent="0.3">
      <c r="A183" s="147"/>
      <c r="B183" s="205">
        <f t="shared" si="30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7"/>
        <v>0</v>
      </c>
      <c r="K183" s="153"/>
      <c r="V183" s="25">
        <f t="shared" si="28"/>
        <v>0</v>
      </c>
      <c r="W183" s="25">
        <f t="shared" si="29"/>
        <v>0</v>
      </c>
    </row>
    <row r="184" spans="1:23" x14ac:dyDescent="0.3">
      <c r="A184" s="147"/>
      <c r="B184" s="205">
        <f t="shared" si="30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7"/>
        <v>0</v>
      </c>
      <c r="K184" s="153"/>
      <c r="V184" s="25">
        <f t="shared" si="28"/>
        <v>0</v>
      </c>
      <c r="W184" s="25">
        <f t="shared" si="29"/>
        <v>0</v>
      </c>
    </row>
    <row r="185" spans="1:23" x14ac:dyDescent="0.3">
      <c r="A185" s="147"/>
      <c r="B185" s="205">
        <f t="shared" si="30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7"/>
        <v>0</v>
      </c>
      <c r="K185" s="153"/>
      <c r="V185" s="25">
        <f t="shared" si="28"/>
        <v>0</v>
      </c>
      <c r="W185" s="25">
        <f t="shared" si="29"/>
        <v>0</v>
      </c>
    </row>
    <row r="186" spans="1:23" ht="15" thickBot="1" x14ac:dyDescent="0.35">
      <c r="A186" s="147"/>
      <c r="B186" s="205">
        <f t="shared" si="30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7"/>
        <v>0</v>
      </c>
      <c r="K186" s="153"/>
      <c r="V186" s="25">
        <f t="shared" si="28"/>
        <v>0</v>
      </c>
      <c r="W186" s="25">
        <f t="shared" si="29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220740</v>
      </c>
      <c r="K187" s="153"/>
      <c r="V187" s="25">
        <f>SUM(V161:V186)</f>
        <v>19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4490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45292</v>
      </c>
      <c r="D195" s="185" t="s">
        <v>9</v>
      </c>
      <c r="E195" s="185" t="s">
        <v>4453</v>
      </c>
      <c r="F195" s="231">
        <v>300</v>
      </c>
      <c r="G195" s="231">
        <v>200</v>
      </c>
      <c r="H195" s="231">
        <v>-100</v>
      </c>
      <c r="I195" s="219">
        <v>120</v>
      </c>
      <c r="J195" s="246">
        <f t="shared" ref="J195:J220" si="31">I195*H195</f>
        <v>-12000</v>
      </c>
      <c r="K195" s="153"/>
      <c r="V195" s="25">
        <f>IF($J195&gt;0,1,0)</f>
        <v>0</v>
      </c>
      <c r="W195" s="25">
        <f>IF($J195&lt;0,1,0)</f>
        <v>1</v>
      </c>
    </row>
    <row r="196" spans="1:23" x14ac:dyDescent="0.3">
      <c r="A196" s="147"/>
      <c r="B196" s="205">
        <f>B195+1</f>
        <v>2</v>
      </c>
      <c r="C196" s="218">
        <v>45293</v>
      </c>
      <c r="D196" s="185" t="s">
        <v>9</v>
      </c>
      <c r="E196" s="185" t="s">
        <v>4455</v>
      </c>
      <c r="F196" s="231">
        <v>340</v>
      </c>
      <c r="G196" s="231">
        <v>500</v>
      </c>
      <c r="H196" s="231">
        <f>500-340</f>
        <v>160</v>
      </c>
      <c r="I196" s="219">
        <v>120</v>
      </c>
      <c r="J196" s="242">
        <f t="shared" si="31"/>
        <v>19200</v>
      </c>
      <c r="K196" s="153"/>
      <c r="V196" s="25">
        <f t="shared" ref="V196:V220" si="32">IF($J196&gt;0,1,0)</f>
        <v>1</v>
      </c>
      <c r="W196" s="25">
        <f t="shared" ref="W196:W220" si="33">IF($J196&lt;0,1,0)</f>
        <v>0</v>
      </c>
    </row>
    <row r="197" spans="1:23" x14ac:dyDescent="0.3">
      <c r="A197" s="147"/>
      <c r="B197" s="205">
        <f t="shared" ref="B197:B216" si="34">B196+1</f>
        <v>3</v>
      </c>
      <c r="C197" s="206">
        <v>45294</v>
      </c>
      <c r="D197" s="161" t="s">
        <v>9</v>
      </c>
      <c r="E197" s="161" t="s">
        <v>4423</v>
      </c>
      <c r="F197" s="222">
        <v>360</v>
      </c>
      <c r="G197" s="222">
        <v>500</v>
      </c>
      <c r="H197" s="222">
        <f>500-360</f>
        <v>140</v>
      </c>
      <c r="I197" s="207">
        <v>120</v>
      </c>
      <c r="J197" s="242">
        <f t="shared" si="31"/>
        <v>16800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4</v>
      </c>
      <c r="C198" s="206">
        <v>45295</v>
      </c>
      <c r="D198" s="161" t="s">
        <v>9</v>
      </c>
      <c r="E198" s="161" t="s">
        <v>4460</v>
      </c>
      <c r="F198" s="222">
        <v>300</v>
      </c>
      <c r="G198" s="222">
        <v>460</v>
      </c>
      <c r="H198" s="222">
        <v>160</v>
      </c>
      <c r="I198" s="207">
        <v>120</v>
      </c>
      <c r="J198" s="242">
        <f t="shared" si="31"/>
        <v>19200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5</v>
      </c>
      <c r="C199" s="206">
        <v>45296</v>
      </c>
      <c r="D199" s="161" t="s">
        <v>9</v>
      </c>
      <c r="E199" s="161" t="s">
        <v>4462</v>
      </c>
      <c r="F199" s="222">
        <v>300</v>
      </c>
      <c r="G199" s="222">
        <v>200</v>
      </c>
      <c r="H199" s="222">
        <v>-100</v>
      </c>
      <c r="I199" s="207">
        <v>120</v>
      </c>
      <c r="J199" s="242">
        <f t="shared" si="31"/>
        <v>-12000</v>
      </c>
      <c r="K199" s="153"/>
      <c r="O199" s="25" t="s">
        <v>2008</v>
      </c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6</v>
      </c>
      <c r="C200" s="206">
        <v>45299</v>
      </c>
      <c r="D200" s="161" t="s">
        <v>9</v>
      </c>
      <c r="E200" s="161" t="s">
        <v>4455</v>
      </c>
      <c r="F200" s="222">
        <v>340</v>
      </c>
      <c r="G200" s="222">
        <v>500</v>
      </c>
      <c r="H200" s="222">
        <f>500-340</f>
        <v>160</v>
      </c>
      <c r="I200" s="207">
        <v>120</v>
      </c>
      <c r="J200" s="242">
        <f t="shared" si="31"/>
        <v>19200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7</v>
      </c>
      <c r="C201" s="206">
        <v>45300</v>
      </c>
      <c r="D201" s="161" t="s">
        <v>9</v>
      </c>
      <c r="E201" s="161" t="s">
        <v>4464</v>
      </c>
      <c r="F201" s="222">
        <v>300</v>
      </c>
      <c r="G201" s="222">
        <v>220</v>
      </c>
      <c r="H201" s="222">
        <v>-80</v>
      </c>
      <c r="I201" s="207">
        <v>120</v>
      </c>
      <c r="J201" s="242">
        <f t="shared" si="31"/>
        <v>-9600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8</v>
      </c>
      <c r="C202" s="206">
        <v>45300</v>
      </c>
      <c r="D202" s="161" t="s">
        <v>9</v>
      </c>
      <c r="E202" s="161" t="s">
        <v>4465</v>
      </c>
      <c r="F202" s="222">
        <v>340</v>
      </c>
      <c r="G202" s="222">
        <v>365</v>
      </c>
      <c r="H202" s="222">
        <f>365-340</f>
        <v>25</v>
      </c>
      <c r="I202" s="207">
        <v>120</v>
      </c>
      <c r="J202" s="242">
        <f t="shared" si="31"/>
        <v>3000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9</v>
      </c>
      <c r="C203" s="206">
        <v>45301</v>
      </c>
      <c r="D203" s="161" t="s">
        <v>9</v>
      </c>
      <c r="E203" s="161" t="s">
        <v>4421</v>
      </c>
      <c r="F203" s="222">
        <v>300</v>
      </c>
      <c r="G203" s="222">
        <v>412</v>
      </c>
      <c r="H203" s="255">
        <v>112</v>
      </c>
      <c r="I203" s="207">
        <v>120</v>
      </c>
      <c r="J203" s="242">
        <f t="shared" si="31"/>
        <v>13440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10</v>
      </c>
      <c r="C204" s="206">
        <v>45302</v>
      </c>
      <c r="D204" s="161" t="s">
        <v>9</v>
      </c>
      <c r="E204" s="161" t="s">
        <v>4468</v>
      </c>
      <c r="F204" s="222">
        <v>320</v>
      </c>
      <c r="G204" s="222">
        <v>480</v>
      </c>
      <c r="H204" s="255">
        <f>480-320</f>
        <v>160</v>
      </c>
      <c r="I204" s="207">
        <v>120</v>
      </c>
      <c r="J204" s="242">
        <f t="shared" si="31"/>
        <v>19200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11</v>
      </c>
      <c r="C205" s="206">
        <v>45303</v>
      </c>
      <c r="D205" s="161" t="s">
        <v>9</v>
      </c>
      <c r="E205" s="161" t="s">
        <v>4468</v>
      </c>
      <c r="F205" s="222">
        <v>300</v>
      </c>
      <c r="G205" s="222">
        <v>330</v>
      </c>
      <c r="H205" s="255">
        <v>30</v>
      </c>
      <c r="I205" s="207">
        <v>120</v>
      </c>
      <c r="J205" s="242">
        <f t="shared" si="31"/>
        <v>3600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12</v>
      </c>
      <c r="C206" s="206">
        <v>45306</v>
      </c>
      <c r="D206" s="161" t="s">
        <v>9</v>
      </c>
      <c r="E206" s="161" t="s">
        <v>4460</v>
      </c>
      <c r="F206" s="222">
        <v>300</v>
      </c>
      <c r="G206" s="222">
        <v>335</v>
      </c>
      <c r="H206" s="255">
        <v>35</v>
      </c>
      <c r="I206" s="207">
        <v>120</v>
      </c>
      <c r="J206" s="242">
        <f t="shared" si="31"/>
        <v>4200</v>
      </c>
      <c r="K206" s="153"/>
      <c r="V206" s="25">
        <f t="shared" si="32"/>
        <v>1</v>
      </c>
      <c r="W206" s="25">
        <f t="shared" si="33"/>
        <v>0</v>
      </c>
    </row>
    <row r="207" spans="1:23" x14ac:dyDescent="0.3">
      <c r="A207" s="147"/>
      <c r="B207" s="205">
        <f t="shared" si="34"/>
        <v>13</v>
      </c>
      <c r="C207" s="206">
        <v>45306</v>
      </c>
      <c r="D207" s="161" t="s">
        <v>9</v>
      </c>
      <c r="E207" s="161" t="s">
        <v>4460</v>
      </c>
      <c r="F207" s="222">
        <v>320</v>
      </c>
      <c r="G207" s="222">
        <v>400</v>
      </c>
      <c r="H207" s="255">
        <f>400-320</f>
        <v>80</v>
      </c>
      <c r="I207" s="207">
        <v>120</v>
      </c>
      <c r="J207" s="242">
        <f t="shared" si="31"/>
        <v>9600</v>
      </c>
      <c r="K207" s="153"/>
      <c r="V207" s="25">
        <f t="shared" si="32"/>
        <v>1</v>
      </c>
      <c r="W207" s="25">
        <f t="shared" si="33"/>
        <v>0</v>
      </c>
    </row>
    <row r="208" spans="1:23" x14ac:dyDescent="0.3">
      <c r="A208" s="147"/>
      <c r="B208" s="205">
        <f t="shared" si="34"/>
        <v>14</v>
      </c>
      <c r="C208" s="206">
        <v>45307</v>
      </c>
      <c r="D208" s="161" t="s">
        <v>9</v>
      </c>
      <c r="E208" s="161" t="s">
        <v>4472</v>
      </c>
      <c r="F208" s="207">
        <v>320</v>
      </c>
      <c r="G208" s="207">
        <v>450</v>
      </c>
      <c r="H208" s="161">
        <f>450-320</f>
        <v>130</v>
      </c>
      <c r="I208" s="207">
        <v>120</v>
      </c>
      <c r="J208" s="242">
        <f t="shared" si="31"/>
        <v>15600</v>
      </c>
      <c r="K208" s="153"/>
      <c r="V208" s="25">
        <f t="shared" si="32"/>
        <v>1</v>
      </c>
      <c r="W208" s="25">
        <f t="shared" si="33"/>
        <v>0</v>
      </c>
    </row>
    <row r="209" spans="1:23" x14ac:dyDescent="0.3">
      <c r="A209" s="147"/>
      <c r="B209" s="205">
        <f t="shared" si="34"/>
        <v>15</v>
      </c>
      <c r="C209" s="206">
        <v>45308</v>
      </c>
      <c r="D209" s="161" t="s">
        <v>9</v>
      </c>
      <c r="E209" s="161" t="s">
        <v>4473</v>
      </c>
      <c r="F209" s="207">
        <v>310</v>
      </c>
      <c r="G209" s="207">
        <v>470</v>
      </c>
      <c r="H209" s="161">
        <f>470-310</f>
        <v>160</v>
      </c>
      <c r="I209" s="207">
        <v>120</v>
      </c>
      <c r="J209" s="242">
        <f t="shared" si="31"/>
        <v>19200</v>
      </c>
      <c r="K209" s="153"/>
      <c r="V209" s="25">
        <f t="shared" si="32"/>
        <v>1</v>
      </c>
      <c r="W209" s="25">
        <f t="shared" si="33"/>
        <v>0</v>
      </c>
    </row>
    <row r="210" spans="1:23" x14ac:dyDescent="0.3">
      <c r="A210" s="147"/>
      <c r="B210" s="205">
        <f t="shared" si="34"/>
        <v>16</v>
      </c>
      <c r="C210" s="206">
        <v>45309</v>
      </c>
      <c r="D210" s="161" t="s">
        <v>9</v>
      </c>
      <c r="E210" s="161" t="s">
        <v>4267</v>
      </c>
      <c r="F210" s="207">
        <v>300</v>
      </c>
      <c r="G210" s="207">
        <v>350</v>
      </c>
      <c r="H210" s="161">
        <v>50</v>
      </c>
      <c r="I210" s="207">
        <v>120</v>
      </c>
      <c r="J210" s="242">
        <f t="shared" si="31"/>
        <v>6000</v>
      </c>
      <c r="K210" s="153"/>
      <c r="V210" s="25">
        <f t="shared" si="32"/>
        <v>1</v>
      </c>
      <c r="W210" s="25">
        <f t="shared" si="33"/>
        <v>0</v>
      </c>
    </row>
    <row r="211" spans="1:23" x14ac:dyDescent="0.3">
      <c r="A211" s="147"/>
      <c r="B211" s="205">
        <f t="shared" si="34"/>
        <v>17</v>
      </c>
      <c r="C211" s="206">
        <v>45310</v>
      </c>
      <c r="D211" s="161" t="s">
        <v>9</v>
      </c>
      <c r="E211" s="161" t="s">
        <v>4477</v>
      </c>
      <c r="F211" s="207">
        <v>320</v>
      </c>
      <c r="G211" s="207">
        <v>360</v>
      </c>
      <c r="H211" s="161">
        <v>40</v>
      </c>
      <c r="I211" s="207">
        <v>120</v>
      </c>
      <c r="J211" s="242">
        <f t="shared" si="31"/>
        <v>4800</v>
      </c>
      <c r="K211" s="153"/>
      <c r="V211" s="25">
        <f t="shared" si="32"/>
        <v>1</v>
      </c>
      <c r="W211" s="25">
        <f t="shared" si="33"/>
        <v>0</v>
      </c>
    </row>
    <row r="212" spans="1:23" x14ac:dyDescent="0.3">
      <c r="A212" s="147"/>
      <c r="B212" s="205">
        <f t="shared" si="34"/>
        <v>18</v>
      </c>
      <c r="C212" s="206">
        <v>45311</v>
      </c>
      <c r="D212" s="161" t="s">
        <v>9</v>
      </c>
      <c r="E212" s="161" t="s">
        <v>4479</v>
      </c>
      <c r="F212" s="207">
        <v>300</v>
      </c>
      <c r="G212" s="207">
        <v>380</v>
      </c>
      <c r="H212" s="161">
        <v>80</v>
      </c>
      <c r="I212" s="207">
        <v>120</v>
      </c>
      <c r="J212" s="242">
        <f t="shared" si="31"/>
        <v>9600</v>
      </c>
      <c r="K212" s="153"/>
      <c r="V212" s="25">
        <f t="shared" si="32"/>
        <v>1</v>
      </c>
      <c r="W212" s="25">
        <f t="shared" si="33"/>
        <v>0</v>
      </c>
    </row>
    <row r="213" spans="1:23" x14ac:dyDescent="0.3">
      <c r="A213" s="147"/>
      <c r="B213" s="205">
        <f t="shared" si="34"/>
        <v>19</v>
      </c>
      <c r="C213" s="206">
        <v>45314</v>
      </c>
      <c r="D213" s="161" t="s">
        <v>9</v>
      </c>
      <c r="E213" s="161" t="s">
        <v>4481</v>
      </c>
      <c r="F213" s="207">
        <v>320</v>
      </c>
      <c r="G213" s="207">
        <v>480</v>
      </c>
      <c r="H213" s="161">
        <f>480-320</f>
        <v>160</v>
      </c>
      <c r="I213" s="207">
        <v>120</v>
      </c>
      <c r="J213" s="161">
        <f t="shared" si="31"/>
        <v>19200</v>
      </c>
      <c r="K213" s="153"/>
      <c r="V213" s="25">
        <f t="shared" si="32"/>
        <v>1</v>
      </c>
      <c r="W213" s="25">
        <f t="shared" si="33"/>
        <v>0</v>
      </c>
    </row>
    <row r="214" spans="1:23" x14ac:dyDescent="0.3">
      <c r="A214" s="147"/>
      <c r="B214" s="205">
        <f t="shared" si="34"/>
        <v>20</v>
      </c>
      <c r="C214" s="206">
        <v>45315</v>
      </c>
      <c r="D214" s="161" t="s">
        <v>9</v>
      </c>
      <c r="E214" s="161" t="s">
        <v>4284</v>
      </c>
      <c r="F214" s="207">
        <v>300</v>
      </c>
      <c r="G214" s="207">
        <v>380</v>
      </c>
      <c r="H214" s="161">
        <v>80</v>
      </c>
      <c r="I214" s="207">
        <v>120</v>
      </c>
      <c r="J214" s="161">
        <f t="shared" si="31"/>
        <v>9600</v>
      </c>
      <c r="K214" s="153"/>
      <c r="V214" s="25">
        <f t="shared" si="32"/>
        <v>1</v>
      </c>
      <c r="W214" s="25">
        <f t="shared" si="33"/>
        <v>0</v>
      </c>
    </row>
    <row r="215" spans="1:23" x14ac:dyDescent="0.3">
      <c r="A215" s="147"/>
      <c r="B215" s="205">
        <f t="shared" si="34"/>
        <v>21</v>
      </c>
      <c r="C215" s="206">
        <v>45316</v>
      </c>
      <c r="D215" s="161" t="s">
        <v>9</v>
      </c>
      <c r="E215" s="161" t="s">
        <v>4266</v>
      </c>
      <c r="F215" s="207">
        <v>300</v>
      </c>
      <c r="G215" s="207">
        <v>460</v>
      </c>
      <c r="H215" s="161">
        <v>160</v>
      </c>
      <c r="I215" s="207">
        <v>120</v>
      </c>
      <c r="J215" s="161">
        <f t="shared" si="31"/>
        <v>19200</v>
      </c>
      <c r="K215" s="153"/>
      <c r="V215" s="25">
        <f t="shared" si="32"/>
        <v>1</v>
      </c>
      <c r="W215" s="25">
        <f t="shared" si="33"/>
        <v>0</v>
      </c>
    </row>
    <row r="216" spans="1:23" x14ac:dyDescent="0.3">
      <c r="A216" s="147"/>
      <c r="B216" s="205">
        <f t="shared" si="34"/>
        <v>22</v>
      </c>
      <c r="C216" s="206">
        <v>45320</v>
      </c>
      <c r="D216" s="161" t="s">
        <v>9</v>
      </c>
      <c r="E216" s="161" t="s">
        <v>4485</v>
      </c>
      <c r="F216" s="207">
        <v>300</v>
      </c>
      <c r="G216" s="207">
        <v>460</v>
      </c>
      <c r="H216" s="161">
        <v>160</v>
      </c>
      <c r="I216" s="207">
        <v>120</v>
      </c>
      <c r="J216" s="161">
        <f t="shared" si="31"/>
        <v>19200</v>
      </c>
      <c r="K216" s="153"/>
      <c r="T216" s="25" t="s">
        <v>2008</v>
      </c>
      <c r="V216" s="25">
        <f t="shared" si="32"/>
        <v>1</v>
      </c>
      <c r="W216" s="25">
        <f t="shared" si="33"/>
        <v>0</v>
      </c>
    </row>
    <row r="217" spans="1:23" x14ac:dyDescent="0.3">
      <c r="A217" s="147"/>
      <c r="B217" s="269">
        <v>23</v>
      </c>
      <c r="C217" s="264">
        <v>45321</v>
      </c>
      <c r="D217" s="265" t="s">
        <v>9</v>
      </c>
      <c r="E217" s="265" t="s">
        <v>4486</v>
      </c>
      <c r="F217" s="266">
        <v>300</v>
      </c>
      <c r="G217" s="266">
        <v>338</v>
      </c>
      <c r="H217" s="265">
        <v>38</v>
      </c>
      <c r="I217" s="266">
        <v>120</v>
      </c>
      <c r="J217" s="161">
        <f t="shared" si="31"/>
        <v>4560</v>
      </c>
      <c r="K217" s="153"/>
      <c r="V217" s="25">
        <f t="shared" si="32"/>
        <v>1</v>
      </c>
      <c r="W217" s="25">
        <f t="shared" si="33"/>
        <v>0</v>
      </c>
    </row>
    <row r="218" spans="1:23" x14ac:dyDescent="0.3">
      <c r="A218" s="147"/>
      <c r="B218" s="269">
        <v>24</v>
      </c>
      <c r="C218" s="264">
        <v>45322</v>
      </c>
      <c r="D218" s="265" t="s">
        <v>9</v>
      </c>
      <c r="E218" s="265" t="s">
        <v>4255</v>
      </c>
      <c r="F218" s="266">
        <v>320</v>
      </c>
      <c r="G218" s="266">
        <v>480</v>
      </c>
      <c r="H218" s="265">
        <f>480-320</f>
        <v>160</v>
      </c>
      <c r="I218" s="266">
        <v>120</v>
      </c>
      <c r="J218" s="161">
        <f t="shared" si="31"/>
        <v>19200</v>
      </c>
      <c r="K218" s="153"/>
      <c r="V218" s="25">
        <f t="shared" si="32"/>
        <v>1</v>
      </c>
      <c r="W218" s="25">
        <f t="shared" si="33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1"/>
        <v>0</v>
      </c>
      <c r="K219" s="153"/>
      <c r="V219" s="25">
        <f t="shared" si="32"/>
        <v>0</v>
      </c>
      <c r="W219" s="25">
        <f t="shared" si="33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1"/>
        <v>0</v>
      </c>
      <c r="K220" s="153"/>
      <c r="V220" s="25">
        <f t="shared" si="32"/>
        <v>0</v>
      </c>
      <c r="W220" s="25">
        <f t="shared" si="33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240000</v>
      </c>
      <c r="K221" s="153"/>
      <c r="V221" s="25">
        <f>SUM(V195:V220)</f>
        <v>21</v>
      </c>
      <c r="W221" s="25">
        <f>SUM(W195:W220)</f>
        <v>3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4490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45292</v>
      </c>
      <c r="D229" s="185" t="s">
        <v>9</v>
      </c>
      <c r="E229" s="185" t="s">
        <v>4456</v>
      </c>
      <c r="F229" s="231">
        <v>100</v>
      </c>
      <c r="G229" s="231">
        <v>108</v>
      </c>
      <c r="H229" s="231">
        <v>8</v>
      </c>
      <c r="I229" s="219">
        <v>300</v>
      </c>
      <c r="J229" s="246">
        <f t="shared" ref="J229:J252" si="35">I229*H229</f>
        <v>2400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45293</v>
      </c>
      <c r="D230" s="185" t="s">
        <v>9</v>
      </c>
      <c r="E230" s="185" t="s">
        <v>4457</v>
      </c>
      <c r="F230" s="231">
        <v>260</v>
      </c>
      <c r="G230" s="231">
        <v>312</v>
      </c>
      <c r="H230" s="231">
        <f>312-260</f>
        <v>52</v>
      </c>
      <c r="I230" s="219">
        <v>100</v>
      </c>
      <c r="J230" s="242">
        <f>I230*H230</f>
        <v>5200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6">B230+1</f>
        <v>3</v>
      </c>
      <c r="C231" s="206">
        <v>45294</v>
      </c>
      <c r="D231" s="161" t="s">
        <v>9</v>
      </c>
      <c r="E231" s="161" t="s">
        <v>4459</v>
      </c>
      <c r="F231" s="222">
        <v>92</v>
      </c>
      <c r="G231" s="222">
        <v>125</v>
      </c>
      <c r="H231" s="222">
        <f>125-92</f>
        <v>33</v>
      </c>
      <c r="I231" s="207">
        <v>300</v>
      </c>
      <c r="J231" s="242">
        <f t="shared" si="35"/>
        <v>9900</v>
      </c>
      <c r="K231" s="153"/>
      <c r="V231" s="25">
        <f t="shared" ref="V231:V252" si="37">IF($J231&gt;0,1,0)</f>
        <v>1</v>
      </c>
      <c r="W231" s="25">
        <f t="shared" ref="W231:W252" si="38">IF($J231&lt;0,1,0)</f>
        <v>0</v>
      </c>
    </row>
    <row r="232" spans="1:23" x14ac:dyDescent="0.3">
      <c r="A232" s="147"/>
      <c r="B232" s="205">
        <f t="shared" si="36"/>
        <v>4</v>
      </c>
      <c r="C232" s="206">
        <v>45295</v>
      </c>
      <c r="D232" s="161" t="s">
        <v>9</v>
      </c>
      <c r="E232" s="161" t="s">
        <v>4461</v>
      </c>
      <c r="F232" s="222">
        <v>130</v>
      </c>
      <c r="G232" s="222">
        <v>140</v>
      </c>
      <c r="H232" s="222">
        <v>10</v>
      </c>
      <c r="I232" s="207">
        <v>300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5</v>
      </c>
      <c r="C233" s="206">
        <v>45296</v>
      </c>
      <c r="D233" s="161" t="s">
        <v>9</v>
      </c>
      <c r="E233" s="161" t="s">
        <v>4463</v>
      </c>
      <c r="F233" s="222">
        <v>22</v>
      </c>
      <c r="G233" s="222">
        <v>23.6</v>
      </c>
      <c r="H233" s="222">
        <v>1.6</v>
      </c>
      <c r="I233" s="207">
        <v>700</v>
      </c>
      <c r="J233" s="242">
        <f t="shared" si="35"/>
        <v>1120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6</v>
      </c>
      <c r="C234" s="206">
        <v>45299</v>
      </c>
      <c r="D234" s="161" t="s">
        <v>9</v>
      </c>
      <c r="E234" s="161" t="s">
        <v>4187</v>
      </c>
      <c r="F234" s="222">
        <v>125</v>
      </c>
      <c r="G234" s="222">
        <v>133.19999999999999</v>
      </c>
      <c r="H234" s="222">
        <f>133.2-125</f>
        <v>8.1999999999999886</v>
      </c>
      <c r="I234" s="207">
        <v>300</v>
      </c>
      <c r="J234" s="242">
        <f t="shared" si="35"/>
        <v>2459.9999999999964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7</v>
      </c>
      <c r="C235" s="206">
        <v>45300</v>
      </c>
      <c r="D235" s="161" t="s">
        <v>9</v>
      </c>
      <c r="E235" s="161" t="s">
        <v>4466</v>
      </c>
      <c r="F235" s="222">
        <v>85</v>
      </c>
      <c r="G235" s="222">
        <v>97</v>
      </c>
      <c r="H235" s="222">
        <f>97-85</f>
        <v>12</v>
      </c>
      <c r="I235" s="207">
        <v>175</v>
      </c>
      <c r="J235" s="242">
        <f t="shared" si="35"/>
        <v>2100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8</v>
      </c>
      <c r="C236" s="206">
        <v>45301</v>
      </c>
      <c r="D236" s="161" t="s">
        <v>9</v>
      </c>
      <c r="E236" s="161" t="s">
        <v>4444</v>
      </c>
      <c r="F236" s="222">
        <v>200</v>
      </c>
      <c r="G236" s="222">
        <v>220</v>
      </c>
      <c r="H236" s="222">
        <v>20</v>
      </c>
      <c r="I236" s="207">
        <v>100</v>
      </c>
      <c r="J236" s="242">
        <f t="shared" si="35"/>
        <v>2000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9</v>
      </c>
      <c r="C237" s="206">
        <v>45302</v>
      </c>
      <c r="D237" s="161" t="s">
        <v>9</v>
      </c>
      <c r="E237" s="161" t="s">
        <v>4444</v>
      </c>
      <c r="F237" s="222">
        <v>230</v>
      </c>
      <c r="G237" s="222">
        <v>280</v>
      </c>
      <c r="H237" s="255">
        <v>50</v>
      </c>
      <c r="I237" s="207">
        <v>100</v>
      </c>
      <c r="J237" s="242">
        <f t="shared" si="35"/>
        <v>5000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10</v>
      </c>
      <c r="C238" s="206">
        <v>45303</v>
      </c>
      <c r="D238" s="161" t="s">
        <v>9</v>
      </c>
      <c r="E238" s="161" t="s">
        <v>4469</v>
      </c>
      <c r="F238" s="222">
        <v>230</v>
      </c>
      <c r="G238" s="222">
        <v>275</v>
      </c>
      <c r="H238" s="255">
        <f>275-230</f>
        <v>45</v>
      </c>
      <c r="I238" s="207">
        <v>100</v>
      </c>
      <c r="J238" s="242">
        <f t="shared" si="35"/>
        <v>4500</v>
      </c>
      <c r="K238" s="153"/>
      <c r="V238" s="25">
        <f t="shared" si="37"/>
        <v>1</v>
      </c>
      <c r="W238" s="25">
        <f t="shared" si="38"/>
        <v>0</v>
      </c>
    </row>
    <row r="239" spans="1:23" x14ac:dyDescent="0.3">
      <c r="A239" s="147"/>
      <c r="B239" s="205">
        <f t="shared" si="36"/>
        <v>11</v>
      </c>
      <c r="C239" s="206">
        <v>45306</v>
      </c>
      <c r="D239" s="161" t="s">
        <v>9</v>
      </c>
      <c r="E239" s="161" t="s">
        <v>4474</v>
      </c>
      <c r="F239" s="222">
        <v>83</v>
      </c>
      <c r="G239" s="222">
        <v>91</v>
      </c>
      <c r="H239" s="255">
        <f>91-83</f>
        <v>8</v>
      </c>
      <c r="I239" s="207">
        <v>300</v>
      </c>
      <c r="J239" s="242">
        <f t="shared" si="35"/>
        <v>2400</v>
      </c>
      <c r="K239" s="153"/>
      <c r="V239" s="25">
        <f t="shared" si="37"/>
        <v>1</v>
      </c>
      <c r="W239" s="25">
        <f t="shared" si="38"/>
        <v>0</v>
      </c>
    </row>
    <row r="240" spans="1:23" x14ac:dyDescent="0.3">
      <c r="A240" s="147"/>
      <c r="B240" s="205">
        <f t="shared" si="36"/>
        <v>12</v>
      </c>
      <c r="C240" s="206">
        <v>45307</v>
      </c>
      <c r="D240" s="161" t="s">
        <v>9</v>
      </c>
      <c r="E240" s="161" t="s">
        <v>4475</v>
      </c>
      <c r="F240" s="222">
        <v>210</v>
      </c>
      <c r="G240" s="222">
        <v>236</v>
      </c>
      <c r="H240" s="255">
        <f>236-210</f>
        <v>26</v>
      </c>
      <c r="I240" s="207">
        <v>100</v>
      </c>
      <c r="J240" s="242">
        <f t="shared" si="35"/>
        <v>2600</v>
      </c>
      <c r="K240" s="153"/>
      <c r="V240" s="25">
        <f t="shared" si="37"/>
        <v>1</v>
      </c>
      <c r="W240" s="25">
        <f t="shared" si="38"/>
        <v>0</v>
      </c>
    </row>
    <row r="241" spans="1:23" x14ac:dyDescent="0.3">
      <c r="A241" s="147"/>
      <c r="B241" s="205">
        <f t="shared" si="36"/>
        <v>13</v>
      </c>
      <c r="C241" s="206">
        <v>45308</v>
      </c>
      <c r="D241" s="161" t="s">
        <v>9</v>
      </c>
      <c r="E241" s="161" t="s">
        <v>4474</v>
      </c>
      <c r="F241" s="222">
        <v>82</v>
      </c>
      <c r="G241" s="222">
        <v>102</v>
      </c>
      <c r="H241" s="255">
        <f>102-82</f>
        <v>20</v>
      </c>
      <c r="I241" s="207">
        <v>300</v>
      </c>
      <c r="J241" s="242">
        <f t="shared" si="35"/>
        <v>6000</v>
      </c>
      <c r="K241" s="153"/>
      <c r="V241" s="25">
        <f t="shared" si="37"/>
        <v>1</v>
      </c>
      <c r="W241" s="25">
        <f t="shared" si="38"/>
        <v>0</v>
      </c>
    </row>
    <row r="242" spans="1:23" x14ac:dyDescent="0.3">
      <c r="A242" s="147"/>
      <c r="B242" s="205">
        <f t="shared" si="36"/>
        <v>14</v>
      </c>
      <c r="C242" s="206">
        <v>45309</v>
      </c>
      <c r="D242" s="161" t="s">
        <v>9</v>
      </c>
      <c r="E242" s="161" t="s">
        <v>4476</v>
      </c>
      <c r="F242" s="222">
        <v>18</v>
      </c>
      <c r="G242" s="222">
        <v>21</v>
      </c>
      <c r="H242" s="255">
        <v>3</v>
      </c>
      <c r="I242" s="207">
        <v>700</v>
      </c>
      <c r="J242" s="242">
        <f>I242*H242</f>
        <v>2100</v>
      </c>
      <c r="K242" s="153"/>
      <c r="V242" s="25">
        <f t="shared" si="37"/>
        <v>1</v>
      </c>
      <c r="W242" s="25">
        <f t="shared" si="38"/>
        <v>0</v>
      </c>
    </row>
    <row r="243" spans="1:23" x14ac:dyDescent="0.3">
      <c r="A243" s="147"/>
      <c r="B243" s="205">
        <f t="shared" si="36"/>
        <v>15</v>
      </c>
      <c r="C243" s="206">
        <v>45310</v>
      </c>
      <c r="D243" s="161" t="s">
        <v>9</v>
      </c>
      <c r="E243" s="161" t="s">
        <v>4478</v>
      </c>
      <c r="F243" s="222">
        <v>21</v>
      </c>
      <c r="G243" s="222">
        <v>15</v>
      </c>
      <c r="H243" s="255">
        <v>-6</v>
      </c>
      <c r="I243" s="207">
        <v>625</v>
      </c>
      <c r="J243" s="242">
        <f t="shared" si="35"/>
        <v>-3750</v>
      </c>
      <c r="K243" s="153"/>
      <c r="V243" s="25">
        <f t="shared" si="37"/>
        <v>0</v>
      </c>
      <c r="W243" s="25">
        <f t="shared" si="38"/>
        <v>1</v>
      </c>
    </row>
    <row r="244" spans="1:23" x14ac:dyDescent="0.3">
      <c r="A244" s="147"/>
      <c r="B244" s="205">
        <f t="shared" si="36"/>
        <v>16</v>
      </c>
      <c r="C244" s="206">
        <v>45311</v>
      </c>
      <c r="D244" s="161" t="s">
        <v>9</v>
      </c>
      <c r="E244" s="161" t="s">
        <v>4480</v>
      </c>
      <c r="F244" s="222">
        <v>140</v>
      </c>
      <c r="G244" s="222">
        <v>170</v>
      </c>
      <c r="H244" s="222">
        <v>30</v>
      </c>
      <c r="I244" s="207">
        <v>100</v>
      </c>
      <c r="J244" s="242">
        <f t="shared" si="35"/>
        <v>3000</v>
      </c>
      <c r="K244" s="153"/>
      <c r="V244" s="25">
        <f t="shared" si="37"/>
        <v>1</v>
      </c>
      <c r="W244" s="25">
        <f t="shared" si="38"/>
        <v>0</v>
      </c>
    </row>
    <row r="245" spans="1:23" x14ac:dyDescent="0.3">
      <c r="A245" s="147"/>
      <c r="B245" s="205">
        <f t="shared" si="36"/>
        <v>17</v>
      </c>
      <c r="C245" s="206">
        <v>45314</v>
      </c>
      <c r="D245" s="161" t="s">
        <v>9</v>
      </c>
      <c r="E245" s="161" t="s">
        <v>3197</v>
      </c>
      <c r="F245" s="222">
        <v>14</v>
      </c>
      <c r="G245" s="222">
        <v>26</v>
      </c>
      <c r="H245" s="222">
        <f>26-14</f>
        <v>12</v>
      </c>
      <c r="I245" s="207">
        <v>550</v>
      </c>
      <c r="J245" s="242">
        <f t="shared" si="35"/>
        <v>6600</v>
      </c>
      <c r="K245" s="153"/>
      <c r="V245" s="25">
        <f t="shared" si="37"/>
        <v>1</v>
      </c>
      <c r="W245" s="25">
        <f t="shared" si="38"/>
        <v>0</v>
      </c>
    </row>
    <row r="246" spans="1:23" x14ac:dyDescent="0.3">
      <c r="A246" s="147"/>
      <c r="B246" s="205">
        <f t="shared" si="36"/>
        <v>18</v>
      </c>
      <c r="C246" s="206">
        <v>45315</v>
      </c>
      <c r="D246" s="161" t="s">
        <v>9</v>
      </c>
      <c r="E246" s="161" t="s">
        <v>4482</v>
      </c>
      <c r="F246" s="222">
        <v>9</v>
      </c>
      <c r="G246" s="222">
        <v>12</v>
      </c>
      <c r="H246" s="222">
        <v>3</v>
      </c>
      <c r="I246" s="207">
        <v>1500</v>
      </c>
      <c r="J246" s="242">
        <f t="shared" si="35"/>
        <v>4500</v>
      </c>
      <c r="K246" s="153"/>
      <c r="V246" s="25">
        <f t="shared" si="37"/>
        <v>1</v>
      </c>
      <c r="W246" s="25">
        <f t="shared" si="38"/>
        <v>0</v>
      </c>
    </row>
    <row r="247" spans="1:23" x14ac:dyDescent="0.3">
      <c r="A247" s="147"/>
      <c r="B247" s="205">
        <f t="shared" si="36"/>
        <v>19</v>
      </c>
      <c r="C247" s="206">
        <v>45316</v>
      </c>
      <c r="D247" s="161" t="s">
        <v>9</v>
      </c>
      <c r="E247" s="161" t="s">
        <v>4483</v>
      </c>
      <c r="F247" s="222">
        <v>3</v>
      </c>
      <c r="G247" s="222">
        <v>4.6500000000000004</v>
      </c>
      <c r="H247" s="222">
        <v>1.65</v>
      </c>
      <c r="I247" s="207">
        <v>1500</v>
      </c>
      <c r="J247" s="242">
        <f t="shared" si="35"/>
        <v>2475</v>
      </c>
      <c r="K247" s="153"/>
      <c r="V247" s="25">
        <f t="shared" si="37"/>
        <v>1</v>
      </c>
      <c r="W247" s="25">
        <f t="shared" si="38"/>
        <v>0</v>
      </c>
    </row>
    <row r="248" spans="1:23" x14ac:dyDescent="0.3">
      <c r="A248" s="147"/>
      <c r="B248" s="205">
        <f t="shared" si="36"/>
        <v>20</v>
      </c>
      <c r="C248" s="206">
        <v>45320</v>
      </c>
      <c r="D248" s="161" t="s">
        <v>9</v>
      </c>
      <c r="E248" s="161" t="s">
        <v>4487</v>
      </c>
      <c r="F248" s="222">
        <v>260</v>
      </c>
      <c r="G248" s="222">
        <v>272</v>
      </c>
      <c r="H248" s="222">
        <f>272-260</f>
        <v>12</v>
      </c>
      <c r="I248" s="207">
        <v>100</v>
      </c>
      <c r="J248" s="242">
        <f t="shared" si="35"/>
        <v>1200</v>
      </c>
      <c r="K248" s="153"/>
      <c r="V248" s="25">
        <f t="shared" si="37"/>
        <v>1</v>
      </c>
      <c r="W248" s="25">
        <f t="shared" si="38"/>
        <v>0</v>
      </c>
    </row>
    <row r="249" spans="1:23" x14ac:dyDescent="0.3">
      <c r="A249" s="147"/>
      <c r="B249" s="205">
        <f t="shared" si="36"/>
        <v>21</v>
      </c>
      <c r="C249" s="206">
        <v>45321</v>
      </c>
      <c r="D249" s="161" t="s">
        <v>9</v>
      </c>
      <c r="E249" s="161" t="s">
        <v>4488</v>
      </c>
      <c r="F249" s="222">
        <v>245</v>
      </c>
      <c r="G249" s="222">
        <v>258</v>
      </c>
      <c r="H249" s="222">
        <f>258-245</f>
        <v>13</v>
      </c>
      <c r="I249" s="207">
        <v>125</v>
      </c>
      <c r="J249" s="242">
        <f t="shared" si="35"/>
        <v>1625</v>
      </c>
      <c r="K249" s="153"/>
      <c r="V249" s="25">
        <f t="shared" si="37"/>
        <v>1</v>
      </c>
      <c r="W249" s="25">
        <f t="shared" si="38"/>
        <v>0</v>
      </c>
    </row>
    <row r="250" spans="1:23" x14ac:dyDescent="0.3">
      <c r="A250" s="147"/>
      <c r="B250" s="205">
        <f t="shared" si="36"/>
        <v>22</v>
      </c>
      <c r="C250" s="206">
        <v>45322</v>
      </c>
      <c r="D250" s="161" t="s">
        <v>9</v>
      </c>
      <c r="E250" s="161" t="s">
        <v>4487</v>
      </c>
      <c r="F250" s="222">
        <v>260</v>
      </c>
      <c r="G250" s="222">
        <v>320</v>
      </c>
      <c r="H250" s="222">
        <f>320-260</f>
        <v>60</v>
      </c>
      <c r="I250" s="207">
        <v>100</v>
      </c>
      <c r="J250" s="242">
        <f t="shared" si="35"/>
        <v>6000</v>
      </c>
      <c r="K250" s="153"/>
      <c r="V250" s="25">
        <f t="shared" si="37"/>
        <v>1</v>
      </c>
      <c r="W250" s="25">
        <f t="shared" si="38"/>
        <v>0</v>
      </c>
    </row>
    <row r="251" spans="1:23" x14ac:dyDescent="0.3">
      <c r="A251" s="147"/>
      <c r="B251" s="205">
        <f t="shared" si="36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5"/>
        <v>0</v>
      </c>
      <c r="K251" s="153"/>
      <c r="V251" s="25">
        <f t="shared" si="37"/>
        <v>0</v>
      </c>
      <c r="W251" s="25">
        <f t="shared" si="38"/>
        <v>0</v>
      </c>
    </row>
    <row r="252" spans="1:23" ht="15" thickBot="1" x14ac:dyDescent="0.35">
      <c r="A252" s="147"/>
      <c r="B252" s="208">
        <f t="shared" si="36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5"/>
        <v>0</v>
      </c>
      <c r="K252" s="153"/>
      <c r="V252" s="25">
        <f t="shared" si="37"/>
        <v>0</v>
      </c>
      <c r="W252" s="25">
        <f t="shared" si="38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72430</v>
      </c>
      <c r="K253" s="153"/>
      <c r="V253" s="25">
        <f>SUM(V229:V252)</f>
        <v>21</v>
      </c>
      <c r="W253" s="25">
        <f>SUM(W229:W252)</f>
        <v>1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8100-000000000000}"/>
    <hyperlink ref="B118" r:id="rId2" xr:uid="{00000000-0004-0000-8100-000001000000}"/>
    <hyperlink ref="B153" r:id="rId3" xr:uid="{00000000-0004-0000-8100-000002000000}"/>
    <hyperlink ref="B187" r:id="rId4" xr:uid="{00000000-0004-0000-8100-000003000000}"/>
    <hyperlink ref="B221" r:id="rId5" xr:uid="{00000000-0004-0000-8100-000004000000}"/>
    <hyperlink ref="B253" r:id="rId6" xr:uid="{00000000-0004-0000-8100-000005000000}"/>
    <hyperlink ref="M1" location="'MASTER '!A1" display="Back" xr:uid="{00000000-0004-0000-8100-000006000000}"/>
    <hyperlink ref="M6:M7" location="'JAN 2024'!A77" display="STOCK FUTURE" xr:uid="{00000000-0004-0000-8100-000007000000}"/>
    <hyperlink ref="M12:M13" location="'JAN 2024'!A170" display="BANK NIFTY" xr:uid="{00000000-0004-0000-8100-000008000000}"/>
    <hyperlink ref="M10:M11" location="'JAN 2024'!A139" display="NF. OPTION" xr:uid="{00000000-0004-0000-8100-000009000000}"/>
    <hyperlink ref="M8:M9" location="'JAN 2024'!A108" display="NIFTY FUTURE" xr:uid="{00000000-0004-0000-8100-00000A000000}"/>
    <hyperlink ref="M4:M5" location="'JAN 2024'!A1" display="CASH" xr:uid="{00000000-0004-0000-8100-00000B000000}"/>
    <hyperlink ref="M14:M15" location="'JAN 2024'!A201" display="B.NIFTY OPTION" xr:uid="{00000000-0004-0000-8100-00000C000000}"/>
    <hyperlink ref="M16:M17" location="'JAN 2024'!A216" display="STOCK OPTION" xr:uid="{00000000-0004-0000-8100-00000D000000}"/>
    <hyperlink ref="B52" r:id="rId7" xr:uid="{00000000-0004-0000-8100-00000E000000}"/>
  </hyperlinks>
  <pageMargins left="0" right="0" top="0" bottom="0" header="0" footer="0"/>
  <pageSetup scale="95" orientation="portrait" r:id="rId8"/>
  <drawing r:id="rId9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W254"/>
  <sheetViews>
    <sheetView topLeftCell="A221" zoomScaleNormal="100" workbookViewId="0">
      <selection activeCell="N189" sqref="N189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4491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34</v>
      </c>
      <c r="P4" s="386">
        <f>W52</f>
        <v>8</v>
      </c>
      <c r="Q4" s="387">
        <f>N4-O4-P4</f>
        <v>0</v>
      </c>
      <c r="R4" s="380">
        <f>O4/N4</f>
        <v>0.80952380952380953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45323</v>
      </c>
      <c r="D6" s="158" t="s">
        <v>9</v>
      </c>
      <c r="E6" s="158" t="s">
        <v>3515</v>
      </c>
      <c r="F6" s="230">
        <v>3040</v>
      </c>
      <c r="G6" s="222">
        <v>3070</v>
      </c>
      <c r="H6" s="222">
        <v>30</v>
      </c>
      <c r="I6" s="207">
        <f t="shared" ref="I6:I39" si="0">300000/F6</f>
        <v>98.684210526315795</v>
      </c>
      <c r="J6" s="161">
        <f>H6*I6</f>
        <v>2960.5263157894738</v>
      </c>
      <c r="K6" s="153"/>
      <c r="M6" s="394" t="s">
        <v>450</v>
      </c>
      <c r="N6" s="344">
        <f>COUNT(C60:C85)</f>
        <v>21</v>
      </c>
      <c r="O6" s="346">
        <f>V86</f>
        <v>21</v>
      </c>
      <c r="P6" s="346">
        <f>W86</f>
        <v>0</v>
      </c>
      <c r="Q6" s="374">
        <f>N6-O6-P6</f>
        <v>0</v>
      </c>
      <c r="R6" s="376">
        <f t="shared" ref="R6" si="1">O6/N6</f>
        <v>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45323</v>
      </c>
      <c r="D7" s="161" t="s">
        <v>9</v>
      </c>
      <c r="E7" s="161" t="s">
        <v>31</v>
      </c>
      <c r="F7" s="222">
        <v>2870</v>
      </c>
      <c r="G7" s="231">
        <v>2845</v>
      </c>
      <c r="H7" s="255">
        <f>2845-2870</f>
        <v>-25</v>
      </c>
      <c r="I7" s="207">
        <f t="shared" si="0"/>
        <v>104.52961672473867</v>
      </c>
      <c r="J7" s="246">
        <f t="shared" ref="J7:J39" si="5">I7*H7</f>
        <v>-2613.240418118467</v>
      </c>
      <c r="K7" s="153"/>
      <c r="M7" s="396"/>
      <c r="N7" s="385"/>
      <c r="O7" s="382"/>
      <c r="P7" s="382"/>
      <c r="Q7" s="383"/>
      <c r="R7" s="384"/>
      <c r="V7" s="25">
        <f t="shared" si="2"/>
        <v>0</v>
      </c>
      <c r="W7" s="25">
        <f t="shared" si="3"/>
        <v>1</v>
      </c>
    </row>
    <row r="8" spans="1:23" x14ac:dyDescent="0.3">
      <c r="A8" s="147"/>
      <c r="B8" s="205">
        <f t="shared" si="4"/>
        <v>3</v>
      </c>
      <c r="C8" s="206">
        <v>45324</v>
      </c>
      <c r="D8" s="161" t="s">
        <v>9</v>
      </c>
      <c r="E8" s="161" t="s">
        <v>3515</v>
      </c>
      <c r="F8" s="222">
        <v>3040</v>
      </c>
      <c r="G8" s="222">
        <v>3010</v>
      </c>
      <c r="H8" s="222">
        <v>-30</v>
      </c>
      <c r="I8" s="207">
        <f t="shared" si="0"/>
        <v>98.684210526315795</v>
      </c>
      <c r="J8" s="246">
        <f t="shared" si="5"/>
        <v>-2960.5263157894738</v>
      </c>
      <c r="K8" s="153"/>
      <c r="M8" s="394" t="s">
        <v>451</v>
      </c>
      <c r="N8" s="344">
        <f>COUNT(C94:C117)</f>
        <v>21</v>
      </c>
      <c r="O8" s="346">
        <f>V118</f>
        <v>18</v>
      </c>
      <c r="P8" s="346">
        <f>W118</f>
        <v>3</v>
      </c>
      <c r="Q8" s="374">
        <f>N8-O8-P8</f>
        <v>0</v>
      </c>
      <c r="R8" s="376">
        <f t="shared" ref="R8" si="6">O8/N8</f>
        <v>0.8571428571428571</v>
      </c>
      <c r="V8" s="25">
        <f t="shared" si="2"/>
        <v>0</v>
      </c>
      <c r="W8" s="25">
        <f t="shared" si="3"/>
        <v>1</v>
      </c>
    </row>
    <row r="9" spans="1:23" x14ac:dyDescent="0.3">
      <c r="A9" s="147"/>
      <c r="B9" s="205">
        <f t="shared" si="4"/>
        <v>4</v>
      </c>
      <c r="C9" s="206">
        <v>45324</v>
      </c>
      <c r="D9" s="161" t="s">
        <v>9</v>
      </c>
      <c r="E9" s="161" t="s">
        <v>105</v>
      </c>
      <c r="F9" s="222">
        <v>506</v>
      </c>
      <c r="G9" s="231">
        <v>512</v>
      </c>
      <c r="H9" s="255">
        <v>6</v>
      </c>
      <c r="I9" s="207">
        <f t="shared" si="0"/>
        <v>592.88537549407113</v>
      </c>
      <c r="J9" s="246">
        <f t="shared" si="5"/>
        <v>3557.312252964427</v>
      </c>
      <c r="K9" s="153"/>
      <c r="M9" s="396"/>
      <c r="N9" s="385"/>
      <c r="O9" s="382"/>
      <c r="P9" s="382"/>
      <c r="Q9" s="383"/>
      <c r="R9" s="384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45327</v>
      </c>
      <c r="D10" s="161" t="s">
        <v>9</v>
      </c>
      <c r="E10" s="161" t="s">
        <v>19</v>
      </c>
      <c r="F10" s="222">
        <v>650</v>
      </c>
      <c r="G10" s="222">
        <v>653</v>
      </c>
      <c r="H10" s="222">
        <v>3</v>
      </c>
      <c r="I10" s="207">
        <f t="shared" si="0"/>
        <v>461.53846153846155</v>
      </c>
      <c r="J10" s="246">
        <f t="shared" si="5"/>
        <v>1384.6153846153848</v>
      </c>
      <c r="K10" s="153"/>
      <c r="M10" s="394" t="s">
        <v>1176</v>
      </c>
      <c r="N10" s="344">
        <f>COUNT(C126:C152)</f>
        <v>26</v>
      </c>
      <c r="O10" s="346">
        <f>V153</f>
        <v>18</v>
      </c>
      <c r="P10" s="346">
        <f>W153</f>
        <v>8</v>
      </c>
      <c r="Q10" s="374">
        <f>N10-O10-P10</f>
        <v>0</v>
      </c>
      <c r="R10" s="376">
        <f t="shared" ref="R10:R16" si="7">O10/N10</f>
        <v>0.69230769230769229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45327</v>
      </c>
      <c r="D11" s="161" t="s">
        <v>9</v>
      </c>
      <c r="E11" s="161" t="s">
        <v>3515</v>
      </c>
      <c r="F11" s="222">
        <v>3000</v>
      </c>
      <c r="G11" s="222">
        <v>2970</v>
      </c>
      <c r="H11" s="255">
        <v>-30</v>
      </c>
      <c r="I11" s="207">
        <f t="shared" si="0"/>
        <v>100</v>
      </c>
      <c r="J11" s="246">
        <f t="shared" si="5"/>
        <v>-3000</v>
      </c>
      <c r="K11" s="153"/>
      <c r="M11" s="396"/>
      <c r="N11" s="385"/>
      <c r="O11" s="382"/>
      <c r="P11" s="382"/>
      <c r="Q11" s="383"/>
      <c r="R11" s="384"/>
      <c r="V11" s="25">
        <f t="shared" si="2"/>
        <v>0</v>
      </c>
      <c r="W11" s="25">
        <f t="shared" si="3"/>
        <v>1</v>
      </c>
    </row>
    <row r="12" spans="1:23" x14ac:dyDescent="0.3">
      <c r="A12" s="147"/>
      <c r="B12" s="205">
        <f t="shared" si="4"/>
        <v>7</v>
      </c>
      <c r="C12" s="206">
        <v>45328</v>
      </c>
      <c r="D12" s="161" t="s">
        <v>9</v>
      </c>
      <c r="E12" s="161" t="s">
        <v>4493</v>
      </c>
      <c r="F12" s="222">
        <v>652</v>
      </c>
      <c r="G12" s="222">
        <v>664</v>
      </c>
      <c r="H12" s="222">
        <f>664-652</f>
        <v>12</v>
      </c>
      <c r="I12" s="207">
        <f t="shared" si="0"/>
        <v>460.12269938650309</v>
      </c>
      <c r="J12" s="246">
        <f t="shared" si="5"/>
        <v>5521.4723926380375</v>
      </c>
      <c r="K12" s="153"/>
      <c r="M12" s="394" t="s">
        <v>41</v>
      </c>
      <c r="N12" s="344">
        <f>COUNT(C161:C186)</f>
        <v>21</v>
      </c>
      <c r="O12" s="346">
        <f>V187</f>
        <v>19</v>
      </c>
      <c r="P12" s="346">
        <f>W187</f>
        <v>2</v>
      </c>
      <c r="Q12" s="374">
        <f t="shared" ref="Q12" si="8">N12-O12-P12</f>
        <v>0</v>
      </c>
      <c r="R12" s="376">
        <f t="shared" si="7"/>
        <v>0.90476190476190477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45328</v>
      </c>
      <c r="D13" s="161" t="s">
        <v>9</v>
      </c>
      <c r="E13" s="161" t="s">
        <v>95</v>
      </c>
      <c r="F13" s="222">
        <v>1025</v>
      </c>
      <c r="G13" s="222">
        <v>1034</v>
      </c>
      <c r="H13" s="255">
        <f>1034-1025</f>
        <v>9</v>
      </c>
      <c r="I13" s="207">
        <f t="shared" si="0"/>
        <v>292.6829268292683</v>
      </c>
      <c r="J13" s="246">
        <f t="shared" si="5"/>
        <v>2634.1463414634145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45329</v>
      </c>
      <c r="D14" s="161" t="s">
        <v>9</v>
      </c>
      <c r="E14" s="161" t="s">
        <v>2093</v>
      </c>
      <c r="F14" s="222">
        <v>945</v>
      </c>
      <c r="G14" s="222">
        <v>965</v>
      </c>
      <c r="H14" s="222">
        <v>20</v>
      </c>
      <c r="I14" s="207">
        <f t="shared" si="0"/>
        <v>317.46031746031747</v>
      </c>
      <c r="J14" s="246">
        <f t="shared" si="5"/>
        <v>6349.2063492063498</v>
      </c>
      <c r="K14" s="153"/>
      <c r="M14" s="394" t="s">
        <v>1175</v>
      </c>
      <c r="N14" s="344">
        <f>COUNT(C195:C220)</f>
        <v>26</v>
      </c>
      <c r="O14" s="346">
        <f>V221</f>
        <v>19</v>
      </c>
      <c r="P14" s="346">
        <f>W221</f>
        <v>7</v>
      </c>
      <c r="Q14" s="374">
        <f t="shared" ref="Q14" si="9">N14-O14-P14</f>
        <v>0</v>
      </c>
      <c r="R14" s="376">
        <f t="shared" si="7"/>
        <v>0.73076923076923073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45329</v>
      </c>
      <c r="D15" s="161" t="s">
        <v>9</v>
      </c>
      <c r="E15" s="161" t="s">
        <v>2482</v>
      </c>
      <c r="F15" s="222">
        <v>176</v>
      </c>
      <c r="G15" s="222">
        <v>178</v>
      </c>
      <c r="H15" s="222">
        <v>2</v>
      </c>
      <c r="I15" s="207">
        <f t="shared" si="0"/>
        <v>1704.5454545454545</v>
      </c>
      <c r="J15" s="246">
        <f t="shared" si="5"/>
        <v>3409.090909090909</v>
      </c>
      <c r="K15" s="153"/>
      <c r="M15" s="396"/>
      <c r="N15" s="385"/>
      <c r="O15" s="382"/>
      <c r="P15" s="382"/>
      <c r="Q15" s="383"/>
      <c r="R15" s="384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45330</v>
      </c>
      <c r="D16" s="161" t="s">
        <v>9</v>
      </c>
      <c r="E16" s="161" t="s">
        <v>3515</v>
      </c>
      <c r="F16" s="222">
        <v>3020</v>
      </c>
      <c r="G16" s="222">
        <v>3080</v>
      </c>
      <c r="H16" s="222">
        <v>60</v>
      </c>
      <c r="I16" s="207">
        <f t="shared" si="0"/>
        <v>99.337748344370866</v>
      </c>
      <c r="J16" s="246">
        <f t="shared" si="5"/>
        <v>5960.2649006622523</v>
      </c>
      <c r="K16" s="153"/>
      <c r="L16" s="25" t="s">
        <v>2008</v>
      </c>
      <c r="M16" s="394" t="s">
        <v>1090</v>
      </c>
      <c r="N16" s="344">
        <f>COUNT(C229:C252)</f>
        <v>21</v>
      </c>
      <c r="O16" s="346">
        <f>V253</f>
        <v>20</v>
      </c>
      <c r="P16" s="346">
        <f>W253</f>
        <v>1</v>
      </c>
      <c r="Q16" s="374">
        <v>0</v>
      </c>
      <c r="R16" s="376">
        <f t="shared" si="7"/>
        <v>0.95238095238095233</v>
      </c>
      <c r="V16" s="25">
        <f t="shared" si="2"/>
        <v>1</v>
      </c>
      <c r="W16" s="25">
        <f t="shared" si="3"/>
        <v>0</v>
      </c>
    </row>
    <row r="17" spans="1:23" ht="15" thickBot="1" x14ac:dyDescent="0.35">
      <c r="A17" s="147"/>
      <c r="B17" s="205">
        <f t="shared" si="4"/>
        <v>12</v>
      </c>
      <c r="C17" s="206">
        <v>45330</v>
      </c>
      <c r="D17" s="161" t="s">
        <v>9</v>
      </c>
      <c r="E17" s="161" t="s">
        <v>3516</v>
      </c>
      <c r="F17" s="222">
        <v>3740</v>
      </c>
      <c r="G17" s="222">
        <v>3820</v>
      </c>
      <c r="H17" s="222">
        <f>3820-3740</f>
        <v>80</v>
      </c>
      <c r="I17" s="207">
        <f t="shared" si="0"/>
        <v>80.213903743315512</v>
      </c>
      <c r="J17" s="246">
        <f t="shared" si="5"/>
        <v>6417.1122994652414</v>
      </c>
      <c r="K17" s="153"/>
      <c r="M17" s="395"/>
      <c r="N17" s="385"/>
      <c r="O17" s="373"/>
      <c r="P17" s="373"/>
      <c r="Q17" s="375"/>
      <c r="R17" s="377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45331</v>
      </c>
      <c r="D18" s="161" t="s">
        <v>9</v>
      </c>
      <c r="E18" s="161" t="s">
        <v>95</v>
      </c>
      <c r="F18" s="222">
        <v>1002</v>
      </c>
      <c r="G18" s="222">
        <v>1012</v>
      </c>
      <c r="H18" s="222">
        <v>10</v>
      </c>
      <c r="I18" s="207">
        <f t="shared" si="0"/>
        <v>299.40119760479041</v>
      </c>
      <c r="J18" s="246">
        <f t="shared" si="5"/>
        <v>2994.0119760479042</v>
      </c>
      <c r="K18" s="153"/>
      <c r="M18" s="392" t="s">
        <v>946</v>
      </c>
      <c r="N18" s="378">
        <f>SUM(N4:N17)</f>
        <v>178</v>
      </c>
      <c r="O18" s="378">
        <f t="shared" ref="O18:Q18" si="10">SUM(O4:O17)</f>
        <v>149</v>
      </c>
      <c r="P18" s="378">
        <f t="shared" si="10"/>
        <v>29</v>
      </c>
      <c r="Q18" s="378">
        <f t="shared" si="10"/>
        <v>0</v>
      </c>
      <c r="R18" s="380">
        <f t="shared" ref="R18" si="11">O18/N18</f>
        <v>0.8370786516853933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45331</v>
      </c>
      <c r="D19" s="161" t="s">
        <v>8</v>
      </c>
      <c r="E19" s="161" t="s">
        <v>3444</v>
      </c>
      <c r="F19" s="222">
        <v>225</v>
      </c>
      <c r="G19" s="222">
        <v>219</v>
      </c>
      <c r="H19" s="222">
        <f>225-219</f>
        <v>6</v>
      </c>
      <c r="I19" s="207">
        <f t="shared" si="0"/>
        <v>1333.3333333333333</v>
      </c>
      <c r="J19" s="246">
        <f t="shared" si="5"/>
        <v>8000</v>
      </c>
      <c r="K19" s="153"/>
      <c r="M19" s="393"/>
      <c r="N19" s="379"/>
      <c r="O19" s="379"/>
      <c r="P19" s="379"/>
      <c r="Q19" s="379"/>
      <c r="R19" s="377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45334</v>
      </c>
      <c r="D20" s="161" t="s">
        <v>9</v>
      </c>
      <c r="E20" s="161" t="s">
        <v>578</v>
      </c>
      <c r="F20" s="222">
        <v>1690</v>
      </c>
      <c r="G20" s="222">
        <v>1683</v>
      </c>
      <c r="H20" s="222">
        <v>-7</v>
      </c>
      <c r="I20" s="207">
        <f t="shared" si="0"/>
        <v>177.51479289940829</v>
      </c>
      <c r="J20" s="246">
        <f t="shared" si="5"/>
        <v>-1242.603550295858</v>
      </c>
      <c r="K20" s="153"/>
      <c r="M20" s="316" t="s">
        <v>2253</v>
      </c>
      <c r="N20" s="317"/>
      <c r="O20" s="318"/>
      <c r="P20" s="325">
        <f>R18</f>
        <v>0.8370786516853933</v>
      </c>
      <c r="Q20" s="326"/>
      <c r="R20" s="327"/>
      <c r="V20" s="25">
        <f t="shared" si="2"/>
        <v>0</v>
      </c>
      <c r="W20" s="25">
        <f t="shared" si="3"/>
        <v>1</v>
      </c>
    </row>
    <row r="21" spans="1:23" ht="15" customHeight="1" x14ac:dyDescent="0.3">
      <c r="A21" s="147"/>
      <c r="B21" s="205">
        <f t="shared" si="4"/>
        <v>16</v>
      </c>
      <c r="C21" s="206">
        <v>45334</v>
      </c>
      <c r="D21" s="161" t="s">
        <v>8</v>
      </c>
      <c r="E21" s="161" t="s">
        <v>95</v>
      </c>
      <c r="F21" s="222">
        <v>1006</v>
      </c>
      <c r="G21" s="222">
        <v>986</v>
      </c>
      <c r="H21" s="222">
        <f>1006-986</f>
        <v>20</v>
      </c>
      <c r="I21" s="207">
        <f t="shared" si="0"/>
        <v>298.21073558648112</v>
      </c>
      <c r="J21" s="246">
        <f t="shared" si="5"/>
        <v>5964.2147117296226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45335</v>
      </c>
      <c r="D22" s="161" t="s">
        <v>9</v>
      </c>
      <c r="E22" s="161" t="s">
        <v>3515</v>
      </c>
      <c r="F22" s="222">
        <v>2870</v>
      </c>
      <c r="G22" s="222">
        <v>2930</v>
      </c>
      <c r="H22" s="222">
        <f>2930-2870</f>
        <v>60</v>
      </c>
      <c r="I22" s="207">
        <f t="shared" si="0"/>
        <v>104.52961672473867</v>
      </c>
      <c r="J22" s="246">
        <f t="shared" si="5"/>
        <v>6271.7770034843206</v>
      </c>
      <c r="K22" s="153"/>
      <c r="M22" s="322"/>
      <c r="N22" s="323"/>
      <c r="O22" s="324"/>
      <c r="P22" s="331"/>
      <c r="Q22" s="332"/>
      <c r="R22" s="33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45335</v>
      </c>
      <c r="D23" s="161" t="s">
        <v>9</v>
      </c>
      <c r="E23" s="161" t="s">
        <v>19</v>
      </c>
      <c r="F23" s="222">
        <v>710</v>
      </c>
      <c r="G23" s="222">
        <v>718</v>
      </c>
      <c r="H23" s="222">
        <v>8</v>
      </c>
      <c r="I23" s="207">
        <f t="shared" si="0"/>
        <v>422.53521126760563</v>
      </c>
      <c r="J23" s="246">
        <f t="shared" si="5"/>
        <v>3380.2816901408451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45336</v>
      </c>
      <c r="D24" s="161" t="s">
        <v>9</v>
      </c>
      <c r="E24" s="161" t="s">
        <v>982</v>
      </c>
      <c r="F24" s="222">
        <v>1275</v>
      </c>
      <c r="G24" s="222">
        <v>1265</v>
      </c>
      <c r="H24" s="222">
        <v>-10</v>
      </c>
      <c r="I24" s="207">
        <f t="shared" si="0"/>
        <v>235.29411764705881</v>
      </c>
      <c r="J24" s="246">
        <f t="shared" si="5"/>
        <v>-2352.9411764705883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45336</v>
      </c>
      <c r="D25" s="161" t="s">
        <v>9</v>
      </c>
      <c r="E25" s="161" t="s">
        <v>19</v>
      </c>
      <c r="F25" s="222">
        <v>712</v>
      </c>
      <c r="G25" s="222">
        <v>724</v>
      </c>
      <c r="H25" s="222">
        <f>724-712</f>
        <v>12</v>
      </c>
      <c r="I25" s="207">
        <f t="shared" si="0"/>
        <v>421.34831460674155</v>
      </c>
      <c r="J25" s="246">
        <f t="shared" si="5"/>
        <v>5056.1797752808989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45337</v>
      </c>
      <c r="D26" s="161" t="s">
        <v>9</v>
      </c>
      <c r="E26" s="161" t="s">
        <v>189</v>
      </c>
      <c r="F26" s="222">
        <v>230</v>
      </c>
      <c r="G26" s="222">
        <v>233</v>
      </c>
      <c r="H26" s="222">
        <v>3</v>
      </c>
      <c r="I26" s="207">
        <f t="shared" si="0"/>
        <v>1304.3478260869565</v>
      </c>
      <c r="J26" s="246">
        <f t="shared" si="5"/>
        <v>3913.0434782608695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45337</v>
      </c>
      <c r="D27" s="161" t="s">
        <v>9</v>
      </c>
      <c r="E27" s="161" t="s">
        <v>115</v>
      </c>
      <c r="F27" s="222">
        <v>478</v>
      </c>
      <c r="G27" s="222">
        <v>481.25</v>
      </c>
      <c r="H27" s="222">
        <f>481.25-478</f>
        <v>3.25</v>
      </c>
      <c r="I27" s="207">
        <f t="shared" si="0"/>
        <v>627.61506276150624</v>
      </c>
      <c r="J27" s="246">
        <f t="shared" si="5"/>
        <v>2039.7489539748954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45338</v>
      </c>
      <c r="D28" s="161" t="s">
        <v>9</v>
      </c>
      <c r="E28" s="161" t="s">
        <v>3515</v>
      </c>
      <c r="F28" s="222">
        <v>3070</v>
      </c>
      <c r="G28" s="222">
        <v>3104</v>
      </c>
      <c r="H28" s="222">
        <f>3104-3070</f>
        <v>34</v>
      </c>
      <c r="I28" s="207">
        <f t="shared" si="0"/>
        <v>97.719869706840385</v>
      </c>
      <c r="J28" s="246">
        <f t="shared" si="5"/>
        <v>3322.4755700325732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45338</v>
      </c>
      <c r="D29" s="161" t="s">
        <v>9</v>
      </c>
      <c r="E29" s="161" t="s">
        <v>19</v>
      </c>
      <c r="F29" s="222">
        <v>761</v>
      </c>
      <c r="G29" s="222">
        <v>773</v>
      </c>
      <c r="H29" s="222">
        <f>773-761</f>
        <v>12</v>
      </c>
      <c r="I29" s="207">
        <f t="shared" si="0"/>
        <v>394.21813403416559</v>
      </c>
      <c r="J29" s="246">
        <f t="shared" si="5"/>
        <v>4730.617608409987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45341</v>
      </c>
      <c r="D30" s="161" t="s">
        <v>9</v>
      </c>
      <c r="E30" s="161" t="s">
        <v>117</v>
      </c>
      <c r="F30" s="222">
        <v>591</v>
      </c>
      <c r="G30" s="222">
        <v>594</v>
      </c>
      <c r="H30" s="222">
        <v>3</v>
      </c>
      <c r="I30" s="207">
        <f t="shared" si="0"/>
        <v>507.61421319796955</v>
      </c>
      <c r="J30" s="246">
        <f t="shared" si="5"/>
        <v>1522.8426395939086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45341</v>
      </c>
      <c r="D31" s="161" t="s">
        <v>8</v>
      </c>
      <c r="E31" s="161" t="s">
        <v>58</v>
      </c>
      <c r="F31" s="223">
        <v>1065</v>
      </c>
      <c r="G31" s="222">
        <v>1060</v>
      </c>
      <c r="H31" s="255">
        <v>5</v>
      </c>
      <c r="I31" s="207">
        <f t="shared" si="0"/>
        <v>281.6901408450704</v>
      </c>
      <c r="J31" s="246">
        <f t="shared" si="5"/>
        <v>1408.450704225352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45342</v>
      </c>
      <c r="D32" s="161" t="s">
        <v>9</v>
      </c>
      <c r="E32" s="161" t="s">
        <v>3515</v>
      </c>
      <c r="F32" s="222">
        <v>3010</v>
      </c>
      <c r="G32" s="222">
        <v>2990</v>
      </c>
      <c r="H32" s="222">
        <v>-20</v>
      </c>
      <c r="I32" s="207">
        <f t="shared" si="0"/>
        <v>99.667774086378742</v>
      </c>
      <c r="J32" s="246">
        <f t="shared" si="5"/>
        <v>-1993.3554817275749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45342</v>
      </c>
      <c r="D33" s="161" t="s">
        <v>9</v>
      </c>
      <c r="E33" s="161" t="s">
        <v>26</v>
      </c>
      <c r="F33" s="223">
        <v>864</v>
      </c>
      <c r="G33" s="222">
        <v>868</v>
      </c>
      <c r="H33" s="255">
        <v>4</v>
      </c>
      <c r="I33" s="207">
        <f t="shared" si="0"/>
        <v>347.22222222222223</v>
      </c>
      <c r="J33" s="246">
        <f t="shared" si="5"/>
        <v>1388.8888888888889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45343</v>
      </c>
      <c r="D34" s="161" t="s">
        <v>9</v>
      </c>
      <c r="E34" s="161" t="s">
        <v>3589</v>
      </c>
      <c r="F34" s="222">
        <v>372</v>
      </c>
      <c r="G34" s="222">
        <v>373.6</v>
      </c>
      <c r="H34" s="222">
        <v>1.6</v>
      </c>
      <c r="I34" s="207">
        <f t="shared" si="0"/>
        <v>806.45161290322585</v>
      </c>
      <c r="J34" s="246">
        <f t="shared" si="5"/>
        <v>1290.3225806451615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45343</v>
      </c>
      <c r="D35" s="161" t="s">
        <v>9</v>
      </c>
      <c r="E35" s="161" t="s">
        <v>19</v>
      </c>
      <c r="F35" s="222">
        <v>765</v>
      </c>
      <c r="G35" s="222">
        <v>774.9</v>
      </c>
      <c r="H35" s="222">
        <v>9.9</v>
      </c>
      <c r="I35" s="207">
        <f t="shared" si="0"/>
        <v>392.15686274509807</v>
      </c>
      <c r="J35" s="246">
        <f t="shared" si="5"/>
        <v>3882.3529411764712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45344</v>
      </c>
      <c r="D36" s="161" t="s">
        <v>9</v>
      </c>
      <c r="E36" s="161" t="s">
        <v>184</v>
      </c>
      <c r="F36" s="222">
        <v>528</v>
      </c>
      <c r="G36" s="222">
        <v>522</v>
      </c>
      <c r="H36" s="222">
        <v>-6</v>
      </c>
      <c r="I36" s="207">
        <f t="shared" si="0"/>
        <v>568.18181818181813</v>
      </c>
      <c r="J36" s="246">
        <f t="shared" si="5"/>
        <v>-3409.090909090909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45344</v>
      </c>
      <c r="D37" s="161" t="s">
        <v>9</v>
      </c>
      <c r="E37" s="161" t="s">
        <v>117</v>
      </c>
      <c r="F37" s="222">
        <v>586</v>
      </c>
      <c r="G37" s="222">
        <v>593</v>
      </c>
      <c r="H37" s="222">
        <f>593-586</f>
        <v>7</v>
      </c>
      <c r="I37" s="207">
        <f t="shared" si="0"/>
        <v>511.9453924914676</v>
      </c>
      <c r="J37" s="246">
        <f t="shared" si="5"/>
        <v>3583.617747440273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45345</v>
      </c>
      <c r="D38" s="161" t="s">
        <v>9</v>
      </c>
      <c r="E38" s="161" t="s">
        <v>95</v>
      </c>
      <c r="F38" s="222">
        <v>1065</v>
      </c>
      <c r="G38" s="222">
        <v>1069.3499999999999</v>
      </c>
      <c r="H38" s="222">
        <v>4.3499999999999996</v>
      </c>
      <c r="I38" s="207">
        <f t="shared" si="0"/>
        <v>281.6901408450704</v>
      </c>
      <c r="J38" s="246">
        <f t="shared" si="5"/>
        <v>1225.3521126760561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45345</v>
      </c>
      <c r="D39" s="161" t="s">
        <v>9</v>
      </c>
      <c r="E39" s="161" t="s">
        <v>4210</v>
      </c>
      <c r="F39" s="222">
        <v>1392</v>
      </c>
      <c r="G39" s="222">
        <v>1402</v>
      </c>
      <c r="H39" s="222">
        <f>1402-1392</f>
        <v>10</v>
      </c>
      <c r="I39" s="207">
        <f t="shared" si="0"/>
        <v>215.51724137931035</v>
      </c>
      <c r="J39" s="246">
        <f t="shared" si="5"/>
        <v>2155.1724137931033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45348</v>
      </c>
      <c r="D40" s="161" t="s">
        <v>9</v>
      </c>
      <c r="E40" s="161" t="s">
        <v>19</v>
      </c>
      <c r="F40" s="222">
        <v>764</v>
      </c>
      <c r="G40" s="222">
        <v>756</v>
      </c>
      <c r="H40" s="222">
        <v>-8</v>
      </c>
      <c r="I40" s="207">
        <f t="shared" ref="I40:I47" si="12">300000/F40</f>
        <v>392.67015706806285</v>
      </c>
      <c r="J40" s="246">
        <f t="shared" ref="J40:J47" si="13">I40*H40</f>
        <v>-3141.3612565445028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45348</v>
      </c>
      <c r="D41" s="161" t="s">
        <v>8</v>
      </c>
      <c r="E41" s="161" t="s">
        <v>365</v>
      </c>
      <c r="F41" s="222">
        <v>815</v>
      </c>
      <c r="G41" s="223">
        <v>807</v>
      </c>
      <c r="H41" s="222">
        <v>8</v>
      </c>
      <c r="I41" s="207">
        <f t="shared" si="12"/>
        <v>368.09815950920245</v>
      </c>
      <c r="J41" s="246">
        <f t="shared" si="13"/>
        <v>2944.7852760736196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45349</v>
      </c>
      <c r="D42" s="161" t="s">
        <v>9</v>
      </c>
      <c r="E42" s="161" t="s">
        <v>184</v>
      </c>
      <c r="F42" s="222">
        <v>533</v>
      </c>
      <c r="G42" s="222">
        <v>534</v>
      </c>
      <c r="H42" s="222">
        <v>1</v>
      </c>
      <c r="I42" s="207">
        <f t="shared" si="12"/>
        <v>562.85178236397746</v>
      </c>
      <c r="J42" s="246">
        <f t="shared" si="13"/>
        <v>562.85178236397746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45349</v>
      </c>
      <c r="D43" s="161" t="s">
        <v>9</v>
      </c>
      <c r="E43" s="161" t="s">
        <v>3063</v>
      </c>
      <c r="F43" s="222">
        <v>1555</v>
      </c>
      <c r="G43" s="222">
        <v>1569</v>
      </c>
      <c r="H43" s="222">
        <f>1569-1555</f>
        <v>14</v>
      </c>
      <c r="I43" s="207">
        <f t="shared" si="12"/>
        <v>192.92604501607718</v>
      </c>
      <c r="J43" s="246">
        <f t="shared" si="13"/>
        <v>2700.9646302250803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45350</v>
      </c>
      <c r="D44" s="161" t="s">
        <v>9</v>
      </c>
      <c r="E44" s="161" t="s">
        <v>124</v>
      </c>
      <c r="F44" s="222">
        <v>974</v>
      </c>
      <c r="G44" s="222">
        <v>964</v>
      </c>
      <c r="H44" s="222">
        <f>974-964</f>
        <v>10</v>
      </c>
      <c r="I44" s="207">
        <f t="shared" si="12"/>
        <v>308.00821355236138</v>
      </c>
      <c r="J44" s="246">
        <f t="shared" si="13"/>
        <v>3080.0821355236139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45350</v>
      </c>
      <c r="D45" s="161" t="s">
        <v>9</v>
      </c>
      <c r="E45" s="161" t="s">
        <v>3747</v>
      </c>
      <c r="F45" s="222">
        <v>1145</v>
      </c>
      <c r="G45" s="222">
        <v>1151</v>
      </c>
      <c r="H45" s="222">
        <f>1151-1145</f>
        <v>6</v>
      </c>
      <c r="I45" s="207">
        <f t="shared" si="12"/>
        <v>262.00873362445412</v>
      </c>
      <c r="J45" s="246">
        <f t="shared" si="13"/>
        <v>1572.0524017467246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45351</v>
      </c>
      <c r="D46" s="161" t="s">
        <v>9</v>
      </c>
      <c r="E46" s="161" t="s">
        <v>3464</v>
      </c>
      <c r="F46" s="222">
        <v>261</v>
      </c>
      <c r="G46" s="222">
        <v>263</v>
      </c>
      <c r="H46" s="222">
        <v>2</v>
      </c>
      <c r="I46" s="207">
        <f t="shared" si="12"/>
        <v>1149.4252873563219</v>
      </c>
      <c r="J46" s="246">
        <f t="shared" si="13"/>
        <v>2298.8505747126437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45351</v>
      </c>
      <c r="D47" s="161" t="s">
        <v>9</v>
      </c>
      <c r="E47" s="161" t="s">
        <v>173</v>
      </c>
      <c r="F47" s="222">
        <v>2800</v>
      </c>
      <c r="G47" s="222">
        <v>2824</v>
      </c>
      <c r="H47" s="222">
        <v>24</v>
      </c>
      <c r="I47" s="207">
        <f t="shared" si="12"/>
        <v>107.14285714285714</v>
      </c>
      <c r="J47" s="246">
        <f t="shared" si="13"/>
        <v>2571.4285714285716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95340.99420573347</v>
      </c>
      <c r="K52" s="153"/>
      <c r="V52" s="25">
        <f>SUM(V6:V51)</f>
        <v>34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4491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45689</v>
      </c>
      <c r="D60" s="161" t="s">
        <v>9</v>
      </c>
      <c r="E60" s="161" t="s">
        <v>3562</v>
      </c>
      <c r="F60" s="222">
        <v>6140</v>
      </c>
      <c r="G60" s="222">
        <v>6240</v>
      </c>
      <c r="H60" s="222">
        <f>6240-6140</f>
        <v>100</v>
      </c>
      <c r="I60" s="279">
        <v>100</v>
      </c>
      <c r="J60" s="241">
        <f t="shared" ref="J60:J85" si="14">I60*H60</f>
        <v>10000</v>
      </c>
      <c r="K60" s="153"/>
      <c r="V60" s="25">
        <f t="shared" ref="V60:V80" si="15">IF($J60&gt;0,1,0)</f>
        <v>1</v>
      </c>
      <c r="W60" s="25">
        <f t="shared" ref="W60:W80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45324</v>
      </c>
      <c r="D61" s="161" t="s">
        <v>9</v>
      </c>
      <c r="E61" s="161" t="s">
        <v>4303</v>
      </c>
      <c r="F61" s="222">
        <v>5490</v>
      </c>
      <c r="G61" s="222">
        <v>5545</v>
      </c>
      <c r="H61" s="222">
        <f>5545-5490</f>
        <v>55</v>
      </c>
      <c r="I61" s="207">
        <v>150</v>
      </c>
      <c r="J61" s="242">
        <f t="shared" si="14"/>
        <v>8250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45327</v>
      </c>
      <c r="D62" s="161" t="s">
        <v>9</v>
      </c>
      <c r="E62" s="161" t="s">
        <v>3562</v>
      </c>
      <c r="F62" s="222">
        <v>6400</v>
      </c>
      <c r="G62" s="222">
        <v>6480</v>
      </c>
      <c r="H62" s="222">
        <v>80</v>
      </c>
      <c r="I62" s="207">
        <v>100</v>
      </c>
      <c r="J62" s="242">
        <f t="shared" si="14"/>
        <v>8000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45328</v>
      </c>
      <c r="D63" s="161" t="s">
        <v>9</v>
      </c>
      <c r="E63" s="161" t="s">
        <v>3562</v>
      </c>
      <c r="F63" s="222">
        <v>6320</v>
      </c>
      <c r="G63" s="222">
        <v>6400</v>
      </c>
      <c r="H63" s="222">
        <f>6400-6320</f>
        <v>80</v>
      </c>
      <c r="I63" s="207">
        <v>100</v>
      </c>
      <c r="J63" s="242">
        <f t="shared" si="14"/>
        <v>8000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45329</v>
      </c>
      <c r="D64" s="161" t="s">
        <v>9</v>
      </c>
      <c r="E64" s="161" t="s">
        <v>3562</v>
      </c>
      <c r="F64" s="222">
        <v>6360</v>
      </c>
      <c r="G64" s="222">
        <v>6380</v>
      </c>
      <c r="H64" s="222">
        <v>20</v>
      </c>
      <c r="I64" s="207">
        <v>100</v>
      </c>
      <c r="J64" s="242">
        <f t="shared" si="14"/>
        <v>2000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45330</v>
      </c>
      <c r="D65" s="161" t="s">
        <v>9</v>
      </c>
      <c r="E65" s="161" t="s">
        <v>2093</v>
      </c>
      <c r="F65" s="222">
        <v>997</v>
      </c>
      <c r="G65" s="222">
        <v>1005</v>
      </c>
      <c r="H65" s="222">
        <f>1005-997</f>
        <v>8</v>
      </c>
      <c r="I65" s="207">
        <v>800</v>
      </c>
      <c r="J65" s="242">
        <f t="shared" si="14"/>
        <v>6400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45331</v>
      </c>
      <c r="D66" s="161" t="s">
        <v>9</v>
      </c>
      <c r="E66" s="161" t="s">
        <v>3562</v>
      </c>
      <c r="F66" s="222">
        <v>6260</v>
      </c>
      <c r="G66" s="222">
        <v>6300</v>
      </c>
      <c r="H66" s="222">
        <f>6300-6260</f>
        <v>40</v>
      </c>
      <c r="I66" s="207">
        <v>100</v>
      </c>
      <c r="J66" s="242">
        <f t="shared" si="14"/>
        <v>4000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45334</v>
      </c>
      <c r="D67" s="161" t="s">
        <v>9</v>
      </c>
      <c r="E67" s="161" t="s">
        <v>3562</v>
      </c>
      <c r="F67" s="222">
        <v>6330</v>
      </c>
      <c r="G67" s="222">
        <v>6350</v>
      </c>
      <c r="H67" s="222">
        <v>20</v>
      </c>
      <c r="I67" s="207">
        <v>100</v>
      </c>
      <c r="J67" s="242">
        <f t="shared" si="14"/>
        <v>2000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45335</v>
      </c>
      <c r="D68" s="161" t="s">
        <v>9</v>
      </c>
      <c r="E68" s="161" t="s">
        <v>58</v>
      </c>
      <c r="F68" s="222">
        <v>1060</v>
      </c>
      <c r="G68" s="222">
        <v>1074</v>
      </c>
      <c r="H68" s="222">
        <v>14</v>
      </c>
      <c r="I68" s="207">
        <v>100</v>
      </c>
      <c r="J68" s="242">
        <f t="shared" si="14"/>
        <v>1400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45336</v>
      </c>
      <c r="D69" s="161" t="s">
        <v>9</v>
      </c>
      <c r="E69" s="161" t="s">
        <v>3562</v>
      </c>
      <c r="F69" s="222">
        <v>6300</v>
      </c>
      <c r="G69" s="222">
        <v>6360</v>
      </c>
      <c r="H69" s="222">
        <v>60</v>
      </c>
      <c r="I69" s="207">
        <v>100</v>
      </c>
      <c r="J69" s="242">
        <f t="shared" si="14"/>
        <v>6000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45337</v>
      </c>
      <c r="D70" s="161" t="s">
        <v>9</v>
      </c>
      <c r="E70" s="161" t="s">
        <v>4509</v>
      </c>
      <c r="F70" s="161">
        <v>2985</v>
      </c>
      <c r="G70" s="222">
        <v>3020</v>
      </c>
      <c r="H70" s="222">
        <f>3020-2985</f>
        <v>35</v>
      </c>
      <c r="I70" s="207">
        <v>300</v>
      </c>
      <c r="J70" s="242">
        <f t="shared" si="14"/>
        <v>10500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45338</v>
      </c>
      <c r="D71" s="161" t="s">
        <v>9</v>
      </c>
      <c r="E71" s="161" t="s">
        <v>3562</v>
      </c>
      <c r="F71" s="222">
        <v>6430</v>
      </c>
      <c r="G71" s="222">
        <v>6445</v>
      </c>
      <c r="H71" s="222">
        <f>6445-6430</f>
        <v>15</v>
      </c>
      <c r="I71" s="207">
        <v>100</v>
      </c>
      <c r="J71" s="242">
        <f t="shared" si="14"/>
        <v>1500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45341</v>
      </c>
      <c r="D72" s="161" t="s">
        <v>9</v>
      </c>
      <c r="E72" s="161" t="s">
        <v>3562</v>
      </c>
      <c r="F72" s="222">
        <v>6520</v>
      </c>
      <c r="G72" s="222">
        <v>6600</v>
      </c>
      <c r="H72" s="222">
        <f>6600-6520</f>
        <v>80</v>
      </c>
      <c r="I72" s="207">
        <v>100</v>
      </c>
      <c r="J72" s="242">
        <f t="shared" si="14"/>
        <v>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45342</v>
      </c>
      <c r="D73" s="161" t="s">
        <v>9</v>
      </c>
      <c r="E73" s="161" t="s">
        <v>16</v>
      </c>
      <c r="F73" s="222">
        <v>3710</v>
      </c>
      <c r="G73" s="222">
        <v>3720</v>
      </c>
      <c r="H73" s="255">
        <v>10</v>
      </c>
      <c r="I73" s="207">
        <v>175</v>
      </c>
      <c r="J73" s="242">
        <f t="shared" si="14"/>
        <v>1750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45343</v>
      </c>
      <c r="D74" s="265" t="s">
        <v>9</v>
      </c>
      <c r="E74" s="265" t="s">
        <v>124</v>
      </c>
      <c r="F74" s="277">
        <v>933</v>
      </c>
      <c r="G74" s="267">
        <v>937</v>
      </c>
      <c r="H74" s="222">
        <v>4</v>
      </c>
      <c r="I74" s="207">
        <v>1425</v>
      </c>
      <c r="J74" s="242">
        <f t="shared" si="14"/>
        <v>5700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45344</v>
      </c>
      <c r="D75" s="265" t="s">
        <v>9</v>
      </c>
      <c r="E75" s="265" t="s">
        <v>3562</v>
      </c>
      <c r="F75" s="277">
        <v>6760</v>
      </c>
      <c r="G75" s="267">
        <v>6800</v>
      </c>
      <c r="H75" s="222">
        <f>6800-6760</f>
        <v>40</v>
      </c>
      <c r="I75" s="207">
        <v>100</v>
      </c>
      <c r="J75" s="242">
        <f t="shared" si="14"/>
        <v>4000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45345</v>
      </c>
      <c r="D76" s="161" t="s">
        <v>9</v>
      </c>
      <c r="E76" s="161" t="s">
        <v>3445</v>
      </c>
      <c r="F76" s="222">
        <v>4800</v>
      </c>
      <c r="G76" s="222">
        <v>4840</v>
      </c>
      <c r="H76" s="222">
        <v>40</v>
      </c>
      <c r="I76" s="207">
        <v>100</v>
      </c>
      <c r="J76" s="242">
        <f t="shared" si="14"/>
        <v>4000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45348</v>
      </c>
      <c r="D77" s="161" t="s">
        <v>9</v>
      </c>
      <c r="E77" s="161" t="s">
        <v>299</v>
      </c>
      <c r="F77" s="222">
        <v>3305</v>
      </c>
      <c r="G77" s="222">
        <v>3350</v>
      </c>
      <c r="H77" s="222">
        <v>45</v>
      </c>
      <c r="I77" s="207">
        <v>300</v>
      </c>
      <c r="J77" s="242">
        <f t="shared" si="14"/>
        <v>13500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45349</v>
      </c>
      <c r="D78" s="161" t="s">
        <v>9</v>
      </c>
      <c r="E78" s="161" t="s">
        <v>4509</v>
      </c>
      <c r="F78" s="223">
        <v>3050</v>
      </c>
      <c r="G78" s="222">
        <v>3100</v>
      </c>
      <c r="H78" s="255">
        <f>3100-3050</f>
        <v>50</v>
      </c>
      <c r="I78" s="207">
        <v>300</v>
      </c>
      <c r="J78" s="242">
        <f t="shared" si="14"/>
        <v>15000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45350</v>
      </c>
      <c r="D79" s="161" t="s">
        <v>9</v>
      </c>
      <c r="E79" s="161" t="s">
        <v>4509</v>
      </c>
      <c r="F79" s="222">
        <v>3135</v>
      </c>
      <c r="G79" s="222">
        <v>3162</v>
      </c>
      <c r="H79" s="222">
        <f>3162-3135</f>
        <v>27</v>
      </c>
      <c r="I79" s="207">
        <v>300</v>
      </c>
      <c r="J79" s="242">
        <f t="shared" si="14"/>
        <v>8100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45351</v>
      </c>
      <c r="D80" s="161" t="s">
        <v>9</v>
      </c>
      <c r="E80" s="161" t="s">
        <v>3562</v>
      </c>
      <c r="F80" s="222">
        <v>6540</v>
      </c>
      <c r="G80" s="222">
        <v>6620</v>
      </c>
      <c r="H80" s="222">
        <f>6620-6540</f>
        <v>80</v>
      </c>
      <c r="I80" s="207">
        <v>100</v>
      </c>
      <c r="J80" s="242">
        <f t="shared" si="14"/>
        <v>8000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>IF($J82&gt;0,1,0)</f>
        <v>0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>IF($J85&gt;0,1,0)</f>
        <v>0</v>
      </c>
      <c r="W85" s="25">
        <f>IF($J85&lt;0,1,0)</f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136100</v>
      </c>
      <c r="K86" s="153"/>
      <c r="V86" s="25">
        <f>SUM(V60:V85)</f>
        <v>21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4491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45323</v>
      </c>
      <c r="D94" s="185" t="s">
        <v>9</v>
      </c>
      <c r="E94" s="185" t="s">
        <v>39</v>
      </c>
      <c r="F94" s="219">
        <v>21820</v>
      </c>
      <c r="G94" s="219">
        <v>21900</v>
      </c>
      <c r="H94" s="185">
        <f>21900-21820</f>
        <v>80</v>
      </c>
      <c r="I94" s="219">
        <v>150</v>
      </c>
      <c r="J94" s="246">
        <f t="shared" ref="J94:J117" si="18">I94*H94</f>
        <v>12000</v>
      </c>
      <c r="K94" s="153"/>
      <c r="V94" s="25">
        <f t="shared" ref="V94:V117" si="19">IF($J94&gt;0,1,0)</f>
        <v>1</v>
      </c>
      <c r="W94" s="25">
        <f t="shared" ref="W94:W117" si="20">IF($J94&lt;0,1,0)</f>
        <v>0</v>
      </c>
    </row>
    <row r="95" spans="1:23" x14ac:dyDescent="0.3">
      <c r="A95" s="147"/>
      <c r="B95" s="205">
        <f t="shared" ref="B95:B115" si="21">B94+1</f>
        <v>2</v>
      </c>
      <c r="C95" s="218">
        <v>45324</v>
      </c>
      <c r="D95" s="185" t="s">
        <v>9</v>
      </c>
      <c r="E95" s="185" t="s">
        <v>39</v>
      </c>
      <c r="F95" s="219">
        <v>22040</v>
      </c>
      <c r="G95" s="219">
        <v>22120</v>
      </c>
      <c r="H95" s="185">
        <f>22120-22040</f>
        <v>80</v>
      </c>
      <c r="I95" s="219">
        <v>150</v>
      </c>
      <c r="J95" s="242">
        <f t="shared" si="18"/>
        <v>12000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3</v>
      </c>
      <c r="C96" s="206">
        <v>45327</v>
      </c>
      <c r="D96" s="161" t="s">
        <v>9</v>
      </c>
      <c r="E96" s="161" t="s">
        <v>39</v>
      </c>
      <c r="F96" s="207">
        <v>22000</v>
      </c>
      <c r="G96" s="207">
        <v>22030</v>
      </c>
      <c r="H96" s="161">
        <v>30</v>
      </c>
      <c r="I96" s="207">
        <v>150</v>
      </c>
      <c r="J96" s="242">
        <f t="shared" si="18"/>
        <v>4500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45328</v>
      </c>
      <c r="D97" s="161" t="s">
        <v>9</v>
      </c>
      <c r="E97" s="161" t="s">
        <v>39</v>
      </c>
      <c r="F97" s="207">
        <v>21880</v>
      </c>
      <c r="G97" s="207">
        <v>21920</v>
      </c>
      <c r="H97" s="161">
        <f>21920-21880</f>
        <v>40</v>
      </c>
      <c r="I97" s="207">
        <v>150</v>
      </c>
      <c r="J97" s="242">
        <f t="shared" si="18"/>
        <v>6000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5</v>
      </c>
      <c r="C98" s="206">
        <v>45329</v>
      </c>
      <c r="D98" s="161" t="s">
        <v>9</v>
      </c>
      <c r="E98" s="161" t="s">
        <v>39</v>
      </c>
      <c r="F98" s="207">
        <v>22060</v>
      </c>
      <c r="G98" s="207">
        <v>22080</v>
      </c>
      <c r="H98" s="161">
        <v>20</v>
      </c>
      <c r="I98" s="207">
        <v>150</v>
      </c>
      <c r="J98" s="242">
        <f t="shared" si="18"/>
        <v>3000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45330</v>
      </c>
      <c r="D99" s="161" t="s">
        <v>9</v>
      </c>
      <c r="E99" s="161" t="s">
        <v>39</v>
      </c>
      <c r="F99" s="207">
        <v>22040</v>
      </c>
      <c r="G99" s="207">
        <v>22075</v>
      </c>
      <c r="H99" s="161">
        <f>22075-22040</f>
        <v>35</v>
      </c>
      <c r="I99" s="207">
        <v>150</v>
      </c>
      <c r="J99" s="242">
        <f t="shared" si="18"/>
        <v>5250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7</v>
      </c>
      <c r="C100" s="206">
        <v>45331</v>
      </c>
      <c r="D100" s="161" t="s">
        <v>9</v>
      </c>
      <c r="E100" s="161" t="s">
        <v>39</v>
      </c>
      <c r="F100" s="207">
        <v>21770</v>
      </c>
      <c r="G100" s="207">
        <v>21810</v>
      </c>
      <c r="H100" s="161">
        <f>21810-21770</f>
        <v>40</v>
      </c>
      <c r="I100" s="207">
        <v>150</v>
      </c>
      <c r="J100" s="242">
        <f t="shared" si="18"/>
        <v>6000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8</v>
      </c>
      <c r="C101" s="206">
        <v>45334</v>
      </c>
      <c r="D101" s="161" t="s">
        <v>8</v>
      </c>
      <c r="E101" s="161" t="s">
        <v>39</v>
      </c>
      <c r="F101" s="207">
        <v>21830</v>
      </c>
      <c r="G101" s="207">
        <v>21750</v>
      </c>
      <c r="H101" s="161">
        <f>21830-21750</f>
        <v>80</v>
      </c>
      <c r="I101" s="207">
        <v>150</v>
      </c>
      <c r="J101" s="242">
        <f t="shared" si="18"/>
        <v>12000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45335</v>
      </c>
      <c r="D102" s="161" t="s">
        <v>9</v>
      </c>
      <c r="E102" s="161" t="s">
        <v>39</v>
      </c>
      <c r="F102" s="207">
        <v>21730</v>
      </c>
      <c r="G102" s="207">
        <v>21810</v>
      </c>
      <c r="H102" s="161">
        <f>21810-21730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45336</v>
      </c>
      <c r="D103" s="161" t="s">
        <v>8</v>
      </c>
      <c r="E103" s="161" t="s">
        <v>39</v>
      </c>
      <c r="F103" s="207">
        <v>21640</v>
      </c>
      <c r="G103" s="207">
        <v>21615</v>
      </c>
      <c r="H103" s="161">
        <f>21615-21640</f>
        <v>-25</v>
      </c>
      <c r="I103" s="207">
        <v>150</v>
      </c>
      <c r="J103" s="242">
        <f t="shared" si="18"/>
        <v>-3750</v>
      </c>
      <c r="K103" s="153"/>
      <c r="V103" s="25">
        <f t="shared" si="19"/>
        <v>0</v>
      </c>
      <c r="W103" s="25">
        <f t="shared" si="20"/>
        <v>1</v>
      </c>
    </row>
    <row r="104" spans="1:23" x14ac:dyDescent="0.3">
      <c r="A104" s="147"/>
      <c r="B104" s="205">
        <f t="shared" si="21"/>
        <v>11</v>
      </c>
      <c r="C104" s="206">
        <v>45337</v>
      </c>
      <c r="D104" s="161" t="s">
        <v>8</v>
      </c>
      <c r="E104" s="161" t="s">
        <v>39</v>
      </c>
      <c r="F104" s="207">
        <v>21920</v>
      </c>
      <c r="G104" s="207">
        <v>21890</v>
      </c>
      <c r="H104" s="161">
        <f>21920-21890</f>
        <v>30</v>
      </c>
      <c r="I104" s="207">
        <v>150</v>
      </c>
      <c r="J104" s="242">
        <f t="shared" si="18"/>
        <v>4500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45338</v>
      </c>
      <c r="D105" s="161" t="s">
        <v>9</v>
      </c>
      <c r="E105" s="161" t="s">
        <v>39</v>
      </c>
      <c r="F105" s="207">
        <v>22070</v>
      </c>
      <c r="G105" s="207">
        <v>22110</v>
      </c>
      <c r="H105" s="161"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45341</v>
      </c>
      <c r="D106" s="161" t="s">
        <v>8</v>
      </c>
      <c r="E106" s="161" t="s">
        <v>39</v>
      </c>
      <c r="F106" s="207">
        <v>22100</v>
      </c>
      <c r="G106" s="207">
        <v>22060</v>
      </c>
      <c r="H106" s="161">
        <v>40</v>
      </c>
      <c r="I106" s="207">
        <v>150</v>
      </c>
      <c r="J106" s="242">
        <f t="shared" si="18"/>
        <v>6000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45342</v>
      </c>
      <c r="D107" s="161" t="s">
        <v>8</v>
      </c>
      <c r="E107" s="161" t="s">
        <v>39</v>
      </c>
      <c r="F107" s="207">
        <v>22100</v>
      </c>
      <c r="G107" s="207">
        <v>22140</v>
      </c>
      <c r="H107" s="161">
        <v>-40</v>
      </c>
      <c r="I107" s="207">
        <v>150</v>
      </c>
      <c r="J107" s="242">
        <f t="shared" si="18"/>
        <v>-6000</v>
      </c>
      <c r="K107" s="153"/>
      <c r="V107" s="25">
        <f t="shared" si="19"/>
        <v>0</v>
      </c>
      <c r="W107" s="25">
        <f t="shared" si="20"/>
        <v>1</v>
      </c>
    </row>
    <row r="108" spans="1:23" x14ac:dyDescent="0.3">
      <c r="A108" s="147"/>
      <c r="B108" s="205">
        <f t="shared" si="21"/>
        <v>15</v>
      </c>
      <c r="C108" s="206">
        <v>45343</v>
      </c>
      <c r="D108" s="161" t="s">
        <v>9</v>
      </c>
      <c r="E108" s="161" t="s">
        <v>39</v>
      </c>
      <c r="F108" s="207">
        <v>22240</v>
      </c>
      <c r="G108" s="207">
        <v>22260</v>
      </c>
      <c r="H108" s="161">
        <v>20</v>
      </c>
      <c r="I108" s="207">
        <v>150</v>
      </c>
      <c r="J108" s="242">
        <f t="shared" si="18"/>
        <v>3000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45344</v>
      </c>
      <c r="D109" s="161" t="s">
        <v>8</v>
      </c>
      <c r="E109" s="161" t="s">
        <v>39</v>
      </c>
      <c r="F109" s="207">
        <v>22000</v>
      </c>
      <c r="G109" s="207">
        <v>21960</v>
      </c>
      <c r="H109" s="161">
        <f>22000-21960</f>
        <v>40</v>
      </c>
      <c r="I109" s="207">
        <v>150</v>
      </c>
      <c r="J109" s="242">
        <f t="shared" si="18"/>
        <v>6000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45345</v>
      </c>
      <c r="D110" s="161" t="s">
        <v>9</v>
      </c>
      <c r="E110" s="161" t="s">
        <v>39</v>
      </c>
      <c r="F110" s="207">
        <v>22270</v>
      </c>
      <c r="G110" s="207">
        <v>22310</v>
      </c>
      <c r="H110" s="161">
        <f>22310-22270</f>
        <v>40</v>
      </c>
      <c r="I110" s="207">
        <v>150</v>
      </c>
      <c r="J110" s="242">
        <f t="shared" si="18"/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45348</v>
      </c>
      <c r="D111" s="161" t="s">
        <v>9</v>
      </c>
      <c r="E111" s="161" t="s">
        <v>39</v>
      </c>
      <c r="F111" s="207">
        <v>22190</v>
      </c>
      <c r="G111" s="207">
        <v>22230</v>
      </c>
      <c r="H111" s="161">
        <f>22230-22190</f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45349</v>
      </c>
      <c r="D112" s="161" t="s">
        <v>9</v>
      </c>
      <c r="E112" s="161" t="s">
        <v>39</v>
      </c>
      <c r="F112" s="207">
        <v>22130</v>
      </c>
      <c r="G112" s="207">
        <v>22210</v>
      </c>
      <c r="H112" s="161">
        <f>22210-22130</f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>
        <v>45350</v>
      </c>
      <c r="D113" s="161" t="s">
        <v>9</v>
      </c>
      <c r="E113" s="161" t="s">
        <v>39</v>
      </c>
      <c r="F113" s="207">
        <v>22200</v>
      </c>
      <c r="G113" s="207">
        <v>22220</v>
      </c>
      <c r="H113" s="161">
        <v>20</v>
      </c>
      <c r="I113" s="207">
        <v>150</v>
      </c>
      <c r="J113" s="242">
        <f t="shared" si="18"/>
        <v>3000</v>
      </c>
      <c r="K113" s="153"/>
      <c r="V113" s="25">
        <f t="shared" si="19"/>
        <v>1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>
        <v>45351</v>
      </c>
      <c r="D114" s="161" t="s">
        <v>9</v>
      </c>
      <c r="E114" s="161" t="s">
        <v>39</v>
      </c>
      <c r="F114" s="207">
        <v>22010</v>
      </c>
      <c r="G114" s="207">
        <v>21970</v>
      </c>
      <c r="H114" s="161">
        <v>-40</v>
      </c>
      <c r="I114" s="207">
        <v>150</v>
      </c>
      <c r="J114" s="242">
        <f t="shared" si="18"/>
        <v>-6000</v>
      </c>
      <c r="K114" s="153"/>
      <c r="V114" s="25">
        <f t="shared" si="19"/>
        <v>0</v>
      </c>
      <c r="W114" s="25">
        <f t="shared" si="20"/>
        <v>1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109500</v>
      </c>
      <c r="K118" s="153"/>
      <c r="V118" s="25">
        <f>SUM(V94:V117)</f>
        <v>18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4492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45323</v>
      </c>
      <c r="D126" s="185" t="s">
        <v>9</v>
      </c>
      <c r="E126" s="185" t="s">
        <v>2096</v>
      </c>
      <c r="F126" s="219">
        <v>105</v>
      </c>
      <c r="G126" s="231">
        <v>155</v>
      </c>
      <c r="H126" s="231">
        <v>50</v>
      </c>
      <c r="I126" s="219">
        <v>300</v>
      </c>
      <c r="J126" s="246">
        <f t="shared" ref="J126:J152" si="22">I126*H126</f>
        <v>15000</v>
      </c>
      <c r="K126" s="153"/>
      <c r="V126" s="25">
        <f t="shared" ref="V126:V152" si="23">IF($J126&gt;0,1,0)</f>
        <v>1</v>
      </c>
      <c r="W126" s="25">
        <f t="shared" ref="W126:W152" si="24">IF($J126&lt;0,1,0)</f>
        <v>0</v>
      </c>
    </row>
    <row r="127" spans="1:23" x14ac:dyDescent="0.3">
      <c r="A127" s="147"/>
      <c r="B127" s="205">
        <f t="shared" ref="B127:B152" si="25">B126+1</f>
        <v>2</v>
      </c>
      <c r="C127" s="218">
        <v>45324</v>
      </c>
      <c r="D127" s="185" t="s">
        <v>9</v>
      </c>
      <c r="E127" s="185" t="s">
        <v>4470</v>
      </c>
      <c r="F127" s="219">
        <v>130</v>
      </c>
      <c r="G127" s="219">
        <v>180</v>
      </c>
      <c r="H127" s="185">
        <v>50</v>
      </c>
      <c r="I127" s="219">
        <v>300</v>
      </c>
      <c r="J127" s="242">
        <f t="shared" si="22"/>
        <v>15000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3</v>
      </c>
      <c r="C128" s="206">
        <v>45327</v>
      </c>
      <c r="D128" s="161" t="s">
        <v>9</v>
      </c>
      <c r="E128" s="161" t="s">
        <v>3060</v>
      </c>
      <c r="F128" s="207">
        <v>130</v>
      </c>
      <c r="G128" s="207">
        <v>141</v>
      </c>
      <c r="H128" s="161">
        <f>141-130</f>
        <v>11</v>
      </c>
      <c r="I128" s="207">
        <v>300</v>
      </c>
      <c r="J128" s="242">
        <f t="shared" si="22"/>
        <v>3300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4</v>
      </c>
      <c r="C129" s="206">
        <v>45328</v>
      </c>
      <c r="D129" s="161" t="s">
        <v>9</v>
      </c>
      <c r="E129" s="161" t="s">
        <v>4494</v>
      </c>
      <c r="F129" s="207">
        <v>125</v>
      </c>
      <c r="G129" s="207">
        <v>137</v>
      </c>
      <c r="H129" s="161">
        <f>137-125</f>
        <v>12</v>
      </c>
      <c r="I129" s="207">
        <v>300</v>
      </c>
      <c r="J129" s="242">
        <f t="shared" si="22"/>
        <v>3600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45329</v>
      </c>
      <c r="D130" s="161" t="s">
        <v>9</v>
      </c>
      <c r="E130" s="161" t="s">
        <v>4499</v>
      </c>
      <c r="F130" s="207">
        <v>150</v>
      </c>
      <c r="G130" s="207">
        <v>160</v>
      </c>
      <c r="H130" s="161">
        <v>10</v>
      </c>
      <c r="I130" s="207">
        <v>300</v>
      </c>
      <c r="J130" s="242">
        <f t="shared" si="22"/>
        <v>3000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45329</v>
      </c>
      <c r="D131" s="161" t="s">
        <v>9</v>
      </c>
      <c r="E131" s="161" t="s">
        <v>3026</v>
      </c>
      <c r="F131" s="207">
        <v>125</v>
      </c>
      <c r="G131" s="222">
        <v>175</v>
      </c>
      <c r="H131" s="222">
        <f>175-125</f>
        <v>50</v>
      </c>
      <c r="I131" s="207">
        <v>300</v>
      </c>
      <c r="J131" s="242">
        <f t="shared" si="22"/>
        <v>15000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7</v>
      </c>
      <c r="C132" s="206">
        <v>45330</v>
      </c>
      <c r="D132" s="161" t="s">
        <v>9</v>
      </c>
      <c r="E132" s="161" t="s">
        <v>4494</v>
      </c>
      <c r="F132" s="207">
        <v>130</v>
      </c>
      <c r="G132" s="207">
        <v>155</v>
      </c>
      <c r="H132" s="161">
        <f>155-130</f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45331</v>
      </c>
      <c r="D133" s="161" t="s">
        <v>9</v>
      </c>
      <c r="E133" s="161" t="s">
        <v>4494</v>
      </c>
      <c r="F133" s="207">
        <v>130</v>
      </c>
      <c r="G133" s="207">
        <v>105</v>
      </c>
      <c r="H133" s="161">
        <v>-25</v>
      </c>
      <c r="I133" s="207">
        <v>300</v>
      </c>
      <c r="J133" s="242">
        <f t="shared" si="22"/>
        <v>-7500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9</v>
      </c>
      <c r="C134" s="206">
        <v>45331</v>
      </c>
      <c r="D134" s="161" t="s">
        <v>9</v>
      </c>
      <c r="E134" s="161" t="s">
        <v>4494</v>
      </c>
      <c r="F134" s="207">
        <v>125</v>
      </c>
      <c r="G134" s="222">
        <v>122</v>
      </c>
      <c r="H134" s="161">
        <v>-3</v>
      </c>
      <c r="I134" s="207">
        <v>300</v>
      </c>
      <c r="J134" s="242">
        <f t="shared" si="22"/>
        <v>-900</v>
      </c>
      <c r="K134" s="153"/>
      <c r="V134" s="25">
        <f t="shared" si="23"/>
        <v>0</v>
      </c>
      <c r="W134" s="25">
        <f t="shared" si="24"/>
        <v>1</v>
      </c>
    </row>
    <row r="135" spans="1:23" x14ac:dyDescent="0.3">
      <c r="A135" s="147"/>
      <c r="B135" s="205">
        <f t="shared" si="25"/>
        <v>10</v>
      </c>
      <c r="C135" s="206">
        <v>45334</v>
      </c>
      <c r="D135" s="161" t="s">
        <v>9</v>
      </c>
      <c r="E135" s="161" t="s">
        <v>4452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45335</v>
      </c>
      <c r="D136" s="161" t="s">
        <v>9</v>
      </c>
      <c r="E136" s="161" t="s">
        <v>2096</v>
      </c>
      <c r="F136" s="207">
        <v>130</v>
      </c>
      <c r="G136" s="222">
        <v>155</v>
      </c>
      <c r="H136" s="222">
        <f>155-130</f>
        <v>25</v>
      </c>
      <c r="I136" s="207">
        <v>300</v>
      </c>
      <c r="J136" s="242">
        <f t="shared" si="22"/>
        <v>7500</v>
      </c>
      <c r="K136" s="153"/>
      <c r="V136" s="25">
        <f t="shared" si="23"/>
        <v>1</v>
      </c>
      <c r="W136" s="25">
        <f t="shared" si="24"/>
        <v>0</v>
      </c>
    </row>
    <row r="137" spans="1:23" x14ac:dyDescent="0.3">
      <c r="A137" s="147"/>
      <c r="B137" s="205">
        <f t="shared" si="25"/>
        <v>12</v>
      </c>
      <c r="C137" s="206">
        <v>45336</v>
      </c>
      <c r="D137" s="161" t="s">
        <v>9</v>
      </c>
      <c r="E137" s="161" t="s">
        <v>2095</v>
      </c>
      <c r="F137" s="207">
        <v>125</v>
      </c>
      <c r="G137" s="222">
        <v>100</v>
      </c>
      <c r="H137" s="222">
        <v>-25</v>
      </c>
      <c r="I137" s="207">
        <v>300</v>
      </c>
      <c r="J137" s="242">
        <f t="shared" si="22"/>
        <v>-7500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13</v>
      </c>
      <c r="C138" s="206">
        <v>45336</v>
      </c>
      <c r="D138" s="161" t="s">
        <v>9</v>
      </c>
      <c r="E138" s="161" t="s">
        <v>4503</v>
      </c>
      <c r="F138" s="207">
        <v>115</v>
      </c>
      <c r="G138" s="207">
        <v>165</v>
      </c>
      <c r="H138" s="161">
        <f>165-115</f>
        <v>50</v>
      </c>
      <c r="I138" s="207">
        <v>300</v>
      </c>
      <c r="J138" s="242">
        <f t="shared" si="22"/>
        <v>15000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45337</v>
      </c>
      <c r="D139" s="161" t="s">
        <v>9</v>
      </c>
      <c r="E139" s="161" t="s">
        <v>4508</v>
      </c>
      <c r="F139" s="207">
        <v>105</v>
      </c>
      <c r="G139" s="207">
        <v>80</v>
      </c>
      <c r="H139" s="161">
        <v>-25</v>
      </c>
      <c r="I139" s="207">
        <v>300</v>
      </c>
      <c r="J139" s="242">
        <f t="shared" si="22"/>
        <v>-7500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15</v>
      </c>
      <c r="C140" s="206">
        <v>45338</v>
      </c>
      <c r="D140" s="161" t="s">
        <v>9</v>
      </c>
      <c r="E140" s="161" t="s">
        <v>3016</v>
      </c>
      <c r="F140" s="207">
        <v>130</v>
      </c>
      <c r="G140" s="207">
        <v>155</v>
      </c>
      <c r="H140" s="161">
        <f>155-130</f>
        <v>25</v>
      </c>
      <c r="I140" s="207">
        <v>300</v>
      </c>
      <c r="J140" s="242">
        <f t="shared" si="22"/>
        <v>7500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16</v>
      </c>
      <c r="C141" s="206">
        <v>45341</v>
      </c>
      <c r="D141" s="161" t="s">
        <v>9</v>
      </c>
      <c r="E141" s="161" t="s">
        <v>3026</v>
      </c>
      <c r="F141" s="207">
        <v>140</v>
      </c>
      <c r="G141" s="207">
        <v>115</v>
      </c>
      <c r="H141" s="161">
        <v>-25</v>
      </c>
      <c r="I141" s="207">
        <v>300</v>
      </c>
      <c r="J141" s="242">
        <f t="shared" si="22"/>
        <v>-7500</v>
      </c>
      <c r="K141" s="153"/>
      <c r="V141" s="25">
        <f t="shared" si="23"/>
        <v>0</v>
      </c>
      <c r="W141" s="25">
        <f t="shared" si="24"/>
        <v>1</v>
      </c>
    </row>
    <row r="142" spans="1:23" x14ac:dyDescent="0.3">
      <c r="A142" s="147"/>
      <c r="B142" s="205">
        <f t="shared" si="25"/>
        <v>17</v>
      </c>
      <c r="C142" s="206">
        <v>45341</v>
      </c>
      <c r="D142" s="161" t="s">
        <v>9</v>
      </c>
      <c r="E142" s="161" t="s">
        <v>4512</v>
      </c>
      <c r="F142" s="207">
        <v>120</v>
      </c>
      <c r="G142" s="207">
        <v>170</v>
      </c>
      <c r="H142" s="161">
        <v>50</v>
      </c>
      <c r="I142" s="207">
        <v>300</v>
      </c>
      <c r="J142" s="242">
        <f t="shared" si="22"/>
        <v>15000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18</v>
      </c>
      <c r="C143" s="206">
        <v>45342</v>
      </c>
      <c r="D143" s="161" t="s">
        <v>9</v>
      </c>
      <c r="E143" s="161" t="s">
        <v>4513</v>
      </c>
      <c r="F143" s="207">
        <v>115</v>
      </c>
      <c r="G143" s="222">
        <v>90</v>
      </c>
      <c r="H143" s="222">
        <v>-25</v>
      </c>
      <c r="I143" s="207">
        <v>300</v>
      </c>
      <c r="J143" s="242">
        <f t="shared" si="22"/>
        <v>-7500</v>
      </c>
      <c r="K143" s="153"/>
      <c r="V143" s="25">
        <f t="shared" si="23"/>
        <v>0</v>
      </c>
      <c r="W143" s="25">
        <f t="shared" si="24"/>
        <v>1</v>
      </c>
    </row>
    <row r="144" spans="1:23" x14ac:dyDescent="0.3">
      <c r="A144" s="147"/>
      <c r="B144" s="205">
        <f t="shared" si="25"/>
        <v>19</v>
      </c>
      <c r="C144" s="206">
        <v>45343</v>
      </c>
      <c r="D144" s="161" t="s">
        <v>9</v>
      </c>
      <c r="E144" s="161" t="s">
        <v>4512</v>
      </c>
      <c r="F144" s="207">
        <v>140</v>
      </c>
      <c r="G144" s="222">
        <v>150</v>
      </c>
      <c r="H144" s="222">
        <v>10</v>
      </c>
      <c r="I144" s="207">
        <v>300</v>
      </c>
      <c r="J144" s="242">
        <f t="shared" si="22"/>
        <v>3000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45344</v>
      </c>
      <c r="D145" s="161" t="s">
        <v>9</v>
      </c>
      <c r="E145" s="161" t="s">
        <v>4471</v>
      </c>
      <c r="F145" s="207">
        <v>145</v>
      </c>
      <c r="G145" s="222">
        <v>170</v>
      </c>
      <c r="H145" s="222">
        <f>170-145</f>
        <v>25</v>
      </c>
      <c r="I145" s="207">
        <v>300</v>
      </c>
      <c r="J145" s="242">
        <f t="shared" si="22"/>
        <v>7500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>
        <v>45345</v>
      </c>
      <c r="D146" s="161" t="s">
        <v>9</v>
      </c>
      <c r="E146" s="161" t="s">
        <v>4514</v>
      </c>
      <c r="F146" s="207">
        <v>125</v>
      </c>
      <c r="G146" s="222">
        <v>142</v>
      </c>
      <c r="H146" s="222">
        <f>142-125</f>
        <v>17</v>
      </c>
      <c r="I146" s="207">
        <v>300</v>
      </c>
      <c r="J146" s="242">
        <f t="shared" si="22"/>
        <v>5100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>
        <v>45348</v>
      </c>
      <c r="D147" s="161" t="s">
        <v>9</v>
      </c>
      <c r="E147" s="161" t="s">
        <v>3029</v>
      </c>
      <c r="F147" s="207">
        <v>140</v>
      </c>
      <c r="G147" s="222">
        <v>158</v>
      </c>
      <c r="H147" s="222">
        <v>18</v>
      </c>
      <c r="I147" s="207">
        <v>300</v>
      </c>
      <c r="J147" s="242">
        <f t="shared" si="22"/>
        <v>5400</v>
      </c>
      <c r="K147" s="153"/>
      <c r="V147" s="25">
        <f t="shared" si="23"/>
        <v>1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>
        <v>45349</v>
      </c>
      <c r="D148" s="161" t="s">
        <v>9</v>
      </c>
      <c r="E148" s="161" t="s">
        <v>4512</v>
      </c>
      <c r="F148" s="207">
        <v>120</v>
      </c>
      <c r="G148" s="222">
        <v>158</v>
      </c>
      <c r="H148" s="161">
        <f>158-120</f>
        <v>38</v>
      </c>
      <c r="I148" s="207">
        <v>300</v>
      </c>
      <c r="J148" s="242">
        <f t="shared" si="22"/>
        <v>11400</v>
      </c>
      <c r="K148" s="153"/>
      <c r="V148" s="25">
        <f t="shared" si="23"/>
        <v>1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>
        <v>45350</v>
      </c>
      <c r="D149" s="265" t="s">
        <v>9</v>
      </c>
      <c r="E149" s="265" t="s">
        <v>4512</v>
      </c>
      <c r="F149" s="266">
        <v>125</v>
      </c>
      <c r="G149" s="267">
        <v>100</v>
      </c>
      <c r="H149" s="265">
        <v>-25</v>
      </c>
      <c r="I149" s="266">
        <v>300</v>
      </c>
      <c r="J149" s="242">
        <f t="shared" si="22"/>
        <v>-7500</v>
      </c>
      <c r="K149" s="153"/>
      <c r="V149" s="25">
        <f t="shared" si="23"/>
        <v>0</v>
      </c>
      <c r="W149" s="25">
        <f t="shared" si="24"/>
        <v>1</v>
      </c>
    </row>
    <row r="150" spans="1:23" x14ac:dyDescent="0.3">
      <c r="A150" s="147"/>
      <c r="B150" s="205">
        <f t="shared" si="25"/>
        <v>25</v>
      </c>
      <c r="C150" s="264">
        <v>45350</v>
      </c>
      <c r="D150" s="265" t="s">
        <v>9</v>
      </c>
      <c r="E150" s="265" t="s">
        <v>4499</v>
      </c>
      <c r="F150" s="266">
        <v>125</v>
      </c>
      <c r="G150" s="267">
        <v>141</v>
      </c>
      <c r="H150" s="265">
        <f>141-125</f>
        <v>16</v>
      </c>
      <c r="I150" s="266">
        <v>300</v>
      </c>
      <c r="J150" s="242">
        <f t="shared" si="22"/>
        <v>4800</v>
      </c>
      <c r="K150" s="153"/>
      <c r="V150" s="25">
        <f t="shared" si="23"/>
        <v>1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>
        <v>45351</v>
      </c>
      <c r="D151" s="265" t="s">
        <v>9</v>
      </c>
      <c r="E151" s="265" t="s">
        <v>2975</v>
      </c>
      <c r="F151" s="266">
        <v>100</v>
      </c>
      <c r="G151" s="267">
        <v>75</v>
      </c>
      <c r="H151" s="265">
        <v>-25</v>
      </c>
      <c r="I151" s="266">
        <v>300</v>
      </c>
      <c r="J151" s="242">
        <f t="shared" si="22"/>
        <v>-7500</v>
      </c>
      <c r="K151" s="153"/>
      <c r="V151" s="25">
        <f t="shared" si="23"/>
        <v>0</v>
      </c>
      <c r="W151" s="25">
        <f t="shared" si="24"/>
        <v>1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106200</v>
      </c>
      <c r="K153" s="153"/>
      <c r="V153" s="25">
        <f>SUM(V126:V152)</f>
        <v>18</v>
      </c>
      <c r="W153" s="25">
        <f>SUM(W126:W152)</f>
        <v>8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4491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45323</v>
      </c>
      <c r="D161" s="185" t="s">
        <v>9</v>
      </c>
      <c r="E161" s="185" t="s">
        <v>301</v>
      </c>
      <c r="F161" s="219">
        <v>46050</v>
      </c>
      <c r="G161" s="231">
        <v>46350</v>
      </c>
      <c r="H161" s="185">
        <f>46350-46050</f>
        <v>300</v>
      </c>
      <c r="I161" s="219">
        <v>60</v>
      </c>
      <c r="J161" s="246">
        <f t="shared" ref="J161:J186" si="26">I161*H161</f>
        <v>18000</v>
      </c>
      <c r="K161" s="153"/>
      <c r="V161" s="25">
        <f t="shared" ref="V161:V186" si="27">IF($J161&gt;0,1,0)</f>
        <v>1</v>
      </c>
      <c r="W161" s="25">
        <f t="shared" ref="W161:W186" si="28">IF($J161&lt;0,1,0)</f>
        <v>0</v>
      </c>
    </row>
    <row r="162" spans="1:23" x14ac:dyDescent="0.3">
      <c r="A162" s="147"/>
      <c r="B162" s="205">
        <f t="shared" ref="B162:B186" si="29">B161+1</f>
        <v>2</v>
      </c>
      <c r="C162" s="218">
        <v>45324</v>
      </c>
      <c r="D162" s="185" t="s">
        <v>9</v>
      </c>
      <c r="E162" s="185" t="s">
        <v>301</v>
      </c>
      <c r="F162" s="219">
        <v>46850</v>
      </c>
      <c r="G162" s="219">
        <v>47000</v>
      </c>
      <c r="H162" s="185">
        <f>47000-46850</f>
        <v>150</v>
      </c>
      <c r="I162" s="219">
        <v>60</v>
      </c>
      <c r="J162" s="242">
        <f t="shared" si="26"/>
        <v>9000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3</v>
      </c>
      <c r="C163" s="206">
        <v>45327</v>
      </c>
      <c r="D163" s="161" t="s">
        <v>9</v>
      </c>
      <c r="E163" s="161" t="s">
        <v>301</v>
      </c>
      <c r="F163" s="207">
        <v>46200</v>
      </c>
      <c r="G163" s="207">
        <v>46335</v>
      </c>
      <c r="H163" s="161">
        <f>46335-46200</f>
        <v>135</v>
      </c>
      <c r="I163" s="207">
        <v>60</v>
      </c>
      <c r="J163" s="242">
        <f t="shared" si="26"/>
        <v>8100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45328</v>
      </c>
      <c r="D164" s="161" t="s">
        <v>9</v>
      </c>
      <c r="E164" s="161" t="s">
        <v>301</v>
      </c>
      <c r="F164" s="207">
        <v>46000</v>
      </c>
      <c r="G164" s="207">
        <v>46070</v>
      </c>
      <c r="H164" s="161">
        <v>70</v>
      </c>
      <c r="I164" s="207">
        <v>60</v>
      </c>
      <c r="J164" s="242">
        <f t="shared" si="26"/>
        <v>4200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45329</v>
      </c>
      <c r="D165" s="161" t="s">
        <v>9</v>
      </c>
      <c r="E165" s="161" t="s">
        <v>301</v>
      </c>
      <c r="F165" s="207">
        <v>46200</v>
      </c>
      <c r="G165" s="207">
        <v>46050</v>
      </c>
      <c r="H165" s="161">
        <f>46200-46050</f>
        <v>150</v>
      </c>
      <c r="I165" s="207">
        <v>60</v>
      </c>
      <c r="J165" s="242">
        <f t="shared" si="26"/>
        <v>9000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45330</v>
      </c>
      <c r="D166" s="161" t="s">
        <v>9</v>
      </c>
      <c r="E166" s="161" t="s">
        <v>301</v>
      </c>
      <c r="F166" s="207">
        <v>46300</v>
      </c>
      <c r="G166" s="207">
        <v>46450</v>
      </c>
      <c r="H166" s="161">
        <v>150</v>
      </c>
      <c r="I166" s="207">
        <v>60</v>
      </c>
      <c r="J166" s="242">
        <f t="shared" si="26"/>
        <v>9000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7</v>
      </c>
      <c r="C167" s="206">
        <v>45331</v>
      </c>
      <c r="D167" s="161" t="s">
        <v>9</v>
      </c>
      <c r="E167" s="161" t="s">
        <v>301</v>
      </c>
      <c r="F167" s="207">
        <v>45300</v>
      </c>
      <c r="G167" s="207">
        <v>45600</v>
      </c>
      <c r="H167" s="161">
        <v>300</v>
      </c>
      <c r="I167" s="207">
        <v>60</v>
      </c>
      <c r="J167" s="242">
        <f t="shared" si="26"/>
        <v>18000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45334</v>
      </c>
      <c r="D168" s="161" t="s">
        <v>8</v>
      </c>
      <c r="E168" s="161" t="s">
        <v>301</v>
      </c>
      <c r="F168" s="207">
        <v>45750</v>
      </c>
      <c r="G168" s="207">
        <v>45450</v>
      </c>
      <c r="H168" s="161">
        <v>300</v>
      </c>
      <c r="I168" s="207">
        <v>60</v>
      </c>
      <c r="J168" s="242">
        <f t="shared" si="26"/>
        <v>18000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45335</v>
      </c>
      <c r="D169" s="161" t="s">
        <v>9</v>
      </c>
      <c r="E169" s="161" t="s">
        <v>301</v>
      </c>
      <c r="F169" s="207">
        <v>45300</v>
      </c>
      <c r="G169" s="207">
        <v>45600</v>
      </c>
      <c r="H169" s="161">
        <v>300</v>
      </c>
      <c r="I169" s="207">
        <v>60</v>
      </c>
      <c r="J169" s="242">
        <f t="shared" si="26"/>
        <v>18000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45336</v>
      </c>
      <c r="D170" s="161" t="s">
        <v>8</v>
      </c>
      <c r="E170" s="161" t="s">
        <v>301</v>
      </c>
      <c r="F170" s="207">
        <v>45100</v>
      </c>
      <c r="G170" s="207">
        <v>45250</v>
      </c>
      <c r="H170" s="161">
        <v>-150</v>
      </c>
      <c r="I170" s="207">
        <v>60</v>
      </c>
      <c r="J170" s="242">
        <f t="shared" si="26"/>
        <v>-9000</v>
      </c>
      <c r="K170" s="153"/>
      <c r="V170" s="25">
        <f t="shared" si="27"/>
        <v>0</v>
      </c>
      <c r="W170" s="25">
        <f t="shared" si="28"/>
        <v>1</v>
      </c>
    </row>
    <row r="171" spans="1:23" x14ac:dyDescent="0.3">
      <c r="A171" s="147"/>
      <c r="B171" s="205">
        <f t="shared" si="29"/>
        <v>11</v>
      </c>
      <c r="C171" s="206">
        <v>45336</v>
      </c>
      <c r="D171" s="161" t="s">
        <v>9</v>
      </c>
      <c r="E171" s="161" t="s">
        <v>301</v>
      </c>
      <c r="F171" s="207">
        <v>45400</v>
      </c>
      <c r="G171" s="207">
        <v>45700</v>
      </c>
      <c r="H171" s="161">
        <v>300</v>
      </c>
      <c r="I171" s="207">
        <v>60</v>
      </c>
      <c r="J171" s="242">
        <f t="shared" si="26"/>
        <v>18000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45337</v>
      </c>
      <c r="D172" s="161" t="s">
        <v>8</v>
      </c>
      <c r="E172" s="161" t="s">
        <v>301</v>
      </c>
      <c r="F172" s="207">
        <v>45950</v>
      </c>
      <c r="G172" s="207">
        <v>46100</v>
      </c>
      <c r="H172" s="161">
        <v>-150</v>
      </c>
      <c r="I172" s="207">
        <v>60</v>
      </c>
      <c r="J172" s="242">
        <f t="shared" si="26"/>
        <v>-9000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13</v>
      </c>
      <c r="C173" s="206">
        <v>45338</v>
      </c>
      <c r="D173" s="161" t="s">
        <v>9</v>
      </c>
      <c r="E173" s="161" t="s">
        <v>301</v>
      </c>
      <c r="F173" s="207">
        <v>46400</v>
      </c>
      <c r="G173" s="207">
        <v>46700</v>
      </c>
      <c r="H173" s="161">
        <v>300</v>
      </c>
      <c r="I173" s="207">
        <v>60</v>
      </c>
      <c r="J173" s="242">
        <f t="shared" si="26"/>
        <v>18000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45341</v>
      </c>
      <c r="D174" s="161" t="s">
        <v>8</v>
      </c>
      <c r="E174" s="161" t="s">
        <v>301</v>
      </c>
      <c r="F174" s="207">
        <v>46500</v>
      </c>
      <c r="G174" s="207">
        <v>46410</v>
      </c>
      <c r="H174" s="161">
        <f>46500-46410</f>
        <v>90</v>
      </c>
      <c r="I174" s="207">
        <v>60</v>
      </c>
      <c r="J174" s="242">
        <f t="shared" si="26"/>
        <v>5400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15</v>
      </c>
      <c r="C175" s="206">
        <v>45343</v>
      </c>
      <c r="D175" s="161" t="s">
        <v>8</v>
      </c>
      <c r="E175" s="161" t="s">
        <v>301</v>
      </c>
      <c r="F175" s="207">
        <v>47300</v>
      </c>
      <c r="G175" s="207">
        <v>47360</v>
      </c>
      <c r="H175" s="161">
        <v>60</v>
      </c>
      <c r="I175" s="207">
        <v>60</v>
      </c>
      <c r="J175" s="242">
        <f t="shared" si="26"/>
        <v>3600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45344</v>
      </c>
      <c r="D176" s="161" t="s">
        <v>8</v>
      </c>
      <c r="E176" s="161" t="s">
        <v>301</v>
      </c>
      <c r="F176" s="207">
        <v>46750</v>
      </c>
      <c r="G176" s="207">
        <v>46600</v>
      </c>
      <c r="H176" s="161">
        <f>46750-46600</f>
        <v>150</v>
      </c>
      <c r="I176" s="207">
        <v>60</v>
      </c>
      <c r="J176" s="242">
        <f t="shared" si="26"/>
        <v>9000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45345</v>
      </c>
      <c r="D177" s="161" t="s">
        <v>9</v>
      </c>
      <c r="E177" s="161" t="s">
        <v>301</v>
      </c>
      <c r="F177" s="207">
        <v>47200</v>
      </c>
      <c r="G177" s="207">
        <v>47399</v>
      </c>
      <c r="H177" s="161">
        <f>47399-47200</f>
        <v>199</v>
      </c>
      <c r="I177" s="207">
        <v>60</v>
      </c>
      <c r="J177" s="242">
        <f t="shared" si="26"/>
        <v>11940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45348</v>
      </c>
      <c r="D178" s="161" t="s">
        <v>9</v>
      </c>
      <c r="E178" s="161" t="s">
        <v>301</v>
      </c>
      <c r="F178" s="207">
        <v>46800</v>
      </c>
      <c r="G178" s="207">
        <v>46930</v>
      </c>
      <c r="H178" s="161">
        <f>46930-46800</f>
        <v>130</v>
      </c>
      <c r="I178" s="207">
        <v>60</v>
      </c>
      <c r="J178" s="242">
        <f t="shared" si="26"/>
        <v>7800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>
        <v>45349</v>
      </c>
      <c r="D179" s="161" t="s">
        <v>9</v>
      </c>
      <c r="E179" s="161" t="s">
        <v>301</v>
      </c>
      <c r="F179" s="207">
        <v>46600</v>
      </c>
      <c r="G179" s="207">
        <v>46670</v>
      </c>
      <c r="H179" s="161">
        <v>70</v>
      </c>
      <c r="I179" s="207">
        <v>60</v>
      </c>
      <c r="J179" s="242">
        <f t="shared" si="26"/>
        <v>4200</v>
      </c>
      <c r="K179" s="153"/>
      <c r="V179" s="25">
        <f t="shared" si="27"/>
        <v>1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>
        <v>45350</v>
      </c>
      <c r="D180" s="161" t="s">
        <v>9</v>
      </c>
      <c r="E180" s="161" t="s">
        <v>301</v>
      </c>
      <c r="F180" s="207">
        <v>46600</v>
      </c>
      <c r="G180" s="207">
        <v>46750</v>
      </c>
      <c r="H180" s="161">
        <v>150</v>
      </c>
      <c r="I180" s="207">
        <v>60</v>
      </c>
      <c r="J180" s="242">
        <f t="shared" si="26"/>
        <v>9000</v>
      </c>
      <c r="K180" s="153"/>
      <c r="V180" s="25">
        <f t="shared" si="27"/>
        <v>1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>
        <v>45351</v>
      </c>
      <c r="D181" s="161" t="s">
        <v>9</v>
      </c>
      <c r="E181" s="161" t="s">
        <v>301</v>
      </c>
      <c r="F181" s="207">
        <v>46050</v>
      </c>
      <c r="G181" s="207">
        <v>46140</v>
      </c>
      <c r="H181" s="161">
        <f>46140-46050</f>
        <v>90</v>
      </c>
      <c r="I181" s="207">
        <v>60</v>
      </c>
      <c r="J181" s="242">
        <f t="shared" si="26"/>
        <v>5400</v>
      </c>
      <c r="K181" s="153"/>
      <c r="V181" s="25">
        <f t="shared" si="27"/>
        <v>1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185640</v>
      </c>
      <c r="K187" s="153"/>
      <c r="V187" s="25">
        <f>SUM(V161:V186)</f>
        <v>19</v>
      </c>
      <c r="W187" s="25">
        <f>SUM(W161:W186)</f>
        <v>2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4492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45323</v>
      </c>
      <c r="D195" s="185" t="s">
        <v>9</v>
      </c>
      <c r="E195" s="185" t="s">
        <v>4413</v>
      </c>
      <c r="F195" s="231">
        <v>300</v>
      </c>
      <c r="G195" s="231">
        <v>380</v>
      </c>
      <c r="H195" s="231">
        <v>80</v>
      </c>
      <c r="I195" s="219">
        <v>120</v>
      </c>
      <c r="J195" s="246">
        <f t="shared" ref="J195:J220" si="30">I195*H195</f>
        <v>9600</v>
      </c>
      <c r="K195" s="153"/>
      <c r="V195" s="25">
        <f t="shared" ref="V195:V220" si="31">IF($J195&gt;0,1,0)</f>
        <v>1</v>
      </c>
      <c r="W195" s="25">
        <f t="shared" ref="W195:W220" si="32">IF($J195&lt;0,1,0)</f>
        <v>0</v>
      </c>
    </row>
    <row r="196" spans="1:23" x14ac:dyDescent="0.3">
      <c r="A196" s="147"/>
      <c r="B196" s="205">
        <f t="shared" ref="B196:B216" si="33">B195+1</f>
        <v>2</v>
      </c>
      <c r="C196" s="218">
        <v>45324</v>
      </c>
      <c r="D196" s="185" t="s">
        <v>9</v>
      </c>
      <c r="E196" s="185" t="s">
        <v>4495</v>
      </c>
      <c r="F196" s="231">
        <v>300</v>
      </c>
      <c r="G196" s="231">
        <v>460</v>
      </c>
      <c r="H196" s="231">
        <v>160</v>
      </c>
      <c r="I196" s="219">
        <v>120</v>
      </c>
      <c r="J196" s="242">
        <f t="shared" si="30"/>
        <v>19200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3</v>
      </c>
      <c r="C197" s="206">
        <v>45327</v>
      </c>
      <c r="D197" s="161" t="s">
        <v>3398</v>
      </c>
      <c r="E197" s="161" t="s">
        <v>4352</v>
      </c>
      <c r="F197" s="222">
        <v>300</v>
      </c>
      <c r="G197" s="222">
        <v>380</v>
      </c>
      <c r="H197" s="222">
        <v>80</v>
      </c>
      <c r="I197" s="207">
        <v>120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45328</v>
      </c>
      <c r="D198" s="161" t="s">
        <v>9</v>
      </c>
      <c r="E198" s="161" t="s">
        <v>4485</v>
      </c>
      <c r="F198" s="222">
        <v>300</v>
      </c>
      <c r="G198" s="222">
        <v>220</v>
      </c>
      <c r="H198" s="222">
        <v>-80</v>
      </c>
      <c r="I198" s="207">
        <v>120</v>
      </c>
      <c r="J198" s="242">
        <f t="shared" si="30"/>
        <v>-9600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5</v>
      </c>
      <c r="C199" s="206">
        <v>45328</v>
      </c>
      <c r="D199" s="161" t="s">
        <v>9</v>
      </c>
      <c r="E199" s="161" t="s">
        <v>4485</v>
      </c>
      <c r="F199" s="222">
        <v>300</v>
      </c>
      <c r="G199" s="222">
        <v>380</v>
      </c>
      <c r="H199" s="222">
        <v>80</v>
      </c>
      <c r="I199" s="207">
        <v>120</v>
      </c>
      <c r="J199" s="242">
        <f t="shared" si="30"/>
        <v>9600</v>
      </c>
      <c r="K199" s="153"/>
      <c r="O199" s="25" t="s">
        <v>2008</v>
      </c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6</v>
      </c>
      <c r="C200" s="206">
        <v>45329</v>
      </c>
      <c r="D200" s="161" t="s">
        <v>9</v>
      </c>
      <c r="E200" s="161" t="s">
        <v>4288</v>
      </c>
      <c r="F200" s="222">
        <v>300</v>
      </c>
      <c r="G200" s="222">
        <v>460</v>
      </c>
      <c r="H200" s="222">
        <v>160</v>
      </c>
      <c r="I200" s="207">
        <v>120</v>
      </c>
      <c r="J200" s="242">
        <f t="shared" si="30"/>
        <v>19200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7</v>
      </c>
      <c r="C201" s="206">
        <v>45330</v>
      </c>
      <c r="D201" s="161" t="s">
        <v>9</v>
      </c>
      <c r="E201" s="161" t="s">
        <v>4500</v>
      </c>
      <c r="F201" s="222">
        <v>300</v>
      </c>
      <c r="G201" s="222">
        <v>220</v>
      </c>
      <c r="H201" s="222">
        <v>-80</v>
      </c>
      <c r="I201" s="207">
        <v>120</v>
      </c>
      <c r="J201" s="242">
        <f t="shared" si="30"/>
        <v>-9600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8</v>
      </c>
      <c r="C202" s="206">
        <v>45330</v>
      </c>
      <c r="D202" s="161" t="s">
        <v>9</v>
      </c>
      <c r="E202" s="161" t="s">
        <v>4361</v>
      </c>
      <c r="F202" s="222">
        <v>280</v>
      </c>
      <c r="G202" s="222">
        <v>430</v>
      </c>
      <c r="H202" s="222">
        <f>430-280</f>
        <v>150</v>
      </c>
      <c r="I202" s="207">
        <v>120</v>
      </c>
      <c r="J202" s="242">
        <f t="shared" si="30"/>
        <v>18000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45331</v>
      </c>
      <c r="D203" s="161" t="s">
        <v>9</v>
      </c>
      <c r="E203" s="161" t="s">
        <v>4412</v>
      </c>
      <c r="F203" s="222">
        <v>300</v>
      </c>
      <c r="G203" s="222">
        <v>220</v>
      </c>
      <c r="H203" s="255">
        <v>-80</v>
      </c>
      <c r="I203" s="207">
        <v>120</v>
      </c>
      <c r="J203" s="242">
        <f t="shared" si="30"/>
        <v>-9600</v>
      </c>
      <c r="K203" s="153"/>
      <c r="V203" s="25">
        <f t="shared" si="31"/>
        <v>0</v>
      </c>
      <c r="W203" s="25">
        <f t="shared" si="32"/>
        <v>1</v>
      </c>
    </row>
    <row r="204" spans="1:23" x14ac:dyDescent="0.3">
      <c r="A204" s="147"/>
      <c r="B204" s="205">
        <f t="shared" si="33"/>
        <v>10</v>
      </c>
      <c r="C204" s="206">
        <v>45331</v>
      </c>
      <c r="D204" s="161" t="s">
        <v>9</v>
      </c>
      <c r="E204" s="161" t="s">
        <v>4281</v>
      </c>
      <c r="F204" s="222">
        <v>300</v>
      </c>
      <c r="G204" s="222">
        <v>460</v>
      </c>
      <c r="H204" s="255">
        <f>460-300</f>
        <v>160</v>
      </c>
      <c r="I204" s="207">
        <v>120</v>
      </c>
      <c r="J204" s="242">
        <f t="shared" si="30"/>
        <v>19200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45334</v>
      </c>
      <c r="D205" s="161" t="s">
        <v>9</v>
      </c>
      <c r="E205" s="161" t="s">
        <v>4320</v>
      </c>
      <c r="F205" s="222">
        <v>320</v>
      </c>
      <c r="G205" s="222">
        <v>480</v>
      </c>
      <c r="H205" s="255">
        <f>480-320</f>
        <v>160</v>
      </c>
      <c r="I205" s="207">
        <v>120</v>
      </c>
      <c r="J205" s="242">
        <f t="shared" si="30"/>
        <v>19200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12</v>
      </c>
      <c r="C206" s="206">
        <v>45335</v>
      </c>
      <c r="D206" s="161" t="s">
        <v>9</v>
      </c>
      <c r="E206" s="161" t="s">
        <v>4255</v>
      </c>
      <c r="F206" s="222">
        <v>300</v>
      </c>
      <c r="G206" s="222">
        <v>413</v>
      </c>
      <c r="H206" s="255">
        <f>413-300</f>
        <v>113</v>
      </c>
      <c r="I206" s="207">
        <v>120</v>
      </c>
      <c r="J206" s="242">
        <f t="shared" si="30"/>
        <v>13560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45336</v>
      </c>
      <c r="D207" s="161" t="s">
        <v>9</v>
      </c>
      <c r="E207" s="161" t="s">
        <v>4266</v>
      </c>
      <c r="F207" s="222">
        <v>280</v>
      </c>
      <c r="G207" s="222">
        <v>200</v>
      </c>
      <c r="H207" s="255">
        <v>-80</v>
      </c>
      <c r="I207" s="207">
        <v>120</v>
      </c>
      <c r="J207" s="242">
        <f t="shared" si="30"/>
        <v>-9600</v>
      </c>
      <c r="K207" s="153"/>
      <c r="V207" s="25">
        <f t="shared" si="31"/>
        <v>0</v>
      </c>
      <c r="W207" s="25">
        <f t="shared" si="32"/>
        <v>1</v>
      </c>
    </row>
    <row r="208" spans="1:23" x14ac:dyDescent="0.3">
      <c r="A208" s="147"/>
      <c r="B208" s="205">
        <f t="shared" si="33"/>
        <v>14</v>
      </c>
      <c r="C208" s="206">
        <v>45336</v>
      </c>
      <c r="D208" s="161" t="s">
        <v>9</v>
      </c>
      <c r="E208" s="161" t="s">
        <v>4504</v>
      </c>
      <c r="F208" s="207">
        <v>320</v>
      </c>
      <c r="G208" s="207">
        <v>480</v>
      </c>
      <c r="H208" s="161">
        <f>480-320</f>
        <v>160</v>
      </c>
      <c r="I208" s="207">
        <v>120</v>
      </c>
      <c r="J208" s="242">
        <f t="shared" si="30"/>
        <v>19200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45337</v>
      </c>
      <c r="D209" s="161" t="s">
        <v>9</v>
      </c>
      <c r="E209" s="161" t="s">
        <v>4266</v>
      </c>
      <c r="F209" s="207">
        <v>300</v>
      </c>
      <c r="G209" s="207">
        <v>220</v>
      </c>
      <c r="H209" s="161">
        <f>300-220</f>
        <v>80</v>
      </c>
      <c r="I209" s="207">
        <v>120</v>
      </c>
      <c r="J209" s="242">
        <f t="shared" si="30"/>
        <v>9600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45338</v>
      </c>
      <c r="D210" s="161" t="s">
        <v>9</v>
      </c>
      <c r="E210" s="161" t="s">
        <v>4510</v>
      </c>
      <c r="F210" s="207">
        <v>330</v>
      </c>
      <c r="G210" s="207">
        <v>490</v>
      </c>
      <c r="H210" s="161">
        <f>490-330</f>
        <v>160</v>
      </c>
      <c r="I210" s="207">
        <v>120</v>
      </c>
      <c r="J210" s="242">
        <f t="shared" si="30"/>
        <v>19200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45341</v>
      </c>
      <c r="D211" s="161" t="s">
        <v>9</v>
      </c>
      <c r="E211" s="161" t="s">
        <v>4510</v>
      </c>
      <c r="F211" s="207">
        <v>320</v>
      </c>
      <c r="G211" s="207">
        <v>460</v>
      </c>
      <c r="H211" s="161">
        <f>460-320</f>
        <v>140</v>
      </c>
      <c r="I211" s="207">
        <v>120</v>
      </c>
      <c r="J211" s="242">
        <f t="shared" si="30"/>
        <v>16800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45342</v>
      </c>
      <c r="D212" s="161" t="s">
        <v>9</v>
      </c>
      <c r="E212" s="161" t="s">
        <v>4515</v>
      </c>
      <c r="F212" s="207">
        <v>300</v>
      </c>
      <c r="G212" s="207">
        <v>220</v>
      </c>
      <c r="H212" s="161">
        <v>-80</v>
      </c>
      <c r="I212" s="207">
        <v>120</v>
      </c>
      <c r="J212" s="242">
        <f t="shared" si="30"/>
        <v>-9600</v>
      </c>
      <c r="K212" s="153"/>
      <c r="V212" s="25">
        <f t="shared" si="31"/>
        <v>0</v>
      </c>
      <c r="W212" s="25">
        <f t="shared" si="32"/>
        <v>1</v>
      </c>
    </row>
    <row r="213" spans="1:23" x14ac:dyDescent="0.3">
      <c r="A213" s="147"/>
      <c r="B213" s="205">
        <f t="shared" si="33"/>
        <v>19</v>
      </c>
      <c r="C213" s="206">
        <v>45343</v>
      </c>
      <c r="D213" s="161" t="s">
        <v>9</v>
      </c>
      <c r="E213" s="161" t="s">
        <v>4516</v>
      </c>
      <c r="F213" s="207">
        <v>280</v>
      </c>
      <c r="G213" s="207">
        <v>200</v>
      </c>
      <c r="H213" s="161">
        <v>-80</v>
      </c>
      <c r="I213" s="207">
        <v>120</v>
      </c>
      <c r="J213" s="161">
        <f t="shared" si="30"/>
        <v>-9600</v>
      </c>
      <c r="K213" s="153"/>
      <c r="V213" s="25">
        <f t="shared" si="31"/>
        <v>0</v>
      </c>
      <c r="W213" s="25">
        <f t="shared" si="32"/>
        <v>1</v>
      </c>
    </row>
    <row r="214" spans="1:23" x14ac:dyDescent="0.3">
      <c r="A214" s="147"/>
      <c r="B214" s="205">
        <f t="shared" si="33"/>
        <v>20</v>
      </c>
      <c r="C214" s="206">
        <v>45344</v>
      </c>
      <c r="D214" s="161" t="s">
        <v>9</v>
      </c>
      <c r="E214" s="161" t="s">
        <v>4295</v>
      </c>
      <c r="F214" s="207">
        <v>300</v>
      </c>
      <c r="G214" s="207">
        <v>460</v>
      </c>
      <c r="H214" s="161"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>
        <v>45345</v>
      </c>
      <c r="D215" s="161" t="s">
        <v>9</v>
      </c>
      <c r="E215" s="161" t="s">
        <v>4517</v>
      </c>
      <c r="F215" s="207">
        <v>300</v>
      </c>
      <c r="G215" s="207">
        <v>430</v>
      </c>
      <c r="H215" s="161">
        <v>130</v>
      </c>
      <c r="I215" s="207">
        <v>120</v>
      </c>
      <c r="J215" s="161">
        <f t="shared" si="30"/>
        <v>15600</v>
      </c>
      <c r="K215" s="153"/>
      <c r="V215" s="25">
        <f t="shared" si="31"/>
        <v>1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>
        <v>45348</v>
      </c>
      <c r="D216" s="161" t="s">
        <v>9</v>
      </c>
      <c r="E216" s="161" t="s">
        <v>4516</v>
      </c>
      <c r="F216" s="207">
        <v>300</v>
      </c>
      <c r="G216" s="207">
        <v>340</v>
      </c>
      <c r="H216" s="161">
        <v>40</v>
      </c>
      <c r="I216" s="207">
        <v>120</v>
      </c>
      <c r="J216" s="161">
        <f t="shared" si="30"/>
        <v>4800</v>
      </c>
      <c r="K216" s="153"/>
      <c r="T216" s="25" t="s">
        <v>2008</v>
      </c>
      <c r="V216" s="25">
        <f t="shared" si="31"/>
        <v>1</v>
      </c>
      <c r="W216" s="25">
        <f t="shared" si="32"/>
        <v>0</v>
      </c>
    </row>
    <row r="217" spans="1:23" x14ac:dyDescent="0.3">
      <c r="A217" s="147"/>
      <c r="B217" s="269">
        <v>23</v>
      </c>
      <c r="C217" s="264">
        <v>45349</v>
      </c>
      <c r="D217" s="265" t="s">
        <v>9</v>
      </c>
      <c r="E217" s="265" t="s">
        <v>4413</v>
      </c>
      <c r="F217" s="266">
        <v>300</v>
      </c>
      <c r="G217" s="266">
        <v>220</v>
      </c>
      <c r="H217" s="265">
        <v>-80</v>
      </c>
      <c r="I217" s="266">
        <v>120</v>
      </c>
      <c r="J217" s="161">
        <f t="shared" si="30"/>
        <v>-9600</v>
      </c>
      <c r="K217" s="153"/>
      <c r="V217" s="25">
        <f t="shared" si="31"/>
        <v>0</v>
      </c>
      <c r="W217" s="25">
        <f t="shared" si="32"/>
        <v>1</v>
      </c>
    </row>
    <row r="218" spans="1:23" x14ac:dyDescent="0.3">
      <c r="A218" s="147"/>
      <c r="B218" s="269">
        <v>24</v>
      </c>
      <c r="C218" s="264">
        <v>45349</v>
      </c>
      <c r="D218" s="265" t="s">
        <v>9</v>
      </c>
      <c r="E218" s="265" t="s">
        <v>4413</v>
      </c>
      <c r="F218" s="266">
        <v>300</v>
      </c>
      <c r="G218" s="266">
        <v>347</v>
      </c>
      <c r="H218" s="265">
        <v>47</v>
      </c>
      <c r="I218" s="266">
        <v>120</v>
      </c>
      <c r="J218" s="161">
        <f t="shared" si="30"/>
        <v>5640</v>
      </c>
      <c r="K218" s="153"/>
      <c r="V218" s="25">
        <f t="shared" si="31"/>
        <v>1</v>
      </c>
      <c r="W218" s="25">
        <f t="shared" si="32"/>
        <v>0</v>
      </c>
    </row>
    <row r="219" spans="1:23" x14ac:dyDescent="0.3">
      <c r="A219" s="147"/>
      <c r="B219" s="269">
        <v>25</v>
      </c>
      <c r="C219" s="264">
        <v>45350</v>
      </c>
      <c r="D219" s="265" t="s">
        <v>9</v>
      </c>
      <c r="E219" s="265" t="s">
        <v>4510</v>
      </c>
      <c r="F219" s="266">
        <v>300</v>
      </c>
      <c r="G219" s="266">
        <v>350</v>
      </c>
      <c r="H219" s="265">
        <v>50</v>
      </c>
      <c r="I219" s="266">
        <v>120</v>
      </c>
      <c r="J219" s="161">
        <f t="shared" si="30"/>
        <v>6000</v>
      </c>
      <c r="K219" s="153"/>
      <c r="V219" s="25">
        <f t="shared" si="31"/>
        <v>1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>
        <v>45351</v>
      </c>
      <c r="D220" s="166" t="s">
        <v>9</v>
      </c>
      <c r="E220" s="166" t="s">
        <v>4281</v>
      </c>
      <c r="F220" s="210">
        <v>300</v>
      </c>
      <c r="G220" s="210">
        <v>460</v>
      </c>
      <c r="H220" s="166">
        <v>160</v>
      </c>
      <c r="I220" s="210">
        <v>120</v>
      </c>
      <c r="J220" s="161">
        <f t="shared" si="30"/>
        <v>19200</v>
      </c>
      <c r="K220" s="153"/>
      <c r="V220" s="25">
        <f t="shared" si="31"/>
        <v>1</v>
      </c>
      <c r="W220" s="25">
        <f t="shared" si="32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205200</v>
      </c>
      <c r="K221" s="153"/>
      <c r="V221" s="25">
        <f>SUM(V195:V220)</f>
        <v>19</v>
      </c>
      <c r="W221" s="25">
        <f>SUM(W195:W220)</f>
        <v>7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4492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45323</v>
      </c>
      <c r="D229" s="185" t="s">
        <v>9</v>
      </c>
      <c r="E229" s="185" t="s">
        <v>4496</v>
      </c>
      <c r="F229" s="231">
        <v>78</v>
      </c>
      <c r="G229" s="231">
        <v>93</v>
      </c>
      <c r="H229" s="231">
        <f>93-78</f>
        <v>15</v>
      </c>
      <c r="I229" s="219">
        <v>175</v>
      </c>
      <c r="J229" s="246">
        <f t="shared" ref="J229:J252" si="34">I229*H229</f>
        <v>2625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45324</v>
      </c>
      <c r="D230" s="185" t="s">
        <v>9</v>
      </c>
      <c r="E230" s="185" t="s">
        <v>4497</v>
      </c>
      <c r="F230" s="231">
        <v>140</v>
      </c>
      <c r="G230" s="231">
        <v>146</v>
      </c>
      <c r="H230" s="231">
        <v>6</v>
      </c>
      <c r="I230" s="219">
        <v>300</v>
      </c>
      <c r="J230" s="242">
        <f>I230*H230</f>
        <v>1800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45327</v>
      </c>
      <c r="D231" s="161" t="s">
        <v>9</v>
      </c>
      <c r="E231" s="161" t="s">
        <v>4444</v>
      </c>
      <c r="F231" s="222">
        <v>240</v>
      </c>
      <c r="G231" s="222">
        <v>270</v>
      </c>
      <c r="H231" s="222">
        <v>30</v>
      </c>
      <c r="I231" s="207">
        <v>100</v>
      </c>
      <c r="J231" s="242">
        <f t="shared" si="34"/>
        <v>3000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45328</v>
      </c>
      <c r="D232" s="161" t="s">
        <v>9</v>
      </c>
      <c r="E232" s="161" t="s">
        <v>4498</v>
      </c>
      <c r="F232" s="222">
        <v>40</v>
      </c>
      <c r="G232" s="222">
        <v>43.2</v>
      </c>
      <c r="H232" s="222">
        <v>3.2</v>
      </c>
      <c r="I232" s="207">
        <v>350</v>
      </c>
      <c r="J232" s="242">
        <f t="shared" si="34"/>
        <v>1120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45329</v>
      </c>
      <c r="D233" s="161" t="s">
        <v>9</v>
      </c>
      <c r="E233" s="161" t="s">
        <v>4501</v>
      </c>
      <c r="F233" s="222">
        <v>42</v>
      </c>
      <c r="G233" s="222">
        <v>48</v>
      </c>
      <c r="H233" s="222">
        <v>6</v>
      </c>
      <c r="I233" s="207">
        <v>800</v>
      </c>
      <c r="J233" s="242">
        <f t="shared" si="34"/>
        <v>4800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6</v>
      </c>
      <c r="C234" s="206">
        <v>45330</v>
      </c>
      <c r="D234" s="161" t="s">
        <v>9</v>
      </c>
      <c r="E234" s="161" t="s">
        <v>4502</v>
      </c>
      <c r="F234" s="222">
        <v>160</v>
      </c>
      <c r="G234" s="222">
        <v>200</v>
      </c>
      <c r="H234" s="222">
        <f>200-160</f>
        <v>40</v>
      </c>
      <c r="I234" s="207">
        <v>400</v>
      </c>
      <c r="J234" s="242">
        <f t="shared" si="34"/>
        <v>16000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45331</v>
      </c>
      <c r="D235" s="161" t="s">
        <v>9</v>
      </c>
      <c r="E235" s="161" t="s">
        <v>4474</v>
      </c>
      <c r="F235" s="222">
        <v>130</v>
      </c>
      <c r="G235" s="222">
        <v>170</v>
      </c>
      <c r="H235" s="222">
        <v>40</v>
      </c>
      <c r="I235" s="207">
        <v>300</v>
      </c>
      <c r="J235" s="242">
        <f t="shared" si="34"/>
        <v>12000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45334</v>
      </c>
      <c r="D236" s="161" t="s">
        <v>9</v>
      </c>
      <c r="E236" s="161" t="s">
        <v>4505</v>
      </c>
      <c r="F236" s="222">
        <v>130</v>
      </c>
      <c r="G236" s="222">
        <v>161</v>
      </c>
      <c r="H236" s="222">
        <v>31</v>
      </c>
      <c r="I236" s="207">
        <v>300</v>
      </c>
      <c r="J236" s="242">
        <f t="shared" si="34"/>
        <v>9300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45335</v>
      </c>
      <c r="D237" s="161" t="s">
        <v>9</v>
      </c>
      <c r="E237" s="161" t="s">
        <v>4506</v>
      </c>
      <c r="F237" s="222">
        <v>110</v>
      </c>
      <c r="G237" s="222">
        <v>145</v>
      </c>
      <c r="H237" s="255">
        <f>145-110</f>
        <v>35</v>
      </c>
      <c r="I237" s="207">
        <v>300</v>
      </c>
      <c r="J237" s="242">
        <f t="shared" si="34"/>
        <v>10500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10</v>
      </c>
      <c r="C238" s="206">
        <v>45336</v>
      </c>
      <c r="D238" s="161" t="s">
        <v>9</v>
      </c>
      <c r="E238" s="161" t="s">
        <v>4445</v>
      </c>
      <c r="F238" s="222">
        <v>210</v>
      </c>
      <c r="G238" s="222">
        <v>240</v>
      </c>
      <c r="H238" s="255">
        <v>30</v>
      </c>
      <c r="I238" s="207">
        <v>100</v>
      </c>
      <c r="J238" s="242">
        <f t="shared" si="34"/>
        <v>3000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45337</v>
      </c>
      <c r="D239" s="161" t="s">
        <v>9</v>
      </c>
      <c r="E239" s="161" t="s">
        <v>4507</v>
      </c>
      <c r="F239" s="222">
        <v>15</v>
      </c>
      <c r="G239" s="222">
        <v>16.3</v>
      </c>
      <c r="H239" s="255">
        <v>1.3</v>
      </c>
      <c r="I239" s="207">
        <v>2100</v>
      </c>
      <c r="J239" s="242">
        <f t="shared" si="34"/>
        <v>2730</v>
      </c>
      <c r="K239" s="153"/>
      <c r="V239" s="25">
        <f t="shared" si="36"/>
        <v>1</v>
      </c>
      <c r="W239" s="25">
        <f t="shared" si="37"/>
        <v>0</v>
      </c>
    </row>
    <row r="240" spans="1:23" x14ac:dyDescent="0.3">
      <c r="A240" s="147"/>
      <c r="B240" s="205">
        <f t="shared" si="35"/>
        <v>12</v>
      </c>
      <c r="C240" s="206">
        <v>45338</v>
      </c>
      <c r="D240" s="161" t="s">
        <v>9</v>
      </c>
      <c r="E240" s="161" t="s">
        <v>4511</v>
      </c>
      <c r="F240" s="222">
        <v>105</v>
      </c>
      <c r="G240" s="222">
        <v>123</v>
      </c>
      <c r="H240" s="255">
        <f>123-105</f>
        <v>18</v>
      </c>
      <c r="I240" s="207">
        <v>300</v>
      </c>
      <c r="J240" s="242">
        <f t="shared" si="34"/>
        <v>5400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45341</v>
      </c>
      <c r="D241" s="161" t="s">
        <v>9</v>
      </c>
      <c r="E241" s="161" t="s">
        <v>4469</v>
      </c>
      <c r="F241" s="222">
        <v>200</v>
      </c>
      <c r="G241" s="222">
        <v>260</v>
      </c>
      <c r="H241" s="255">
        <v>60</v>
      </c>
      <c r="I241" s="207">
        <v>100</v>
      </c>
      <c r="J241" s="242">
        <f t="shared" si="34"/>
        <v>6000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45342</v>
      </c>
      <c r="D242" s="161" t="s">
        <v>9</v>
      </c>
      <c r="E242" s="161" t="s">
        <v>4518</v>
      </c>
      <c r="F242" s="222">
        <v>125</v>
      </c>
      <c r="G242" s="222">
        <v>140</v>
      </c>
      <c r="H242" s="255">
        <f>140-125</f>
        <v>15</v>
      </c>
      <c r="I242" s="207">
        <v>400</v>
      </c>
      <c r="J242" s="242">
        <f>I242*H242</f>
        <v>6000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45343</v>
      </c>
      <c r="D243" s="161" t="s">
        <v>9</v>
      </c>
      <c r="E243" s="161" t="s">
        <v>4519</v>
      </c>
      <c r="F243" s="222">
        <v>175</v>
      </c>
      <c r="G243" s="222">
        <v>145</v>
      </c>
      <c r="H243" s="255">
        <v>-30</v>
      </c>
      <c r="I243" s="207">
        <v>100</v>
      </c>
      <c r="J243" s="242">
        <f t="shared" si="34"/>
        <v>-3000</v>
      </c>
      <c r="K243" s="153"/>
      <c r="V243" s="25">
        <f t="shared" si="36"/>
        <v>0</v>
      </c>
      <c r="W243" s="25">
        <f t="shared" si="37"/>
        <v>1</v>
      </c>
    </row>
    <row r="244" spans="1:23" x14ac:dyDescent="0.3">
      <c r="A244" s="147"/>
      <c r="B244" s="205">
        <f t="shared" si="35"/>
        <v>16</v>
      </c>
      <c r="C244" s="206">
        <v>45344</v>
      </c>
      <c r="D244" s="161" t="s">
        <v>9</v>
      </c>
      <c r="E244" s="161" t="s">
        <v>4520</v>
      </c>
      <c r="F244" s="222">
        <v>10</v>
      </c>
      <c r="G244" s="222">
        <v>11.5</v>
      </c>
      <c r="H244" s="222">
        <v>1.5</v>
      </c>
      <c r="I244" s="207">
        <v>1800</v>
      </c>
      <c r="J244" s="242">
        <f t="shared" si="34"/>
        <v>2700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45345</v>
      </c>
      <c r="D245" s="161" t="s">
        <v>9</v>
      </c>
      <c r="E245" s="161" t="s">
        <v>4187</v>
      </c>
      <c r="F245" s="222">
        <v>70</v>
      </c>
      <c r="G245" s="222">
        <v>90</v>
      </c>
      <c r="H245" s="222">
        <v>20</v>
      </c>
      <c r="I245" s="207">
        <v>300</v>
      </c>
      <c r="J245" s="242">
        <f t="shared" si="34"/>
        <v>6000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45348</v>
      </c>
      <c r="D246" s="161" t="s">
        <v>9</v>
      </c>
      <c r="E246" s="161" t="s">
        <v>4187</v>
      </c>
      <c r="F246" s="222">
        <v>80</v>
      </c>
      <c r="G246" s="222">
        <v>86</v>
      </c>
      <c r="H246" s="222">
        <v>6</v>
      </c>
      <c r="I246" s="207">
        <v>300</v>
      </c>
      <c r="J246" s="242">
        <f t="shared" si="34"/>
        <v>1800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>
        <v>45349</v>
      </c>
      <c r="D247" s="161" t="s">
        <v>9</v>
      </c>
      <c r="E247" s="161" t="s">
        <v>4187</v>
      </c>
      <c r="F247" s="222">
        <v>70</v>
      </c>
      <c r="G247" s="222">
        <v>110</v>
      </c>
      <c r="H247" s="222">
        <f>110-70</f>
        <v>40</v>
      </c>
      <c r="I247" s="207">
        <v>300</v>
      </c>
      <c r="J247" s="242">
        <f t="shared" si="34"/>
        <v>12000</v>
      </c>
      <c r="K247" s="153"/>
      <c r="V247" s="25">
        <f t="shared" si="36"/>
        <v>1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>
        <v>45350</v>
      </c>
      <c r="D248" s="161" t="s">
        <v>9</v>
      </c>
      <c r="E248" s="161" t="s">
        <v>4521</v>
      </c>
      <c r="F248" s="222">
        <v>7</v>
      </c>
      <c r="G248" s="222">
        <v>9</v>
      </c>
      <c r="H248" s="222">
        <v>2</v>
      </c>
      <c r="I248" s="207">
        <v>950</v>
      </c>
      <c r="J248" s="242">
        <f t="shared" si="34"/>
        <v>1900</v>
      </c>
      <c r="K248" s="153"/>
      <c r="V248" s="25">
        <f t="shared" si="36"/>
        <v>1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>
        <v>45351</v>
      </c>
      <c r="D249" s="161" t="s">
        <v>9</v>
      </c>
      <c r="E249" s="161" t="s">
        <v>4522</v>
      </c>
      <c r="F249" s="222">
        <v>290</v>
      </c>
      <c r="G249" s="222">
        <v>370</v>
      </c>
      <c r="H249" s="222">
        <f>370-290</f>
        <v>80</v>
      </c>
      <c r="I249" s="207">
        <v>100</v>
      </c>
      <c r="J249" s="242">
        <f t="shared" si="34"/>
        <v>8000</v>
      </c>
      <c r="K249" s="153"/>
      <c r="V249" s="25">
        <f t="shared" si="36"/>
        <v>1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113675</v>
      </c>
      <c r="K253" s="153"/>
      <c r="V253" s="25">
        <f>SUM(V229:V252)</f>
        <v>20</v>
      </c>
      <c r="W253" s="25">
        <f>SUM(W229:W252)</f>
        <v>1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00000000-0004-0000-8200-000000000000}"/>
    <hyperlink ref="B118" r:id="rId2" xr:uid="{00000000-0004-0000-8200-000001000000}"/>
    <hyperlink ref="B153" r:id="rId3" xr:uid="{00000000-0004-0000-8200-000002000000}"/>
    <hyperlink ref="B187" r:id="rId4" xr:uid="{00000000-0004-0000-8200-000003000000}"/>
    <hyperlink ref="B221" r:id="rId5" xr:uid="{00000000-0004-0000-8200-000004000000}"/>
    <hyperlink ref="B253" r:id="rId6" xr:uid="{00000000-0004-0000-8200-000005000000}"/>
    <hyperlink ref="M1" location="'MASTER '!A1" display="Back" xr:uid="{00000000-0004-0000-8200-000006000000}"/>
    <hyperlink ref="M6:M7" location="'FEB 2024'!A77" display="STOCK FUTURE" xr:uid="{00000000-0004-0000-8200-000007000000}"/>
    <hyperlink ref="M12:M13" location="'FEB 2024'!A170" display="BANK NIFTY" xr:uid="{00000000-0004-0000-8200-000008000000}"/>
    <hyperlink ref="M10:M11" location="'FEB 2024'!A139" display="NF. OPTION" xr:uid="{00000000-0004-0000-8200-000009000000}"/>
    <hyperlink ref="M8:M9" location="'FEB 2024'!A108" display="NIFTY FUTURE" xr:uid="{00000000-0004-0000-8200-00000A000000}"/>
    <hyperlink ref="M4:M5" location="'FEB 2024'!A1" display="CASH" xr:uid="{00000000-0004-0000-8200-00000B000000}"/>
    <hyperlink ref="M14:M15" location="'FEB 2024'!A201" display="B.NIFTY OPTION" xr:uid="{00000000-0004-0000-8200-00000C000000}"/>
    <hyperlink ref="M16:M17" location="'FEB 2024'!A216" display="STOCK OPTION" xr:uid="{00000000-0004-0000-8200-00000D000000}"/>
    <hyperlink ref="B52" r:id="rId7" xr:uid="{00000000-0004-0000-8200-00000E000000}"/>
  </hyperlinks>
  <pageMargins left="0" right="0" top="0" bottom="0" header="0" footer="0"/>
  <pageSetup scale="95" orientation="portrait" r:id="rId8"/>
  <drawing r:id="rId9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83DE-845B-42F3-A4CB-EDDA912F1B75}">
  <dimension ref="A1:W254"/>
  <sheetViews>
    <sheetView tabSelected="1" zoomScaleNormal="100" workbookViewId="0">
      <selection activeCell="M25" sqref="M25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4.44140625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24" width="9.109375" style="25" customWidth="1"/>
    <col min="25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4523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36</v>
      </c>
      <c r="O4" s="386">
        <f>V52</f>
        <v>30</v>
      </c>
      <c r="P4" s="386">
        <f>W52</f>
        <v>6</v>
      </c>
      <c r="Q4" s="387">
        <f>N4-O4-P4</f>
        <v>0</v>
      </c>
      <c r="R4" s="380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45352</v>
      </c>
      <c r="D6" s="158" t="s">
        <v>9</v>
      </c>
      <c r="E6" s="158" t="s">
        <v>58</v>
      </c>
      <c r="F6" s="230">
        <v>1082</v>
      </c>
      <c r="G6" s="222">
        <v>1092</v>
      </c>
      <c r="H6" s="222">
        <v>10</v>
      </c>
      <c r="I6" s="207">
        <f t="shared" ref="I6" si="0">300000/F6</f>
        <v>277.26432532347502</v>
      </c>
      <c r="J6" s="161">
        <f>H6*I6</f>
        <v>2772.6432532347503</v>
      </c>
      <c r="K6" s="153"/>
      <c r="M6" s="394" t="s">
        <v>450</v>
      </c>
      <c r="N6" s="344">
        <f>COUNT(C60:C85)</f>
        <v>18</v>
      </c>
      <c r="O6" s="346">
        <f>V86</f>
        <v>18</v>
      </c>
      <c r="P6" s="346">
        <f>W86</f>
        <v>0</v>
      </c>
      <c r="Q6" s="374">
        <f>N6-O6-P6</f>
        <v>0</v>
      </c>
      <c r="R6" s="376">
        <f t="shared" ref="R6" si="1">O6/N6</f>
        <v>1</v>
      </c>
      <c r="V6" s="25">
        <f t="shared" ref="V6:V51" si="2">IF($J6&gt;0,1,0)</f>
        <v>1</v>
      </c>
      <c r="W6" s="25">
        <f t="shared" ref="W6:W51" si="3">IF($J6&lt;0,1,0)</f>
        <v>0</v>
      </c>
    </row>
    <row r="7" spans="1:23" x14ac:dyDescent="0.3">
      <c r="A7" s="147"/>
      <c r="B7" s="205">
        <f t="shared" ref="B7:B51" si="4">B6+1</f>
        <v>2</v>
      </c>
      <c r="C7" s="206">
        <v>45352</v>
      </c>
      <c r="D7" s="161" t="s">
        <v>9</v>
      </c>
      <c r="E7" s="161" t="s">
        <v>95</v>
      </c>
      <c r="F7" s="222">
        <v>1068</v>
      </c>
      <c r="G7" s="231">
        <v>1088</v>
      </c>
      <c r="H7" s="255">
        <v>20</v>
      </c>
      <c r="I7" s="207">
        <f t="shared" ref="I7" si="5">300000/F7</f>
        <v>280.89887640449439</v>
      </c>
      <c r="J7" s="161">
        <f>H7*I7</f>
        <v>5617.9775280898875</v>
      </c>
      <c r="K7" s="153"/>
      <c r="M7" s="396"/>
      <c r="N7" s="385"/>
      <c r="O7" s="382"/>
      <c r="P7" s="382"/>
      <c r="Q7" s="383"/>
      <c r="R7" s="384"/>
      <c r="V7" s="25">
        <f t="shared" si="2"/>
        <v>1</v>
      </c>
      <c r="W7" s="25">
        <f t="shared" si="3"/>
        <v>0</v>
      </c>
    </row>
    <row r="8" spans="1:23" x14ac:dyDescent="0.3">
      <c r="A8" s="147"/>
      <c r="B8" s="205">
        <f t="shared" si="4"/>
        <v>3</v>
      </c>
      <c r="C8" s="206">
        <v>45355</v>
      </c>
      <c r="D8" s="161" t="s">
        <v>9</v>
      </c>
      <c r="E8" s="161" t="s">
        <v>26</v>
      </c>
      <c r="F8" s="222">
        <v>930</v>
      </c>
      <c r="G8" s="222">
        <v>940</v>
      </c>
      <c r="H8" s="222">
        <v>10</v>
      </c>
      <c r="I8" s="207">
        <f t="shared" ref="I8:I41" si="6">300000/F8</f>
        <v>322.58064516129031</v>
      </c>
      <c r="J8" s="161">
        <f t="shared" ref="J8:J41" si="7">H8*I8</f>
        <v>3225.8064516129029</v>
      </c>
      <c r="K8" s="153"/>
      <c r="M8" s="394" t="s">
        <v>451</v>
      </c>
      <c r="N8" s="344">
        <f>COUNT(C94:C117)</f>
        <v>19</v>
      </c>
      <c r="O8" s="346">
        <f>V118</f>
        <v>16</v>
      </c>
      <c r="P8" s="346">
        <f>W118</f>
        <v>3</v>
      </c>
      <c r="Q8" s="374">
        <f>N8-O8-P8</f>
        <v>0</v>
      </c>
      <c r="R8" s="376">
        <f t="shared" ref="R8" si="8">O8/N8</f>
        <v>0.84210526315789469</v>
      </c>
      <c r="V8" s="25">
        <f t="shared" si="2"/>
        <v>1</v>
      </c>
      <c r="W8" s="25">
        <f t="shared" si="3"/>
        <v>0</v>
      </c>
    </row>
    <row r="9" spans="1:23" x14ac:dyDescent="0.3">
      <c r="A9" s="147"/>
      <c r="B9" s="205">
        <f t="shared" si="4"/>
        <v>4</v>
      </c>
      <c r="C9" s="206">
        <v>45355</v>
      </c>
      <c r="D9" s="161" t="s">
        <v>9</v>
      </c>
      <c r="E9" s="161" t="s">
        <v>3515</v>
      </c>
      <c r="F9" s="222">
        <v>3160</v>
      </c>
      <c r="G9" s="231">
        <v>3220</v>
      </c>
      <c r="H9" s="255">
        <f>3220-3160</f>
        <v>60</v>
      </c>
      <c r="I9" s="207">
        <f t="shared" si="6"/>
        <v>94.936708860759495</v>
      </c>
      <c r="J9" s="161">
        <f t="shared" si="7"/>
        <v>5696.2025316455693</v>
      </c>
      <c r="K9" s="153"/>
      <c r="M9" s="396"/>
      <c r="N9" s="385"/>
      <c r="O9" s="382"/>
      <c r="P9" s="382"/>
      <c r="Q9" s="383"/>
      <c r="R9" s="384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45356</v>
      </c>
      <c r="D10" s="161" t="s">
        <v>9</v>
      </c>
      <c r="E10" s="161" t="s">
        <v>4530</v>
      </c>
      <c r="F10" s="222">
        <v>620</v>
      </c>
      <c r="G10" s="222">
        <v>612</v>
      </c>
      <c r="H10" s="222">
        <v>-8</v>
      </c>
      <c r="I10" s="207">
        <f t="shared" si="6"/>
        <v>483.87096774193549</v>
      </c>
      <c r="J10" s="161">
        <f t="shared" si="7"/>
        <v>-3870.9677419354839</v>
      </c>
      <c r="K10" s="153"/>
      <c r="M10" s="394" t="s">
        <v>1176</v>
      </c>
      <c r="N10" s="344">
        <f>COUNT(C126:C152)</f>
        <v>21</v>
      </c>
      <c r="O10" s="346">
        <f>V153</f>
        <v>18</v>
      </c>
      <c r="P10" s="346">
        <f>W153</f>
        <v>3</v>
      </c>
      <c r="Q10" s="374">
        <f>N10-O10-P10</f>
        <v>0</v>
      </c>
      <c r="R10" s="376">
        <f t="shared" ref="R10:R16" si="9">O10/N10</f>
        <v>0.8571428571428571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45356</v>
      </c>
      <c r="D11" s="161" t="s">
        <v>9</v>
      </c>
      <c r="E11" s="161" t="s">
        <v>895</v>
      </c>
      <c r="F11" s="222">
        <v>212</v>
      </c>
      <c r="G11" s="222">
        <v>211</v>
      </c>
      <c r="H11" s="255">
        <v>-1</v>
      </c>
      <c r="I11" s="207">
        <f t="shared" si="6"/>
        <v>1415.0943396226414</v>
      </c>
      <c r="J11" s="161">
        <f t="shared" si="7"/>
        <v>-1415.0943396226414</v>
      </c>
      <c r="K11" s="153"/>
      <c r="M11" s="396"/>
      <c r="N11" s="385"/>
      <c r="O11" s="382"/>
      <c r="P11" s="382"/>
      <c r="Q11" s="383"/>
      <c r="R11" s="384"/>
      <c r="V11" s="25">
        <f t="shared" si="2"/>
        <v>0</v>
      </c>
      <c r="W11" s="25">
        <f t="shared" si="3"/>
        <v>1</v>
      </c>
    </row>
    <row r="12" spans="1:23" x14ac:dyDescent="0.3">
      <c r="A12" s="147"/>
      <c r="B12" s="205">
        <f t="shared" si="4"/>
        <v>7</v>
      </c>
      <c r="C12" s="206">
        <v>45357</v>
      </c>
      <c r="D12" s="161" t="s">
        <v>9</v>
      </c>
      <c r="E12" s="161" t="s">
        <v>58</v>
      </c>
      <c r="F12" s="222">
        <v>1115</v>
      </c>
      <c r="G12" s="222">
        <v>1131</v>
      </c>
      <c r="H12" s="222">
        <f>1131-1115</f>
        <v>16</v>
      </c>
      <c r="I12" s="207">
        <f t="shared" si="6"/>
        <v>269.05829596412553</v>
      </c>
      <c r="J12" s="161">
        <f t="shared" si="7"/>
        <v>4304.9327354260085</v>
      </c>
      <c r="K12" s="153"/>
      <c r="M12" s="394" t="s">
        <v>41</v>
      </c>
      <c r="N12" s="344">
        <f>COUNT(C161:C186)</f>
        <v>18</v>
      </c>
      <c r="O12" s="346">
        <f>V187</f>
        <v>15</v>
      </c>
      <c r="P12" s="346">
        <f>W187</f>
        <v>3</v>
      </c>
      <c r="Q12" s="374">
        <f t="shared" ref="Q12" si="10">N12-O12-P12</f>
        <v>0</v>
      </c>
      <c r="R12" s="376">
        <f t="shared" si="9"/>
        <v>0.83333333333333337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45357</v>
      </c>
      <c r="D13" s="161" t="s">
        <v>8</v>
      </c>
      <c r="E13" s="161" t="s">
        <v>3515</v>
      </c>
      <c r="F13" s="222">
        <v>3220</v>
      </c>
      <c r="G13" s="222">
        <v>3160</v>
      </c>
      <c r="H13" s="255">
        <f>3220-3160</f>
        <v>60</v>
      </c>
      <c r="I13" s="207">
        <f t="shared" si="6"/>
        <v>93.16770186335404</v>
      </c>
      <c r="J13" s="161">
        <f t="shared" si="7"/>
        <v>5590.0621118012423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45358</v>
      </c>
      <c r="D14" s="161" t="s">
        <v>9</v>
      </c>
      <c r="E14" s="161" t="s">
        <v>124</v>
      </c>
      <c r="F14" s="222">
        <v>1028</v>
      </c>
      <c r="G14" s="222">
        <v>1044</v>
      </c>
      <c r="H14" s="222">
        <f>1044-1028</f>
        <v>16</v>
      </c>
      <c r="I14" s="207">
        <f t="shared" si="6"/>
        <v>291.82879377431908</v>
      </c>
      <c r="J14" s="161">
        <f t="shared" si="7"/>
        <v>4669.2607003891053</v>
      </c>
      <c r="K14" s="153"/>
      <c r="M14" s="394" t="s">
        <v>1175</v>
      </c>
      <c r="N14" s="344">
        <f>COUNT(C195:C220)</f>
        <v>20</v>
      </c>
      <c r="O14" s="346">
        <f>V221</f>
        <v>16</v>
      </c>
      <c r="P14" s="346">
        <f>W221</f>
        <v>4</v>
      </c>
      <c r="Q14" s="374">
        <f t="shared" ref="Q14" si="11">N14-O14-P14</f>
        <v>0</v>
      </c>
      <c r="R14" s="376">
        <f t="shared" si="9"/>
        <v>0.8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45358</v>
      </c>
      <c r="D15" s="161" t="s">
        <v>9</v>
      </c>
      <c r="E15" s="161" t="s">
        <v>3443</v>
      </c>
      <c r="F15" s="222">
        <v>2240</v>
      </c>
      <c r="G15" s="222">
        <v>2250</v>
      </c>
      <c r="H15" s="222">
        <v>10</v>
      </c>
      <c r="I15" s="207">
        <f t="shared" si="6"/>
        <v>133.92857142857142</v>
      </c>
      <c r="J15" s="161">
        <f t="shared" si="7"/>
        <v>1339.2857142857142</v>
      </c>
      <c r="K15" s="153"/>
      <c r="M15" s="396"/>
      <c r="N15" s="385"/>
      <c r="O15" s="382"/>
      <c r="P15" s="382"/>
      <c r="Q15" s="383"/>
      <c r="R15" s="384"/>
      <c r="V15" s="25">
        <f t="shared" si="2"/>
        <v>1</v>
      </c>
      <c r="W15" s="25">
        <f t="shared" si="3"/>
        <v>0</v>
      </c>
    </row>
    <row r="16" spans="1:23" x14ac:dyDescent="0.3">
      <c r="A16" s="147"/>
      <c r="B16" s="205">
        <f t="shared" si="4"/>
        <v>11</v>
      </c>
      <c r="C16" s="206">
        <v>45362</v>
      </c>
      <c r="D16" s="161" t="s">
        <v>9</v>
      </c>
      <c r="E16" s="161" t="s">
        <v>3515</v>
      </c>
      <c r="F16" s="222">
        <v>3420</v>
      </c>
      <c r="G16" s="222">
        <v>3390</v>
      </c>
      <c r="H16" s="222">
        <v>-30</v>
      </c>
      <c r="I16" s="207">
        <f t="shared" si="6"/>
        <v>87.719298245614041</v>
      </c>
      <c r="J16" s="161">
        <f t="shared" si="7"/>
        <v>-2631.5789473684213</v>
      </c>
      <c r="K16" s="153"/>
      <c r="L16" s="25" t="s">
        <v>2008</v>
      </c>
      <c r="M16" s="394" t="s">
        <v>1090</v>
      </c>
      <c r="N16" s="344">
        <f>COUNT(C229:C252)</f>
        <v>18</v>
      </c>
      <c r="O16" s="346">
        <f>V253</f>
        <v>15</v>
      </c>
      <c r="P16" s="346">
        <f>W253</f>
        <v>3</v>
      </c>
      <c r="Q16" s="374">
        <v>0</v>
      </c>
      <c r="R16" s="376">
        <f t="shared" si="9"/>
        <v>0.83333333333333337</v>
      </c>
      <c r="V16" s="25">
        <f t="shared" si="2"/>
        <v>0</v>
      </c>
      <c r="W16" s="25">
        <f t="shared" si="3"/>
        <v>1</v>
      </c>
    </row>
    <row r="17" spans="1:23" ht="15" thickBot="1" x14ac:dyDescent="0.35">
      <c r="A17" s="147"/>
      <c r="B17" s="205">
        <f t="shared" si="4"/>
        <v>12</v>
      </c>
      <c r="C17" s="206">
        <v>45362</v>
      </c>
      <c r="D17" s="161" t="s">
        <v>8</v>
      </c>
      <c r="E17" s="161" t="s">
        <v>3443</v>
      </c>
      <c r="F17" s="222">
        <v>2205</v>
      </c>
      <c r="G17" s="222">
        <v>2165</v>
      </c>
      <c r="H17" s="222">
        <f>2205-2165</f>
        <v>40</v>
      </c>
      <c r="I17" s="207">
        <f t="shared" si="6"/>
        <v>136.05442176870747</v>
      </c>
      <c r="J17" s="161">
        <f t="shared" si="7"/>
        <v>5442.1768707482988</v>
      </c>
      <c r="K17" s="153"/>
      <c r="M17" s="395"/>
      <c r="N17" s="385"/>
      <c r="O17" s="373"/>
      <c r="P17" s="373"/>
      <c r="Q17" s="375"/>
      <c r="R17" s="377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45363</v>
      </c>
      <c r="D18" s="161" t="s">
        <v>9</v>
      </c>
      <c r="E18" s="161" t="s">
        <v>124</v>
      </c>
      <c r="F18" s="222">
        <v>1030</v>
      </c>
      <c r="G18" s="222">
        <v>1020</v>
      </c>
      <c r="H18" s="222">
        <v>-10</v>
      </c>
      <c r="I18" s="207">
        <f t="shared" si="6"/>
        <v>291.26213592233012</v>
      </c>
      <c r="J18" s="161">
        <f t="shared" si="7"/>
        <v>-2912.6213592233012</v>
      </c>
      <c r="K18" s="153"/>
      <c r="M18" s="392" t="s">
        <v>946</v>
      </c>
      <c r="N18" s="378">
        <f>SUM(N4:N17)</f>
        <v>150</v>
      </c>
      <c r="O18" s="378">
        <f t="shared" ref="O18:Q18" si="12">SUM(O4:O17)</f>
        <v>128</v>
      </c>
      <c r="P18" s="378">
        <f t="shared" si="12"/>
        <v>22</v>
      </c>
      <c r="Q18" s="378">
        <f t="shared" si="12"/>
        <v>0</v>
      </c>
      <c r="R18" s="380">
        <f t="shared" ref="R18" si="13">O18/N18</f>
        <v>0.85333333333333339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45363</v>
      </c>
      <c r="D19" s="161" t="s">
        <v>9</v>
      </c>
      <c r="E19" s="161" t="s">
        <v>26</v>
      </c>
      <c r="F19" s="222">
        <v>894</v>
      </c>
      <c r="G19" s="222">
        <v>898</v>
      </c>
      <c r="H19" s="222">
        <v>4</v>
      </c>
      <c r="I19" s="207">
        <f t="shared" si="6"/>
        <v>335.57046979865771</v>
      </c>
      <c r="J19" s="161">
        <f t="shared" si="7"/>
        <v>1342.2818791946308</v>
      </c>
      <c r="K19" s="153"/>
      <c r="M19" s="393"/>
      <c r="N19" s="379"/>
      <c r="O19" s="379"/>
      <c r="P19" s="379"/>
      <c r="Q19" s="379"/>
      <c r="R19" s="377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45364</v>
      </c>
      <c r="D20" s="161" t="s">
        <v>9</v>
      </c>
      <c r="E20" s="161" t="s">
        <v>3443</v>
      </c>
      <c r="F20" s="222">
        <v>2100</v>
      </c>
      <c r="G20" s="222">
        <v>2119</v>
      </c>
      <c r="H20" s="222">
        <v>19</v>
      </c>
      <c r="I20" s="207">
        <f t="shared" si="6"/>
        <v>142.85714285714286</v>
      </c>
      <c r="J20" s="161">
        <f t="shared" si="7"/>
        <v>2714.2857142857142</v>
      </c>
      <c r="K20" s="153"/>
      <c r="M20" s="316" t="s">
        <v>2253</v>
      </c>
      <c r="N20" s="317"/>
      <c r="O20" s="318"/>
      <c r="P20" s="325">
        <f>R18</f>
        <v>0.85333333333333339</v>
      </c>
      <c r="Q20" s="326"/>
      <c r="R20" s="32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45364</v>
      </c>
      <c r="D21" s="161" t="s">
        <v>8</v>
      </c>
      <c r="E21" s="161" t="s">
        <v>78</v>
      </c>
      <c r="F21" s="222">
        <v>3600</v>
      </c>
      <c r="G21" s="222">
        <v>3550</v>
      </c>
      <c r="H21" s="222">
        <f>3600-3550</f>
        <v>50</v>
      </c>
      <c r="I21" s="207">
        <f t="shared" si="6"/>
        <v>83.333333333333329</v>
      </c>
      <c r="J21" s="161">
        <f t="shared" si="7"/>
        <v>4166.6666666666661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45365</v>
      </c>
      <c r="D22" s="161" t="s">
        <v>9</v>
      </c>
      <c r="E22" s="161" t="s">
        <v>173</v>
      </c>
      <c r="F22" s="222">
        <v>2870</v>
      </c>
      <c r="G22" s="222">
        <v>2895</v>
      </c>
      <c r="H22" s="222">
        <v>25</v>
      </c>
      <c r="I22" s="207">
        <f t="shared" si="6"/>
        <v>104.52961672473867</v>
      </c>
      <c r="J22" s="161">
        <f t="shared" si="7"/>
        <v>2613.240418118467</v>
      </c>
      <c r="K22" s="153"/>
      <c r="M22" s="322"/>
      <c r="N22" s="323"/>
      <c r="O22" s="324"/>
      <c r="P22" s="331"/>
      <c r="Q22" s="332"/>
      <c r="R22" s="33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45365</v>
      </c>
      <c r="D23" s="161" t="s">
        <v>9</v>
      </c>
      <c r="E23" s="161" t="s">
        <v>58</v>
      </c>
      <c r="F23" s="222">
        <v>1070</v>
      </c>
      <c r="G23" s="222">
        <v>1080</v>
      </c>
      <c r="H23" s="222">
        <v>10</v>
      </c>
      <c r="I23" s="207">
        <f t="shared" si="6"/>
        <v>280.37383177570092</v>
      </c>
      <c r="J23" s="161">
        <f t="shared" si="7"/>
        <v>2803.7383177570091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45366</v>
      </c>
      <c r="D24" s="161" t="s">
        <v>9</v>
      </c>
      <c r="E24" s="161" t="s">
        <v>3443</v>
      </c>
      <c r="F24" s="222">
        <v>2090</v>
      </c>
      <c r="G24" s="222">
        <v>2123</v>
      </c>
      <c r="H24" s="222">
        <f>2123-2090</f>
        <v>33</v>
      </c>
      <c r="I24" s="207">
        <f t="shared" si="6"/>
        <v>143.54066985645932</v>
      </c>
      <c r="J24" s="161">
        <f t="shared" si="7"/>
        <v>4736.8421052631575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45366</v>
      </c>
      <c r="D25" s="161" t="s">
        <v>8</v>
      </c>
      <c r="E25" s="161" t="s">
        <v>58</v>
      </c>
      <c r="F25" s="222">
        <v>1040</v>
      </c>
      <c r="G25" s="222">
        <v>1030.25</v>
      </c>
      <c r="H25" s="222">
        <f>1040-1030.25</f>
        <v>9.75</v>
      </c>
      <c r="I25" s="207">
        <f t="shared" si="6"/>
        <v>288.46153846153845</v>
      </c>
      <c r="J25" s="161">
        <f t="shared" si="7"/>
        <v>2812.5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45369</v>
      </c>
      <c r="D26" s="161" t="s">
        <v>9</v>
      </c>
      <c r="E26" s="161" t="s">
        <v>124</v>
      </c>
      <c r="F26" s="222">
        <v>950</v>
      </c>
      <c r="G26" s="222">
        <v>966</v>
      </c>
      <c r="H26" s="222">
        <f>966-950</f>
        <v>16</v>
      </c>
      <c r="I26" s="207">
        <f t="shared" si="6"/>
        <v>315.78947368421052</v>
      </c>
      <c r="J26" s="161">
        <f t="shared" si="7"/>
        <v>5052.6315789473683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45369</v>
      </c>
      <c r="D27" s="161" t="s">
        <v>9</v>
      </c>
      <c r="E27" s="161" t="s">
        <v>4210</v>
      </c>
      <c r="F27" s="222">
        <v>1305</v>
      </c>
      <c r="G27" s="222">
        <v>1313</v>
      </c>
      <c r="H27" s="222">
        <f>1313-1305</f>
        <v>8</v>
      </c>
      <c r="I27" s="207">
        <f t="shared" si="6"/>
        <v>229.88505747126436</v>
      </c>
      <c r="J27" s="161">
        <f t="shared" si="7"/>
        <v>1839.0804597701149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45370</v>
      </c>
      <c r="D28" s="161" t="s">
        <v>9</v>
      </c>
      <c r="E28" s="161" t="s">
        <v>95</v>
      </c>
      <c r="F28" s="222">
        <v>1080</v>
      </c>
      <c r="G28" s="222">
        <v>1088</v>
      </c>
      <c r="H28" s="222">
        <v>8</v>
      </c>
      <c r="I28" s="207">
        <f t="shared" si="6"/>
        <v>277.77777777777777</v>
      </c>
      <c r="J28" s="161">
        <f t="shared" si="7"/>
        <v>2222.2222222222222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45370</v>
      </c>
      <c r="D29" s="161" t="s">
        <v>9</v>
      </c>
      <c r="E29" s="161" t="s">
        <v>4047</v>
      </c>
      <c r="F29" s="222">
        <v>344</v>
      </c>
      <c r="G29" s="222">
        <v>345</v>
      </c>
      <c r="H29" s="222">
        <v>1</v>
      </c>
      <c r="I29" s="207">
        <f t="shared" si="6"/>
        <v>872.09302325581393</v>
      </c>
      <c r="J29" s="161">
        <f t="shared" si="7"/>
        <v>872.09302325581393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45371</v>
      </c>
      <c r="D30" s="161" t="s">
        <v>9</v>
      </c>
      <c r="E30" s="161" t="s">
        <v>85</v>
      </c>
      <c r="F30" s="222">
        <v>1234</v>
      </c>
      <c r="G30" s="222">
        <v>1238.5</v>
      </c>
      <c r="H30" s="222">
        <f>1238.5-1234</f>
        <v>4.5</v>
      </c>
      <c r="I30" s="207">
        <f t="shared" si="6"/>
        <v>243.11183144246354</v>
      </c>
      <c r="J30" s="161">
        <f t="shared" si="7"/>
        <v>1094.0032414910859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45371</v>
      </c>
      <c r="D31" s="161" t="s">
        <v>9</v>
      </c>
      <c r="E31" s="161" t="s">
        <v>28</v>
      </c>
      <c r="F31" s="223">
        <v>117</v>
      </c>
      <c r="G31" s="222">
        <v>118</v>
      </c>
      <c r="H31" s="255">
        <v>1</v>
      </c>
      <c r="I31" s="207">
        <f t="shared" si="6"/>
        <v>2564.102564102564</v>
      </c>
      <c r="J31" s="161">
        <f t="shared" si="7"/>
        <v>2564.102564102564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45372</v>
      </c>
      <c r="D32" s="161" t="s">
        <v>9</v>
      </c>
      <c r="E32" s="161" t="s">
        <v>3515</v>
      </c>
      <c r="F32" s="222">
        <v>3060</v>
      </c>
      <c r="G32" s="222">
        <v>3120</v>
      </c>
      <c r="H32" s="222">
        <f>3120-3060</f>
        <v>60</v>
      </c>
      <c r="I32" s="207">
        <f t="shared" si="6"/>
        <v>98.039215686274517</v>
      </c>
      <c r="J32" s="161">
        <f t="shared" si="7"/>
        <v>5882.3529411764712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45372</v>
      </c>
      <c r="D33" s="161" t="s">
        <v>9</v>
      </c>
      <c r="E33" s="161" t="s">
        <v>19</v>
      </c>
      <c r="F33" s="223">
        <v>750</v>
      </c>
      <c r="G33" s="222">
        <v>744</v>
      </c>
      <c r="H33" s="255">
        <v>-6</v>
      </c>
      <c r="I33" s="207">
        <f t="shared" si="6"/>
        <v>400</v>
      </c>
      <c r="J33" s="161">
        <f t="shared" si="7"/>
        <v>-2400</v>
      </c>
      <c r="K33" s="153"/>
      <c r="V33" s="25">
        <f t="shared" si="2"/>
        <v>0</v>
      </c>
      <c r="W33" s="25">
        <f t="shared" si="3"/>
        <v>1</v>
      </c>
    </row>
    <row r="34" spans="1:23" x14ac:dyDescent="0.3">
      <c r="A34" s="147"/>
      <c r="B34" s="205">
        <f t="shared" si="4"/>
        <v>29</v>
      </c>
      <c r="C34" s="206">
        <v>45373</v>
      </c>
      <c r="D34" s="161" t="s">
        <v>9</v>
      </c>
      <c r="E34" s="161" t="s">
        <v>95</v>
      </c>
      <c r="F34" s="222">
        <v>1085</v>
      </c>
      <c r="G34" s="222">
        <v>1092</v>
      </c>
      <c r="H34" s="222">
        <f>1092-1085</f>
        <v>7</v>
      </c>
      <c r="I34" s="207">
        <f t="shared" si="6"/>
        <v>276.49769585253455</v>
      </c>
      <c r="J34" s="161">
        <f t="shared" si="7"/>
        <v>1935.483870967742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45373</v>
      </c>
      <c r="D35" s="161" t="s">
        <v>9</v>
      </c>
      <c r="E35" s="161" t="s">
        <v>3515</v>
      </c>
      <c r="F35" s="222">
        <v>3135</v>
      </c>
      <c r="G35" s="222">
        <v>3185</v>
      </c>
      <c r="H35" s="222">
        <f>3185-3135</f>
        <v>50</v>
      </c>
      <c r="I35" s="207">
        <f t="shared" si="6"/>
        <v>95.693779904306226</v>
      </c>
      <c r="J35" s="161">
        <f t="shared" si="7"/>
        <v>4784.6889952153115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45377</v>
      </c>
      <c r="D36" s="161" t="s">
        <v>9</v>
      </c>
      <c r="E36" s="161" t="s">
        <v>864</v>
      </c>
      <c r="F36" s="222">
        <v>2585</v>
      </c>
      <c r="G36" s="222">
        <v>2597</v>
      </c>
      <c r="H36" s="222">
        <f>2597-2585</f>
        <v>12</v>
      </c>
      <c r="I36" s="207">
        <f t="shared" si="6"/>
        <v>116.0541586073501</v>
      </c>
      <c r="J36" s="161">
        <f t="shared" si="7"/>
        <v>1392.6499032882011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45377</v>
      </c>
      <c r="D37" s="161" t="s">
        <v>9</v>
      </c>
      <c r="E37" s="161" t="s">
        <v>95</v>
      </c>
      <c r="F37" s="222">
        <v>1085</v>
      </c>
      <c r="G37" s="222">
        <v>1081</v>
      </c>
      <c r="H37" s="222">
        <v>-4</v>
      </c>
      <c r="I37" s="207">
        <f t="shared" si="6"/>
        <v>276.49769585253455</v>
      </c>
      <c r="J37" s="161">
        <f t="shared" si="7"/>
        <v>-1105.9907834101382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45378</v>
      </c>
      <c r="D38" s="161" t="s">
        <v>9</v>
      </c>
      <c r="E38" s="161" t="s">
        <v>117</v>
      </c>
      <c r="F38" s="222">
        <v>603</v>
      </c>
      <c r="G38" s="222">
        <v>610</v>
      </c>
      <c r="H38" s="222">
        <v>7</v>
      </c>
      <c r="I38" s="207">
        <f t="shared" si="6"/>
        <v>497.5124378109453</v>
      </c>
      <c r="J38" s="161">
        <f t="shared" si="7"/>
        <v>3482.587064676617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45378</v>
      </c>
      <c r="D39" s="161" t="s">
        <v>8</v>
      </c>
      <c r="E39" s="161" t="s">
        <v>3515</v>
      </c>
      <c r="F39" s="222">
        <v>3270</v>
      </c>
      <c r="G39" s="222">
        <v>3245</v>
      </c>
      <c r="H39" s="222">
        <f>3270-3245</f>
        <v>25</v>
      </c>
      <c r="I39" s="207">
        <f t="shared" si="6"/>
        <v>91.743119266055047</v>
      </c>
      <c r="J39" s="161">
        <f t="shared" si="7"/>
        <v>2293.5779816513764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45379</v>
      </c>
      <c r="D40" s="161" t="s">
        <v>9</v>
      </c>
      <c r="E40" s="161" t="s">
        <v>3515</v>
      </c>
      <c r="F40" s="222">
        <v>3300</v>
      </c>
      <c r="G40" s="222">
        <v>3340</v>
      </c>
      <c r="H40" s="222">
        <v>40</v>
      </c>
      <c r="I40" s="207">
        <f t="shared" si="6"/>
        <v>90.909090909090907</v>
      </c>
      <c r="J40" s="161">
        <f t="shared" si="7"/>
        <v>3636.363636363636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45379</v>
      </c>
      <c r="D41" s="161" t="s">
        <v>9</v>
      </c>
      <c r="E41" s="161" t="s">
        <v>19</v>
      </c>
      <c r="F41" s="222">
        <v>745</v>
      </c>
      <c r="G41" s="223">
        <v>759</v>
      </c>
      <c r="H41" s="222">
        <f>759-745</f>
        <v>14</v>
      </c>
      <c r="I41" s="207">
        <f t="shared" si="6"/>
        <v>402.68456375838929</v>
      </c>
      <c r="J41" s="161">
        <f t="shared" si="7"/>
        <v>5637.5838926174501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/>
      <c r="D42" s="161"/>
      <c r="E42" s="161"/>
      <c r="F42" s="222"/>
      <c r="G42" s="222"/>
      <c r="H42" s="222"/>
      <c r="I42" s="207"/>
      <c r="J42" s="246"/>
      <c r="K42" s="153"/>
      <c r="V42" s="25">
        <f t="shared" si="2"/>
        <v>0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/>
      <c r="D43" s="161"/>
      <c r="E43" s="161"/>
      <c r="F43" s="222"/>
      <c r="G43" s="222"/>
      <c r="H43" s="222"/>
      <c r="I43" s="207"/>
      <c r="J43" s="246"/>
      <c r="K43" s="153"/>
      <c r="V43" s="25">
        <f t="shared" si="2"/>
        <v>0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246"/>
      <c r="K44" s="153"/>
      <c r="V44" s="25">
        <f t="shared" si="2"/>
        <v>0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246"/>
      <c r="K45" s="153"/>
      <c r="V45" s="25">
        <f t="shared" si="2"/>
        <v>0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6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6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161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161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161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161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88201.07120270512</v>
      </c>
      <c r="K52" s="153"/>
      <c r="V52" s="25">
        <f>SUM(V6:V51)</f>
        <v>30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>
        <v>55552222222</v>
      </c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4523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45352</v>
      </c>
      <c r="D60" s="161" t="s">
        <v>9</v>
      </c>
      <c r="E60" s="161" t="s">
        <v>3562</v>
      </c>
      <c r="F60" s="222">
        <v>6760</v>
      </c>
      <c r="G60" s="222">
        <v>6840</v>
      </c>
      <c r="H60" s="222">
        <f>6840-6760</f>
        <v>80</v>
      </c>
      <c r="I60" s="279">
        <v>100</v>
      </c>
      <c r="J60" s="241">
        <f t="shared" ref="J60:J85" si="14">I60*H60</f>
        <v>8000</v>
      </c>
      <c r="K60" s="153"/>
      <c r="V60" s="25">
        <f t="shared" ref="V60:V80" si="15">IF($J60&gt;0,1,0)</f>
        <v>1</v>
      </c>
      <c r="W60" s="25">
        <f t="shared" ref="W60:W80" si="16">IF($J60&lt;0,1,0)</f>
        <v>0</v>
      </c>
    </row>
    <row r="61" spans="1:23" x14ac:dyDescent="0.3">
      <c r="A61" s="147"/>
      <c r="B61" s="205">
        <f t="shared" ref="B61:B82" si="17">B60+1</f>
        <v>2</v>
      </c>
      <c r="C61" s="206">
        <v>45355</v>
      </c>
      <c r="D61" s="161" t="s">
        <v>9</v>
      </c>
      <c r="E61" s="161" t="s">
        <v>85</v>
      </c>
      <c r="F61" s="222">
        <v>1150</v>
      </c>
      <c r="G61" s="222">
        <v>1156</v>
      </c>
      <c r="H61" s="222">
        <v>6</v>
      </c>
      <c r="I61" s="207">
        <v>950</v>
      </c>
      <c r="J61" s="242">
        <f t="shared" si="14"/>
        <v>5700</v>
      </c>
      <c r="K61" s="153"/>
      <c r="O61" s="25" t="s">
        <v>2008</v>
      </c>
      <c r="V61" s="25">
        <f t="shared" si="15"/>
        <v>1</v>
      </c>
      <c r="W61" s="25">
        <f t="shared" si="16"/>
        <v>0</v>
      </c>
    </row>
    <row r="62" spans="1:23" x14ac:dyDescent="0.3">
      <c r="A62" s="147"/>
      <c r="B62" s="205">
        <f t="shared" si="17"/>
        <v>3</v>
      </c>
      <c r="C62" s="206">
        <v>45356</v>
      </c>
      <c r="D62" s="161" t="s">
        <v>8</v>
      </c>
      <c r="E62" s="161" t="s">
        <v>78</v>
      </c>
      <c r="F62" s="222">
        <v>3635</v>
      </c>
      <c r="G62" s="222">
        <v>3610</v>
      </c>
      <c r="H62" s="222">
        <f>3635-3610</f>
        <v>25</v>
      </c>
      <c r="I62" s="207">
        <v>300</v>
      </c>
      <c r="J62" s="242">
        <f t="shared" si="14"/>
        <v>7500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45357</v>
      </c>
      <c r="D63" s="161" t="s">
        <v>8</v>
      </c>
      <c r="E63" s="161" t="s">
        <v>3443</v>
      </c>
      <c r="F63" s="222">
        <v>2180</v>
      </c>
      <c r="G63" s="222">
        <v>2150</v>
      </c>
      <c r="H63" s="222">
        <v>30</v>
      </c>
      <c r="I63" s="207">
        <v>300</v>
      </c>
      <c r="J63" s="242">
        <f t="shared" si="14"/>
        <v>9000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45358</v>
      </c>
      <c r="D64" s="161" t="s">
        <v>9</v>
      </c>
      <c r="E64" s="161" t="s">
        <v>117</v>
      </c>
      <c r="F64" s="222">
        <v>603</v>
      </c>
      <c r="G64" s="222">
        <v>608</v>
      </c>
      <c r="H64" s="222">
        <v>5</v>
      </c>
      <c r="I64" s="207">
        <v>1800</v>
      </c>
      <c r="J64" s="242">
        <f t="shared" si="14"/>
        <v>9000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45362</v>
      </c>
      <c r="D65" s="161" t="s">
        <v>9</v>
      </c>
      <c r="E65" s="161" t="s">
        <v>299</v>
      </c>
      <c r="F65" s="222">
        <v>3260</v>
      </c>
      <c r="G65" s="222">
        <v>3275</v>
      </c>
      <c r="H65" s="222">
        <v>15</v>
      </c>
      <c r="I65" s="207">
        <v>300</v>
      </c>
      <c r="J65" s="242">
        <f t="shared" si="14"/>
        <v>4500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45363</v>
      </c>
      <c r="D66" s="161" t="s">
        <v>9</v>
      </c>
      <c r="E66" s="161" t="s">
        <v>85</v>
      </c>
      <c r="F66" s="222">
        <v>1205</v>
      </c>
      <c r="G66" s="222">
        <v>1212</v>
      </c>
      <c r="H66" s="222">
        <f>1212-1205</f>
        <v>7</v>
      </c>
      <c r="I66" s="207">
        <v>950</v>
      </c>
      <c r="J66" s="242">
        <f t="shared" si="14"/>
        <v>6650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45364</v>
      </c>
      <c r="D67" s="161" t="s">
        <v>8</v>
      </c>
      <c r="E67" s="161" t="s">
        <v>299</v>
      </c>
      <c r="F67" s="222">
        <v>3020</v>
      </c>
      <c r="G67" s="222">
        <v>2960</v>
      </c>
      <c r="H67" s="222">
        <f>3020-2960</f>
        <v>60</v>
      </c>
      <c r="I67" s="207">
        <v>300</v>
      </c>
      <c r="J67" s="242">
        <f t="shared" si="14"/>
        <v>18000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45365</v>
      </c>
      <c r="D68" s="161" t="s">
        <v>9</v>
      </c>
      <c r="E68" s="161" t="s">
        <v>3515</v>
      </c>
      <c r="F68" s="222">
        <v>3120</v>
      </c>
      <c r="G68" s="222">
        <v>3170</v>
      </c>
      <c r="H68" s="222">
        <v>50</v>
      </c>
      <c r="I68" s="207">
        <v>300</v>
      </c>
      <c r="J68" s="242">
        <f t="shared" si="14"/>
        <v>15000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45366</v>
      </c>
      <c r="D69" s="161" t="s">
        <v>9</v>
      </c>
      <c r="E69" s="161" t="s">
        <v>85</v>
      </c>
      <c r="F69" s="222">
        <v>1200</v>
      </c>
      <c r="G69" s="222">
        <v>1220</v>
      </c>
      <c r="H69" s="222">
        <v>20</v>
      </c>
      <c r="I69" s="207">
        <v>950</v>
      </c>
      <c r="J69" s="242">
        <f t="shared" si="14"/>
        <v>19000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45369</v>
      </c>
      <c r="D70" s="161" t="s">
        <v>9</v>
      </c>
      <c r="E70" s="161" t="s">
        <v>58</v>
      </c>
      <c r="F70" s="161">
        <v>1055</v>
      </c>
      <c r="G70" s="222">
        <v>1069.95</v>
      </c>
      <c r="H70" s="222">
        <f>1069.95-1055</f>
        <v>14.950000000000045</v>
      </c>
      <c r="I70" s="207">
        <v>625</v>
      </c>
      <c r="J70" s="242">
        <f t="shared" si="14"/>
        <v>9343.7500000000291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45370</v>
      </c>
      <c r="D71" s="161" t="s">
        <v>9</v>
      </c>
      <c r="E71" s="161" t="s">
        <v>299</v>
      </c>
      <c r="F71" s="222">
        <v>3150</v>
      </c>
      <c r="G71" s="222">
        <v>3171</v>
      </c>
      <c r="H71" s="222">
        <f>3171-3150</f>
        <v>21</v>
      </c>
      <c r="I71" s="207">
        <v>300</v>
      </c>
      <c r="J71" s="242">
        <f t="shared" si="14"/>
        <v>6300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45371</v>
      </c>
      <c r="D72" s="161" t="s">
        <v>8</v>
      </c>
      <c r="E72" s="161" t="s">
        <v>403</v>
      </c>
      <c r="F72" s="222">
        <v>3425</v>
      </c>
      <c r="G72" s="222">
        <v>3408</v>
      </c>
      <c r="H72" s="222">
        <f>3425-3408</f>
        <v>17</v>
      </c>
      <c r="I72" s="207">
        <v>200</v>
      </c>
      <c r="J72" s="242">
        <f t="shared" si="14"/>
        <v>3400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45372</v>
      </c>
      <c r="D73" s="161" t="s">
        <v>8</v>
      </c>
      <c r="E73" s="161" t="s">
        <v>796</v>
      </c>
      <c r="F73" s="222">
        <v>6190</v>
      </c>
      <c r="G73" s="222">
        <v>6210</v>
      </c>
      <c r="H73" s="255">
        <v>20</v>
      </c>
      <c r="I73" s="207">
        <v>125</v>
      </c>
      <c r="J73" s="242">
        <f t="shared" si="14"/>
        <v>2500</v>
      </c>
      <c r="K73" s="153"/>
      <c r="M73" s="25" t="s">
        <v>2008</v>
      </c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64">
        <v>45373</v>
      </c>
      <c r="D74" s="265" t="s">
        <v>9</v>
      </c>
      <c r="E74" s="265" t="s">
        <v>126</v>
      </c>
      <c r="F74" s="277">
        <v>3885</v>
      </c>
      <c r="G74" s="267">
        <v>3945</v>
      </c>
      <c r="H74" s="222">
        <f>3945-3885</f>
        <v>60</v>
      </c>
      <c r="I74" s="207">
        <v>175</v>
      </c>
      <c r="J74" s="242">
        <f t="shared" si="14"/>
        <v>10500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64">
        <v>45377</v>
      </c>
      <c r="D75" s="265" t="s">
        <v>9</v>
      </c>
      <c r="E75" s="265" t="s">
        <v>3562</v>
      </c>
      <c r="F75" s="277">
        <v>7220</v>
      </c>
      <c r="G75" s="267">
        <v>7300</v>
      </c>
      <c r="H75" s="222">
        <f>7300-7220</f>
        <v>80</v>
      </c>
      <c r="I75" s="207">
        <v>100</v>
      </c>
      <c r="J75" s="242">
        <f t="shared" si="14"/>
        <v>8000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45378</v>
      </c>
      <c r="D76" s="161" t="s">
        <v>9</v>
      </c>
      <c r="E76" s="161" t="s">
        <v>3562</v>
      </c>
      <c r="F76" s="222">
        <v>7320</v>
      </c>
      <c r="G76" s="222">
        <v>7400</v>
      </c>
      <c r="H76" s="222">
        <f>7400-7320</f>
        <v>80</v>
      </c>
      <c r="I76" s="207">
        <v>100</v>
      </c>
      <c r="J76" s="242">
        <f t="shared" si="14"/>
        <v>8000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45379</v>
      </c>
      <c r="D77" s="161" t="s">
        <v>9</v>
      </c>
      <c r="E77" s="161" t="s">
        <v>3942</v>
      </c>
      <c r="F77" s="222">
        <v>1615</v>
      </c>
      <c r="G77" s="222">
        <v>1645</v>
      </c>
      <c r="H77" s="222">
        <f>1645-1615</f>
        <v>30</v>
      </c>
      <c r="I77" s="207">
        <v>500</v>
      </c>
      <c r="J77" s="242">
        <f t="shared" si="14"/>
        <v>15000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/>
      <c r="D78" s="161"/>
      <c r="E78" s="161"/>
      <c r="F78" s="223"/>
      <c r="G78" s="222"/>
      <c r="H78" s="255"/>
      <c r="I78" s="207"/>
      <c r="J78" s="242">
        <f t="shared" si="14"/>
        <v>0</v>
      </c>
      <c r="K78" s="153"/>
      <c r="V78" s="25">
        <f t="shared" si="15"/>
        <v>0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/>
      <c r="D79" s="161"/>
      <c r="E79" s="161"/>
      <c r="F79" s="222"/>
      <c r="G79" s="222"/>
      <c r="H79" s="222"/>
      <c r="I79" s="207"/>
      <c r="J79" s="242">
        <f t="shared" si="14"/>
        <v>0</v>
      </c>
      <c r="K79" s="153"/>
      <c r="V79" s="25">
        <f t="shared" si="15"/>
        <v>0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22"/>
      <c r="G80" s="222"/>
      <c r="H80" s="222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>IF($J82&gt;0,1,0)</f>
        <v>0</v>
      </c>
      <c r="W82" s="25">
        <f>IF($J82&lt;0,1,0)</f>
        <v>0</v>
      </c>
    </row>
    <row r="83" spans="1:23" x14ac:dyDescent="0.3">
      <c r="A83" s="147"/>
      <c r="B83" s="205">
        <v>24</v>
      </c>
      <c r="C83" s="264"/>
      <c r="D83" s="265"/>
      <c r="E83" s="265"/>
      <c r="F83" s="267"/>
      <c r="G83" s="267"/>
      <c r="H83" s="267"/>
      <c r="I83" s="266"/>
      <c r="J83" s="242">
        <f t="shared" si="14"/>
        <v>0</v>
      </c>
      <c r="K83" s="153"/>
    </row>
    <row r="84" spans="1:23" x14ac:dyDescent="0.3">
      <c r="A84" s="147"/>
      <c r="B84" s="205">
        <v>25</v>
      </c>
      <c r="C84" s="264"/>
      <c r="D84" s="265"/>
      <c r="E84" s="265"/>
      <c r="F84" s="267"/>
      <c r="G84" s="267"/>
      <c r="H84" s="267"/>
      <c r="I84" s="266"/>
      <c r="J84" s="242">
        <f t="shared" si="14"/>
        <v>0</v>
      </c>
      <c r="K84" s="153"/>
    </row>
    <row r="85" spans="1:23" ht="15" thickBot="1" x14ac:dyDescent="0.35">
      <c r="A85" s="147"/>
      <c r="B85" s="205">
        <v>26</v>
      </c>
      <c r="C85" s="209"/>
      <c r="D85" s="166"/>
      <c r="E85" s="166"/>
      <c r="F85" s="210"/>
      <c r="G85" s="210"/>
      <c r="H85" s="166"/>
      <c r="I85" s="210"/>
      <c r="J85" s="244">
        <f t="shared" si="14"/>
        <v>0</v>
      </c>
      <c r="K85" s="153"/>
      <c r="V85" s="25">
        <f>IF($J85&gt;0,1,0)</f>
        <v>0</v>
      </c>
      <c r="W85" s="25">
        <f>IF($J85&lt;0,1,0)</f>
        <v>0</v>
      </c>
    </row>
    <row r="86" spans="1:23" ht="24" thickBot="1" x14ac:dyDescent="0.5">
      <c r="A86" s="147"/>
      <c r="B86" s="370" t="s">
        <v>2254</v>
      </c>
      <c r="C86" s="371"/>
      <c r="D86" s="371"/>
      <c r="E86" s="371"/>
      <c r="F86" s="371"/>
      <c r="G86" s="371"/>
      <c r="H86" s="372"/>
      <c r="I86" s="211" t="s">
        <v>2255</v>
      </c>
      <c r="J86" s="212">
        <f>SUM(J60:J85)</f>
        <v>165393.75000000003</v>
      </c>
      <c r="K86" s="153"/>
      <c r="V86" s="25">
        <f>SUM(V60:V85)</f>
        <v>18</v>
      </c>
      <c r="W86" s="25">
        <f>SUM(W60:W85)</f>
        <v>0</v>
      </c>
    </row>
    <row r="87" spans="1:23" ht="30" customHeight="1" thickBot="1" x14ac:dyDescent="0.35">
      <c r="A87" s="213"/>
      <c r="B87" s="172"/>
      <c r="C87" s="172"/>
      <c r="D87" s="172"/>
      <c r="E87" s="172"/>
      <c r="F87" s="172"/>
      <c r="G87" s="172"/>
      <c r="H87" s="235"/>
      <c r="I87" s="172"/>
      <c r="J87" s="235"/>
      <c r="K87" s="214"/>
    </row>
    <row r="88" spans="1:23" ht="15" thickBot="1" x14ac:dyDescent="0.35"/>
    <row r="89" spans="1:23" ht="30" customHeight="1" thickBot="1" x14ac:dyDescent="0.35">
      <c r="A89" s="198"/>
      <c r="B89" s="143"/>
      <c r="C89" s="143"/>
      <c r="D89" s="143"/>
      <c r="E89" s="143"/>
      <c r="F89" s="143"/>
      <c r="G89" s="143"/>
      <c r="H89" s="232"/>
      <c r="I89" s="143"/>
      <c r="J89" s="232"/>
      <c r="K89" s="199"/>
    </row>
    <row r="90" spans="1:23" ht="25.2" thickBot="1" x14ac:dyDescent="0.35">
      <c r="A90" s="147" t="s">
        <v>0</v>
      </c>
      <c r="B90" s="361" t="s">
        <v>2244</v>
      </c>
      <c r="C90" s="362"/>
      <c r="D90" s="362"/>
      <c r="E90" s="362"/>
      <c r="F90" s="362"/>
      <c r="G90" s="362"/>
      <c r="H90" s="362"/>
      <c r="I90" s="362"/>
      <c r="J90" s="363"/>
      <c r="K90" s="153"/>
    </row>
    <row r="91" spans="1:23" ht="16.2" thickBot="1" x14ac:dyDescent="0.35">
      <c r="A91" s="147"/>
      <c r="B91" s="364" t="s">
        <v>4523</v>
      </c>
      <c r="C91" s="365"/>
      <c r="D91" s="365"/>
      <c r="E91" s="365"/>
      <c r="F91" s="365"/>
      <c r="G91" s="365"/>
      <c r="H91" s="365"/>
      <c r="I91" s="365"/>
      <c r="J91" s="366"/>
      <c r="K91" s="153"/>
    </row>
    <row r="92" spans="1:23" ht="16.2" thickBot="1" x14ac:dyDescent="0.35">
      <c r="A92" s="147"/>
      <c r="B92" s="367" t="s">
        <v>3876</v>
      </c>
      <c r="C92" s="368"/>
      <c r="D92" s="368"/>
      <c r="E92" s="368"/>
      <c r="F92" s="368"/>
      <c r="G92" s="368"/>
      <c r="H92" s="368"/>
      <c r="I92" s="368"/>
      <c r="J92" s="369"/>
      <c r="K92" s="153"/>
    </row>
    <row r="93" spans="1:23" ht="15" thickBot="1" x14ac:dyDescent="0.35">
      <c r="A93" s="175"/>
      <c r="B93" s="178" t="s">
        <v>2248</v>
      </c>
      <c r="C93" s="179" t="s">
        <v>1</v>
      </c>
      <c r="D93" s="180" t="s">
        <v>5</v>
      </c>
      <c r="E93" s="180" t="s">
        <v>6</v>
      </c>
      <c r="F93" s="181" t="s">
        <v>2249</v>
      </c>
      <c r="G93" s="181" t="s">
        <v>2250</v>
      </c>
      <c r="H93" s="239" t="s">
        <v>2251</v>
      </c>
      <c r="I93" s="181" t="s">
        <v>2257</v>
      </c>
      <c r="J93" s="245" t="s">
        <v>4</v>
      </c>
      <c r="K93" s="176"/>
      <c r="L93" s="215"/>
      <c r="V93" s="201" t="s">
        <v>454</v>
      </c>
      <c r="W93" s="201" t="s">
        <v>455</v>
      </c>
    </row>
    <row r="94" spans="1:23" x14ac:dyDescent="0.3">
      <c r="A94" s="147"/>
      <c r="B94" s="217">
        <v>1</v>
      </c>
      <c r="C94" s="218">
        <v>45352</v>
      </c>
      <c r="D94" s="185" t="s">
        <v>9</v>
      </c>
      <c r="E94" s="185" t="s">
        <v>39</v>
      </c>
      <c r="F94" s="219">
        <v>22240</v>
      </c>
      <c r="G94" s="219">
        <v>22320</v>
      </c>
      <c r="H94" s="185">
        <v>80</v>
      </c>
      <c r="I94" s="219">
        <v>150</v>
      </c>
      <c r="J94" s="246">
        <f t="shared" ref="J94:J117" si="18">I94*H94</f>
        <v>12000</v>
      </c>
      <c r="K94" s="153"/>
      <c r="V94" s="25">
        <f t="shared" ref="V94:V117" si="19">IF($J94&gt;0,1,0)</f>
        <v>1</v>
      </c>
      <c r="W94" s="25">
        <f t="shared" ref="W94:W117" si="20">IF($J94&lt;0,1,0)</f>
        <v>0</v>
      </c>
    </row>
    <row r="95" spans="1:23" x14ac:dyDescent="0.3">
      <c r="A95" s="147"/>
      <c r="B95" s="205">
        <f t="shared" ref="B95:B115" si="21">B94+1</f>
        <v>2</v>
      </c>
      <c r="C95" s="218">
        <v>45355</v>
      </c>
      <c r="D95" s="185" t="s">
        <v>9</v>
      </c>
      <c r="E95" s="185" t="s">
        <v>39</v>
      </c>
      <c r="F95" s="219">
        <v>22490</v>
      </c>
      <c r="G95" s="219">
        <v>22530</v>
      </c>
      <c r="H95" s="185">
        <f>22530-22490</f>
        <v>40</v>
      </c>
      <c r="I95" s="219">
        <v>150</v>
      </c>
      <c r="J95" s="242">
        <f t="shared" si="18"/>
        <v>6000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3</v>
      </c>
      <c r="C96" s="206">
        <v>45356</v>
      </c>
      <c r="D96" s="161" t="s">
        <v>8</v>
      </c>
      <c r="E96" s="161" t="s">
        <v>39</v>
      </c>
      <c r="F96" s="207">
        <v>22460</v>
      </c>
      <c r="G96" s="207">
        <v>22380</v>
      </c>
      <c r="H96" s="161">
        <f>22460-22380</f>
        <v>80</v>
      </c>
      <c r="I96" s="207">
        <v>150</v>
      </c>
      <c r="J96" s="242">
        <f t="shared" si="18"/>
        <v>12000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4</v>
      </c>
      <c r="C97" s="206">
        <v>45357</v>
      </c>
      <c r="D97" s="161" t="s">
        <v>9</v>
      </c>
      <c r="E97" s="161" t="s">
        <v>39</v>
      </c>
      <c r="F97" s="207">
        <v>22440</v>
      </c>
      <c r="G97" s="207">
        <v>22400</v>
      </c>
      <c r="H97" s="161">
        <v>-40</v>
      </c>
      <c r="I97" s="207">
        <v>150</v>
      </c>
      <c r="J97" s="242">
        <f t="shared" si="18"/>
        <v>-6000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5</v>
      </c>
      <c r="C98" s="206">
        <v>45357</v>
      </c>
      <c r="D98" s="161" t="s">
        <v>8</v>
      </c>
      <c r="E98" s="161" t="s">
        <v>39</v>
      </c>
      <c r="F98" s="207">
        <v>22360</v>
      </c>
      <c r="G98" s="207">
        <v>22322</v>
      </c>
      <c r="H98" s="161">
        <f>22360-22322</f>
        <v>38</v>
      </c>
      <c r="I98" s="207">
        <v>150</v>
      </c>
      <c r="J98" s="242">
        <f t="shared" si="18"/>
        <v>5700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6</v>
      </c>
      <c r="C99" s="206">
        <v>45358</v>
      </c>
      <c r="D99" s="161" t="s">
        <v>9</v>
      </c>
      <c r="E99" s="161" t="s">
        <v>39</v>
      </c>
      <c r="F99" s="207">
        <v>22580</v>
      </c>
      <c r="G99" s="207">
        <v>22540</v>
      </c>
      <c r="H99" s="161">
        <v>-40</v>
      </c>
      <c r="I99" s="207">
        <v>150</v>
      </c>
      <c r="J99" s="242">
        <f t="shared" si="18"/>
        <v>-6000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7</v>
      </c>
      <c r="C100" s="206">
        <v>45362</v>
      </c>
      <c r="D100" s="161" t="s">
        <v>9</v>
      </c>
      <c r="E100" s="161" t="s">
        <v>39</v>
      </c>
      <c r="F100" s="207">
        <v>22540</v>
      </c>
      <c r="G100" s="207">
        <v>22500</v>
      </c>
      <c r="H100" s="161">
        <v>-40</v>
      </c>
      <c r="I100" s="207">
        <v>150</v>
      </c>
      <c r="J100" s="242">
        <f t="shared" si="18"/>
        <v>-6000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8</v>
      </c>
      <c r="C101" s="206">
        <v>45363</v>
      </c>
      <c r="D101" s="161" t="s">
        <v>9</v>
      </c>
      <c r="E101" s="161" t="s">
        <v>39</v>
      </c>
      <c r="F101" s="207">
        <v>22490</v>
      </c>
      <c r="G101" s="207">
        <v>22530</v>
      </c>
      <c r="H101" s="161">
        <f>22530-22490</f>
        <v>40</v>
      </c>
      <c r="I101" s="207">
        <v>150</v>
      </c>
      <c r="J101" s="242">
        <f t="shared" si="18"/>
        <v>6000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9</v>
      </c>
      <c r="C102" s="206">
        <v>45364</v>
      </c>
      <c r="D102" s="161" t="s">
        <v>8</v>
      </c>
      <c r="E102" s="161" t="s">
        <v>39</v>
      </c>
      <c r="F102" s="207">
        <v>22430</v>
      </c>
      <c r="G102" s="207">
        <v>22350</v>
      </c>
      <c r="H102" s="161">
        <f>22430-22350</f>
        <v>80</v>
      </c>
      <c r="I102" s="207">
        <v>150</v>
      </c>
      <c r="J102" s="242">
        <f t="shared" si="18"/>
        <v>12000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10</v>
      </c>
      <c r="C103" s="206">
        <v>45365</v>
      </c>
      <c r="D103" s="161" t="s">
        <v>9</v>
      </c>
      <c r="E103" s="161" t="s">
        <v>39</v>
      </c>
      <c r="F103" s="207">
        <v>22130</v>
      </c>
      <c r="G103" s="207">
        <v>22210</v>
      </c>
      <c r="H103" s="161">
        <v>80</v>
      </c>
      <c r="I103" s="207">
        <v>150</v>
      </c>
      <c r="J103" s="242">
        <f t="shared" si="18"/>
        <v>12000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11</v>
      </c>
      <c r="C104" s="206">
        <v>45366</v>
      </c>
      <c r="D104" s="161" t="s">
        <v>8</v>
      </c>
      <c r="E104" s="161" t="s">
        <v>39</v>
      </c>
      <c r="F104" s="207">
        <v>22080</v>
      </c>
      <c r="G104" s="207">
        <v>22000</v>
      </c>
      <c r="H104" s="161">
        <v>80</v>
      </c>
      <c r="I104" s="207">
        <v>150</v>
      </c>
      <c r="J104" s="242">
        <f t="shared" si="18"/>
        <v>12000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12</v>
      </c>
      <c r="C105" s="206">
        <v>45369</v>
      </c>
      <c r="D105" s="161" t="s">
        <v>9</v>
      </c>
      <c r="E105" s="161" t="s">
        <v>39</v>
      </c>
      <c r="F105" s="207">
        <v>22080</v>
      </c>
      <c r="G105" s="207">
        <v>22120</v>
      </c>
      <c r="H105" s="161">
        <f>22120-22080</f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13</v>
      </c>
      <c r="C106" s="206">
        <v>45370</v>
      </c>
      <c r="D106" s="161" t="s">
        <v>8</v>
      </c>
      <c r="E106" s="161" t="s">
        <v>39</v>
      </c>
      <c r="F106" s="207">
        <v>21970</v>
      </c>
      <c r="G106" s="207">
        <v>21890</v>
      </c>
      <c r="H106" s="161">
        <f>21970-21890</f>
        <v>80</v>
      </c>
      <c r="I106" s="207">
        <v>150</v>
      </c>
      <c r="J106" s="242">
        <f t="shared" si="18"/>
        <v>12000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14</v>
      </c>
      <c r="C107" s="206">
        <v>45371</v>
      </c>
      <c r="D107" s="161" t="s">
        <v>9</v>
      </c>
      <c r="E107" s="161" t="s">
        <v>39</v>
      </c>
      <c r="F107" s="207">
        <v>21940</v>
      </c>
      <c r="G107" s="207">
        <v>21962</v>
      </c>
      <c r="H107" s="161">
        <f>21962-21940</f>
        <v>22</v>
      </c>
      <c r="I107" s="207">
        <v>150</v>
      </c>
      <c r="J107" s="242">
        <f t="shared" si="18"/>
        <v>3300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15</v>
      </c>
      <c r="C108" s="206">
        <v>45372</v>
      </c>
      <c r="D108" s="161" t="s">
        <v>9</v>
      </c>
      <c r="E108" s="161" t="s">
        <v>39</v>
      </c>
      <c r="F108" s="207">
        <v>22080</v>
      </c>
      <c r="G108" s="207">
        <v>22135</v>
      </c>
      <c r="H108" s="161">
        <f>22135-22080</f>
        <v>55</v>
      </c>
      <c r="I108" s="207">
        <v>150</v>
      </c>
      <c r="J108" s="242">
        <f t="shared" si="18"/>
        <v>8250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16</v>
      </c>
      <c r="C109" s="206">
        <v>45373</v>
      </c>
      <c r="D109" s="161" t="s">
        <v>9</v>
      </c>
      <c r="E109" s="161" t="s">
        <v>39</v>
      </c>
      <c r="F109" s="207">
        <v>22090</v>
      </c>
      <c r="G109" s="207">
        <v>22170</v>
      </c>
      <c r="H109" s="161">
        <f>22170-22090</f>
        <v>80</v>
      </c>
      <c r="I109" s="207">
        <v>150</v>
      </c>
      <c r="J109" s="242">
        <f t="shared" si="18"/>
        <v>12000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17</v>
      </c>
      <c r="C110" s="206">
        <v>45377</v>
      </c>
      <c r="D110" s="161" t="s">
        <v>9</v>
      </c>
      <c r="E110" s="161" t="s">
        <v>39</v>
      </c>
      <c r="F110" s="207">
        <v>22100</v>
      </c>
      <c r="G110" s="207">
        <v>22138</v>
      </c>
      <c r="H110" s="161">
        <v>38</v>
      </c>
      <c r="I110" s="207">
        <v>150</v>
      </c>
      <c r="J110" s="242">
        <f t="shared" si="18"/>
        <v>5700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18</v>
      </c>
      <c r="C111" s="206">
        <v>45378</v>
      </c>
      <c r="D111" s="161" t="s">
        <v>9</v>
      </c>
      <c r="E111" s="161" t="s">
        <v>39</v>
      </c>
      <c r="F111" s="207">
        <v>22150</v>
      </c>
      <c r="G111" s="207">
        <v>22210</v>
      </c>
      <c r="H111" s="161">
        <v>60</v>
      </c>
      <c r="I111" s="207">
        <v>150</v>
      </c>
      <c r="J111" s="242">
        <f t="shared" si="18"/>
        <v>9000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19</v>
      </c>
      <c r="C112" s="206">
        <v>45379</v>
      </c>
      <c r="D112" s="161" t="s">
        <v>9</v>
      </c>
      <c r="E112" s="161" t="s">
        <v>39</v>
      </c>
      <c r="F112" s="207">
        <v>22240</v>
      </c>
      <c r="G112" s="207">
        <v>22320</v>
      </c>
      <c r="H112" s="161">
        <f>22320-22240</f>
        <v>80</v>
      </c>
      <c r="I112" s="207">
        <v>150</v>
      </c>
      <c r="J112" s="242">
        <f t="shared" si="18"/>
        <v>12000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20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x14ac:dyDescent="0.3">
      <c r="A114" s="147"/>
      <c r="B114" s="205">
        <f t="shared" si="21"/>
        <v>21</v>
      </c>
      <c r="C114" s="206"/>
      <c r="D114" s="161"/>
      <c r="E114" s="161"/>
      <c r="F114" s="207"/>
      <c r="G114" s="207"/>
      <c r="H114" s="161"/>
      <c r="I114" s="207"/>
      <c r="J114" s="242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x14ac:dyDescent="0.3">
      <c r="A115" s="147"/>
      <c r="B115" s="205">
        <f t="shared" si="21"/>
        <v>22</v>
      </c>
      <c r="C115" s="206"/>
      <c r="D115" s="161"/>
      <c r="E115" s="161"/>
      <c r="F115" s="207"/>
      <c r="G115" s="207"/>
      <c r="H115" s="161"/>
      <c r="I115" s="207"/>
      <c r="J115" s="242">
        <f t="shared" si="18"/>
        <v>0</v>
      </c>
      <c r="K115" s="153"/>
      <c r="V115" s="25">
        <f t="shared" si="19"/>
        <v>0</v>
      </c>
      <c r="W115" s="25">
        <f t="shared" si="20"/>
        <v>0</v>
      </c>
    </row>
    <row r="116" spans="1:23" x14ac:dyDescent="0.3">
      <c r="A116" s="147"/>
      <c r="B116" s="269">
        <v>23</v>
      </c>
      <c r="C116" s="264"/>
      <c r="D116" s="265"/>
      <c r="E116" s="265"/>
      <c r="F116" s="266"/>
      <c r="G116" s="266"/>
      <c r="H116" s="265"/>
      <c r="I116" s="266"/>
      <c r="J116" s="242">
        <f t="shared" si="18"/>
        <v>0</v>
      </c>
      <c r="K116" s="153"/>
      <c r="V116" s="25">
        <f t="shared" si="19"/>
        <v>0</v>
      </c>
      <c r="W116" s="25">
        <f t="shared" si="20"/>
        <v>0</v>
      </c>
    </row>
    <row r="117" spans="1:23" ht="15" thickBot="1" x14ac:dyDescent="0.35">
      <c r="A117" s="147"/>
      <c r="B117" s="208">
        <v>24</v>
      </c>
      <c r="C117" s="209"/>
      <c r="D117" s="166"/>
      <c r="E117" s="166"/>
      <c r="F117" s="210"/>
      <c r="G117" s="210"/>
      <c r="H117" s="166"/>
      <c r="I117" s="210"/>
      <c r="J117" s="244">
        <f t="shared" si="18"/>
        <v>0</v>
      </c>
      <c r="K117" s="153"/>
      <c r="V117" s="25">
        <f t="shared" si="19"/>
        <v>0</v>
      </c>
      <c r="W117" s="25">
        <f t="shared" si="20"/>
        <v>0</v>
      </c>
    </row>
    <row r="118" spans="1:23" ht="24" thickBot="1" x14ac:dyDescent="0.5">
      <c r="A118" s="147"/>
      <c r="B118" s="370" t="s">
        <v>2254</v>
      </c>
      <c r="C118" s="371"/>
      <c r="D118" s="371"/>
      <c r="E118" s="371"/>
      <c r="F118" s="371"/>
      <c r="G118" s="371"/>
      <c r="H118" s="372"/>
      <c r="I118" s="211" t="s">
        <v>2255</v>
      </c>
      <c r="J118" s="212">
        <f>SUM(J94:J117)</f>
        <v>127950</v>
      </c>
      <c r="K118" s="153"/>
      <c r="V118" s="25">
        <f>SUM(V94:V117)</f>
        <v>16</v>
      </c>
      <c r="W118" s="25">
        <f>SUM(W94:W117)</f>
        <v>3</v>
      </c>
    </row>
    <row r="119" spans="1:23" ht="30" customHeight="1" thickBot="1" x14ac:dyDescent="0.35">
      <c r="A119" s="213"/>
      <c r="B119" s="172"/>
      <c r="C119" s="172"/>
      <c r="D119" s="172"/>
      <c r="E119" s="172"/>
      <c r="F119" s="172"/>
      <c r="G119" s="172"/>
      <c r="H119" s="235"/>
      <c r="I119" s="172"/>
      <c r="J119" s="235"/>
      <c r="K119" s="214"/>
    </row>
    <row r="120" spans="1:23" ht="15" thickBot="1" x14ac:dyDescent="0.35"/>
    <row r="121" spans="1:23" ht="30" customHeight="1" thickBot="1" x14ac:dyDescent="0.35">
      <c r="A121" s="198"/>
      <c r="B121" s="143"/>
      <c r="C121" s="143"/>
      <c r="D121" s="143"/>
      <c r="E121" s="143"/>
      <c r="F121" s="143"/>
      <c r="G121" s="143"/>
      <c r="H121" s="232"/>
      <c r="I121" s="143"/>
      <c r="J121" s="232"/>
      <c r="K121" s="199"/>
    </row>
    <row r="122" spans="1:23" ht="25.2" thickBot="1" x14ac:dyDescent="0.35">
      <c r="A122" s="147" t="s">
        <v>0</v>
      </c>
      <c r="B122" s="361" t="s">
        <v>2244</v>
      </c>
      <c r="C122" s="362"/>
      <c r="D122" s="362"/>
      <c r="E122" s="362"/>
      <c r="F122" s="362"/>
      <c r="G122" s="362"/>
      <c r="H122" s="362"/>
      <c r="I122" s="362"/>
      <c r="J122" s="363"/>
      <c r="K122" s="153"/>
    </row>
    <row r="123" spans="1:23" ht="16.2" thickBot="1" x14ac:dyDescent="0.35">
      <c r="A123" s="147"/>
      <c r="B123" s="364" t="s">
        <v>4524</v>
      </c>
      <c r="C123" s="365"/>
      <c r="D123" s="365"/>
      <c r="E123" s="365"/>
      <c r="F123" s="365"/>
      <c r="G123" s="365"/>
      <c r="H123" s="365"/>
      <c r="I123" s="365"/>
      <c r="J123" s="366"/>
      <c r="K123" s="153"/>
    </row>
    <row r="124" spans="1:23" ht="16.2" thickBot="1" x14ac:dyDescent="0.35">
      <c r="A124" s="147"/>
      <c r="B124" s="367" t="s">
        <v>3452</v>
      </c>
      <c r="C124" s="368"/>
      <c r="D124" s="368"/>
      <c r="E124" s="368"/>
      <c r="F124" s="368"/>
      <c r="G124" s="368"/>
      <c r="H124" s="368"/>
      <c r="I124" s="368"/>
      <c r="J124" s="369"/>
      <c r="K124" s="153"/>
    </row>
    <row r="125" spans="1:23" ht="15" thickBot="1" x14ac:dyDescent="0.35">
      <c r="A125" s="175"/>
      <c r="B125" s="178" t="s">
        <v>2248</v>
      </c>
      <c r="C125" s="179" t="s">
        <v>1</v>
      </c>
      <c r="D125" s="180" t="s">
        <v>5</v>
      </c>
      <c r="E125" s="180" t="s">
        <v>6</v>
      </c>
      <c r="F125" s="181" t="s">
        <v>2249</v>
      </c>
      <c r="G125" s="181" t="s">
        <v>2250</v>
      </c>
      <c r="H125" s="239" t="s">
        <v>2251</v>
      </c>
      <c r="I125" s="181" t="s">
        <v>2257</v>
      </c>
      <c r="J125" s="245" t="s">
        <v>4</v>
      </c>
      <c r="K125" s="176"/>
      <c r="L125" s="215"/>
      <c r="V125" s="201" t="s">
        <v>454</v>
      </c>
      <c r="W125" s="201" t="s">
        <v>455</v>
      </c>
    </row>
    <row r="126" spans="1:23" x14ac:dyDescent="0.3">
      <c r="A126" s="147"/>
      <c r="B126" s="217">
        <v>1</v>
      </c>
      <c r="C126" s="218">
        <v>45352</v>
      </c>
      <c r="D126" s="185" t="s">
        <v>9</v>
      </c>
      <c r="E126" s="185" t="s">
        <v>4525</v>
      </c>
      <c r="F126" s="219">
        <v>120</v>
      </c>
      <c r="G126" s="231">
        <v>170</v>
      </c>
      <c r="H126" s="231">
        <v>50</v>
      </c>
      <c r="I126" s="219">
        <v>300</v>
      </c>
      <c r="J126" s="246">
        <f t="shared" ref="J126:J152" si="22">I126*H126</f>
        <v>15000</v>
      </c>
      <c r="K126" s="153"/>
      <c r="V126" s="25">
        <f t="shared" ref="V126:V152" si="23">IF($J126&gt;0,1,0)</f>
        <v>1</v>
      </c>
      <c r="W126" s="25">
        <f t="shared" ref="W126:W152" si="24">IF($J126&lt;0,1,0)</f>
        <v>0</v>
      </c>
    </row>
    <row r="127" spans="1:23" x14ac:dyDescent="0.3">
      <c r="A127" s="147"/>
      <c r="B127" s="205">
        <f t="shared" ref="B127:B152" si="25">B126+1</f>
        <v>2</v>
      </c>
      <c r="C127" s="218">
        <v>45355</v>
      </c>
      <c r="D127" s="185" t="s">
        <v>9</v>
      </c>
      <c r="E127" s="185" t="s">
        <v>4529</v>
      </c>
      <c r="F127" s="219">
        <v>115</v>
      </c>
      <c r="G127" s="219">
        <v>130</v>
      </c>
      <c r="H127" s="185">
        <v>15</v>
      </c>
      <c r="I127" s="219">
        <v>300</v>
      </c>
      <c r="J127" s="242">
        <f t="shared" si="22"/>
        <v>4500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3</v>
      </c>
      <c r="C128" s="206">
        <v>45356</v>
      </c>
      <c r="D128" s="161" t="s">
        <v>9</v>
      </c>
      <c r="E128" s="161" t="s">
        <v>3035</v>
      </c>
      <c r="F128" s="207">
        <v>140</v>
      </c>
      <c r="G128" s="207">
        <v>190</v>
      </c>
      <c r="H128" s="161">
        <v>50</v>
      </c>
      <c r="I128" s="207">
        <v>300</v>
      </c>
      <c r="J128" s="242">
        <f t="shared" si="22"/>
        <v>15000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4</v>
      </c>
      <c r="C129" s="206">
        <v>45357</v>
      </c>
      <c r="D129" s="161" t="s">
        <v>9</v>
      </c>
      <c r="E129" s="161" t="s">
        <v>4532</v>
      </c>
      <c r="F129" s="207">
        <v>120</v>
      </c>
      <c r="G129" s="207">
        <v>161</v>
      </c>
      <c r="H129" s="161">
        <f>161-120</f>
        <v>41</v>
      </c>
      <c r="I129" s="207">
        <v>300</v>
      </c>
      <c r="J129" s="242">
        <f t="shared" si="22"/>
        <v>12300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5</v>
      </c>
      <c r="C130" s="206">
        <v>45358</v>
      </c>
      <c r="D130" s="161" t="s">
        <v>9</v>
      </c>
      <c r="E130" s="161" t="s">
        <v>2136</v>
      </c>
      <c r="F130" s="207">
        <v>100</v>
      </c>
      <c r="G130" s="207">
        <v>116</v>
      </c>
      <c r="H130" s="161">
        <v>16</v>
      </c>
      <c r="I130" s="207">
        <v>300</v>
      </c>
      <c r="J130" s="242">
        <f t="shared" si="22"/>
        <v>4800</v>
      </c>
      <c r="K130" s="153"/>
      <c r="M130" s="25" t="s">
        <v>2008</v>
      </c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6</v>
      </c>
      <c r="C131" s="206">
        <v>45362</v>
      </c>
      <c r="D131" s="161" t="s">
        <v>9</v>
      </c>
      <c r="E131" s="161" t="s">
        <v>4529</v>
      </c>
      <c r="F131" s="207">
        <v>140</v>
      </c>
      <c r="G131" s="222">
        <v>115</v>
      </c>
      <c r="H131" s="222">
        <v>-25</v>
      </c>
      <c r="I131" s="207">
        <v>300</v>
      </c>
      <c r="J131" s="242">
        <f t="shared" si="22"/>
        <v>-7500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7</v>
      </c>
      <c r="C132" s="206">
        <v>45362</v>
      </c>
      <c r="D132" s="161" t="s">
        <v>9</v>
      </c>
      <c r="E132" s="161" t="s">
        <v>4535</v>
      </c>
      <c r="F132" s="207">
        <v>130</v>
      </c>
      <c r="G132" s="207">
        <v>180</v>
      </c>
      <c r="H132" s="161">
        <v>50</v>
      </c>
      <c r="I132" s="207">
        <v>300</v>
      </c>
      <c r="J132" s="242">
        <f t="shared" si="22"/>
        <v>15000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8</v>
      </c>
      <c r="C133" s="206">
        <v>45363</v>
      </c>
      <c r="D133" s="161" t="s">
        <v>9</v>
      </c>
      <c r="E133" s="161" t="s">
        <v>2136</v>
      </c>
      <c r="F133" s="207">
        <v>135</v>
      </c>
      <c r="G133" s="207">
        <v>145</v>
      </c>
      <c r="H133" s="161">
        <v>10</v>
      </c>
      <c r="I133" s="207">
        <v>300</v>
      </c>
      <c r="J133" s="242">
        <f t="shared" si="22"/>
        <v>3000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9</v>
      </c>
      <c r="C134" s="206">
        <v>45364</v>
      </c>
      <c r="D134" s="161" t="s">
        <v>9</v>
      </c>
      <c r="E134" s="161" t="s">
        <v>4535</v>
      </c>
      <c r="F134" s="207">
        <v>125</v>
      </c>
      <c r="G134" s="222">
        <v>175</v>
      </c>
      <c r="H134" s="161">
        <v>50</v>
      </c>
      <c r="I134" s="207">
        <v>300</v>
      </c>
      <c r="J134" s="242">
        <f t="shared" si="22"/>
        <v>15000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10</v>
      </c>
      <c r="C135" s="206">
        <v>45365</v>
      </c>
      <c r="D135" s="161" t="s">
        <v>9</v>
      </c>
      <c r="E135" s="161" t="s">
        <v>2975</v>
      </c>
      <c r="F135" s="207">
        <v>135</v>
      </c>
      <c r="G135" s="222">
        <v>185</v>
      </c>
      <c r="H135" s="222">
        <v>50</v>
      </c>
      <c r="I135" s="207">
        <v>300</v>
      </c>
      <c r="J135" s="242">
        <f t="shared" si="22"/>
        <v>15000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11</v>
      </c>
      <c r="C136" s="206">
        <v>45366</v>
      </c>
      <c r="D136" s="161" t="s">
        <v>9</v>
      </c>
      <c r="E136" s="161" t="s">
        <v>3029</v>
      </c>
      <c r="F136" s="207">
        <v>125</v>
      </c>
      <c r="G136" s="222">
        <v>100</v>
      </c>
      <c r="H136" s="222">
        <v>-25</v>
      </c>
      <c r="I136" s="207">
        <v>300</v>
      </c>
      <c r="J136" s="242">
        <f t="shared" si="22"/>
        <v>-7500</v>
      </c>
      <c r="K136" s="153"/>
      <c r="V136" s="25">
        <f t="shared" si="23"/>
        <v>0</v>
      </c>
      <c r="W136" s="25">
        <f t="shared" si="24"/>
        <v>1</v>
      </c>
    </row>
    <row r="137" spans="1:23" x14ac:dyDescent="0.3">
      <c r="A137" s="147"/>
      <c r="B137" s="205">
        <f t="shared" si="25"/>
        <v>12</v>
      </c>
      <c r="C137" s="206">
        <v>45366</v>
      </c>
      <c r="D137" s="161" t="s">
        <v>9</v>
      </c>
      <c r="E137" s="161" t="s">
        <v>4508</v>
      </c>
      <c r="F137" s="207">
        <v>135</v>
      </c>
      <c r="G137" s="222">
        <v>159</v>
      </c>
      <c r="H137" s="222">
        <f>159-135</f>
        <v>24</v>
      </c>
      <c r="I137" s="207">
        <v>300</v>
      </c>
      <c r="J137" s="242">
        <f t="shared" si="22"/>
        <v>7200</v>
      </c>
      <c r="K137" s="153"/>
      <c r="V137" s="25">
        <f t="shared" si="23"/>
        <v>1</v>
      </c>
      <c r="W137" s="25">
        <f t="shared" si="24"/>
        <v>0</v>
      </c>
    </row>
    <row r="138" spans="1:23" x14ac:dyDescent="0.3">
      <c r="A138" s="147"/>
      <c r="B138" s="205">
        <f t="shared" si="25"/>
        <v>13</v>
      </c>
      <c r="C138" s="206">
        <v>45369</v>
      </c>
      <c r="D138" s="161" t="s">
        <v>9</v>
      </c>
      <c r="E138" s="161" t="s">
        <v>4470</v>
      </c>
      <c r="F138" s="207">
        <v>125</v>
      </c>
      <c r="G138" s="207">
        <v>143</v>
      </c>
      <c r="H138" s="161">
        <f>143-125</f>
        <v>18</v>
      </c>
      <c r="I138" s="207">
        <v>300</v>
      </c>
      <c r="J138" s="242">
        <f t="shared" si="22"/>
        <v>5400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14</v>
      </c>
      <c r="C139" s="206">
        <v>45370</v>
      </c>
      <c r="D139" s="161" t="s">
        <v>9</v>
      </c>
      <c r="E139" s="161" t="s">
        <v>4508</v>
      </c>
      <c r="F139" s="207">
        <v>120</v>
      </c>
      <c r="G139" s="207">
        <v>170</v>
      </c>
      <c r="H139" s="161">
        <v>50</v>
      </c>
      <c r="I139" s="207">
        <v>300</v>
      </c>
      <c r="J139" s="242">
        <f t="shared" si="22"/>
        <v>15000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15</v>
      </c>
      <c r="C140" s="206">
        <v>45371</v>
      </c>
      <c r="D140" s="161" t="s">
        <v>9</v>
      </c>
      <c r="E140" s="161" t="s">
        <v>4542</v>
      </c>
      <c r="F140" s="207">
        <v>135</v>
      </c>
      <c r="G140" s="207">
        <v>172</v>
      </c>
      <c r="H140" s="161">
        <f>172-135</f>
        <v>37</v>
      </c>
      <c r="I140" s="207">
        <v>300</v>
      </c>
      <c r="J140" s="242">
        <f t="shared" si="22"/>
        <v>11100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16</v>
      </c>
      <c r="C141" s="206">
        <v>45372</v>
      </c>
      <c r="D141" s="161" t="s">
        <v>9</v>
      </c>
      <c r="E141" s="161" t="s">
        <v>2975</v>
      </c>
      <c r="F141" s="207">
        <v>105</v>
      </c>
      <c r="G141" s="207">
        <v>155</v>
      </c>
      <c r="H141" s="161">
        <v>50</v>
      </c>
      <c r="I141" s="207">
        <v>300</v>
      </c>
      <c r="J141" s="242">
        <f t="shared" si="22"/>
        <v>15000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17</v>
      </c>
      <c r="C142" s="206">
        <v>45373</v>
      </c>
      <c r="D142" s="161" t="s">
        <v>9</v>
      </c>
      <c r="E142" s="161" t="s">
        <v>4508</v>
      </c>
      <c r="F142" s="207">
        <v>135</v>
      </c>
      <c r="G142" s="207">
        <v>110</v>
      </c>
      <c r="H142" s="161">
        <v>-25</v>
      </c>
      <c r="I142" s="207">
        <v>300</v>
      </c>
      <c r="J142" s="242">
        <f t="shared" si="22"/>
        <v>-7500</v>
      </c>
      <c r="K142" s="153"/>
      <c r="V142" s="25">
        <f t="shared" si="23"/>
        <v>0</v>
      </c>
      <c r="W142" s="25">
        <f t="shared" si="24"/>
        <v>1</v>
      </c>
    </row>
    <row r="143" spans="1:23" x14ac:dyDescent="0.3">
      <c r="A143" s="147"/>
      <c r="B143" s="205">
        <f t="shared" si="25"/>
        <v>18</v>
      </c>
      <c r="C143" s="206">
        <v>45373</v>
      </c>
      <c r="D143" s="161" t="s">
        <v>9</v>
      </c>
      <c r="E143" s="161" t="s">
        <v>4512</v>
      </c>
      <c r="F143" s="207">
        <v>130</v>
      </c>
      <c r="G143" s="222">
        <v>180</v>
      </c>
      <c r="H143" s="222">
        <v>50</v>
      </c>
      <c r="I143" s="207">
        <v>300</v>
      </c>
      <c r="J143" s="242">
        <f t="shared" si="22"/>
        <v>15000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19</v>
      </c>
      <c r="C144" s="206">
        <v>45377</v>
      </c>
      <c r="D144" s="161" t="s">
        <v>9</v>
      </c>
      <c r="E144" s="161" t="s">
        <v>3016</v>
      </c>
      <c r="F144" s="207">
        <v>110</v>
      </c>
      <c r="G144" s="222">
        <v>125</v>
      </c>
      <c r="H144" s="222">
        <f>125-110</f>
        <v>15</v>
      </c>
      <c r="I144" s="207">
        <v>300</v>
      </c>
      <c r="J144" s="242">
        <f t="shared" si="22"/>
        <v>4500</v>
      </c>
      <c r="K144" s="153"/>
      <c r="V144" s="25">
        <f t="shared" si="23"/>
        <v>1</v>
      </c>
      <c r="W144" s="25">
        <f t="shared" si="24"/>
        <v>0</v>
      </c>
    </row>
    <row r="145" spans="1:23" x14ac:dyDescent="0.3">
      <c r="A145" s="147"/>
      <c r="B145" s="205">
        <f t="shared" si="25"/>
        <v>20</v>
      </c>
      <c r="C145" s="206">
        <v>45378</v>
      </c>
      <c r="D145" s="161" t="s">
        <v>9</v>
      </c>
      <c r="E145" s="161" t="s">
        <v>3016</v>
      </c>
      <c r="F145" s="207">
        <v>140</v>
      </c>
      <c r="G145" s="222">
        <v>150</v>
      </c>
      <c r="H145" s="222">
        <v>10</v>
      </c>
      <c r="I145" s="207">
        <v>300</v>
      </c>
      <c r="J145" s="242">
        <f t="shared" si="22"/>
        <v>3000</v>
      </c>
      <c r="K145" s="153"/>
      <c r="V145" s="25">
        <f t="shared" si="23"/>
        <v>1</v>
      </c>
      <c r="W145" s="25">
        <f t="shared" si="24"/>
        <v>0</v>
      </c>
    </row>
    <row r="146" spans="1:23" x14ac:dyDescent="0.3">
      <c r="A146" s="147"/>
      <c r="B146" s="205">
        <f t="shared" si="25"/>
        <v>21</v>
      </c>
      <c r="C146" s="206">
        <v>45379</v>
      </c>
      <c r="D146" s="161" t="s">
        <v>9</v>
      </c>
      <c r="E146" s="161" t="s">
        <v>3029</v>
      </c>
      <c r="F146" s="207">
        <v>140</v>
      </c>
      <c r="G146" s="222">
        <v>190</v>
      </c>
      <c r="H146" s="222">
        <v>50</v>
      </c>
      <c r="I146" s="207">
        <v>300</v>
      </c>
      <c r="J146" s="242">
        <f t="shared" si="22"/>
        <v>15000</v>
      </c>
      <c r="K146" s="153"/>
      <c r="V146" s="25">
        <f t="shared" si="23"/>
        <v>1</v>
      </c>
      <c r="W146" s="25">
        <f t="shared" si="24"/>
        <v>0</v>
      </c>
    </row>
    <row r="147" spans="1:23" x14ac:dyDescent="0.3">
      <c r="A147" s="147"/>
      <c r="B147" s="205">
        <f t="shared" si="25"/>
        <v>22</v>
      </c>
      <c r="C147" s="206"/>
      <c r="D147" s="161"/>
      <c r="E147" s="161"/>
      <c r="F147" s="207"/>
      <c r="G147" s="222"/>
      <c r="H147" s="222"/>
      <c r="I147" s="207"/>
      <c r="J147" s="242">
        <f t="shared" si="22"/>
        <v>0</v>
      </c>
      <c r="K147" s="153"/>
      <c r="V147" s="25">
        <f t="shared" si="23"/>
        <v>0</v>
      </c>
      <c r="W147" s="25">
        <f t="shared" si="24"/>
        <v>0</v>
      </c>
    </row>
    <row r="148" spans="1:23" x14ac:dyDescent="0.3">
      <c r="A148" s="147"/>
      <c r="B148" s="205">
        <f t="shared" si="25"/>
        <v>23</v>
      </c>
      <c r="C148" s="206"/>
      <c r="D148" s="161"/>
      <c r="E148" s="161"/>
      <c r="F148" s="207"/>
      <c r="G148" s="222"/>
      <c r="H148" s="161"/>
      <c r="I148" s="207"/>
      <c r="J148" s="242">
        <f t="shared" si="22"/>
        <v>0</v>
      </c>
      <c r="K148" s="153"/>
      <c r="V148" s="25">
        <f t="shared" si="23"/>
        <v>0</v>
      </c>
      <c r="W148" s="25">
        <f t="shared" si="24"/>
        <v>0</v>
      </c>
    </row>
    <row r="149" spans="1:23" x14ac:dyDescent="0.3">
      <c r="A149" s="147"/>
      <c r="B149" s="205">
        <f t="shared" si="25"/>
        <v>24</v>
      </c>
      <c r="C149" s="264"/>
      <c r="D149" s="265"/>
      <c r="E149" s="265"/>
      <c r="F149" s="266"/>
      <c r="G149" s="267"/>
      <c r="H149" s="265"/>
      <c r="I149" s="266"/>
      <c r="J149" s="242">
        <f t="shared" si="22"/>
        <v>0</v>
      </c>
      <c r="K149" s="153"/>
      <c r="V149" s="25">
        <f t="shared" si="23"/>
        <v>0</v>
      </c>
      <c r="W149" s="25">
        <f t="shared" si="24"/>
        <v>0</v>
      </c>
    </row>
    <row r="150" spans="1:23" x14ac:dyDescent="0.3">
      <c r="A150" s="147"/>
      <c r="B150" s="205">
        <f t="shared" si="25"/>
        <v>25</v>
      </c>
      <c r="C150" s="264"/>
      <c r="D150" s="265"/>
      <c r="E150" s="265"/>
      <c r="F150" s="266"/>
      <c r="G150" s="267"/>
      <c r="H150" s="265"/>
      <c r="I150" s="266"/>
      <c r="J150" s="242">
        <f t="shared" si="22"/>
        <v>0</v>
      </c>
      <c r="K150" s="153"/>
      <c r="V150" s="25">
        <f t="shared" si="23"/>
        <v>0</v>
      </c>
      <c r="W150" s="25">
        <f t="shared" si="24"/>
        <v>0</v>
      </c>
    </row>
    <row r="151" spans="1:23" x14ac:dyDescent="0.3">
      <c r="A151" s="147"/>
      <c r="B151" s="205">
        <f t="shared" si="25"/>
        <v>26</v>
      </c>
      <c r="C151" s="264"/>
      <c r="D151" s="265"/>
      <c r="E151" s="265"/>
      <c r="F151" s="266"/>
      <c r="G151" s="267"/>
      <c r="H151" s="265"/>
      <c r="I151" s="266"/>
      <c r="J151" s="242">
        <f t="shared" si="22"/>
        <v>0</v>
      </c>
      <c r="K151" s="153"/>
      <c r="V151" s="25">
        <f t="shared" si="23"/>
        <v>0</v>
      </c>
      <c r="W151" s="25">
        <f t="shared" si="24"/>
        <v>0</v>
      </c>
    </row>
    <row r="152" spans="1:23" ht="15" thickBot="1" x14ac:dyDescent="0.35">
      <c r="A152" s="147"/>
      <c r="B152" s="205">
        <f t="shared" si="25"/>
        <v>27</v>
      </c>
      <c r="C152" s="209"/>
      <c r="D152" s="166"/>
      <c r="E152" s="166"/>
      <c r="F152" s="210"/>
      <c r="G152" s="210"/>
      <c r="H152" s="166"/>
      <c r="I152" s="210"/>
      <c r="J152" s="244">
        <f t="shared" si="22"/>
        <v>0</v>
      </c>
      <c r="K152" s="153"/>
      <c r="V152" s="25">
        <f t="shared" si="23"/>
        <v>0</v>
      </c>
      <c r="W152" s="25">
        <f t="shared" si="24"/>
        <v>0</v>
      </c>
    </row>
    <row r="153" spans="1:23" ht="24" thickBot="1" x14ac:dyDescent="0.5">
      <c r="A153" s="147"/>
      <c r="B153" s="370" t="s">
        <v>2254</v>
      </c>
      <c r="C153" s="371"/>
      <c r="D153" s="371"/>
      <c r="E153" s="371"/>
      <c r="F153" s="371"/>
      <c r="G153" s="371"/>
      <c r="H153" s="372"/>
      <c r="I153" s="211" t="s">
        <v>2255</v>
      </c>
      <c r="J153" s="212">
        <f>SUM(J126:J152)</f>
        <v>168300</v>
      </c>
      <c r="K153" s="153"/>
      <c r="V153" s="25">
        <f>SUM(V126:V152)</f>
        <v>18</v>
      </c>
      <c r="W153" s="25">
        <f>SUM(W126:W152)</f>
        <v>3</v>
      </c>
    </row>
    <row r="154" spans="1:23" ht="30" customHeight="1" thickBot="1" x14ac:dyDescent="0.35">
      <c r="A154" s="213"/>
      <c r="B154" s="172"/>
      <c r="C154" s="172"/>
      <c r="D154" s="172"/>
      <c r="E154" s="172"/>
      <c r="F154" s="172"/>
      <c r="G154" s="172"/>
      <c r="H154" s="235"/>
      <c r="I154" s="172"/>
      <c r="J154" s="235"/>
      <c r="K154" s="214"/>
    </row>
    <row r="155" spans="1:23" ht="15" thickBot="1" x14ac:dyDescent="0.35"/>
    <row r="156" spans="1:23" ht="30" customHeight="1" thickBot="1" x14ac:dyDescent="0.35">
      <c r="A156" s="198"/>
      <c r="B156" s="143"/>
      <c r="C156" s="143"/>
      <c r="D156" s="143"/>
      <c r="E156" s="143"/>
      <c r="F156" s="143"/>
      <c r="G156" s="143"/>
      <c r="H156" s="232"/>
      <c r="I156" s="143"/>
      <c r="J156" s="232"/>
      <c r="K156" s="199"/>
    </row>
    <row r="157" spans="1:23" ht="25.2" thickBot="1" x14ac:dyDescent="0.35">
      <c r="A157" s="147" t="s">
        <v>0</v>
      </c>
      <c r="B157" s="361" t="s">
        <v>2244</v>
      </c>
      <c r="C157" s="362"/>
      <c r="D157" s="362"/>
      <c r="E157" s="362"/>
      <c r="F157" s="362"/>
      <c r="G157" s="362"/>
      <c r="H157" s="362"/>
      <c r="I157" s="362"/>
      <c r="J157" s="363"/>
      <c r="K157" s="153"/>
    </row>
    <row r="158" spans="1:23" ht="16.2" thickBot="1" x14ac:dyDescent="0.35">
      <c r="A158" s="147"/>
      <c r="B158" s="364" t="s">
        <v>4523</v>
      </c>
      <c r="C158" s="365"/>
      <c r="D158" s="365"/>
      <c r="E158" s="365"/>
      <c r="F158" s="365"/>
      <c r="G158" s="365"/>
      <c r="H158" s="365"/>
      <c r="I158" s="365"/>
      <c r="J158" s="366"/>
      <c r="K158" s="153"/>
    </row>
    <row r="159" spans="1:23" ht="16.2" thickBot="1" x14ac:dyDescent="0.35">
      <c r="A159" s="147"/>
      <c r="B159" s="367" t="s">
        <v>2260</v>
      </c>
      <c r="C159" s="368"/>
      <c r="D159" s="368"/>
      <c r="E159" s="368"/>
      <c r="F159" s="368"/>
      <c r="G159" s="368"/>
      <c r="H159" s="368"/>
      <c r="I159" s="368"/>
      <c r="J159" s="369"/>
      <c r="K159" s="153"/>
    </row>
    <row r="160" spans="1:23" ht="15" thickBot="1" x14ac:dyDescent="0.35">
      <c r="A160" s="175"/>
      <c r="B160" s="178" t="s">
        <v>2248</v>
      </c>
      <c r="C160" s="179" t="s">
        <v>1</v>
      </c>
      <c r="D160" s="180" t="s">
        <v>5</v>
      </c>
      <c r="E160" s="180" t="s">
        <v>6</v>
      </c>
      <c r="F160" s="181" t="s">
        <v>2249</v>
      </c>
      <c r="G160" s="181" t="s">
        <v>2250</v>
      </c>
      <c r="H160" s="239" t="s">
        <v>2251</v>
      </c>
      <c r="I160" s="181" t="s">
        <v>2257</v>
      </c>
      <c r="J160" s="245" t="s">
        <v>4</v>
      </c>
      <c r="K160" s="176"/>
      <c r="L160" s="215"/>
      <c r="V160" s="201" t="s">
        <v>454</v>
      </c>
      <c r="W160" s="201" t="s">
        <v>455</v>
      </c>
    </row>
    <row r="161" spans="1:23" x14ac:dyDescent="0.3">
      <c r="A161" s="147"/>
      <c r="B161" s="217">
        <v>1</v>
      </c>
      <c r="C161" s="218">
        <v>45352</v>
      </c>
      <c r="D161" s="185" t="s">
        <v>9</v>
      </c>
      <c r="E161" s="185" t="s">
        <v>301</v>
      </c>
      <c r="F161" s="219">
        <v>46800</v>
      </c>
      <c r="G161" s="231">
        <v>47100</v>
      </c>
      <c r="H161" s="185">
        <v>300</v>
      </c>
      <c r="I161" s="219">
        <v>60</v>
      </c>
      <c r="J161" s="246">
        <f t="shared" ref="J161:J186" si="26">I161*H161</f>
        <v>18000</v>
      </c>
      <c r="K161" s="153"/>
      <c r="V161" s="25">
        <f t="shared" ref="V161:V186" si="27">IF($J161&gt;0,1,0)</f>
        <v>1</v>
      </c>
      <c r="W161" s="25">
        <f t="shared" ref="W161:W186" si="28">IF($J161&lt;0,1,0)</f>
        <v>0</v>
      </c>
    </row>
    <row r="162" spans="1:23" x14ac:dyDescent="0.3">
      <c r="A162" s="147"/>
      <c r="B162" s="205">
        <f t="shared" ref="B162:B186" si="29">B161+1</f>
        <v>2</v>
      </c>
      <c r="C162" s="218">
        <v>45355</v>
      </c>
      <c r="D162" s="185" t="s">
        <v>9</v>
      </c>
      <c r="E162" s="185" t="s">
        <v>301</v>
      </c>
      <c r="F162" s="219">
        <v>47600</v>
      </c>
      <c r="G162" s="219">
        <v>47750</v>
      </c>
      <c r="H162" s="185">
        <v>150</v>
      </c>
      <c r="I162" s="219">
        <v>60</v>
      </c>
      <c r="J162" s="242">
        <f t="shared" si="26"/>
        <v>9000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3</v>
      </c>
      <c r="C163" s="206">
        <v>45356</v>
      </c>
      <c r="D163" s="161" t="s">
        <v>9</v>
      </c>
      <c r="E163" s="161" t="s">
        <v>301</v>
      </c>
      <c r="F163" s="207">
        <v>47600</v>
      </c>
      <c r="G163" s="207">
        <v>47750</v>
      </c>
      <c r="H163" s="161">
        <v>150</v>
      </c>
      <c r="I163" s="207">
        <v>60</v>
      </c>
      <c r="J163" s="242">
        <f t="shared" si="26"/>
        <v>9000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4</v>
      </c>
      <c r="C164" s="206">
        <v>45357</v>
      </c>
      <c r="D164" s="161" t="s">
        <v>9</v>
      </c>
      <c r="E164" s="161" t="s">
        <v>301</v>
      </c>
      <c r="F164" s="207">
        <v>48150</v>
      </c>
      <c r="G164" s="207">
        <v>48300</v>
      </c>
      <c r="H164" s="161">
        <v>150</v>
      </c>
      <c r="I164" s="207">
        <v>60</v>
      </c>
      <c r="J164" s="242">
        <f t="shared" si="26"/>
        <v>9000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5</v>
      </c>
      <c r="C165" s="206">
        <v>45358</v>
      </c>
      <c r="D165" s="161" t="s">
        <v>9</v>
      </c>
      <c r="E165" s="161" t="s">
        <v>301</v>
      </c>
      <c r="F165" s="207">
        <v>48100</v>
      </c>
      <c r="G165" s="207">
        <v>48150</v>
      </c>
      <c r="H165" s="161">
        <v>50</v>
      </c>
      <c r="I165" s="207">
        <v>60</v>
      </c>
      <c r="J165" s="242">
        <f t="shared" si="26"/>
        <v>3000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6</v>
      </c>
      <c r="C166" s="206">
        <v>45362</v>
      </c>
      <c r="D166" s="161" t="s">
        <v>9</v>
      </c>
      <c r="E166" s="161" t="s">
        <v>301</v>
      </c>
      <c r="F166" s="207">
        <v>47820</v>
      </c>
      <c r="G166" s="207">
        <v>47670</v>
      </c>
      <c r="H166" s="161">
        <v>-150</v>
      </c>
      <c r="I166" s="207">
        <v>60</v>
      </c>
      <c r="J166" s="242">
        <f t="shared" si="26"/>
        <v>-9000</v>
      </c>
      <c r="K166" s="153"/>
      <c r="V166" s="25">
        <f t="shared" si="27"/>
        <v>0</v>
      </c>
      <c r="W166" s="25">
        <f t="shared" si="28"/>
        <v>1</v>
      </c>
    </row>
    <row r="167" spans="1:23" x14ac:dyDescent="0.3">
      <c r="A167" s="147"/>
      <c r="B167" s="205">
        <f t="shared" si="29"/>
        <v>7</v>
      </c>
      <c r="C167" s="206">
        <v>45363</v>
      </c>
      <c r="D167" s="161" t="s">
        <v>9</v>
      </c>
      <c r="E167" s="161" t="s">
        <v>301</v>
      </c>
      <c r="F167" s="207">
        <v>47860</v>
      </c>
      <c r="G167" s="207">
        <v>48010</v>
      </c>
      <c r="H167" s="161">
        <v>150</v>
      </c>
      <c r="I167" s="207">
        <v>60</v>
      </c>
      <c r="J167" s="242">
        <f t="shared" si="26"/>
        <v>9000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8</v>
      </c>
      <c r="C168" s="206">
        <v>45364</v>
      </c>
      <c r="D168" s="161" t="s">
        <v>8</v>
      </c>
      <c r="E168" s="161" t="s">
        <v>301</v>
      </c>
      <c r="F168" s="207">
        <v>47550</v>
      </c>
      <c r="G168" s="207">
        <v>47250</v>
      </c>
      <c r="H168" s="161">
        <v>300</v>
      </c>
      <c r="I168" s="207">
        <v>60</v>
      </c>
      <c r="J168" s="242">
        <f t="shared" si="26"/>
        <v>18000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9</v>
      </c>
      <c r="C169" s="206">
        <v>45365</v>
      </c>
      <c r="D169" s="161" t="s">
        <v>9</v>
      </c>
      <c r="E169" s="161" t="s">
        <v>301</v>
      </c>
      <c r="F169" s="207">
        <v>47000</v>
      </c>
      <c r="G169" s="207">
        <v>47300</v>
      </c>
      <c r="H169" s="161">
        <v>300</v>
      </c>
      <c r="I169" s="207">
        <v>60</v>
      </c>
      <c r="J169" s="242">
        <f t="shared" si="26"/>
        <v>18000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10</v>
      </c>
      <c r="C170" s="206">
        <v>45366</v>
      </c>
      <c r="D170" s="161" t="s">
        <v>9</v>
      </c>
      <c r="E170" s="161" t="s">
        <v>301</v>
      </c>
      <c r="F170" s="207">
        <v>46900</v>
      </c>
      <c r="G170" s="207">
        <v>46750</v>
      </c>
      <c r="H170" s="161">
        <v>-150</v>
      </c>
      <c r="I170" s="207">
        <v>60</v>
      </c>
      <c r="J170" s="242">
        <f t="shared" si="26"/>
        <v>-9000</v>
      </c>
      <c r="K170" s="153"/>
      <c r="V170" s="25">
        <f t="shared" si="27"/>
        <v>0</v>
      </c>
      <c r="W170" s="25">
        <f t="shared" si="28"/>
        <v>1</v>
      </c>
    </row>
    <row r="171" spans="1:23" x14ac:dyDescent="0.3">
      <c r="A171" s="147"/>
      <c r="B171" s="205">
        <f t="shared" si="29"/>
        <v>11</v>
      </c>
      <c r="C171" s="206">
        <v>45369</v>
      </c>
      <c r="D171" s="161" t="s">
        <v>9</v>
      </c>
      <c r="E171" s="161" t="s">
        <v>301</v>
      </c>
      <c r="F171" s="207">
        <v>46650</v>
      </c>
      <c r="G171" s="207">
        <v>46700</v>
      </c>
      <c r="H171" s="161">
        <f>46700-46650</f>
        <v>50</v>
      </c>
      <c r="I171" s="207">
        <v>60</v>
      </c>
      <c r="J171" s="242">
        <f t="shared" si="26"/>
        <v>3000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12</v>
      </c>
      <c r="C172" s="206">
        <v>45370</v>
      </c>
      <c r="D172" s="161" t="s">
        <v>9</v>
      </c>
      <c r="E172" s="161" t="s">
        <v>301</v>
      </c>
      <c r="F172" s="207">
        <v>46700</v>
      </c>
      <c r="G172" s="207">
        <v>46550</v>
      </c>
      <c r="H172" s="161">
        <v>-150</v>
      </c>
      <c r="I172" s="207">
        <v>60</v>
      </c>
      <c r="J172" s="242">
        <f t="shared" si="26"/>
        <v>-9000</v>
      </c>
      <c r="K172" s="153"/>
      <c r="V172" s="25">
        <f t="shared" si="27"/>
        <v>0</v>
      </c>
      <c r="W172" s="25">
        <f t="shared" si="28"/>
        <v>1</v>
      </c>
    </row>
    <row r="173" spans="1:23" x14ac:dyDescent="0.3">
      <c r="A173" s="147"/>
      <c r="B173" s="205">
        <f t="shared" si="29"/>
        <v>13</v>
      </c>
      <c r="C173" s="206">
        <v>45371</v>
      </c>
      <c r="D173" s="161" t="s">
        <v>8</v>
      </c>
      <c r="E173" s="161" t="s">
        <v>301</v>
      </c>
      <c r="F173" s="207">
        <v>46300</v>
      </c>
      <c r="G173" s="207">
        <v>46002</v>
      </c>
      <c r="H173" s="161">
        <f>46300-46002</f>
        <v>298</v>
      </c>
      <c r="I173" s="207">
        <v>60</v>
      </c>
      <c r="J173" s="242">
        <f t="shared" si="26"/>
        <v>17880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14</v>
      </c>
      <c r="C174" s="206">
        <v>45372</v>
      </c>
      <c r="D174" s="161" t="s">
        <v>9</v>
      </c>
      <c r="E174" s="161" t="s">
        <v>301</v>
      </c>
      <c r="F174" s="207">
        <v>46950</v>
      </c>
      <c r="G174" s="207">
        <v>47100</v>
      </c>
      <c r="H174" s="161">
        <f>47100-46950</f>
        <v>150</v>
      </c>
      <c r="I174" s="207">
        <v>60</v>
      </c>
      <c r="J174" s="242">
        <f t="shared" si="26"/>
        <v>9000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15</v>
      </c>
      <c r="C175" s="206">
        <v>45373</v>
      </c>
      <c r="D175" s="161" t="s">
        <v>9</v>
      </c>
      <c r="E175" s="161" t="s">
        <v>301</v>
      </c>
      <c r="F175" s="207">
        <v>46850</v>
      </c>
      <c r="G175" s="207">
        <v>47060</v>
      </c>
      <c r="H175" s="161">
        <f>47060-46850</f>
        <v>210</v>
      </c>
      <c r="I175" s="207">
        <v>60</v>
      </c>
      <c r="J175" s="242">
        <f t="shared" si="26"/>
        <v>12600</v>
      </c>
      <c r="K175" s="153"/>
      <c r="V175" s="25">
        <f t="shared" si="27"/>
        <v>1</v>
      </c>
      <c r="W175" s="25">
        <f t="shared" si="28"/>
        <v>0</v>
      </c>
    </row>
    <row r="176" spans="1:23" x14ac:dyDescent="0.3">
      <c r="A176" s="147"/>
      <c r="B176" s="205">
        <f t="shared" si="29"/>
        <v>16</v>
      </c>
      <c r="C176" s="206">
        <v>45377</v>
      </c>
      <c r="D176" s="161" t="s">
        <v>9</v>
      </c>
      <c r="E176" s="161" t="s">
        <v>301</v>
      </c>
      <c r="F176" s="207">
        <v>46800</v>
      </c>
      <c r="G176" s="207">
        <v>46858</v>
      </c>
      <c r="H176" s="161">
        <v>58</v>
      </c>
      <c r="I176" s="207">
        <v>60</v>
      </c>
      <c r="J176" s="242">
        <f t="shared" si="26"/>
        <v>3480</v>
      </c>
      <c r="K176" s="153"/>
      <c r="V176" s="25">
        <f t="shared" si="27"/>
        <v>1</v>
      </c>
      <c r="W176" s="25">
        <f t="shared" si="28"/>
        <v>0</v>
      </c>
    </row>
    <row r="177" spans="1:23" x14ac:dyDescent="0.3">
      <c r="A177" s="147"/>
      <c r="B177" s="205">
        <f t="shared" si="29"/>
        <v>17</v>
      </c>
      <c r="C177" s="206">
        <v>45378</v>
      </c>
      <c r="D177" s="161" t="s">
        <v>9</v>
      </c>
      <c r="E177" s="161" t="s">
        <v>301</v>
      </c>
      <c r="F177" s="207">
        <v>46800</v>
      </c>
      <c r="G177" s="207">
        <v>46950</v>
      </c>
      <c r="H177" s="161">
        <v>150</v>
      </c>
      <c r="I177" s="207">
        <v>60</v>
      </c>
      <c r="J177" s="242">
        <f t="shared" si="26"/>
        <v>9000</v>
      </c>
      <c r="K177" s="153"/>
      <c r="V177" s="25">
        <f t="shared" si="27"/>
        <v>1</v>
      </c>
      <c r="W177" s="25">
        <f t="shared" si="28"/>
        <v>0</v>
      </c>
    </row>
    <row r="178" spans="1:23" x14ac:dyDescent="0.3">
      <c r="A178" s="147"/>
      <c r="B178" s="205">
        <f t="shared" si="29"/>
        <v>18</v>
      </c>
      <c r="C178" s="206">
        <v>45379</v>
      </c>
      <c r="D178" s="161" t="s">
        <v>9</v>
      </c>
      <c r="E178" s="161" t="s">
        <v>301</v>
      </c>
      <c r="F178" s="207">
        <v>47500</v>
      </c>
      <c r="G178" s="207">
        <v>47760</v>
      </c>
      <c r="H178" s="161">
        <f>47760-47500</f>
        <v>260</v>
      </c>
      <c r="I178" s="207">
        <v>60</v>
      </c>
      <c r="J178" s="242">
        <f t="shared" si="26"/>
        <v>15600</v>
      </c>
      <c r="K178" s="153"/>
      <c r="V178" s="25">
        <f t="shared" si="27"/>
        <v>1</v>
      </c>
      <c r="W178" s="25">
        <f t="shared" si="28"/>
        <v>0</v>
      </c>
    </row>
    <row r="179" spans="1:23" x14ac:dyDescent="0.3">
      <c r="A179" s="147"/>
      <c r="B179" s="205">
        <f t="shared" si="29"/>
        <v>19</v>
      </c>
      <c r="C179" s="206"/>
      <c r="D179" s="161"/>
      <c r="E179" s="161"/>
      <c r="F179" s="207"/>
      <c r="G179" s="207"/>
      <c r="H179" s="161"/>
      <c r="I179" s="207"/>
      <c r="J179" s="242">
        <f t="shared" si="26"/>
        <v>0</v>
      </c>
      <c r="K179" s="153"/>
      <c r="V179" s="25">
        <f t="shared" si="27"/>
        <v>0</v>
      </c>
      <c r="W179" s="25">
        <f t="shared" si="28"/>
        <v>0</v>
      </c>
    </row>
    <row r="180" spans="1:23" x14ac:dyDescent="0.3">
      <c r="A180" s="147"/>
      <c r="B180" s="205">
        <f t="shared" si="29"/>
        <v>20</v>
      </c>
      <c r="C180" s="206"/>
      <c r="D180" s="161"/>
      <c r="E180" s="161"/>
      <c r="F180" s="207"/>
      <c r="G180" s="207"/>
      <c r="H180" s="161"/>
      <c r="I180" s="207"/>
      <c r="J180" s="242">
        <f t="shared" si="26"/>
        <v>0</v>
      </c>
      <c r="K180" s="153"/>
      <c r="V180" s="25">
        <f t="shared" si="27"/>
        <v>0</v>
      </c>
      <c r="W180" s="25">
        <f t="shared" si="28"/>
        <v>0</v>
      </c>
    </row>
    <row r="181" spans="1:23" x14ac:dyDescent="0.3">
      <c r="A181" s="147"/>
      <c r="B181" s="205">
        <f t="shared" si="29"/>
        <v>21</v>
      </c>
      <c r="C181" s="206"/>
      <c r="D181" s="161"/>
      <c r="E181" s="161"/>
      <c r="F181" s="207"/>
      <c r="G181" s="207"/>
      <c r="H181" s="161"/>
      <c r="I181" s="207"/>
      <c r="J181" s="242">
        <f t="shared" si="26"/>
        <v>0</v>
      </c>
      <c r="K181" s="153"/>
      <c r="V181" s="25">
        <f t="shared" si="27"/>
        <v>0</v>
      </c>
      <c r="W181" s="25">
        <f t="shared" si="28"/>
        <v>0</v>
      </c>
    </row>
    <row r="182" spans="1:23" x14ac:dyDescent="0.3">
      <c r="A182" s="147"/>
      <c r="B182" s="205">
        <f t="shared" si="29"/>
        <v>22</v>
      </c>
      <c r="C182" s="206"/>
      <c r="D182" s="161"/>
      <c r="E182" s="161"/>
      <c r="F182" s="207"/>
      <c r="G182" s="207"/>
      <c r="H182" s="161"/>
      <c r="I182" s="207"/>
      <c r="J182" s="242">
        <f t="shared" si="26"/>
        <v>0</v>
      </c>
      <c r="K182" s="153"/>
      <c r="V182" s="25">
        <f t="shared" si="27"/>
        <v>0</v>
      </c>
      <c r="W182" s="25">
        <f t="shared" si="28"/>
        <v>0</v>
      </c>
    </row>
    <row r="183" spans="1:23" x14ac:dyDescent="0.3">
      <c r="A183" s="147"/>
      <c r="B183" s="205">
        <f t="shared" si="29"/>
        <v>23</v>
      </c>
      <c r="C183" s="206"/>
      <c r="D183" s="161"/>
      <c r="E183" s="161"/>
      <c r="F183" s="207"/>
      <c r="G183" s="207"/>
      <c r="H183" s="161"/>
      <c r="I183" s="207"/>
      <c r="J183" s="242">
        <f t="shared" si="26"/>
        <v>0</v>
      </c>
      <c r="K183" s="153"/>
      <c r="V183" s="25">
        <f t="shared" si="27"/>
        <v>0</v>
      </c>
      <c r="W183" s="25">
        <f t="shared" si="28"/>
        <v>0</v>
      </c>
    </row>
    <row r="184" spans="1:23" x14ac:dyDescent="0.3">
      <c r="A184" s="147"/>
      <c r="B184" s="205">
        <f t="shared" si="29"/>
        <v>24</v>
      </c>
      <c r="C184" s="206"/>
      <c r="D184" s="161"/>
      <c r="E184" s="161"/>
      <c r="F184" s="207"/>
      <c r="G184" s="207"/>
      <c r="H184" s="161"/>
      <c r="I184" s="207"/>
      <c r="J184" s="242">
        <f t="shared" si="26"/>
        <v>0</v>
      </c>
      <c r="K184" s="153"/>
      <c r="V184" s="25">
        <f t="shared" si="27"/>
        <v>0</v>
      </c>
      <c r="W184" s="25">
        <f t="shared" si="28"/>
        <v>0</v>
      </c>
    </row>
    <row r="185" spans="1:23" x14ac:dyDescent="0.3">
      <c r="A185" s="147"/>
      <c r="B185" s="205">
        <f t="shared" si="29"/>
        <v>25</v>
      </c>
      <c r="C185" s="206"/>
      <c r="D185" s="161"/>
      <c r="E185" s="161"/>
      <c r="F185" s="207"/>
      <c r="G185" s="207"/>
      <c r="H185" s="161"/>
      <c r="I185" s="207"/>
      <c r="J185" s="242">
        <f t="shared" si="26"/>
        <v>0</v>
      </c>
      <c r="K185" s="153"/>
      <c r="V185" s="25">
        <f t="shared" si="27"/>
        <v>0</v>
      </c>
      <c r="W185" s="25">
        <f t="shared" si="28"/>
        <v>0</v>
      </c>
    </row>
    <row r="186" spans="1:23" ht="15" thickBot="1" x14ac:dyDescent="0.35">
      <c r="A186" s="147"/>
      <c r="B186" s="205">
        <f t="shared" si="29"/>
        <v>26</v>
      </c>
      <c r="C186" s="209"/>
      <c r="D186" s="166"/>
      <c r="E186" s="166"/>
      <c r="F186" s="210"/>
      <c r="G186" s="210"/>
      <c r="H186" s="166"/>
      <c r="I186" s="210"/>
      <c r="J186" s="244">
        <f t="shared" si="26"/>
        <v>0</v>
      </c>
      <c r="K186" s="153"/>
      <c r="V186" s="25">
        <f t="shared" si="27"/>
        <v>0</v>
      </c>
      <c r="W186" s="25">
        <f t="shared" si="28"/>
        <v>0</v>
      </c>
    </row>
    <row r="187" spans="1:23" ht="24" thickBot="1" x14ac:dyDescent="0.5">
      <c r="A187" s="147"/>
      <c r="B187" s="370" t="s">
        <v>2254</v>
      </c>
      <c r="C187" s="371"/>
      <c r="D187" s="371"/>
      <c r="E187" s="371"/>
      <c r="F187" s="371"/>
      <c r="G187" s="371"/>
      <c r="H187" s="372"/>
      <c r="I187" s="211" t="s">
        <v>2255</v>
      </c>
      <c r="J187" s="212">
        <f>SUM(J161:J186)</f>
        <v>136560</v>
      </c>
      <c r="K187" s="153"/>
      <c r="V187" s="25">
        <f>SUM(V161:V186)</f>
        <v>15</v>
      </c>
      <c r="W187" s="25">
        <f>SUM(W161:W186)</f>
        <v>3</v>
      </c>
    </row>
    <row r="188" spans="1:23" ht="30" customHeight="1" thickBot="1" x14ac:dyDescent="0.35">
      <c r="A188" s="213"/>
      <c r="B188" s="172"/>
      <c r="C188" s="172"/>
      <c r="D188" s="172"/>
      <c r="E188" s="172"/>
      <c r="F188" s="172"/>
      <c r="G188" s="172"/>
      <c r="H188" s="235"/>
      <c r="I188" s="172"/>
      <c r="J188" s="235"/>
      <c r="K188" s="214"/>
    </row>
    <row r="189" spans="1:23" ht="15" thickBot="1" x14ac:dyDescent="0.35"/>
    <row r="190" spans="1:23" ht="30" customHeight="1" thickBot="1" x14ac:dyDescent="0.35">
      <c r="A190" s="198"/>
      <c r="B190" s="143"/>
      <c r="C190" s="143"/>
      <c r="D190" s="143"/>
      <c r="E190" s="143"/>
      <c r="F190" s="143"/>
      <c r="G190" s="143"/>
      <c r="H190" s="232"/>
      <c r="I190" s="143"/>
      <c r="J190" s="232"/>
      <c r="K190" s="199"/>
    </row>
    <row r="191" spans="1:23" ht="25.2" thickBot="1" x14ac:dyDescent="0.35">
      <c r="A191" s="147" t="s">
        <v>0</v>
      </c>
      <c r="B191" s="361" t="s">
        <v>2244</v>
      </c>
      <c r="C191" s="362"/>
      <c r="D191" s="362"/>
      <c r="E191" s="362"/>
      <c r="F191" s="362"/>
      <c r="G191" s="362"/>
      <c r="H191" s="362"/>
      <c r="I191" s="362"/>
      <c r="J191" s="363"/>
      <c r="K191" s="153"/>
    </row>
    <row r="192" spans="1:23" ht="16.2" thickBot="1" x14ac:dyDescent="0.35">
      <c r="A192" s="147"/>
      <c r="B192" s="364" t="s">
        <v>4524</v>
      </c>
      <c r="C192" s="365"/>
      <c r="D192" s="365"/>
      <c r="E192" s="365"/>
      <c r="F192" s="365"/>
      <c r="G192" s="365"/>
      <c r="H192" s="365"/>
      <c r="I192" s="365"/>
      <c r="J192" s="366"/>
      <c r="K192" s="153"/>
    </row>
    <row r="193" spans="1:23" ht="16.2" thickBot="1" x14ac:dyDescent="0.35">
      <c r="A193" s="147"/>
      <c r="B193" s="367" t="s">
        <v>4373</v>
      </c>
      <c r="C193" s="368"/>
      <c r="D193" s="368"/>
      <c r="E193" s="368"/>
      <c r="F193" s="368"/>
      <c r="G193" s="368"/>
      <c r="H193" s="368"/>
      <c r="I193" s="368"/>
      <c r="J193" s="369"/>
      <c r="K193" s="153"/>
    </row>
    <row r="194" spans="1:23" ht="15" thickBot="1" x14ac:dyDescent="0.35">
      <c r="A194" s="175"/>
      <c r="B194" s="178" t="s">
        <v>2248</v>
      </c>
      <c r="C194" s="179" t="s">
        <v>1</v>
      </c>
      <c r="D194" s="180" t="s">
        <v>5</v>
      </c>
      <c r="E194" s="180" t="s">
        <v>6</v>
      </c>
      <c r="F194" s="181" t="s">
        <v>2249</v>
      </c>
      <c r="G194" s="181" t="s">
        <v>2250</v>
      </c>
      <c r="H194" s="239" t="s">
        <v>2251</v>
      </c>
      <c r="I194" s="181" t="s">
        <v>2257</v>
      </c>
      <c r="J194" s="245" t="s">
        <v>4</v>
      </c>
      <c r="K194" s="176"/>
      <c r="L194" s="215"/>
      <c r="V194" s="201" t="s">
        <v>454</v>
      </c>
      <c r="W194" s="201" t="s">
        <v>455</v>
      </c>
    </row>
    <row r="195" spans="1:23" x14ac:dyDescent="0.3">
      <c r="A195" s="147"/>
      <c r="B195" s="217">
        <v>1</v>
      </c>
      <c r="C195" s="218">
        <v>45352</v>
      </c>
      <c r="D195" s="185" t="s">
        <v>9</v>
      </c>
      <c r="E195" s="185" t="s">
        <v>4527</v>
      </c>
      <c r="F195" s="231">
        <v>280</v>
      </c>
      <c r="G195" s="231">
        <v>440</v>
      </c>
      <c r="H195" s="231">
        <f>440-280</f>
        <v>160</v>
      </c>
      <c r="I195" s="219">
        <v>120</v>
      </c>
      <c r="J195" s="246">
        <f t="shared" ref="J195:J220" si="30">I195*H195</f>
        <v>19200</v>
      </c>
      <c r="K195" s="153"/>
      <c r="V195" s="25">
        <f t="shared" ref="V195:V220" si="31">IF($J195&gt;0,1,0)</f>
        <v>1</v>
      </c>
      <c r="W195" s="25">
        <f t="shared" ref="W195:W220" si="32">IF($J195&lt;0,1,0)</f>
        <v>0</v>
      </c>
    </row>
    <row r="196" spans="1:23" x14ac:dyDescent="0.3">
      <c r="A196" s="147"/>
      <c r="B196" s="205">
        <f t="shared" ref="B196:B216" si="33">B195+1</f>
        <v>2</v>
      </c>
      <c r="C196" s="218">
        <v>45355</v>
      </c>
      <c r="D196" s="185" t="s">
        <v>9</v>
      </c>
      <c r="E196" s="185" t="s">
        <v>4528</v>
      </c>
      <c r="F196" s="231">
        <v>300</v>
      </c>
      <c r="G196" s="231">
        <v>355</v>
      </c>
      <c r="H196" s="231">
        <v>55</v>
      </c>
      <c r="I196" s="219">
        <v>120</v>
      </c>
      <c r="J196" s="242">
        <f t="shared" si="30"/>
        <v>6600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3</v>
      </c>
      <c r="C197" s="206">
        <v>45356</v>
      </c>
      <c r="D197" s="161" t="s">
        <v>9</v>
      </c>
      <c r="E197" s="161" t="s">
        <v>4528</v>
      </c>
      <c r="F197" s="222">
        <v>300</v>
      </c>
      <c r="G197" s="222">
        <v>355</v>
      </c>
      <c r="H197" s="222">
        <v>55</v>
      </c>
      <c r="I197" s="207">
        <v>120</v>
      </c>
      <c r="J197" s="242">
        <f t="shared" si="30"/>
        <v>6600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4</v>
      </c>
      <c r="C198" s="206">
        <v>45357</v>
      </c>
      <c r="D198" s="161" t="s">
        <v>9</v>
      </c>
      <c r="E198" s="161" t="s">
        <v>4517</v>
      </c>
      <c r="F198" s="222">
        <v>300</v>
      </c>
      <c r="G198" s="222">
        <v>460</v>
      </c>
      <c r="H198" s="222">
        <v>160</v>
      </c>
      <c r="I198" s="207">
        <v>120</v>
      </c>
      <c r="J198" s="242">
        <f t="shared" si="30"/>
        <v>19200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5</v>
      </c>
      <c r="C199" s="206">
        <v>45358</v>
      </c>
      <c r="D199" s="161" t="s">
        <v>9</v>
      </c>
      <c r="E199" s="161" t="s">
        <v>4442</v>
      </c>
      <c r="F199" s="222">
        <v>300</v>
      </c>
      <c r="G199" s="222">
        <v>220</v>
      </c>
      <c r="H199" s="222">
        <v>-80</v>
      </c>
      <c r="I199" s="207">
        <v>120</v>
      </c>
      <c r="J199" s="242">
        <f t="shared" si="30"/>
        <v>-9600</v>
      </c>
      <c r="K199" s="153"/>
      <c r="O199" s="25" t="s">
        <v>2008</v>
      </c>
      <c r="V199" s="25">
        <f t="shared" si="31"/>
        <v>0</v>
      </c>
      <c r="W199" s="25">
        <f t="shared" si="32"/>
        <v>1</v>
      </c>
    </row>
    <row r="200" spans="1:23" x14ac:dyDescent="0.3">
      <c r="A200" s="147"/>
      <c r="B200" s="205">
        <f t="shared" si="33"/>
        <v>6</v>
      </c>
      <c r="C200" s="206">
        <v>45362</v>
      </c>
      <c r="D200" s="161" t="s">
        <v>9</v>
      </c>
      <c r="E200" s="161" t="s">
        <v>4439</v>
      </c>
      <c r="F200" s="222">
        <v>300</v>
      </c>
      <c r="G200" s="222">
        <v>220</v>
      </c>
      <c r="H200" s="222">
        <v>-80</v>
      </c>
      <c r="I200" s="207">
        <v>120</v>
      </c>
      <c r="J200" s="242">
        <f t="shared" si="30"/>
        <v>-9600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7</v>
      </c>
      <c r="C201" s="206">
        <v>45362</v>
      </c>
      <c r="D201" s="161" t="s">
        <v>9</v>
      </c>
      <c r="E201" s="161" t="s">
        <v>4468</v>
      </c>
      <c r="F201" s="222">
        <v>320</v>
      </c>
      <c r="G201" s="222">
        <v>460</v>
      </c>
      <c r="H201" s="222">
        <f>460-320</f>
        <v>140</v>
      </c>
      <c r="I201" s="207">
        <v>120</v>
      </c>
      <c r="J201" s="242">
        <f t="shared" si="30"/>
        <v>16800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8</v>
      </c>
      <c r="C202" s="206">
        <v>45363</v>
      </c>
      <c r="D202" s="161" t="s">
        <v>9</v>
      </c>
      <c r="E202" s="161" t="s">
        <v>4528</v>
      </c>
      <c r="F202" s="222">
        <v>320</v>
      </c>
      <c r="G202" s="222">
        <v>480</v>
      </c>
      <c r="H202" s="222">
        <f>480-320</f>
        <v>160</v>
      </c>
      <c r="I202" s="207">
        <v>120</v>
      </c>
      <c r="J202" s="242">
        <f t="shared" si="30"/>
        <v>19200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9</v>
      </c>
      <c r="C203" s="206">
        <v>45364</v>
      </c>
      <c r="D203" s="161" t="s">
        <v>9</v>
      </c>
      <c r="E203" s="161" t="s">
        <v>4447</v>
      </c>
      <c r="F203" s="222">
        <v>300</v>
      </c>
      <c r="G203" s="222">
        <v>380</v>
      </c>
      <c r="H203" s="255">
        <v>80</v>
      </c>
      <c r="I203" s="207">
        <v>120</v>
      </c>
      <c r="J203" s="242">
        <f t="shared" si="30"/>
        <v>9600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10</v>
      </c>
      <c r="C204" s="206">
        <v>45365</v>
      </c>
      <c r="D204" s="161" t="s">
        <v>9</v>
      </c>
      <c r="E204" s="161" t="s">
        <v>4536</v>
      </c>
      <c r="F204" s="222">
        <v>320</v>
      </c>
      <c r="G204" s="222">
        <v>480</v>
      </c>
      <c r="H204" s="255">
        <f>480-320</f>
        <v>160</v>
      </c>
      <c r="I204" s="207">
        <v>120</v>
      </c>
      <c r="J204" s="242">
        <f t="shared" si="30"/>
        <v>19200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11</v>
      </c>
      <c r="C205" s="206">
        <v>45366</v>
      </c>
      <c r="D205" s="161" t="s">
        <v>9</v>
      </c>
      <c r="E205" s="161" t="s">
        <v>4421</v>
      </c>
      <c r="F205" s="222">
        <v>310</v>
      </c>
      <c r="G205" s="222">
        <v>230</v>
      </c>
      <c r="H205" s="255">
        <v>-80</v>
      </c>
      <c r="I205" s="207">
        <v>120</v>
      </c>
      <c r="J205" s="242">
        <f t="shared" si="30"/>
        <v>-9600</v>
      </c>
      <c r="K205" s="153"/>
      <c r="V205" s="25">
        <f t="shared" si="31"/>
        <v>0</v>
      </c>
      <c r="W205" s="25">
        <f t="shared" si="32"/>
        <v>1</v>
      </c>
    </row>
    <row r="206" spans="1:23" x14ac:dyDescent="0.3">
      <c r="A206" s="147"/>
      <c r="B206" s="205">
        <f t="shared" si="33"/>
        <v>12</v>
      </c>
      <c r="C206" s="206">
        <v>45366</v>
      </c>
      <c r="D206" s="161" t="s">
        <v>9</v>
      </c>
      <c r="E206" s="161" t="s">
        <v>4296</v>
      </c>
      <c r="F206" s="222">
        <v>300</v>
      </c>
      <c r="G206" s="222">
        <v>380</v>
      </c>
      <c r="H206" s="255">
        <v>80</v>
      </c>
      <c r="I206" s="207">
        <v>120</v>
      </c>
      <c r="J206" s="242">
        <f t="shared" si="30"/>
        <v>9600</v>
      </c>
      <c r="K206" s="153"/>
      <c r="V206" s="25">
        <f t="shared" si="31"/>
        <v>1</v>
      </c>
      <c r="W206" s="25">
        <f t="shared" si="32"/>
        <v>0</v>
      </c>
    </row>
    <row r="207" spans="1:23" x14ac:dyDescent="0.3">
      <c r="A207" s="147"/>
      <c r="B207" s="205">
        <f t="shared" si="33"/>
        <v>13</v>
      </c>
      <c r="C207" s="206">
        <v>45369</v>
      </c>
      <c r="D207" s="161" t="s">
        <v>9</v>
      </c>
      <c r="E207" s="161" t="s">
        <v>4413</v>
      </c>
      <c r="F207" s="222">
        <v>300</v>
      </c>
      <c r="G207" s="222">
        <v>220</v>
      </c>
      <c r="H207" s="255">
        <v>-80</v>
      </c>
      <c r="I207" s="207">
        <v>120</v>
      </c>
      <c r="J207" s="242">
        <f t="shared" si="30"/>
        <v>-9600</v>
      </c>
      <c r="K207" s="153"/>
      <c r="V207" s="25">
        <f t="shared" si="31"/>
        <v>0</v>
      </c>
      <c r="W207" s="25">
        <f t="shared" si="32"/>
        <v>1</v>
      </c>
    </row>
    <row r="208" spans="1:23" x14ac:dyDescent="0.3">
      <c r="A208" s="147"/>
      <c r="B208" s="205">
        <f t="shared" si="33"/>
        <v>14</v>
      </c>
      <c r="C208" s="206">
        <v>45370</v>
      </c>
      <c r="D208" s="161" t="s">
        <v>9</v>
      </c>
      <c r="E208" s="161" t="s">
        <v>4515</v>
      </c>
      <c r="F208" s="207">
        <v>300</v>
      </c>
      <c r="G208" s="207">
        <v>375</v>
      </c>
      <c r="H208" s="161">
        <v>75</v>
      </c>
      <c r="I208" s="207">
        <v>120</v>
      </c>
      <c r="J208" s="242">
        <f t="shared" si="30"/>
        <v>9000</v>
      </c>
      <c r="K208" s="153"/>
      <c r="V208" s="25">
        <f t="shared" si="31"/>
        <v>1</v>
      </c>
      <c r="W208" s="25">
        <f t="shared" si="32"/>
        <v>0</v>
      </c>
    </row>
    <row r="209" spans="1:23" x14ac:dyDescent="0.3">
      <c r="A209" s="147"/>
      <c r="B209" s="205">
        <f t="shared" si="33"/>
        <v>15</v>
      </c>
      <c r="C209" s="206">
        <v>45371</v>
      </c>
      <c r="D209" s="161" t="s">
        <v>9</v>
      </c>
      <c r="E209" s="161" t="s">
        <v>4515</v>
      </c>
      <c r="F209" s="207">
        <v>300</v>
      </c>
      <c r="G209" s="207">
        <v>460</v>
      </c>
      <c r="H209" s="161">
        <v>160</v>
      </c>
      <c r="I209" s="207">
        <v>120</v>
      </c>
      <c r="J209" s="242">
        <f t="shared" si="30"/>
        <v>19200</v>
      </c>
      <c r="K209" s="153"/>
      <c r="V209" s="25">
        <f t="shared" si="31"/>
        <v>1</v>
      </c>
      <c r="W209" s="25">
        <f t="shared" si="32"/>
        <v>0</v>
      </c>
    </row>
    <row r="210" spans="1:23" x14ac:dyDescent="0.3">
      <c r="A210" s="147"/>
      <c r="B210" s="205">
        <f t="shared" si="33"/>
        <v>16</v>
      </c>
      <c r="C210" s="206">
        <v>45372</v>
      </c>
      <c r="D210" s="161" t="s">
        <v>9</v>
      </c>
      <c r="E210" s="161" t="s">
        <v>4516</v>
      </c>
      <c r="F210" s="207">
        <v>320</v>
      </c>
      <c r="G210" s="207">
        <v>400</v>
      </c>
      <c r="H210" s="161">
        <f>400-320</f>
        <v>80</v>
      </c>
      <c r="I210" s="207">
        <v>120</v>
      </c>
      <c r="J210" s="242">
        <f t="shared" si="30"/>
        <v>9600</v>
      </c>
      <c r="K210" s="153"/>
      <c r="V210" s="25">
        <f t="shared" si="31"/>
        <v>1</v>
      </c>
      <c r="W210" s="25">
        <f t="shared" si="32"/>
        <v>0</v>
      </c>
    </row>
    <row r="211" spans="1:23" x14ac:dyDescent="0.3">
      <c r="A211" s="147"/>
      <c r="B211" s="205">
        <f t="shared" si="33"/>
        <v>17</v>
      </c>
      <c r="C211" s="206">
        <v>45373</v>
      </c>
      <c r="D211" s="161" t="s">
        <v>9</v>
      </c>
      <c r="E211" s="161" t="s">
        <v>4527</v>
      </c>
      <c r="F211" s="207">
        <v>300</v>
      </c>
      <c r="G211" s="207">
        <v>380</v>
      </c>
      <c r="H211" s="161">
        <v>80</v>
      </c>
      <c r="I211" s="207">
        <v>120</v>
      </c>
      <c r="J211" s="242">
        <f t="shared" si="30"/>
        <v>9600</v>
      </c>
      <c r="K211" s="153"/>
      <c r="V211" s="25">
        <f t="shared" si="31"/>
        <v>1</v>
      </c>
      <c r="W211" s="25">
        <f t="shared" si="32"/>
        <v>0</v>
      </c>
    </row>
    <row r="212" spans="1:23" x14ac:dyDescent="0.3">
      <c r="A212" s="147"/>
      <c r="B212" s="205">
        <f t="shared" si="33"/>
        <v>18</v>
      </c>
      <c r="C212" s="206">
        <v>45377</v>
      </c>
      <c r="D212" s="161" t="s">
        <v>9</v>
      </c>
      <c r="E212" s="161" t="s">
        <v>4413</v>
      </c>
      <c r="F212" s="207">
        <v>280</v>
      </c>
      <c r="G212" s="207">
        <v>315</v>
      </c>
      <c r="H212" s="161">
        <f>315-280</f>
        <v>35</v>
      </c>
      <c r="I212" s="207">
        <v>120</v>
      </c>
      <c r="J212" s="242">
        <f t="shared" si="30"/>
        <v>4200</v>
      </c>
      <c r="K212" s="153"/>
      <c r="V212" s="25">
        <f t="shared" si="31"/>
        <v>1</v>
      </c>
      <c r="W212" s="25">
        <f t="shared" si="32"/>
        <v>0</v>
      </c>
    </row>
    <row r="213" spans="1:23" x14ac:dyDescent="0.3">
      <c r="A213" s="147"/>
      <c r="B213" s="205">
        <f t="shared" si="33"/>
        <v>19</v>
      </c>
      <c r="C213" s="206">
        <v>45378</v>
      </c>
      <c r="D213" s="161" t="s">
        <v>9</v>
      </c>
      <c r="E213" s="161" t="s">
        <v>4510</v>
      </c>
      <c r="F213" s="207">
        <v>280</v>
      </c>
      <c r="G213" s="207">
        <v>385</v>
      </c>
      <c r="H213" s="161">
        <f>385-280</f>
        <v>105</v>
      </c>
      <c r="I213" s="207">
        <v>120</v>
      </c>
      <c r="J213" s="161">
        <f t="shared" si="30"/>
        <v>12600</v>
      </c>
      <c r="K213" s="153"/>
      <c r="V213" s="25">
        <f t="shared" si="31"/>
        <v>1</v>
      </c>
      <c r="W213" s="25">
        <f t="shared" si="32"/>
        <v>0</v>
      </c>
    </row>
    <row r="214" spans="1:23" x14ac:dyDescent="0.3">
      <c r="A214" s="147"/>
      <c r="B214" s="205">
        <f t="shared" si="33"/>
        <v>20</v>
      </c>
      <c r="C214" s="206">
        <v>45379</v>
      </c>
      <c r="D214" s="161" t="s">
        <v>9</v>
      </c>
      <c r="E214" s="161" t="s">
        <v>4423</v>
      </c>
      <c r="F214" s="207">
        <v>300</v>
      </c>
      <c r="G214" s="207">
        <v>460</v>
      </c>
      <c r="H214" s="161">
        <v>160</v>
      </c>
      <c r="I214" s="207">
        <v>120</v>
      </c>
      <c r="J214" s="161">
        <f t="shared" si="30"/>
        <v>19200</v>
      </c>
      <c r="K214" s="153"/>
      <c r="V214" s="25">
        <f t="shared" si="31"/>
        <v>1</v>
      </c>
      <c r="W214" s="25">
        <f t="shared" si="32"/>
        <v>0</v>
      </c>
    </row>
    <row r="215" spans="1:23" x14ac:dyDescent="0.3">
      <c r="A215" s="147"/>
      <c r="B215" s="205">
        <f t="shared" si="33"/>
        <v>21</v>
      </c>
      <c r="C215" s="206"/>
      <c r="D215" s="161"/>
      <c r="E215" s="161"/>
      <c r="F215" s="207"/>
      <c r="G215" s="207"/>
      <c r="H215" s="161"/>
      <c r="I215" s="207"/>
      <c r="J215" s="161">
        <f t="shared" si="30"/>
        <v>0</v>
      </c>
      <c r="K215" s="153"/>
      <c r="V215" s="25">
        <f t="shared" si="31"/>
        <v>0</v>
      </c>
      <c r="W215" s="25">
        <f t="shared" si="32"/>
        <v>0</v>
      </c>
    </row>
    <row r="216" spans="1:23" x14ac:dyDescent="0.3">
      <c r="A216" s="147"/>
      <c r="B216" s="205">
        <f t="shared" si="33"/>
        <v>22</v>
      </c>
      <c r="C216" s="206"/>
      <c r="D216" s="161"/>
      <c r="E216" s="161"/>
      <c r="F216" s="207"/>
      <c r="G216" s="207"/>
      <c r="H216" s="161"/>
      <c r="I216" s="207"/>
      <c r="J216" s="161">
        <f t="shared" si="30"/>
        <v>0</v>
      </c>
      <c r="K216" s="153"/>
      <c r="T216" s="25" t="s">
        <v>2008</v>
      </c>
      <c r="V216" s="25">
        <f t="shared" si="31"/>
        <v>0</v>
      </c>
      <c r="W216" s="25">
        <f t="shared" si="32"/>
        <v>0</v>
      </c>
    </row>
    <row r="217" spans="1:23" x14ac:dyDescent="0.3">
      <c r="A217" s="147"/>
      <c r="B217" s="269">
        <v>23</v>
      </c>
      <c r="C217" s="264"/>
      <c r="D217" s="265"/>
      <c r="E217" s="265"/>
      <c r="F217" s="266"/>
      <c r="G217" s="266"/>
      <c r="H217" s="265"/>
      <c r="I217" s="266"/>
      <c r="J217" s="161">
        <f t="shared" si="30"/>
        <v>0</v>
      </c>
      <c r="K217" s="153"/>
      <c r="V217" s="25">
        <f t="shared" si="31"/>
        <v>0</v>
      </c>
      <c r="W217" s="25">
        <f t="shared" si="32"/>
        <v>0</v>
      </c>
    </row>
    <row r="218" spans="1:23" x14ac:dyDescent="0.3">
      <c r="A218" s="147"/>
      <c r="B218" s="269">
        <v>24</v>
      </c>
      <c r="C218" s="264"/>
      <c r="D218" s="265"/>
      <c r="E218" s="265"/>
      <c r="F218" s="266"/>
      <c r="G218" s="266"/>
      <c r="H218" s="265"/>
      <c r="I218" s="266"/>
      <c r="J218" s="161">
        <f t="shared" si="30"/>
        <v>0</v>
      </c>
      <c r="K218" s="153"/>
      <c r="V218" s="25">
        <f t="shared" si="31"/>
        <v>0</v>
      </c>
      <c r="W218" s="25">
        <f t="shared" si="32"/>
        <v>0</v>
      </c>
    </row>
    <row r="219" spans="1:23" x14ac:dyDescent="0.3">
      <c r="A219" s="147"/>
      <c r="B219" s="269">
        <v>25</v>
      </c>
      <c r="C219" s="264"/>
      <c r="D219" s="265"/>
      <c r="E219" s="265"/>
      <c r="F219" s="266"/>
      <c r="G219" s="266"/>
      <c r="H219" s="265"/>
      <c r="I219" s="266"/>
      <c r="J219" s="161">
        <f t="shared" si="30"/>
        <v>0</v>
      </c>
      <c r="K219" s="153"/>
      <c r="V219" s="25">
        <f t="shared" si="31"/>
        <v>0</v>
      </c>
      <c r="W219" s="25">
        <f t="shared" si="32"/>
        <v>0</v>
      </c>
    </row>
    <row r="220" spans="1:23" ht="15" thickBot="1" x14ac:dyDescent="0.35">
      <c r="A220" s="147"/>
      <c r="B220" s="269">
        <v>26</v>
      </c>
      <c r="C220" s="209"/>
      <c r="D220" s="166"/>
      <c r="E220" s="166"/>
      <c r="F220" s="210"/>
      <c r="G220" s="210"/>
      <c r="H220" s="166"/>
      <c r="I220" s="210"/>
      <c r="J220" s="161">
        <f t="shared" si="30"/>
        <v>0</v>
      </c>
      <c r="K220" s="153"/>
      <c r="V220" s="25">
        <f t="shared" si="31"/>
        <v>0</v>
      </c>
      <c r="W220" s="25">
        <f t="shared" si="32"/>
        <v>0</v>
      </c>
    </row>
    <row r="221" spans="1:23" ht="24" thickBot="1" x14ac:dyDescent="0.5">
      <c r="A221" s="147"/>
      <c r="B221" s="370" t="s">
        <v>2254</v>
      </c>
      <c r="C221" s="371"/>
      <c r="D221" s="371"/>
      <c r="E221" s="371"/>
      <c r="F221" s="371"/>
      <c r="G221" s="371"/>
      <c r="H221" s="372"/>
      <c r="I221" s="211" t="s">
        <v>2255</v>
      </c>
      <c r="J221" s="212">
        <f>SUM(J195:J220)</f>
        <v>171000</v>
      </c>
      <c r="K221" s="153"/>
      <c r="V221" s="25">
        <f>SUM(V195:V220)</f>
        <v>16</v>
      </c>
      <c r="W221" s="25">
        <f>SUM(W195:W220)</f>
        <v>4</v>
      </c>
    </row>
    <row r="222" spans="1:23" ht="30" customHeight="1" thickBot="1" x14ac:dyDescent="0.35">
      <c r="A222" s="213"/>
      <c r="B222" s="172"/>
      <c r="C222" s="172"/>
      <c r="D222" s="172"/>
      <c r="E222" s="172"/>
      <c r="F222" s="172"/>
      <c r="G222" s="172"/>
      <c r="H222" s="235"/>
      <c r="I222" s="172"/>
      <c r="J222" s="235"/>
      <c r="K222" s="214"/>
    </row>
    <row r="223" spans="1:23" ht="15" thickBot="1" x14ac:dyDescent="0.35"/>
    <row r="224" spans="1:23" ht="30" customHeight="1" thickBot="1" x14ac:dyDescent="0.35">
      <c r="A224" s="198"/>
      <c r="B224" s="143"/>
      <c r="C224" s="143"/>
      <c r="D224" s="143"/>
      <c r="E224" s="143"/>
      <c r="F224" s="143"/>
      <c r="G224" s="143"/>
      <c r="H224" s="232"/>
      <c r="I224" s="143"/>
      <c r="J224" s="232"/>
      <c r="K224" s="199"/>
    </row>
    <row r="225" spans="1:23" ht="25.2" thickBot="1" x14ac:dyDescent="0.35">
      <c r="A225" s="147" t="s">
        <v>0</v>
      </c>
      <c r="B225" s="361" t="s">
        <v>2244</v>
      </c>
      <c r="C225" s="362"/>
      <c r="D225" s="362"/>
      <c r="E225" s="362"/>
      <c r="F225" s="362"/>
      <c r="G225" s="362"/>
      <c r="H225" s="362"/>
      <c r="I225" s="362"/>
      <c r="J225" s="363"/>
      <c r="K225" s="153"/>
    </row>
    <row r="226" spans="1:23" ht="16.2" thickBot="1" x14ac:dyDescent="0.35">
      <c r="A226" s="147"/>
      <c r="B226" s="364" t="s">
        <v>4524</v>
      </c>
      <c r="C226" s="365"/>
      <c r="D226" s="365"/>
      <c r="E226" s="365"/>
      <c r="F226" s="365"/>
      <c r="G226" s="365"/>
      <c r="H226" s="365"/>
      <c r="I226" s="365"/>
      <c r="J226" s="366"/>
      <c r="K226" s="153"/>
    </row>
    <row r="227" spans="1:23" ht="16.2" thickBot="1" x14ac:dyDescent="0.35">
      <c r="A227" s="147"/>
      <c r="B227" s="367" t="s">
        <v>1076</v>
      </c>
      <c r="C227" s="368"/>
      <c r="D227" s="368"/>
      <c r="E227" s="368"/>
      <c r="F227" s="368"/>
      <c r="G227" s="368"/>
      <c r="H227" s="368"/>
      <c r="I227" s="368"/>
      <c r="J227" s="369"/>
      <c r="K227" s="153"/>
    </row>
    <row r="228" spans="1:23" ht="15" thickBot="1" x14ac:dyDescent="0.35">
      <c r="A228" s="175"/>
      <c r="B228" s="178" t="s">
        <v>2248</v>
      </c>
      <c r="C228" s="179" t="s">
        <v>1</v>
      </c>
      <c r="D228" s="180" t="s">
        <v>5</v>
      </c>
      <c r="E228" s="180" t="s">
        <v>6</v>
      </c>
      <c r="F228" s="181" t="s">
        <v>2249</v>
      </c>
      <c r="G228" s="181" t="s">
        <v>2250</v>
      </c>
      <c r="H228" s="239" t="s">
        <v>2251</v>
      </c>
      <c r="I228" s="181" t="s">
        <v>2257</v>
      </c>
      <c r="J228" s="245" t="s">
        <v>4</v>
      </c>
      <c r="K228" s="176"/>
      <c r="L228" s="215"/>
      <c r="V228" s="201" t="s">
        <v>454</v>
      </c>
      <c r="W228" s="201" t="s">
        <v>455</v>
      </c>
    </row>
    <row r="229" spans="1:23" x14ac:dyDescent="0.3">
      <c r="A229" s="147"/>
      <c r="B229" s="217">
        <v>1</v>
      </c>
      <c r="C229" s="218">
        <v>45352</v>
      </c>
      <c r="D229" s="185" t="s">
        <v>9</v>
      </c>
      <c r="E229" s="185" t="s">
        <v>4526</v>
      </c>
      <c r="F229" s="231">
        <v>120</v>
      </c>
      <c r="G229" s="231">
        <v>132</v>
      </c>
      <c r="H229" s="231">
        <v>12</v>
      </c>
      <c r="I229" s="219">
        <v>300</v>
      </c>
      <c r="J229" s="246">
        <f t="shared" ref="J229:J252" si="34">I229*H229</f>
        <v>3600</v>
      </c>
      <c r="K229" s="153"/>
      <c r="V229" s="25">
        <f>IF($J229&gt;0,1,0)</f>
        <v>1</v>
      </c>
      <c r="W229" s="25">
        <f>IF($J229&lt;0,1,0)</f>
        <v>0</v>
      </c>
    </row>
    <row r="230" spans="1:23" x14ac:dyDescent="0.3">
      <c r="A230" s="147"/>
      <c r="B230" s="205">
        <f>B229+1</f>
        <v>2</v>
      </c>
      <c r="C230" s="218">
        <v>45355</v>
      </c>
      <c r="D230" s="185" t="s">
        <v>9</v>
      </c>
      <c r="E230" s="185" t="s">
        <v>6</v>
      </c>
      <c r="F230" s="231">
        <v>200</v>
      </c>
      <c r="G230" s="231">
        <v>218</v>
      </c>
      <c r="H230" s="231">
        <v>18</v>
      </c>
      <c r="I230" s="219">
        <v>125</v>
      </c>
      <c r="J230" s="242">
        <f>I230*H230</f>
        <v>2250</v>
      </c>
      <c r="K230" s="153"/>
      <c r="V230" s="25">
        <f>IF($J230&gt;0,1,0)</f>
        <v>1</v>
      </c>
      <c r="W230" s="25">
        <f>IF($J230&lt;0,1,0)</f>
        <v>0</v>
      </c>
    </row>
    <row r="231" spans="1:23" x14ac:dyDescent="0.3">
      <c r="A231" s="147"/>
      <c r="B231" s="205">
        <f t="shared" ref="B231:B252" si="35">B230+1</f>
        <v>3</v>
      </c>
      <c r="C231" s="206">
        <v>45356</v>
      </c>
      <c r="D231" s="161" t="s">
        <v>9</v>
      </c>
      <c r="E231" s="161" t="s">
        <v>4531</v>
      </c>
      <c r="F231" s="222">
        <v>36</v>
      </c>
      <c r="G231" s="222">
        <v>50</v>
      </c>
      <c r="H231" s="222">
        <f>50-36</f>
        <v>14</v>
      </c>
      <c r="I231" s="207">
        <v>550</v>
      </c>
      <c r="J231" s="242">
        <f t="shared" si="34"/>
        <v>7700</v>
      </c>
      <c r="K231" s="153"/>
      <c r="V231" s="25">
        <f t="shared" ref="V231:V252" si="36">IF($J231&gt;0,1,0)</f>
        <v>1</v>
      </c>
      <c r="W231" s="25">
        <f t="shared" ref="W231:W252" si="37">IF($J231&lt;0,1,0)</f>
        <v>0</v>
      </c>
    </row>
    <row r="232" spans="1:23" x14ac:dyDescent="0.3">
      <c r="A232" s="147"/>
      <c r="B232" s="205">
        <f t="shared" si="35"/>
        <v>4</v>
      </c>
      <c r="C232" s="206">
        <v>45357</v>
      </c>
      <c r="D232" s="161" t="s">
        <v>9</v>
      </c>
      <c r="E232" s="161" t="s">
        <v>4533</v>
      </c>
      <c r="F232" s="222">
        <v>100</v>
      </c>
      <c r="G232" s="222">
        <v>108.5</v>
      </c>
      <c r="H232" s="222">
        <v>8.5</v>
      </c>
      <c r="I232" s="207">
        <v>300</v>
      </c>
      <c r="J232" s="242">
        <f t="shared" si="34"/>
        <v>2550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5</v>
      </c>
      <c r="C233" s="206">
        <v>45358</v>
      </c>
      <c r="D233" s="161" t="s">
        <v>9</v>
      </c>
      <c r="E233" s="161" t="s">
        <v>4534</v>
      </c>
      <c r="F233" s="222">
        <v>125</v>
      </c>
      <c r="G233" s="222">
        <v>117</v>
      </c>
      <c r="H233" s="222">
        <v>-8</v>
      </c>
      <c r="I233" s="207">
        <v>300</v>
      </c>
      <c r="J233" s="242">
        <f t="shared" si="34"/>
        <v>-2400</v>
      </c>
      <c r="K233" s="153"/>
      <c r="V233" s="25">
        <f t="shared" si="36"/>
        <v>0</v>
      </c>
      <c r="W233" s="25">
        <f t="shared" si="37"/>
        <v>1</v>
      </c>
    </row>
    <row r="234" spans="1:23" x14ac:dyDescent="0.3">
      <c r="A234" s="147"/>
      <c r="B234" s="205">
        <f t="shared" si="35"/>
        <v>6</v>
      </c>
      <c r="C234" s="206">
        <v>45362</v>
      </c>
      <c r="D234" s="161" t="s">
        <v>9</v>
      </c>
      <c r="E234" s="161" t="s">
        <v>4537</v>
      </c>
      <c r="F234" s="222">
        <v>95</v>
      </c>
      <c r="G234" s="222">
        <v>128</v>
      </c>
      <c r="H234" s="222">
        <f>128-95</f>
        <v>33</v>
      </c>
      <c r="I234" s="207">
        <v>300</v>
      </c>
      <c r="J234" s="242">
        <f t="shared" si="34"/>
        <v>9900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7</v>
      </c>
      <c r="C235" s="206">
        <v>45363</v>
      </c>
      <c r="D235" s="161" t="s">
        <v>9</v>
      </c>
      <c r="E235" s="161" t="s">
        <v>4538</v>
      </c>
      <c r="F235" s="222">
        <v>105</v>
      </c>
      <c r="G235" s="222">
        <v>145</v>
      </c>
      <c r="H235" s="222">
        <f>145-105</f>
        <v>40</v>
      </c>
      <c r="I235" s="207">
        <v>300</v>
      </c>
      <c r="J235" s="242">
        <f t="shared" si="34"/>
        <v>12000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8</v>
      </c>
      <c r="C236" s="206">
        <v>45364</v>
      </c>
      <c r="D236" s="161" t="s">
        <v>9</v>
      </c>
      <c r="E236" s="161" t="s">
        <v>4539</v>
      </c>
      <c r="F236" s="222">
        <v>100</v>
      </c>
      <c r="G236" s="222">
        <v>110</v>
      </c>
      <c r="H236" s="222">
        <v>10</v>
      </c>
      <c r="I236" s="207">
        <v>300</v>
      </c>
      <c r="J236" s="242">
        <f t="shared" si="34"/>
        <v>3000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9</v>
      </c>
      <c r="C237" s="206">
        <v>45365</v>
      </c>
      <c r="D237" s="161" t="s">
        <v>9</v>
      </c>
      <c r="E237" s="161" t="s">
        <v>4540</v>
      </c>
      <c r="F237" s="222">
        <v>105</v>
      </c>
      <c r="G237" s="222">
        <v>95</v>
      </c>
      <c r="H237" s="255">
        <v>-10</v>
      </c>
      <c r="I237" s="207">
        <v>300</v>
      </c>
      <c r="J237" s="242">
        <f t="shared" si="34"/>
        <v>-3000</v>
      </c>
      <c r="K237" s="153"/>
      <c r="V237" s="25">
        <f t="shared" si="36"/>
        <v>0</v>
      </c>
      <c r="W237" s="25">
        <f t="shared" si="37"/>
        <v>1</v>
      </c>
    </row>
    <row r="238" spans="1:23" x14ac:dyDescent="0.3">
      <c r="A238" s="147"/>
      <c r="B238" s="205">
        <f t="shared" si="35"/>
        <v>10</v>
      </c>
      <c r="C238" s="206">
        <v>45366</v>
      </c>
      <c r="D238" s="161" t="s">
        <v>9</v>
      </c>
      <c r="E238" s="161" t="s">
        <v>4541</v>
      </c>
      <c r="F238" s="222">
        <v>100</v>
      </c>
      <c r="G238" s="222">
        <v>140</v>
      </c>
      <c r="H238" s="255">
        <v>40</v>
      </c>
      <c r="I238" s="207">
        <v>300</v>
      </c>
      <c r="J238" s="242">
        <f t="shared" si="34"/>
        <v>12000</v>
      </c>
      <c r="K238" s="153"/>
      <c r="V238" s="25">
        <f t="shared" si="36"/>
        <v>1</v>
      </c>
      <c r="W238" s="25">
        <f t="shared" si="37"/>
        <v>0</v>
      </c>
    </row>
    <row r="239" spans="1:23" x14ac:dyDescent="0.3">
      <c r="A239" s="147"/>
      <c r="B239" s="205">
        <f t="shared" si="35"/>
        <v>11</v>
      </c>
      <c r="C239" s="206">
        <v>45369</v>
      </c>
      <c r="D239" s="161" t="s">
        <v>9</v>
      </c>
      <c r="E239" s="161" t="s">
        <v>4539</v>
      </c>
      <c r="F239" s="222">
        <v>95</v>
      </c>
      <c r="G239" s="222">
        <v>86</v>
      </c>
      <c r="H239" s="255">
        <v>-9</v>
      </c>
      <c r="I239" s="207">
        <v>300</v>
      </c>
      <c r="J239" s="242">
        <f t="shared" si="34"/>
        <v>-2700</v>
      </c>
      <c r="K239" s="153"/>
      <c r="V239" s="25">
        <f t="shared" si="36"/>
        <v>0</v>
      </c>
      <c r="W239" s="25">
        <f t="shared" si="37"/>
        <v>1</v>
      </c>
    </row>
    <row r="240" spans="1:23" x14ac:dyDescent="0.3">
      <c r="A240" s="147"/>
      <c r="B240" s="205">
        <f t="shared" si="35"/>
        <v>12</v>
      </c>
      <c r="C240" s="206">
        <v>45370</v>
      </c>
      <c r="D240" s="161" t="s">
        <v>9</v>
      </c>
      <c r="E240" s="161" t="s">
        <v>4543</v>
      </c>
      <c r="F240" s="222">
        <v>100</v>
      </c>
      <c r="G240" s="222">
        <v>106</v>
      </c>
      <c r="H240" s="255">
        <v>6</v>
      </c>
      <c r="I240" s="207">
        <v>300</v>
      </c>
      <c r="J240" s="242">
        <f t="shared" si="34"/>
        <v>1800</v>
      </c>
      <c r="K240" s="153"/>
      <c r="V240" s="25">
        <f t="shared" si="36"/>
        <v>1</v>
      </c>
      <c r="W240" s="25">
        <f t="shared" si="37"/>
        <v>0</v>
      </c>
    </row>
    <row r="241" spans="1:23" x14ac:dyDescent="0.3">
      <c r="A241" s="147"/>
      <c r="B241" s="205">
        <f t="shared" si="35"/>
        <v>13</v>
      </c>
      <c r="C241" s="206">
        <v>45371</v>
      </c>
      <c r="D241" s="161" t="s">
        <v>9</v>
      </c>
      <c r="E241" s="161" t="s">
        <v>4544</v>
      </c>
      <c r="F241" s="222">
        <v>175</v>
      </c>
      <c r="G241" s="222">
        <v>235</v>
      </c>
      <c r="H241" s="255">
        <f>235-175</f>
        <v>60</v>
      </c>
      <c r="I241" s="207">
        <v>100</v>
      </c>
      <c r="J241" s="242">
        <f t="shared" si="34"/>
        <v>6000</v>
      </c>
      <c r="K241" s="153"/>
      <c r="V241" s="25">
        <f t="shared" si="36"/>
        <v>1</v>
      </c>
      <c r="W241" s="25">
        <f t="shared" si="37"/>
        <v>0</v>
      </c>
    </row>
    <row r="242" spans="1:23" x14ac:dyDescent="0.3">
      <c r="A242" s="147"/>
      <c r="B242" s="205">
        <f t="shared" si="35"/>
        <v>14</v>
      </c>
      <c r="C242" s="206">
        <v>45372</v>
      </c>
      <c r="D242" s="161" t="s">
        <v>9</v>
      </c>
      <c r="E242" s="161" t="s">
        <v>4544</v>
      </c>
      <c r="F242" s="222">
        <v>140</v>
      </c>
      <c r="G242" s="222">
        <v>153</v>
      </c>
      <c r="H242" s="255">
        <v>13</v>
      </c>
      <c r="I242" s="207">
        <v>100</v>
      </c>
      <c r="J242" s="242">
        <f>I242*H242</f>
        <v>1300</v>
      </c>
      <c r="K242" s="153"/>
      <c r="V242" s="25">
        <f t="shared" si="36"/>
        <v>1</v>
      </c>
      <c r="W242" s="25">
        <f t="shared" si="37"/>
        <v>0</v>
      </c>
    </row>
    <row r="243" spans="1:23" x14ac:dyDescent="0.3">
      <c r="A243" s="147"/>
      <c r="B243" s="205">
        <f t="shared" si="35"/>
        <v>15</v>
      </c>
      <c r="C243" s="206">
        <v>45373</v>
      </c>
      <c r="D243" s="161" t="s">
        <v>9</v>
      </c>
      <c r="E243" s="161" t="s">
        <v>4545</v>
      </c>
      <c r="F243" s="222">
        <v>105</v>
      </c>
      <c r="G243" s="222">
        <v>145</v>
      </c>
      <c r="H243" s="255">
        <f>145-105</f>
        <v>40</v>
      </c>
      <c r="I243" s="207">
        <v>175</v>
      </c>
      <c r="J243" s="242">
        <f t="shared" si="34"/>
        <v>7000</v>
      </c>
      <c r="K243" s="153"/>
      <c r="V243" s="25">
        <f t="shared" si="36"/>
        <v>1</v>
      </c>
      <c r="W243" s="25">
        <f t="shared" si="37"/>
        <v>0</v>
      </c>
    </row>
    <row r="244" spans="1:23" x14ac:dyDescent="0.3">
      <c r="A244" s="147"/>
      <c r="B244" s="205">
        <f t="shared" si="35"/>
        <v>16</v>
      </c>
      <c r="C244" s="206">
        <v>45377</v>
      </c>
      <c r="D244" s="161" t="s">
        <v>9</v>
      </c>
      <c r="E244" s="161" t="s">
        <v>4546</v>
      </c>
      <c r="F244" s="222">
        <v>25</v>
      </c>
      <c r="G244" s="222">
        <v>31</v>
      </c>
      <c r="H244" s="222">
        <f>31-25</f>
        <v>6</v>
      </c>
      <c r="I244" s="207">
        <v>375</v>
      </c>
      <c r="J244" s="242">
        <f t="shared" si="34"/>
        <v>2250</v>
      </c>
      <c r="K244" s="153"/>
      <c r="V244" s="25">
        <f t="shared" si="36"/>
        <v>1</v>
      </c>
      <c r="W244" s="25">
        <f t="shared" si="37"/>
        <v>0</v>
      </c>
    </row>
    <row r="245" spans="1:23" x14ac:dyDescent="0.3">
      <c r="A245" s="147"/>
      <c r="B245" s="205">
        <f t="shared" si="35"/>
        <v>17</v>
      </c>
      <c r="C245" s="206">
        <v>45378</v>
      </c>
      <c r="D245" s="161" t="s">
        <v>9</v>
      </c>
      <c r="E245" s="161" t="s">
        <v>4547</v>
      </c>
      <c r="F245" s="222">
        <v>90</v>
      </c>
      <c r="G245" s="222">
        <v>111</v>
      </c>
      <c r="H245" s="222">
        <f>111-90</f>
        <v>21</v>
      </c>
      <c r="I245" s="207">
        <v>125</v>
      </c>
      <c r="J245" s="242">
        <f t="shared" si="34"/>
        <v>2625</v>
      </c>
      <c r="K245" s="153"/>
      <c r="V245" s="25">
        <f t="shared" si="36"/>
        <v>1</v>
      </c>
      <c r="W245" s="25">
        <f t="shared" si="37"/>
        <v>0</v>
      </c>
    </row>
    <row r="246" spans="1:23" x14ac:dyDescent="0.3">
      <c r="A246" s="147"/>
      <c r="B246" s="205">
        <f t="shared" si="35"/>
        <v>18</v>
      </c>
      <c r="C246" s="206">
        <v>45379</v>
      </c>
      <c r="D246" s="161" t="s">
        <v>9</v>
      </c>
      <c r="E246" s="161" t="s">
        <v>4548</v>
      </c>
      <c r="F246" s="222">
        <v>260</v>
      </c>
      <c r="G246" s="222">
        <v>278</v>
      </c>
      <c r="H246" s="222">
        <v>18</v>
      </c>
      <c r="I246" s="207">
        <v>100</v>
      </c>
      <c r="J246" s="242">
        <f t="shared" si="34"/>
        <v>1800</v>
      </c>
      <c r="K246" s="153"/>
      <c r="V246" s="25">
        <f t="shared" si="36"/>
        <v>1</v>
      </c>
      <c r="W246" s="25">
        <f t="shared" si="37"/>
        <v>0</v>
      </c>
    </row>
    <row r="247" spans="1:23" x14ac:dyDescent="0.3">
      <c r="A247" s="147"/>
      <c r="B247" s="205">
        <f t="shared" si="35"/>
        <v>19</v>
      </c>
      <c r="C247" s="206"/>
      <c r="D247" s="161"/>
      <c r="E247" s="161"/>
      <c r="F247" s="222"/>
      <c r="G247" s="222"/>
      <c r="H247" s="222"/>
      <c r="I247" s="207"/>
      <c r="J247" s="242">
        <f t="shared" si="34"/>
        <v>0</v>
      </c>
      <c r="K247" s="153"/>
      <c r="V247" s="25">
        <f t="shared" si="36"/>
        <v>0</v>
      </c>
      <c r="W247" s="25">
        <f t="shared" si="37"/>
        <v>0</v>
      </c>
    </row>
    <row r="248" spans="1:23" x14ac:dyDescent="0.3">
      <c r="A248" s="147"/>
      <c r="B248" s="205">
        <f t="shared" si="35"/>
        <v>20</v>
      </c>
      <c r="C248" s="206"/>
      <c r="D248" s="161"/>
      <c r="E248" s="161"/>
      <c r="F248" s="222"/>
      <c r="G248" s="222"/>
      <c r="H248" s="222"/>
      <c r="I248" s="207"/>
      <c r="J248" s="242">
        <f t="shared" si="34"/>
        <v>0</v>
      </c>
      <c r="K248" s="153"/>
      <c r="V248" s="25">
        <f t="shared" si="36"/>
        <v>0</v>
      </c>
      <c r="W248" s="25">
        <f t="shared" si="37"/>
        <v>0</v>
      </c>
    </row>
    <row r="249" spans="1:23" x14ac:dyDescent="0.3">
      <c r="A249" s="147"/>
      <c r="B249" s="205">
        <f t="shared" si="35"/>
        <v>21</v>
      </c>
      <c r="C249" s="206"/>
      <c r="D249" s="161"/>
      <c r="E249" s="161"/>
      <c r="F249" s="222"/>
      <c r="G249" s="222"/>
      <c r="H249" s="222"/>
      <c r="I249" s="207"/>
      <c r="J249" s="242">
        <f t="shared" si="34"/>
        <v>0</v>
      </c>
      <c r="K249" s="153"/>
      <c r="V249" s="25">
        <f t="shared" si="36"/>
        <v>0</v>
      </c>
      <c r="W249" s="25">
        <f t="shared" si="37"/>
        <v>0</v>
      </c>
    </row>
    <row r="250" spans="1:23" x14ac:dyDescent="0.3">
      <c r="A250" s="147"/>
      <c r="B250" s="205">
        <f t="shared" si="35"/>
        <v>22</v>
      </c>
      <c r="C250" s="206"/>
      <c r="D250" s="161"/>
      <c r="E250" s="161"/>
      <c r="F250" s="222"/>
      <c r="G250" s="222"/>
      <c r="H250" s="222"/>
      <c r="I250" s="207"/>
      <c r="J250" s="242">
        <f t="shared" si="34"/>
        <v>0</v>
      </c>
      <c r="K250" s="153"/>
      <c r="V250" s="25">
        <f t="shared" si="36"/>
        <v>0</v>
      </c>
      <c r="W250" s="25">
        <f t="shared" si="37"/>
        <v>0</v>
      </c>
    </row>
    <row r="251" spans="1:23" x14ac:dyDescent="0.3">
      <c r="A251" s="147"/>
      <c r="B251" s="205">
        <f t="shared" si="35"/>
        <v>23</v>
      </c>
      <c r="C251" s="206"/>
      <c r="D251" s="161"/>
      <c r="E251" s="161"/>
      <c r="F251" s="222"/>
      <c r="G251" s="222"/>
      <c r="H251" s="222"/>
      <c r="I251" s="207"/>
      <c r="J251" s="242">
        <f t="shared" si="34"/>
        <v>0</v>
      </c>
      <c r="K251" s="153"/>
      <c r="V251" s="25">
        <f t="shared" si="36"/>
        <v>0</v>
      </c>
      <c r="W251" s="25">
        <f t="shared" si="37"/>
        <v>0</v>
      </c>
    </row>
    <row r="252" spans="1:23" ht="15" thickBot="1" x14ac:dyDescent="0.35">
      <c r="A252" s="147"/>
      <c r="B252" s="208">
        <f t="shared" si="35"/>
        <v>24</v>
      </c>
      <c r="C252" s="209"/>
      <c r="D252" s="166"/>
      <c r="E252" s="166"/>
      <c r="F252" s="222"/>
      <c r="G252" s="222"/>
      <c r="H252" s="166"/>
      <c r="I252" s="210"/>
      <c r="J252" s="244">
        <f t="shared" si="34"/>
        <v>0</v>
      </c>
      <c r="K252" s="153"/>
      <c r="V252" s="25">
        <f t="shared" si="36"/>
        <v>0</v>
      </c>
      <c r="W252" s="25">
        <f t="shared" si="37"/>
        <v>0</v>
      </c>
    </row>
    <row r="253" spans="1:23" ht="24" thickBot="1" x14ac:dyDescent="0.5">
      <c r="A253" s="147"/>
      <c r="B253" s="370" t="s">
        <v>2254</v>
      </c>
      <c r="C253" s="371"/>
      <c r="D253" s="371"/>
      <c r="E253" s="371"/>
      <c r="F253" s="371"/>
      <c r="G253" s="371"/>
      <c r="H253" s="372"/>
      <c r="I253" s="211" t="s">
        <v>2255</v>
      </c>
      <c r="J253" s="212">
        <f>SUM(J229:J252)</f>
        <v>67675</v>
      </c>
      <c r="K253" s="153"/>
      <c r="V253" s="25">
        <f>SUM(V229:V252)</f>
        <v>15</v>
      </c>
      <c r="W253" s="25">
        <f>SUM(W229:W252)</f>
        <v>3</v>
      </c>
    </row>
    <row r="254" spans="1:23" ht="30" customHeight="1" thickBot="1" x14ac:dyDescent="0.35">
      <c r="A254" s="213"/>
      <c r="B254" s="172"/>
      <c r="C254" s="172"/>
      <c r="D254" s="172"/>
      <c r="E254" s="172"/>
      <c r="F254" s="172"/>
      <c r="G254" s="172"/>
      <c r="H254" s="235"/>
      <c r="I254" s="172"/>
      <c r="J254" s="235"/>
      <c r="K254" s="214"/>
    </row>
  </sheetData>
  <mergeCells count="84">
    <mergeCell ref="B226:J226"/>
    <mergeCell ref="B227:J227"/>
    <mergeCell ref="B253:H253"/>
    <mergeCell ref="B187:H187"/>
    <mergeCell ref="B191:J191"/>
    <mergeCell ref="B192:J192"/>
    <mergeCell ref="B193:J193"/>
    <mergeCell ref="B221:H221"/>
    <mergeCell ref="B225:J225"/>
    <mergeCell ref="B159:J159"/>
    <mergeCell ref="B86:H86"/>
    <mergeCell ref="B90:J90"/>
    <mergeCell ref="B91:J91"/>
    <mergeCell ref="B92:J92"/>
    <mergeCell ref="B118:H118"/>
    <mergeCell ref="B122:J122"/>
    <mergeCell ref="B123:J123"/>
    <mergeCell ref="B124:J124"/>
    <mergeCell ref="B153:H153"/>
    <mergeCell ref="B157:J157"/>
    <mergeCell ref="B158:J158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86" r:id="rId1" xr:uid="{E197C80F-DCD9-4A9A-B022-4DF9E86A9538}"/>
    <hyperlink ref="B118" r:id="rId2" xr:uid="{66F82B10-3104-4D66-BD25-74F07E7C75C5}"/>
    <hyperlink ref="B153" r:id="rId3" xr:uid="{E31C5D38-7631-4B66-AC2D-19AAF15A8D8D}"/>
    <hyperlink ref="B187" r:id="rId4" xr:uid="{9026F0C7-6A84-472D-AD2A-A321020416C5}"/>
    <hyperlink ref="B221" r:id="rId5" xr:uid="{94190F0F-37CB-44E4-A015-08546E74F792}"/>
    <hyperlink ref="B253" r:id="rId6" xr:uid="{DB41CE85-EB2C-4292-AABE-E4339C010585}"/>
    <hyperlink ref="M1" location="'MASTER '!A1" display="Back" xr:uid="{F4AF09FF-A7E1-4FFF-B3FE-45DF1C9E64E8}"/>
    <hyperlink ref="M6:M7" location="'MARCH 2024'!A77" display="STOCK FUTURE" xr:uid="{185C4B81-2A6C-4695-8F4D-297174A94201}"/>
    <hyperlink ref="M12:M13" location="'MARCH 2024'!A170" display="BANK NIFTY" xr:uid="{EBD906F7-E1C4-4A1D-A702-E00192686E11}"/>
    <hyperlink ref="M10:M11" location="'MARCH 2024'!A139" display="NF. OPTION" xr:uid="{98660801-8AF2-420D-B11E-A4B984E1E510}"/>
    <hyperlink ref="M8:M9" location="'MARCH 2024'!A108" display="NIFTY FUTURE" xr:uid="{CE91B7C5-6E57-4866-984A-969D593993CC}"/>
    <hyperlink ref="M4:M5" location="'MARCH 2024'!A1" display="CASH" xr:uid="{7E9BD4D2-447E-456F-A73E-327B3B656317}"/>
    <hyperlink ref="M14:M15" location="'MARCH 2024'!A201" display="B.NIFTY OPTION" xr:uid="{58643CF4-76D9-48B7-96F3-8E935DC8B81F}"/>
    <hyperlink ref="M16:M17" location="'MARCH 2024'!A216" display="STOCK OPTION" xr:uid="{0E058696-77E6-4E8B-9224-7A5401BA3B24}"/>
    <hyperlink ref="B52" r:id="rId7" xr:uid="{4E2540DC-C06C-4EE9-8977-303329182A6E}"/>
  </hyperlinks>
  <pageMargins left="0" right="0" top="0" bottom="0" header="0" footer="0"/>
  <pageSetup scale="95" orientation="portrait" r:id="rId8"/>
  <ignoredErrors>
    <ignoredError sqref="I6:J6" evalError="1"/>
  </ignoredErrors>
  <drawing r:id="rId9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B1:U43"/>
  <sheetViews>
    <sheetView topLeftCell="A19" zoomScale="90" zoomScaleNormal="90" workbookViewId="0">
      <selection activeCell="O34" sqref="O34"/>
    </sheetView>
  </sheetViews>
  <sheetFormatPr defaultColWidth="9.109375" defaultRowHeight="14.4" x14ac:dyDescent="0.3"/>
  <cols>
    <col min="1" max="1" width="16.5546875" style="25" customWidth="1"/>
    <col min="2" max="2" width="8.88671875" style="187" customWidth="1"/>
    <col min="3" max="3" width="14.33203125" style="187" customWidth="1"/>
    <col min="4" max="4" width="1.44140625" style="187" customWidth="1"/>
    <col min="5" max="5" width="8.88671875" style="25" customWidth="1"/>
    <col min="6" max="6" width="14.33203125" style="25" customWidth="1"/>
    <col min="7" max="7" width="1.44140625" style="25" customWidth="1"/>
    <col min="8" max="8" width="8.88671875" style="25" customWidth="1"/>
    <col min="9" max="9" width="14.33203125" style="25" customWidth="1"/>
    <col min="10" max="10" width="1.44140625" style="25" customWidth="1"/>
    <col min="11" max="11" width="8.88671875" style="25" customWidth="1"/>
    <col min="12" max="12" width="14.33203125" style="25" customWidth="1"/>
    <col min="13" max="13" width="1.44140625" style="25" customWidth="1"/>
    <col min="14" max="14" width="8.88671875" style="25" customWidth="1"/>
    <col min="15" max="15" width="14.33203125" style="25" customWidth="1"/>
    <col min="16" max="16" width="1.44140625" style="25" customWidth="1"/>
    <col min="17" max="17" width="8.88671875" style="25" customWidth="1"/>
    <col min="18" max="18" width="14.33203125" style="25" customWidth="1"/>
    <col min="19" max="19" width="1.44140625" style="25" customWidth="1"/>
    <col min="20" max="20" width="8.88671875" style="25" customWidth="1"/>
    <col min="21" max="21" width="14.33203125" style="25" customWidth="1"/>
    <col min="22" max="16384" width="9.109375" style="25"/>
  </cols>
  <sheetData>
    <row r="1" spans="2:21" ht="15" thickBot="1" x14ac:dyDescent="0.35"/>
    <row r="2" spans="2:21" ht="14.25" customHeight="1" x14ac:dyDescent="0.3">
      <c r="B2" s="418"/>
      <c r="C2" s="419"/>
      <c r="D2" s="419"/>
      <c r="E2" s="419"/>
      <c r="F2" s="420"/>
      <c r="G2" s="409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1"/>
    </row>
    <row r="3" spans="2:21" ht="14.25" customHeight="1" x14ac:dyDescent="0.3">
      <c r="B3" s="421"/>
      <c r="C3" s="422"/>
      <c r="D3" s="422"/>
      <c r="E3" s="422"/>
      <c r="F3" s="423"/>
      <c r="G3" s="412"/>
      <c r="H3" s="413"/>
      <c r="I3" s="413"/>
      <c r="J3" s="413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4"/>
    </row>
    <row r="4" spans="2:21" ht="14.25" customHeight="1" x14ac:dyDescent="0.3">
      <c r="B4" s="421"/>
      <c r="C4" s="422"/>
      <c r="D4" s="422"/>
      <c r="E4" s="422"/>
      <c r="F4" s="423"/>
      <c r="G4" s="412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4"/>
    </row>
    <row r="5" spans="2:21" ht="14.25" customHeight="1" x14ac:dyDescent="0.3">
      <c r="B5" s="421"/>
      <c r="C5" s="422"/>
      <c r="D5" s="422"/>
      <c r="E5" s="422"/>
      <c r="F5" s="423"/>
      <c r="G5" s="412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4"/>
    </row>
    <row r="6" spans="2:21" ht="14.25" customHeight="1" x14ac:dyDescent="0.3">
      <c r="B6" s="421"/>
      <c r="C6" s="422"/>
      <c r="D6" s="422"/>
      <c r="E6" s="422"/>
      <c r="F6" s="423"/>
      <c r="G6" s="412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3"/>
      <c r="T6" s="413"/>
      <c r="U6" s="414"/>
    </row>
    <row r="7" spans="2:21" ht="14.25" customHeight="1" x14ac:dyDescent="0.3">
      <c r="B7" s="421"/>
      <c r="C7" s="422"/>
      <c r="D7" s="422"/>
      <c r="E7" s="422"/>
      <c r="F7" s="423"/>
      <c r="G7" s="412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/>
      <c r="U7" s="414"/>
    </row>
    <row r="8" spans="2:21" ht="14.25" customHeight="1" x14ac:dyDescent="0.3">
      <c r="B8" s="421"/>
      <c r="C8" s="422"/>
      <c r="D8" s="422"/>
      <c r="E8" s="422"/>
      <c r="F8" s="423"/>
      <c r="G8" s="412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4"/>
    </row>
    <row r="9" spans="2:21" ht="14.25" customHeight="1" x14ac:dyDescent="0.3">
      <c r="B9" s="421"/>
      <c r="C9" s="422"/>
      <c r="D9" s="422"/>
      <c r="E9" s="422"/>
      <c r="F9" s="423"/>
      <c r="G9" s="412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4"/>
    </row>
    <row r="10" spans="2:21" ht="14.25" customHeight="1" x14ac:dyDescent="0.3">
      <c r="B10" s="421"/>
      <c r="C10" s="422"/>
      <c r="D10" s="422"/>
      <c r="E10" s="422"/>
      <c r="F10" s="423"/>
      <c r="G10" s="412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4"/>
    </row>
    <row r="11" spans="2:21" ht="14.25" customHeight="1" thickBot="1" x14ac:dyDescent="0.35">
      <c r="B11" s="424"/>
      <c r="C11" s="425"/>
      <c r="D11" s="425"/>
      <c r="E11" s="425"/>
      <c r="F11" s="426"/>
      <c r="G11" s="415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7"/>
    </row>
    <row r="12" spans="2:21" ht="15" thickBot="1" x14ac:dyDescent="0.35"/>
    <row r="13" spans="2:21" ht="15" customHeight="1" x14ac:dyDescent="0.3">
      <c r="B13" s="427" t="s">
        <v>2288</v>
      </c>
      <c r="C13" s="403"/>
      <c r="D13" s="220"/>
      <c r="E13" s="407" t="s">
        <v>2289</v>
      </c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3" t="s">
        <v>2288</v>
      </c>
      <c r="U13" s="404"/>
    </row>
    <row r="14" spans="2:21" ht="15.75" customHeight="1" thickBot="1" x14ac:dyDescent="0.35">
      <c r="B14" s="428"/>
      <c r="C14" s="429"/>
      <c r="D14" s="221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5"/>
      <c r="U14" s="406"/>
    </row>
    <row r="15" spans="2:21" ht="15" thickBot="1" x14ac:dyDescent="0.35"/>
    <row r="16" spans="2:21" ht="15" thickBot="1" x14ac:dyDescent="0.35">
      <c r="B16" s="188" t="s">
        <v>2262</v>
      </c>
      <c r="C16" s="189" t="s">
        <v>2263</v>
      </c>
      <c r="E16" s="188" t="s">
        <v>2262</v>
      </c>
      <c r="F16" s="189" t="s">
        <v>2263</v>
      </c>
      <c r="G16" s="187"/>
      <c r="H16" s="188" t="s">
        <v>2262</v>
      </c>
      <c r="I16" s="189" t="s">
        <v>2263</v>
      </c>
      <c r="K16" s="188" t="s">
        <v>2262</v>
      </c>
      <c r="L16" s="189" t="s">
        <v>2263</v>
      </c>
      <c r="N16" s="188" t="s">
        <v>2262</v>
      </c>
      <c r="O16" s="189" t="s">
        <v>2263</v>
      </c>
      <c r="Q16" s="188" t="s">
        <v>2262</v>
      </c>
      <c r="R16" s="189" t="s">
        <v>2263</v>
      </c>
      <c r="T16" s="188" t="s">
        <v>2262</v>
      </c>
      <c r="U16" s="189" t="s">
        <v>2263</v>
      </c>
    </row>
    <row r="17" spans="2:21" x14ac:dyDescent="0.3">
      <c r="B17" s="190"/>
      <c r="C17" s="191"/>
      <c r="E17" s="192">
        <v>2014</v>
      </c>
      <c r="F17" s="226" t="s">
        <v>2264</v>
      </c>
      <c r="G17" s="187"/>
      <c r="H17" s="190">
        <v>2015</v>
      </c>
      <c r="I17" s="256" t="s">
        <v>2264</v>
      </c>
      <c r="K17" s="192">
        <v>2016</v>
      </c>
      <c r="L17" s="226" t="s">
        <v>2264</v>
      </c>
      <c r="N17" s="190">
        <v>2017</v>
      </c>
      <c r="O17" s="256" t="s">
        <v>2264</v>
      </c>
      <c r="Q17" s="192">
        <v>2018</v>
      </c>
      <c r="R17" s="226" t="s">
        <v>2264</v>
      </c>
      <c r="T17" s="257">
        <v>2019</v>
      </c>
      <c r="U17" s="260" t="s">
        <v>2264</v>
      </c>
    </row>
    <row r="18" spans="2:21" x14ac:dyDescent="0.3">
      <c r="B18" s="193"/>
      <c r="C18" s="194"/>
      <c r="E18" s="195">
        <v>2014</v>
      </c>
      <c r="F18" s="227" t="s">
        <v>2265</v>
      </c>
      <c r="G18" s="187"/>
      <c r="H18" s="193">
        <v>2015</v>
      </c>
      <c r="I18" s="224" t="s">
        <v>2265</v>
      </c>
      <c r="K18" s="195">
        <v>2016</v>
      </c>
      <c r="L18" s="227" t="s">
        <v>2265</v>
      </c>
      <c r="N18" s="193">
        <v>2017</v>
      </c>
      <c r="O18" s="224" t="s">
        <v>2265</v>
      </c>
      <c r="Q18" s="195">
        <v>2018</v>
      </c>
      <c r="R18" s="227" t="s">
        <v>2265</v>
      </c>
      <c r="T18" s="258">
        <v>2019</v>
      </c>
      <c r="U18" s="261" t="s">
        <v>2265</v>
      </c>
    </row>
    <row r="19" spans="2:21" x14ac:dyDescent="0.3">
      <c r="B19" s="193"/>
      <c r="C19" s="194"/>
      <c r="E19" s="195">
        <v>2014</v>
      </c>
      <c r="F19" s="227" t="s">
        <v>2266</v>
      </c>
      <c r="G19" s="187"/>
      <c r="H19" s="193">
        <v>2015</v>
      </c>
      <c r="I19" s="224" t="s">
        <v>2266</v>
      </c>
      <c r="K19" s="195">
        <v>2016</v>
      </c>
      <c r="L19" s="227" t="s">
        <v>2266</v>
      </c>
      <c r="N19" s="193">
        <v>2017</v>
      </c>
      <c r="O19" s="224" t="s">
        <v>2266</v>
      </c>
      <c r="Q19" s="195">
        <v>2018</v>
      </c>
      <c r="R19" s="227" t="s">
        <v>2266</v>
      </c>
      <c r="T19" s="258">
        <v>2019</v>
      </c>
      <c r="U19" s="261" t="s">
        <v>2266</v>
      </c>
    </row>
    <row r="20" spans="2:21" x14ac:dyDescent="0.3">
      <c r="B20" s="193">
        <v>2013</v>
      </c>
      <c r="C20" s="224" t="s">
        <v>2267</v>
      </c>
      <c r="E20" s="195">
        <v>2014</v>
      </c>
      <c r="F20" s="227" t="s">
        <v>2267</v>
      </c>
      <c r="G20" s="187"/>
      <c r="H20" s="193">
        <v>2015</v>
      </c>
      <c r="I20" s="224" t="s">
        <v>2267</v>
      </c>
      <c r="K20" s="195">
        <v>2016</v>
      </c>
      <c r="L20" s="227" t="s">
        <v>2267</v>
      </c>
      <c r="N20" s="193">
        <v>2017</v>
      </c>
      <c r="O20" s="224" t="s">
        <v>2267</v>
      </c>
      <c r="Q20" s="195">
        <v>2018</v>
      </c>
      <c r="R20" s="227" t="s">
        <v>2267</v>
      </c>
      <c r="T20" s="258">
        <v>2019</v>
      </c>
      <c r="U20" s="261" t="s">
        <v>2267</v>
      </c>
    </row>
    <row r="21" spans="2:21" x14ac:dyDescent="0.3">
      <c r="B21" s="193">
        <v>2013</v>
      </c>
      <c r="C21" s="224" t="s">
        <v>2268</v>
      </c>
      <c r="E21" s="195">
        <v>2014</v>
      </c>
      <c r="F21" s="227" t="s">
        <v>2268</v>
      </c>
      <c r="G21" s="187"/>
      <c r="H21" s="193">
        <v>2015</v>
      </c>
      <c r="I21" s="224" t="s">
        <v>2268</v>
      </c>
      <c r="K21" s="195">
        <v>2016</v>
      </c>
      <c r="L21" s="227" t="s">
        <v>2268</v>
      </c>
      <c r="N21" s="193">
        <v>2017</v>
      </c>
      <c r="O21" s="224" t="s">
        <v>2268</v>
      </c>
      <c r="Q21" s="195">
        <v>2018</v>
      </c>
      <c r="R21" s="227" t="s">
        <v>2268</v>
      </c>
      <c r="T21" s="258">
        <v>2019</v>
      </c>
      <c r="U21" s="261" t="s">
        <v>2268</v>
      </c>
    </row>
    <row r="22" spans="2:21" x14ac:dyDescent="0.3">
      <c r="B22" s="193">
        <v>2013</v>
      </c>
      <c r="C22" s="224" t="s">
        <v>2269</v>
      </c>
      <c r="E22" s="195">
        <v>2014</v>
      </c>
      <c r="F22" s="227" t="s">
        <v>2269</v>
      </c>
      <c r="G22" s="187"/>
      <c r="H22" s="193">
        <v>2015</v>
      </c>
      <c r="I22" s="224" t="s">
        <v>2269</v>
      </c>
      <c r="K22" s="195">
        <v>2016</v>
      </c>
      <c r="L22" s="227" t="s">
        <v>2269</v>
      </c>
      <c r="N22" s="193">
        <v>2017</v>
      </c>
      <c r="O22" s="224" t="s">
        <v>2269</v>
      </c>
      <c r="Q22" s="195">
        <v>2018</v>
      </c>
      <c r="R22" s="227" t="s">
        <v>2269</v>
      </c>
      <c r="T22" s="258">
        <v>2019</v>
      </c>
      <c r="U22" s="261" t="s">
        <v>2269</v>
      </c>
    </row>
    <row r="23" spans="2:21" x14ac:dyDescent="0.3">
      <c r="B23" s="193">
        <v>2013</v>
      </c>
      <c r="C23" s="224" t="s">
        <v>2270</v>
      </c>
      <c r="E23" s="195">
        <v>2014</v>
      </c>
      <c r="F23" s="227" t="s">
        <v>2270</v>
      </c>
      <c r="G23" s="187"/>
      <c r="H23" s="193">
        <v>2015</v>
      </c>
      <c r="I23" s="224" t="s">
        <v>2270</v>
      </c>
      <c r="K23" s="195">
        <v>2016</v>
      </c>
      <c r="L23" s="227" t="s">
        <v>2270</v>
      </c>
      <c r="N23" s="193">
        <v>2017</v>
      </c>
      <c r="O23" s="224" t="s">
        <v>2270</v>
      </c>
      <c r="Q23" s="195">
        <v>2018</v>
      </c>
      <c r="R23" s="227" t="s">
        <v>2270</v>
      </c>
      <c r="T23" s="258">
        <v>2019</v>
      </c>
      <c r="U23" s="261" t="s">
        <v>2270</v>
      </c>
    </row>
    <row r="24" spans="2:21" x14ac:dyDescent="0.3">
      <c r="B24" s="193">
        <v>2013</v>
      </c>
      <c r="C24" s="224" t="s">
        <v>2271</v>
      </c>
      <c r="E24" s="195">
        <v>2014</v>
      </c>
      <c r="F24" s="227" t="s">
        <v>2271</v>
      </c>
      <c r="G24" s="187"/>
      <c r="H24" s="193">
        <v>2015</v>
      </c>
      <c r="I24" s="224" t="s">
        <v>2271</v>
      </c>
      <c r="K24" s="195">
        <v>2016</v>
      </c>
      <c r="L24" s="227" t="s">
        <v>2271</v>
      </c>
      <c r="N24" s="193">
        <v>2017</v>
      </c>
      <c r="O24" s="224" t="s">
        <v>2312</v>
      </c>
      <c r="Q24" s="195">
        <v>2018</v>
      </c>
      <c r="R24" s="227" t="s">
        <v>2271</v>
      </c>
      <c r="T24" s="258">
        <v>2019</v>
      </c>
      <c r="U24" s="261" t="s">
        <v>2271</v>
      </c>
    </row>
    <row r="25" spans="2:21" x14ac:dyDescent="0.3">
      <c r="B25" s="193">
        <v>2013</v>
      </c>
      <c r="C25" s="224" t="s">
        <v>2272</v>
      </c>
      <c r="E25" s="195">
        <v>2014</v>
      </c>
      <c r="F25" s="227" t="s">
        <v>2272</v>
      </c>
      <c r="G25" s="187"/>
      <c r="H25" s="193">
        <v>2015</v>
      </c>
      <c r="I25" s="224" t="s">
        <v>2272</v>
      </c>
      <c r="K25" s="195">
        <v>2016</v>
      </c>
      <c r="L25" s="227" t="s">
        <v>2272</v>
      </c>
      <c r="N25" s="193">
        <v>2017</v>
      </c>
      <c r="O25" s="224" t="s">
        <v>2337</v>
      </c>
      <c r="Q25" s="195">
        <v>2018</v>
      </c>
      <c r="R25" s="227" t="s">
        <v>2272</v>
      </c>
      <c r="T25" s="258">
        <v>2019</v>
      </c>
      <c r="U25" s="261" t="s">
        <v>2272</v>
      </c>
    </row>
    <row r="26" spans="2:21" x14ac:dyDescent="0.3">
      <c r="B26" s="193">
        <v>2013</v>
      </c>
      <c r="C26" s="224" t="s">
        <v>2273</v>
      </c>
      <c r="E26" s="195">
        <v>2014</v>
      </c>
      <c r="F26" s="227" t="s">
        <v>2273</v>
      </c>
      <c r="G26" s="187"/>
      <c r="H26" s="193">
        <v>2015</v>
      </c>
      <c r="I26" s="224" t="s">
        <v>2273</v>
      </c>
      <c r="K26" s="195">
        <v>2016</v>
      </c>
      <c r="L26" s="227" t="s">
        <v>2273</v>
      </c>
      <c r="N26" s="193">
        <v>2017</v>
      </c>
      <c r="O26" s="224" t="s">
        <v>2356</v>
      </c>
      <c r="Q26" s="195">
        <v>2018</v>
      </c>
      <c r="R26" s="227" t="s">
        <v>2273</v>
      </c>
      <c r="T26" s="258">
        <v>2019</v>
      </c>
      <c r="U26" s="261" t="s">
        <v>2273</v>
      </c>
    </row>
    <row r="27" spans="2:21" x14ac:dyDescent="0.3">
      <c r="B27" s="193">
        <v>2013</v>
      </c>
      <c r="C27" s="224" t="s">
        <v>2274</v>
      </c>
      <c r="E27" s="195">
        <v>2014</v>
      </c>
      <c r="F27" s="227" t="s">
        <v>2274</v>
      </c>
      <c r="G27" s="187"/>
      <c r="H27" s="193">
        <v>2015</v>
      </c>
      <c r="I27" s="224" t="s">
        <v>2274</v>
      </c>
      <c r="K27" s="195">
        <v>2016</v>
      </c>
      <c r="L27" s="227" t="s">
        <v>2274</v>
      </c>
      <c r="N27" s="193">
        <v>2017</v>
      </c>
      <c r="O27" s="224" t="s">
        <v>2368</v>
      </c>
      <c r="Q27" s="195">
        <v>2018</v>
      </c>
      <c r="R27" s="227" t="s">
        <v>2274</v>
      </c>
      <c r="T27" s="258">
        <v>2019</v>
      </c>
      <c r="U27" s="261" t="s">
        <v>2274</v>
      </c>
    </row>
    <row r="28" spans="2:21" ht="15" thickBot="1" x14ac:dyDescent="0.35">
      <c r="B28" s="196">
        <v>2013</v>
      </c>
      <c r="C28" s="225" t="s">
        <v>2275</v>
      </c>
      <c r="E28" s="197">
        <v>2014</v>
      </c>
      <c r="F28" s="228" t="s">
        <v>2275</v>
      </c>
      <c r="G28" s="187"/>
      <c r="H28" s="196">
        <v>2015</v>
      </c>
      <c r="I28" s="225" t="s">
        <v>2275</v>
      </c>
      <c r="K28" s="197">
        <v>2016</v>
      </c>
      <c r="L28" s="228" t="s">
        <v>2275</v>
      </c>
      <c r="N28" s="196">
        <v>2017</v>
      </c>
      <c r="O28" s="225" t="s">
        <v>2275</v>
      </c>
      <c r="Q28" s="197">
        <v>2018</v>
      </c>
      <c r="R28" s="228" t="s">
        <v>2275</v>
      </c>
      <c r="T28" s="259">
        <v>2019</v>
      </c>
      <c r="U28" s="261" t="s">
        <v>2275</v>
      </c>
    </row>
    <row r="29" spans="2:21" x14ac:dyDescent="0.3">
      <c r="G29" s="187"/>
    </row>
    <row r="30" spans="2:21" ht="15" thickBot="1" x14ac:dyDescent="0.35">
      <c r="G30" s="187"/>
    </row>
    <row r="31" spans="2:21" x14ac:dyDescent="0.3">
      <c r="B31" s="188" t="s">
        <v>2262</v>
      </c>
      <c r="C31" s="189" t="s">
        <v>2263</v>
      </c>
      <c r="E31" s="188" t="s">
        <v>2262</v>
      </c>
      <c r="F31" s="189" t="s">
        <v>2263</v>
      </c>
      <c r="H31" s="188" t="s">
        <v>2262</v>
      </c>
      <c r="I31" s="189" t="s">
        <v>2263</v>
      </c>
      <c r="K31" s="188" t="s">
        <v>2262</v>
      </c>
      <c r="L31" s="189" t="s">
        <v>2263</v>
      </c>
      <c r="N31" s="188" t="s">
        <v>2262</v>
      </c>
      <c r="O31" s="189" t="s">
        <v>2263</v>
      </c>
    </row>
    <row r="32" spans="2:21" x14ac:dyDescent="0.3">
      <c r="B32" s="262">
        <v>2020</v>
      </c>
      <c r="C32" s="224" t="s">
        <v>2264</v>
      </c>
      <c r="E32" s="270">
        <v>2021</v>
      </c>
      <c r="F32" s="271" t="s">
        <v>2264</v>
      </c>
      <c r="H32" s="262">
        <v>2022</v>
      </c>
      <c r="I32" s="272" t="s">
        <v>2264</v>
      </c>
      <c r="K32" s="274">
        <v>2023</v>
      </c>
      <c r="L32" s="276" t="s">
        <v>2264</v>
      </c>
      <c r="N32" s="262">
        <v>2024</v>
      </c>
      <c r="O32" s="280" t="s">
        <v>2264</v>
      </c>
    </row>
    <row r="33" spans="2:15" x14ac:dyDescent="0.3">
      <c r="B33" s="262">
        <v>2020</v>
      </c>
      <c r="C33" s="224" t="s">
        <v>2265</v>
      </c>
      <c r="E33" s="270">
        <v>2021</v>
      </c>
      <c r="F33" s="271" t="s">
        <v>2265</v>
      </c>
      <c r="H33" s="262">
        <v>2022</v>
      </c>
      <c r="I33" s="272" t="s">
        <v>2265</v>
      </c>
      <c r="K33" s="274">
        <v>2023</v>
      </c>
      <c r="L33" s="276" t="s">
        <v>2265</v>
      </c>
      <c r="N33" s="262">
        <v>2024</v>
      </c>
      <c r="O33" s="280" t="s">
        <v>2265</v>
      </c>
    </row>
    <row r="34" spans="2:15" x14ac:dyDescent="0.3">
      <c r="B34" s="262">
        <v>2020</v>
      </c>
      <c r="C34" s="224" t="s">
        <v>2266</v>
      </c>
      <c r="E34" s="270">
        <v>2021</v>
      </c>
      <c r="F34" s="271" t="s">
        <v>2266</v>
      </c>
      <c r="H34" s="262">
        <v>2022</v>
      </c>
      <c r="I34" s="272" t="s">
        <v>2266</v>
      </c>
      <c r="K34" s="274">
        <v>2023</v>
      </c>
      <c r="L34" s="276" t="s">
        <v>2266</v>
      </c>
      <c r="N34" s="262">
        <v>2024</v>
      </c>
      <c r="O34" s="280" t="s">
        <v>2266</v>
      </c>
    </row>
    <row r="35" spans="2:15" x14ac:dyDescent="0.3">
      <c r="B35" s="262">
        <v>2020</v>
      </c>
      <c r="C35" s="224" t="s">
        <v>2267</v>
      </c>
      <c r="E35" s="270">
        <v>2021</v>
      </c>
      <c r="F35" s="271" t="s">
        <v>2267</v>
      </c>
      <c r="H35" s="262">
        <v>2022</v>
      </c>
      <c r="I35" s="272" t="s">
        <v>2267</v>
      </c>
      <c r="K35" s="274">
        <v>2023</v>
      </c>
      <c r="L35" s="276" t="s">
        <v>2267</v>
      </c>
      <c r="N35" s="262">
        <v>2024</v>
      </c>
      <c r="O35" s="88" t="s">
        <v>2267</v>
      </c>
    </row>
    <row r="36" spans="2:15" x14ac:dyDescent="0.3">
      <c r="B36" s="262">
        <v>2020</v>
      </c>
      <c r="C36" s="224" t="s">
        <v>2268</v>
      </c>
      <c r="E36" s="270">
        <v>2021</v>
      </c>
      <c r="F36" s="271" t="s">
        <v>2268</v>
      </c>
      <c r="H36" s="262">
        <v>2022</v>
      </c>
      <c r="I36" s="272" t="s">
        <v>2268</v>
      </c>
      <c r="K36" s="274">
        <v>2023</v>
      </c>
      <c r="L36" s="276" t="s">
        <v>2268</v>
      </c>
      <c r="N36" s="262">
        <v>2024</v>
      </c>
      <c r="O36" s="88" t="s">
        <v>2268</v>
      </c>
    </row>
    <row r="37" spans="2:15" x14ac:dyDescent="0.3">
      <c r="B37" s="262">
        <v>2020</v>
      </c>
      <c r="C37" s="224" t="s">
        <v>2269</v>
      </c>
      <c r="E37" s="270">
        <v>2021</v>
      </c>
      <c r="F37" s="271" t="s">
        <v>2269</v>
      </c>
      <c r="H37" s="262">
        <v>2022</v>
      </c>
      <c r="I37" s="272" t="s">
        <v>2269</v>
      </c>
      <c r="K37" s="274">
        <v>2023</v>
      </c>
      <c r="L37" s="276" t="s">
        <v>2269</v>
      </c>
      <c r="N37" s="262">
        <v>2024</v>
      </c>
      <c r="O37" s="88" t="s">
        <v>2269</v>
      </c>
    </row>
    <row r="38" spans="2:15" x14ac:dyDescent="0.3">
      <c r="B38" s="262">
        <v>2020</v>
      </c>
      <c r="C38" s="224" t="s">
        <v>2270</v>
      </c>
      <c r="E38" s="270">
        <v>2021</v>
      </c>
      <c r="F38" s="271" t="s">
        <v>2270</v>
      </c>
      <c r="H38" s="262">
        <v>2022</v>
      </c>
      <c r="I38" s="272" t="s">
        <v>2270</v>
      </c>
      <c r="K38" s="274">
        <v>2023</v>
      </c>
      <c r="L38" s="276" t="s">
        <v>2270</v>
      </c>
      <c r="N38" s="262">
        <v>2024</v>
      </c>
      <c r="O38" s="88" t="s">
        <v>2270</v>
      </c>
    </row>
    <row r="39" spans="2:15" x14ac:dyDescent="0.3">
      <c r="B39" s="262">
        <v>2020</v>
      </c>
      <c r="C39" s="224" t="s">
        <v>2271</v>
      </c>
      <c r="E39" s="270">
        <v>2021</v>
      </c>
      <c r="F39" s="271" t="s">
        <v>2271</v>
      </c>
      <c r="H39" s="262">
        <v>2022</v>
      </c>
      <c r="I39" s="272" t="s">
        <v>2271</v>
      </c>
      <c r="K39" s="274">
        <v>2023</v>
      </c>
      <c r="L39" s="276" t="s">
        <v>2271</v>
      </c>
      <c r="N39" s="262">
        <v>2024</v>
      </c>
      <c r="O39" s="88" t="s">
        <v>2271</v>
      </c>
    </row>
    <row r="40" spans="2:15" x14ac:dyDescent="0.3">
      <c r="B40" s="262">
        <v>2020</v>
      </c>
      <c r="C40" s="224" t="s">
        <v>2272</v>
      </c>
      <c r="E40" s="270">
        <v>2021</v>
      </c>
      <c r="F40" s="271" t="s">
        <v>2272</v>
      </c>
      <c r="H40" s="262">
        <v>2022</v>
      </c>
      <c r="I40" s="272" t="s">
        <v>2272</v>
      </c>
      <c r="K40" s="274">
        <v>2023</v>
      </c>
      <c r="L40" s="276" t="s">
        <v>2272</v>
      </c>
      <c r="N40" s="262">
        <v>2024</v>
      </c>
      <c r="O40" s="88" t="s">
        <v>2272</v>
      </c>
    </row>
    <row r="41" spans="2:15" x14ac:dyDescent="0.3">
      <c r="B41" s="262">
        <v>2020</v>
      </c>
      <c r="C41" s="224" t="s">
        <v>2273</v>
      </c>
      <c r="E41" s="270">
        <v>2021</v>
      </c>
      <c r="F41" s="271" t="s">
        <v>2273</v>
      </c>
      <c r="H41" s="262">
        <v>2022</v>
      </c>
      <c r="I41" s="272" t="s">
        <v>2273</v>
      </c>
      <c r="K41" s="274">
        <v>2023</v>
      </c>
      <c r="L41" s="276" t="s">
        <v>2273</v>
      </c>
      <c r="N41" s="262">
        <v>2024</v>
      </c>
      <c r="O41" s="88" t="s">
        <v>2273</v>
      </c>
    </row>
    <row r="42" spans="2:15" x14ac:dyDescent="0.3">
      <c r="B42" s="262">
        <v>2020</v>
      </c>
      <c r="C42" s="224" t="s">
        <v>2274</v>
      </c>
      <c r="E42" s="270">
        <v>2021</v>
      </c>
      <c r="F42" s="271" t="s">
        <v>2274</v>
      </c>
      <c r="H42" s="262">
        <v>2022</v>
      </c>
      <c r="I42" s="272" t="s">
        <v>2274</v>
      </c>
      <c r="K42" s="274">
        <v>2023</v>
      </c>
      <c r="L42" s="276" t="s">
        <v>2274</v>
      </c>
      <c r="N42" s="262">
        <v>2024</v>
      </c>
      <c r="O42" s="88" t="s">
        <v>2274</v>
      </c>
    </row>
    <row r="43" spans="2:15" x14ac:dyDescent="0.3">
      <c r="B43" s="262">
        <v>2020</v>
      </c>
      <c r="C43" s="224" t="s">
        <v>2275</v>
      </c>
      <c r="E43" s="270">
        <v>2021</v>
      </c>
      <c r="F43" s="271" t="s">
        <v>2275</v>
      </c>
      <c r="H43" s="262">
        <v>2022</v>
      </c>
      <c r="I43" s="273" t="s">
        <v>2275</v>
      </c>
      <c r="K43" s="274">
        <v>2023</v>
      </c>
      <c r="L43" s="275" t="s">
        <v>2275</v>
      </c>
      <c r="N43" s="262">
        <v>2024</v>
      </c>
      <c r="O43" s="88" t="s">
        <v>2275</v>
      </c>
    </row>
  </sheetData>
  <mergeCells count="5">
    <mergeCell ref="T13:U14"/>
    <mergeCell ref="E13:S14"/>
    <mergeCell ref="G2:U11"/>
    <mergeCell ref="B2:F11"/>
    <mergeCell ref="B13:C14"/>
  </mergeCells>
  <hyperlinks>
    <hyperlink ref="O22" location="'JUNE 2017'!A1" display="June" xr:uid="{00000000-0004-0000-8300-000000000000}"/>
    <hyperlink ref="O21" location="'MAY 2017'!A1" display="May" xr:uid="{00000000-0004-0000-8300-000001000000}"/>
    <hyperlink ref="O20" location="'APRIL 2017'!A1" display="April" xr:uid="{00000000-0004-0000-8300-000002000000}"/>
    <hyperlink ref="O19" location="'MARCH 2017'!A1" display="March" xr:uid="{00000000-0004-0000-8300-000003000000}"/>
    <hyperlink ref="O18" location="'FEB 2017'!A1" display="February" xr:uid="{00000000-0004-0000-8300-000004000000}"/>
    <hyperlink ref="O17" location="'JAN 2017'!A1" display="January" xr:uid="{00000000-0004-0000-8300-000005000000}"/>
    <hyperlink ref="L28" location="'DEC 2016'!A1" display="December" xr:uid="{00000000-0004-0000-8300-000006000000}"/>
    <hyperlink ref="L27" location="'NOV 2016'!A1" display="November" xr:uid="{00000000-0004-0000-8300-000007000000}"/>
    <hyperlink ref="L26" location="'OCT 2016'!A1" display="October" xr:uid="{00000000-0004-0000-8300-000008000000}"/>
    <hyperlink ref="L25" location="'SEP 2016'!A1" display="September" xr:uid="{00000000-0004-0000-8300-000009000000}"/>
    <hyperlink ref="L24" location="'AUG 2016'!A1" display="August" xr:uid="{00000000-0004-0000-8300-00000A000000}"/>
    <hyperlink ref="O23" location="'JULY 2017'!A1" display="July" xr:uid="{00000000-0004-0000-8300-00000B000000}"/>
    <hyperlink ref="L23" location="'JULY 2016'!A1" display="July" xr:uid="{00000000-0004-0000-8300-00000C000000}"/>
    <hyperlink ref="L22" location="'JUNE 2016'!A1" display="June" xr:uid="{00000000-0004-0000-8300-00000D000000}"/>
    <hyperlink ref="L21" location="'MAY 2016'!A1" display="May" xr:uid="{00000000-0004-0000-8300-00000E000000}"/>
    <hyperlink ref="L20" location="'APRIL 2016'!A1" display="April" xr:uid="{00000000-0004-0000-8300-00000F000000}"/>
    <hyperlink ref="L19" location="'MARCH 2016'!A1" display="March" xr:uid="{00000000-0004-0000-8300-000010000000}"/>
    <hyperlink ref="L18" location="'FEB 2016'!A1" display="February" xr:uid="{00000000-0004-0000-8300-000011000000}"/>
    <hyperlink ref="L17" location="'JAN 2016'!A1" display="January" xr:uid="{00000000-0004-0000-8300-000012000000}"/>
    <hyperlink ref="I28" location="'DEC 2015'!A1" display="December" xr:uid="{00000000-0004-0000-8300-000013000000}"/>
    <hyperlink ref="I27" location="'NOV 2015'!A1" display="November" xr:uid="{00000000-0004-0000-8300-000014000000}"/>
    <hyperlink ref="C20" location="'APRIL 2013'!A1" display="April" xr:uid="{00000000-0004-0000-8300-000015000000}"/>
    <hyperlink ref="C21" location="'MAY 2013'!A1" display="May" xr:uid="{00000000-0004-0000-8300-000016000000}"/>
    <hyperlink ref="C22" location="'JUNE 2013'!A1" display="June" xr:uid="{00000000-0004-0000-8300-000017000000}"/>
    <hyperlink ref="C23" location="'JULY 2013'!A1" display="July" xr:uid="{00000000-0004-0000-8300-000018000000}"/>
    <hyperlink ref="C24" location="'AUG 2013'!A1" display="August" xr:uid="{00000000-0004-0000-8300-000019000000}"/>
    <hyperlink ref="C25" location="'SEP 2013'!A1" display="September" xr:uid="{00000000-0004-0000-8300-00001A000000}"/>
    <hyperlink ref="C26" location="'OCT 2013'!A1" display="October" xr:uid="{00000000-0004-0000-8300-00001B000000}"/>
    <hyperlink ref="C27" location="'NOV 2013'!A1" display="November" xr:uid="{00000000-0004-0000-8300-00001C000000}"/>
    <hyperlink ref="C28" location="'DEC 2013'!A1" display="December" xr:uid="{00000000-0004-0000-8300-00001D000000}"/>
    <hyperlink ref="F17" location="'JAN 2014'!A1" display="January" xr:uid="{00000000-0004-0000-8300-00001E000000}"/>
    <hyperlink ref="F18" location="'FEB 2014'!A1" display="February" xr:uid="{00000000-0004-0000-8300-00001F000000}"/>
    <hyperlink ref="F19" location="'APRIL 2014'!A1" display="March" xr:uid="{00000000-0004-0000-8300-000020000000}"/>
    <hyperlink ref="F20" location="'APRIL 2014'!A1" display="April" xr:uid="{00000000-0004-0000-8300-000021000000}"/>
    <hyperlink ref="F22" location="'JUNE 2014'!A1" display="June" xr:uid="{00000000-0004-0000-8300-000022000000}"/>
    <hyperlink ref="F21" location="'MAY 2014'!A1" display="May" xr:uid="{00000000-0004-0000-8300-000023000000}"/>
    <hyperlink ref="F23" location="'JULY 2014'!A1" display="July" xr:uid="{00000000-0004-0000-8300-000024000000}"/>
    <hyperlink ref="F24" location="'AUG 2014'!A1" display="August" xr:uid="{00000000-0004-0000-8300-000025000000}"/>
    <hyperlink ref="F25" location="'SEP 2014'!A1" display="September" xr:uid="{00000000-0004-0000-8300-000026000000}"/>
    <hyperlink ref="F26" location="'OCT 2014'!A1" display="October" xr:uid="{00000000-0004-0000-8300-000027000000}"/>
    <hyperlink ref="F27" location="'NOV 2014'!A1" display="November" xr:uid="{00000000-0004-0000-8300-000028000000}"/>
    <hyperlink ref="F28" location="'DEC 2014'!A1" display="December" xr:uid="{00000000-0004-0000-8300-000029000000}"/>
    <hyperlink ref="I17" location="'JAN 2015'!A1" display="January" xr:uid="{00000000-0004-0000-8300-00002A000000}"/>
    <hyperlink ref="I18" location="'FEB 2015'!A1" display="February" xr:uid="{00000000-0004-0000-8300-00002B000000}"/>
    <hyperlink ref="I19" location="'MARCH 2015'!A1" display="March" xr:uid="{00000000-0004-0000-8300-00002C000000}"/>
    <hyperlink ref="I20" location="'APRIL 2015'!A1" display="April" xr:uid="{00000000-0004-0000-8300-00002D000000}"/>
    <hyperlink ref="I21" location="'MAY 2015'!A1" display="May" xr:uid="{00000000-0004-0000-8300-00002E000000}"/>
    <hyperlink ref="I22" location="'JUNE 2015'!A1" display="June" xr:uid="{00000000-0004-0000-8300-00002F000000}"/>
    <hyperlink ref="I23" location="'JULY 2015'!A1" display="July" xr:uid="{00000000-0004-0000-8300-000030000000}"/>
    <hyperlink ref="I24" location="'AUGUST 2015'!A1" display="August" xr:uid="{00000000-0004-0000-8300-000031000000}"/>
    <hyperlink ref="I25" location="'SEP 2015'!A1" display="September" xr:uid="{00000000-0004-0000-8300-000032000000}"/>
    <hyperlink ref="I26" location="'OCT 2015'!A1" display="October" xr:uid="{00000000-0004-0000-8300-000033000000}"/>
    <hyperlink ref="O24" location="'AUG 2017'!A1" display="AUGUST" xr:uid="{00000000-0004-0000-8300-000034000000}"/>
    <hyperlink ref="O25" location="'SEP 2017'!A1" display="SEPTEMBER" xr:uid="{00000000-0004-0000-8300-000035000000}"/>
    <hyperlink ref="O26" location="'OCT 2017'!A1" display="OCTOBER" xr:uid="{00000000-0004-0000-8300-000036000000}"/>
    <hyperlink ref="O27" location="'NOV 2017'!A1" display="NOVEMBER" xr:uid="{00000000-0004-0000-8300-000037000000}"/>
    <hyperlink ref="O28" location="'DEC-2017'!A1" display="December" xr:uid="{00000000-0004-0000-8300-000038000000}"/>
    <hyperlink ref="R17" location="'JAN-2018'!A1" display="January" xr:uid="{00000000-0004-0000-8300-000039000000}"/>
    <hyperlink ref="R18" location="'FEB-2018'!A1" display="February" xr:uid="{00000000-0004-0000-8300-00003A000000}"/>
    <hyperlink ref="R19" location="'MARCH-2018'!A1" display="March" xr:uid="{00000000-0004-0000-8300-00003B000000}"/>
    <hyperlink ref="R20" location="'APRIL-2018'!A1" display="April" xr:uid="{00000000-0004-0000-8300-00003C000000}"/>
    <hyperlink ref="R21" location="'MAY-2018'!A1" display="May" xr:uid="{00000000-0004-0000-8300-00003D000000}"/>
    <hyperlink ref="R22" location="'JUNE -2018'!A1" display="June" xr:uid="{00000000-0004-0000-8300-00003E000000}"/>
    <hyperlink ref="R23" location="'JULY -2018'!A1" display="July" xr:uid="{00000000-0004-0000-8300-00003F000000}"/>
    <hyperlink ref="R24" location="'AUGUST-2018'!A1" display="August" xr:uid="{00000000-0004-0000-8300-000040000000}"/>
    <hyperlink ref="R25" location="'SEP-2018'!A1" display="September" xr:uid="{00000000-0004-0000-8300-000041000000}"/>
    <hyperlink ref="R26" location="'OCT - 2018'!A1" display="October" xr:uid="{00000000-0004-0000-8300-000042000000}"/>
    <hyperlink ref="R27" location="'NOV-2018'!A1" display="November" xr:uid="{00000000-0004-0000-8300-000043000000}"/>
    <hyperlink ref="R28" location="'DEC 2018'!A1" display="December" xr:uid="{00000000-0004-0000-8300-000044000000}"/>
    <hyperlink ref="U17" location="'JAN-2019'!A1" display="January" xr:uid="{00000000-0004-0000-8300-000045000000}"/>
    <hyperlink ref="U18" location="'FEB -2019'!A1" display="February" xr:uid="{00000000-0004-0000-8300-000046000000}"/>
    <hyperlink ref="U19" location="'MARCH-2019'!A1" display="March" xr:uid="{00000000-0004-0000-8300-000047000000}"/>
    <hyperlink ref="U20" location="'APRIL -2019'!A1" display="April" xr:uid="{00000000-0004-0000-8300-000048000000}"/>
    <hyperlink ref="U21" location="'MAY 2020'!A1" display="May" xr:uid="{00000000-0004-0000-8300-000049000000}"/>
    <hyperlink ref="U22" location="'JUN-2019'!A1" display="June" xr:uid="{00000000-0004-0000-8300-00004A000000}"/>
    <hyperlink ref="U23" location="'JULY 2019'!A1" display="July" xr:uid="{00000000-0004-0000-8300-00004B000000}"/>
    <hyperlink ref="U24" location="'AUGUST 2019'!A1" display="August" xr:uid="{00000000-0004-0000-8300-00004C000000}"/>
    <hyperlink ref="U25" location="'SEP 2019'!A1" display="September" xr:uid="{00000000-0004-0000-8300-00004D000000}"/>
    <hyperlink ref="U26" location="'OCT 2019'!A1" display="October" xr:uid="{00000000-0004-0000-8300-00004E000000}"/>
    <hyperlink ref="U28" location="'DEC 2019'!A1" display="December" xr:uid="{00000000-0004-0000-8300-00004F000000}"/>
    <hyperlink ref="U27" location="'NOV 2019'!A1" display="November" xr:uid="{00000000-0004-0000-8300-000050000000}"/>
    <hyperlink ref="C32" location="'JAN 2020'!A1" display="January" xr:uid="{00000000-0004-0000-8300-000051000000}"/>
    <hyperlink ref="C33" location="'FEB 2020'!A1" display="February" xr:uid="{00000000-0004-0000-8300-000052000000}"/>
    <hyperlink ref="C35" location="'APRIL 2020'!A1" display="April" xr:uid="{00000000-0004-0000-8300-000053000000}"/>
    <hyperlink ref="C37" location="'JUNE 2020'!A1" display="June" xr:uid="{00000000-0004-0000-8300-000054000000}"/>
    <hyperlink ref="C36" location="'MAY 2020'!A1" display="May" xr:uid="{00000000-0004-0000-8300-000055000000}"/>
    <hyperlink ref="C39" location="'AUGUST 2020'!A1" display="August" xr:uid="{00000000-0004-0000-8300-000056000000}"/>
    <hyperlink ref="C38" location="'JULY 2020'!A1" display="July" xr:uid="{00000000-0004-0000-8300-000057000000}"/>
    <hyperlink ref="C40" location="'SEP 2020'!A1" display="September" xr:uid="{00000000-0004-0000-8300-000058000000}"/>
    <hyperlink ref="C41" location="'OCT 2020'!A1" display="October" xr:uid="{00000000-0004-0000-8300-000059000000}"/>
    <hyperlink ref="C42" location="'NOV 2020'!A1" display="November" xr:uid="{00000000-0004-0000-8300-00005A000000}"/>
    <hyperlink ref="C43" location="'DEC 2020'!A1" display="December" xr:uid="{00000000-0004-0000-8300-00005B000000}"/>
    <hyperlink ref="C34" location="'MARCH 2020'!A1" display="March" xr:uid="{00000000-0004-0000-8300-00005C000000}"/>
    <hyperlink ref="F32" location="'JAN 2021'!A1" display="January" xr:uid="{00000000-0004-0000-8300-00005D000000}"/>
    <hyperlink ref="F33" location="'FEB 2021'!A1" display="February" xr:uid="{00000000-0004-0000-8300-00005E000000}"/>
    <hyperlink ref="F34" location="'MARCH 2021'!A1" display="March" xr:uid="{00000000-0004-0000-8300-00005F000000}"/>
    <hyperlink ref="F35" location="'APRIL 2021'!A1" display="April" xr:uid="{00000000-0004-0000-8300-000060000000}"/>
    <hyperlink ref="F37" location="'JUNE 2021'!A1" display="June" xr:uid="{00000000-0004-0000-8300-000061000000}"/>
    <hyperlink ref="F38" location="'JULY 2021'!A1" display="July" xr:uid="{00000000-0004-0000-8300-000062000000}"/>
    <hyperlink ref="F39" location="'AUGUST 2021'!A1" display="August" xr:uid="{00000000-0004-0000-8300-000063000000}"/>
    <hyperlink ref="F40" location="'SEP 2021'!A1" display="September" xr:uid="{00000000-0004-0000-8300-000064000000}"/>
    <hyperlink ref="F41" location="'OCTOBER 2021'!A1" display="October" xr:uid="{00000000-0004-0000-8300-000065000000}"/>
    <hyperlink ref="F42" location="'NOV 2021'!A1" display="November" xr:uid="{00000000-0004-0000-8300-000066000000}"/>
    <hyperlink ref="F43" location="'DEC 2021'!A1" display="December" xr:uid="{00000000-0004-0000-8300-000067000000}"/>
    <hyperlink ref="I32" location="'JAN 2022'!A1" display="January" xr:uid="{00000000-0004-0000-8300-000068000000}"/>
    <hyperlink ref="I33" location="'FEB 2022'!A1" display="February" xr:uid="{00000000-0004-0000-8300-000069000000}"/>
    <hyperlink ref="I34" location="'MARCH 2022'!A1" display="March" xr:uid="{00000000-0004-0000-8300-00006A000000}"/>
    <hyperlink ref="I35" location="'APRIL 2022'!A1" display="April" xr:uid="{00000000-0004-0000-8300-00006B000000}"/>
    <hyperlink ref="I36" location="'MAY 2022'!A1" display="May" xr:uid="{00000000-0004-0000-8300-00006C000000}"/>
    <hyperlink ref="I37" location="'JUNE 2022'!A1" display="June" xr:uid="{00000000-0004-0000-8300-00006D000000}"/>
    <hyperlink ref="I38" location="'JULY 2022'!A1" display="July" xr:uid="{00000000-0004-0000-8300-00006E000000}"/>
    <hyperlink ref="I39" location="'AUGUST 2022'!A1" display="August" xr:uid="{00000000-0004-0000-8300-00006F000000}"/>
    <hyperlink ref="I40" location="'SEP-2022'!A1" display="September" xr:uid="{00000000-0004-0000-8300-000070000000}"/>
    <hyperlink ref="I41" location="'OCT-2022'!A1" display="October" xr:uid="{00000000-0004-0000-8300-000071000000}"/>
    <hyperlink ref="I42" location="'NOV 2022'!A1" display="November" xr:uid="{00000000-0004-0000-8300-000072000000}"/>
    <hyperlink ref="L32" location="'JAN 2023'!A1" display="January" xr:uid="{00000000-0004-0000-8300-000073000000}"/>
    <hyperlink ref="L33" location="'FEB 2023'!A1" display="February" xr:uid="{00000000-0004-0000-8300-000074000000}"/>
    <hyperlink ref="L34" location="'MARCH-2023'!A1" display="March" xr:uid="{00000000-0004-0000-8300-000075000000}"/>
    <hyperlink ref="L35" location="'APRIL 2023'!A1" display="April" xr:uid="{00000000-0004-0000-8300-000076000000}"/>
    <hyperlink ref="L36" location="'MAY 2023'!A1" display="May" xr:uid="{00000000-0004-0000-8300-000077000000}"/>
    <hyperlink ref="L37" location="'JUN 2023'!A1" display="June" xr:uid="{00000000-0004-0000-8300-000078000000}"/>
    <hyperlink ref="L38" location="'JULY 2023'!A1" display="July" xr:uid="{00000000-0004-0000-8300-000079000000}"/>
    <hyperlink ref="L39" location="'AUGUST 2023'!A1" display="August" xr:uid="{00000000-0004-0000-8300-00007A000000}"/>
    <hyperlink ref="L40" location="'SEP 2023'!A1" display="September" xr:uid="{00000000-0004-0000-8300-00007B000000}"/>
    <hyperlink ref="L41" location="'OCT 2023'!A1" display="October" xr:uid="{00000000-0004-0000-8300-00007C000000}"/>
    <hyperlink ref="L42" location="'NOV 2023'!A1" display="November" xr:uid="{00000000-0004-0000-8300-00007D000000}"/>
    <hyperlink ref="O33" location="'FEB 2024'!A1" display="February" xr:uid="{00000000-0004-0000-8300-00007E000000}"/>
    <hyperlink ref="O34" location="'MARCH 2024'!A1" display="March" xr:uid="{00000000-0004-0000-8300-00007F000000}"/>
    <hyperlink ref="O35" location="'APRIL 2022'!A1" display="April" xr:uid="{00000000-0004-0000-8300-000080000000}"/>
    <hyperlink ref="O36" location="'MAY 2022'!A1" display="May" xr:uid="{00000000-0004-0000-8300-000081000000}"/>
    <hyperlink ref="O37" location="'JUNE 2022'!A1" display="June" xr:uid="{00000000-0004-0000-8300-000082000000}"/>
    <hyperlink ref="O38" location="'JULY 2022'!A1" display="July" xr:uid="{00000000-0004-0000-8300-000083000000}"/>
    <hyperlink ref="O39" location="'AUGUST 2022'!A1" display="August" xr:uid="{00000000-0004-0000-8300-000084000000}"/>
    <hyperlink ref="O40" location="'SEP-2022'!A1" display="September" xr:uid="{00000000-0004-0000-8300-000085000000}"/>
    <hyperlink ref="O41" location="'OCT-2022'!A1" display="October" xr:uid="{00000000-0004-0000-8300-000086000000}"/>
    <hyperlink ref="O42" location="'NOV 2022'!A1" display="November" xr:uid="{00000000-0004-0000-8300-000087000000}"/>
    <hyperlink ref="O32" location="'JAN 2024'!A1" display="January" xr:uid="{00000000-0004-0000-8300-000088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29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348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41761</v>
      </c>
      <c r="C6" s="2" t="s">
        <v>8</v>
      </c>
      <c r="D6" s="2" t="s">
        <v>84</v>
      </c>
      <c r="E6" s="41" t="s">
        <v>355</v>
      </c>
      <c r="F6" s="40" t="s">
        <v>349</v>
      </c>
      <c r="G6" s="5">
        <v>158</v>
      </c>
      <c r="H6" s="41" t="s">
        <v>356</v>
      </c>
      <c r="K6" s="16"/>
    </row>
    <row r="7" spans="1:11" x14ac:dyDescent="0.3">
      <c r="B7" s="43">
        <v>41764</v>
      </c>
      <c r="C7" s="2" t="s">
        <v>8</v>
      </c>
      <c r="D7" s="28" t="s">
        <v>15</v>
      </c>
      <c r="E7" s="30">
        <v>683</v>
      </c>
      <c r="F7" s="30">
        <v>674</v>
      </c>
      <c r="G7" s="30">
        <v>439</v>
      </c>
      <c r="H7" s="41" t="s">
        <v>357</v>
      </c>
      <c r="K7" s="16"/>
    </row>
    <row r="8" spans="1:11" x14ac:dyDescent="0.3">
      <c r="B8" s="43">
        <v>41765</v>
      </c>
      <c r="C8" s="2" t="s">
        <v>8</v>
      </c>
      <c r="D8" s="28" t="s">
        <v>15</v>
      </c>
      <c r="E8" s="30">
        <v>668</v>
      </c>
      <c r="F8" s="30">
        <v>668</v>
      </c>
      <c r="G8" s="30">
        <v>0</v>
      </c>
      <c r="H8" s="30">
        <v>0</v>
      </c>
      <c r="K8" s="16"/>
    </row>
    <row r="9" spans="1:11" x14ac:dyDescent="0.3">
      <c r="B9" s="43">
        <v>41766</v>
      </c>
      <c r="C9" s="2" t="s">
        <v>8</v>
      </c>
      <c r="D9" s="28" t="s">
        <v>85</v>
      </c>
      <c r="E9" s="30">
        <v>310</v>
      </c>
      <c r="F9" s="30">
        <v>306</v>
      </c>
      <c r="G9" s="30">
        <v>967</v>
      </c>
      <c r="H9" s="30">
        <v>3868</v>
      </c>
      <c r="K9" s="16"/>
    </row>
    <row r="10" spans="1:11" x14ac:dyDescent="0.3">
      <c r="B10" s="43">
        <v>41767</v>
      </c>
      <c r="C10" s="2" t="s">
        <v>8</v>
      </c>
      <c r="D10" s="28" t="s">
        <v>334</v>
      </c>
      <c r="E10" s="30">
        <v>1065</v>
      </c>
      <c r="F10" s="30">
        <v>1040</v>
      </c>
      <c r="G10" s="30">
        <v>281</v>
      </c>
      <c r="H10" s="30">
        <v>7025</v>
      </c>
      <c r="K10" s="16"/>
    </row>
    <row r="11" spans="1:11" x14ac:dyDescent="0.3">
      <c r="B11" s="43">
        <v>41768</v>
      </c>
      <c r="C11" s="2" t="s">
        <v>8</v>
      </c>
      <c r="D11" s="28" t="s">
        <v>290</v>
      </c>
      <c r="E11" s="30">
        <v>195</v>
      </c>
      <c r="F11" s="30">
        <v>195</v>
      </c>
      <c r="G11" s="30">
        <v>1538</v>
      </c>
      <c r="H11" s="30">
        <v>0</v>
      </c>
      <c r="K11" s="16"/>
    </row>
    <row r="12" spans="1:11" x14ac:dyDescent="0.3">
      <c r="B12" s="43">
        <v>41771</v>
      </c>
      <c r="C12" s="2" t="s">
        <v>11</v>
      </c>
      <c r="D12" s="28" t="s">
        <v>19</v>
      </c>
      <c r="E12" s="30">
        <v>2242</v>
      </c>
      <c r="F12" s="30">
        <v>2262</v>
      </c>
      <c r="G12" s="30">
        <v>133</v>
      </c>
      <c r="H12" s="30">
        <v>2660</v>
      </c>
      <c r="K12" s="16"/>
    </row>
    <row r="13" spans="1:11" x14ac:dyDescent="0.3">
      <c r="B13" s="43">
        <v>41772</v>
      </c>
      <c r="C13" s="2" t="s">
        <v>9</v>
      </c>
      <c r="D13" s="28" t="s">
        <v>48</v>
      </c>
      <c r="E13" s="30">
        <v>872</v>
      </c>
      <c r="F13" s="30">
        <v>889</v>
      </c>
      <c r="G13" s="30">
        <v>344</v>
      </c>
      <c r="H13" s="30">
        <v>5848</v>
      </c>
      <c r="K13" s="16"/>
    </row>
    <row r="14" spans="1:11" x14ac:dyDescent="0.3">
      <c r="B14" s="43">
        <v>41772</v>
      </c>
      <c r="C14" s="2" t="s">
        <v>9</v>
      </c>
      <c r="D14" s="28" t="s">
        <v>159</v>
      </c>
      <c r="E14" s="30">
        <v>143</v>
      </c>
      <c r="F14" s="30">
        <v>140</v>
      </c>
      <c r="G14" s="30">
        <v>2009</v>
      </c>
      <c r="H14" s="30">
        <v>-6027</v>
      </c>
      <c r="K14" s="16"/>
    </row>
    <row r="15" spans="1:11" x14ac:dyDescent="0.3">
      <c r="B15" s="43">
        <v>41773</v>
      </c>
      <c r="C15" s="2" t="s">
        <v>8</v>
      </c>
      <c r="D15" s="28" t="s">
        <v>364</v>
      </c>
      <c r="E15" s="30">
        <v>2550</v>
      </c>
      <c r="F15" s="30">
        <v>2522</v>
      </c>
      <c r="G15" s="30">
        <v>117</v>
      </c>
      <c r="H15" s="30">
        <v>3276</v>
      </c>
      <c r="K15" s="16"/>
    </row>
    <row r="16" spans="1:11" x14ac:dyDescent="0.3">
      <c r="B16" s="43">
        <v>41774</v>
      </c>
      <c r="C16" s="2" t="s">
        <v>8</v>
      </c>
      <c r="D16" s="28" t="s">
        <v>111</v>
      </c>
      <c r="E16" s="30">
        <v>451</v>
      </c>
      <c r="F16" s="30">
        <v>442</v>
      </c>
      <c r="G16" s="30">
        <v>665</v>
      </c>
      <c r="H16" s="30">
        <v>5985</v>
      </c>
      <c r="K16" s="16"/>
    </row>
    <row r="17" spans="2:11" x14ac:dyDescent="0.3">
      <c r="B17" s="43">
        <v>41775</v>
      </c>
      <c r="C17" s="2" t="s">
        <v>9</v>
      </c>
      <c r="D17" s="28" t="s">
        <v>19</v>
      </c>
      <c r="E17" s="30">
        <v>2495</v>
      </c>
      <c r="F17" s="30">
        <v>2530</v>
      </c>
      <c r="G17" s="30">
        <v>120</v>
      </c>
      <c r="H17" s="30">
        <v>4200</v>
      </c>
      <c r="K17" s="16"/>
    </row>
    <row r="18" spans="2:11" x14ac:dyDescent="0.3">
      <c r="B18" s="43">
        <v>41778</v>
      </c>
      <c r="C18" s="2" t="s">
        <v>8</v>
      </c>
      <c r="D18" s="28" t="s">
        <v>364</v>
      </c>
      <c r="E18" s="30">
        <v>2340</v>
      </c>
      <c r="F18" s="30">
        <v>2290</v>
      </c>
      <c r="G18" s="30">
        <v>128</v>
      </c>
      <c r="H18" s="30">
        <v>6400</v>
      </c>
      <c r="K18" s="16"/>
    </row>
    <row r="19" spans="2:11" x14ac:dyDescent="0.3">
      <c r="B19" s="43">
        <v>41779</v>
      </c>
      <c r="C19" s="2" t="s">
        <v>8</v>
      </c>
      <c r="D19" s="28" t="s">
        <v>98</v>
      </c>
      <c r="E19" s="30">
        <v>2405</v>
      </c>
      <c r="F19" s="30">
        <v>2360</v>
      </c>
      <c r="G19" s="30">
        <v>124</v>
      </c>
      <c r="H19" s="30">
        <v>5580</v>
      </c>
      <c r="K19" s="16"/>
    </row>
    <row r="20" spans="2:11" x14ac:dyDescent="0.3">
      <c r="B20" s="43">
        <v>41780</v>
      </c>
      <c r="C20" s="2" t="s">
        <v>8</v>
      </c>
      <c r="D20" s="28" t="s">
        <v>364</v>
      </c>
      <c r="E20" s="30">
        <v>2295</v>
      </c>
      <c r="F20" s="30">
        <v>2300</v>
      </c>
      <c r="G20" s="30">
        <v>130</v>
      </c>
      <c r="H20" s="30">
        <v>-650</v>
      </c>
      <c r="K20" s="16"/>
    </row>
    <row r="21" spans="2:11" x14ac:dyDescent="0.3">
      <c r="B21" s="43">
        <v>41781</v>
      </c>
      <c r="C21" s="2" t="s">
        <v>9</v>
      </c>
      <c r="D21" s="28" t="s">
        <v>371</v>
      </c>
      <c r="E21" s="30">
        <v>291</v>
      </c>
      <c r="F21" s="30">
        <v>297</v>
      </c>
      <c r="G21" s="30">
        <v>1030</v>
      </c>
      <c r="H21" s="30">
        <v>6180</v>
      </c>
      <c r="K21" s="16"/>
    </row>
    <row r="22" spans="2:11" x14ac:dyDescent="0.3">
      <c r="B22" s="43">
        <v>41782</v>
      </c>
      <c r="C22" s="30" t="s">
        <v>8</v>
      </c>
      <c r="D22" s="30" t="s">
        <v>94</v>
      </c>
      <c r="E22" s="30">
        <v>790</v>
      </c>
      <c r="F22" s="30">
        <v>784</v>
      </c>
      <c r="G22" s="30">
        <v>379</v>
      </c>
      <c r="H22" s="30">
        <v>2274</v>
      </c>
      <c r="K22" s="16"/>
    </row>
    <row r="23" spans="2:11" x14ac:dyDescent="0.3">
      <c r="B23" s="43">
        <v>41785</v>
      </c>
      <c r="C23" s="28" t="s">
        <v>9</v>
      </c>
      <c r="D23" s="28" t="s">
        <v>373</v>
      </c>
      <c r="E23" s="30">
        <v>81.5</v>
      </c>
      <c r="F23" s="30">
        <v>83</v>
      </c>
      <c r="G23" s="30">
        <v>3680</v>
      </c>
      <c r="H23" s="30">
        <v>5520</v>
      </c>
      <c r="K23" s="16"/>
    </row>
    <row r="24" spans="2:11" x14ac:dyDescent="0.3">
      <c r="B24" s="43">
        <v>41786</v>
      </c>
      <c r="C24" s="28" t="s">
        <v>8</v>
      </c>
      <c r="D24" s="30" t="s">
        <v>19</v>
      </c>
      <c r="E24" s="30">
        <v>2655</v>
      </c>
      <c r="F24" s="30">
        <v>2626</v>
      </c>
      <c r="G24" s="30">
        <v>112</v>
      </c>
      <c r="H24" s="30">
        <v>3248</v>
      </c>
      <c r="K24" s="16"/>
    </row>
    <row r="25" spans="2:11" x14ac:dyDescent="0.3">
      <c r="B25" s="43">
        <v>41787</v>
      </c>
      <c r="C25" s="28" t="s">
        <v>8</v>
      </c>
      <c r="D25" s="30" t="s">
        <v>19</v>
      </c>
      <c r="E25" s="30">
        <v>2600</v>
      </c>
      <c r="F25" s="30" t="s">
        <v>376</v>
      </c>
      <c r="G25" s="30"/>
      <c r="H25" s="30"/>
    </row>
    <row r="26" spans="2:11" ht="15.6" x14ac:dyDescent="0.3">
      <c r="B26" s="43">
        <v>41788</v>
      </c>
      <c r="C26" s="28" t="s">
        <v>8</v>
      </c>
      <c r="D26" s="28" t="s">
        <v>189</v>
      </c>
      <c r="E26" s="49">
        <v>242.5</v>
      </c>
      <c r="F26" s="49">
        <v>245</v>
      </c>
      <c r="G26" s="49" t="s">
        <v>379</v>
      </c>
      <c r="H26" s="62" t="s">
        <v>380</v>
      </c>
    </row>
    <row r="27" spans="2:11" ht="15.6" x14ac:dyDescent="0.3">
      <c r="B27" s="43">
        <v>41789</v>
      </c>
      <c r="C27" s="28" t="s">
        <v>8</v>
      </c>
      <c r="D27" s="28" t="s">
        <v>378</v>
      </c>
      <c r="E27" s="49">
        <v>877</v>
      </c>
      <c r="F27" s="49">
        <v>866</v>
      </c>
      <c r="G27" s="49" t="s">
        <v>381</v>
      </c>
      <c r="H27" s="62" t="s">
        <v>382</v>
      </c>
    </row>
    <row r="28" spans="2:11" ht="15.6" x14ac:dyDescent="0.3">
      <c r="B28" s="43"/>
      <c r="C28" s="28"/>
      <c r="D28" s="28"/>
      <c r="E28" s="28"/>
      <c r="F28" s="28"/>
      <c r="G28" s="28"/>
      <c r="H28" s="34">
        <v>55387</v>
      </c>
    </row>
    <row r="29" spans="2:11" ht="15.6" x14ac:dyDescent="0.3">
      <c r="B29" s="43"/>
      <c r="C29" s="28"/>
      <c r="D29" s="28"/>
      <c r="E29" s="28"/>
      <c r="F29" s="28"/>
      <c r="G29" s="28"/>
      <c r="H29" s="34"/>
    </row>
    <row r="30" spans="2:11" ht="15.6" x14ac:dyDescent="0.3">
      <c r="B30" s="43"/>
      <c r="C30" s="28"/>
      <c r="D30" s="28"/>
      <c r="E30" s="28"/>
      <c r="F30" s="28"/>
      <c r="G30" s="28"/>
      <c r="H30" s="34"/>
    </row>
    <row r="32" spans="2:11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41761</v>
      </c>
      <c r="C33" s="2" t="s">
        <v>8</v>
      </c>
      <c r="D33" s="2" t="s">
        <v>350</v>
      </c>
      <c r="E33" s="41" t="s">
        <v>351</v>
      </c>
      <c r="F33" s="40" t="s">
        <v>352</v>
      </c>
      <c r="G33" s="5">
        <v>1000</v>
      </c>
      <c r="H33" s="40" t="s">
        <v>280</v>
      </c>
    </row>
    <row r="34" spans="2:8" x14ac:dyDescent="0.3">
      <c r="B34" s="43">
        <v>41764</v>
      </c>
      <c r="C34" s="30" t="s">
        <v>8</v>
      </c>
      <c r="D34" s="30" t="s">
        <v>132</v>
      </c>
      <c r="E34" s="30">
        <v>370</v>
      </c>
      <c r="F34" s="30">
        <v>368</v>
      </c>
      <c r="G34" s="30">
        <v>1000</v>
      </c>
      <c r="H34" s="30">
        <v>2000</v>
      </c>
    </row>
    <row r="35" spans="2:8" x14ac:dyDescent="0.3">
      <c r="B35" s="43">
        <v>41765</v>
      </c>
      <c r="C35" s="30" t="s">
        <v>8</v>
      </c>
      <c r="D35" s="30" t="s">
        <v>107</v>
      </c>
      <c r="E35" s="30">
        <v>1913</v>
      </c>
      <c r="F35" s="30">
        <v>1907</v>
      </c>
      <c r="G35" s="30">
        <v>125</v>
      </c>
      <c r="H35" s="30">
        <v>750</v>
      </c>
    </row>
    <row r="36" spans="2:8" x14ac:dyDescent="0.3">
      <c r="B36" s="43">
        <v>41766</v>
      </c>
      <c r="C36" s="30" t="s">
        <v>9</v>
      </c>
      <c r="D36" s="30" t="s">
        <v>139</v>
      </c>
      <c r="E36" s="30">
        <v>445</v>
      </c>
      <c r="F36" s="30">
        <v>448</v>
      </c>
      <c r="G36" s="30">
        <v>1000</v>
      </c>
      <c r="H36" s="30">
        <v>3000</v>
      </c>
    </row>
    <row r="37" spans="2:8" x14ac:dyDescent="0.3">
      <c r="B37" s="43">
        <v>41767</v>
      </c>
      <c r="C37" s="30" t="s">
        <v>8</v>
      </c>
      <c r="D37" s="30" t="s">
        <v>114</v>
      </c>
      <c r="E37" s="30">
        <v>1114</v>
      </c>
      <c r="F37" s="30">
        <v>1090</v>
      </c>
      <c r="G37" s="30">
        <v>250</v>
      </c>
      <c r="H37" s="30">
        <v>6000</v>
      </c>
    </row>
    <row r="38" spans="2:8" x14ac:dyDescent="0.3">
      <c r="B38" s="43">
        <v>41768</v>
      </c>
      <c r="C38" s="30" t="s">
        <v>8</v>
      </c>
      <c r="D38" s="30" t="s">
        <v>361</v>
      </c>
      <c r="E38" s="30">
        <v>167</v>
      </c>
      <c r="F38" s="30">
        <v>167.5</v>
      </c>
      <c r="G38" s="30">
        <v>2000</v>
      </c>
      <c r="H38" s="30">
        <v>-1000</v>
      </c>
    </row>
    <row r="39" spans="2:8" x14ac:dyDescent="0.3">
      <c r="B39" s="43">
        <v>41771</v>
      </c>
      <c r="C39" s="30" t="s">
        <v>8</v>
      </c>
      <c r="D39" s="30" t="s">
        <v>126</v>
      </c>
      <c r="E39" s="30">
        <v>2140</v>
      </c>
      <c r="F39" s="30">
        <v>2162</v>
      </c>
      <c r="G39" s="30">
        <v>125</v>
      </c>
      <c r="H39" s="30">
        <v>-2750</v>
      </c>
    </row>
    <row r="40" spans="2:8" x14ac:dyDescent="0.3">
      <c r="B40" s="43">
        <v>41772</v>
      </c>
      <c r="C40" s="30" t="s">
        <v>9</v>
      </c>
      <c r="D40" s="30" t="s">
        <v>250</v>
      </c>
      <c r="E40" s="30">
        <v>1405</v>
      </c>
      <c r="F40" s="30">
        <v>1420</v>
      </c>
      <c r="G40" s="30">
        <v>250</v>
      </c>
      <c r="H40" s="30">
        <v>3750</v>
      </c>
    </row>
    <row r="41" spans="2:8" x14ac:dyDescent="0.3">
      <c r="B41" s="43">
        <v>41773</v>
      </c>
      <c r="C41" s="30" t="s">
        <v>9</v>
      </c>
      <c r="D41" s="30" t="s">
        <v>365</v>
      </c>
      <c r="E41" s="30">
        <v>1169</v>
      </c>
      <c r="F41" s="30">
        <v>1180</v>
      </c>
      <c r="G41" s="30">
        <v>250</v>
      </c>
      <c r="H41" s="30">
        <v>2750</v>
      </c>
    </row>
    <row r="42" spans="2:8" x14ac:dyDescent="0.3">
      <c r="B42" s="43">
        <v>41774</v>
      </c>
      <c r="C42" s="30" t="s">
        <v>8</v>
      </c>
      <c r="D42" s="30" t="s">
        <v>34</v>
      </c>
      <c r="E42" s="30">
        <v>340</v>
      </c>
      <c r="F42" s="30">
        <v>336.8</v>
      </c>
      <c r="G42" s="30">
        <v>1000</v>
      </c>
      <c r="H42" s="30">
        <v>3200</v>
      </c>
    </row>
    <row r="43" spans="2:8" x14ac:dyDescent="0.3">
      <c r="B43" s="43">
        <v>41775</v>
      </c>
      <c r="C43" s="30" t="s">
        <v>8</v>
      </c>
      <c r="D43" s="30" t="s">
        <v>114</v>
      </c>
      <c r="E43" s="30">
        <v>1305</v>
      </c>
      <c r="F43" s="30">
        <v>1320</v>
      </c>
      <c r="G43" s="30">
        <v>250</v>
      </c>
      <c r="H43" s="30">
        <v>-3750</v>
      </c>
    </row>
    <row r="44" spans="2:8" x14ac:dyDescent="0.3">
      <c r="B44" s="43">
        <v>41778</v>
      </c>
      <c r="C44" s="30" t="s">
        <v>9</v>
      </c>
      <c r="D44" s="30" t="s">
        <v>13</v>
      </c>
      <c r="E44" s="30">
        <v>643</v>
      </c>
      <c r="F44" s="30">
        <v>654</v>
      </c>
      <c r="G44" s="30">
        <v>500</v>
      </c>
      <c r="H44" s="30">
        <v>6000</v>
      </c>
    </row>
    <row r="45" spans="2:8" x14ac:dyDescent="0.3">
      <c r="B45" s="43">
        <v>41779</v>
      </c>
      <c r="C45" s="30" t="s">
        <v>8</v>
      </c>
      <c r="D45" s="30" t="s">
        <v>105</v>
      </c>
      <c r="E45" s="30">
        <v>323</v>
      </c>
      <c r="F45" s="30">
        <v>315</v>
      </c>
      <c r="G45" s="30">
        <v>1000</v>
      </c>
      <c r="H45" s="30">
        <v>8000</v>
      </c>
    </row>
    <row r="46" spans="2:8" x14ac:dyDescent="0.3">
      <c r="B46" s="43">
        <v>41780</v>
      </c>
      <c r="C46" s="30" t="s">
        <v>8</v>
      </c>
      <c r="D46" s="30" t="s">
        <v>106</v>
      </c>
      <c r="E46" s="30">
        <v>516</v>
      </c>
      <c r="F46" s="30">
        <v>507</v>
      </c>
      <c r="G46" s="30">
        <v>1000</v>
      </c>
      <c r="H46" s="30">
        <v>9000</v>
      </c>
    </row>
    <row r="47" spans="2:8" x14ac:dyDescent="0.3">
      <c r="B47" s="43">
        <v>41781</v>
      </c>
      <c r="C47" s="30" t="s">
        <v>8</v>
      </c>
      <c r="D47" s="30" t="s">
        <v>94</v>
      </c>
      <c r="E47" s="30">
        <v>809</v>
      </c>
      <c r="F47" s="30">
        <v>805.5</v>
      </c>
      <c r="G47" s="30">
        <v>500</v>
      </c>
      <c r="H47" s="30">
        <v>1750</v>
      </c>
    </row>
    <row r="48" spans="2:8" x14ac:dyDescent="0.3">
      <c r="B48" s="43">
        <v>41782</v>
      </c>
      <c r="C48" s="30" t="s">
        <v>8</v>
      </c>
      <c r="D48" s="28" t="s">
        <v>132</v>
      </c>
      <c r="E48" s="30">
        <v>425</v>
      </c>
      <c r="F48" s="30">
        <v>422</v>
      </c>
      <c r="G48" s="30">
        <v>1000</v>
      </c>
      <c r="H48" s="30">
        <v>3000</v>
      </c>
    </row>
    <row r="49" spans="2:10" x14ac:dyDescent="0.3">
      <c r="B49" s="43">
        <v>41785</v>
      </c>
      <c r="C49" s="30" t="s">
        <v>8</v>
      </c>
      <c r="D49" s="30" t="s">
        <v>16</v>
      </c>
      <c r="E49" s="30">
        <v>327</v>
      </c>
      <c r="F49" s="30">
        <v>320</v>
      </c>
      <c r="G49" s="30">
        <v>1000</v>
      </c>
      <c r="H49" s="30">
        <v>7000</v>
      </c>
    </row>
    <row r="50" spans="2:10" x14ac:dyDescent="0.3">
      <c r="B50" s="43">
        <v>41786</v>
      </c>
      <c r="C50" s="30" t="s">
        <v>8</v>
      </c>
      <c r="D50" s="30" t="s">
        <v>58</v>
      </c>
      <c r="E50" s="30">
        <v>1842</v>
      </c>
      <c r="F50" s="30">
        <v>1850</v>
      </c>
      <c r="G50" s="30">
        <v>250</v>
      </c>
      <c r="H50" s="30">
        <v>-2000</v>
      </c>
    </row>
    <row r="51" spans="2:10" x14ac:dyDescent="0.3">
      <c r="B51" s="43">
        <v>41787</v>
      </c>
      <c r="C51" s="30" t="s">
        <v>8</v>
      </c>
      <c r="D51" s="30" t="s">
        <v>190</v>
      </c>
      <c r="E51" s="30">
        <v>438</v>
      </c>
      <c r="F51" s="30">
        <v>434</v>
      </c>
      <c r="G51" s="30">
        <v>1000</v>
      </c>
      <c r="H51" s="30">
        <v>4000</v>
      </c>
    </row>
    <row r="52" spans="2:10" x14ac:dyDescent="0.3">
      <c r="B52" s="43">
        <v>41788</v>
      </c>
      <c r="C52" s="30" t="s">
        <v>8</v>
      </c>
      <c r="D52" s="30" t="s">
        <v>106</v>
      </c>
      <c r="E52" s="30">
        <v>516</v>
      </c>
      <c r="F52" s="30">
        <v>512</v>
      </c>
      <c r="G52" s="30">
        <v>1000</v>
      </c>
      <c r="H52" s="30">
        <v>4000</v>
      </c>
    </row>
    <row r="53" spans="2:10" x14ac:dyDescent="0.3">
      <c r="B53" s="43">
        <v>41789</v>
      </c>
      <c r="C53" s="30" t="s">
        <v>8</v>
      </c>
      <c r="D53" s="30" t="s">
        <v>94</v>
      </c>
      <c r="E53" s="30">
        <v>891</v>
      </c>
      <c r="F53" s="30">
        <v>873</v>
      </c>
      <c r="G53" s="30">
        <v>250</v>
      </c>
      <c r="H53" s="30">
        <v>4500</v>
      </c>
    </row>
    <row r="54" spans="2:10" ht="15.6" x14ac:dyDescent="0.3">
      <c r="B54" s="43"/>
      <c r="C54" s="30"/>
      <c r="D54" s="30"/>
      <c r="E54" s="30"/>
      <c r="F54" s="30"/>
      <c r="G54" s="30"/>
      <c r="H54" s="34">
        <v>59200</v>
      </c>
    </row>
    <row r="55" spans="2:10" x14ac:dyDescent="0.3">
      <c r="B55" s="43"/>
      <c r="C55" s="30"/>
      <c r="D55" s="30"/>
      <c r="E55" s="30"/>
      <c r="F55" s="30"/>
      <c r="G55" s="30"/>
      <c r="H55" s="30"/>
    </row>
    <row r="56" spans="2:10" ht="15.6" x14ac:dyDescent="0.3">
      <c r="B56" s="43"/>
      <c r="C56" s="30"/>
      <c r="D56" s="30"/>
      <c r="E56" s="30"/>
      <c r="F56" s="30"/>
      <c r="G56" s="30"/>
      <c r="H56" s="33"/>
    </row>
    <row r="57" spans="2:10" ht="15.6" x14ac:dyDescent="0.3">
      <c r="B57" s="1"/>
      <c r="H57" s="34"/>
    </row>
    <row r="58" spans="2:10" x14ac:dyDescent="0.3">
      <c r="B58" s="1"/>
      <c r="J58" s="1"/>
    </row>
    <row r="59" spans="2:10" ht="15.6" x14ac:dyDescent="0.3">
      <c r="B59" s="48" t="s">
        <v>63</v>
      </c>
      <c r="C59" s="48"/>
      <c r="D59" s="48"/>
      <c r="E59" s="48"/>
      <c r="F59" s="48"/>
      <c r="G59" s="48"/>
      <c r="H59" s="48"/>
      <c r="J59" s="1"/>
    </row>
    <row r="60" spans="2:10" x14ac:dyDescent="0.3">
      <c r="B60" s="43">
        <v>41761</v>
      </c>
      <c r="C60" s="2" t="s">
        <v>8</v>
      </c>
      <c r="D60" s="2" t="s">
        <v>39</v>
      </c>
      <c r="E60" s="41" t="s">
        <v>353</v>
      </c>
      <c r="F60" s="40" t="s">
        <v>354</v>
      </c>
      <c r="G60" s="41" t="s">
        <v>217</v>
      </c>
      <c r="H60" s="41" t="s">
        <v>311</v>
      </c>
      <c r="J60" s="1"/>
    </row>
    <row r="61" spans="2:10" x14ac:dyDescent="0.3">
      <c r="B61" s="43">
        <v>41764</v>
      </c>
      <c r="C61" s="30" t="s">
        <v>8</v>
      </c>
      <c r="D61" s="30" t="s">
        <v>39</v>
      </c>
      <c r="E61" s="30">
        <v>6748</v>
      </c>
      <c r="F61" s="30">
        <v>6730</v>
      </c>
      <c r="G61" s="30">
        <v>100</v>
      </c>
      <c r="H61" s="30">
        <v>1800</v>
      </c>
      <c r="J61" s="1"/>
    </row>
    <row r="62" spans="2:10" x14ac:dyDescent="0.3">
      <c r="B62" s="43">
        <v>41765</v>
      </c>
      <c r="C62" s="30" t="s">
        <v>8</v>
      </c>
      <c r="D62" s="30" t="s">
        <v>39</v>
      </c>
      <c r="E62" s="30">
        <v>6750</v>
      </c>
      <c r="F62" s="30">
        <v>6730</v>
      </c>
      <c r="G62" s="30">
        <v>100</v>
      </c>
      <c r="H62" s="30">
        <v>2000</v>
      </c>
      <c r="J62" s="1"/>
    </row>
    <row r="63" spans="2:10" x14ac:dyDescent="0.3">
      <c r="B63" s="43">
        <v>41766</v>
      </c>
      <c r="C63" s="30" t="s">
        <v>8</v>
      </c>
      <c r="D63" s="30" t="s">
        <v>39</v>
      </c>
      <c r="E63" s="30">
        <v>6725</v>
      </c>
      <c r="F63" s="30">
        <v>6695</v>
      </c>
      <c r="G63" s="30">
        <v>100</v>
      </c>
      <c r="H63" s="30">
        <v>3500</v>
      </c>
      <c r="J63" s="1"/>
    </row>
    <row r="64" spans="2:10" x14ac:dyDescent="0.3">
      <c r="B64" s="43">
        <v>41767</v>
      </c>
      <c r="C64" s="30" t="s">
        <v>8</v>
      </c>
      <c r="D64" s="30" t="s">
        <v>39</v>
      </c>
      <c r="E64" s="30">
        <v>6700</v>
      </c>
      <c r="F64" s="30">
        <v>6662</v>
      </c>
      <c r="G64" s="30">
        <v>100</v>
      </c>
      <c r="H64" s="30">
        <v>3800</v>
      </c>
      <c r="J64" s="46"/>
    </row>
    <row r="65" spans="2:10" x14ac:dyDescent="0.3">
      <c r="B65" s="43">
        <v>41768</v>
      </c>
      <c r="C65" s="30" t="s">
        <v>8</v>
      </c>
      <c r="D65" s="30" t="s">
        <v>39</v>
      </c>
      <c r="E65" s="30">
        <v>6760</v>
      </c>
      <c r="F65" s="30">
        <v>6780</v>
      </c>
      <c r="G65" s="30">
        <v>100</v>
      </c>
      <c r="H65" s="30">
        <v>-2000</v>
      </c>
      <c r="J65" s="46"/>
    </row>
    <row r="66" spans="2:10" x14ac:dyDescent="0.3">
      <c r="B66" s="43">
        <v>41771</v>
      </c>
      <c r="C66" s="30" t="s">
        <v>8</v>
      </c>
      <c r="D66" s="30" t="s">
        <v>39</v>
      </c>
      <c r="E66" s="30">
        <v>6972</v>
      </c>
      <c r="F66" s="30">
        <v>7002</v>
      </c>
      <c r="G66" s="30">
        <v>100</v>
      </c>
      <c r="H66" s="30">
        <v>-3000</v>
      </c>
      <c r="J66" s="46"/>
    </row>
    <row r="67" spans="2:10" x14ac:dyDescent="0.3">
      <c r="B67" s="43">
        <v>41772</v>
      </c>
      <c r="C67" s="30" t="s">
        <v>9</v>
      </c>
      <c r="D67" s="30" t="s">
        <v>39</v>
      </c>
      <c r="E67" s="30">
        <v>7050</v>
      </c>
      <c r="F67" s="30">
        <v>7090</v>
      </c>
      <c r="G67" s="30">
        <v>100</v>
      </c>
      <c r="H67" s="30">
        <v>4000</v>
      </c>
      <c r="J67" s="46"/>
    </row>
    <row r="68" spans="2:10" x14ac:dyDescent="0.3">
      <c r="B68" s="43">
        <v>41773</v>
      </c>
      <c r="C68" s="30" t="s">
        <v>8</v>
      </c>
      <c r="D68" s="30" t="s">
        <v>39</v>
      </c>
      <c r="E68" s="30">
        <v>7135</v>
      </c>
      <c r="F68" s="30">
        <v>7110</v>
      </c>
      <c r="G68" s="30">
        <v>100</v>
      </c>
      <c r="H68" s="30">
        <v>2500</v>
      </c>
      <c r="J68" s="46"/>
    </row>
    <row r="69" spans="2:10" x14ac:dyDescent="0.3">
      <c r="B69" s="43">
        <v>41774</v>
      </c>
      <c r="C69" s="30" t="s">
        <v>8</v>
      </c>
      <c r="D69" s="30" t="s">
        <v>39</v>
      </c>
      <c r="E69" s="30">
        <v>7140</v>
      </c>
      <c r="F69" s="30">
        <v>7110</v>
      </c>
      <c r="G69" s="30">
        <v>100</v>
      </c>
      <c r="H69" s="30">
        <v>3000</v>
      </c>
      <c r="J69" s="46"/>
    </row>
    <row r="70" spans="2:10" x14ac:dyDescent="0.3">
      <c r="B70" s="43">
        <v>41775</v>
      </c>
      <c r="C70" s="30" t="s">
        <v>9</v>
      </c>
      <c r="D70" s="30" t="s">
        <v>39</v>
      </c>
      <c r="E70" s="30">
        <v>7570</v>
      </c>
      <c r="F70" s="30">
        <v>7600</v>
      </c>
      <c r="G70" s="30">
        <v>100</v>
      </c>
      <c r="H70" s="30">
        <v>3000</v>
      </c>
      <c r="J70" s="46"/>
    </row>
    <row r="71" spans="2:10" x14ac:dyDescent="0.3">
      <c r="B71" s="43">
        <v>41778</v>
      </c>
      <c r="C71" s="30" t="s">
        <v>8</v>
      </c>
      <c r="D71" s="30" t="s">
        <v>39</v>
      </c>
      <c r="E71" s="30">
        <v>7270</v>
      </c>
      <c r="F71" s="30">
        <v>7220</v>
      </c>
      <c r="G71" s="30">
        <v>100</v>
      </c>
      <c r="H71" s="30">
        <v>5000</v>
      </c>
      <c r="J71" s="47"/>
    </row>
    <row r="72" spans="2:10" x14ac:dyDescent="0.3">
      <c r="B72" s="43">
        <v>41779</v>
      </c>
      <c r="C72" s="30" t="s">
        <v>8</v>
      </c>
      <c r="D72" s="30" t="s">
        <v>39</v>
      </c>
      <c r="E72" s="30">
        <v>7320</v>
      </c>
      <c r="F72" s="30">
        <v>7270</v>
      </c>
      <c r="G72" s="30">
        <v>100</v>
      </c>
      <c r="H72" s="30">
        <v>5000</v>
      </c>
      <c r="J72" s="46"/>
    </row>
    <row r="73" spans="2:10" x14ac:dyDescent="0.3">
      <c r="B73" s="43">
        <v>41780</v>
      </c>
      <c r="C73" s="30" t="s">
        <v>8</v>
      </c>
      <c r="D73" s="30" t="s">
        <v>39</v>
      </c>
      <c r="E73" s="30">
        <v>7295</v>
      </c>
      <c r="F73" s="30">
        <v>7250</v>
      </c>
      <c r="G73" s="30">
        <v>100</v>
      </c>
      <c r="H73" s="30">
        <v>4500</v>
      </c>
      <c r="J73" s="46"/>
    </row>
    <row r="74" spans="2:10" x14ac:dyDescent="0.3">
      <c r="B74" s="43">
        <v>41781</v>
      </c>
      <c r="C74" s="30" t="s">
        <v>9</v>
      </c>
      <c r="D74" s="30" t="s">
        <v>39</v>
      </c>
      <c r="E74" s="30">
        <v>7325</v>
      </c>
      <c r="F74" s="30">
        <v>7300</v>
      </c>
      <c r="G74" s="30">
        <v>100</v>
      </c>
      <c r="H74" s="30">
        <v>-2500</v>
      </c>
      <c r="J74" s="46"/>
    </row>
    <row r="75" spans="2:10" x14ac:dyDescent="0.3">
      <c r="B75" s="43">
        <v>41782</v>
      </c>
      <c r="C75" s="30" t="s">
        <v>8</v>
      </c>
      <c r="D75" s="30" t="s">
        <v>39</v>
      </c>
      <c r="E75" s="30">
        <v>7377</v>
      </c>
      <c r="F75" s="30">
        <v>7330</v>
      </c>
      <c r="G75" s="30">
        <v>100</v>
      </c>
      <c r="H75" s="30">
        <v>4700</v>
      </c>
    </row>
    <row r="76" spans="2:10" x14ac:dyDescent="0.3">
      <c r="B76" s="43">
        <v>41785</v>
      </c>
      <c r="C76" s="30" t="s">
        <v>9</v>
      </c>
      <c r="D76" s="30" t="s">
        <v>39</v>
      </c>
      <c r="E76" s="30">
        <v>7455</v>
      </c>
      <c r="F76" s="30">
        <v>7500</v>
      </c>
      <c r="G76" s="30">
        <v>100</v>
      </c>
      <c r="H76" s="30">
        <v>4500</v>
      </c>
    </row>
    <row r="77" spans="2:10" x14ac:dyDescent="0.3">
      <c r="B77" s="43">
        <v>41786</v>
      </c>
      <c r="C77" s="30" t="s">
        <v>8</v>
      </c>
      <c r="D77" s="30" t="s">
        <v>39</v>
      </c>
      <c r="E77" s="30">
        <v>7330</v>
      </c>
      <c r="F77" s="30">
        <v>7290</v>
      </c>
      <c r="G77" s="30">
        <v>100</v>
      </c>
      <c r="H77" s="30">
        <v>4000</v>
      </c>
    </row>
    <row r="78" spans="2:10" x14ac:dyDescent="0.3">
      <c r="B78" s="43">
        <v>41787</v>
      </c>
      <c r="C78" s="30" t="s">
        <v>8</v>
      </c>
      <c r="D78" s="30" t="s">
        <v>39</v>
      </c>
      <c r="E78" s="30">
        <v>7325</v>
      </c>
      <c r="F78" s="30">
        <v>7305</v>
      </c>
      <c r="G78" s="30">
        <v>100</v>
      </c>
      <c r="H78" s="30">
        <v>2000</v>
      </c>
    </row>
    <row r="79" spans="2:10" x14ac:dyDescent="0.3">
      <c r="B79" s="43">
        <v>41788</v>
      </c>
      <c r="C79" s="30" t="s">
        <v>8</v>
      </c>
      <c r="D79" s="30" t="s">
        <v>39</v>
      </c>
      <c r="E79" s="30">
        <v>7325</v>
      </c>
      <c r="F79" s="30">
        <v>7292</v>
      </c>
      <c r="G79" s="30">
        <v>100</v>
      </c>
      <c r="H79" s="30">
        <v>3300</v>
      </c>
    </row>
    <row r="80" spans="2:10" x14ac:dyDescent="0.3">
      <c r="B80" s="43">
        <v>41789</v>
      </c>
      <c r="C80" s="30" t="s">
        <v>8</v>
      </c>
      <c r="D80" s="30" t="s">
        <v>39</v>
      </c>
      <c r="E80" s="30">
        <v>7255</v>
      </c>
      <c r="F80" s="30">
        <v>7235</v>
      </c>
      <c r="G80" s="30">
        <v>100</v>
      </c>
      <c r="H80" s="30">
        <v>2000</v>
      </c>
    </row>
    <row r="81" spans="2:8" ht="15.6" x14ac:dyDescent="0.3">
      <c r="B81" s="43"/>
      <c r="C81" s="30"/>
      <c r="D81" s="30"/>
      <c r="E81" s="30"/>
      <c r="F81" s="30"/>
      <c r="G81" s="30"/>
      <c r="H81" s="34">
        <v>51100</v>
      </c>
    </row>
    <row r="82" spans="2:8" ht="15.6" x14ac:dyDescent="0.3">
      <c r="B82" s="43"/>
      <c r="C82" s="30"/>
      <c r="D82" s="30"/>
      <c r="E82" s="30"/>
      <c r="F82" s="30"/>
      <c r="G82" s="30"/>
      <c r="H82" s="36"/>
    </row>
    <row r="83" spans="2:8" x14ac:dyDescent="0.3">
      <c r="B83" s="43"/>
      <c r="C83" s="28"/>
      <c r="D83" s="30"/>
      <c r="E83" s="28"/>
      <c r="F83" s="28"/>
      <c r="G83" s="28"/>
      <c r="H83" s="28"/>
    </row>
    <row r="84" spans="2:8" ht="15.6" x14ac:dyDescent="0.3">
      <c r="B84" s="48" t="s">
        <v>333</v>
      </c>
      <c r="C84" s="61"/>
      <c r="D84" s="61"/>
      <c r="E84" s="61"/>
      <c r="F84" s="61"/>
      <c r="G84" s="61"/>
      <c r="H84" s="61"/>
    </row>
    <row r="85" spans="2:8" x14ac:dyDescent="0.3">
      <c r="B85" s="43">
        <v>41764</v>
      </c>
      <c r="C85" s="3" t="s">
        <v>9</v>
      </c>
      <c r="D85" s="3" t="s">
        <v>294</v>
      </c>
      <c r="E85" s="40" t="s">
        <v>358</v>
      </c>
      <c r="F85" s="40" t="s">
        <v>358</v>
      </c>
      <c r="G85" s="30">
        <v>200</v>
      </c>
      <c r="H85" s="8">
        <v>0</v>
      </c>
    </row>
    <row r="86" spans="2:8" x14ac:dyDescent="0.3">
      <c r="B86" s="43">
        <v>41765</v>
      </c>
      <c r="C86" s="3" t="s">
        <v>9</v>
      </c>
      <c r="D86" s="3" t="s">
        <v>359</v>
      </c>
      <c r="E86" s="30">
        <v>71</v>
      </c>
      <c r="F86" s="30">
        <v>75</v>
      </c>
      <c r="G86" s="30">
        <v>250</v>
      </c>
      <c r="H86" s="30">
        <v>1000</v>
      </c>
    </row>
    <row r="87" spans="2:8" x14ac:dyDescent="0.3">
      <c r="B87" s="43">
        <v>41766</v>
      </c>
      <c r="C87" s="3" t="s">
        <v>9</v>
      </c>
      <c r="D87" s="3" t="s">
        <v>294</v>
      </c>
      <c r="E87" s="30">
        <v>178</v>
      </c>
      <c r="F87" s="30">
        <v>208</v>
      </c>
      <c r="G87" s="30">
        <v>200</v>
      </c>
      <c r="H87" s="30">
        <v>6000</v>
      </c>
    </row>
    <row r="88" spans="2:8" x14ac:dyDescent="0.3">
      <c r="B88" s="43">
        <v>41767</v>
      </c>
      <c r="C88" s="30" t="s">
        <v>9</v>
      </c>
      <c r="D88" s="30" t="s">
        <v>360</v>
      </c>
      <c r="E88" s="30">
        <v>145</v>
      </c>
      <c r="F88" s="30">
        <v>155</v>
      </c>
      <c r="G88" s="30">
        <v>200</v>
      </c>
      <c r="H88" s="30">
        <v>2000</v>
      </c>
    </row>
    <row r="89" spans="2:8" x14ac:dyDescent="0.3">
      <c r="B89" s="43">
        <v>41768</v>
      </c>
      <c r="C89" s="30" t="s">
        <v>9</v>
      </c>
      <c r="D89" s="30" t="s">
        <v>360</v>
      </c>
      <c r="E89" s="30">
        <v>195</v>
      </c>
      <c r="F89" s="30">
        <v>220</v>
      </c>
      <c r="G89" s="30">
        <v>200</v>
      </c>
      <c r="H89" s="30">
        <v>5000</v>
      </c>
    </row>
    <row r="90" spans="2:8" x14ac:dyDescent="0.3">
      <c r="B90" s="43">
        <v>41771</v>
      </c>
      <c r="C90" s="30" t="s">
        <v>9</v>
      </c>
      <c r="D90" s="30" t="s">
        <v>362</v>
      </c>
      <c r="E90" s="30">
        <v>115</v>
      </c>
      <c r="F90" s="30">
        <v>124</v>
      </c>
      <c r="G90" s="30">
        <v>250</v>
      </c>
      <c r="H90" s="30">
        <v>2250</v>
      </c>
    </row>
    <row r="91" spans="2:8" x14ac:dyDescent="0.3">
      <c r="B91" s="43">
        <v>41771</v>
      </c>
      <c r="C91" s="30" t="s">
        <v>9</v>
      </c>
      <c r="D91" s="30" t="s">
        <v>329</v>
      </c>
      <c r="E91" s="30">
        <v>190</v>
      </c>
      <c r="F91" s="30">
        <v>184</v>
      </c>
      <c r="G91" s="30">
        <v>200</v>
      </c>
      <c r="H91" s="30">
        <v>-1200</v>
      </c>
    </row>
    <row r="92" spans="2:8" x14ac:dyDescent="0.3">
      <c r="B92" s="43">
        <v>41772</v>
      </c>
      <c r="C92" s="30" t="s">
        <v>9</v>
      </c>
      <c r="D92" s="30" t="s">
        <v>363</v>
      </c>
      <c r="E92" s="30">
        <v>190</v>
      </c>
      <c r="F92" s="30">
        <v>210</v>
      </c>
      <c r="G92" s="30">
        <v>200</v>
      </c>
      <c r="H92" s="30">
        <v>4000</v>
      </c>
    </row>
    <row r="93" spans="2:8" x14ac:dyDescent="0.3">
      <c r="B93" s="43">
        <v>41773</v>
      </c>
      <c r="C93" s="30" t="s">
        <v>9</v>
      </c>
      <c r="D93" s="30" t="s">
        <v>366</v>
      </c>
      <c r="E93" s="30">
        <v>68</v>
      </c>
      <c r="F93" s="30">
        <v>90</v>
      </c>
      <c r="G93" s="30">
        <v>250</v>
      </c>
      <c r="H93" s="30">
        <v>5500</v>
      </c>
    </row>
    <row r="94" spans="2:8" x14ac:dyDescent="0.3">
      <c r="B94" s="43">
        <v>41774</v>
      </c>
      <c r="C94" s="30" t="s">
        <v>9</v>
      </c>
      <c r="D94" s="30" t="s">
        <v>367</v>
      </c>
      <c r="E94" s="30">
        <v>172</v>
      </c>
      <c r="F94" s="30">
        <v>195</v>
      </c>
      <c r="G94" s="30">
        <v>200</v>
      </c>
      <c r="H94" s="30">
        <v>4600</v>
      </c>
    </row>
    <row r="95" spans="2:8" x14ac:dyDescent="0.3">
      <c r="B95" s="43">
        <v>41778</v>
      </c>
      <c r="C95" s="30" t="s">
        <v>9</v>
      </c>
      <c r="D95" s="30" t="s">
        <v>368</v>
      </c>
      <c r="E95" s="30">
        <v>135</v>
      </c>
      <c r="F95" s="30">
        <v>120</v>
      </c>
      <c r="G95" s="30">
        <v>200</v>
      </c>
      <c r="H95" s="30">
        <v>-3000</v>
      </c>
    </row>
    <row r="96" spans="2:8" x14ac:dyDescent="0.3">
      <c r="B96" s="43">
        <v>41778</v>
      </c>
      <c r="C96" s="30" t="s">
        <v>9</v>
      </c>
      <c r="D96" s="30" t="s">
        <v>366</v>
      </c>
      <c r="E96" s="30">
        <v>49</v>
      </c>
      <c r="F96" s="30">
        <v>65</v>
      </c>
      <c r="G96" s="30">
        <v>250</v>
      </c>
      <c r="H96" s="30">
        <v>4000</v>
      </c>
    </row>
    <row r="97" spans="2:8" x14ac:dyDescent="0.3">
      <c r="B97" s="43">
        <v>41779</v>
      </c>
      <c r="C97" s="30" t="s">
        <v>9</v>
      </c>
      <c r="D97" s="30" t="s">
        <v>369</v>
      </c>
      <c r="E97" s="30">
        <v>94</v>
      </c>
      <c r="F97" s="30">
        <v>120</v>
      </c>
      <c r="G97" s="30">
        <v>250</v>
      </c>
      <c r="H97" s="30">
        <v>6500</v>
      </c>
    </row>
    <row r="98" spans="2:8" x14ac:dyDescent="0.3">
      <c r="B98" s="43">
        <v>41780</v>
      </c>
      <c r="C98" s="30" t="s">
        <v>9</v>
      </c>
      <c r="D98" s="30" t="s">
        <v>370</v>
      </c>
      <c r="E98" s="30">
        <v>38</v>
      </c>
      <c r="F98" s="30">
        <v>37.5</v>
      </c>
      <c r="G98" s="30">
        <v>250</v>
      </c>
      <c r="H98" s="30">
        <v>-125</v>
      </c>
    </row>
    <row r="99" spans="2:8" x14ac:dyDescent="0.3">
      <c r="B99" s="43">
        <v>41781</v>
      </c>
      <c r="C99" s="30" t="s">
        <v>9</v>
      </c>
      <c r="D99" s="30" t="s">
        <v>363</v>
      </c>
      <c r="E99" s="30">
        <v>143</v>
      </c>
      <c r="F99" s="30">
        <v>155</v>
      </c>
      <c r="G99" s="30">
        <v>200</v>
      </c>
      <c r="H99" s="30">
        <v>2400</v>
      </c>
    </row>
    <row r="100" spans="2:8" x14ac:dyDescent="0.3">
      <c r="B100" s="43">
        <v>41782</v>
      </c>
      <c r="C100" s="30" t="s">
        <v>9</v>
      </c>
      <c r="D100" s="30" t="s">
        <v>372</v>
      </c>
      <c r="E100" s="30">
        <v>21</v>
      </c>
      <c r="F100" s="30">
        <v>32</v>
      </c>
      <c r="G100" s="30">
        <v>1000</v>
      </c>
      <c r="H100" s="30">
        <v>11000</v>
      </c>
    </row>
    <row r="101" spans="2:8" x14ac:dyDescent="0.3">
      <c r="B101" s="43">
        <v>41785</v>
      </c>
      <c r="C101" s="30" t="s">
        <v>9</v>
      </c>
      <c r="D101" s="30" t="s">
        <v>370</v>
      </c>
      <c r="E101" s="30">
        <v>35</v>
      </c>
      <c r="F101" s="30">
        <v>28</v>
      </c>
      <c r="G101" s="30">
        <v>250</v>
      </c>
      <c r="H101" s="30">
        <v>-1750</v>
      </c>
    </row>
    <row r="102" spans="2:8" x14ac:dyDescent="0.3">
      <c r="B102" s="43">
        <v>41785</v>
      </c>
      <c r="C102" s="30" t="s">
        <v>9</v>
      </c>
      <c r="D102" s="30" t="s">
        <v>374</v>
      </c>
      <c r="E102" s="30">
        <v>120</v>
      </c>
      <c r="F102" s="30">
        <v>105</v>
      </c>
      <c r="G102" s="30">
        <v>200</v>
      </c>
      <c r="H102" s="30">
        <v>-3000</v>
      </c>
    </row>
    <row r="103" spans="2:8" x14ac:dyDescent="0.3">
      <c r="B103" s="43">
        <v>41786</v>
      </c>
      <c r="C103" s="30" t="s">
        <v>9</v>
      </c>
      <c r="D103" s="30" t="s">
        <v>375</v>
      </c>
      <c r="E103" s="30">
        <v>100</v>
      </c>
      <c r="F103" s="30">
        <v>130</v>
      </c>
      <c r="G103" s="30">
        <v>200</v>
      </c>
      <c r="H103" s="30">
        <v>6000</v>
      </c>
    </row>
    <row r="104" spans="2:8" x14ac:dyDescent="0.3">
      <c r="B104" s="43">
        <v>41787</v>
      </c>
      <c r="C104" s="30" t="s">
        <v>9</v>
      </c>
      <c r="D104" s="30" t="s">
        <v>377</v>
      </c>
      <c r="E104" s="30">
        <v>102</v>
      </c>
      <c r="F104" s="30">
        <v>118</v>
      </c>
      <c r="G104" s="30">
        <v>250</v>
      </c>
      <c r="H104" s="30">
        <v>4000</v>
      </c>
    </row>
    <row r="105" spans="2:8" x14ac:dyDescent="0.3">
      <c r="B105" s="43">
        <v>41788</v>
      </c>
      <c r="C105" s="30" t="s">
        <v>9</v>
      </c>
      <c r="D105" s="30" t="s">
        <v>375</v>
      </c>
      <c r="E105" s="30">
        <v>76</v>
      </c>
      <c r="F105" s="30">
        <v>100</v>
      </c>
      <c r="G105" s="30">
        <v>200</v>
      </c>
      <c r="H105" s="30">
        <v>4800</v>
      </c>
    </row>
    <row r="106" spans="2:8" x14ac:dyDescent="0.3">
      <c r="B106" s="43">
        <v>41789</v>
      </c>
      <c r="C106" s="30" t="s">
        <v>9</v>
      </c>
      <c r="D106" s="30" t="s">
        <v>383</v>
      </c>
      <c r="E106" s="30">
        <v>140</v>
      </c>
      <c r="F106" s="30">
        <v>155</v>
      </c>
      <c r="G106" s="30">
        <v>200</v>
      </c>
      <c r="H106" s="30">
        <v>3000</v>
      </c>
    </row>
    <row r="107" spans="2:8" ht="15.6" x14ac:dyDescent="0.3">
      <c r="B107" s="43"/>
      <c r="C107" s="30"/>
      <c r="D107" s="30"/>
      <c r="E107" s="30"/>
      <c r="F107" s="30"/>
      <c r="G107" s="30"/>
      <c r="H107" s="34">
        <v>62975</v>
      </c>
    </row>
    <row r="108" spans="2:8" x14ac:dyDescent="0.3">
      <c r="B108" s="43"/>
      <c r="C108" s="30"/>
      <c r="D108" s="30"/>
      <c r="E108" s="30"/>
      <c r="F108" s="30"/>
      <c r="G108" s="30"/>
      <c r="H108" s="30"/>
    </row>
    <row r="109" spans="2:8" x14ac:dyDescent="0.3">
      <c r="B109" s="1"/>
      <c r="C109" s="28"/>
      <c r="D109" s="28"/>
      <c r="E109" s="49"/>
      <c r="F109" s="49"/>
      <c r="G109" s="28"/>
      <c r="H109" s="49"/>
    </row>
    <row r="110" spans="2:8" ht="15.6" x14ac:dyDescent="0.3">
      <c r="B110" s="1"/>
      <c r="C110" s="28"/>
      <c r="D110" s="28"/>
      <c r="E110" s="28"/>
      <c r="F110" s="28"/>
      <c r="G110" s="28"/>
      <c r="H110" s="34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9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</sheetData>
  <mergeCells count="3">
    <mergeCell ref="B1:H1"/>
    <mergeCell ref="B2:H2"/>
    <mergeCell ref="B3:H3"/>
  </mergeCells>
  <hyperlinks>
    <hyperlink ref="J2" location="'MASTER '!A1" display="Back" xr:uid="{00000000-0004-0000-0D00-000000000000}"/>
  </hyperlinks>
  <pageMargins left="0.7" right="0.7" top="0.75" bottom="0.75" header="0.3" footer="0.3"/>
  <pageSetup orientation="portrait" horizontalDpi="300" verticalDpi="0" r:id="rId1"/>
  <ignoredErrors>
    <ignoredError sqref="E60:H60 E33:H33 F6 E6 G6:H6 H7 E85:F85 G26:H2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384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41793</v>
      </c>
      <c r="C6" s="2" t="s">
        <v>8</v>
      </c>
      <c r="D6" s="2" t="s">
        <v>184</v>
      </c>
      <c r="E6" s="41" t="s">
        <v>385</v>
      </c>
      <c r="F6" s="40" t="s">
        <v>386</v>
      </c>
      <c r="G6" s="5">
        <v>603</v>
      </c>
      <c r="H6" s="41" t="s">
        <v>387</v>
      </c>
      <c r="K6" s="16"/>
    </row>
    <row r="7" spans="1:11" x14ac:dyDescent="0.3">
      <c r="B7" s="43">
        <v>41794</v>
      </c>
      <c r="C7" s="2" t="s">
        <v>8</v>
      </c>
      <c r="D7" s="28" t="s">
        <v>395</v>
      </c>
      <c r="E7" s="30">
        <v>2315</v>
      </c>
      <c r="F7" s="30">
        <v>2319</v>
      </c>
      <c r="G7" s="30">
        <v>129</v>
      </c>
      <c r="H7" s="41" t="s">
        <v>396</v>
      </c>
      <c r="K7" s="16"/>
    </row>
    <row r="8" spans="1:11" x14ac:dyDescent="0.3">
      <c r="B8" s="43">
        <v>41795</v>
      </c>
      <c r="C8" s="2" t="s">
        <v>8</v>
      </c>
      <c r="D8" s="28" t="s">
        <v>107</v>
      </c>
      <c r="E8" s="30">
        <v>1990</v>
      </c>
      <c r="F8" s="30">
        <v>2007</v>
      </c>
      <c r="G8" s="30">
        <v>150</v>
      </c>
      <c r="H8" s="30">
        <v>-2550</v>
      </c>
      <c r="K8" s="16"/>
    </row>
    <row r="9" spans="1:11" x14ac:dyDescent="0.3">
      <c r="B9" s="43">
        <v>41796</v>
      </c>
      <c r="C9" s="2" t="s">
        <v>8</v>
      </c>
      <c r="D9" s="28" t="s">
        <v>124</v>
      </c>
      <c r="E9" s="30">
        <v>434</v>
      </c>
      <c r="F9" s="30">
        <v>430</v>
      </c>
      <c r="G9" s="30">
        <v>691</v>
      </c>
      <c r="H9" s="30">
        <v>2764</v>
      </c>
      <c r="K9" s="16"/>
    </row>
    <row r="10" spans="1:11" x14ac:dyDescent="0.3">
      <c r="B10" s="43">
        <v>41799</v>
      </c>
      <c r="C10" s="2" t="s">
        <v>8</v>
      </c>
      <c r="D10" s="28" t="s">
        <v>341</v>
      </c>
      <c r="E10" s="30">
        <v>190.5</v>
      </c>
      <c r="F10" s="30">
        <v>189.15</v>
      </c>
      <c r="G10" s="30">
        <v>1574</v>
      </c>
      <c r="H10" s="30">
        <v>2124</v>
      </c>
      <c r="K10" s="16"/>
    </row>
    <row r="11" spans="1:11" x14ac:dyDescent="0.3">
      <c r="B11" s="43">
        <v>41800</v>
      </c>
      <c r="C11" s="2" t="s">
        <v>8</v>
      </c>
      <c r="D11" s="28" t="s">
        <v>78</v>
      </c>
      <c r="E11" s="30">
        <v>1732</v>
      </c>
      <c r="F11" s="30">
        <v>1732</v>
      </c>
      <c r="G11" s="30">
        <v>173</v>
      </c>
      <c r="H11" s="30">
        <v>0</v>
      </c>
      <c r="K11" s="16"/>
    </row>
    <row r="12" spans="1:11" x14ac:dyDescent="0.3">
      <c r="B12" s="43">
        <v>41801</v>
      </c>
      <c r="C12" s="2" t="s">
        <v>8</v>
      </c>
      <c r="D12" s="28" t="s">
        <v>371</v>
      </c>
      <c r="E12" s="30">
        <v>293.5</v>
      </c>
      <c r="F12" s="30">
        <v>286.5</v>
      </c>
      <c r="G12" s="30">
        <v>1022</v>
      </c>
      <c r="H12" s="30">
        <v>6132</v>
      </c>
      <c r="K12" s="16"/>
    </row>
    <row r="13" spans="1:11" x14ac:dyDescent="0.3">
      <c r="B13" s="43">
        <v>41802</v>
      </c>
      <c r="C13" s="2" t="s">
        <v>8</v>
      </c>
      <c r="D13" s="28" t="s">
        <v>403</v>
      </c>
      <c r="E13" s="30">
        <v>1320</v>
      </c>
      <c r="F13" s="30">
        <v>1315</v>
      </c>
      <c r="G13" s="30">
        <v>227</v>
      </c>
      <c r="H13" s="30">
        <v>1135</v>
      </c>
      <c r="K13" s="16"/>
    </row>
    <row r="14" spans="1:11" x14ac:dyDescent="0.3">
      <c r="B14" s="43">
        <v>41803</v>
      </c>
      <c r="C14" s="2" t="s">
        <v>8</v>
      </c>
      <c r="D14" s="28" t="s">
        <v>103</v>
      </c>
      <c r="E14" s="30">
        <v>307</v>
      </c>
      <c r="F14" s="30">
        <v>298</v>
      </c>
      <c r="G14" s="30">
        <v>977</v>
      </c>
      <c r="H14" s="30">
        <v>8793</v>
      </c>
      <c r="K14" s="16"/>
    </row>
    <row r="15" spans="1:11" x14ac:dyDescent="0.3">
      <c r="B15" s="43">
        <v>41806</v>
      </c>
      <c r="C15" s="2" t="s">
        <v>8</v>
      </c>
      <c r="D15" s="28" t="s">
        <v>139</v>
      </c>
      <c r="E15" s="30">
        <v>512</v>
      </c>
      <c r="F15" s="30">
        <v>518</v>
      </c>
      <c r="G15" s="30">
        <v>585</v>
      </c>
      <c r="H15" s="30">
        <v>-3510</v>
      </c>
      <c r="K15" s="16"/>
    </row>
    <row r="16" spans="1:11" x14ac:dyDescent="0.3">
      <c r="B16" s="43">
        <v>41806</v>
      </c>
      <c r="C16" s="2" t="s">
        <v>11</v>
      </c>
      <c r="D16" s="28" t="s">
        <v>405</v>
      </c>
      <c r="E16" s="30">
        <v>1325</v>
      </c>
      <c r="F16" s="30">
        <v>1360</v>
      </c>
      <c r="G16" s="30">
        <v>226</v>
      </c>
      <c r="H16" s="30">
        <v>7910</v>
      </c>
      <c r="K16" s="16"/>
    </row>
    <row r="17" spans="2:11" x14ac:dyDescent="0.3">
      <c r="B17" s="43">
        <v>41807</v>
      </c>
      <c r="C17" s="2" t="s">
        <v>9</v>
      </c>
      <c r="D17" s="28" t="s">
        <v>406</v>
      </c>
      <c r="E17" s="30">
        <v>1372</v>
      </c>
      <c r="F17" s="30">
        <v>1386</v>
      </c>
      <c r="G17" s="30">
        <v>218</v>
      </c>
      <c r="H17" s="30">
        <v>3488</v>
      </c>
      <c r="K17" s="16"/>
    </row>
    <row r="18" spans="2:11" x14ac:dyDescent="0.3">
      <c r="B18" s="43">
        <v>41808</v>
      </c>
      <c r="C18" s="2" t="s">
        <v>8</v>
      </c>
      <c r="D18" s="28" t="s">
        <v>98</v>
      </c>
      <c r="E18" s="30">
        <v>2570</v>
      </c>
      <c r="F18" s="30">
        <v>2545</v>
      </c>
      <c r="G18" s="30">
        <v>116</v>
      </c>
      <c r="H18" s="30">
        <v>2900</v>
      </c>
      <c r="K18" s="16"/>
    </row>
    <row r="19" spans="2:11" x14ac:dyDescent="0.3">
      <c r="B19" s="43">
        <v>41809</v>
      </c>
      <c r="C19" s="2" t="s">
        <v>8</v>
      </c>
      <c r="D19" s="28" t="s">
        <v>122</v>
      </c>
      <c r="E19" s="30">
        <v>1183</v>
      </c>
      <c r="F19" s="30">
        <v>1172</v>
      </c>
      <c r="G19" s="30">
        <v>253</v>
      </c>
      <c r="H19" s="30">
        <v>2783</v>
      </c>
      <c r="K19" s="16"/>
    </row>
    <row r="20" spans="2:11" x14ac:dyDescent="0.3">
      <c r="B20" s="43">
        <v>41810</v>
      </c>
      <c r="C20" s="2" t="s">
        <v>8</v>
      </c>
      <c r="D20" s="28" t="s">
        <v>122</v>
      </c>
      <c r="E20" s="30">
        <v>1163</v>
      </c>
      <c r="F20" s="30">
        <v>1178</v>
      </c>
      <c r="G20" s="30">
        <v>257</v>
      </c>
      <c r="H20" s="30">
        <v>-3855</v>
      </c>
      <c r="K20" s="16"/>
    </row>
    <row r="21" spans="2:11" x14ac:dyDescent="0.3">
      <c r="B21" s="43">
        <v>41813</v>
      </c>
      <c r="C21" s="2" t="s">
        <v>8</v>
      </c>
      <c r="D21" s="28" t="s">
        <v>19</v>
      </c>
      <c r="E21" s="30">
        <v>2785</v>
      </c>
      <c r="F21" s="30">
        <v>2573</v>
      </c>
      <c r="G21" s="30">
        <v>116</v>
      </c>
      <c r="H21" s="30">
        <v>1392</v>
      </c>
      <c r="K21" s="16"/>
    </row>
    <row r="22" spans="2:11" x14ac:dyDescent="0.3">
      <c r="B22" s="43">
        <v>41814</v>
      </c>
      <c r="C22" s="2" t="s">
        <v>9</v>
      </c>
      <c r="D22" s="28" t="s">
        <v>84</v>
      </c>
      <c r="E22" s="30">
        <v>2405</v>
      </c>
      <c r="F22" s="30">
        <v>2418</v>
      </c>
      <c r="G22" s="30">
        <v>124</v>
      </c>
      <c r="H22" s="30">
        <v>1612</v>
      </c>
      <c r="K22" s="16"/>
    </row>
    <row r="23" spans="2:11" x14ac:dyDescent="0.3">
      <c r="B23" s="43">
        <v>41815</v>
      </c>
      <c r="C23" s="30" t="s">
        <v>8</v>
      </c>
      <c r="D23" s="30" t="s">
        <v>139</v>
      </c>
      <c r="E23" s="30">
        <v>557</v>
      </c>
      <c r="F23" s="30">
        <v>545</v>
      </c>
      <c r="G23" s="30">
        <v>538</v>
      </c>
      <c r="H23" s="30">
        <v>6456</v>
      </c>
      <c r="K23" s="16"/>
    </row>
    <row r="24" spans="2:11" x14ac:dyDescent="0.3">
      <c r="B24" s="43">
        <v>41816</v>
      </c>
      <c r="C24" s="28" t="s">
        <v>8</v>
      </c>
      <c r="D24" s="28" t="s">
        <v>137</v>
      </c>
      <c r="E24" s="30">
        <v>618</v>
      </c>
      <c r="F24" s="30">
        <v>613</v>
      </c>
      <c r="G24" s="30">
        <v>485</v>
      </c>
      <c r="H24" s="30">
        <v>2425</v>
      </c>
      <c r="K24" s="16"/>
    </row>
    <row r="25" spans="2:11" x14ac:dyDescent="0.3">
      <c r="B25" s="43">
        <v>41817</v>
      </c>
      <c r="C25" s="28" t="s">
        <v>8</v>
      </c>
      <c r="D25" s="30" t="s">
        <v>119</v>
      </c>
      <c r="E25" s="30">
        <v>864</v>
      </c>
      <c r="F25" s="30">
        <v>855</v>
      </c>
      <c r="G25" s="30">
        <v>347</v>
      </c>
      <c r="H25" s="30">
        <v>3123</v>
      </c>
    </row>
    <row r="26" spans="2:11" x14ac:dyDescent="0.3">
      <c r="B26" s="43">
        <v>41820</v>
      </c>
      <c r="C26" s="28" t="s">
        <v>8</v>
      </c>
      <c r="D26" s="30" t="s">
        <v>122</v>
      </c>
      <c r="E26" s="30">
        <v>1227</v>
      </c>
      <c r="F26" s="30">
        <v>1221</v>
      </c>
      <c r="G26" s="30">
        <v>244</v>
      </c>
      <c r="H26" s="30">
        <v>1464</v>
      </c>
    </row>
    <row r="27" spans="2:11" ht="15.6" x14ac:dyDescent="0.3">
      <c r="C27" s="28"/>
      <c r="D27" s="28"/>
      <c r="E27" s="49"/>
      <c r="F27" s="49"/>
      <c r="G27" s="49"/>
      <c r="H27" s="63">
        <v>46482</v>
      </c>
    </row>
    <row r="28" spans="2:11" ht="15.6" x14ac:dyDescent="0.3">
      <c r="C28" s="28"/>
      <c r="D28" s="28"/>
      <c r="E28" s="49"/>
      <c r="F28" s="49"/>
      <c r="G28" s="49"/>
      <c r="H28" s="62"/>
    </row>
    <row r="29" spans="2:11" ht="15.6" x14ac:dyDescent="0.3">
      <c r="C29" s="28"/>
      <c r="D29" s="28"/>
      <c r="E29" s="28"/>
      <c r="F29" s="28"/>
      <c r="G29" s="28"/>
      <c r="H29" s="34"/>
    </row>
    <row r="30" spans="2:11" ht="15.6" x14ac:dyDescent="0.3">
      <c r="C30" s="28"/>
      <c r="D30" s="28"/>
      <c r="E30" s="28"/>
      <c r="F30" s="28"/>
      <c r="G30" s="28"/>
      <c r="H30" s="34"/>
    </row>
    <row r="31" spans="2:11" ht="15.6" x14ac:dyDescent="0.3">
      <c r="C31" s="28"/>
      <c r="D31" s="28"/>
      <c r="E31" s="28"/>
      <c r="F31" s="28"/>
      <c r="G31" s="28"/>
      <c r="H31" s="34"/>
    </row>
    <row r="33" spans="2:8" ht="15.6" x14ac:dyDescent="0.3">
      <c r="B33" s="48" t="s">
        <v>62</v>
      </c>
      <c r="C33" s="48"/>
      <c r="D33" s="48"/>
      <c r="E33" s="48"/>
      <c r="F33" s="48"/>
      <c r="G33" s="48"/>
      <c r="H33" s="48"/>
    </row>
    <row r="34" spans="2:8" x14ac:dyDescent="0.3">
      <c r="B34" s="43">
        <v>41793</v>
      </c>
      <c r="C34" s="2" t="s">
        <v>8</v>
      </c>
      <c r="D34" s="2" t="s">
        <v>139</v>
      </c>
      <c r="E34" s="41" t="s">
        <v>388</v>
      </c>
      <c r="F34" s="40" t="s">
        <v>389</v>
      </c>
      <c r="G34" s="5">
        <v>1000</v>
      </c>
      <c r="H34" s="40" t="s">
        <v>390</v>
      </c>
    </row>
    <row r="35" spans="2:8" x14ac:dyDescent="0.3">
      <c r="B35" s="43">
        <v>41794</v>
      </c>
      <c r="C35" s="30" t="s">
        <v>8</v>
      </c>
      <c r="D35" s="30" t="s">
        <v>184</v>
      </c>
      <c r="E35" s="30">
        <v>491</v>
      </c>
      <c r="F35" s="30">
        <v>487</v>
      </c>
      <c r="G35" s="30">
        <v>500</v>
      </c>
      <c r="H35" s="30">
        <v>2000</v>
      </c>
    </row>
    <row r="36" spans="2:8" x14ac:dyDescent="0.3">
      <c r="B36" s="43">
        <v>41795</v>
      </c>
      <c r="C36" s="30" t="s">
        <v>8</v>
      </c>
      <c r="D36" s="30" t="s">
        <v>398</v>
      </c>
      <c r="E36" s="30">
        <v>2320</v>
      </c>
      <c r="F36" s="30">
        <v>2310</v>
      </c>
      <c r="G36" s="30">
        <v>125</v>
      </c>
      <c r="H36" s="30">
        <v>1250</v>
      </c>
    </row>
    <row r="37" spans="2:8" x14ac:dyDescent="0.3">
      <c r="B37" s="43">
        <v>41796</v>
      </c>
      <c r="C37" s="30" t="s">
        <v>8</v>
      </c>
      <c r="D37" s="30" t="s">
        <v>78</v>
      </c>
      <c r="E37" s="30">
        <v>1687</v>
      </c>
      <c r="F37" s="30">
        <v>1678</v>
      </c>
      <c r="G37" s="30">
        <v>250</v>
      </c>
      <c r="H37" s="30">
        <v>2250</v>
      </c>
    </row>
    <row r="38" spans="2:8" x14ac:dyDescent="0.3">
      <c r="B38" s="43">
        <v>41799</v>
      </c>
      <c r="C38" s="30" t="s">
        <v>8</v>
      </c>
      <c r="D38" s="30" t="s">
        <v>139</v>
      </c>
      <c r="E38" s="30">
        <v>579</v>
      </c>
      <c r="F38" s="30">
        <v>572.5</v>
      </c>
      <c r="G38" s="30">
        <v>1000</v>
      </c>
      <c r="H38" s="30">
        <v>6500</v>
      </c>
    </row>
    <row r="39" spans="2:8" x14ac:dyDescent="0.3">
      <c r="B39" s="43">
        <v>41800</v>
      </c>
      <c r="C39" s="30" t="s">
        <v>8</v>
      </c>
      <c r="D39" s="30" t="s">
        <v>19</v>
      </c>
      <c r="E39" s="30">
        <v>2670</v>
      </c>
      <c r="F39" s="30">
        <v>2669</v>
      </c>
      <c r="G39" s="30">
        <v>125</v>
      </c>
      <c r="H39" s="30">
        <v>125</v>
      </c>
    </row>
    <row r="40" spans="2:8" x14ac:dyDescent="0.3">
      <c r="B40" s="43">
        <v>41801</v>
      </c>
      <c r="C40" s="30" t="s">
        <v>9</v>
      </c>
      <c r="D40" s="30" t="s">
        <v>29</v>
      </c>
      <c r="E40" s="30">
        <v>1418</v>
      </c>
      <c r="F40" s="30">
        <v>1403</v>
      </c>
      <c r="G40" s="30">
        <v>250</v>
      </c>
      <c r="H40" s="30">
        <v>-3750</v>
      </c>
    </row>
    <row r="41" spans="2:8" x14ac:dyDescent="0.3">
      <c r="B41" s="43">
        <v>41802</v>
      </c>
      <c r="C41" s="30" t="s">
        <v>8</v>
      </c>
      <c r="D41" s="30" t="s">
        <v>371</v>
      </c>
      <c r="E41" s="30">
        <v>287.5</v>
      </c>
      <c r="F41" s="30">
        <v>284.5</v>
      </c>
      <c r="G41" s="30">
        <v>1000</v>
      </c>
      <c r="H41" s="30">
        <v>3000</v>
      </c>
    </row>
    <row r="42" spans="2:8" x14ac:dyDescent="0.3">
      <c r="B42" s="43">
        <v>41803</v>
      </c>
      <c r="C42" s="30" t="s">
        <v>8</v>
      </c>
      <c r="D42" s="30" t="s">
        <v>139</v>
      </c>
      <c r="E42" s="30">
        <v>546</v>
      </c>
      <c r="F42" s="30">
        <v>551</v>
      </c>
      <c r="G42" s="30">
        <v>1000</v>
      </c>
      <c r="H42" s="30">
        <v>-5000</v>
      </c>
    </row>
    <row r="43" spans="2:8" x14ac:dyDescent="0.3">
      <c r="B43" s="43">
        <v>41806</v>
      </c>
      <c r="C43" s="30" t="s">
        <v>8</v>
      </c>
      <c r="D43" s="30" t="s">
        <v>371</v>
      </c>
      <c r="E43" s="30">
        <v>274</v>
      </c>
      <c r="F43" s="30">
        <v>277</v>
      </c>
      <c r="G43" s="30">
        <v>100</v>
      </c>
      <c r="H43" s="30">
        <v>-3000</v>
      </c>
    </row>
    <row r="44" spans="2:8" x14ac:dyDescent="0.3">
      <c r="B44" s="43">
        <v>41807</v>
      </c>
      <c r="C44" s="30" t="s">
        <v>8</v>
      </c>
      <c r="D44" s="30" t="s">
        <v>98</v>
      </c>
      <c r="E44" s="30">
        <v>2590</v>
      </c>
      <c r="F44" s="30">
        <v>2610</v>
      </c>
      <c r="G44" s="30">
        <v>125</v>
      </c>
      <c r="H44" s="30">
        <v>-2500</v>
      </c>
    </row>
    <row r="45" spans="2:8" x14ac:dyDescent="0.3">
      <c r="B45" s="43">
        <v>41808</v>
      </c>
      <c r="C45" s="30" t="s">
        <v>8</v>
      </c>
      <c r="D45" s="30" t="s">
        <v>16</v>
      </c>
      <c r="E45" s="30">
        <v>326</v>
      </c>
      <c r="F45" s="30">
        <v>322</v>
      </c>
      <c r="G45" s="30">
        <v>1000</v>
      </c>
      <c r="H45" s="30">
        <v>-4000</v>
      </c>
    </row>
    <row r="46" spans="2:8" x14ac:dyDescent="0.3">
      <c r="B46" s="43">
        <v>41809</v>
      </c>
      <c r="C46" s="30" t="s">
        <v>8</v>
      </c>
      <c r="D46" s="30" t="s">
        <v>19</v>
      </c>
      <c r="E46" s="30">
        <v>2635</v>
      </c>
      <c r="F46" s="30">
        <v>2610</v>
      </c>
      <c r="G46" s="30">
        <v>125</v>
      </c>
      <c r="H46" s="30">
        <v>3125</v>
      </c>
    </row>
    <row r="47" spans="2:8" x14ac:dyDescent="0.3">
      <c r="B47" s="43">
        <v>41810</v>
      </c>
      <c r="C47" s="30" t="s">
        <v>8</v>
      </c>
      <c r="D47" s="30" t="s">
        <v>124</v>
      </c>
      <c r="E47" s="30">
        <v>435</v>
      </c>
      <c r="F47" s="30">
        <v>434</v>
      </c>
      <c r="G47" s="30">
        <v>1000</v>
      </c>
      <c r="H47" s="30">
        <v>1000</v>
      </c>
    </row>
    <row r="48" spans="2:8" x14ac:dyDescent="0.3">
      <c r="B48" s="43">
        <v>41813</v>
      </c>
      <c r="C48" s="30" t="s">
        <v>8</v>
      </c>
      <c r="D48" s="30" t="s">
        <v>99</v>
      </c>
      <c r="E48" s="30">
        <v>328</v>
      </c>
      <c r="F48" s="30">
        <v>318</v>
      </c>
      <c r="G48" s="30">
        <v>1000</v>
      </c>
      <c r="H48" s="30">
        <v>10000</v>
      </c>
    </row>
    <row r="49" spans="2:10" x14ac:dyDescent="0.3">
      <c r="B49" s="43">
        <v>41814</v>
      </c>
      <c r="C49" s="30" t="s">
        <v>8</v>
      </c>
      <c r="D49" s="28" t="s">
        <v>112</v>
      </c>
      <c r="E49" s="30">
        <v>286</v>
      </c>
      <c r="F49" s="30">
        <v>282</v>
      </c>
      <c r="G49" s="30">
        <v>1000</v>
      </c>
      <c r="H49" s="30">
        <v>4000</v>
      </c>
    </row>
    <row r="50" spans="2:10" x14ac:dyDescent="0.3">
      <c r="B50" s="43">
        <v>41815</v>
      </c>
      <c r="C50" s="30" t="s">
        <v>8</v>
      </c>
      <c r="D50" s="30" t="s">
        <v>99</v>
      </c>
      <c r="E50" s="30">
        <v>317</v>
      </c>
      <c r="F50" s="30">
        <v>316</v>
      </c>
      <c r="G50" s="30">
        <v>1000</v>
      </c>
      <c r="H50" s="30">
        <v>1000</v>
      </c>
    </row>
    <row r="51" spans="2:10" x14ac:dyDescent="0.3">
      <c r="B51" s="43">
        <v>41816</v>
      </c>
      <c r="C51" s="30" t="s">
        <v>8</v>
      </c>
      <c r="D51" s="30" t="s">
        <v>160</v>
      </c>
      <c r="E51" s="30">
        <v>425</v>
      </c>
      <c r="F51" s="30">
        <v>420</v>
      </c>
      <c r="G51" s="30">
        <v>500</v>
      </c>
      <c r="H51" s="30">
        <v>2500</v>
      </c>
    </row>
    <row r="52" spans="2:10" x14ac:dyDescent="0.3">
      <c r="B52" s="43">
        <v>41817</v>
      </c>
      <c r="C52" s="30" t="s">
        <v>8</v>
      </c>
      <c r="D52" s="30" t="s">
        <v>115</v>
      </c>
      <c r="E52" s="30">
        <v>389</v>
      </c>
      <c r="F52" s="30">
        <v>384</v>
      </c>
      <c r="G52" s="30">
        <v>1000</v>
      </c>
      <c r="H52" s="30">
        <v>5000</v>
      </c>
    </row>
    <row r="53" spans="2:10" x14ac:dyDescent="0.3">
      <c r="B53" s="43">
        <v>41820</v>
      </c>
      <c r="C53" s="30" t="s">
        <v>8</v>
      </c>
      <c r="D53" s="30" t="s">
        <v>84</v>
      </c>
      <c r="E53" s="30">
        <v>2455</v>
      </c>
      <c r="F53" s="30">
        <v>2436</v>
      </c>
      <c r="G53" s="30">
        <v>125</v>
      </c>
      <c r="H53" s="30">
        <v>2375</v>
      </c>
    </row>
    <row r="54" spans="2:10" ht="15.6" x14ac:dyDescent="0.3">
      <c r="B54" s="43"/>
      <c r="C54" s="30"/>
      <c r="D54" s="30"/>
      <c r="E54" s="30"/>
      <c r="F54" s="30"/>
      <c r="G54" s="30"/>
      <c r="H54" s="33">
        <v>28875</v>
      </c>
    </row>
    <row r="55" spans="2:10" ht="15.6" x14ac:dyDescent="0.3">
      <c r="B55" s="43"/>
      <c r="C55" s="30"/>
      <c r="D55" s="30"/>
      <c r="E55" s="30"/>
      <c r="F55" s="30"/>
      <c r="G55" s="30"/>
      <c r="H55" s="34"/>
    </row>
    <row r="56" spans="2:10" x14ac:dyDescent="0.3">
      <c r="B56" s="43"/>
      <c r="C56" s="30"/>
      <c r="D56" s="30"/>
      <c r="E56" s="30"/>
      <c r="F56" s="30"/>
      <c r="G56" s="30"/>
      <c r="H56" s="30"/>
    </row>
    <row r="57" spans="2:10" ht="15.6" x14ac:dyDescent="0.3">
      <c r="B57" s="43"/>
      <c r="C57" s="30"/>
      <c r="D57" s="30"/>
      <c r="E57" s="30"/>
      <c r="F57" s="30"/>
      <c r="G57" s="30"/>
      <c r="H57" s="33"/>
    </row>
    <row r="58" spans="2:10" ht="15.6" x14ac:dyDescent="0.3">
      <c r="B58" s="1"/>
      <c r="H58" s="34"/>
      <c r="J58" s="1"/>
    </row>
    <row r="59" spans="2:10" x14ac:dyDescent="0.3">
      <c r="B59" s="1"/>
      <c r="J59" s="1"/>
    </row>
    <row r="60" spans="2:10" ht="15.6" x14ac:dyDescent="0.3">
      <c r="B60" s="48" t="s">
        <v>63</v>
      </c>
      <c r="C60" s="48"/>
      <c r="D60" s="48"/>
      <c r="E60" s="48"/>
      <c r="F60" s="48"/>
      <c r="G60" s="48"/>
      <c r="H60" s="48"/>
      <c r="J60" s="1"/>
    </row>
    <row r="61" spans="2:10" x14ac:dyDescent="0.3">
      <c r="B61" s="43">
        <v>41793</v>
      </c>
      <c r="C61" s="2" t="s">
        <v>8</v>
      </c>
      <c r="D61" s="2" t="s">
        <v>39</v>
      </c>
      <c r="E61" s="41" t="s">
        <v>391</v>
      </c>
      <c r="F61" s="40" t="s">
        <v>392</v>
      </c>
      <c r="G61" s="41" t="s">
        <v>217</v>
      </c>
      <c r="H61" s="41" t="s">
        <v>390</v>
      </c>
      <c r="J61" s="1"/>
    </row>
    <row r="62" spans="2:10" x14ac:dyDescent="0.3">
      <c r="B62" s="43">
        <v>41794</v>
      </c>
      <c r="C62" s="30" t="s">
        <v>8</v>
      </c>
      <c r="D62" s="30" t="s">
        <v>39</v>
      </c>
      <c r="E62" s="30">
        <v>7420</v>
      </c>
      <c r="F62" s="30">
        <v>7410</v>
      </c>
      <c r="G62" s="30">
        <v>100</v>
      </c>
      <c r="H62" s="30">
        <v>1000</v>
      </c>
      <c r="J62" s="1"/>
    </row>
    <row r="63" spans="2:10" x14ac:dyDescent="0.3">
      <c r="B63" s="43">
        <v>41795</v>
      </c>
      <c r="C63" s="30" t="s">
        <v>8</v>
      </c>
      <c r="D63" s="30" t="s">
        <v>39</v>
      </c>
      <c r="E63" s="30">
        <v>7395</v>
      </c>
      <c r="F63" s="30">
        <v>7425</v>
      </c>
      <c r="G63" s="30">
        <v>100</v>
      </c>
      <c r="H63" s="30">
        <v>-3000</v>
      </c>
      <c r="J63" s="1"/>
    </row>
    <row r="64" spans="2:10" x14ac:dyDescent="0.3">
      <c r="B64" s="43">
        <v>41796</v>
      </c>
      <c r="C64" s="30" t="s">
        <v>8</v>
      </c>
      <c r="D64" s="30" t="s">
        <v>39</v>
      </c>
      <c r="E64" s="30">
        <v>7430</v>
      </c>
      <c r="F64" s="30">
        <v>7460</v>
      </c>
      <c r="G64" s="30">
        <v>100</v>
      </c>
      <c r="H64" s="30">
        <v>-3000</v>
      </c>
      <c r="J64" s="46"/>
    </row>
    <row r="65" spans="2:10" x14ac:dyDescent="0.3">
      <c r="B65" s="43">
        <v>41799</v>
      </c>
      <c r="C65" s="30" t="s">
        <v>9</v>
      </c>
      <c r="D65" s="30" t="s">
        <v>39</v>
      </c>
      <c r="E65" s="30">
        <v>7645</v>
      </c>
      <c r="F65" s="30">
        <v>7675</v>
      </c>
      <c r="G65" s="30">
        <v>100</v>
      </c>
      <c r="H65" s="30">
        <v>3000</v>
      </c>
      <c r="J65" s="46"/>
    </row>
    <row r="66" spans="2:10" x14ac:dyDescent="0.3">
      <c r="B66" s="43">
        <v>41800</v>
      </c>
      <c r="C66" s="30" t="s">
        <v>8</v>
      </c>
      <c r="D66" s="30" t="s">
        <v>39</v>
      </c>
      <c r="E66" s="30">
        <v>7630</v>
      </c>
      <c r="F66" s="30">
        <v>7640</v>
      </c>
      <c r="G66" s="30">
        <v>100</v>
      </c>
      <c r="H66" s="30">
        <v>-1000</v>
      </c>
      <c r="J66" s="46"/>
    </row>
    <row r="67" spans="2:10" x14ac:dyDescent="0.3">
      <c r="B67" s="43">
        <v>41801</v>
      </c>
      <c r="C67" s="30" t="s">
        <v>9</v>
      </c>
      <c r="D67" s="30" t="s">
        <v>39</v>
      </c>
      <c r="E67" s="30">
        <v>7695</v>
      </c>
      <c r="F67" s="30">
        <v>7715</v>
      </c>
      <c r="G67" s="30">
        <v>100</v>
      </c>
      <c r="H67" s="30">
        <v>2000</v>
      </c>
      <c r="J67" s="46"/>
    </row>
    <row r="68" spans="2:10" x14ac:dyDescent="0.3">
      <c r="B68" s="43">
        <v>41802</v>
      </c>
      <c r="C68" s="30" t="s">
        <v>8</v>
      </c>
      <c r="D68" s="30" t="s">
        <v>39</v>
      </c>
      <c r="E68" s="30">
        <v>7657</v>
      </c>
      <c r="F68" s="30">
        <v>7637</v>
      </c>
      <c r="G68" s="30">
        <v>100</v>
      </c>
      <c r="H68" s="30">
        <v>2000</v>
      </c>
      <c r="J68" s="46"/>
    </row>
    <row r="69" spans="2:10" x14ac:dyDescent="0.3">
      <c r="B69" s="43">
        <v>41803</v>
      </c>
      <c r="C69" s="30" t="s">
        <v>8</v>
      </c>
      <c r="D69" s="30" t="s">
        <v>39</v>
      </c>
      <c r="E69" s="30">
        <v>7675</v>
      </c>
      <c r="F69" s="30">
        <v>7620</v>
      </c>
      <c r="G69" s="30">
        <v>100</v>
      </c>
      <c r="H69" s="30">
        <v>5500</v>
      </c>
      <c r="J69" s="46"/>
    </row>
    <row r="70" spans="2:10" x14ac:dyDescent="0.3">
      <c r="B70" s="43">
        <v>41806</v>
      </c>
      <c r="C70" s="30" t="s">
        <v>8</v>
      </c>
      <c r="D70" s="30" t="s">
        <v>39</v>
      </c>
      <c r="E70" s="30">
        <v>7545</v>
      </c>
      <c r="F70" s="30">
        <v>7513</v>
      </c>
      <c r="G70" s="30">
        <v>100</v>
      </c>
      <c r="H70" s="30">
        <v>3200</v>
      </c>
      <c r="J70" s="46"/>
    </row>
    <row r="71" spans="2:10" x14ac:dyDescent="0.3">
      <c r="B71" s="43">
        <v>41807</v>
      </c>
      <c r="C71" s="30" t="s">
        <v>9</v>
      </c>
      <c r="D71" s="30" t="s">
        <v>39</v>
      </c>
      <c r="E71" s="30">
        <v>7550</v>
      </c>
      <c r="F71" s="30">
        <v>7610</v>
      </c>
      <c r="G71" s="30">
        <v>100</v>
      </c>
      <c r="H71" s="30">
        <v>6000</v>
      </c>
      <c r="J71" s="47"/>
    </row>
    <row r="72" spans="2:10" x14ac:dyDescent="0.3">
      <c r="B72" s="43">
        <v>41808</v>
      </c>
      <c r="C72" s="30" t="s">
        <v>9</v>
      </c>
      <c r="D72" s="30" t="s">
        <v>39</v>
      </c>
      <c r="E72" s="30">
        <v>7660</v>
      </c>
      <c r="F72" s="30">
        <v>7640</v>
      </c>
      <c r="G72" s="30">
        <v>100</v>
      </c>
      <c r="H72" s="30">
        <v>-2000</v>
      </c>
      <c r="J72" s="46"/>
    </row>
    <row r="73" spans="2:10" x14ac:dyDescent="0.3">
      <c r="B73" s="43">
        <v>41809</v>
      </c>
      <c r="C73" s="30" t="s">
        <v>8</v>
      </c>
      <c r="D73" s="30" t="s">
        <v>39</v>
      </c>
      <c r="E73" s="30">
        <v>7580</v>
      </c>
      <c r="F73" s="30">
        <v>7530</v>
      </c>
      <c r="G73" s="30">
        <v>100</v>
      </c>
      <c r="H73" s="30">
        <v>5000</v>
      </c>
      <c r="J73" s="46"/>
    </row>
    <row r="74" spans="2:10" x14ac:dyDescent="0.3">
      <c r="B74" s="43">
        <v>41810</v>
      </c>
      <c r="C74" s="30" t="s">
        <v>8</v>
      </c>
      <c r="D74" s="30" t="s">
        <v>39</v>
      </c>
      <c r="E74" s="30">
        <v>7550</v>
      </c>
      <c r="F74" s="30">
        <v>7520</v>
      </c>
      <c r="G74" s="30">
        <v>100</v>
      </c>
      <c r="H74" s="30">
        <v>3000</v>
      </c>
      <c r="J74" s="46"/>
    </row>
    <row r="75" spans="2:10" x14ac:dyDescent="0.3">
      <c r="B75" s="43">
        <v>41813</v>
      </c>
      <c r="C75" s="30" t="s">
        <v>8</v>
      </c>
      <c r="D75" s="30" t="s">
        <v>39</v>
      </c>
      <c r="E75" s="30">
        <v>7515</v>
      </c>
      <c r="F75" s="30">
        <v>7480</v>
      </c>
      <c r="G75" s="30">
        <v>100</v>
      </c>
      <c r="H75" s="30">
        <v>3500</v>
      </c>
    </row>
    <row r="76" spans="2:10" x14ac:dyDescent="0.3">
      <c r="B76" s="43">
        <v>41814</v>
      </c>
      <c r="C76" s="30" t="s">
        <v>9</v>
      </c>
      <c r="D76" s="30" t="s">
        <v>39</v>
      </c>
      <c r="E76" s="30">
        <v>7590</v>
      </c>
      <c r="F76" s="30">
        <v>7610</v>
      </c>
      <c r="G76" s="30">
        <v>100</v>
      </c>
      <c r="H76" s="30">
        <v>2000</v>
      </c>
    </row>
    <row r="77" spans="2:10" x14ac:dyDescent="0.3">
      <c r="B77" s="43">
        <v>41815</v>
      </c>
      <c r="C77" s="30" t="s">
        <v>8</v>
      </c>
      <c r="D77" s="30" t="s">
        <v>39</v>
      </c>
      <c r="E77" s="30">
        <v>7590</v>
      </c>
      <c r="F77" s="30">
        <v>7570</v>
      </c>
      <c r="G77" s="30">
        <v>100</v>
      </c>
      <c r="H77" s="30">
        <v>2000</v>
      </c>
    </row>
    <row r="78" spans="2:10" x14ac:dyDescent="0.3">
      <c r="B78" s="43">
        <v>41816</v>
      </c>
      <c r="C78" s="30" t="s">
        <v>8</v>
      </c>
      <c r="D78" s="30" t="s">
        <v>39</v>
      </c>
      <c r="E78" s="30">
        <v>7535</v>
      </c>
      <c r="F78" s="30">
        <v>7490</v>
      </c>
      <c r="G78" s="30">
        <v>100</v>
      </c>
      <c r="H78" s="30">
        <v>4500</v>
      </c>
    </row>
    <row r="79" spans="2:10" x14ac:dyDescent="0.3">
      <c r="B79" s="43">
        <v>41817</v>
      </c>
      <c r="C79" s="30" t="s">
        <v>8</v>
      </c>
      <c r="D79" s="30" t="s">
        <v>39</v>
      </c>
      <c r="E79" s="30">
        <v>7550</v>
      </c>
      <c r="F79" s="30">
        <v>7515</v>
      </c>
      <c r="G79" s="30">
        <v>100</v>
      </c>
      <c r="H79" s="30">
        <v>3500</v>
      </c>
    </row>
    <row r="80" spans="2:10" x14ac:dyDescent="0.3">
      <c r="B80" s="43">
        <v>41820</v>
      </c>
      <c r="C80" s="30" t="s">
        <v>9</v>
      </c>
      <c r="D80" s="30" t="s">
        <v>39</v>
      </c>
      <c r="E80" s="30">
        <v>7620</v>
      </c>
      <c r="F80" s="30">
        <v>7640</v>
      </c>
      <c r="G80" s="30">
        <v>100</v>
      </c>
      <c r="H80" s="30">
        <v>2000</v>
      </c>
    </row>
    <row r="81" spans="2:8" ht="15.6" x14ac:dyDescent="0.3">
      <c r="B81" s="43"/>
      <c r="C81" s="30"/>
      <c r="D81" s="30"/>
      <c r="E81" s="30"/>
      <c r="F81" s="30"/>
      <c r="G81" s="30"/>
      <c r="H81" s="33">
        <v>42200</v>
      </c>
    </row>
    <row r="82" spans="2:8" ht="15.6" x14ac:dyDescent="0.3">
      <c r="B82" s="43"/>
      <c r="C82" s="30"/>
      <c r="D82" s="30"/>
      <c r="E82" s="30"/>
      <c r="F82" s="30"/>
      <c r="G82" s="30"/>
      <c r="H82" s="34"/>
    </row>
    <row r="83" spans="2:8" ht="15.6" x14ac:dyDescent="0.3">
      <c r="B83" s="43"/>
      <c r="C83" s="30"/>
      <c r="D83" s="30"/>
      <c r="E83" s="30"/>
      <c r="F83" s="30"/>
      <c r="G83" s="30"/>
      <c r="H83" s="36"/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41793</v>
      </c>
      <c r="C86" s="3" t="s">
        <v>9</v>
      </c>
      <c r="D86" s="3" t="s">
        <v>393</v>
      </c>
      <c r="E86" s="40" t="s">
        <v>394</v>
      </c>
      <c r="F86" s="40" t="s">
        <v>358</v>
      </c>
      <c r="G86" s="30">
        <v>200</v>
      </c>
      <c r="H86" s="8">
        <v>3400</v>
      </c>
    </row>
    <row r="87" spans="2:8" x14ac:dyDescent="0.3">
      <c r="B87" s="43">
        <v>41794</v>
      </c>
      <c r="C87" s="3" t="s">
        <v>9</v>
      </c>
      <c r="D87" s="3" t="s">
        <v>397</v>
      </c>
      <c r="E87" s="30">
        <v>62</v>
      </c>
      <c r="F87" s="30">
        <v>68</v>
      </c>
      <c r="G87" s="30">
        <v>250</v>
      </c>
      <c r="H87" s="30">
        <v>1500</v>
      </c>
    </row>
    <row r="88" spans="2:8" x14ac:dyDescent="0.3">
      <c r="B88" s="43">
        <v>41795</v>
      </c>
      <c r="C88" s="3" t="s">
        <v>9</v>
      </c>
      <c r="D88" s="3" t="s">
        <v>393</v>
      </c>
      <c r="E88" s="30">
        <v>160</v>
      </c>
      <c r="F88" s="30">
        <v>140</v>
      </c>
      <c r="G88" s="30">
        <v>200</v>
      </c>
      <c r="H88" s="30">
        <v>-4000</v>
      </c>
    </row>
    <row r="89" spans="2:8" x14ac:dyDescent="0.3">
      <c r="B89" s="43">
        <v>41796</v>
      </c>
      <c r="C89" s="30" t="s">
        <v>9</v>
      </c>
      <c r="D89" s="30" t="s">
        <v>399</v>
      </c>
      <c r="E89" s="30">
        <v>84</v>
      </c>
      <c r="F89" s="30">
        <v>102</v>
      </c>
      <c r="G89" s="30">
        <v>250</v>
      </c>
      <c r="H89" s="30">
        <v>4500</v>
      </c>
    </row>
    <row r="90" spans="2:8" x14ac:dyDescent="0.3">
      <c r="B90" s="43">
        <v>41799</v>
      </c>
      <c r="C90" s="30" t="s">
        <v>9</v>
      </c>
      <c r="D90" s="30" t="s">
        <v>400</v>
      </c>
      <c r="E90" s="30">
        <v>130</v>
      </c>
      <c r="F90" s="30">
        <v>145</v>
      </c>
      <c r="G90" s="30">
        <v>200</v>
      </c>
      <c r="H90" s="30">
        <v>3000</v>
      </c>
    </row>
    <row r="91" spans="2:8" x14ac:dyDescent="0.3">
      <c r="B91" s="43">
        <v>41800</v>
      </c>
      <c r="C91" s="30" t="s">
        <v>9</v>
      </c>
      <c r="D91" s="30" t="s">
        <v>401</v>
      </c>
      <c r="E91" s="30">
        <v>130</v>
      </c>
      <c r="F91" s="30">
        <v>120</v>
      </c>
      <c r="G91" s="30">
        <v>200</v>
      </c>
      <c r="H91" s="30">
        <v>-2000</v>
      </c>
    </row>
    <row r="92" spans="2:8" x14ac:dyDescent="0.3">
      <c r="B92" s="43">
        <v>41801</v>
      </c>
      <c r="C92" s="30" t="s">
        <v>9</v>
      </c>
      <c r="D92" s="30" t="s">
        <v>402</v>
      </c>
      <c r="E92" s="30">
        <v>48</v>
      </c>
      <c r="F92" s="30">
        <v>61</v>
      </c>
      <c r="G92" s="30">
        <v>500</v>
      </c>
      <c r="H92" s="30">
        <v>6500</v>
      </c>
    </row>
    <row r="93" spans="2:8" x14ac:dyDescent="0.3">
      <c r="B93" s="43">
        <v>41802</v>
      </c>
      <c r="C93" s="30" t="s">
        <v>9</v>
      </c>
      <c r="D93" s="30" t="s">
        <v>401</v>
      </c>
      <c r="E93" s="30">
        <v>115</v>
      </c>
      <c r="F93" s="30">
        <v>100</v>
      </c>
      <c r="G93" s="30">
        <v>200</v>
      </c>
      <c r="H93" s="30">
        <v>-3000</v>
      </c>
    </row>
    <row r="94" spans="2:8" x14ac:dyDescent="0.3">
      <c r="B94" s="43">
        <v>41803</v>
      </c>
      <c r="C94" s="30" t="s">
        <v>9</v>
      </c>
      <c r="D94" s="30" t="s">
        <v>401</v>
      </c>
      <c r="E94" s="30">
        <v>95</v>
      </c>
      <c r="F94" s="30">
        <v>130</v>
      </c>
      <c r="G94" s="30">
        <v>200</v>
      </c>
      <c r="H94" s="30">
        <v>7000</v>
      </c>
    </row>
    <row r="95" spans="2:8" x14ac:dyDescent="0.3">
      <c r="B95" s="43">
        <v>41806</v>
      </c>
      <c r="C95" s="30" t="s">
        <v>9</v>
      </c>
      <c r="D95" s="30" t="s">
        <v>404</v>
      </c>
      <c r="E95" s="30">
        <v>110</v>
      </c>
      <c r="F95" s="30">
        <v>125</v>
      </c>
      <c r="G95" s="30">
        <v>200</v>
      </c>
      <c r="H95" s="30">
        <v>3000</v>
      </c>
    </row>
    <row r="96" spans="2:8" x14ac:dyDescent="0.3">
      <c r="B96" s="43">
        <v>41807</v>
      </c>
      <c r="C96" s="30" t="s">
        <v>9</v>
      </c>
      <c r="D96" s="30" t="s">
        <v>407</v>
      </c>
      <c r="E96" s="30">
        <v>52</v>
      </c>
      <c r="F96" s="30">
        <v>75</v>
      </c>
      <c r="G96" s="30">
        <v>250</v>
      </c>
      <c r="H96" s="30">
        <v>5750</v>
      </c>
    </row>
    <row r="97" spans="2:8" x14ac:dyDescent="0.3">
      <c r="B97" s="43">
        <v>41808</v>
      </c>
      <c r="C97" s="30" t="s">
        <v>9</v>
      </c>
      <c r="D97" s="30" t="s">
        <v>400</v>
      </c>
      <c r="E97" s="30">
        <v>105</v>
      </c>
      <c r="F97" s="30">
        <v>90</v>
      </c>
      <c r="G97" s="30">
        <v>200</v>
      </c>
      <c r="H97" s="30">
        <v>-3000</v>
      </c>
    </row>
    <row r="98" spans="2:8" x14ac:dyDescent="0.3">
      <c r="B98" s="43">
        <v>41809</v>
      </c>
      <c r="C98" s="30" t="s">
        <v>9</v>
      </c>
      <c r="D98" s="30" t="s">
        <v>408</v>
      </c>
      <c r="E98" s="30">
        <v>250</v>
      </c>
      <c r="F98" s="30">
        <v>400</v>
      </c>
      <c r="G98" s="30">
        <v>100</v>
      </c>
      <c r="H98" s="30">
        <v>15000</v>
      </c>
    </row>
    <row r="99" spans="2:8" x14ac:dyDescent="0.3">
      <c r="B99" s="43">
        <v>41810</v>
      </c>
      <c r="C99" s="30" t="s">
        <v>9</v>
      </c>
      <c r="D99" s="30" t="s">
        <v>404</v>
      </c>
      <c r="E99" s="30">
        <v>94</v>
      </c>
      <c r="F99" s="30">
        <v>80</v>
      </c>
      <c r="G99" s="30">
        <v>200</v>
      </c>
      <c r="H99" s="30">
        <v>-2800</v>
      </c>
    </row>
    <row r="100" spans="2:8" x14ac:dyDescent="0.3">
      <c r="B100" s="43">
        <v>41813</v>
      </c>
      <c r="C100" s="30" t="s">
        <v>9</v>
      </c>
      <c r="D100" s="30" t="s">
        <v>404</v>
      </c>
      <c r="E100" s="30">
        <v>115</v>
      </c>
      <c r="F100" s="30">
        <v>135</v>
      </c>
      <c r="G100" s="30">
        <v>200</v>
      </c>
      <c r="H100" s="30">
        <v>4000</v>
      </c>
    </row>
    <row r="101" spans="2:8" x14ac:dyDescent="0.3">
      <c r="B101" s="43">
        <v>41814</v>
      </c>
      <c r="C101" s="30" t="s">
        <v>9</v>
      </c>
      <c r="D101" s="30" t="s">
        <v>407</v>
      </c>
      <c r="E101" s="30">
        <v>65</v>
      </c>
      <c r="F101" s="30">
        <v>75</v>
      </c>
      <c r="G101" s="30">
        <v>250</v>
      </c>
      <c r="H101" s="30">
        <v>2500</v>
      </c>
    </row>
    <row r="102" spans="2:8" x14ac:dyDescent="0.3">
      <c r="B102" s="43">
        <v>41815</v>
      </c>
      <c r="C102" s="30" t="s">
        <v>9</v>
      </c>
      <c r="D102" s="30" t="s">
        <v>401</v>
      </c>
      <c r="E102" s="30">
        <v>110</v>
      </c>
      <c r="F102" s="30">
        <v>125</v>
      </c>
      <c r="G102" s="30">
        <v>200</v>
      </c>
      <c r="H102" s="30">
        <v>3000</v>
      </c>
    </row>
    <row r="103" spans="2:8" x14ac:dyDescent="0.3">
      <c r="B103" s="43">
        <v>41816</v>
      </c>
      <c r="C103" s="30" t="s">
        <v>9</v>
      </c>
      <c r="D103" s="30" t="s">
        <v>409</v>
      </c>
      <c r="E103" s="30">
        <v>6</v>
      </c>
      <c r="F103" s="30">
        <v>7</v>
      </c>
      <c r="G103" s="30">
        <v>1000</v>
      </c>
      <c r="H103" s="30">
        <v>1000</v>
      </c>
    </row>
    <row r="104" spans="2:8" x14ac:dyDescent="0.3">
      <c r="B104" s="43">
        <v>41817</v>
      </c>
      <c r="C104" s="30" t="s">
        <v>9</v>
      </c>
      <c r="D104" s="30" t="s">
        <v>410</v>
      </c>
      <c r="E104" s="30">
        <v>98</v>
      </c>
      <c r="F104" s="30">
        <v>100</v>
      </c>
      <c r="G104" s="30">
        <v>250</v>
      </c>
      <c r="H104" s="30">
        <v>500</v>
      </c>
    </row>
    <row r="105" spans="2:8" x14ac:dyDescent="0.3">
      <c r="B105" s="43">
        <v>41820</v>
      </c>
      <c r="C105" s="30" t="s">
        <v>9</v>
      </c>
      <c r="D105" s="30" t="s">
        <v>411</v>
      </c>
      <c r="E105" s="30">
        <v>115</v>
      </c>
      <c r="F105" s="30">
        <v>125</v>
      </c>
      <c r="G105" s="30">
        <v>200</v>
      </c>
      <c r="H105" s="30">
        <v>2000</v>
      </c>
    </row>
    <row r="106" spans="2:8" ht="15.6" x14ac:dyDescent="0.3">
      <c r="B106" s="43"/>
      <c r="C106" s="30"/>
      <c r="D106" s="30"/>
      <c r="E106" s="30"/>
      <c r="F106" s="30"/>
      <c r="G106" s="30"/>
      <c r="H106" s="33">
        <v>47850</v>
      </c>
    </row>
    <row r="107" spans="2:8" x14ac:dyDescent="0.3">
      <c r="B107" s="43"/>
      <c r="C107" s="30"/>
      <c r="D107" s="30"/>
      <c r="E107" s="30"/>
      <c r="F107" s="30"/>
      <c r="G107" s="30"/>
      <c r="H107" s="30"/>
    </row>
    <row r="108" spans="2:8" ht="15.6" x14ac:dyDescent="0.3">
      <c r="B108" s="43"/>
      <c r="C108" s="30"/>
      <c r="D108" s="30"/>
      <c r="E108" s="30"/>
      <c r="F108" s="30"/>
      <c r="G108" s="30"/>
      <c r="H108" s="34"/>
    </row>
    <row r="109" spans="2:8" x14ac:dyDescent="0.3">
      <c r="B109" s="43"/>
      <c r="C109" s="30"/>
      <c r="D109" s="30"/>
      <c r="E109" s="30"/>
      <c r="F109" s="30"/>
      <c r="G109" s="30"/>
      <c r="H109" s="30"/>
    </row>
    <row r="110" spans="2:8" x14ac:dyDescent="0.3">
      <c r="B110" s="1"/>
      <c r="C110" s="28"/>
      <c r="D110" s="28"/>
      <c r="E110" s="49"/>
      <c r="F110" s="49"/>
      <c r="G110" s="28"/>
      <c r="H110" s="49"/>
    </row>
    <row r="111" spans="2:8" ht="15.6" x14ac:dyDescent="0.3">
      <c r="B111" s="1"/>
      <c r="C111" s="28"/>
      <c r="D111" s="28"/>
      <c r="E111" s="28"/>
      <c r="F111" s="28"/>
      <c r="G111" s="28"/>
      <c r="H111" s="34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9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0E00-000000000000}"/>
  </hyperlinks>
  <pageMargins left="0.7" right="0.7" top="0.75" bottom="0.75" header="0.3" footer="0.3"/>
  <pageSetup orientation="portrait" horizontalDpi="300" verticalDpi="0" r:id="rId1"/>
  <ignoredErrors>
    <ignoredError sqref="E6:H6 E34:H34 E61:H61 E86:H86 H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412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41821</v>
      </c>
      <c r="C6" s="2" t="s">
        <v>8</v>
      </c>
      <c r="D6" s="2" t="s">
        <v>168</v>
      </c>
      <c r="E6" s="41" t="s">
        <v>413</v>
      </c>
      <c r="F6" s="40" t="s">
        <v>414</v>
      </c>
      <c r="G6" s="5">
        <v>254</v>
      </c>
      <c r="H6" s="41" t="s">
        <v>426</v>
      </c>
      <c r="K6" s="16"/>
    </row>
    <row r="7" spans="1:14" x14ac:dyDescent="0.3">
      <c r="B7" s="43">
        <v>41822</v>
      </c>
      <c r="C7" s="2" t="s">
        <v>8</v>
      </c>
      <c r="D7" s="28" t="s">
        <v>341</v>
      </c>
      <c r="E7" s="30">
        <v>186.5</v>
      </c>
      <c r="F7" s="30">
        <v>186</v>
      </c>
      <c r="G7" s="30">
        <v>1608</v>
      </c>
      <c r="H7" s="41" t="s">
        <v>427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41823</v>
      </c>
      <c r="C8" s="2" t="s">
        <v>8</v>
      </c>
      <c r="D8" s="28" t="s">
        <v>371</v>
      </c>
      <c r="E8" s="30">
        <v>277</v>
      </c>
      <c r="F8" s="30">
        <v>274</v>
      </c>
      <c r="G8" s="30">
        <v>1083</v>
      </c>
      <c r="H8" s="30">
        <v>3249</v>
      </c>
      <c r="J8" s="16" t="s">
        <v>449</v>
      </c>
      <c r="K8" s="10">
        <v>22</v>
      </c>
      <c r="L8" s="10">
        <v>17</v>
      </c>
      <c r="M8" s="10">
        <v>5</v>
      </c>
      <c r="N8" s="10">
        <v>0</v>
      </c>
    </row>
    <row r="9" spans="1:14" x14ac:dyDescent="0.3">
      <c r="B9" s="43">
        <v>41824</v>
      </c>
      <c r="C9" s="2" t="s">
        <v>8</v>
      </c>
      <c r="D9" s="28" t="s">
        <v>78</v>
      </c>
      <c r="E9" s="30">
        <v>1736</v>
      </c>
      <c r="F9" s="30">
        <v>1726</v>
      </c>
      <c r="G9" s="30">
        <v>172</v>
      </c>
      <c r="H9" s="30">
        <v>1720</v>
      </c>
      <c r="J9" s="16" t="s">
        <v>450</v>
      </c>
      <c r="K9" s="10">
        <v>22</v>
      </c>
      <c r="L9" s="10">
        <v>18</v>
      </c>
      <c r="M9" s="10">
        <v>2</v>
      </c>
      <c r="N9" s="10">
        <v>2</v>
      </c>
    </row>
    <row r="10" spans="1:14" x14ac:dyDescent="0.3">
      <c r="B10" s="43">
        <v>41827</v>
      </c>
      <c r="C10" s="30" t="s">
        <v>8</v>
      </c>
      <c r="D10" s="30" t="s">
        <v>192</v>
      </c>
      <c r="E10" s="30">
        <v>447</v>
      </c>
      <c r="F10" s="30">
        <v>444</v>
      </c>
      <c r="G10" s="30">
        <v>671</v>
      </c>
      <c r="H10" s="30">
        <v>2013</v>
      </c>
      <c r="J10" s="16" t="s">
        <v>451</v>
      </c>
      <c r="K10" s="10">
        <v>23</v>
      </c>
      <c r="L10" s="10">
        <v>19</v>
      </c>
      <c r="M10" s="10">
        <v>3</v>
      </c>
      <c r="N10" s="10">
        <v>1</v>
      </c>
    </row>
    <row r="11" spans="1:14" x14ac:dyDescent="0.3">
      <c r="B11" s="43">
        <v>41828</v>
      </c>
      <c r="C11" s="2" t="s">
        <v>8</v>
      </c>
      <c r="D11" s="28" t="s">
        <v>90</v>
      </c>
      <c r="E11" s="30">
        <v>2105</v>
      </c>
      <c r="F11" s="30">
        <v>2085</v>
      </c>
      <c r="G11" s="30">
        <v>142</v>
      </c>
      <c r="H11" s="30">
        <v>2840</v>
      </c>
      <c r="J11" s="16" t="s">
        <v>452</v>
      </c>
      <c r="K11" s="10">
        <v>23</v>
      </c>
      <c r="L11" s="10">
        <v>19</v>
      </c>
      <c r="M11" s="10">
        <v>4</v>
      </c>
      <c r="N11" s="10">
        <v>0</v>
      </c>
    </row>
    <row r="12" spans="1:14" ht="18" x14ac:dyDescent="0.35">
      <c r="B12" s="43">
        <v>41829</v>
      </c>
      <c r="C12" s="2" t="s">
        <v>8</v>
      </c>
      <c r="D12" s="28" t="s">
        <v>50</v>
      </c>
      <c r="E12" s="30">
        <v>720</v>
      </c>
      <c r="F12" s="30">
        <v>714</v>
      </c>
      <c r="G12" s="30">
        <v>416</v>
      </c>
      <c r="H12" s="30">
        <v>2496</v>
      </c>
      <c r="J12" s="16"/>
      <c r="K12" s="71">
        <f>SUM(K8:K11)</f>
        <v>90</v>
      </c>
      <c r="L12" s="71">
        <f t="shared" ref="L12:N12" si="0">SUM(L8:L11)</f>
        <v>73</v>
      </c>
      <c r="M12" s="71">
        <f t="shared" si="0"/>
        <v>14</v>
      </c>
      <c r="N12" s="71">
        <f t="shared" si="0"/>
        <v>3</v>
      </c>
    </row>
    <row r="13" spans="1:14" x14ac:dyDescent="0.3">
      <c r="B13" s="43">
        <v>41830</v>
      </c>
      <c r="C13" s="2" t="s">
        <v>8</v>
      </c>
      <c r="D13" s="28" t="s">
        <v>107</v>
      </c>
      <c r="E13" s="30">
        <v>2155</v>
      </c>
      <c r="F13" s="30">
        <v>2145</v>
      </c>
      <c r="G13" s="30">
        <v>139</v>
      </c>
      <c r="H13" s="30">
        <v>1390</v>
      </c>
      <c r="K13" s="16"/>
    </row>
    <row r="14" spans="1:14" x14ac:dyDescent="0.3">
      <c r="B14" s="43">
        <v>41831</v>
      </c>
      <c r="C14" s="2" t="s">
        <v>8</v>
      </c>
      <c r="D14" s="28" t="s">
        <v>119</v>
      </c>
      <c r="E14" s="30">
        <v>870</v>
      </c>
      <c r="F14" s="30">
        <v>850</v>
      </c>
      <c r="G14" s="30">
        <v>344</v>
      </c>
      <c r="H14" s="30">
        <v>6880</v>
      </c>
      <c r="K14" s="68" t="s">
        <v>457</v>
      </c>
      <c r="L14" s="69"/>
      <c r="M14" s="70"/>
    </row>
    <row r="15" spans="1:14" x14ac:dyDescent="0.3">
      <c r="B15" s="43">
        <v>41834</v>
      </c>
      <c r="C15" s="2" t="s">
        <v>8</v>
      </c>
      <c r="D15" s="28" t="s">
        <v>124</v>
      </c>
      <c r="E15" s="30">
        <v>446</v>
      </c>
      <c r="F15" s="30">
        <v>451</v>
      </c>
      <c r="G15" s="30">
        <v>672</v>
      </c>
      <c r="H15" s="30">
        <v>-3360</v>
      </c>
      <c r="K15" s="16"/>
    </row>
    <row r="16" spans="1:14" x14ac:dyDescent="0.3">
      <c r="B16" s="43">
        <v>41835</v>
      </c>
      <c r="C16" s="2" t="s">
        <v>8</v>
      </c>
      <c r="D16" s="28" t="s">
        <v>173</v>
      </c>
      <c r="E16" s="30">
        <v>582</v>
      </c>
      <c r="F16" s="30">
        <v>577</v>
      </c>
      <c r="G16" s="30">
        <v>515</v>
      </c>
      <c r="H16" s="30">
        <v>2575</v>
      </c>
      <c r="K16" s="28"/>
      <c r="L16" s="30"/>
      <c r="M16" s="30"/>
      <c r="N16" s="30"/>
    </row>
    <row r="17" spans="2:14" x14ac:dyDescent="0.3">
      <c r="B17" s="43">
        <v>41836</v>
      </c>
      <c r="C17" s="2" t="s">
        <v>8</v>
      </c>
      <c r="D17" s="28" t="s">
        <v>107</v>
      </c>
      <c r="E17" s="30">
        <v>2150</v>
      </c>
      <c r="F17" s="30">
        <v>2125</v>
      </c>
      <c r="G17" s="30">
        <v>139</v>
      </c>
      <c r="H17" s="30">
        <v>3475</v>
      </c>
      <c r="K17" s="49"/>
      <c r="L17" s="30"/>
      <c r="M17" s="30"/>
      <c r="N17" s="30"/>
    </row>
    <row r="18" spans="2:14" x14ac:dyDescent="0.3">
      <c r="B18" s="43">
        <v>41837</v>
      </c>
      <c r="C18" s="2" t="s">
        <v>8</v>
      </c>
      <c r="D18" s="28" t="s">
        <v>19</v>
      </c>
      <c r="E18" s="30">
        <v>2548</v>
      </c>
      <c r="F18" s="30">
        <v>2568</v>
      </c>
      <c r="G18" s="30">
        <v>117</v>
      </c>
      <c r="H18" s="30">
        <v>-2340</v>
      </c>
      <c r="K18" s="49"/>
      <c r="L18" s="30"/>
      <c r="M18" s="30"/>
      <c r="N18" s="30"/>
    </row>
    <row r="19" spans="2:14" x14ac:dyDescent="0.3">
      <c r="B19" s="43">
        <v>41838</v>
      </c>
      <c r="C19" s="2" t="s">
        <v>8</v>
      </c>
      <c r="D19" s="28" t="s">
        <v>190</v>
      </c>
      <c r="E19" s="30">
        <v>550</v>
      </c>
      <c r="F19" s="30">
        <v>548</v>
      </c>
      <c r="G19" s="30">
        <v>545</v>
      </c>
      <c r="H19" s="30">
        <v>1090</v>
      </c>
      <c r="K19" s="49"/>
      <c r="L19" s="30"/>
      <c r="M19" s="30"/>
      <c r="N19" s="30"/>
    </row>
    <row r="20" spans="2:14" x14ac:dyDescent="0.3">
      <c r="B20" s="43">
        <v>41841</v>
      </c>
      <c r="C20" s="2" t="s">
        <v>11</v>
      </c>
      <c r="D20" s="28" t="s">
        <v>19</v>
      </c>
      <c r="E20" s="30">
        <v>2575</v>
      </c>
      <c r="F20" s="30">
        <v>2555</v>
      </c>
      <c r="G20" s="30">
        <v>116</v>
      </c>
      <c r="H20" s="30">
        <v>-2320</v>
      </c>
      <c r="K20" s="49"/>
      <c r="L20" s="30"/>
      <c r="M20" s="30"/>
      <c r="N20" s="30"/>
    </row>
    <row r="21" spans="2:14" x14ac:dyDescent="0.3">
      <c r="B21" s="43">
        <v>41842</v>
      </c>
      <c r="C21" s="2" t="s">
        <v>8</v>
      </c>
      <c r="D21" s="28" t="s">
        <v>184</v>
      </c>
      <c r="E21" s="30">
        <v>544</v>
      </c>
      <c r="F21" s="30">
        <v>547</v>
      </c>
      <c r="G21" s="30">
        <v>551</v>
      </c>
      <c r="H21" s="30">
        <v>-1653</v>
      </c>
      <c r="K21" s="16"/>
    </row>
    <row r="22" spans="2:14" x14ac:dyDescent="0.3">
      <c r="B22" s="43">
        <v>41843</v>
      </c>
      <c r="C22" s="2" t="s">
        <v>8</v>
      </c>
      <c r="D22" s="28" t="s">
        <v>431</v>
      </c>
      <c r="E22" s="30">
        <v>315</v>
      </c>
      <c r="F22" s="30">
        <v>308.5</v>
      </c>
      <c r="G22" s="30">
        <v>952</v>
      </c>
      <c r="H22" s="30">
        <v>6188</v>
      </c>
      <c r="K22" s="16"/>
    </row>
    <row r="23" spans="2:14" x14ac:dyDescent="0.3">
      <c r="B23" s="43">
        <v>41844</v>
      </c>
      <c r="C23" s="30" t="s">
        <v>8</v>
      </c>
      <c r="D23" s="30" t="s">
        <v>133</v>
      </c>
      <c r="E23" s="30">
        <v>1085</v>
      </c>
      <c r="F23" s="30">
        <v>1078</v>
      </c>
      <c r="G23" s="30">
        <v>276</v>
      </c>
      <c r="H23" s="30">
        <v>1932</v>
      </c>
      <c r="K23" s="16"/>
    </row>
    <row r="24" spans="2:14" x14ac:dyDescent="0.3">
      <c r="B24" s="43">
        <v>41845</v>
      </c>
      <c r="C24" s="28" t="s">
        <v>8</v>
      </c>
      <c r="D24" s="28" t="s">
        <v>433</v>
      </c>
      <c r="E24" s="30">
        <v>374</v>
      </c>
      <c r="F24" s="30">
        <v>366</v>
      </c>
      <c r="G24" s="30">
        <v>802</v>
      </c>
      <c r="H24" s="30">
        <v>6416</v>
      </c>
      <c r="K24" s="16"/>
    </row>
    <row r="25" spans="2:14" x14ac:dyDescent="0.3">
      <c r="B25" s="43">
        <v>41848</v>
      </c>
      <c r="C25" s="28" t="s">
        <v>8</v>
      </c>
      <c r="D25" s="30" t="s">
        <v>435</v>
      </c>
      <c r="E25" s="30">
        <v>246</v>
      </c>
      <c r="F25" s="30">
        <v>241</v>
      </c>
      <c r="G25" s="30">
        <v>1219</v>
      </c>
      <c r="H25" s="30">
        <v>6095</v>
      </c>
    </row>
    <row r="26" spans="2:14" ht="15.6" x14ac:dyDescent="0.3">
      <c r="B26" s="43">
        <v>41850</v>
      </c>
      <c r="C26" s="28" t="s">
        <v>8</v>
      </c>
      <c r="D26" s="28" t="s">
        <v>435</v>
      </c>
      <c r="E26" s="49" t="s">
        <v>436</v>
      </c>
      <c r="F26" s="49" t="s">
        <v>437</v>
      </c>
      <c r="G26" s="49" t="s">
        <v>438</v>
      </c>
      <c r="H26" s="64" t="s">
        <v>439</v>
      </c>
    </row>
    <row r="27" spans="2:14" ht="15.6" x14ac:dyDescent="0.3">
      <c r="B27" s="43">
        <v>41851</v>
      </c>
      <c r="C27" s="28" t="s">
        <v>8</v>
      </c>
      <c r="D27" s="28" t="s">
        <v>98</v>
      </c>
      <c r="E27" s="49" t="s">
        <v>440</v>
      </c>
      <c r="F27" s="49" t="s">
        <v>441</v>
      </c>
      <c r="G27" s="49" t="s">
        <v>442</v>
      </c>
      <c r="H27" s="62" t="s">
        <v>443</v>
      </c>
    </row>
    <row r="28" spans="2:14" ht="15.6" x14ac:dyDescent="0.3">
      <c r="C28" s="28"/>
      <c r="D28" s="28"/>
      <c r="E28" s="28"/>
      <c r="F28" s="28"/>
      <c r="G28" s="28"/>
      <c r="H28" s="65">
        <v>43408</v>
      </c>
    </row>
    <row r="29" spans="2:14" ht="15.6" x14ac:dyDescent="0.3">
      <c r="C29" s="28"/>
      <c r="D29" s="28"/>
      <c r="E29" s="28"/>
      <c r="F29" s="28"/>
      <c r="G29" s="28"/>
      <c r="H29" s="34"/>
    </row>
    <row r="30" spans="2:14" ht="15.6" x14ac:dyDescent="0.3">
      <c r="B30" s="43"/>
      <c r="C30" s="28"/>
      <c r="D30" s="28"/>
      <c r="E30" s="28"/>
      <c r="F30" s="28"/>
      <c r="G30" s="28"/>
      <c r="H30" s="34"/>
    </row>
    <row r="31" spans="2:14" x14ac:dyDescent="0.3">
      <c r="B31" s="43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41821</v>
      </c>
      <c r="C33" s="2" t="s">
        <v>8</v>
      </c>
      <c r="D33" s="2" t="s">
        <v>275</v>
      </c>
      <c r="E33" s="41" t="s">
        <v>415</v>
      </c>
      <c r="F33" s="40" t="s">
        <v>416</v>
      </c>
      <c r="G33" s="5">
        <v>500</v>
      </c>
      <c r="H33" s="40" t="s">
        <v>245</v>
      </c>
    </row>
    <row r="34" spans="2:8" x14ac:dyDescent="0.3">
      <c r="B34" s="43">
        <v>41822</v>
      </c>
      <c r="C34" s="30" t="s">
        <v>8</v>
      </c>
      <c r="D34" s="30" t="s">
        <v>422</v>
      </c>
      <c r="E34" s="30">
        <v>399</v>
      </c>
      <c r="F34" s="30">
        <v>395</v>
      </c>
      <c r="G34" s="30">
        <v>1000</v>
      </c>
      <c r="H34" s="30">
        <v>4000</v>
      </c>
    </row>
    <row r="35" spans="2:8" x14ac:dyDescent="0.3">
      <c r="B35" s="43">
        <v>41823</v>
      </c>
      <c r="C35" s="30" t="s">
        <v>8</v>
      </c>
      <c r="D35" s="30" t="s">
        <v>30</v>
      </c>
      <c r="E35" s="30">
        <v>358</v>
      </c>
      <c r="F35" s="30">
        <v>356</v>
      </c>
      <c r="G35" s="30">
        <v>1000</v>
      </c>
      <c r="H35" s="30">
        <v>2000</v>
      </c>
    </row>
    <row r="36" spans="2:8" x14ac:dyDescent="0.3">
      <c r="B36" s="43">
        <v>41824</v>
      </c>
      <c r="C36" s="30" t="s">
        <v>8</v>
      </c>
      <c r="D36" s="30" t="s">
        <v>184</v>
      </c>
      <c r="E36" s="30">
        <v>550</v>
      </c>
      <c r="F36" s="30">
        <v>542</v>
      </c>
      <c r="G36" s="30">
        <v>500</v>
      </c>
      <c r="H36" s="30">
        <v>4000</v>
      </c>
    </row>
    <row r="37" spans="2:8" x14ac:dyDescent="0.3">
      <c r="B37" s="43">
        <v>41827</v>
      </c>
      <c r="C37" s="30" t="s">
        <v>8</v>
      </c>
      <c r="D37" s="30" t="s">
        <v>429</v>
      </c>
      <c r="E37" s="30">
        <v>862</v>
      </c>
      <c r="F37" s="30">
        <v>856</v>
      </c>
      <c r="G37" s="30">
        <v>500</v>
      </c>
      <c r="H37" s="30">
        <v>3000</v>
      </c>
    </row>
    <row r="38" spans="2:8" x14ac:dyDescent="0.3">
      <c r="B38" s="43">
        <v>41828</v>
      </c>
      <c r="C38" s="30" t="s">
        <v>8</v>
      </c>
      <c r="D38" s="30" t="s">
        <v>371</v>
      </c>
      <c r="E38" s="30">
        <v>273</v>
      </c>
      <c r="F38" s="30">
        <v>266</v>
      </c>
      <c r="G38" s="30">
        <v>1000</v>
      </c>
      <c r="H38" s="30">
        <v>7000</v>
      </c>
    </row>
    <row r="39" spans="2:8" x14ac:dyDescent="0.3">
      <c r="B39" s="43">
        <v>41829</v>
      </c>
      <c r="C39" s="30" t="s">
        <v>8</v>
      </c>
      <c r="D39" s="30" t="s">
        <v>126</v>
      </c>
      <c r="E39" s="30">
        <v>2450</v>
      </c>
      <c r="F39" s="30">
        <v>2410</v>
      </c>
      <c r="G39" s="30">
        <v>125</v>
      </c>
      <c r="H39" s="30">
        <v>5000</v>
      </c>
    </row>
    <row r="40" spans="2:8" x14ac:dyDescent="0.3">
      <c r="B40" s="43">
        <v>41830</v>
      </c>
      <c r="C40" s="30" t="s">
        <v>8</v>
      </c>
      <c r="D40" s="30" t="s">
        <v>126</v>
      </c>
      <c r="E40" s="30">
        <v>2375</v>
      </c>
      <c r="F40" s="30">
        <v>2355</v>
      </c>
      <c r="G40" s="30">
        <v>124</v>
      </c>
      <c r="H40" s="30">
        <v>2500</v>
      </c>
    </row>
    <row r="41" spans="2:8" x14ac:dyDescent="0.3">
      <c r="B41" s="43">
        <v>41831</v>
      </c>
      <c r="C41" s="30" t="s">
        <v>8</v>
      </c>
      <c r="D41" s="30" t="s">
        <v>371</v>
      </c>
      <c r="E41" s="30">
        <v>255</v>
      </c>
      <c r="F41" s="30">
        <v>248</v>
      </c>
      <c r="G41" s="30">
        <v>1000</v>
      </c>
      <c r="H41" s="30">
        <v>7000</v>
      </c>
    </row>
    <row r="42" spans="2:8" x14ac:dyDescent="0.3">
      <c r="B42" s="43">
        <v>41834</v>
      </c>
      <c r="C42" s="30" t="s">
        <v>8</v>
      </c>
      <c r="D42" s="30" t="s">
        <v>85</v>
      </c>
      <c r="E42" s="30">
        <v>331</v>
      </c>
      <c r="F42" s="30">
        <v>328</v>
      </c>
      <c r="G42" s="30">
        <v>1000</v>
      </c>
      <c r="H42" s="30">
        <v>3000</v>
      </c>
    </row>
    <row r="43" spans="2:8" x14ac:dyDescent="0.3">
      <c r="B43" s="43">
        <v>41835</v>
      </c>
      <c r="C43" s="30" t="s">
        <v>8</v>
      </c>
      <c r="D43" s="30" t="s">
        <v>160</v>
      </c>
      <c r="E43" s="30">
        <v>434</v>
      </c>
      <c r="F43" s="30">
        <v>430</v>
      </c>
      <c r="G43" s="30">
        <v>1000</v>
      </c>
      <c r="H43" s="30">
        <v>4000</v>
      </c>
    </row>
    <row r="44" spans="2:8" x14ac:dyDescent="0.3">
      <c r="B44" s="43">
        <v>41836</v>
      </c>
      <c r="C44" s="30" t="s">
        <v>8</v>
      </c>
      <c r="D44" s="30" t="s">
        <v>13</v>
      </c>
      <c r="E44" s="30">
        <v>767</v>
      </c>
      <c r="F44" s="30">
        <v>761</v>
      </c>
      <c r="G44" s="30">
        <v>500</v>
      </c>
      <c r="H44" s="30">
        <v>3000</v>
      </c>
    </row>
    <row r="45" spans="2:8" x14ac:dyDescent="0.3">
      <c r="B45" s="43">
        <v>41837</v>
      </c>
      <c r="C45" s="30" t="s">
        <v>8</v>
      </c>
      <c r="D45" s="30" t="s">
        <v>275</v>
      </c>
      <c r="E45" s="30">
        <v>587</v>
      </c>
      <c r="F45" s="30">
        <v>591</v>
      </c>
      <c r="G45" s="30">
        <v>500</v>
      </c>
      <c r="H45" s="30">
        <v>-2000</v>
      </c>
    </row>
    <row r="46" spans="2:8" x14ac:dyDescent="0.3">
      <c r="B46" s="43">
        <v>41838</v>
      </c>
      <c r="C46" s="30" t="s">
        <v>8</v>
      </c>
      <c r="D46" s="30" t="s">
        <v>105</v>
      </c>
      <c r="E46" s="30">
        <v>317</v>
      </c>
      <c r="F46" s="30">
        <v>310</v>
      </c>
      <c r="G46" s="30">
        <v>1000</v>
      </c>
      <c r="H46" s="30">
        <v>7000</v>
      </c>
    </row>
    <row r="47" spans="2:8" x14ac:dyDescent="0.3">
      <c r="B47" s="43">
        <v>41841</v>
      </c>
      <c r="C47" s="30" t="s">
        <v>8</v>
      </c>
      <c r="D47" s="30" t="s">
        <v>308</v>
      </c>
      <c r="E47" s="30">
        <v>397</v>
      </c>
      <c r="F47" s="30">
        <v>391</v>
      </c>
      <c r="G47" s="30">
        <v>100</v>
      </c>
      <c r="H47" s="30">
        <v>6000</v>
      </c>
    </row>
    <row r="48" spans="2:8" x14ac:dyDescent="0.3">
      <c r="B48" s="43">
        <v>41842</v>
      </c>
      <c r="C48" s="30" t="s">
        <v>8</v>
      </c>
      <c r="D48" s="28" t="s">
        <v>107</v>
      </c>
      <c r="E48" s="30">
        <v>2075</v>
      </c>
      <c r="F48" s="30">
        <v>2075</v>
      </c>
      <c r="G48" s="30">
        <v>125</v>
      </c>
      <c r="H48" s="28">
        <v>0</v>
      </c>
    </row>
    <row r="49" spans="2:10" x14ac:dyDescent="0.3">
      <c r="B49" s="43">
        <v>41843</v>
      </c>
      <c r="C49" s="30" t="s">
        <v>8</v>
      </c>
      <c r="D49" s="30" t="s">
        <v>117</v>
      </c>
      <c r="E49" s="30">
        <v>219.5</v>
      </c>
      <c r="F49" s="30">
        <v>214.5</v>
      </c>
      <c r="G49" s="30">
        <v>2000</v>
      </c>
      <c r="H49" s="30">
        <v>10000</v>
      </c>
    </row>
    <row r="50" spans="2:10" x14ac:dyDescent="0.3">
      <c r="B50" s="43">
        <v>41844</v>
      </c>
      <c r="C50" s="30" t="s">
        <v>8</v>
      </c>
      <c r="D50" s="30" t="s">
        <v>308</v>
      </c>
      <c r="E50" s="30">
        <v>394</v>
      </c>
      <c r="F50" s="30">
        <v>397</v>
      </c>
      <c r="G50" s="30">
        <v>1000</v>
      </c>
      <c r="H50" s="30">
        <v>-3000</v>
      </c>
    </row>
    <row r="51" spans="2:10" x14ac:dyDescent="0.3">
      <c r="B51" s="43">
        <v>41845</v>
      </c>
      <c r="C51" s="30" t="s">
        <v>8</v>
      </c>
      <c r="D51" s="30" t="s">
        <v>371</v>
      </c>
      <c r="E51" s="30">
        <v>240</v>
      </c>
      <c r="F51" s="30">
        <v>235.5</v>
      </c>
      <c r="G51" s="30">
        <v>1000</v>
      </c>
      <c r="H51" s="30">
        <v>4500</v>
      </c>
    </row>
    <row r="52" spans="2:10" x14ac:dyDescent="0.3">
      <c r="B52" s="43">
        <v>41848</v>
      </c>
      <c r="C52" s="30" t="s">
        <v>8</v>
      </c>
      <c r="D52" s="30" t="s">
        <v>160</v>
      </c>
      <c r="E52" s="30">
        <v>444</v>
      </c>
      <c r="F52" s="30">
        <v>438</v>
      </c>
      <c r="G52" s="30">
        <v>1000</v>
      </c>
      <c r="H52" s="30">
        <v>6000</v>
      </c>
    </row>
    <row r="53" spans="2:10" ht="15.6" x14ac:dyDescent="0.3">
      <c r="B53" s="43">
        <v>41850</v>
      </c>
      <c r="C53" s="30" t="s">
        <v>8</v>
      </c>
      <c r="D53" s="30" t="s">
        <v>371</v>
      </c>
      <c r="E53" s="30">
        <v>234</v>
      </c>
      <c r="F53" s="30">
        <v>234</v>
      </c>
      <c r="G53" s="30">
        <v>1000</v>
      </c>
      <c r="H53" s="36">
        <v>0</v>
      </c>
    </row>
    <row r="54" spans="2:10" x14ac:dyDescent="0.3">
      <c r="B54" s="43">
        <v>41851</v>
      </c>
      <c r="C54" s="30" t="s">
        <v>8</v>
      </c>
      <c r="D54" s="30" t="s">
        <v>29</v>
      </c>
      <c r="E54" s="30">
        <v>1558</v>
      </c>
      <c r="F54" s="30">
        <v>1543</v>
      </c>
      <c r="G54" s="30">
        <v>250</v>
      </c>
      <c r="H54" s="30">
        <v>3750</v>
      </c>
    </row>
    <row r="55" spans="2:10" ht="15.6" x14ac:dyDescent="0.3">
      <c r="B55" s="43"/>
      <c r="C55" s="30"/>
      <c r="D55" s="30"/>
      <c r="E55" s="30"/>
      <c r="F55" s="30"/>
      <c r="G55" s="30"/>
      <c r="H55" s="33">
        <v>80250</v>
      </c>
    </row>
    <row r="56" spans="2:10" ht="15.6" x14ac:dyDescent="0.3">
      <c r="B56" s="1"/>
      <c r="H56" s="34"/>
    </row>
    <row r="57" spans="2:10" x14ac:dyDescent="0.3">
      <c r="B57" s="1"/>
    </row>
    <row r="58" spans="2:10" ht="15.6" x14ac:dyDescent="0.3">
      <c r="B58" s="48" t="s">
        <v>63</v>
      </c>
      <c r="C58" s="48"/>
      <c r="D58" s="48"/>
      <c r="E58" s="48"/>
      <c r="F58" s="48"/>
      <c r="G58" s="48"/>
      <c r="H58" s="48"/>
    </row>
    <row r="59" spans="2:10" x14ac:dyDescent="0.3">
      <c r="B59" s="43">
        <v>41821</v>
      </c>
      <c r="C59" s="2" t="s">
        <v>417</v>
      </c>
      <c r="D59" s="2" t="s">
        <v>39</v>
      </c>
      <c r="E59" s="41" t="s">
        <v>418</v>
      </c>
      <c r="F59" s="40" t="s">
        <v>419</v>
      </c>
      <c r="G59" s="41" t="s">
        <v>217</v>
      </c>
      <c r="H59" s="41" t="s">
        <v>423</v>
      </c>
      <c r="J59" s="1"/>
    </row>
    <row r="60" spans="2:10" x14ac:dyDescent="0.3">
      <c r="B60" s="43">
        <v>41822</v>
      </c>
      <c r="C60" s="30" t="s">
        <v>9</v>
      </c>
      <c r="D60" s="30" t="s">
        <v>39</v>
      </c>
      <c r="E60" s="30">
        <v>7720</v>
      </c>
      <c r="F60" s="30">
        <v>7755</v>
      </c>
      <c r="G60" s="30">
        <v>100</v>
      </c>
      <c r="H60" s="30">
        <v>3500</v>
      </c>
      <c r="J60" s="1"/>
    </row>
    <row r="61" spans="2:10" x14ac:dyDescent="0.3">
      <c r="B61" s="43">
        <v>41823</v>
      </c>
      <c r="C61" s="30" t="s">
        <v>417</v>
      </c>
      <c r="D61" s="30" t="s">
        <v>39</v>
      </c>
      <c r="E61" s="30">
        <v>7745</v>
      </c>
      <c r="F61" s="30">
        <v>7725</v>
      </c>
      <c r="G61" s="30">
        <v>100</v>
      </c>
      <c r="H61" s="30">
        <v>2000</v>
      </c>
      <c r="J61" s="1"/>
    </row>
    <row r="62" spans="2:10" x14ac:dyDescent="0.3">
      <c r="B62" s="43">
        <v>41824</v>
      </c>
      <c r="C62" s="30" t="s">
        <v>417</v>
      </c>
      <c r="D62" s="30" t="s">
        <v>39</v>
      </c>
      <c r="E62" s="30">
        <v>7755</v>
      </c>
      <c r="F62" s="30">
        <v>7690</v>
      </c>
      <c r="G62" s="30">
        <v>100</v>
      </c>
      <c r="H62" s="30">
        <v>6500</v>
      </c>
      <c r="J62" s="1"/>
    </row>
    <row r="63" spans="2:10" x14ac:dyDescent="0.3">
      <c r="B63" s="43">
        <v>41827</v>
      </c>
      <c r="C63" s="30" t="s">
        <v>417</v>
      </c>
      <c r="D63" s="30" t="s">
        <v>39</v>
      </c>
      <c r="E63" s="30">
        <v>7795</v>
      </c>
      <c r="F63" s="30">
        <v>7775</v>
      </c>
      <c r="G63" s="30">
        <v>100</v>
      </c>
      <c r="H63" s="30">
        <v>2000</v>
      </c>
      <c r="J63" s="1"/>
    </row>
    <row r="64" spans="2:10" x14ac:dyDescent="0.3">
      <c r="B64" s="43">
        <v>41828</v>
      </c>
      <c r="C64" s="30" t="s">
        <v>417</v>
      </c>
      <c r="D64" s="30" t="s">
        <v>39</v>
      </c>
      <c r="E64" s="30">
        <v>7775</v>
      </c>
      <c r="F64" s="30">
        <v>7720</v>
      </c>
      <c r="G64" s="30">
        <v>100</v>
      </c>
      <c r="H64" s="30">
        <v>5500</v>
      </c>
      <c r="J64" s="1"/>
    </row>
    <row r="65" spans="2:10" x14ac:dyDescent="0.3">
      <c r="B65" s="43">
        <v>41829</v>
      </c>
      <c r="C65" s="30" t="s">
        <v>417</v>
      </c>
      <c r="D65" s="30" t="s">
        <v>39</v>
      </c>
      <c r="E65" s="30">
        <v>7590</v>
      </c>
      <c r="F65" s="30">
        <v>7610</v>
      </c>
      <c r="G65" s="30">
        <v>100</v>
      </c>
      <c r="H65" s="30">
        <v>-2000</v>
      </c>
      <c r="J65" s="46"/>
    </row>
    <row r="66" spans="2:10" x14ac:dyDescent="0.3">
      <c r="B66" s="43">
        <v>41830</v>
      </c>
      <c r="C66" s="30" t="s">
        <v>417</v>
      </c>
      <c r="D66" s="30" t="s">
        <v>39</v>
      </c>
      <c r="E66" s="30">
        <v>7595</v>
      </c>
      <c r="F66" s="30">
        <v>7540</v>
      </c>
      <c r="G66" s="30">
        <v>100</v>
      </c>
      <c r="H66" s="30">
        <v>5500</v>
      </c>
      <c r="J66" s="46"/>
    </row>
    <row r="67" spans="2:10" x14ac:dyDescent="0.3">
      <c r="B67" s="43">
        <v>41830</v>
      </c>
      <c r="C67" s="30" t="s">
        <v>417</v>
      </c>
      <c r="D67" s="30" t="s">
        <v>39</v>
      </c>
      <c r="E67" s="30">
        <v>7540</v>
      </c>
      <c r="F67" s="30">
        <v>7490</v>
      </c>
      <c r="G67" s="30">
        <v>100</v>
      </c>
      <c r="H67" s="30">
        <v>5000</v>
      </c>
      <c r="J67" s="46"/>
    </row>
    <row r="68" spans="2:10" x14ac:dyDescent="0.3">
      <c r="B68" s="43">
        <v>41831</v>
      </c>
      <c r="C68" s="30" t="s">
        <v>417</v>
      </c>
      <c r="D68" s="30" t="s">
        <v>39</v>
      </c>
      <c r="E68" s="30">
        <v>7580</v>
      </c>
      <c r="F68" s="30">
        <v>7520</v>
      </c>
      <c r="G68" s="30">
        <v>100</v>
      </c>
      <c r="H68" s="30">
        <v>6000</v>
      </c>
      <c r="J68" s="46"/>
    </row>
    <row r="69" spans="2:10" x14ac:dyDescent="0.3">
      <c r="B69" s="43">
        <v>41834</v>
      </c>
      <c r="C69" s="30" t="s">
        <v>417</v>
      </c>
      <c r="D69" s="30" t="s">
        <v>39</v>
      </c>
      <c r="E69" s="30">
        <v>7480</v>
      </c>
      <c r="F69" s="30">
        <v>7455</v>
      </c>
      <c r="G69" s="30">
        <v>100</v>
      </c>
      <c r="H69" s="30">
        <v>2500</v>
      </c>
      <c r="J69" s="46"/>
    </row>
    <row r="70" spans="2:10" x14ac:dyDescent="0.3">
      <c r="B70" s="43">
        <v>41835</v>
      </c>
      <c r="C70" s="30" t="s">
        <v>417</v>
      </c>
      <c r="D70" s="30" t="s">
        <v>39</v>
      </c>
      <c r="E70" s="30">
        <v>7530</v>
      </c>
      <c r="F70" s="30">
        <v>7475</v>
      </c>
      <c r="G70" s="30">
        <v>100</v>
      </c>
      <c r="H70" s="30">
        <v>5500</v>
      </c>
      <c r="J70" s="46"/>
    </row>
    <row r="71" spans="2:10" x14ac:dyDescent="0.3">
      <c r="B71" s="43">
        <v>41836</v>
      </c>
      <c r="C71" s="30" t="s">
        <v>417</v>
      </c>
      <c r="D71" s="30" t="s">
        <v>39</v>
      </c>
      <c r="E71" s="30">
        <v>7560</v>
      </c>
      <c r="F71" s="30">
        <v>7540</v>
      </c>
      <c r="G71" s="30">
        <v>100</v>
      </c>
      <c r="H71" s="30">
        <v>2000</v>
      </c>
      <c r="J71" s="46"/>
    </row>
    <row r="72" spans="2:10" x14ac:dyDescent="0.3">
      <c r="B72" s="43">
        <v>41837</v>
      </c>
      <c r="C72" s="30" t="s">
        <v>417</v>
      </c>
      <c r="D72" s="30" t="s">
        <v>39</v>
      </c>
      <c r="E72" s="30">
        <v>7645</v>
      </c>
      <c r="F72" s="30">
        <v>7630</v>
      </c>
      <c r="G72" s="30">
        <v>100</v>
      </c>
      <c r="H72" s="30">
        <v>1500</v>
      </c>
      <c r="J72" s="47"/>
    </row>
    <row r="73" spans="2:10" x14ac:dyDescent="0.3">
      <c r="B73" s="43">
        <v>41838</v>
      </c>
      <c r="C73" s="30" t="s">
        <v>417</v>
      </c>
      <c r="D73" s="30" t="s">
        <v>39</v>
      </c>
      <c r="E73" s="30">
        <v>7615</v>
      </c>
      <c r="F73" s="30">
        <v>7640</v>
      </c>
      <c r="G73" s="30">
        <v>100</v>
      </c>
      <c r="H73" s="30">
        <v>-2500</v>
      </c>
      <c r="J73" s="46"/>
    </row>
    <row r="74" spans="2:10" x14ac:dyDescent="0.3">
      <c r="B74" s="43">
        <v>41841</v>
      </c>
      <c r="C74" s="30" t="s">
        <v>417</v>
      </c>
      <c r="D74" s="30" t="s">
        <v>39</v>
      </c>
      <c r="E74" s="30">
        <v>7700</v>
      </c>
      <c r="F74" s="30">
        <v>7680</v>
      </c>
      <c r="G74" s="30">
        <v>100</v>
      </c>
      <c r="H74" s="30">
        <v>2000</v>
      </c>
      <c r="J74" s="46"/>
    </row>
    <row r="75" spans="2:10" x14ac:dyDescent="0.3">
      <c r="B75" s="43">
        <v>41842</v>
      </c>
      <c r="C75" s="30" t="s">
        <v>9</v>
      </c>
      <c r="D75" s="30" t="s">
        <v>39</v>
      </c>
      <c r="E75" s="30">
        <v>7715</v>
      </c>
      <c r="F75" s="30">
        <v>7770</v>
      </c>
      <c r="G75" s="30">
        <v>100</v>
      </c>
      <c r="H75" s="30">
        <v>5500</v>
      </c>
      <c r="J75" s="46"/>
    </row>
    <row r="76" spans="2:10" x14ac:dyDescent="0.3">
      <c r="B76" s="43">
        <v>41843</v>
      </c>
      <c r="C76" s="30" t="s">
        <v>417</v>
      </c>
      <c r="D76" s="30" t="s">
        <v>39</v>
      </c>
      <c r="E76" s="30">
        <v>7800</v>
      </c>
      <c r="F76" s="30">
        <v>7750</v>
      </c>
      <c r="G76" s="30">
        <v>100</v>
      </c>
      <c r="H76" s="30">
        <v>5000</v>
      </c>
    </row>
    <row r="77" spans="2:10" x14ac:dyDescent="0.3">
      <c r="B77" s="43">
        <v>41844</v>
      </c>
      <c r="C77" s="30" t="s">
        <v>417</v>
      </c>
      <c r="D77" s="30" t="s">
        <v>39</v>
      </c>
      <c r="E77" s="30">
        <v>7775</v>
      </c>
      <c r="F77" s="30">
        <v>7805</v>
      </c>
      <c r="G77" s="30">
        <v>100</v>
      </c>
      <c r="H77" s="30">
        <v>-3000</v>
      </c>
    </row>
    <row r="78" spans="2:10" x14ac:dyDescent="0.3">
      <c r="B78" s="43">
        <v>41845</v>
      </c>
      <c r="C78" s="30" t="s">
        <v>417</v>
      </c>
      <c r="D78" s="30" t="s">
        <v>39</v>
      </c>
      <c r="E78" s="30">
        <v>7820</v>
      </c>
      <c r="F78" s="30">
        <v>7765</v>
      </c>
      <c r="G78" s="30">
        <v>100</v>
      </c>
      <c r="H78" s="30">
        <v>5500</v>
      </c>
    </row>
    <row r="79" spans="2:10" x14ac:dyDescent="0.3">
      <c r="B79" s="43">
        <v>41848</v>
      </c>
      <c r="C79" s="30" t="s">
        <v>417</v>
      </c>
      <c r="D79" s="30" t="s">
        <v>39</v>
      </c>
      <c r="E79" s="30">
        <v>7795</v>
      </c>
      <c r="F79" s="30">
        <v>7740</v>
      </c>
      <c r="G79" s="30">
        <v>100</v>
      </c>
      <c r="H79" s="30">
        <v>5500</v>
      </c>
    </row>
    <row r="80" spans="2:10" x14ac:dyDescent="0.3">
      <c r="B80" s="43">
        <v>41850</v>
      </c>
      <c r="C80" s="30" t="s">
        <v>417</v>
      </c>
      <c r="D80" s="30" t="s">
        <v>39</v>
      </c>
      <c r="E80" s="30">
        <v>7748</v>
      </c>
      <c r="F80" s="30">
        <v>7715</v>
      </c>
      <c r="G80" s="30">
        <v>100</v>
      </c>
      <c r="H80" s="49">
        <v>3300</v>
      </c>
    </row>
    <row r="81" spans="2:8" x14ac:dyDescent="0.3">
      <c r="B81" s="43">
        <v>41851</v>
      </c>
      <c r="C81" s="30" t="s">
        <v>417</v>
      </c>
      <c r="D81" s="30" t="s">
        <v>444</v>
      </c>
      <c r="E81" s="30">
        <v>7815</v>
      </c>
      <c r="F81" s="30">
        <v>7770</v>
      </c>
      <c r="G81" s="30">
        <v>100</v>
      </c>
      <c r="H81" s="49" t="s">
        <v>446</v>
      </c>
    </row>
    <row r="82" spans="2:8" ht="15.6" x14ac:dyDescent="0.3">
      <c r="B82" s="43"/>
      <c r="C82" s="30"/>
      <c r="D82" s="30"/>
      <c r="E82" s="30"/>
      <c r="F82" s="30"/>
      <c r="G82" s="30"/>
      <c r="H82" s="65">
        <v>71150</v>
      </c>
    </row>
    <row r="83" spans="2:8" ht="15.6" x14ac:dyDescent="0.3">
      <c r="B83" s="43"/>
      <c r="C83" s="30"/>
      <c r="D83" s="30"/>
      <c r="E83" s="30"/>
      <c r="F83" s="30"/>
      <c r="G83" s="30"/>
      <c r="H83" s="36"/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41821</v>
      </c>
      <c r="C86" s="3" t="s">
        <v>9</v>
      </c>
      <c r="D86" s="3" t="s">
        <v>377</v>
      </c>
      <c r="E86" s="40" t="s">
        <v>420</v>
      </c>
      <c r="F86" s="40" t="s">
        <v>421</v>
      </c>
      <c r="G86" s="30">
        <v>250</v>
      </c>
      <c r="H86" s="8">
        <v>750</v>
      </c>
    </row>
    <row r="87" spans="2:8" x14ac:dyDescent="0.3">
      <c r="B87" s="43">
        <v>41822</v>
      </c>
      <c r="C87" s="3" t="s">
        <v>9</v>
      </c>
      <c r="D87" s="3" t="s">
        <v>424</v>
      </c>
      <c r="E87" s="30">
        <v>110</v>
      </c>
      <c r="F87" s="30">
        <v>125</v>
      </c>
      <c r="G87" s="30">
        <v>200</v>
      </c>
      <c r="H87" s="30">
        <v>3000</v>
      </c>
    </row>
    <row r="88" spans="2:8" x14ac:dyDescent="0.3">
      <c r="B88" s="43">
        <v>41823</v>
      </c>
      <c r="C88" s="3" t="s">
        <v>9</v>
      </c>
      <c r="D88" s="3" t="s">
        <v>425</v>
      </c>
      <c r="E88" s="30">
        <v>128</v>
      </c>
      <c r="F88" s="30">
        <v>155</v>
      </c>
      <c r="G88" s="30">
        <v>200</v>
      </c>
      <c r="H88" s="30">
        <v>5400</v>
      </c>
    </row>
    <row r="89" spans="2:8" x14ac:dyDescent="0.3">
      <c r="B89" s="43">
        <v>41824</v>
      </c>
      <c r="C89" s="30" t="s">
        <v>9</v>
      </c>
      <c r="D89" s="30" t="s">
        <v>428</v>
      </c>
      <c r="E89" s="30">
        <v>73</v>
      </c>
      <c r="F89" s="30">
        <v>65</v>
      </c>
      <c r="G89" s="30">
        <v>250</v>
      </c>
      <c r="H89" s="30">
        <v>-2000</v>
      </c>
    </row>
    <row r="90" spans="2:8" x14ac:dyDescent="0.3">
      <c r="B90" s="43">
        <v>41827</v>
      </c>
      <c r="C90" s="30" t="s">
        <v>9</v>
      </c>
      <c r="D90" s="30" t="s">
        <v>425</v>
      </c>
      <c r="E90" s="30">
        <v>114</v>
      </c>
      <c r="F90" s="30">
        <v>140</v>
      </c>
      <c r="G90" s="30">
        <v>200</v>
      </c>
      <c r="H90" s="30">
        <v>5200</v>
      </c>
    </row>
    <row r="91" spans="2:8" x14ac:dyDescent="0.3">
      <c r="B91" s="43">
        <v>41828</v>
      </c>
      <c r="C91" s="30" t="s">
        <v>9</v>
      </c>
      <c r="D91" s="30" t="s">
        <v>425</v>
      </c>
      <c r="E91" s="30">
        <v>125</v>
      </c>
      <c r="F91" s="30">
        <v>152</v>
      </c>
      <c r="G91" s="30">
        <v>200</v>
      </c>
      <c r="H91" s="30">
        <v>5400</v>
      </c>
    </row>
    <row r="92" spans="2:8" x14ac:dyDescent="0.3">
      <c r="B92" s="43">
        <v>41829</v>
      </c>
      <c r="C92" s="30" t="s">
        <v>11</v>
      </c>
      <c r="D92" s="30" t="s">
        <v>404</v>
      </c>
      <c r="E92" s="30">
        <v>130</v>
      </c>
      <c r="F92" s="30">
        <v>142</v>
      </c>
      <c r="G92" s="30">
        <v>200</v>
      </c>
      <c r="H92" s="30">
        <v>2400</v>
      </c>
    </row>
    <row r="93" spans="2:8" x14ac:dyDescent="0.3">
      <c r="B93" s="43">
        <v>41830</v>
      </c>
      <c r="C93" s="30" t="s">
        <v>9</v>
      </c>
      <c r="D93" s="30" t="s">
        <v>404</v>
      </c>
      <c r="E93" s="30">
        <v>160</v>
      </c>
      <c r="F93" s="30">
        <v>188</v>
      </c>
      <c r="G93" s="30">
        <v>200</v>
      </c>
      <c r="H93" s="30">
        <v>5600</v>
      </c>
    </row>
    <row r="94" spans="2:8" x14ac:dyDescent="0.3">
      <c r="B94" s="43">
        <v>41830</v>
      </c>
      <c r="C94" s="30" t="s">
        <v>9</v>
      </c>
      <c r="D94" s="30" t="s">
        <v>404</v>
      </c>
      <c r="E94" s="30">
        <v>140</v>
      </c>
      <c r="F94" s="30">
        <v>170</v>
      </c>
      <c r="G94" s="30">
        <v>200</v>
      </c>
      <c r="H94" s="30">
        <v>6000</v>
      </c>
    </row>
    <row r="95" spans="2:8" x14ac:dyDescent="0.3">
      <c r="B95" s="43">
        <v>41831</v>
      </c>
      <c r="C95" s="30" t="s">
        <v>9</v>
      </c>
      <c r="D95" s="30" t="s">
        <v>404</v>
      </c>
      <c r="E95" s="30">
        <v>117</v>
      </c>
      <c r="F95" s="30">
        <v>150</v>
      </c>
      <c r="G95" s="30">
        <v>200</v>
      </c>
      <c r="H95" s="30">
        <v>6600</v>
      </c>
    </row>
    <row r="96" spans="2:8" x14ac:dyDescent="0.3">
      <c r="B96" s="43">
        <v>41834</v>
      </c>
      <c r="C96" s="30" t="s">
        <v>9</v>
      </c>
      <c r="D96" s="30" t="s">
        <v>393</v>
      </c>
      <c r="E96" s="30">
        <v>110</v>
      </c>
      <c r="F96" s="30">
        <v>120</v>
      </c>
      <c r="G96" s="30">
        <v>200</v>
      </c>
      <c r="H96" s="30">
        <v>2000</v>
      </c>
    </row>
    <row r="97" spans="2:8" x14ac:dyDescent="0.3">
      <c r="B97" s="43">
        <v>41835</v>
      </c>
      <c r="C97" s="30" t="s">
        <v>9</v>
      </c>
      <c r="D97" s="30" t="s">
        <v>393</v>
      </c>
      <c r="E97" s="30">
        <v>75</v>
      </c>
      <c r="F97" s="30">
        <v>100</v>
      </c>
      <c r="G97" s="30">
        <v>200</v>
      </c>
      <c r="H97" s="30">
        <v>5000</v>
      </c>
    </row>
    <row r="98" spans="2:8" x14ac:dyDescent="0.3">
      <c r="B98" s="43">
        <v>41836</v>
      </c>
      <c r="C98" s="30" t="s">
        <v>9</v>
      </c>
      <c r="D98" s="30" t="s">
        <v>404</v>
      </c>
      <c r="E98" s="30">
        <v>100</v>
      </c>
      <c r="F98" s="30">
        <v>120</v>
      </c>
      <c r="G98" s="30">
        <v>200</v>
      </c>
      <c r="H98" s="30">
        <v>4000</v>
      </c>
    </row>
    <row r="99" spans="2:8" x14ac:dyDescent="0.3">
      <c r="B99" s="43">
        <v>41837</v>
      </c>
      <c r="C99" s="30" t="s">
        <v>9</v>
      </c>
      <c r="D99" s="30" t="s">
        <v>425</v>
      </c>
      <c r="E99" s="30">
        <v>110</v>
      </c>
      <c r="F99" s="30">
        <v>105</v>
      </c>
      <c r="G99" s="30">
        <v>200</v>
      </c>
      <c r="H99" s="30">
        <v>-1000</v>
      </c>
    </row>
    <row r="100" spans="2:8" x14ac:dyDescent="0.3">
      <c r="B100" s="43">
        <v>41838</v>
      </c>
      <c r="C100" s="30" t="s">
        <v>9</v>
      </c>
      <c r="D100" s="30" t="s">
        <v>425</v>
      </c>
      <c r="E100" s="30">
        <v>125</v>
      </c>
      <c r="F100" s="30">
        <v>105</v>
      </c>
      <c r="G100" s="30">
        <v>200</v>
      </c>
      <c r="H100" s="30">
        <v>-4000</v>
      </c>
    </row>
    <row r="101" spans="2:8" x14ac:dyDescent="0.3">
      <c r="B101" s="43">
        <v>41841</v>
      </c>
      <c r="C101" s="30" t="s">
        <v>9</v>
      </c>
      <c r="D101" s="30" t="s">
        <v>430</v>
      </c>
      <c r="E101" s="30">
        <v>45</v>
      </c>
      <c r="F101" s="30">
        <v>53</v>
      </c>
      <c r="G101" s="30">
        <v>250</v>
      </c>
      <c r="H101" s="30">
        <v>2000</v>
      </c>
    </row>
    <row r="102" spans="2:8" x14ac:dyDescent="0.3">
      <c r="B102" s="43">
        <v>41842</v>
      </c>
      <c r="C102" s="30" t="s">
        <v>9</v>
      </c>
      <c r="D102" s="30" t="s">
        <v>411</v>
      </c>
      <c r="E102" s="30">
        <v>76</v>
      </c>
      <c r="F102" s="30">
        <v>96</v>
      </c>
      <c r="G102" s="30">
        <v>200</v>
      </c>
      <c r="H102" s="30">
        <v>4000</v>
      </c>
    </row>
    <row r="103" spans="2:8" x14ac:dyDescent="0.3">
      <c r="B103" s="43">
        <v>41843</v>
      </c>
      <c r="C103" s="30" t="s">
        <v>9</v>
      </c>
      <c r="D103" s="30" t="s">
        <v>432</v>
      </c>
      <c r="E103" s="30">
        <v>53</v>
      </c>
      <c r="F103" s="30">
        <v>80</v>
      </c>
      <c r="G103" s="30">
        <v>200</v>
      </c>
      <c r="H103" s="30">
        <v>5400</v>
      </c>
    </row>
    <row r="104" spans="2:8" x14ac:dyDescent="0.3">
      <c r="B104" s="43">
        <v>41844</v>
      </c>
      <c r="C104" s="30" t="s">
        <v>11</v>
      </c>
      <c r="D104" s="30" t="s">
        <v>432</v>
      </c>
      <c r="E104" s="30">
        <v>65</v>
      </c>
      <c r="F104" s="30">
        <v>50</v>
      </c>
      <c r="G104" s="30">
        <v>200</v>
      </c>
      <c r="H104" s="30">
        <v>-3000</v>
      </c>
    </row>
    <row r="105" spans="2:8" x14ac:dyDescent="0.3">
      <c r="B105" s="43">
        <v>41845</v>
      </c>
      <c r="C105" s="30" t="s">
        <v>9</v>
      </c>
      <c r="D105" s="30" t="s">
        <v>434</v>
      </c>
      <c r="E105" s="30">
        <v>95</v>
      </c>
      <c r="F105" s="30">
        <v>130</v>
      </c>
      <c r="G105" s="30">
        <v>200</v>
      </c>
      <c r="H105" s="30">
        <v>7000</v>
      </c>
    </row>
    <row r="106" spans="2:8" x14ac:dyDescent="0.3">
      <c r="B106" s="43">
        <v>41848</v>
      </c>
      <c r="C106" s="30" t="s">
        <v>9</v>
      </c>
      <c r="D106" s="30" t="s">
        <v>434</v>
      </c>
      <c r="E106" s="30">
        <v>110</v>
      </c>
      <c r="F106" s="30">
        <v>145</v>
      </c>
      <c r="G106" s="30">
        <v>200</v>
      </c>
      <c r="H106" s="30">
        <v>7000</v>
      </c>
    </row>
    <row r="107" spans="2:8" x14ac:dyDescent="0.3">
      <c r="B107" s="43">
        <v>41850</v>
      </c>
      <c r="C107" s="30" t="s">
        <v>9</v>
      </c>
      <c r="D107" s="30" t="s">
        <v>432</v>
      </c>
      <c r="E107" s="30">
        <v>65</v>
      </c>
      <c r="F107" s="30">
        <v>85</v>
      </c>
      <c r="G107" s="30">
        <v>200</v>
      </c>
      <c r="H107" s="30">
        <v>4000</v>
      </c>
    </row>
    <row r="108" spans="2:8" x14ac:dyDescent="0.3">
      <c r="B108" s="43">
        <v>41851</v>
      </c>
      <c r="C108" s="30" t="s">
        <v>9</v>
      </c>
      <c r="D108" s="30" t="s">
        <v>445</v>
      </c>
      <c r="E108" s="30">
        <v>104</v>
      </c>
      <c r="F108" s="30">
        <v>138</v>
      </c>
      <c r="G108" s="30">
        <v>200</v>
      </c>
      <c r="H108" s="30">
        <v>6800</v>
      </c>
    </row>
    <row r="109" spans="2:8" ht="15.6" x14ac:dyDescent="0.3">
      <c r="B109" s="43"/>
      <c r="C109" s="30"/>
      <c r="D109" s="30"/>
      <c r="E109" s="30"/>
      <c r="F109" s="30"/>
      <c r="G109" s="30"/>
      <c r="H109" s="65" t="s">
        <v>447</v>
      </c>
    </row>
    <row r="110" spans="2:8" x14ac:dyDescent="0.3">
      <c r="B110" s="1"/>
      <c r="C110" s="30"/>
      <c r="D110" s="30"/>
      <c r="E110" s="30"/>
      <c r="F110" s="30"/>
      <c r="G110" s="30"/>
      <c r="H110" s="30"/>
    </row>
    <row r="111" spans="2:8" x14ac:dyDescent="0.3">
      <c r="B111" s="1"/>
      <c r="C111" s="28"/>
      <c r="D111" s="28"/>
      <c r="E111" s="49"/>
      <c r="F111" s="49"/>
      <c r="G111" s="28"/>
      <c r="H111" s="49"/>
    </row>
    <row r="112" spans="2:8" ht="15.6" x14ac:dyDescent="0.3">
      <c r="B112" s="1"/>
      <c r="C112" s="28"/>
      <c r="D112" s="28"/>
      <c r="E112" s="28"/>
      <c r="F112" s="28"/>
      <c r="G112" s="28"/>
      <c r="H112" s="34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9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0F00-000000000000}"/>
  </hyperlinks>
  <pageMargins left="0.7" right="0.7" top="0.75" bottom="0.75" header="0.3" footer="0.3"/>
  <pageSetup orientation="portrait" horizontalDpi="300" verticalDpi="0" r:id="rId1"/>
  <ignoredErrors>
    <ignoredError sqref="E6:H8 E33:H35 E59:H61 E86:H87 E82:G82 E88 E30:F30 H30 E29:H29 E28:G28 E26:H26 E56:H56 E27:H27 H81 E55:G55 H109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469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41852</v>
      </c>
      <c r="C6" s="2" t="s">
        <v>8</v>
      </c>
      <c r="D6" s="2" t="s">
        <v>30</v>
      </c>
      <c r="E6" s="41" t="s">
        <v>458</v>
      </c>
      <c r="F6" s="40" t="s">
        <v>459</v>
      </c>
      <c r="G6" s="5">
        <v>700</v>
      </c>
      <c r="H6" s="41" t="s">
        <v>460</v>
      </c>
      <c r="K6" s="16"/>
    </row>
    <row r="7" spans="1:14" x14ac:dyDescent="0.3">
      <c r="B7" s="43">
        <v>41855</v>
      </c>
      <c r="C7" s="2" t="s">
        <v>8</v>
      </c>
      <c r="D7" s="28" t="s">
        <v>470</v>
      </c>
      <c r="E7" s="30">
        <v>276</v>
      </c>
      <c r="F7" s="30">
        <v>271</v>
      </c>
      <c r="G7" s="30">
        <v>1086</v>
      </c>
      <c r="H7" s="41" t="s">
        <v>471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41856</v>
      </c>
      <c r="C8" s="2" t="s">
        <v>8</v>
      </c>
      <c r="D8" s="28" t="s">
        <v>115</v>
      </c>
      <c r="E8" s="30">
        <v>359</v>
      </c>
      <c r="F8" s="30">
        <v>354</v>
      </c>
      <c r="G8" s="30">
        <v>835</v>
      </c>
      <c r="H8" s="30">
        <v>4175</v>
      </c>
      <c r="J8" s="16" t="s">
        <v>449</v>
      </c>
      <c r="K8" s="30">
        <v>17</v>
      </c>
      <c r="L8" s="30">
        <v>14</v>
      </c>
      <c r="M8" s="30">
        <v>1</v>
      </c>
      <c r="N8" s="30">
        <v>2</v>
      </c>
    </row>
    <row r="9" spans="1:14" x14ac:dyDescent="0.3">
      <c r="B9" s="43">
        <v>41857</v>
      </c>
      <c r="C9" s="2" t="s">
        <v>8</v>
      </c>
      <c r="D9" s="28" t="s">
        <v>121</v>
      </c>
      <c r="E9" s="30">
        <v>158.6</v>
      </c>
      <c r="F9" s="30">
        <v>156.5</v>
      </c>
      <c r="G9" s="30">
        <v>1892</v>
      </c>
      <c r="H9" s="30">
        <v>3784</v>
      </c>
      <c r="J9" s="16" t="s">
        <v>450</v>
      </c>
      <c r="K9" s="30">
        <v>17</v>
      </c>
      <c r="L9" s="30">
        <v>13</v>
      </c>
      <c r="M9" s="30">
        <v>3</v>
      </c>
      <c r="N9" s="30">
        <v>1</v>
      </c>
    </row>
    <row r="10" spans="1:14" x14ac:dyDescent="0.3">
      <c r="B10" s="43">
        <v>41858</v>
      </c>
      <c r="C10" s="30" t="s">
        <v>8</v>
      </c>
      <c r="D10" s="30" t="s">
        <v>371</v>
      </c>
      <c r="E10" s="30">
        <v>247</v>
      </c>
      <c r="F10" s="30">
        <v>245</v>
      </c>
      <c r="G10" s="30">
        <v>1214</v>
      </c>
      <c r="H10" s="30">
        <v>2428</v>
      </c>
      <c r="J10" s="16" t="s">
        <v>451</v>
      </c>
      <c r="K10" s="30">
        <v>17</v>
      </c>
      <c r="L10" s="30">
        <v>15</v>
      </c>
      <c r="M10" s="30">
        <v>1</v>
      </c>
      <c r="N10" s="30">
        <v>1</v>
      </c>
    </row>
    <row r="11" spans="1:14" x14ac:dyDescent="0.3">
      <c r="B11" s="43">
        <v>41859</v>
      </c>
      <c r="C11" s="2" t="s">
        <v>8</v>
      </c>
      <c r="D11" s="28" t="s">
        <v>275</v>
      </c>
      <c r="E11" s="30">
        <v>570</v>
      </c>
      <c r="F11" s="30">
        <v>561</v>
      </c>
      <c r="G11" s="30">
        <v>526</v>
      </c>
      <c r="H11" s="30">
        <v>4734</v>
      </c>
      <c r="J11" s="16" t="s">
        <v>452</v>
      </c>
      <c r="K11" s="30">
        <v>17</v>
      </c>
      <c r="L11" s="30">
        <v>13</v>
      </c>
      <c r="M11" s="30">
        <v>3</v>
      </c>
      <c r="N11" s="30">
        <v>1</v>
      </c>
    </row>
    <row r="12" spans="1:14" x14ac:dyDescent="0.3">
      <c r="B12" s="43">
        <v>41862</v>
      </c>
      <c r="C12" s="2" t="s">
        <v>8</v>
      </c>
      <c r="D12" s="28" t="s">
        <v>107</v>
      </c>
      <c r="E12" s="30">
        <v>2112</v>
      </c>
      <c r="F12" s="30">
        <v>2113</v>
      </c>
      <c r="G12" s="30">
        <v>142</v>
      </c>
      <c r="H12" s="30">
        <v>-142</v>
      </c>
      <c r="J12" s="16"/>
      <c r="K12" s="21">
        <v>68</v>
      </c>
      <c r="L12" s="21">
        <v>55</v>
      </c>
      <c r="M12" s="21">
        <v>8</v>
      </c>
      <c r="N12" s="21">
        <v>5</v>
      </c>
    </row>
    <row r="13" spans="1:14" x14ac:dyDescent="0.3">
      <c r="B13" s="43">
        <v>41863</v>
      </c>
      <c r="C13" s="2" t="s">
        <v>8</v>
      </c>
      <c r="D13" s="28" t="s">
        <v>121</v>
      </c>
      <c r="E13" s="30">
        <v>159</v>
      </c>
      <c r="F13" s="30">
        <v>155</v>
      </c>
      <c r="G13" s="30">
        <v>1886</v>
      </c>
      <c r="H13" s="30">
        <v>7544</v>
      </c>
      <c r="K13" s="16"/>
    </row>
    <row r="14" spans="1:14" x14ac:dyDescent="0.3">
      <c r="B14" s="43">
        <v>41864</v>
      </c>
      <c r="C14" s="2" t="s">
        <v>8</v>
      </c>
      <c r="D14" s="28" t="s">
        <v>435</v>
      </c>
      <c r="E14" s="30">
        <v>246.5</v>
      </c>
      <c r="F14" s="30">
        <v>241.5</v>
      </c>
      <c r="G14" s="30">
        <v>1217</v>
      </c>
      <c r="H14" s="30">
        <v>6085</v>
      </c>
      <c r="K14" s="68" t="s">
        <v>478</v>
      </c>
      <c r="L14" s="69"/>
      <c r="M14" s="70"/>
    </row>
    <row r="15" spans="1:14" x14ac:dyDescent="0.3">
      <c r="B15" s="43">
        <v>41865</v>
      </c>
      <c r="C15" s="2" t="s">
        <v>8</v>
      </c>
      <c r="D15" s="28" t="s">
        <v>435</v>
      </c>
      <c r="E15" s="30">
        <v>239</v>
      </c>
      <c r="F15" s="30">
        <v>241.5</v>
      </c>
      <c r="G15" s="30">
        <v>1255</v>
      </c>
      <c r="H15" s="30">
        <v>-3137</v>
      </c>
      <c r="K15" s="16"/>
    </row>
    <row r="16" spans="1:14" x14ac:dyDescent="0.3">
      <c r="B16" s="43">
        <v>41870</v>
      </c>
      <c r="C16" s="2" t="s">
        <v>8</v>
      </c>
      <c r="D16" s="28" t="s">
        <v>19</v>
      </c>
      <c r="E16" s="30">
        <v>2442</v>
      </c>
      <c r="F16" s="30">
        <v>2445</v>
      </c>
      <c r="G16" s="30">
        <v>122</v>
      </c>
      <c r="H16" s="30">
        <v>-366</v>
      </c>
      <c r="K16" s="28"/>
      <c r="L16" s="30"/>
      <c r="M16" s="30"/>
      <c r="N16" s="30"/>
    </row>
    <row r="17" spans="2:14" x14ac:dyDescent="0.3">
      <c r="B17" s="43">
        <v>41871</v>
      </c>
      <c r="C17" s="2" t="s">
        <v>8</v>
      </c>
      <c r="D17" s="28" t="s">
        <v>22</v>
      </c>
      <c r="E17" s="30">
        <v>150.5</v>
      </c>
      <c r="F17" s="30">
        <v>149.5</v>
      </c>
      <c r="G17" s="30">
        <v>1993</v>
      </c>
      <c r="H17" s="30">
        <v>1993</v>
      </c>
      <c r="K17" s="49"/>
      <c r="L17" s="30"/>
      <c r="M17" s="30"/>
      <c r="N17" s="30"/>
    </row>
    <row r="18" spans="2:14" x14ac:dyDescent="0.3">
      <c r="B18" s="43">
        <v>41872</v>
      </c>
      <c r="C18" s="2" t="s">
        <v>8</v>
      </c>
      <c r="D18" s="28" t="s">
        <v>395</v>
      </c>
      <c r="E18" s="30">
        <v>2862</v>
      </c>
      <c r="F18" s="30">
        <v>2836</v>
      </c>
      <c r="G18" s="30">
        <v>104</v>
      </c>
      <c r="H18" s="30">
        <v>2912</v>
      </c>
      <c r="K18" s="49"/>
      <c r="L18" s="30"/>
      <c r="M18" s="30"/>
      <c r="N18" s="30"/>
    </row>
    <row r="19" spans="2:14" x14ac:dyDescent="0.3">
      <c r="B19" s="43">
        <v>41873</v>
      </c>
      <c r="C19" s="2" t="s">
        <v>8</v>
      </c>
      <c r="D19" s="28" t="s">
        <v>129</v>
      </c>
      <c r="E19" s="30">
        <v>1058</v>
      </c>
      <c r="F19" s="30">
        <v>1044</v>
      </c>
      <c r="G19" s="30">
        <v>283</v>
      </c>
      <c r="H19" s="30">
        <v>3962</v>
      </c>
      <c r="K19" s="49"/>
      <c r="L19" s="30"/>
      <c r="M19" s="30"/>
      <c r="N19" s="30"/>
    </row>
    <row r="20" spans="2:14" x14ac:dyDescent="0.3">
      <c r="B20" s="43">
        <v>41876</v>
      </c>
      <c r="C20" s="2" t="s">
        <v>8</v>
      </c>
      <c r="D20" s="28" t="s">
        <v>108</v>
      </c>
      <c r="E20" s="30">
        <v>713</v>
      </c>
      <c r="F20" s="30">
        <v>707</v>
      </c>
      <c r="G20" s="30">
        <v>420</v>
      </c>
      <c r="H20" s="30">
        <v>2520</v>
      </c>
      <c r="K20" s="49"/>
      <c r="L20" s="30"/>
      <c r="M20" s="30"/>
      <c r="N20" s="30"/>
    </row>
    <row r="21" spans="2:14" x14ac:dyDescent="0.3">
      <c r="B21" s="43">
        <v>41877</v>
      </c>
      <c r="C21" s="2" t="s">
        <v>8</v>
      </c>
      <c r="D21" s="28" t="s">
        <v>250</v>
      </c>
      <c r="E21" s="30">
        <v>1503</v>
      </c>
      <c r="F21" s="30">
        <v>1480</v>
      </c>
      <c r="G21" s="30">
        <v>199</v>
      </c>
      <c r="H21" s="30">
        <v>4577</v>
      </c>
      <c r="K21" s="16"/>
    </row>
    <row r="22" spans="2:14" x14ac:dyDescent="0.3">
      <c r="B22" s="43">
        <v>41878</v>
      </c>
      <c r="C22" s="30" t="s">
        <v>8</v>
      </c>
      <c r="D22" s="30" t="s">
        <v>146</v>
      </c>
      <c r="E22" s="30">
        <v>138.5</v>
      </c>
      <c r="F22" s="30">
        <v>137.5</v>
      </c>
      <c r="G22" s="30">
        <v>2166</v>
      </c>
      <c r="H22" s="30">
        <v>2166</v>
      </c>
      <c r="K22" s="16"/>
    </row>
    <row r="23" spans="2:14" x14ac:dyDescent="0.3">
      <c r="B23" s="43"/>
      <c r="C23" s="28"/>
      <c r="D23" s="28"/>
      <c r="E23" s="30"/>
      <c r="F23" s="30"/>
      <c r="G23" s="30"/>
      <c r="H23" s="30"/>
      <c r="K23" s="16"/>
    </row>
    <row r="24" spans="2:14" ht="18" x14ac:dyDescent="0.35">
      <c r="B24" s="43"/>
      <c r="C24" s="28"/>
      <c r="D24" s="30"/>
      <c r="E24" s="30"/>
      <c r="F24" s="30"/>
      <c r="G24" s="30"/>
      <c r="H24" s="72">
        <v>52865</v>
      </c>
      <c r="K24" s="16"/>
    </row>
    <row r="25" spans="2:14" ht="15.6" x14ac:dyDescent="0.3">
      <c r="B25" s="43"/>
      <c r="C25" s="28"/>
      <c r="D25" s="28"/>
      <c r="E25" s="49"/>
      <c r="F25" s="49"/>
      <c r="G25" s="49"/>
      <c r="H25" s="64"/>
    </row>
    <row r="26" spans="2:14" ht="15.6" x14ac:dyDescent="0.3">
      <c r="C26" s="28"/>
      <c r="D26" s="28"/>
      <c r="E26" s="49"/>
      <c r="F26" s="49"/>
      <c r="G26" s="49"/>
      <c r="H26" s="62"/>
    </row>
    <row r="27" spans="2:14" ht="15.6" x14ac:dyDescent="0.3">
      <c r="C27" s="28"/>
      <c r="D27" s="28"/>
      <c r="E27" s="28"/>
      <c r="F27" s="28"/>
      <c r="G27" s="28"/>
      <c r="H27" s="65"/>
    </row>
    <row r="28" spans="2:14" ht="15.6" x14ac:dyDescent="0.3">
      <c r="C28" s="28"/>
      <c r="D28" s="28"/>
      <c r="E28" s="28"/>
      <c r="F28" s="28"/>
      <c r="G28" s="28"/>
      <c r="H28" s="34"/>
    </row>
    <row r="29" spans="2:14" ht="15.6" x14ac:dyDescent="0.3">
      <c r="B29" s="43"/>
      <c r="C29" s="28"/>
      <c r="D29" s="28"/>
      <c r="E29" s="28"/>
      <c r="F29" s="28"/>
      <c r="G29" s="28"/>
      <c r="H29" s="34"/>
    </row>
    <row r="30" spans="2:14" x14ac:dyDescent="0.3">
      <c r="B30" s="43"/>
    </row>
    <row r="31" spans="2:14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4" x14ac:dyDescent="0.3">
      <c r="B32" s="43">
        <v>41852</v>
      </c>
      <c r="C32" s="2" t="s">
        <v>8</v>
      </c>
      <c r="D32" s="2" t="s">
        <v>132</v>
      </c>
      <c r="E32" s="41" t="s">
        <v>461</v>
      </c>
      <c r="F32" s="40" t="s">
        <v>462</v>
      </c>
      <c r="G32" s="5">
        <v>1000</v>
      </c>
      <c r="H32" s="40" t="s">
        <v>463</v>
      </c>
    </row>
    <row r="33" spans="2:8" x14ac:dyDescent="0.3">
      <c r="B33" s="43">
        <v>41855</v>
      </c>
      <c r="C33" s="30" t="s">
        <v>8</v>
      </c>
      <c r="D33" s="30" t="s">
        <v>190</v>
      </c>
      <c r="E33" s="30">
        <v>563</v>
      </c>
      <c r="F33" s="30">
        <v>566</v>
      </c>
      <c r="G33" s="30">
        <v>1000</v>
      </c>
      <c r="H33" s="30">
        <v>-3000</v>
      </c>
    </row>
    <row r="34" spans="2:8" x14ac:dyDescent="0.3">
      <c r="B34" s="43">
        <v>41856</v>
      </c>
      <c r="C34" s="30" t="s">
        <v>8</v>
      </c>
      <c r="D34" s="30" t="s">
        <v>90</v>
      </c>
      <c r="E34" s="30">
        <v>2178</v>
      </c>
      <c r="F34" s="30">
        <v>2192</v>
      </c>
      <c r="G34" s="30">
        <v>125</v>
      </c>
      <c r="H34" s="30">
        <v>-1750</v>
      </c>
    </row>
    <row r="35" spans="2:8" x14ac:dyDescent="0.3">
      <c r="B35" s="43">
        <v>41857</v>
      </c>
      <c r="C35" s="30" t="s">
        <v>8</v>
      </c>
      <c r="D35" s="30" t="s">
        <v>19</v>
      </c>
      <c r="E35" s="30">
        <v>2465</v>
      </c>
      <c r="F35" s="30">
        <v>2435</v>
      </c>
      <c r="G35" s="30">
        <v>125</v>
      </c>
      <c r="H35" s="30">
        <v>3750</v>
      </c>
    </row>
    <row r="36" spans="2:8" x14ac:dyDescent="0.3">
      <c r="B36" s="43">
        <v>41858</v>
      </c>
      <c r="C36" s="30" t="s">
        <v>8</v>
      </c>
      <c r="D36" s="30" t="s">
        <v>107</v>
      </c>
      <c r="E36" s="30">
        <v>2450</v>
      </c>
      <c r="F36" s="30">
        <v>2430</v>
      </c>
      <c r="G36" s="30">
        <v>125</v>
      </c>
      <c r="H36" s="30">
        <v>2500</v>
      </c>
    </row>
    <row r="37" spans="2:8" x14ac:dyDescent="0.3">
      <c r="B37" s="43">
        <v>41859</v>
      </c>
      <c r="C37" s="30" t="s">
        <v>8</v>
      </c>
      <c r="D37" s="30" t="s">
        <v>84</v>
      </c>
      <c r="E37" s="30">
        <v>2620</v>
      </c>
      <c r="F37" s="30">
        <v>2600</v>
      </c>
      <c r="G37" s="30">
        <v>125</v>
      </c>
      <c r="H37" s="30">
        <v>2500</v>
      </c>
    </row>
    <row r="38" spans="2:8" x14ac:dyDescent="0.3">
      <c r="B38" s="43">
        <v>41862</v>
      </c>
      <c r="C38" s="30" t="s">
        <v>8</v>
      </c>
      <c r="D38" s="30" t="s">
        <v>46</v>
      </c>
      <c r="E38" s="30">
        <v>394</v>
      </c>
      <c r="F38" s="30">
        <v>394.5</v>
      </c>
      <c r="G38" s="30">
        <v>1000</v>
      </c>
      <c r="H38" s="30">
        <v>-500</v>
      </c>
    </row>
    <row r="39" spans="2:8" x14ac:dyDescent="0.3">
      <c r="B39" s="43">
        <v>41863</v>
      </c>
      <c r="C39" s="30" t="s">
        <v>8</v>
      </c>
      <c r="D39" s="30" t="s">
        <v>173</v>
      </c>
      <c r="E39" s="30">
        <v>615</v>
      </c>
      <c r="F39" s="30">
        <v>609</v>
      </c>
      <c r="G39" s="30">
        <v>500</v>
      </c>
      <c r="H39" s="30">
        <v>3000</v>
      </c>
    </row>
    <row r="40" spans="2:8" x14ac:dyDescent="0.3">
      <c r="B40" s="43">
        <v>41864</v>
      </c>
      <c r="C40" s="30" t="s">
        <v>8</v>
      </c>
      <c r="D40" s="30" t="s">
        <v>189</v>
      </c>
      <c r="E40" s="30">
        <v>212.5</v>
      </c>
      <c r="F40" s="30">
        <v>209</v>
      </c>
      <c r="G40" s="30">
        <v>2000</v>
      </c>
      <c r="H40" s="30">
        <v>7000</v>
      </c>
    </row>
    <row r="41" spans="2:8" x14ac:dyDescent="0.3">
      <c r="B41" s="43">
        <v>41865</v>
      </c>
      <c r="C41" s="30" t="s">
        <v>8</v>
      </c>
      <c r="D41" s="30" t="s">
        <v>189</v>
      </c>
      <c r="E41" s="30">
        <v>206</v>
      </c>
      <c r="F41" s="30">
        <v>207</v>
      </c>
      <c r="G41" s="30">
        <v>2000</v>
      </c>
      <c r="H41" s="30">
        <v>-2000</v>
      </c>
    </row>
    <row r="42" spans="2:8" x14ac:dyDescent="0.3">
      <c r="B42" s="43">
        <v>41870</v>
      </c>
      <c r="C42" s="30" t="s">
        <v>8</v>
      </c>
      <c r="D42" s="30" t="s">
        <v>175</v>
      </c>
      <c r="E42" s="30">
        <v>771</v>
      </c>
      <c r="F42" s="30">
        <v>767</v>
      </c>
      <c r="G42" s="30">
        <v>500</v>
      </c>
      <c r="H42" s="30">
        <v>2000</v>
      </c>
    </row>
    <row r="43" spans="2:8" x14ac:dyDescent="0.3">
      <c r="B43" s="43">
        <v>41871</v>
      </c>
      <c r="C43" s="30" t="s">
        <v>8</v>
      </c>
      <c r="D43" s="30" t="s">
        <v>137</v>
      </c>
      <c r="E43" s="30">
        <v>716</v>
      </c>
      <c r="F43" s="30">
        <v>713</v>
      </c>
      <c r="G43" s="30">
        <v>500</v>
      </c>
      <c r="H43" s="30">
        <v>1500</v>
      </c>
    </row>
    <row r="44" spans="2:8" x14ac:dyDescent="0.3">
      <c r="B44" s="43">
        <v>41872</v>
      </c>
      <c r="C44" s="30" t="s">
        <v>8</v>
      </c>
      <c r="D44" s="30" t="s">
        <v>25</v>
      </c>
      <c r="E44" s="30">
        <v>540</v>
      </c>
      <c r="F44" s="30">
        <v>536</v>
      </c>
      <c r="G44" s="30">
        <v>1000</v>
      </c>
      <c r="H44" s="30">
        <v>4000</v>
      </c>
    </row>
    <row r="45" spans="2:8" x14ac:dyDescent="0.3">
      <c r="B45" s="43">
        <v>41873</v>
      </c>
      <c r="C45" s="30" t="s">
        <v>8</v>
      </c>
      <c r="D45" s="30" t="s">
        <v>395</v>
      </c>
      <c r="E45" s="30">
        <v>2836</v>
      </c>
      <c r="F45" s="30">
        <v>2805</v>
      </c>
      <c r="G45" s="30">
        <v>125</v>
      </c>
      <c r="H45" s="30">
        <v>3875</v>
      </c>
    </row>
    <row r="46" spans="2:8" x14ac:dyDescent="0.3">
      <c r="B46" s="43">
        <v>41876</v>
      </c>
      <c r="C46" s="30" t="s">
        <v>8</v>
      </c>
      <c r="D46" s="28" t="s">
        <v>99</v>
      </c>
      <c r="E46" s="30">
        <v>345</v>
      </c>
      <c r="F46" s="30" t="s">
        <v>475</v>
      </c>
      <c r="G46" s="30"/>
      <c r="H46" s="28">
        <v>0</v>
      </c>
    </row>
    <row r="47" spans="2:8" x14ac:dyDescent="0.3">
      <c r="B47" s="43">
        <v>41877</v>
      </c>
      <c r="C47" s="30" t="s">
        <v>8</v>
      </c>
      <c r="D47" s="30" t="s">
        <v>46</v>
      </c>
      <c r="E47" s="30">
        <v>427</v>
      </c>
      <c r="F47" s="30">
        <v>418</v>
      </c>
      <c r="G47" s="30">
        <v>1000</v>
      </c>
      <c r="H47" s="30">
        <v>8000</v>
      </c>
    </row>
    <row r="48" spans="2:8" x14ac:dyDescent="0.3">
      <c r="B48" s="43">
        <v>41878</v>
      </c>
      <c r="C48" s="30" t="s">
        <v>8</v>
      </c>
      <c r="D48" s="30" t="s">
        <v>476</v>
      </c>
      <c r="E48" s="30">
        <v>371</v>
      </c>
      <c r="F48" s="30">
        <v>375</v>
      </c>
      <c r="G48" s="30">
        <v>1000</v>
      </c>
      <c r="H48" s="30">
        <v>-4000</v>
      </c>
    </row>
    <row r="49" spans="2:10" x14ac:dyDescent="0.3">
      <c r="B49" s="43"/>
      <c r="C49" s="30"/>
      <c r="D49" s="30"/>
      <c r="E49" s="30"/>
      <c r="F49" s="30"/>
      <c r="G49" s="30"/>
      <c r="H49" s="30"/>
    </row>
    <row r="50" spans="2:10" ht="18" x14ac:dyDescent="0.35">
      <c r="B50" s="43"/>
      <c r="C50" s="30"/>
      <c r="D50" s="30"/>
      <c r="E50" s="30"/>
      <c r="F50" s="30"/>
      <c r="G50" s="30"/>
      <c r="H50" s="72">
        <v>33875</v>
      </c>
    </row>
    <row r="51" spans="2:10" ht="15.6" x14ac:dyDescent="0.3">
      <c r="B51" s="43"/>
      <c r="C51" s="30"/>
      <c r="D51" s="30"/>
      <c r="E51" s="30"/>
      <c r="F51" s="30"/>
      <c r="G51" s="30"/>
      <c r="H51" s="36"/>
    </row>
    <row r="52" spans="2:10" x14ac:dyDescent="0.3">
      <c r="B52" s="43"/>
      <c r="C52" s="30"/>
      <c r="D52" s="30"/>
      <c r="E52" s="30"/>
      <c r="F52" s="30"/>
      <c r="G52" s="30"/>
      <c r="H52" s="30"/>
    </row>
    <row r="53" spans="2:10" ht="15.6" x14ac:dyDescent="0.3">
      <c r="B53" s="43"/>
      <c r="C53" s="30"/>
      <c r="D53" s="30"/>
      <c r="E53" s="30"/>
      <c r="F53" s="30"/>
      <c r="G53" s="30"/>
      <c r="H53" s="33"/>
    </row>
    <row r="54" spans="2:10" ht="15.6" x14ac:dyDescent="0.3">
      <c r="B54" s="1"/>
      <c r="H54" s="34"/>
    </row>
    <row r="55" spans="2:10" x14ac:dyDescent="0.3">
      <c r="B55" s="1"/>
    </row>
    <row r="56" spans="2:10" ht="15.6" x14ac:dyDescent="0.3">
      <c r="B56" s="48" t="s">
        <v>63</v>
      </c>
      <c r="C56" s="48"/>
      <c r="D56" s="48"/>
      <c r="E56" s="48"/>
      <c r="F56" s="48"/>
      <c r="G56" s="48"/>
      <c r="H56" s="48"/>
    </row>
    <row r="57" spans="2:10" x14ac:dyDescent="0.3">
      <c r="B57" s="43">
        <v>41852</v>
      </c>
      <c r="C57" s="2" t="s">
        <v>8</v>
      </c>
      <c r="D57" s="2" t="s">
        <v>306</v>
      </c>
      <c r="E57" s="41" t="s">
        <v>464</v>
      </c>
      <c r="F57" s="40" t="s">
        <v>465</v>
      </c>
      <c r="G57" s="41" t="s">
        <v>217</v>
      </c>
      <c r="H57" s="41" t="s">
        <v>466</v>
      </c>
    </row>
    <row r="58" spans="2:10" x14ac:dyDescent="0.3">
      <c r="B58" s="43">
        <v>41855</v>
      </c>
      <c r="C58" s="30" t="s">
        <v>8</v>
      </c>
      <c r="D58" s="30" t="s">
        <v>306</v>
      </c>
      <c r="E58" s="30">
        <v>7680</v>
      </c>
      <c r="F58" s="30">
        <v>7660</v>
      </c>
      <c r="G58" s="30">
        <v>100</v>
      </c>
      <c r="H58" s="30">
        <v>2000</v>
      </c>
    </row>
    <row r="59" spans="2:10" x14ac:dyDescent="0.3">
      <c r="B59" s="43">
        <v>41856</v>
      </c>
      <c r="C59" s="30" t="s">
        <v>9</v>
      </c>
      <c r="D59" s="30" t="s">
        <v>306</v>
      </c>
      <c r="E59" s="30">
        <v>7715</v>
      </c>
      <c r="F59" s="30">
        <v>7740</v>
      </c>
      <c r="G59" s="30">
        <v>100</v>
      </c>
      <c r="H59" s="30">
        <v>2500</v>
      </c>
      <c r="J59" s="1"/>
    </row>
    <row r="60" spans="2:10" x14ac:dyDescent="0.3">
      <c r="B60" s="43">
        <v>41857</v>
      </c>
      <c r="C60" s="30" t="s">
        <v>8</v>
      </c>
      <c r="D60" s="30" t="s">
        <v>306</v>
      </c>
      <c r="E60" s="30">
        <v>7748</v>
      </c>
      <c r="F60" s="30">
        <v>7695</v>
      </c>
      <c r="G60" s="30">
        <v>100</v>
      </c>
      <c r="H60" s="30">
        <v>5300</v>
      </c>
      <c r="J60" s="1"/>
    </row>
    <row r="61" spans="2:10" x14ac:dyDescent="0.3">
      <c r="B61" s="43">
        <v>41858</v>
      </c>
      <c r="C61" s="30" t="s">
        <v>8</v>
      </c>
      <c r="D61" s="30" t="s">
        <v>306</v>
      </c>
      <c r="E61" s="30">
        <v>7695</v>
      </c>
      <c r="F61" s="30">
        <v>7660</v>
      </c>
      <c r="G61" s="30">
        <v>100</v>
      </c>
      <c r="H61" s="30">
        <v>3500</v>
      </c>
      <c r="J61" s="1"/>
    </row>
    <row r="62" spans="2:10" x14ac:dyDescent="0.3">
      <c r="B62" s="43">
        <v>41859</v>
      </c>
      <c r="C62" s="30" t="s">
        <v>8</v>
      </c>
      <c r="D62" s="30" t="s">
        <v>306</v>
      </c>
      <c r="E62" s="30">
        <v>7595</v>
      </c>
      <c r="F62" s="30">
        <v>7560</v>
      </c>
      <c r="G62" s="30">
        <v>100</v>
      </c>
      <c r="H62" s="30">
        <v>3500</v>
      </c>
      <c r="J62" s="1"/>
    </row>
    <row r="63" spans="2:10" x14ac:dyDescent="0.3">
      <c r="B63" s="43">
        <v>41862</v>
      </c>
      <c r="C63" s="30" t="s">
        <v>8</v>
      </c>
      <c r="D63" s="30" t="s">
        <v>306</v>
      </c>
      <c r="E63" s="30">
        <v>7630</v>
      </c>
      <c r="F63" s="30">
        <v>7612</v>
      </c>
      <c r="G63" s="30">
        <v>100</v>
      </c>
      <c r="H63" s="30">
        <v>1800</v>
      </c>
      <c r="J63" s="1"/>
    </row>
    <row r="64" spans="2:10" x14ac:dyDescent="0.3">
      <c r="B64" s="43">
        <v>41863</v>
      </c>
      <c r="C64" s="30" t="s">
        <v>9</v>
      </c>
      <c r="D64" s="30" t="s">
        <v>306</v>
      </c>
      <c r="E64" s="30">
        <v>7678</v>
      </c>
      <c r="F64" s="30">
        <v>7720</v>
      </c>
      <c r="G64" s="30">
        <v>100</v>
      </c>
      <c r="H64" s="30">
        <v>4200</v>
      </c>
      <c r="J64" s="1"/>
    </row>
    <row r="65" spans="2:10" x14ac:dyDescent="0.3">
      <c r="B65" s="43">
        <v>41864</v>
      </c>
      <c r="C65" s="30" t="s">
        <v>9</v>
      </c>
      <c r="D65" s="30" t="s">
        <v>306</v>
      </c>
      <c r="E65" s="30">
        <v>7740</v>
      </c>
      <c r="F65" s="30">
        <v>7775</v>
      </c>
      <c r="G65" s="30">
        <v>100</v>
      </c>
      <c r="H65" s="30">
        <v>3500</v>
      </c>
      <c r="J65" s="46"/>
    </row>
    <row r="66" spans="2:10" x14ac:dyDescent="0.3">
      <c r="B66" s="43">
        <v>41865</v>
      </c>
      <c r="C66" s="30" t="s">
        <v>8</v>
      </c>
      <c r="D66" s="30" t="s">
        <v>306</v>
      </c>
      <c r="E66" s="30">
        <v>7790</v>
      </c>
      <c r="F66" s="30">
        <v>7800</v>
      </c>
      <c r="G66" s="30">
        <v>100</v>
      </c>
      <c r="H66" s="30">
        <v>-1000</v>
      </c>
      <c r="J66" s="46"/>
    </row>
    <row r="67" spans="2:10" x14ac:dyDescent="0.3">
      <c r="B67" s="43">
        <v>41870</v>
      </c>
      <c r="C67" s="30" t="s">
        <v>8</v>
      </c>
      <c r="D67" s="30" t="s">
        <v>306</v>
      </c>
      <c r="E67" s="30">
        <v>7900</v>
      </c>
      <c r="F67" s="30">
        <v>7920</v>
      </c>
      <c r="G67" s="30">
        <v>100</v>
      </c>
      <c r="H67" s="30">
        <v>-2000</v>
      </c>
      <c r="J67" s="46"/>
    </row>
    <row r="68" spans="2:10" x14ac:dyDescent="0.3">
      <c r="B68" s="43">
        <v>41871</v>
      </c>
      <c r="C68" s="30" t="s">
        <v>8</v>
      </c>
      <c r="D68" s="30" t="s">
        <v>306</v>
      </c>
      <c r="E68" s="30">
        <v>7895</v>
      </c>
      <c r="F68" s="30">
        <v>7883</v>
      </c>
      <c r="G68" s="30">
        <v>100</v>
      </c>
      <c r="H68" s="30">
        <v>1700</v>
      </c>
      <c r="J68" s="46"/>
    </row>
    <row r="69" spans="2:10" x14ac:dyDescent="0.3">
      <c r="B69" s="43">
        <v>41872</v>
      </c>
      <c r="C69" s="30" t="s">
        <v>8</v>
      </c>
      <c r="D69" s="30" t="s">
        <v>306</v>
      </c>
      <c r="E69" s="30">
        <v>7925</v>
      </c>
      <c r="F69" s="30">
        <v>7875</v>
      </c>
      <c r="G69" s="30">
        <v>100</v>
      </c>
      <c r="H69" s="30">
        <v>5000</v>
      </c>
      <c r="J69" s="46"/>
    </row>
    <row r="70" spans="2:10" x14ac:dyDescent="0.3">
      <c r="B70" s="43">
        <v>41873</v>
      </c>
      <c r="C70" s="30" t="s">
        <v>9</v>
      </c>
      <c r="D70" s="30" t="s">
        <v>306</v>
      </c>
      <c r="E70" s="30">
        <v>7920</v>
      </c>
      <c r="F70" s="30">
        <v>7932</v>
      </c>
      <c r="G70" s="30">
        <v>100</v>
      </c>
      <c r="H70" s="30">
        <v>1200</v>
      </c>
      <c r="J70" s="46"/>
    </row>
    <row r="71" spans="2:10" x14ac:dyDescent="0.3">
      <c r="B71" s="43">
        <v>41876</v>
      </c>
      <c r="C71" s="30" t="s">
        <v>8</v>
      </c>
      <c r="D71" s="30" t="s">
        <v>306</v>
      </c>
      <c r="E71" s="30">
        <v>7965</v>
      </c>
      <c r="F71" s="30">
        <v>7920</v>
      </c>
      <c r="G71" s="30">
        <v>100</v>
      </c>
      <c r="H71" s="30">
        <v>4500</v>
      </c>
      <c r="J71" s="46"/>
    </row>
    <row r="72" spans="2:10" x14ac:dyDescent="0.3">
      <c r="B72" s="43">
        <v>41877</v>
      </c>
      <c r="C72" s="30" t="s">
        <v>8</v>
      </c>
      <c r="D72" s="30" t="s">
        <v>306</v>
      </c>
      <c r="E72" s="30">
        <v>7910</v>
      </c>
      <c r="F72" s="30">
        <v>7880</v>
      </c>
      <c r="G72" s="30">
        <v>100</v>
      </c>
      <c r="H72" s="30">
        <v>3000</v>
      </c>
      <c r="J72" s="47"/>
    </row>
    <row r="73" spans="2:10" x14ac:dyDescent="0.3">
      <c r="B73" s="43">
        <v>41878</v>
      </c>
      <c r="C73" s="30" t="s">
        <v>8</v>
      </c>
      <c r="D73" s="30" t="s">
        <v>306</v>
      </c>
      <c r="E73" s="30">
        <v>7942</v>
      </c>
      <c r="F73" s="30">
        <v>7920</v>
      </c>
      <c r="G73" s="30">
        <v>100</v>
      </c>
      <c r="H73" s="30">
        <v>2200</v>
      </c>
      <c r="J73" s="46"/>
    </row>
    <row r="74" spans="2:10" x14ac:dyDescent="0.3">
      <c r="B74" s="43"/>
      <c r="C74" s="30"/>
      <c r="D74" s="30"/>
      <c r="E74" s="30"/>
      <c r="F74" s="30"/>
      <c r="G74" s="30"/>
      <c r="H74" s="30"/>
      <c r="J74" s="46"/>
    </row>
    <row r="75" spans="2:10" ht="18" x14ac:dyDescent="0.35">
      <c r="B75" s="43"/>
      <c r="C75" s="30"/>
      <c r="D75" s="30"/>
      <c r="E75" s="30"/>
      <c r="F75" s="30"/>
      <c r="G75" s="30"/>
      <c r="H75" s="72">
        <v>45900</v>
      </c>
      <c r="J75" s="46"/>
    </row>
    <row r="76" spans="2:10" x14ac:dyDescent="0.3">
      <c r="B76" s="43"/>
      <c r="C76" s="30"/>
      <c r="D76" s="30"/>
      <c r="E76" s="30"/>
      <c r="F76" s="30"/>
      <c r="G76" s="30"/>
      <c r="H76" s="30"/>
    </row>
    <row r="77" spans="2:10" x14ac:dyDescent="0.3">
      <c r="B77" s="43"/>
      <c r="C77" s="30"/>
      <c r="D77" s="30"/>
      <c r="E77" s="30"/>
      <c r="F77" s="30"/>
      <c r="G77" s="30"/>
      <c r="H77" s="49"/>
    </row>
    <row r="78" spans="2:10" x14ac:dyDescent="0.3">
      <c r="B78" s="43"/>
      <c r="C78" s="30"/>
      <c r="D78" s="30"/>
      <c r="E78" s="30"/>
      <c r="F78" s="30"/>
      <c r="G78" s="30"/>
      <c r="H78" s="49"/>
    </row>
    <row r="79" spans="2:10" ht="15.6" x14ac:dyDescent="0.3">
      <c r="B79" s="43"/>
      <c r="C79" s="30"/>
      <c r="D79" s="30"/>
      <c r="E79" s="30"/>
      <c r="F79" s="30"/>
      <c r="G79" s="30"/>
      <c r="H79" s="65"/>
    </row>
    <row r="80" spans="2:10" ht="15.6" x14ac:dyDescent="0.3">
      <c r="B80" s="43"/>
      <c r="C80" s="30"/>
      <c r="D80" s="30"/>
      <c r="E80" s="30"/>
      <c r="F80" s="30"/>
      <c r="G80" s="30"/>
      <c r="H80" s="36"/>
    </row>
    <row r="81" spans="2:8" x14ac:dyDescent="0.3">
      <c r="B81" s="43"/>
      <c r="C81" s="28"/>
      <c r="D81" s="30"/>
      <c r="E81" s="28"/>
      <c r="F81" s="28"/>
      <c r="G81" s="28"/>
      <c r="H81" s="28"/>
    </row>
    <row r="82" spans="2:8" ht="15.6" x14ac:dyDescent="0.3">
      <c r="B82" s="48" t="s">
        <v>333</v>
      </c>
      <c r="C82" s="61"/>
      <c r="D82" s="61"/>
      <c r="E82" s="61"/>
      <c r="F82" s="61"/>
      <c r="G82" s="61"/>
      <c r="H82" s="61"/>
    </row>
    <row r="83" spans="2:8" x14ac:dyDescent="0.3">
      <c r="B83" s="43">
        <v>41852</v>
      </c>
      <c r="C83" s="3" t="s">
        <v>9</v>
      </c>
      <c r="D83" s="3" t="s">
        <v>401</v>
      </c>
      <c r="E83" s="40" t="s">
        <v>467</v>
      </c>
      <c r="F83" s="40" t="s">
        <v>468</v>
      </c>
      <c r="G83" s="30">
        <v>200</v>
      </c>
      <c r="H83" s="8">
        <v>7000</v>
      </c>
    </row>
    <row r="84" spans="2:8" x14ac:dyDescent="0.3">
      <c r="B84" s="43">
        <v>41855</v>
      </c>
      <c r="C84" s="3" t="s">
        <v>9</v>
      </c>
      <c r="D84" s="3" t="s">
        <v>404</v>
      </c>
      <c r="E84" s="30">
        <v>90</v>
      </c>
      <c r="F84" s="30">
        <v>75</v>
      </c>
      <c r="G84" s="30">
        <v>200</v>
      </c>
      <c r="H84" s="30">
        <v>-3000</v>
      </c>
    </row>
    <row r="85" spans="2:8" x14ac:dyDescent="0.3">
      <c r="B85" s="43">
        <v>41856</v>
      </c>
      <c r="C85" s="3" t="s">
        <v>9</v>
      </c>
      <c r="D85" s="3" t="s">
        <v>411</v>
      </c>
      <c r="E85" s="30">
        <v>110</v>
      </c>
      <c r="F85" s="30">
        <v>125</v>
      </c>
      <c r="G85" s="30">
        <v>200</v>
      </c>
      <c r="H85" s="30">
        <v>3000</v>
      </c>
    </row>
    <row r="86" spans="2:8" x14ac:dyDescent="0.3">
      <c r="B86" s="43">
        <v>41857</v>
      </c>
      <c r="C86" s="30" t="s">
        <v>9</v>
      </c>
      <c r="D86" s="30" t="s">
        <v>401</v>
      </c>
      <c r="E86" s="30">
        <v>84</v>
      </c>
      <c r="F86" s="30">
        <v>110</v>
      </c>
      <c r="G86" s="30">
        <v>200</v>
      </c>
      <c r="H86" s="30">
        <v>5200</v>
      </c>
    </row>
    <row r="87" spans="2:8" x14ac:dyDescent="0.3">
      <c r="B87" s="43">
        <v>41858</v>
      </c>
      <c r="C87" s="30" t="s">
        <v>9</v>
      </c>
      <c r="D87" s="30" t="s">
        <v>401</v>
      </c>
      <c r="E87" s="30">
        <v>105</v>
      </c>
      <c r="F87" s="30">
        <v>120</v>
      </c>
      <c r="G87" s="30">
        <v>200</v>
      </c>
      <c r="H87" s="30">
        <v>3000</v>
      </c>
    </row>
    <row r="88" spans="2:8" x14ac:dyDescent="0.3">
      <c r="B88" s="43">
        <v>41859</v>
      </c>
      <c r="C88" s="30" t="s">
        <v>9</v>
      </c>
      <c r="D88" s="30" t="s">
        <v>404</v>
      </c>
      <c r="E88" s="30">
        <v>100</v>
      </c>
      <c r="F88" s="30">
        <v>115</v>
      </c>
      <c r="G88" s="30">
        <v>200</v>
      </c>
      <c r="H88" s="30">
        <v>3000</v>
      </c>
    </row>
    <row r="89" spans="2:8" x14ac:dyDescent="0.3">
      <c r="B89" s="43">
        <v>41862</v>
      </c>
      <c r="C89" s="30" t="s">
        <v>9</v>
      </c>
      <c r="D89" s="30" t="s">
        <v>401</v>
      </c>
      <c r="E89" s="30">
        <v>125</v>
      </c>
      <c r="F89" s="30">
        <v>135</v>
      </c>
      <c r="G89" s="30">
        <v>200</v>
      </c>
      <c r="H89" s="30">
        <v>2000</v>
      </c>
    </row>
    <row r="90" spans="2:8" x14ac:dyDescent="0.3">
      <c r="B90" s="43">
        <v>41863</v>
      </c>
      <c r="C90" s="30" t="s">
        <v>9</v>
      </c>
      <c r="D90" s="30" t="s">
        <v>400</v>
      </c>
      <c r="E90" s="30">
        <v>125</v>
      </c>
      <c r="F90" s="30">
        <v>160</v>
      </c>
      <c r="G90" s="30">
        <v>200</v>
      </c>
      <c r="H90" s="30">
        <v>7000</v>
      </c>
    </row>
    <row r="91" spans="2:8" x14ac:dyDescent="0.3">
      <c r="B91" s="43">
        <v>41864</v>
      </c>
      <c r="C91" s="30" t="s">
        <v>9</v>
      </c>
      <c r="D91" s="30" t="s">
        <v>411</v>
      </c>
      <c r="E91" s="30">
        <v>100</v>
      </c>
      <c r="F91" s="30">
        <v>130</v>
      </c>
      <c r="G91" s="30">
        <v>200</v>
      </c>
      <c r="H91" s="30">
        <v>6000</v>
      </c>
    </row>
    <row r="92" spans="2:8" x14ac:dyDescent="0.3">
      <c r="B92" s="43">
        <v>41865</v>
      </c>
      <c r="C92" s="30" t="s">
        <v>9</v>
      </c>
      <c r="D92" s="30" t="s">
        <v>401</v>
      </c>
      <c r="E92" s="30">
        <v>79</v>
      </c>
      <c r="F92" s="30">
        <v>75</v>
      </c>
      <c r="G92" s="30">
        <v>200</v>
      </c>
      <c r="H92" s="30">
        <v>-800</v>
      </c>
    </row>
    <row r="93" spans="2:8" x14ac:dyDescent="0.3">
      <c r="B93" s="43">
        <v>41870</v>
      </c>
      <c r="C93" s="30" t="s">
        <v>9</v>
      </c>
      <c r="D93" s="30" t="s">
        <v>472</v>
      </c>
      <c r="E93" s="30">
        <v>118</v>
      </c>
      <c r="F93" s="30">
        <v>110</v>
      </c>
      <c r="G93" s="30">
        <v>200</v>
      </c>
      <c r="H93" s="30">
        <v>-1600</v>
      </c>
    </row>
    <row r="94" spans="2:8" x14ac:dyDescent="0.3">
      <c r="B94" s="43">
        <v>41871</v>
      </c>
      <c r="C94" s="30" t="s">
        <v>9</v>
      </c>
      <c r="D94" s="30" t="s">
        <v>434</v>
      </c>
      <c r="E94" s="30">
        <v>60</v>
      </c>
      <c r="F94" s="30">
        <v>63</v>
      </c>
      <c r="G94" s="30">
        <v>200</v>
      </c>
      <c r="H94" s="30">
        <v>600</v>
      </c>
    </row>
    <row r="95" spans="2:8" x14ac:dyDescent="0.3">
      <c r="B95" s="43">
        <v>41872</v>
      </c>
      <c r="C95" s="30" t="s">
        <v>9</v>
      </c>
      <c r="D95" s="30" t="s">
        <v>473</v>
      </c>
      <c r="E95" s="30">
        <v>18</v>
      </c>
      <c r="F95" s="30">
        <v>23</v>
      </c>
      <c r="G95" s="30">
        <v>1000</v>
      </c>
      <c r="H95" s="30">
        <v>5000</v>
      </c>
    </row>
    <row r="96" spans="2:8" x14ac:dyDescent="0.3">
      <c r="B96" s="43">
        <v>41873</v>
      </c>
      <c r="C96" s="30" t="s">
        <v>9</v>
      </c>
      <c r="D96" s="30" t="s">
        <v>474</v>
      </c>
      <c r="E96" s="30">
        <v>16</v>
      </c>
      <c r="F96" s="30">
        <v>22</v>
      </c>
      <c r="G96" s="30">
        <v>1000</v>
      </c>
      <c r="H96" s="30">
        <v>6000</v>
      </c>
    </row>
    <row r="97" spans="2:8" x14ac:dyDescent="0.3">
      <c r="B97" s="43">
        <v>41876</v>
      </c>
      <c r="C97" s="30" t="s">
        <v>9</v>
      </c>
      <c r="D97" s="30" t="s">
        <v>472</v>
      </c>
      <c r="E97" s="30">
        <v>68</v>
      </c>
      <c r="F97" s="30">
        <v>55</v>
      </c>
      <c r="G97" s="30">
        <v>200</v>
      </c>
      <c r="H97" s="30">
        <v>-2600</v>
      </c>
    </row>
    <row r="98" spans="2:8" x14ac:dyDescent="0.3">
      <c r="B98" s="43">
        <v>41877</v>
      </c>
      <c r="C98" s="30" t="s">
        <v>9</v>
      </c>
      <c r="D98" s="30" t="s">
        <v>477</v>
      </c>
      <c r="E98" s="30">
        <v>4</v>
      </c>
      <c r="F98" s="30">
        <v>6.5</v>
      </c>
      <c r="G98" s="30">
        <v>4000</v>
      </c>
      <c r="H98" s="30">
        <v>10000</v>
      </c>
    </row>
    <row r="99" spans="2:8" x14ac:dyDescent="0.3">
      <c r="B99" s="43">
        <v>41878</v>
      </c>
      <c r="C99" s="30" t="s">
        <v>9</v>
      </c>
      <c r="D99" s="30" t="s">
        <v>472</v>
      </c>
      <c r="E99" s="30">
        <v>68</v>
      </c>
      <c r="F99" s="30">
        <v>80</v>
      </c>
      <c r="G99" s="30">
        <v>200</v>
      </c>
      <c r="H99" s="30">
        <v>2400</v>
      </c>
    </row>
    <row r="100" spans="2:8" x14ac:dyDescent="0.3">
      <c r="B100" s="43"/>
      <c r="C100" s="30"/>
      <c r="D100" s="30"/>
      <c r="E100" s="30"/>
      <c r="F100" s="30"/>
      <c r="G100" s="30"/>
      <c r="H100" s="30"/>
    </row>
    <row r="101" spans="2:8" ht="18" x14ac:dyDescent="0.35">
      <c r="B101" s="43"/>
      <c r="C101" s="30"/>
      <c r="D101" s="30"/>
      <c r="E101" s="30"/>
      <c r="F101" s="30"/>
      <c r="G101" s="30"/>
      <c r="H101" s="72">
        <v>52200</v>
      </c>
    </row>
    <row r="102" spans="2:8" x14ac:dyDescent="0.3">
      <c r="B102" s="43"/>
      <c r="C102" s="30"/>
      <c r="D102" s="30"/>
      <c r="E102" s="30"/>
      <c r="F102" s="30"/>
      <c r="G102" s="30"/>
      <c r="H102" s="30"/>
    </row>
    <row r="103" spans="2:8" x14ac:dyDescent="0.3">
      <c r="B103" s="43"/>
      <c r="C103" s="30"/>
      <c r="D103" s="30"/>
      <c r="E103" s="30"/>
      <c r="F103" s="30"/>
      <c r="G103" s="30"/>
      <c r="H103" s="30"/>
    </row>
    <row r="104" spans="2:8" x14ac:dyDescent="0.3">
      <c r="B104" s="43"/>
      <c r="C104" s="30"/>
      <c r="D104" s="30"/>
      <c r="E104" s="30"/>
      <c r="F104" s="30"/>
      <c r="G104" s="30"/>
      <c r="H104" s="30"/>
    </row>
    <row r="105" spans="2:8" ht="15.6" x14ac:dyDescent="0.3">
      <c r="B105" s="43"/>
      <c r="C105" s="30"/>
      <c r="D105" s="30"/>
      <c r="E105" s="30"/>
      <c r="F105" s="30"/>
      <c r="G105" s="30"/>
      <c r="H105" s="65"/>
    </row>
    <row r="106" spans="2:8" x14ac:dyDescent="0.3">
      <c r="B106" s="1"/>
      <c r="C106" s="30"/>
      <c r="D106" s="30"/>
      <c r="E106" s="30"/>
      <c r="F106" s="30"/>
      <c r="G106" s="30"/>
      <c r="H106" s="30"/>
    </row>
    <row r="107" spans="2:8" x14ac:dyDescent="0.3">
      <c r="B107" s="1"/>
      <c r="C107" s="28"/>
      <c r="D107" s="28"/>
      <c r="E107" s="49"/>
      <c r="F107" s="49"/>
      <c r="G107" s="28"/>
      <c r="H107" s="49"/>
    </row>
    <row r="108" spans="2:8" ht="15.6" x14ac:dyDescent="0.3">
      <c r="B108" s="1"/>
      <c r="C108" s="28"/>
      <c r="D108" s="28"/>
      <c r="E108" s="28"/>
      <c r="F108" s="28"/>
      <c r="G108" s="28"/>
      <c r="H108" s="34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8"/>
    </row>
    <row r="112" spans="2:8" x14ac:dyDescent="0.3">
      <c r="B112" s="1"/>
      <c r="C112" s="28"/>
      <c r="D112" s="28"/>
      <c r="E112" s="28"/>
      <c r="F112" s="28"/>
      <c r="G112" s="28"/>
      <c r="H112" s="28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9"/>
    </row>
    <row r="116" spans="2:8" x14ac:dyDescent="0.3">
      <c r="B116" s="1"/>
    </row>
    <row r="117" spans="2:8" x14ac:dyDescent="0.3">
      <c r="B117" s="1"/>
    </row>
    <row r="118" spans="2:8" x14ac:dyDescent="0.3">
      <c r="B118" s="1"/>
    </row>
    <row r="119" spans="2:8" x14ac:dyDescent="0.3">
      <c r="B119" s="1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</sheetData>
  <mergeCells count="3">
    <mergeCell ref="B1:H1"/>
    <mergeCell ref="B2:H2"/>
    <mergeCell ref="B3:H3"/>
  </mergeCells>
  <hyperlinks>
    <hyperlink ref="J2" location="'MASTER '!A1" display="Back" xr:uid="{00000000-0004-0000-1000-000000000000}"/>
  </hyperlinks>
  <pageMargins left="0.7" right="0.7" top="0.75" bottom="0.75" header="0.3" footer="0.3"/>
  <pageSetup orientation="portrait" horizontalDpi="300" verticalDpi="0" r:id="rId1"/>
  <ignoredErrors>
    <ignoredError sqref="E6:H6 E32:H32 E57:H57 E83:H83 E100:H100 E23:H23 H7 E49:H49 E74:H74 E24:G24 E51:H52 E50:G50 E76:H76 E75:G75 E101:G101 G4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3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479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41883</v>
      </c>
      <c r="C6" s="2" t="s">
        <v>8</v>
      </c>
      <c r="D6" s="2" t="s">
        <v>190</v>
      </c>
      <c r="E6" s="41" t="s">
        <v>480</v>
      </c>
      <c r="F6" s="40" t="s">
        <v>481</v>
      </c>
      <c r="G6" s="5">
        <v>469</v>
      </c>
      <c r="H6" s="41" t="s">
        <v>493</v>
      </c>
      <c r="K6" s="16"/>
    </row>
    <row r="7" spans="1:14" x14ac:dyDescent="0.3">
      <c r="B7" s="43">
        <v>41884</v>
      </c>
      <c r="C7" s="2" t="s">
        <v>8</v>
      </c>
      <c r="D7" s="28" t="s">
        <v>51</v>
      </c>
      <c r="E7" s="30">
        <v>246</v>
      </c>
      <c r="F7" s="30">
        <v>249</v>
      </c>
      <c r="G7" s="30">
        <v>1219</v>
      </c>
      <c r="H7" s="41" t="s">
        <v>494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41885</v>
      </c>
      <c r="C8" s="2" t="s">
        <v>8</v>
      </c>
      <c r="D8" s="28" t="s">
        <v>107</v>
      </c>
      <c r="E8" s="30">
        <v>2250</v>
      </c>
      <c r="F8" s="30">
        <v>2221</v>
      </c>
      <c r="G8" s="30">
        <v>133</v>
      </c>
      <c r="H8" s="30">
        <v>3857</v>
      </c>
      <c r="J8" s="16" t="s">
        <v>449</v>
      </c>
      <c r="K8" s="30">
        <v>23</v>
      </c>
      <c r="L8" s="30">
        <v>18</v>
      </c>
      <c r="M8" s="30">
        <v>4</v>
      </c>
      <c r="N8" s="30">
        <v>1</v>
      </c>
    </row>
    <row r="9" spans="1:14" x14ac:dyDescent="0.3">
      <c r="B9" s="43">
        <v>41886</v>
      </c>
      <c r="C9" s="2" t="s">
        <v>8</v>
      </c>
      <c r="D9" s="28" t="s">
        <v>107</v>
      </c>
      <c r="E9" s="30">
        <v>2225</v>
      </c>
      <c r="F9" s="30">
        <v>2209</v>
      </c>
      <c r="G9" s="30">
        <v>134</v>
      </c>
      <c r="H9" s="30">
        <v>2144</v>
      </c>
      <c r="J9" s="16" t="s">
        <v>450</v>
      </c>
      <c r="K9" s="30">
        <v>22</v>
      </c>
      <c r="L9" s="30">
        <v>16</v>
      </c>
      <c r="M9" s="30">
        <v>6</v>
      </c>
      <c r="N9" s="30">
        <v>0</v>
      </c>
    </row>
    <row r="10" spans="1:14" x14ac:dyDescent="0.3">
      <c r="B10" s="43">
        <v>41887</v>
      </c>
      <c r="C10" s="30" t="s">
        <v>8</v>
      </c>
      <c r="D10" s="30" t="s">
        <v>482</v>
      </c>
      <c r="E10" s="30">
        <v>318</v>
      </c>
      <c r="F10" s="30">
        <v>315</v>
      </c>
      <c r="G10" s="30">
        <v>943</v>
      </c>
      <c r="H10" s="30">
        <v>2829</v>
      </c>
      <c r="J10" s="16" t="s">
        <v>451</v>
      </c>
      <c r="K10" s="30">
        <v>25</v>
      </c>
      <c r="L10" s="30">
        <v>18</v>
      </c>
      <c r="M10" s="30">
        <v>6</v>
      </c>
      <c r="N10" s="30">
        <v>1</v>
      </c>
    </row>
    <row r="11" spans="1:14" x14ac:dyDescent="0.3">
      <c r="B11" s="43">
        <v>41890</v>
      </c>
      <c r="C11" s="2" t="s">
        <v>8</v>
      </c>
      <c r="D11" s="28" t="s">
        <v>129</v>
      </c>
      <c r="E11" s="30">
        <v>1060</v>
      </c>
      <c r="F11" s="30">
        <v>1047</v>
      </c>
      <c r="G11" s="30">
        <v>283</v>
      </c>
      <c r="H11" s="30">
        <v>3679</v>
      </c>
      <c r="J11" s="16" t="s">
        <v>452</v>
      </c>
      <c r="K11" s="30">
        <v>24</v>
      </c>
      <c r="L11" s="30">
        <v>18</v>
      </c>
      <c r="M11" s="30">
        <v>6</v>
      </c>
      <c r="N11" s="30">
        <v>0</v>
      </c>
    </row>
    <row r="12" spans="1:14" x14ac:dyDescent="0.3">
      <c r="B12" s="43">
        <v>41891</v>
      </c>
      <c r="C12" s="2" t="s">
        <v>8</v>
      </c>
      <c r="D12" s="28" t="s">
        <v>107</v>
      </c>
      <c r="E12" s="30">
        <v>2350</v>
      </c>
      <c r="F12" s="30">
        <v>2320</v>
      </c>
      <c r="G12" s="30">
        <v>127</v>
      </c>
      <c r="H12" s="30">
        <v>3810</v>
      </c>
      <c r="J12" s="16"/>
      <c r="K12" s="21">
        <v>94</v>
      </c>
      <c r="L12" s="21">
        <v>70</v>
      </c>
      <c r="M12" s="21">
        <v>22</v>
      </c>
      <c r="N12" s="21">
        <v>2</v>
      </c>
    </row>
    <row r="13" spans="1:14" x14ac:dyDescent="0.3">
      <c r="B13" s="43">
        <v>41892</v>
      </c>
      <c r="C13" s="2" t="s">
        <v>8</v>
      </c>
      <c r="D13" s="28" t="s">
        <v>98</v>
      </c>
      <c r="E13" s="30">
        <v>2715</v>
      </c>
      <c r="F13" s="30">
        <v>2680</v>
      </c>
      <c r="G13" s="30">
        <v>110</v>
      </c>
      <c r="H13" s="30">
        <v>3850</v>
      </c>
      <c r="K13" s="16"/>
    </row>
    <row r="14" spans="1:14" x14ac:dyDescent="0.3">
      <c r="B14" s="43">
        <v>41893</v>
      </c>
      <c r="C14" s="2" t="s">
        <v>8</v>
      </c>
      <c r="D14" s="28" t="s">
        <v>395</v>
      </c>
      <c r="E14" s="30">
        <v>2982</v>
      </c>
      <c r="F14" s="30">
        <v>2968</v>
      </c>
      <c r="G14" s="30">
        <v>100</v>
      </c>
      <c r="H14" s="30">
        <v>1400</v>
      </c>
      <c r="K14" s="68" t="s">
        <v>520</v>
      </c>
      <c r="L14" s="69"/>
      <c r="M14" s="70"/>
    </row>
    <row r="15" spans="1:14" x14ac:dyDescent="0.3">
      <c r="B15" s="43">
        <v>41894</v>
      </c>
      <c r="C15" s="2" t="s">
        <v>8</v>
      </c>
      <c r="D15" s="28" t="s">
        <v>496</v>
      </c>
      <c r="E15" s="30">
        <v>316</v>
      </c>
      <c r="F15" s="30">
        <v>317</v>
      </c>
      <c r="G15" s="30">
        <v>949</v>
      </c>
      <c r="H15" s="30">
        <v>-949</v>
      </c>
      <c r="K15" s="16"/>
    </row>
    <row r="16" spans="1:14" x14ac:dyDescent="0.3">
      <c r="B16" s="43">
        <v>41897</v>
      </c>
      <c r="C16" s="2" t="s">
        <v>8</v>
      </c>
      <c r="D16" s="28" t="s">
        <v>37</v>
      </c>
      <c r="E16" s="30">
        <v>164.2</v>
      </c>
      <c r="F16" s="30">
        <v>163</v>
      </c>
      <c r="G16" s="30">
        <v>1827</v>
      </c>
      <c r="H16" s="30">
        <v>2192</v>
      </c>
      <c r="K16" s="28"/>
      <c r="L16" s="30"/>
      <c r="M16" s="30"/>
      <c r="N16" s="30"/>
    </row>
    <row r="17" spans="2:14" x14ac:dyDescent="0.3">
      <c r="B17" s="43">
        <v>41898</v>
      </c>
      <c r="C17" s="2" t="s">
        <v>8</v>
      </c>
      <c r="D17" s="28" t="s">
        <v>168</v>
      </c>
      <c r="E17" s="30">
        <v>281</v>
      </c>
      <c r="F17" s="30">
        <v>275</v>
      </c>
      <c r="G17" s="30">
        <v>1067</v>
      </c>
      <c r="H17" s="30">
        <v>6402</v>
      </c>
      <c r="K17" s="49"/>
      <c r="L17" s="30"/>
      <c r="M17" s="30"/>
      <c r="N17" s="30"/>
    </row>
    <row r="18" spans="2:14" x14ac:dyDescent="0.3">
      <c r="B18" s="43">
        <v>41899</v>
      </c>
      <c r="C18" s="2" t="s">
        <v>8</v>
      </c>
      <c r="D18" s="28" t="s">
        <v>46</v>
      </c>
      <c r="E18" s="30">
        <v>410</v>
      </c>
      <c r="F18" s="30">
        <v>404.5</v>
      </c>
      <c r="G18" s="30">
        <v>731</v>
      </c>
      <c r="H18" s="30">
        <v>4751</v>
      </c>
      <c r="K18" s="49"/>
      <c r="L18" s="30"/>
      <c r="M18" s="30"/>
      <c r="N18" s="30"/>
    </row>
    <row r="19" spans="2:14" x14ac:dyDescent="0.3">
      <c r="B19" s="43">
        <v>41900</v>
      </c>
      <c r="C19" s="2" t="s">
        <v>11</v>
      </c>
      <c r="D19" s="28" t="s">
        <v>160</v>
      </c>
      <c r="E19" s="30">
        <v>618</v>
      </c>
      <c r="F19" s="30">
        <v>622</v>
      </c>
      <c r="G19" s="30">
        <v>485</v>
      </c>
      <c r="H19" s="30">
        <v>1940</v>
      </c>
      <c r="K19" s="49"/>
      <c r="L19" s="30"/>
      <c r="M19" s="30"/>
      <c r="N19" s="30"/>
    </row>
    <row r="20" spans="2:14" x14ac:dyDescent="0.3">
      <c r="B20" s="43">
        <v>41901</v>
      </c>
      <c r="C20" s="2" t="s">
        <v>8</v>
      </c>
      <c r="D20" s="28" t="s">
        <v>497</v>
      </c>
      <c r="E20" s="30">
        <v>284</v>
      </c>
      <c r="F20" s="30">
        <v>282.5</v>
      </c>
      <c r="G20" s="30">
        <v>1056</v>
      </c>
      <c r="H20" s="30">
        <v>1584</v>
      </c>
      <c r="K20" s="49"/>
      <c r="L20" s="30"/>
      <c r="M20" s="30"/>
      <c r="N20" s="30"/>
    </row>
    <row r="21" spans="2:14" x14ac:dyDescent="0.3">
      <c r="B21" s="43">
        <v>41904</v>
      </c>
      <c r="C21" s="2" t="s">
        <v>8</v>
      </c>
      <c r="D21" s="28" t="s">
        <v>137</v>
      </c>
      <c r="E21" s="30">
        <v>725</v>
      </c>
      <c r="F21" s="30">
        <v>733</v>
      </c>
      <c r="G21" s="30">
        <v>413</v>
      </c>
      <c r="H21" s="30">
        <v>-3304</v>
      </c>
      <c r="K21" s="16"/>
    </row>
    <row r="22" spans="2:14" x14ac:dyDescent="0.3">
      <c r="B22" s="43">
        <v>41905</v>
      </c>
      <c r="C22" s="30" t="s">
        <v>8</v>
      </c>
      <c r="D22" s="30" t="s">
        <v>361</v>
      </c>
      <c r="E22" s="30">
        <v>198.5</v>
      </c>
      <c r="F22" s="30">
        <v>193</v>
      </c>
      <c r="G22" s="30">
        <v>1511</v>
      </c>
      <c r="H22" s="30">
        <v>8310</v>
      </c>
      <c r="K22" s="16"/>
    </row>
    <row r="23" spans="2:14" x14ac:dyDescent="0.3">
      <c r="B23" s="43">
        <v>41906</v>
      </c>
      <c r="C23" s="28" t="s">
        <v>8</v>
      </c>
      <c r="D23" s="28" t="s">
        <v>85</v>
      </c>
      <c r="E23" s="30">
        <v>401</v>
      </c>
      <c r="F23" s="30">
        <v>397</v>
      </c>
      <c r="G23" s="30">
        <v>748</v>
      </c>
      <c r="H23" s="30">
        <v>2992</v>
      </c>
      <c r="K23" s="16"/>
    </row>
    <row r="24" spans="2:14" x14ac:dyDescent="0.3">
      <c r="B24" s="43">
        <v>41907</v>
      </c>
      <c r="C24" s="28" t="s">
        <v>8</v>
      </c>
      <c r="D24" s="30" t="s">
        <v>31</v>
      </c>
      <c r="E24" s="30">
        <v>952</v>
      </c>
      <c r="F24" s="30">
        <v>932</v>
      </c>
      <c r="G24" s="30">
        <v>315</v>
      </c>
      <c r="H24" s="30">
        <v>6300</v>
      </c>
      <c r="K24" s="16"/>
    </row>
    <row r="25" spans="2:14" x14ac:dyDescent="0.3">
      <c r="B25" s="43">
        <v>41908</v>
      </c>
      <c r="C25" s="28" t="s">
        <v>8</v>
      </c>
      <c r="D25" s="28" t="s">
        <v>16</v>
      </c>
      <c r="E25" s="49" t="s">
        <v>504</v>
      </c>
      <c r="F25" s="49" t="s">
        <v>505</v>
      </c>
      <c r="G25" s="49" t="s">
        <v>506</v>
      </c>
      <c r="H25" s="73" t="s">
        <v>507</v>
      </c>
    </row>
    <row r="26" spans="2:14" x14ac:dyDescent="0.3">
      <c r="B26" s="43">
        <v>41908</v>
      </c>
      <c r="C26" s="28" t="s">
        <v>8</v>
      </c>
      <c r="D26" s="28" t="s">
        <v>395</v>
      </c>
      <c r="E26" s="49" t="s">
        <v>509</v>
      </c>
      <c r="F26" s="49" t="s">
        <v>510</v>
      </c>
      <c r="G26" s="49" t="s">
        <v>511</v>
      </c>
      <c r="H26" s="74" t="s">
        <v>512</v>
      </c>
    </row>
    <row r="27" spans="2:14" ht="15.6" x14ac:dyDescent="0.3">
      <c r="B27" s="43">
        <v>41911</v>
      </c>
      <c r="C27" s="28" t="s">
        <v>8</v>
      </c>
      <c r="D27" s="28" t="s">
        <v>121</v>
      </c>
      <c r="E27" s="49" t="s">
        <v>513</v>
      </c>
      <c r="F27" s="49" t="s">
        <v>514</v>
      </c>
      <c r="G27" s="49" t="s">
        <v>515</v>
      </c>
      <c r="H27" s="62" t="s">
        <v>516</v>
      </c>
    </row>
    <row r="28" spans="2:14" ht="15.6" x14ac:dyDescent="0.3">
      <c r="B28" s="43">
        <v>41912</v>
      </c>
      <c r="C28" s="28" t="s">
        <v>8</v>
      </c>
      <c r="D28" s="28" t="s">
        <v>250</v>
      </c>
      <c r="E28" s="49">
        <v>1425</v>
      </c>
      <c r="F28" s="49">
        <v>1438</v>
      </c>
      <c r="G28" s="49">
        <v>210</v>
      </c>
      <c r="H28" s="62" t="s">
        <v>517</v>
      </c>
    </row>
    <row r="29" spans="2:14" ht="15.6" x14ac:dyDescent="0.3">
      <c r="C29" s="28"/>
      <c r="D29" s="28"/>
      <c r="E29" s="28"/>
      <c r="F29" s="28"/>
      <c r="G29" s="28"/>
      <c r="H29" s="34">
        <v>52046</v>
      </c>
    </row>
    <row r="30" spans="2:14" ht="15.6" x14ac:dyDescent="0.3">
      <c r="C30" s="28"/>
      <c r="D30" s="28"/>
      <c r="E30" s="28"/>
      <c r="F30" s="28"/>
      <c r="G30" s="28"/>
      <c r="H30" s="34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</row>
    <row r="33" spans="2:8" x14ac:dyDescent="0.3">
      <c r="B33" s="43">
        <v>41883</v>
      </c>
      <c r="C33" s="2" t="s">
        <v>8</v>
      </c>
      <c r="D33" s="2" t="s">
        <v>124</v>
      </c>
      <c r="E33" s="41" t="s">
        <v>483</v>
      </c>
      <c r="F33" s="40" t="s">
        <v>484</v>
      </c>
      <c r="G33" s="5">
        <v>1000</v>
      </c>
      <c r="H33" s="40" t="s">
        <v>466</v>
      </c>
    </row>
    <row r="34" spans="2:8" x14ac:dyDescent="0.3">
      <c r="B34" s="43">
        <v>41884</v>
      </c>
      <c r="C34" s="30" t="s">
        <v>8</v>
      </c>
      <c r="D34" s="30" t="s">
        <v>46</v>
      </c>
      <c r="E34" s="30">
        <v>438</v>
      </c>
      <c r="F34" s="30">
        <v>443</v>
      </c>
      <c r="G34" s="30">
        <v>1000</v>
      </c>
      <c r="H34" s="30">
        <v>-5000</v>
      </c>
    </row>
    <row r="35" spans="2:8" x14ac:dyDescent="0.3">
      <c r="B35" s="43">
        <v>41885</v>
      </c>
      <c r="C35" s="30" t="s">
        <v>9</v>
      </c>
      <c r="D35" s="30" t="s">
        <v>395</v>
      </c>
      <c r="E35" s="30">
        <v>2986</v>
      </c>
      <c r="F35" s="30">
        <v>3016</v>
      </c>
      <c r="G35" s="30">
        <v>125</v>
      </c>
      <c r="H35" s="30">
        <v>3570</v>
      </c>
    </row>
    <row r="36" spans="2:8" x14ac:dyDescent="0.3">
      <c r="B36" s="43">
        <v>41886</v>
      </c>
      <c r="C36" s="30" t="s">
        <v>8</v>
      </c>
      <c r="D36" s="30" t="s">
        <v>124</v>
      </c>
      <c r="E36" s="30">
        <v>517</v>
      </c>
      <c r="F36" s="30">
        <v>513</v>
      </c>
      <c r="G36" s="30">
        <v>1000</v>
      </c>
      <c r="H36" s="30">
        <v>4000</v>
      </c>
    </row>
    <row r="37" spans="2:8" x14ac:dyDescent="0.3">
      <c r="B37" s="43">
        <v>41887</v>
      </c>
      <c r="C37" s="30" t="s">
        <v>8</v>
      </c>
      <c r="D37" s="30" t="s">
        <v>189</v>
      </c>
      <c r="E37" s="30">
        <v>220</v>
      </c>
      <c r="F37" s="30">
        <v>216.5</v>
      </c>
      <c r="G37" s="30">
        <v>2000</v>
      </c>
      <c r="H37" s="30">
        <v>7000</v>
      </c>
    </row>
    <row r="38" spans="2:8" x14ac:dyDescent="0.3">
      <c r="B38" s="43">
        <v>41890</v>
      </c>
      <c r="C38" s="30" t="s">
        <v>8</v>
      </c>
      <c r="D38" s="30" t="s">
        <v>160</v>
      </c>
      <c r="E38" s="30">
        <v>564</v>
      </c>
      <c r="F38" s="30">
        <v>561.5</v>
      </c>
      <c r="G38" s="30">
        <v>1000</v>
      </c>
      <c r="H38" s="30">
        <v>2500</v>
      </c>
    </row>
    <row r="39" spans="2:8" x14ac:dyDescent="0.3">
      <c r="B39" s="43">
        <v>41891</v>
      </c>
      <c r="C39" s="30" t="s">
        <v>8</v>
      </c>
      <c r="D39" s="30" t="s">
        <v>190</v>
      </c>
      <c r="E39" s="30">
        <v>658</v>
      </c>
      <c r="F39" s="30">
        <v>654.5</v>
      </c>
      <c r="G39" s="30">
        <v>1000</v>
      </c>
      <c r="H39" s="30">
        <v>3500</v>
      </c>
    </row>
    <row r="40" spans="2:8" x14ac:dyDescent="0.3">
      <c r="B40" s="43">
        <v>41892</v>
      </c>
      <c r="C40" s="30" t="s">
        <v>8</v>
      </c>
      <c r="D40" s="30" t="s">
        <v>113</v>
      </c>
      <c r="E40" s="30">
        <v>202.5</v>
      </c>
      <c r="F40" s="30">
        <v>201.1</v>
      </c>
      <c r="G40" s="30">
        <v>2000</v>
      </c>
      <c r="H40" s="30">
        <v>2800</v>
      </c>
    </row>
    <row r="41" spans="2:8" x14ac:dyDescent="0.3">
      <c r="B41" s="43">
        <v>41893</v>
      </c>
      <c r="C41" s="30" t="s">
        <v>8</v>
      </c>
      <c r="D41" s="30" t="s">
        <v>98</v>
      </c>
      <c r="E41" s="30">
        <v>2690</v>
      </c>
      <c r="F41" s="30">
        <v>2715</v>
      </c>
      <c r="G41" s="30">
        <v>125</v>
      </c>
      <c r="H41" s="30">
        <v>-3125</v>
      </c>
    </row>
    <row r="42" spans="2:8" x14ac:dyDescent="0.3">
      <c r="B42" s="43">
        <v>41894</v>
      </c>
      <c r="C42" s="30" t="s">
        <v>8</v>
      </c>
      <c r="D42" s="30" t="s">
        <v>133</v>
      </c>
      <c r="E42" s="30">
        <v>1318</v>
      </c>
      <c r="F42" s="30">
        <v>1330</v>
      </c>
      <c r="G42" s="30">
        <v>250</v>
      </c>
      <c r="H42" s="30">
        <v>-3000</v>
      </c>
    </row>
    <row r="43" spans="2:8" x14ac:dyDescent="0.3">
      <c r="B43" s="43">
        <v>41897</v>
      </c>
      <c r="C43" s="30" t="s">
        <v>8</v>
      </c>
      <c r="D43" s="30" t="s">
        <v>168</v>
      </c>
      <c r="E43" s="30">
        <v>288</v>
      </c>
      <c r="F43" s="30">
        <v>286</v>
      </c>
      <c r="G43" s="30">
        <v>1250</v>
      </c>
      <c r="H43" s="30">
        <v>2500</v>
      </c>
    </row>
    <row r="44" spans="2:8" x14ac:dyDescent="0.3">
      <c r="B44" s="43">
        <v>41898</v>
      </c>
      <c r="C44" s="30" t="s">
        <v>8</v>
      </c>
      <c r="D44" s="30" t="s">
        <v>46</v>
      </c>
      <c r="E44" s="30">
        <v>418</v>
      </c>
      <c r="F44" s="30">
        <v>410</v>
      </c>
      <c r="G44" s="30">
        <v>1000</v>
      </c>
      <c r="H44" s="30">
        <v>8000</v>
      </c>
    </row>
    <row r="45" spans="2:8" x14ac:dyDescent="0.3">
      <c r="B45" s="43">
        <v>41899</v>
      </c>
      <c r="C45" s="30" t="s">
        <v>8</v>
      </c>
      <c r="D45" s="30" t="s">
        <v>124</v>
      </c>
      <c r="E45" s="30">
        <v>497.5</v>
      </c>
      <c r="F45" s="30">
        <v>503.5</v>
      </c>
      <c r="G45" s="30">
        <v>1000</v>
      </c>
      <c r="H45" s="30">
        <v>-6000</v>
      </c>
    </row>
    <row r="46" spans="2:8" x14ac:dyDescent="0.3">
      <c r="B46" s="43">
        <v>41900</v>
      </c>
      <c r="C46" s="30" t="s">
        <v>8</v>
      </c>
      <c r="D46" s="30" t="s">
        <v>137</v>
      </c>
      <c r="E46" s="30">
        <v>753</v>
      </c>
      <c r="F46" s="30">
        <v>743</v>
      </c>
      <c r="G46" s="30">
        <v>500</v>
      </c>
      <c r="H46" s="30">
        <v>5000</v>
      </c>
    </row>
    <row r="47" spans="2:8" x14ac:dyDescent="0.3">
      <c r="B47" s="43">
        <v>41901</v>
      </c>
      <c r="C47" s="30" t="s">
        <v>8</v>
      </c>
      <c r="D47" s="28" t="s">
        <v>137</v>
      </c>
      <c r="E47" s="30">
        <v>746</v>
      </c>
      <c r="F47" s="30">
        <v>733</v>
      </c>
      <c r="G47" s="30">
        <v>500</v>
      </c>
      <c r="H47" s="30">
        <v>6500</v>
      </c>
    </row>
    <row r="48" spans="2:8" x14ac:dyDescent="0.3">
      <c r="B48" s="43">
        <v>41904</v>
      </c>
      <c r="C48" s="30" t="s">
        <v>8</v>
      </c>
      <c r="D48" s="30" t="s">
        <v>497</v>
      </c>
      <c r="E48" s="30">
        <v>281</v>
      </c>
      <c r="F48" s="30">
        <v>277.5</v>
      </c>
      <c r="G48" s="30">
        <v>2000</v>
      </c>
      <c r="H48" s="30">
        <v>7000</v>
      </c>
    </row>
    <row r="49" spans="2:10" x14ac:dyDescent="0.3">
      <c r="B49" s="43">
        <v>41905</v>
      </c>
      <c r="C49" s="30" t="s">
        <v>8</v>
      </c>
      <c r="D49" s="30" t="s">
        <v>497</v>
      </c>
      <c r="E49" s="30">
        <v>281.5</v>
      </c>
      <c r="F49" s="30">
        <v>279.5</v>
      </c>
      <c r="G49" s="30">
        <v>2000</v>
      </c>
      <c r="H49" s="30">
        <v>4000</v>
      </c>
    </row>
    <row r="50" spans="2:10" x14ac:dyDescent="0.3">
      <c r="B50" s="43">
        <v>41906</v>
      </c>
      <c r="C50" s="30" t="s">
        <v>8</v>
      </c>
      <c r="D50" s="30" t="s">
        <v>502</v>
      </c>
      <c r="E50" s="30">
        <v>960</v>
      </c>
      <c r="F50" s="30">
        <v>947</v>
      </c>
      <c r="G50" s="30">
        <v>500</v>
      </c>
      <c r="H50" s="30">
        <v>6500</v>
      </c>
    </row>
    <row r="51" spans="2:10" x14ac:dyDescent="0.3">
      <c r="B51" s="43">
        <v>41907</v>
      </c>
      <c r="C51" s="30" t="s">
        <v>8</v>
      </c>
      <c r="D51" s="30" t="s">
        <v>502</v>
      </c>
      <c r="E51" s="30">
        <v>922</v>
      </c>
      <c r="F51" s="30">
        <v>902</v>
      </c>
      <c r="G51" s="30">
        <v>500</v>
      </c>
      <c r="H51" s="30">
        <v>10000</v>
      </c>
    </row>
    <row r="52" spans="2:10" x14ac:dyDescent="0.3">
      <c r="B52" s="43">
        <v>41908</v>
      </c>
      <c r="C52" s="30" t="s">
        <v>8</v>
      </c>
      <c r="D52" s="30" t="s">
        <v>119</v>
      </c>
      <c r="E52" s="30">
        <v>1025</v>
      </c>
      <c r="F52" s="30">
        <v>1035</v>
      </c>
      <c r="G52" s="30">
        <v>500</v>
      </c>
      <c r="H52" s="49">
        <v>-5000</v>
      </c>
    </row>
    <row r="53" spans="2:10" x14ac:dyDescent="0.3">
      <c r="B53" s="43">
        <v>41911</v>
      </c>
      <c r="C53" s="30" t="s">
        <v>8</v>
      </c>
      <c r="D53" s="30" t="s">
        <v>107</v>
      </c>
      <c r="E53" s="30">
        <v>2340</v>
      </c>
      <c r="F53" s="30">
        <v>2310</v>
      </c>
      <c r="G53" s="30">
        <v>125</v>
      </c>
      <c r="H53" s="30">
        <v>3750</v>
      </c>
    </row>
    <row r="54" spans="2:10" x14ac:dyDescent="0.3">
      <c r="B54" s="43">
        <v>41912</v>
      </c>
      <c r="C54" s="30" t="s">
        <v>8</v>
      </c>
      <c r="D54" s="30" t="s">
        <v>497</v>
      </c>
      <c r="E54" s="30">
        <v>270</v>
      </c>
      <c r="F54" s="30">
        <v>273</v>
      </c>
      <c r="G54" s="30">
        <v>2000</v>
      </c>
      <c r="H54" s="30">
        <v>-6000</v>
      </c>
    </row>
    <row r="55" spans="2:10" ht="15.6" x14ac:dyDescent="0.3">
      <c r="B55" s="43"/>
      <c r="C55" s="30"/>
      <c r="D55" s="30"/>
      <c r="E55" s="30"/>
      <c r="F55" s="30"/>
      <c r="G55" s="30"/>
      <c r="H55" s="34">
        <v>53495</v>
      </c>
    </row>
    <row r="56" spans="2:10" ht="15.6" x14ac:dyDescent="0.3">
      <c r="B56" s="43"/>
      <c r="C56" s="30"/>
      <c r="D56" s="30"/>
      <c r="E56" s="30"/>
      <c r="F56" s="30"/>
      <c r="G56" s="30"/>
      <c r="H56" s="33"/>
    </row>
    <row r="57" spans="2:10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10" x14ac:dyDescent="0.3">
      <c r="B58" s="43">
        <v>41883</v>
      </c>
      <c r="C58" s="2" t="s">
        <v>8</v>
      </c>
      <c r="D58" s="2" t="s">
        <v>39</v>
      </c>
      <c r="E58" s="41" t="s">
        <v>485</v>
      </c>
      <c r="F58" s="40" t="s">
        <v>486</v>
      </c>
      <c r="G58" s="41" t="s">
        <v>217</v>
      </c>
      <c r="H58" s="41" t="s">
        <v>487</v>
      </c>
    </row>
    <row r="59" spans="2:10" x14ac:dyDescent="0.3">
      <c r="B59" s="43">
        <v>41884</v>
      </c>
      <c r="C59" s="30" t="s">
        <v>9</v>
      </c>
      <c r="D59" s="2" t="s">
        <v>39</v>
      </c>
      <c r="E59" s="30">
        <v>8092</v>
      </c>
      <c r="F59" s="30">
        <v>8135</v>
      </c>
      <c r="G59" s="30">
        <v>100</v>
      </c>
      <c r="H59" s="30">
        <v>4300</v>
      </c>
      <c r="J59" s="1"/>
    </row>
    <row r="60" spans="2:10" x14ac:dyDescent="0.3">
      <c r="B60" s="43">
        <v>41885</v>
      </c>
      <c r="C60" s="30" t="s">
        <v>9</v>
      </c>
      <c r="D60" s="2" t="s">
        <v>39</v>
      </c>
      <c r="E60" s="30">
        <v>8125</v>
      </c>
      <c r="F60" s="30">
        <v>8150</v>
      </c>
      <c r="G60" s="30">
        <v>100</v>
      </c>
      <c r="H60" s="30">
        <v>2500</v>
      </c>
      <c r="J60" s="1"/>
    </row>
    <row r="61" spans="2:10" x14ac:dyDescent="0.3">
      <c r="B61" s="43">
        <v>41886</v>
      </c>
      <c r="C61" s="30" t="s">
        <v>8</v>
      </c>
      <c r="D61" s="2" t="s">
        <v>39</v>
      </c>
      <c r="E61" s="30">
        <v>8120</v>
      </c>
      <c r="F61" s="30">
        <v>8100</v>
      </c>
      <c r="G61" s="41" t="s">
        <v>217</v>
      </c>
      <c r="H61" s="30">
        <v>2000</v>
      </c>
      <c r="J61" s="1"/>
    </row>
    <row r="62" spans="2:10" x14ac:dyDescent="0.3">
      <c r="B62" s="43">
        <v>41887</v>
      </c>
      <c r="C62" s="30" t="s">
        <v>8</v>
      </c>
      <c r="D62" s="2" t="s">
        <v>39</v>
      </c>
      <c r="E62" s="30">
        <v>8140</v>
      </c>
      <c r="F62" s="30">
        <v>8090</v>
      </c>
      <c r="G62" s="30">
        <v>100</v>
      </c>
      <c r="H62" s="30">
        <v>5000</v>
      </c>
      <c r="J62" s="1"/>
    </row>
    <row r="63" spans="2:10" x14ac:dyDescent="0.3">
      <c r="B63" s="43">
        <v>41890</v>
      </c>
      <c r="C63" s="30" t="s">
        <v>8</v>
      </c>
      <c r="D63" s="2" t="s">
        <v>39</v>
      </c>
      <c r="E63" s="30">
        <v>8158</v>
      </c>
      <c r="F63" s="30">
        <v>8185</v>
      </c>
      <c r="G63" s="30">
        <v>100</v>
      </c>
      <c r="H63" s="30">
        <v>-2800</v>
      </c>
      <c r="J63" s="1"/>
    </row>
    <row r="64" spans="2:10" x14ac:dyDescent="0.3">
      <c r="B64" s="43">
        <v>41891</v>
      </c>
      <c r="C64" s="30" t="s">
        <v>8</v>
      </c>
      <c r="D64" s="2" t="s">
        <v>39</v>
      </c>
      <c r="E64" s="30">
        <v>8180</v>
      </c>
      <c r="F64" s="30">
        <v>8160</v>
      </c>
      <c r="G64" s="41" t="s">
        <v>217</v>
      </c>
      <c r="H64" s="30">
        <v>2000</v>
      </c>
      <c r="J64" s="1"/>
    </row>
    <row r="65" spans="2:10" x14ac:dyDescent="0.3">
      <c r="B65" s="43">
        <v>41892</v>
      </c>
      <c r="C65" s="30" t="s">
        <v>8</v>
      </c>
      <c r="D65" s="2" t="s">
        <v>39</v>
      </c>
      <c r="E65" s="30">
        <v>8145</v>
      </c>
      <c r="F65" s="30">
        <v>8113</v>
      </c>
      <c r="G65" s="30">
        <v>100</v>
      </c>
      <c r="H65" s="30">
        <v>3200</v>
      </c>
      <c r="J65" s="46"/>
    </row>
    <row r="66" spans="2:10" x14ac:dyDescent="0.3">
      <c r="B66" s="43">
        <v>41893</v>
      </c>
      <c r="C66" s="30" t="s">
        <v>8</v>
      </c>
      <c r="D66" s="2" t="s">
        <v>39</v>
      </c>
      <c r="E66" s="30">
        <v>8130</v>
      </c>
      <c r="F66" s="30">
        <v>8080</v>
      </c>
      <c r="G66" s="30">
        <v>100</v>
      </c>
      <c r="H66" s="30">
        <v>5000</v>
      </c>
      <c r="J66" s="46"/>
    </row>
    <row r="67" spans="2:10" x14ac:dyDescent="0.3">
      <c r="B67" s="43">
        <v>41894</v>
      </c>
      <c r="C67" s="30" t="s">
        <v>8</v>
      </c>
      <c r="D67" s="2" t="s">
        <v>39</v>
      </c>
      <c r="E67" s="30">
        <v>8120</v>
      </c>
      <c r="F67" s="30">
        <v>8100</v>
      </c>
      <c r="G67" s="41" t="s">
        <v>217</v>
      </c>
      <c r="H67" s="30">
        <v>2000</v>
      </c>
      <c r="J67" s="46"/>
    </row>
    <row r="68" spans="2:10" x14ac:dyDescent="0.3">
      <c r="B68" s="43">
        <v>41897</v>
      </c>
      <c r="C68" s="30" t="s">
        <v>8</v>
      </c>
      <c r="D68" s="2" t="s">
        <v>39</v>
      </c>
      <c r="E68" s="30">
        <v>8055</v>
      </c>
      <c r="F68" s="30">
        <v>8080</v>
      </c>
      <c r="G68" s="30">
        <v>100</v>
      </c>
      <c r="H68" s="30">
        <v>-2500</v>
      </c>
      <c r="J68" s="46"/>
    </row>
    <row r="69" spans="2:10" x14ac:dyDescent="0.3">
      <c r="B69" s="43">
        <v>41898</v>
      </c>
      <c r="C69" s="30" t="s">
        <v>8</v>
      </c>
      <c r="D69" s="2" t="s">
        <v>39</v>
      </c>
      <c r="E69" s="30">
        <v>8045</v>
      </c>
      <c r="F69" s="30">
        <v>8000</v>
      </c>
      <c r="G69" s="30">
        <v>100</v>
      </c>
      <c r="H69" s="30">
        <v>4500</v>
      </c>
      <c r="J69" s="46"/>
    </row>
    <row r="70" spans="2:10" x14ac:dyDescent="0.3">
      <c r="B70" s="43">
        <v>41899</v>
      </c>
      <c r="C70" s="30" t="s">
        <v>8</v>
      </c>
      <c r="D70" s="2" t="s">
        <v>39</v>
      </c>
      <c r="E70" s="30">
        <v>7980</v>
      </c>
      <c r="F70" s="30">
        <v>8005</v>
      </c>
      <c r="G70" s="41" t="s">
        <v>217</v>
      </c>
      <c r="H70" s="30">
        <v>-2500</v>
      </c>
      <c r="J70" s="46"/>
    </row>
    <row r="71" spans="2:10" x14ac:dyDescent="0.3">
      <c r="B71" s="43">
        <v>41900</v>
      </c>
      <c r="C71" s="30" t="s">
        <v>8</v>
      </c>
      <c r="D71" s="2" t="s">
        <v>39</v>
      </c>
      <c r="E71" s="30">
        <v>8060</v>
      </c>
      <c r="F71" s="30">
        <v>8068</v>
      </c>
      <c r="G71" s="41" t="s">
        <v>217</v>
      </c>
      <c r="H71" s="30">
        <v>-800</v>
      </c>
      <c r="J71" s="46"/>
    </row>
    <row r="72" spans="2:10" x14ac:dyDescent="0.3">
      <c r="B72" s="43">
        <v>41900</v>
      </c>
      <c r="C72" s="30" t="s">
        <v>9</v>
      </c>
      <c r="D72" s="2" t="s">
        <v>39</v>
      </c>
      <c r="E72" s="30">
        <v>8120</v>
      </c>
      <c r="F72" s="30">
        <v>8140</v>
      </c>
      <c r="G72" s="30">
        <v>100</v>
      </c>
      <c r="H72" s="30">
        <v>2000</v>
      </c>
      <c r="J72" s="47"/>
    </row>
    <row r="73" spans="2:10" x14ac:dyDescent="0.3">
      <c r="B73" s="43">
        <v>41901</v>
      </c>
      <c r="C73" s="30" t="s">
        <v>8</v>
      </c>
      <c r="D73" s="2" t="s">
        <v>39</v>
      </c>
      <c r="E73" s="30">
        <v>8137</v>
      </c>
      <c r="F73" s="30">
        <v>8150</v>
      </c>
      <c r="G73" s="30">
        <v>100</v>
      </c>
      <c r="H73" s="30">
        <v>-1300</v>
      </c>
      <c r="J73" s="46"/>
    </row>
    <row r="74" spans="2:10" x14ac:dyDescent="0.3">
      <c r="B74" s="43">
        <v>41901</v>
      </c>
      <c r="C74" s="30" t="s">
        <v>9</v>
      </c>
      <c r="D74" s="2" t="s">
        <v>39</v>
      </c>
      <c r="E74" s="30">
        <v>8150</v>
      </c>
      <c r="F74" s="30">
        <v>8163</v>
      </c>
      <c r="G74" s="30">
        <v>100</v>
      </c>
      <c r="H74" s="30">
        <v>1300</v>
      </c>
      <c r="J74" s="46"/>
    </row>
    <row r="75" spans="2:10" x14ac:dyDescent="0.3">
      <c r="B75" s="43">
        <v>41904</v>
      </c>
      <c r="C75" s="30" t="s">
        <v>9</v>
      </c>
      <c r="D75" s="2" t="s">
        <v>39</v>
      </c>
      <c r="E75" s="30">
        <v>8085</v>
      </c>
      <c r="F75" s="30">
        <v>8130</v>
      </c>
      <c r="G75" s="41" t="s">
        <v>217</v>
      </c>
      <c r="H75" s="30">
        <v>4500</v>
      </c>
      <c r="J75" s="46"/>
    </row>
    <row r="76" spans="2:10" x14ac:dyDescent="0.3">
      <c r="B76" s="43">
        <v>41905</v>
      </c>
      <c r="C76" s="30" t="s">
        <v>8</v>
      </c>
      <c r="D76" s="2" t="s">
        <v>39</v>
      </c>
      <c r="E76" s="30">
        <v>8145</v>
      </c>
      <c r="F76" s="30">
        <v>8095</v>
      </c>
      <c r="G76" s="30">
        <v>100</v>
      </c>
      <c r="H76" s="30">
        <v>5000</v>
      </c>
    </row>
    <row r="77" spans="2:10" x14ac:dyDescent="0.3">
      <c r="B77" s="43">
        <v>41906</v>
      </c>
      <c r="C77" s="30" t="s">
        <v>8</v>
      </c>
      <c r="D77" s="2" t="s">
        <v>39</v>
      </c>
      <c r="E77" s="30">
        <v>8040</v>
      </c>
      <c r="F77" s="30">
        <v>7980</v>
      </c>
      <c r="G77" s="30">
        <v>100</v>
      </c>
      <c r="H77" s="30">
        <v>6000</v>
      </c>
    </row>
    <row r="78" spans="2:10" x14ac:dyDescent="0.3">
      <c r="B78" s="43">
        <v>41907</v>
      </c>
      <c r="C78" s="30" t="s">
        <v>8</v>
      </c>
      <c r="D78" s="2" t="s">
        <v>39</v>
      </c>
      <c r="E78" s="30">
        <v>8005</v>
      </c>
      <c r="F78" s="30">
        <v>7955</v>
      </c>
      <c r="G78" s="41" t="s">
        <v>217</v>
      </c>
      <c r="H78" s="30">
        <v>5000</v>
      </c>
    </row>
    <row r="79" spans="2:10" x14ac:dyDescent="0.3">
      <c r="B79" s="43">
        <v>41908</v>
      </c>
      <c r="C79" s="30" t="s">
        <v>8</v>
      </c>
      <c r="D79" s="2" t="s">
        <v>39</v>
      </c>
      <c r="E79" s="30">
        <v>7975</v>
      </c>
      <c r="F79" s="30">
        <v>7925</v>
      </c>
      <c r="G79" s="30">
        <v>100</v>
      </c>
      <c r="H79" s="30">
        <v>5000</v>
      </c>
    </row>
    <row r="80" spans="2:10" x14ac:dyDescent="0.3">
      <c r="B80" s="43">
        <v>41911</v>
      </c>
      <c r="C80" s="30" t="s">
        <v>8</v>
      </c>
      <c r="D80" s="2" t="s">
        <v>39</v>
      </c>
      <c r="E80" s="30">
        <v>8015</v>
      </c>
      <c r="F80" s="30">
        <v>7980</v>
      </c>
      <c r="G80" s="30">
        <v>100</v>
      </c>
      <c r="H80" s="49" t="s">
        <v>245</v>
      </c>
    </row>
    <row r="81" spans="2:8" x14ac:dyDescent="0.3">
      <c r="B81" s="43">
        <v>41912</v>
      </c>
      <c r="C81" s="30" t="s">
        <v>8</v>
      </c>
      <c r="D81" s="2" t="s">
        <v>39</v>
      </c>
      <c r="E81" s="30">
        <v>7990</v>
      </c>
      <c r="F81" s="30">
        <v>8015</v>
      </c>
      <c r="G81" s="41" t="s">
        <v>217</v>
      </c>
      <c r="H81" s="49" t="s">
        <v>487</v>
      </c>
    </row>
    <row r="82" spans="2:8" x14ac:dyDescent="0.3">
      <c r="B82" s="43">
        <v>41912</v>
      </c>
      <c r="C82" s="30" t="s">
        <v>8</v>
      </c>
      <c r="D82" s="2" t="s">
        <v>39</v>
      </c>
      <c r="E82" s="30">
        <v>8020</v>
      </c>
      <c r="F82" s="30">
        <v>7980</v>
      </c>
      <c r="G82" s="41" t="s">
        <v>217</v>
      </c>
      <c r="H82" s="49" t="s">
        <v>518</v>
      </c>
    </row>
    <row r="83" spans="2:8" ht="15.6" x14ac:dyDescent="0.3">
      <c r="B83" s="43"/>
      <c r="C83" s="30"/>
      <c r="D83" s="2"/>
      <c r="E83" s="30"/>
      <c r="F83" s="30"/>
      <c r="G83" s="41"/>
      <c r="H83" s="34">
        <v>46900</v>
      </c>
    </row>
    <row r="84" spans="2:8" x14ac:dyDescent="0.3">
      <c r="B84" s="43"/>
      <c r="C84" s="28"/>
      <c r="D84" s="30"/>
      <c r="E84" s="28"/>
      <c r="F84" s="28"/>
      <c r="G84" s="28"/>
      <c r="H84" s="28"/>
    </row>
    <row r="85" spans="2:8" ht="15.6" x14ac:dyDescent="0.3">
      <c r="B85" s="48" t="s">
        <v>333</v>
      </c>
      <c r="C85" s="61"/>
      <c r="D85" s="61"/>
      <c r="E85" s="61"/>
      <c r="F85" s="61"/>
      <c r="G85" s="61"/>
      <c r="H85" s="61"/>
    </row>
    <row r="86" spans="2:8" x14ac:dyDescent="0.3">
      <c r="B86" s="43">
        <v>41883</v>
      </c>
      <c r="C86" s="3" t="s">
        <v>9</v>
      </c>
      <c r="D86" s="3" t="s">
        <v>488</v>
      </c>
      <c r="E86" s="40" t="s">
        <v>489</v>
      </c>
      <c r="F86" s="40" t="s">
        <v>490</v>
      </c>
      <c r="G86" s="30">
        <v>1000</v>
      </c>
      <c r="H86" s="8">
        <v>6000</v>
      </c>
    </row>
    <row r="87" spans="2:8" x14ac:dyDescent="0.3">
      <c r="B87" s="43">
        <v>41884</v>
      </c>
      <c r="C87" s="3" t="s">
        <v>9</v>
      </c>
      <c r="D87" s="3" t="s">
        <v>491</v>
      </c>
      <c r="E87" s="30">
        <v>19</v>
      </c>
      <c r="F87" s="30">
        <v>21</v>
      </c>
      <c r="G87" s="30">
        <v>1000</v>
      </c>
      <c r="H87" s="30">
        <v>2000</v>
      </c>
    </row>
    <row r="88" spans="2:8" x14ac:dyDescent="0.3">
      <c r="B88" s="43">
        <v>41885</v>
      </c>
      <c r="C88" s="3" t="s">
        <v>9</v>
      </c>
      <c r="D88" s="3" t="s">
        <v>492</v>
      </c>
      <c r="E88" s="30">
        <v>90</v>
      </c>
      <c r="F88" s="30">
        <v>75</v>
      </c>
      <c r="G88" s="30">
        <v>200</v>
      </c>
      <c r="H88" s="30">
        <v>-3000</v>
      </c>
    </row>
    <row r="89" spans="2:8" x14ac:dyDescent="0.3">
      <c r="B89" s="43">
        <v>41886</v>
      </c>
      <c r="C89" s="30" t="s">
        <v>9</v>
      </c>
      <c r="D89" s="30" t="s">
        <v>492</v>
      </c>
      <c r="E89" s="30">
        <v>90</v>
      </c>
      <c r="F89" s="30">
        <v>100</v>
      </c>
      <c r="G89" s="30">
        <v>200</v>
      </c>
      <c r="H89" s="30">
        <v>2000</v>
      </c>
    </row>
    <row r="90" spans="2:8" x14ac:dyDescent="0.3">
      <c r="B90" s="43">
        <v>41887</v>
      </c>
      <c r="C90" s="30" t="s">
        <v>9</v>
      </c>
      <c r="D90" s="30" t="s">
        <v>492</v>
      </c>
      <c r="E90" s="30">
        <v>78</v>
      </c>
      <c r="F90" s="30">
        <v>100</v>
      </c>
      <c r="G90" s="30">
        <v>200</v>
      </c>
      <c r="H90" s="30">
        <v>4400</v>
      </c>
    </row>
    <row r="91" spans="2:8" x14ac:dyDescent="0.3">
      <c r="B91" s="43">
        <v>41890</v>
      </c>
      <c r="C91" s="30" t="s">
        <v>9</v>
      </c>
      <c r="D91" s="30" t="s">
        <v>495</v>
      </c>
      <c r="E91" s="30">
        <v>105</v>
      </c>
      <c r="F91" s="30">
        <v>88</v>
      </c>
      <c r="G91" s="30">
        <v>200</v>
      </c>
      <c r="H91" s="30">
        <v>-3400</v>
      </c>
    </row>
    <row r="92" spans="2:8" x14ac:dyDescent="0.3">
      <c r="B92" s="43">
        <v>41891</v>
      </c>
      <c r="C92" s="30" t="s">
        <v>9</v>
      </c>
      <c r="D92" s="30" t="s">
        <v>495</v>
      </c>
      <c r="E92" s="30">
        <v>93</v>
      </c>
      <c r="F92" s="30">
        <v>103</v>
      </c>
      <c r="G92" s="30">
        <v>200</v>
      </c>
      <c r="H92" s="30">
        <v>2000</v>
      </c>
    </row>
    <row r="93" spans="2:8" x14ac:dyDescent="0.3">
      <c r="B93" s="43">
        <v>41892</v>
      </c>
      <c r="C93" s="30" t="s">
        <v>9</v>
      </c>
      <c r="D93" s="30" t="s">
        <v>495</v>
      </c>
      <c r="E93" s="30">
        <v>110</v>
      </c>
      <c r="F93" s="30">
        <v>125</v>
      </c>
      <c r="G93" s="30">
        <v>200</v>
      </c>
      <c r="H93" s="30">
        <v>3000</v>
      </c>
    </row>
    <row r="94" spans="2:8" x14ac:dyDescent="0.3">
      <c r="B94" s="43">
        <v>41893</v>
      </c>
      <c r="C94" s="30" t="s">
        <v>9</v>
      </c>
      <c r="D94" s="30" t="s">
        <v>495</v>
      </c>
      <c r="E94" s="30">
        <v>110</v>
      </c>
      <c r="F94" s="30">
        <v>150</v>
      </c>
      <c r="G94" s="30">
        <v>200</v>
      </c>
      <c r="H94" s="30">
        <v>8000</v>
      </c>
    </row>
    <row r="95" spans="2:8" x14ac:dyDescent="0.3">
      <c r="B95" s="43">
        <v>41894</v>
      </c>
      <c r="C95" s="30" t="s">
        <v>9</v>
      </c>
      <c r="D95" s="30" t="s">
        <v>495</v>
      </c>
      <c r="E95" s="30">
        <v>115</v>
      </c>
      <c r="F95" s="30">
        <v>130</v>
      </c>
      <c r="G95" s="30">
        <v>200</v>
      </c>
      <c r="H95" s="30">
        <v>3000</v>
      </c>
    </row>
    <row r="96" spans="2:8" x14ac:dyDescent="0.3">
      <c r="B96" s="43">
        <v>41897</v>
      </c>
      <c r="C96" s="30" t="s">
        <v>9</v>
      </c>
      <c r="D96" s="30" t="s">
        <v>492</v>
      </c>
      <c r="E96" s="30">
        <v>90</v>
      </c>
      <c r="F96" s="30">
        <v>75</v>
      </c>
      <c r="G96" s="30">
        <v>200</v>
      </c>
      <c r="H96" s="30">
        <v>-3000</v>
      </c>
    </row>
    <row r="97" spans="2:8" x14ac:dyDescent="0.3">
      <c r="B97" s="43">
        <v>41898</v>
      </c>
      <c r="C97" s="30" t="s">
        <v>9</v>
      </c>
      <c r="D97" s="30" t="s">
        <v>492</v>
      </c>
      <c r="E97" s="30">
        <v>95</v>
      </c>
      <c r="F97" s="30">
        <v>125</v>
      </c>
      <c r="G97" s="30">
        <v>200</v>
      </c>
      <c r="H97" s="30">
        <v>6000</v>
      </c>
    </row>
    <row r="98" spans="2:8" x14ac:dyDescent="0.3">
      <c r="B98" s="43">
        <v>41899</v>
      </c>
      <c r="C98" s="30" t="s">
        <v>9</v>
      </c>
      <c r="D98" s="30" t="s">
        <v>492</v>
      </c>
      <c r="E98" s="30">
        <v>135</v>
      </c>
      <c r="F98" s="30">
        <v>115</v>
      </c>
      <c r="G98" s="30">
        <v>200</v>
      </c>
      <c r="H98" s="30">
        <v>-4000</v>
      </c>
    </row>
    <row r="99" spans="2:8" x14ac:dyDescent="0.3">
      <c r="B99" s="43">
        <v>41899</v>
      </c>
      <c r="C99" s="30" t="s">
        <v>9</v>
      </c>
      <c r="D99" s="30" t="s">
        <v>498</v>
      </c>
      <c r="E99" s="30">
        <v>32</v>
      </c>
      <c r="F99" s="30">
        <v>43</v>
      </c>
      <c r="G99" s="30">
        <v>250</v>
      </c>
      <c r="H99" s="30">
        <v>2750</v>
      </c>
    </row>
    <row r="100" spans="2:8" x14ac:dyDescent="0.3">
      <c r="B100" s="43">
        <v>41900</v>
      </c>
      <c r="C100" s="30" t="s">
        <v>9</v>
      </c>
      <c r="D100" s="30" t="s">
        <v>499</v>
      </c>
      <c r="E100" s="30">
        <v>765</v>
      </c>
      <c r="F100" s="30">
        <v>74</v>
      </c>
      <c r="G100" s="30">
        <v>200</v>
      </c>
      <c r="H100" s="30">
        <v>1800</v>
      </c>
    </row>
    <row r="101" spans="2:8" x14ac:dyDescent="0.3">
      <c r="B101" s="43">
        <v>41901</v>
      </c>
      <c r="C101" s="30" t="s">
        <v>9</v>
      </c>
      <c r="D101" s="30" t="s">
        <v>500</v>
      </c>
      <c r="E101" s="30">
        <v>76</v>
      </c>
      <c r="F101" s="30">
        <v>66</v>
      </c>
      <c r="G101" s="30">
        <v>200</v>
      </c>
      <c r="H101" s="30">
        <v>-2000</v>
      </c>
    </row>
    <row r="102" spans="2:8" x14ac:dyDescent="0.3">
      <c r="B102" s="43">
        <v>41904</v>
      </c>
      <c r="C102" s="30" t="s">
        <v>9</v>
      </c>
      <c r="D102" s="30" t="s">
        <v>501</v>
      </c>
      <c r="E102" s="30">
        <v>100</v>
      </c>
      <c r="F102" s="30">
        <v>130</v>
      </c>
      <c r="G102" s="30">
        <v>200</v>
      </c>
      <c r="H102" s="30">
        <v>6000</v>
      </c>
    </row>
    <row r="103" spans="2:8" x14ac:dyDescent="0.3">
      <c r="B103" s="43">
        <v>41905</v>
      </c>
      <c r="C103" s="30" t="s">
        <v>9</v>
      </c>
      <c r="D103" s="30" t="s">
        <v>495</v>
      </c>
      <c r="E103" s="30">
        <v>66</v>
      </c>
      <c r="F103" s="30">
        <v>100</v>
      </c>
      <c r="G103" s="30">
        <v>200</v>
      </c>
      <c r="H103" s="30">
        <v>6800</v>
      </c>
    </row>
    <row r="104" spans="2:8" x14ac:dyDescent="0.3">
      <c r="B104" s="43">
        <v>41906</v>
      </c>
      <c r="C104" s="30" t="s">
        <v>9</v>
      </c>
      <c r="D104" s="30" t="s">
        <v>492</v>
      </c>
      <c r="E104" s="30">
        <v>75</v>
      </c>
      <c r="F104" s="30">
        <v>120</v>
      </c>
      <c r="G104" s="30">
        <v>200</v>
      </c>
      <c r="H104" s="30">
        <v>9000</v>
      </c>
    </row>
    <row r="105" spans="2:8" x14ac:dyDescent="0.3">
      <c r="B105" s="43">
        <v>41907</v>
      </c>
      <c r="C105" s="30" t="s">
        <v>9</v>
      </c>
      <c r="D105" s="30" t="s">
        <v>503</v>
      </c>
      <c r="E105" s="30">
        <v>96</v>
      </c>
      <c r="F105" s="30">
        <v>129</v>
      </c>
      <c r="G105" s="30">
        <v>200</v>
      </c>
      <c r="H105" s="30">
        <v>6600</v>
      </c>
    </row>
    <row r="106" spans="2:8" x14ac:dyDescent="0.3">
      <c r="B106" s="43">
        <v>41908</v>
      </c>
      <c r="C106" s="30" t="s">
        <v>9</v>
      </c>
      <c r="D106" s="30" t="s">
        <v>508</v>
      </c>
      <c r="E106" s="30">
        <v>115</v>
      </c>
      <c r="F106" s="30">
        <v>155</v>
      </c>
      <c r="G106" s="30">
        <v>200</v>
      </c>
      <c r="H106" s="30">
        <v>8000</v>
      </c>
    </row>
    <row r="107" spans="2:8" x14ac:dyDescent="0.3">
      <c r="B107" s="43">
        <v>41911</v>
      </c>
      <c r="C107" s="30" t="s">
        <v>9</v>
      </c>
      <c r="D107" s="30" t="s">
        <v>519</v>
      </c>
      <c r="E107" s="30">
        <v>115</v>
      </c>
      <c r="F107" s="30">
        <v>130</v>
      </c>
      <c r="G107" s="30">
        <v>200</v>
      </c>
      <c r="H107" s="30">
        <v>3000</v>
      </c>
    </row>
    <row r="108" spans="2:8" x14ac:dyDescent="0.3">
      <c r="B108" s="43">
        <v>41912</v>
      </c>
      <c r="C108" s="30" t="s">
        <v>9</v>
      </c>
      <c r="D108" s="30" t="s">
        <v>472</v>
      </c>
      <c r="E108" s="30">
        <v>120</v>
      </c>
      <c r="F108" s="30">
        <v>100</v>
      </c>
      <c r="G108" s="30">
        <v>200</v>
      </c>
      <c r="H108" s="30">
        <v>-4000</v>
      </c>
    </row>
    <row r="109" spans="2:8" ht="15.6" x14ac:dyDescent="0.3">
      <c r="B109" s="43">
        <v>41912</v>
      </c>
      <c r="C109" s="30" t="s">
        <v>9</v>
      </c>
      <c r="D109" s="30" t="s">
        <v>472</v>
      </c>
      <c r="E109" s="30">
        <v>115</v>
      </c>
      <c r="F109" s="30">
        <v>130</v>
      </c>
      <c r="G109" s="30">
        <v>200</v>
      </c>
      <c r="H109" s="62" t="s">
        <v>390</v>
      </c>
    </row>
    <row r="110" spans="2:8" ht="15.6" x14ac:dyDescent="0.3">
      <c r="B110" s="43"/>
      <c r="C110" s="30"/>
      <c r="D110" s="30"/>
      <c r="E110" s="30"/>
      <c r="F110" s="30"/>
      <c r="G110" s="30"/>
      <c r="H110" s="34">
        <v>63950</v>
      </c>
    </row>
    <row r="111" spans="2:8" x14ac:dyDescent="0.3">
      <c r="B111" s="1"/>
      <c r="C111" s="28"/>
      <c r="D111" s="28"/>
      <c r="E111" s="49"/>
      <c r="F111" s="49"/>
      <c r="G111" s="28"/>
      <c r="H111" s="49"/>
    </row>
    <row r="112" spans="2:8" ht="15.6" x14ac:dyDescent="0.3">
      <c r="B112" s="1"/>
      <c r="C112" s="28"/>
      <c r="D112" s="28"/>
      <c r="E112" s="28"/>
      <c r="F112" s="28"/>
      <c r="G112" s="28"/>
      <c r="H112" s="34"/>
    </row>
    <row r="113" spans="2:8" x14ac:dyDescent="0.3">
      <c r="B113" s="1"/>
      <c r="C113" s="28"/>
      <c r="D113" s="28"/>
      <c r="E113" s="28"/>
      <c r="F113" s="28"/>
      <c r="G113" s="28"/>
      <c r="H113" s="28"/>
    </row>
    <row r="114" spans="2:8" x14ac:dyDescent="0.3">
      <c r="B114" s="1"/>
      <c r="C114" s="28"/>
      <c r="D114" s="28"/>
      <c r="E114" s="28"/>
      <c r="F114" s="28"/>
      <c r="G114" s="28"/>
      <c r="H114" s="28"/>
    </row>
    <row r="115" spans="2:8" x14ac:dyDescent="0.3">
      <c r="B115" s="1"/>
      <c r="C115" s="28"/>
      <c r="D115" s="28"/>
      <c r="E115" s="28"/>
      <c r="F115" s="28"/>
      <c r="G115" s="28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9"/>
    </row>
    <row r="120" spans="2:8" x14ac:dyDescent="0.3">
      <c r="B120" s="1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</sheetData>
  <mergeCells count="3">
    <mergeCell ref="B1:H1"/>
    <mergeCell ref="B2:H2"/>
    <mergeCell ref="B3:H3"/>
  </mergeCells>
  <hyperlinks>
    <hyperlink ref="J2" location="'MASTER '!A1" display="Back" xr:uid="{00000000-0004-0000-1100-000000000000}"/>
  </hyperlinks>
  <pageMargins left="0.7" right="0.7" top="0.75" bottom="0.75" header="0.3" footer="0.3"/>
  <pageSetup orientation="portrait" horizontalDpi="300" verticalDpi="0" r:id="rId1"/>
  <ignoredErrors>
    <ignoredError sqref="G74:G79 E58:F58 E6:H7 E33:H34 H58 E86:F86 G58:G72 E25:H25 E26:H26 E27:H28 G80:G81 G82:H82 H80:H81 H10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15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521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41913</v>
      </c>
      <c r="C6" s="2" t="s">
        <v>8</v>
      </c>
      <c r="D6" s="2" t="s">
        <v>121</v>
      </c>
      <c r="E6" s="41" t="s">
        <v>528</v>
      </c>
      <c r="F6" s="40" t="s">
        <v>529</v>
      </c>
      <c r="G6" s="5">
        <v>1764</v>
      </c>
      <c r="H6" s="41" t="s">
        <v>530</v>
      </c>
      <c r="K6" s="16"/>
    </row>
    <row r="7" spans="1:14" x14ac:dyDescent="0.3">
      <c r="B7" s="43">
        <v>41919</v>
      </c>
      <c r="C7" s="2" t="s">
        <v>8</v>
      </c>
      <c r="D7" s="28" t="s">
        <v>37</v>
      </c>
      <c r="E7" s="30">
        <v>151</v>
      </c>
      <c r="F7" s="30">
        <v>148</v>
      </c>
      <c r="G7" s="30">
        <v>1986</v>
      </c>
      <c r="H7" s="41" t="s">
        <v>522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41920</v>
      </c>
      <c r="C8" s="2" t="s">
        <v>8</v>
      </c>
      <c r="D8" s="28" t="s">
        <v>395</v>
      </c>
      <c r="E8" s="30">
        <v>3020</v>
      </c>
      <c r="F8" s="30">
        <v>2960</v>
      </c>
      <c r="G8" s="30">
        <v>99</v>
      </c>
      <c r="H8" s="30">
        <v>5940</v>
      </c>
      <c r="J8" s="16" t="s">
        <v>449</v>
      </c>
      <c r="K8" s="30">
        <v>15</v>
      </c>
      <c r="L8" s="30">
        <v>11</v>
      </c>
      <c r="M8" s="30">
        <v>4</v>
      </c>
      <c r="N8" s="30">
        <v>0</v>
      </c>
    </row>
    <row r="9" spans="1:14" x14ac:dyDescent="0.3">
      <c r="B9" s="43">
        <v>41921</v>
      </c>
      <c r="C9" s="2" t="s">
        <v>8</v>
      </c>
      <c r="D9" s="28" t="s">
        <v>531</v>
      </c>
      <c r="E9" s="30">
        <v>1044</v>
      </c>
      <c r="F9" s="30">
        <v>1036</v>
      </c>
      <c r="G9" s="30">
        <v>287</v>
      </c>
      <c r="H9" s="30">
        <v>2296</v>
      </c>
      <c r="J9" s="16" t="s">
        <v>450</v>
      </c>
      <c r="K9" s="30">
        <v>14</v>
      </c>
      <c r="L9" s="30">
        <v>13</v>
      </c>
      <c r="M9" s="30">
        <v>1</v>
      </c>
      <c r="N9" s="30">
        <v>0</v>
      </c>
    </row>
    <row r="10" spans="1:14" x14ac:dyDescent="0.3">
      <c r="B10" s="43">
        <v>41922</v>
      </c>
      <c r="C10" s="30" t="s">
        <v>8</v>
      </c>
      <c r="D10" s="30" t="s">
        <v>129</v>
      </c>
      <c r="E10" s="30">
        <v>1013</v>
      </c>
      <c r="F10" s="30">
        <v>1003</v>
      </c>
      <c r="G10" s="30">
        <v>296</v>
      </c>
      <c r="H10" s="30">
        <v>2960</v>
      </c>
      <c r="J10" s="16" t="s">
        <v>451</v>
      </c>
      <c r="K10" s="30">
        <v>14</v>
      </c>
      <c r="L10" s="30">
        <v>12</v>
      </c>
      <c r="M10" s="30">
        <v>2</v>
      </c>
      <c r="N10" s="30">
        <v>0</v>
      </c>
    </row>
    <row r="11" spans="1:14" x14ac:dyDescent="0.3">
      <c r="B11" s="43">
        <v>41925</v>
      </c>
      <c r="C11" s="2" t="s">
        <v>8</v>
      </c>
      <c r="D11" s="28" t="s">
        <v>109</v>
      </c>
      <c r="E11" s="30">
        <v>1295</v>
      </c>
      <c r="F11" s="30">
        <v>1270</v>
      </c>
      <c r="G11" s="30">
        <v>231</v>
      </c>
      <c r="H11" s="30">
        <v>5775</v>
      </c>
      <c r="J11" s="16" t="s">
        <v>452</v>
      </c>
      <c r="K11" s="30">
        <v>14</v>
      </c>
      <c r="L11" s="30">
        <v>12</v>
      </c>
      <c r="M11" s="30">
        <v>1</v>
      </c>
      <c r="N11" s="30">
        <v>1</v>
      </c>
    </row>
    <row r="12" spans="1:14" x14ac:dyDescent="0.3">
      <c r="B12" s="43">
        <v>41926</v>
      </c>
      <c r="C12" s="2" t="s">
        <v>8</v>
      </c>
      <c r="D12" s="28" t="s">
        <v>129</v>
      </c>
      <c r="E12" s="30">
        <v>1004</v>
      </c>
      <c r="F12" s="30">
        <v>1000</v>
      </c>
      <c r="G12" s="30">
        <v>298</v>
      </c>
      <c r="H12" s="30">
        <v>1192</v>
      </c>
      <c r="J12" s="16"/>
      <c r="K12" s="21">
        <v>57</v>
      </c>
      <c r="L12" s="21">
        <v>48</v>
      </c>
      <c r="M12" s="21">
        <v>8</v>
      </c>
      <c r="N12" s="21">
        <v>1</v>
      </c>
    </row>
    <row r="13" spans="1:14" x14ac:dyDescent="0.3">
      <c r="B13" s="43">
        <v>41926</v>
      </c>
      <c r="C13" s="2" t="s">
        <v>11</v>
      </c>
      <c r="D13" s="28" t="s">
        <v>85</v>
      </c>
      <c r="E13" s="30">
        <v>397</v>
      </c>
      <c r="F13" s="30">
        <v>400</v>
      </c>
      <c r="G13" s="30">
        <v>755</v>
      </c>
      <c r="H13" s="30">
        <v>2265</v>
      </c>
      <c r="K13" s="16"/>
    </row>
    <row r="14" spans="1:14" x14ac:dyDescent="0.3">
      <c r="B14" s="43">
        <v>41928</v>
      </c>
      <c r="C14" s="2" t="s">
        <v>8</v>
      </c>
      <c r="D14" s="28" t="s">
        <v>109</v>
      </c>
      <c r="E14" s="30">
        <v>1255</v>
      </c>
      <c r="F14" s="30">
        <v>1230</v>
      </c>
      <c r="G14" s="30">
        <v>239</v>
      </c>
      <c r="H14" s="30">
        <v>5975</v>
      </c>
      <c r="K14" s="68" t="s">
        <v>537</v>
      </c>
      <c r="L14" s="69"/>
      <c r="M14" s="70"/>
    </row>
    <row r="15" spans="1:14" x14ac:dyDescent="0.3">
      <c r="B15" s="43">
        <v>41929</v>
      </c>
      <c r="C15" s="2" t="s">
        <v>8</v>
      </c>
      <c r="D15" s="28" t="s">
        <v>98</v>
      </c>
      <c r="E15" s="30">
        <v>2780</v>
      </c>
      <c r="F15" s="30">
        <v>2810</v>
      </c>
      <c r="G15" s="30">
        <v>107</v>
      </c>
      <c r="H15" s="30">
        <v>-3210</v>
      </c>
      <c r="K15" s="16"/>
    </row>
    <row r="16" spans="1:14" x14ac:dyDescent="0.3">
      <c r="B16" s="43">
        <v>41932</v>
      </c>
      <c r="C16" s="2" t="s">
        <v>8</v>
      </c>
      <c r="D16" s="28" t="s">
        <v>535</v>
      </c>
      <c r="E16" s="30">
        <v>162</v>
      </c>
      <c r="F16" s="30">
        <v>164</v>
      </c>
      <c r="G16" s="30">
        <v>1851</v>
      </c>
      <c r="H16" s="30">
        <v>-3702</v>
      </c>
      <c r="K16" s="28"/>
      <c r="L16" s="30"/>
      <c r="M16" s="30"/>
      <c r="N16" s="30"/>
    </row>
    <row r="17" spans="2:14" x14ac:dyDescent="0.3">
      <c r="B17" s="43">
        <v>41933</v>
      </c>
      <c r="C17" s="2" t="s">
        <v>8</v>
      </c>
      <c r="D17" s="28" t="s">
        <v>109</v>
      </c>
      <c r="E17" s="30">
        <v>1245</v>
      </c>
      <c r="F17" s="30">
        <v>1225</v>
      </c>
      <c r="G17" s="30">
        <v>240</v>
      </c>
      <c r="H17" s="30">
        <v>4800</v>
      </c>
      <c r="K17" s="49"/>
      <c r="L17" s="30"/>
      <c r="M17" s="30"/>
      <c r="N17" s="30"/>
    </row>
    <row r="18" spans="2:14" x14ac:dyDescent="0.3">
      <c r="B18" s="43">
        <v>41934</v>
      </c>
      <c r="C18" s="2" t="s">
        <v>8</v>
      </c>
      <c r="D18" s="28" t="s">
        <v>46</v>
      </c>
      <c r="E18" s="30">
        <v>404</v>
      </c>
      <c r="F18" s="30">
        <v>397</v>
      </c>
      <c r="G18" s="30">
        <v>742</v>
      </c>
      <c r="H18" s="30">
        <v>5194</v>
      </c>
      <c r="K18" s="49"/>
      <c r="L18" s="30"/>
      <c r="M18" s="30"/>
      <c r="N18" s="30"/>
    </row>
    <row r="19" spans="2:14" x14ac:dyDescent="0.3">
      <c r="B19" s="43">
        <v>41942</v>
      </c>
      <c r="C19" s="30" t="s">
        <v>8</v>
      </c>
      <c r="D19" s="30" t="s">
        <v>109</v>
      </c>
      <c r="E19" s="30">
        <v>1280</v>
      </c>
      <c r="F19" s="30">
        <v>1293</v>
      </c>
      <c r="G19" s="30">
        <v>234</v>
      </c>
      <c r="H19" s="30">
        <v>-3042</v>
      </c>
      <c r="K19" s="49"/>
      <c r="L19" s="30"/>
      <c r="M19" s="30"/>
      <c r="N19" s="30"/>
    </row>
    <row r="20" spans="2:14" x14ac:dyDescent="0.3">
      <c r="B20" s="43">
        <v>41943</v>
      </c>
      <c r="C20" s="28" t="s">
        <v>8</v>
      </c>
      <c r="D20" s="28" t="s">
        <v>85</v>
      </c>
      <c r="E20" s="30">
        <v>403</v>
      </c>
      <c r="F20" s="30">
        <v>399</v>
      </c>
      <c r="G20" s="30">
        <v>744</v>
      </c>
      <c r="H20" s="30">
        <v>2976</v>
      </c>
      <c r="K20" s="49"/>
      <c r="L20" s="30"/>
      <c r="M20" s="30"/>
      <c r="N20" s="30"/>
    </row>
    <row r="21" spans="2:14" ht="18" x14ac:dyDescent="0.35">
      <c r="C21" s="28"/>
      <c r="D21" s="30"/>
      <c r="E21" s="30"/>
      <c r="F21" s="30"/>
      <c r="G21" s="30"/>
      <c r="H21" s="75">
        <v>31849</v>
      </c>
      <c r="K21" s="16"/>
    </row>
    <row r="22" spans="2:14" x14ac:dyDescent="0.3">
      <c r="C22" s="28"/>
      <c r="D22" s="28"/>
      <c r="E22" s="49"/>
      <c r="F22" s="49"/>
      <c r="G22" s="49"/>
      <c r="H22" s="74"/>
      <c r="K22" s="16"/>
    </row>
    <row r="23" spans="2:14" x14ac:dyDescent="0.3">
      <c r="C23" s="28"/>
      <c r="D23" s="28"/>
      <c r="E23" s="49"/>
      <c r="F23" s="49"/>
      <c r="G23" s="49"/>
      <c r="H23" s="74"/>
      <c r="K23" s="16"/>
    </row>
    <row r="24" spans="2:14" ht="15.6" x14ac:dyDescent="0.3">
      <c r="C24" s="28"/>
      <c r="D24" s="28"/>
      <c r="E24" s="49"/>
      <c r="F24" s="49"/>
      <c r="G24" s="49"/>
      <c r="H24" s="62"/>
      <c r="K24" s="16"/>
    </row>
    <row r="25" spans="2:14" ht="15.6" x14ac:dyDescent="0.3">
      <c r="C25" s="28"/>
      <c r="D25" s="28"/>
      <c r="E25" s="49"/>
      <c r="F25" s="49"/>
      <c r="G25" s="49"/>
      <c r="H25" s="62"/>
    </row>
    <row r="26" spans="2:14" ht="15.6" x14ac:dyDescent="0.3">
      <c r="C26" s="28"/>
      <c r="D26" s="28"/>
      <c r="E26" s="28"/>
      <c r="F26" s="28"/>
      <c r="G26" s="28"/>
      <c r="H26" s="34"/>
    </row>
    <row r="27" spans="2:14" ht="15.6" x14ac:dyDescent="0.3">
      <c r="C27" s="28"/>
      <c r="D27" s="28"/>
      <c r="E27" s="28"/>
      <c r="F27" s="28"/>
      <c r="G27" s="28"/>
      <c r="H27" s="34"/>
    </row>
    <row r="29" spans="2:14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4" x14ac:dyDescent="0.3">
      <c r="B30" s="43">
        <v>41913</v>
      </c>
      <c r="C30" s="2" t="s">
        <v>8</v>
      </c>
      <c r="D30" s="2" t="s">
        <v>46</v>
      </c>
      <c r="E30" s="41" t="s">
        <v>527</v>
      </c>
      <c r="F30" s="40" t="s">
        <v>462</v>
      </c>
      <c r="G30" s="5">
        <v>1000</v>
      </c>
      <c r="H30" s="40" t="s">
        <v>390</v>
      </c>
    </row>
    <row r="31" spans="2:14" x14ac:dyDescent="0.3">
      <c r="B31" s="43">
        <v>41919</v>
      </c>
      <c r="C31" s="30" t="s">
        <v>8</v>
      </c>
      <c r="D31" s="30" t="s">
        <v>129</v>
      </c>
      <c r="E31" s="30">
        <v>1032</v>
      </c>
      <c r="F31" s="30">
        <v>1022</v>
      </c>
      <c r="G31" s="30">
        <v>250</v>
      </c>
      <c r="H31" s="30">
        <v>2500</v>
      </c>
    </row>
    <row r="32" spans="2:14" x14ac:dyDescent="0.3">
      <c r="B32" s="43">
        <v>41920</v>
      </c>
      <c r="C32" s="30" t="s">
        <v>8</v>
      </c>
      <c r="D32" s="30" t="s">
        <v>160</v>
      </c>
      <c r="E32" s="30">
        <v>589</v>
      </c>
      <c r="F32" s="30">
        <v>584</v>
      </c>
      <c r="G32" s="30">
        <v>1000</v>
      </c>
      <c r="H32" s="30">
        <v>5000</v>
      </c>
    </row>
    <row r="33" spans="2:8" x14ac:dyDescent="0.3">
      <c r="B33" s="43">
        <v>41921</v>
      </c>
      <c r="C33" s="30" t="s">
        <v>8</v>
      </c>
      <c r="D33" s="30" t="s">
        <v>109</v>
      </c>
      <c r="E33" s="30">
        <v>1375</v>
      </c>
      <c r="F33" s="30">
        <v>1365</v>
      </c>
      <c r="G33" s="30">
        <v>250</v>
      </c>
      <c r="H33" s="30">
        <v>2500</v>
      </c>
    </row>
    <row r="34" spans="2:8" x14ac:dyDescent="0.3">
      <c r="B34" s="43">
        <v>41922</v>
      </c>
      <c r="C34" s="30" t="s">
        <v>8</v>
      </c>
      <c r="D34" s="30" t="s">
        <v>109</v>
      </c>
      <c r="E34" s="30">
        <v>1355</v>
      </c>
      <c r="F34" s="30">
        <v>1330</v>
      </c>
      <c r="G34" s="30">
        <v>250</v>
      </c>
      <c r="H34" s="30">
        <v>6250</v>
      </c>
    </row>
    <row r="35" spans="2:8" x14ac:dyDescent="0.3">
      <c r="B35" s="43">
        <v>41925</v>
      </c>
      <c r="C35" s="30" t="s">
        <v>8</v>
      </c>
      <c r="D35" s="30" t="s">
        <v>398</v>
      </c>
      <c r="E35" s="30">
        <v>2965</v>
      </c>
      <c r="F35" s="30">
        <v>2940</v>
      </c>
      <c r="G35" s="30">
        <v>125</v>
      </c>
      <c r="H35" s="30">
        <v>3125</v>
      </c>
    </row>
    <row r="36" spans="2:8" x14ac:dyDescent="0.3">
      <c r="B36" s="43">
        <v>41926</v>
      </c>
      <c r="C36" s="30" t="s">
        <v>8</v>
      </c>
      <c r="D36" s="30" t="s">
        <v>109</v>
      </c>
      <c r="E36" s="30">
        <v>1282</v>
      </c>
      <c r="F36" s="30">
        <v>1276</v>
      </c>
      <c r="G36" s="30">
        <v>250</v>
      </c>
      <c r="H36" s="30">
        <v>1500</v>
      </c>
    </row>
    <row r="37" spans="2:8" x14ac:dyDescent="0.3">
      <c r="B37" s="43">
        <v>41928</v>
      </c>
      <c r="C37" s="30" t="s">
        <v>8</v>
      </c>
      <c r="D37" s="30" t="s">
        <v>534</v>
      </c>
      <c r="E37" s="30">
        <v>2445</v>
      </c>
      <c r="F37" s="30">
        <v>2400</v>
      </c>
      <c r="G37" s="30">
        <v>125</v>
      </c>
      <c r="H37" s="30">
        <v>5625</v>
      </c>
    </row>
    <row r="38" spans="2:8" x14ac:dyDescent="0.3">
      <c r="B38" s="43">
        <v>41929</v>
      </c>
      <c r="C38" s="30" t="s">
        <v>8</v>
      </c>
      <c r="D38" s="30" t="s">
        <v>124</v>
      </c>
      <c r="E38" s="30">
        <v>479</v>
      </c>
      <c r="F38" s="30">
        <v>472</v>
      </c>
      <c r="G38" s="30">
        <v>1000</v>
      </c>
      <c r="H38" s="30">
        <v>7000</v>
      </c>
    </row>
    <row r="39" spans="2:8" x14ac:dyDescent="0.3">
      <c r="B39" s="43">
        <v>41932</v>
      </c>
      <c r="C39" s="30" t="s">
        <v>8</v>
      </c>
      <c r="D39" s="30" t="s">
        <v>34</v>
      </c>
      <c r="E39" s="30">
        <v>280.5</v>
      </c>
      <c r="F39" s="30">
        <v>277.5</v>
      </c>
      <c r="G39" s="30">
        <v>1000</v>
      </c>
      <c r="H39" s="30">
        <v>3000</v>
      </c>
    </row>
    <row r="40" spans="2:8" x14ac:dyDescent="0.3">
      <c r="B40" s="43">
        <v>41933</v>
      </c>
      <c r="C40" s="30" t="s">
        <v>8</v>
      </c>
      <c r="D40" s="30" t="s">
        <v>46</v>
      </c>
      <c r="E40" s="30">
        <v>415</v>
      </c>
      <c r="F40" s="30">
        <v>410</v>
      </c>
      <c r="G40" s="30">
        <v>1000</v>
      </c>
      <c r="H40" s="30">
        <v>5000</v>
      </c>
    </row>
    <row r="41" spans="2:8" x14ac:dyDescent="0.3">
      <c r="B41" s="43">
        <v>41934</v>
      </c>
      <c r="C41" s="30" t="s">
        <v>8</v>
      </c>
      <c r="D41" s="30" t="s">
        <v>46</v>
      </c>
      <c r="E41" s="30">
        <v>406</v>
      </c>
      <c r="F41" s="30">
        <v>399</v>
      </c>
      <c r="G41" s="30">
        <v>1000</v>
      </c>
      <c r="H41" s="30">
        <v>7000</v>
      </c>
    </row>
    <row r="42" spans="2:8" x14ac:dyDescent="0.3">
      <c r="B42" s="43">
        <v>41942</v>
      </c>
      <c r="C42" s="30" t="s">
        <v>8</v>
      </c>
      <c r="D42" s="30" t="s">
        <v>129</v>
      </c>
      <c r="E42" s="30">
        <v>892</v>
      </c>
      <c r="F42" s="30">
        <v>888</v>
      </c>
      <c r="G42" s="30">
        <v>500</v>
      </c>
      <c r="H42" s="30">
        <v>2000</v>
      </c>
    </row>
    <row r="43" spans="2:8" x14ac:dyDescent="0.3">
      <c r="B43" s="43">
        <v>41943</v>
      </c>
      <c r="C43" s="30" t="s">
        <v>8</v>
      </c>
      <c r="D43" s="30" t="s">
        <v>103</v>
      </c>
      <c r="E43" s="30">
        <v>278</v>
      </c>
      <c r="F43" s="30">
        <v>281</v>
      </c>
      <c r="G43" s="30">
        <v>1000</v>
      </c>
      <c r="H43" s="30">
        <v>-3000</v>
      </c>
    </row>
    <row r="44" spans="2:8" ht="18" x14ac:dyDescent="0.35">
      <c r="B44" s="43"/>
      <c r="C44" s="30"/>
      <c r="D44" s="30"/>
      <c r="E44" s="30"/>
      <c r="F44" s="30"/>
      <c r="G44" s="30"/>
      <c r="H44" s="75">
        <v>50500</v>
      </c>
    </row>
    <row r="45" spans="2:8" x14ac:dyDescent="0.3">
      <c r="B45" s="43"/>
      <c r="C45" s="30"/>
      <c r="D45" s="30"/>
      <c r="E45" s="30"/>
      <c r="F45" s="30"/>
      <c r="G45" s="30"/>
      <c r="H45" s="49"/>
    </row>
    <row r="46" spans="2:8" x14ac:dyDescent="0.3">
      <c r="B46" s="43"/>
      <c r="C46" s="30"/>
      <c r="D46" s="30"/>
      <c r="E46" s="30"/>
      <c r="F46" s="30"/>
      <c r="G46" s="30"/>
      <c r="H46" s="30"/>
    </row>
    <row r="47" spans="2:8" x14ac:dyDescent="0.3">
      <c r="B47" s="43"/>
      <c r="C47" s="30"/>
      <c r="D47" s="30"/>
      <c r="E47" s="30"/>
      <c r="F47" s="30"/>
      <c r="G47" s="30"/>
      <c r="H47" s="30"/>
    </row>
    <row r="48" spans="2:8" ht="15.6" x14ac:dyDescent="0.3">
      <c r="B48" s="43"/>
      <c r="C48" s="30"/>
      <c r="D48" s="30"/>
      <c r="E48" s="30"/>
      <c r="F48" s="30"/>
      <c r="G48" s="30"/>
      <c r="H48" s="34"/>
    </row>
    <row r="49" spans="2:10" ht="15.6" x14ac:dyDescent="0.3">
      <c r="B49" s="43"/>
      <c r="C49" s="30"/>
      <c r="D49" s="30"/>
      <c r="E49" s="30"/>
      <c r="F49" s="30"/>
      <c r="G49" s="30"/>
      <c r="H49" s="33"/>
    </row>
    <row r="50" spans="2:10" ht="15.6" x14ac:dyDescent="0.3">
      <c r="B50" s="48" t="s">
        <v>63</v>
      </c>
      <c r="C50" s="48"/>
      <c r="D50" s="48"/>
      <c r="E50" s="48"/>
      <c r="F50" s="48"/>
      <c r="G50" s="48"/>
      <c r="H50" s="48"/>
    </row>
    <row r="51" spans="2:10" x14ac:dyDescent="0.3">
      <c r="B51" s="43">
        <v>41913</v>
      </c>
      <c r="C51" s="2" t="s">
        <v>8</v>
      </c>
      <c r="D51" s="2" t="s">
        <v>39</v>
      </c>
      <c r="E51" s="41" t="s">
        <v>525</v>
      </c>
      <c r="F51" s="40" t="s">
        <v>526</v>
      </c>
      <c r="G51" s="41" t="s">
        <v>217</v>
      </c>
      <c r="H51" s="41" t="s">
        <v>311</v>
      </c>
    </row>
    <row r="52" spans="2:10" x14ac:dyDescent="0.3">
      <c r="B52" s="43">
        <v>41919</v>
      </c>
      <c r="C52" s="30" t="s">
        <v>8</v>
      </c>
      <c r="D52" s="2" t="s">
        <v>39</v>
      </c>
      <c r="E52" s="30">
        <v>7955</v>
      </c>
      <c r="F52" s="30">
        <v>7910</v>
      </c>
      <c r="G52" s="30">
        <v>100</v>
      </c>
      <c r="H52" s="30">
        <v>4500</v>
      </c>
    </row>
    <row r="53" spans="2:10" x14ac:dyDescent="0.3">
      <c r="B53" s="43">
        <v>41920</v>
      </c>
      <c r="C53" s="30" t="s">
        <v>8</v>
      </c>
      <c r="D53" s="2" t="s">
        <v>39</v>
      </c>
      <c r="E53" s="30">
        <v>7880</v>
      </c>
      <c r="F53" s="30">
        <v>7860</v>
      </c>
      <c r="G53" s="30">
        <v>100</v>
      </c>
      <c r="H53" s="30">
        <v>2000</v>
      </c>
    </row>
    <row r="54" spans="2:10" x14ac:dyDescent="0.3">
      <c r="B54" s="43">
        <v>41921</v>
      </c>
      <c r="C54" s="30" t="s">
        <v>8</v>
      </c>
      <c r="D54" s="2" t="s">
        <v>39</v>
      </c>
      <c r="E54" s="30">
        <v>7965</v>
      </c>
      <c r="F54" s="30">
        <v>7945</v>
      </c>
      <c r="G54" s="41" t="s">
        <v>217</v>
      </c>
      <c r="H54" s="30">
        <v>2000</v>
      </c>
    </row>
    <row r="55" spans="2:10" x14ac:dyDescent="0.3">
      <c r="B55" s="43">
        <v>41922</v>
      </c>
      <c r="C55" s="30" t="s">
        <v>8</v>
      </c>
      <c r="D55" s="2" t="s">
        <v>39</v>
      </c>
      <c r="E55" s="30">
        <v>7900</v>
      </c>
      <c r="F55" s="30">
        <v>7920</v>
      </c>
      <c r="G55" s="30">
        <v>100</v>
      </c>
      <c r="H55" s="30">
        <v>-2000</v>
      </c>
    </row>
    <row r="56" spans="2:10" x14ac:dyDescent="0.3">
      <c r="B56" s="43">
        <v>41925</v>
      </c>
      <c r="C56" s="30" t="s">
        <v>8</v>
      </c>
      <c r="D56" s="2" t="s">
        <v>39</v>
      </c>
      <c r="E56" s="30">
        <v>7835</v>
      </c>
      <c r="F56" s="30">
        <v>7860</v>
      </c>
      <c r="G56" s="30">
        <v>100</v>
      </c>
      <c r="H56" s="30">
        <v>-2500</v>
      </c>
    </row>
    <row r="57" spans="2:10" x14ac:dyDescent="0.3">
      <c r="B57" s="43">
        <v>41926</v>
      </c>
      <c r="C57" s="30" t="s">
        <v>8</v>
      </c>
      <c r="D57" s="2" t="s">
        <v>39</v>
      </c>
      <c r="E57" s="30">
        <v>7890</v>
      </c>
      <c r="F57" s="30">
        <v>7850</v>
      </c>
      <c r="G57" s="41" t="s">
        <v>217</v>
      </c>
      <c r="H57" s="30">
        <v>4000</v>
      </c>
    </row>
    <row r="58" spans="2:10" x14ac:dyDescent="0.3">
      <c r="B58" s="43">
        <v>41928</v>
      </c>
      <c r="C58" s="30" t="s">
        <v>8</v>
      </c>
      <c r="D58" s="2" t="s">
        <v>39</v>
      </c>
      <c r="E58" s="30">
        <v>7885</v>
      </c>
      <c r="F58" s="30">
        <v>7835</v>
      </c>
      <c r="G58" s="30">
        <v>100</v>
      </c>
      <c r="H58" s="30">
        <v>5000</v>
      </c>
    </row>
    <row r="59" spans="2:10" x14ac:dyDescent="0.3">
      <c r="B59" s="43">
        <v>41929</v>
      </c>
      <c r="C59" s="30" t="s">
        <v>8</v>
      </c>
      <c r="D59" s="2" t="s">
        <v>39</v>
      </c>
      <c r="E59" s="30">
        <v>7780</v>
      </c>
      <c r="F59" s="30">
        <v>7760</v>
      </c>
      <c r="G59" s="41" t="s">
        <v>217</v>
      </c>
      <c r="H59" s="30">
        <v>2000</v>
      </c>
      <c r="J59" s="1"/>
    </row>
    <row r="60" spans="2:10" x14ac:dyDescent="0.3">
      <c r="B60" s="43">
        <v>41932</v>
      </c>
      <c r="C60" s="30" t="s">
        <v>8</v>
      </c>
      <c r="D60" s="2" t="s">
        <v>39</v>
      </c>
      <c r="E60" s="30">
        <v>7910</v>
      </c>
      <c r="F60" s="30">
        <v>7890</v>
      </c>
      <c r="G60" s="30">
        <v>100</v>
      </c>
      <c r="H60" s="30">
        <v>2000</v>
      </c>
      <c r="J60" s="1"/>
    </row>
    <row r="61" spans="2:10" x14ac:dyDescent="0.3">
      <c r="B61" s="43">
        <v>41933</v>
      </c>
      <c r="C61" s="30" t="s">
        <v>8</v>
      </c>
      <c r="D61" s="2" t="s">
        <v>39</v>
      </c>
      <c r="E61" s="30">
        <v>7940</v>
      </c>
      <c r="F61" s="30">
        <v>7900</v>
      </c>
      <c r="G61" s="30">
        <v>100</v>
      </c>
      <c r="H61" s="30">
        <v>4000</v>
      </c>
      <c r="J61" s="1"/>
    </row>
    <row r="62" spans="2:10" x14ac:dyDescent="0.3">
      <c r="B62" s="43">
        <v>41934</v>
      </c>
      <c r="C62" s="30" t="s">
        <v>8</v>
      </c>
      <c r="D62" s="2" t="s">
        <v>39</v>
      </c>
      <c r="E62" s="30">
        <v>8000</v>
      </c>
      <c r="F62" s="30">
        <v>7995</v>
      </c>
      <c r="G62" s="41" t="s">
        <v>217</v>
      </c>
      <c r="H62" s="30">
        <v>500</v>
      </c>
      <c r="J62" s="1"/>
    </row>
    <row r="63" spans="2:10" x14ac:dyDescent="0.3">
      <c r="B63" s="43">
        <v>41942</v>
      </c>
      <c r="C63" s="30" t="s">
        <v>9</v>
      </c>
      <c r="D63" s="2" t="s">
        <v>39</v>
      </c>
      <c r="E63" s="30">
        <v>8125</v>
      </c>
      <c r="F63" s="30">
        <v>8170</v>
      </c>
      <c r="G63" s="30">
        <v>100</v>
      </c>
      <c r="H63" s="30">
        <v>4500</v>
      </c>
      <c r="J63" s="1"/>
    </row>
    <row r="64" spans="2:10" x14ac:dyDescent="0.3">
      <c r="B64" s="43">
        <v>41943</v>
      </c>
      <c r="C64" s="30" t="s">
        <v>9</v>
      </c>
      <c r="D64" s="2" t="s">
        <v>39</v>
      </c>
      <c r="E64" s="30">
        <v>8255</v>
      </c>
      <c r="F64" s="30">
        <v>8300</v>
      </c>
      <c r="G64" s="41" t="s">
        <v>217</v>
      </c>
      <c r="H64" s="30">
        <v>4500</v>
      </c>
      <c r="J64" s="1"/>
    </row>
    <row r="65" spans="2:10" ht="18" x14ac:dyDescent="0.35">
      <c r="B65" s="43"/>
      <c r="C65" s="30"/>
      <c r="D65" s="2"/>
      <c r="E65" s="30"/>
      <c r="F65" s="30"/>
      <c r="G65" s="30"/>
      <c r="H65" s="75">
        <v>32500</v>
      </c>
      <c r="J65" s="46"/>
    </row>
    <row r="66" spans="2:10" x14ac:dyDescent="0.3">
      <c r="B66" s="43"/>
      <c r="C66" s="30"/>
      <c r="D66" s="2"/>
      <c r="E66" s="30"/>
      <c r="F66" s="30"/>
      <c r="G66" s="30"/>
      <c r="H66" s="30"/>
      <c r="J66" s="46"/>
    </row>
    <row r="67" spans="2:10" x14ac:dyDescent="0.3">
      <c r="B67" s="43"/>
      <c r="C67" s="30"/>
      <c r="D67" s="2"/>
      <c r="E67" s="30"/>
      <c r="F67" s="30"/>
      <c r="G67" s="41"/>
      <c r="H67" s="30"/>
      <c r="J67" s="46"/>
    </row>
    <row r="68" spans="2:10" x14ac:dyDescent="0.3">
      <c r="B68" s="43"/>
      <c r="C68" s="30"/>
      <c r="D68" s="2"/>
      <c r="E68" s="30"/>
      <c r="F68" s="30"/>
      <c r="G68" s="30"/>
      <c r="H68" s="30"/>
      <c r="J68" s="46"/>
    </row>
    <row r="69" spans="2:10" x14ac:dyDescent="0.3">
      <c r="B69" s="43"/>
      <c r="C69" s="30"/>
      <c r="D69" s="2"/>
      <c r="E69" s="30"/>
      <c r="F69" s="30"/>
      <c r="G69" s="30"/>
      <c r="H69" s="49"/>
      <c r="J69" s="46"/>
    </row>
    <row r="70" spans="2:10" x14ac:dyDescent="0.3">
      <c r="B70" s="43"/>
      <c r="C70" s="30"/>
      <c r="D70" s="2"/>
      <c r="E70" s="30"/>
      <c r="F70" s="30"/>
      <c r="G70" s="41"/>
      <c r="H70" s="49"/>
      <c r="J70" s="46"/>
    </row>
    <row r="71" spans="2:10" x14ac:dyDescent="0.3">
      <c r="B71" s="43"/>
      <c r="C71" s="30"/>
      <c r="D71" s="2"/>
      <c r="E71" s="30"/>
      <c r="F71" s="30"/>
      <c r="G71" s="41"/>
      <c r="H71" s="49"/>
      <c r="J71" s="46"/>
    </row>
    <row r="72" spans="2:10" ht="15.6" x14ac:dyDescent="0.3">
      <c r="B72" s="43"/>
      <c r="C72" s="30"/>
      <c r="D72" s="2"/>
      <c r="E72" s="30"/>
      <c r="F72" s="30"/>
      <c r="G72" s="41"/>
      <c r="H72" s="34"/>
      <c r="J72" s="47"/>
    </row>
    <row r="73" spans="2:10" x14ac:dyDescent="0.3">
      <c r="B73" s="43"/>
      <c r="C73" s="28"/>
      <c r="D73" s="30"/>
      <c r="E73" s="28"/>
      <c r="F73" s="28"/>
      <c r="G73" s="28"/>
      <c r="H73" s="28"/>
      <c r="J73" s="46"/>
    </row>
    <row r="74" spans="2:10" ht="15.6" x14ac:dyDescent="0.3">
      <c r="B74" s="48" t="s">
        <v>333</v>
      </c>
      <c r="C74" s="61"/>
      <c r="D74" s="61"/>
      <c r="E74" s="61"/>
      <c r="F74" s="61"/>
      <c r="G74" s="61"/>
      <c r="H74" s="61"/>
      <c r="J74" s="46"/>
    </row>
    <row r="75" spans="2:10" x14ac:dyDescent="0.3">
      <c r="B75" s="43">
        <v>41913</v>
      </c>
      <c r="C75" s="3" t="s">
        <v>9</v>
      </c>
      <c r="D75" s="3" t="s">
        <v>472</v>
      </c>
      <c r="E75" s="40" t="s">
        <v>523</v>
      </c>
      <c r="F75" s="40" t="s">
        <v>524</v>
      </c>
      <c r="G75" s="30">
        <v>200</v>
      </c>
      <c r="H75" s="8">
        <v>2000</v>
      </c>
      <c r="J75" s="46"/>
    </row>
    <row r="76" spans="2:10" x14ac:dyDescent="0.3">
      <c r="B76" s="43">
        <v>41919</v>
      </c>
      <c r="C76" s="3" t="s">
        <v>9</v>
      </c>
      <c r="D76" s="3" t="s">
        <v>508</v>
      </c>
      <c r="E76" s="30">
        <v>110</v>
      </c>
      <c r="F76" s="30">
        <v>142</v>
      </c>
      <c r="G76" s="30">
        <v>200</v>
      </c>
      <c r="H76" s="30">
        <v>6400</v>
      </c>
    </row>
    <row r="77" spans="2:10" x14ac:dyDescent="0.3">
      <c r="B77" s="43">
        <v>41920</v>
      </c>
      <c r="C77" s="3" t="s">
        <v>9</v>
      </c>
      <c r="D77" s="3" t="s">
        <v>532</v>
      </c>
      <c r="E77" s="30">
        <v>105</v>
      </c>
      <c r="F77" s="30">
        <v>110</v>
      </c>
      <c r="G77" s="30">
        <v>200</v>
      </c>
      <c r="H77" s="30">
        <v>1000</v>
      </c>
    </row>
    <row r="78" spans="2:10" x14ac:dyDescent="0.3">
      <c r="B78" s="43">
        <v>41921</v>
      </c>
      <c r="C78" s="3" t="s">
        <v>9</v>
      </c>
      <c r="D78" s="30" t="s">
        <v>472</v>
      </c>
      <c r="E78" s="30">
        <v>115</v>
      </c>
      <c r="F78" s="30">
        <v>126</v>
      </c>
      <c r="G78" s="30">
        <v>200</v>
      </c>
      <c r="H78" s="30">
        <v>2200</v>
      </c>
    </row>
    <row r="79" spans="2:10" x14ac:dyDescent="0.3">
      <c r="B79" s="43">
        <v>41922</v>
      </c>
      <c r="C79" s="3" t="s">
        <v>9</v>
      </c>
      <c r="D79" s="30" t="s">
        <v>532</v>
      </c>
      <c r="E79" s="30">
        <v>110</v>
      </c>
      <c r="F79" s="30">
        <v>120</v>
      </c>
      <c r="G79" s="30">
        <v>200</v>
      </c>
      <c r="H79" s="30">
        <v>2000</v>
      </c>
    </row>
    <row r="80" spans="2:10" x14ac:dyDescent="0.3">
      <c r="B80" s="43">
        <v>41925</v>
      </c>
      <c r="C80" s="3" t="s">
        <v>9</v>
      </c>
      <c r="D80" s="30" t="s">
        <v>533</v>
      </c>
      <c r="E80" s="30">
        <v>105</v>
      </c>
      <c r="F80" s="30">
        <v>85</v>
      </c>
      <c r="G80" s="30">
        <v>200</v>
      </c>
      <c r="H80" s="30">
        <v>-4000</v>
      </c>
    </row>
    <row r="81" spans="2:8" x14ac:dyDescent="0.3">
      <c r="B81" s="43">
        <v>41926</v>
      </c>
      <c r="C81" s="3" t="s">
        <v>9</v>
      </c>
      <c r="D81" s="30" t="s">
        <v>434</v>
      </c>
      <c r="E81" s="30">
        <v>105</v>
      </c>
      <c r="F81" s="30">
        <v>125</v>
      </c>
      <c r="G81" s="30">
        <v>200</v>
      </c>
      <c r="H81" s="30">
        <v>4000</v>
      </c>
    </row>
    <row r="82" spans="2:8" x14ac:dyDescent="0.3">
      <c r="B82" s="43">
        <v>41928</v>
      </c>
      <c r="C82" s="3" t="s">
        <v>9</v>
      </c>
      <c r="D82" s="30" t="s">
        <v>434</v>
      </c>
      <c r="E82" s="30">
        <v>107</v>
      </c>
      <c r="F82" s="30">
        <v>142</v>
      </c>
      <c r="G82" s="30">
        <v>200</v>
      </c>
      <c r="H82" s="30">
        <v>7000</v>
      </c>
    </row>
    <row r="83" spans="2:8" x14ac:dyDescent="0.3">
      <c r="B83" s="43">
        <v>41929</v>
      </c>
      <c r="C83" s="3" t="s">
        <v>9</v>
      </c>
      <c r="D83" s="30" t="s">
        <v>432</v>
      </c>
      <c r="E83" s="30">
        <v>105</v>
      </c>
      <c r="F83" s="30">
        <v>120</v>
      </c>
      <c r="G83" s="30">
        <v>200</v>
      </c>
      <c r="H83" s="30">
        <v>3000</v>
      </c>
    </row>
    <row r="84" spans="2:8" x14ac:dyDescent="0.3">
      <c r="B84" s="43">
        <v>41932</v>
      </c>
      <c r="C84" s="3" t="s">
        <v>9</v>
      </c>
      <c r="D84" s="30" t="s">
        <v>508</v>
      </c>
      <c r="E84" s="30">
        <v>90</v>
      </c>
      <c r="F84" s="30">
        <v>100</v>
      </c>
      <c r="G84" s="30">
        <v>200</v>
      </c>
      <c r="H84" s="30">
        <v>2000</v>
      </c>
    </row>
    <row r="85" spans="2:8" x14ac:dyDescent="0.3">
      <c r="B85" s="43">
        <v>41933</v>
      </c>
      <c r="C85" s="3" t="s">
        <v>9</v>
      </c>
      <c r="D85" s="30" t="s">
        <v>472</v>
      </c>
      <c r="E85" s="30">
        <v>95</v>
      </c>
      <c r="F85" s="30">
        <v>125</v>
      </c>
      <c r="G85" s="30">
        <v>200</v>
      </c>
      <c r="H85" s="30">
        <v>6000</v>
      </c>
    </row>
    <row r="86" spans="2:8" x14ac:dyDescent="0.3">
      <c r="B86" s="43">
        <v>41934</v>
      </c>
      <c r="C86" s="3" t="s">
        <v>9</v>
      </c>
      <c r="D86" s="30" t="s">
        <v>472</v>
      </c>
      <c r="E86" s="30">
        <v>48</v>
      </c>
      <c r="F86" s="30">
        <v>48</v>
      </c>
      <c r="G86" s="30">
        <v>200</v>
      </c>
      <c r="H86" s="30">
        <v>0</v>
      </c>
    </row>
    <row r="87" spans="2:8" x14ac:dyDescent="0.3">
      <c r="B87" s="43">
        <v>41942</v>
      </c>
      <c r="C87" s="3" t="s">
        <v>9</v>
      </c>
      <c r="D87" s="30" t="s">
        <v>499</v>
      </c>
      <c r="E87" s="30">
        <v>144</v>
      </c>
      <c r="F87" s="30">
        <v>166</v>
      </c>
      <c r="G87" s="30">
        <v>200</v>
      </c>
      <c r="H87" s="30">
        <v>4400</v>
      </c>
    </row>
    <row r="88" spans="2:8" x14ac:dyDescent="0.3">
      <c r="B88" s="43">
        <v>41943</v>
      </c>
      <c r="C88" s="3" t="s">
        <v>9</v>
      </c>
      <c r="D88" s="30" t="s">
        <v>536</v>
      </c>
      <c r="E88" s="30">
        <v>115</v>
      </c>
      <c r="F88" s="30">
        <v>150</v>
      </c>
      <c r="G88" s="30">
        <v>200</v>
      </c>
      <c r="H88" s="30">
        <v>7000</v>
      </c>
    </row>
    <row r="89" spans="2:8" ht="18" x14ac:dyDescent="0.35">
      <c r="B89" s="43"/>
      <c r="C89" s="30"/>
      <c r="D89" s="30"/>
      <c r="E89" s="30"/>
      <c r="F89" s="30"/>
      <c r="G89" s="30"/>
      <c r="H89" s="75">
        <v>43000</v>
      </c>
    </row>
    <row r="90" spans="2:8" x14ac:dyDescent="0.3">
      <c r="B90" s="43"/>
      <c r="C90" s="30"/>
      <c r="D90" s="30"/>
      <c r="E90" s="30"/>
      <c r="F90" s="30"/>
      <c r="G90" s="30"/>
      <c r="H90" s="30"/>
    </row>
    <row r="91" spans="2:8" x14ac:dyDescent="0.3">
      <c r="B91" s="43"/>
      <c r="C91" s="30"/>
      <c r="D91" s="30"/>
      <c r="E91" s="30"/>
      <c r="F91" s="30"/>
      <c r="G91" s="30"/>
      <c r="H91" s="30"/>
    </row>
    <row r="92" spans="2:8" x14ac:dyDescent="0.3">
      <c r="B92" s="43"/>
      <c r="C92" s="30"/>
      <c r="D92" s="30"/>
      <c r="E92" s="30"/>
      <c r="F92" s="30"/>
      <c r="G92" s="30"/>
      <c r="H92" s="30"/>
    </row>
    <row r="93" spans="2:8" x14ac:dyDescent="0.3">
      <c r="B93" s="43"/>
      <c r="C93" s="30"/>
      <c r="D93" s="30"/>
      <c r="E93" s="30"/>
      <c r="F93" s="30"/>
      <c r="G93" s="30"/>
      <c r="H93" s="30"/>
    </row>
    <row r="94" spans="2:8" ht="15.6" x14ac:dyDescent="0.3">
      <c r="B94" s="43"/>
      <c r="C94" s="30"/>
      <c r="D94" s="30"/>
      <c r="E94" s="30"/>
      <c r="F94" s="30"/>
      <c r="G94" s="30"/>
      <c r="H94" s="62"/>
    </row>
    <row r="95" spans="2:8" ht="15.6" x14ac:dyDescent="0.3">
      <c r="B95" s="43"/>
      <c r="C95" s="30"/>
      <c r="D95" s="30"/>
      <c r="E95" s="30"/>
      <c r="F95" s="30"/>
      <c r="G95" s="30"/>
      <c r="H95" s="34"/>
    </row>
    <row r="96" spans="2:8" x14ac:dyDescent="0.3">
      <c r="B96" s="1"/>
      <c r="C96" s="28"/>
      <c r="D96" s="28"/>
      <c r="E96" s="49"/>
      <c r="F96" s="49"/>
      <c r="G96" s="28"/>
      <c r="H96" s="49"/>
    </row>
    <row r="97" spans="2:8" ht="15.6" x14ac:dyDescent="0.3">
      <c r="B97" s="1"/>
      <c r="C97" s="28"/>
      <c r="D97" s="28"/>
      <c r="E97" s="28"/>
      <c r="F97" s="28"/>
      <c r="G97" s="28"/>
      <c r="H97" s="34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9"/>
    </row>
    <row r="105" spans="2:8" x14ac:dyDescent="0.3">
      <c r="B105" s="1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</sheetData>
  <mergeCells count="3">
    <mergeCell ref="B1:H1"/>
    <mergeCell ref="B2:H2"/>
    <mergeCell ref="B3:H3"/>
  </mergeCells>
  <hyperlinks>
    <hyperlink ref="J2" location="'MASTER '!A1" display="Back" xr:uid="{00000000-0004-0000-1200-000000000000}"/>
  </hyperlinks>
  <pageMargins left="0.7" right="0.7" top="0.75" bottom="0.75" header="0.3" footer="0.3"/>
  <ignoredErrors>
    <ignoredError sqref="E6:H7 E30:H30 E51:H58 E75:F75 G59:G62 G6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8"/>
    <col min="2" max="2" width="13" style="10" customWidth="1"/>
    <col min="3" max="3" width="15.44140625" style="56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6384" width="9.109375" style="10"/>
  </cols>
  <sheetData>
    <row r="1" spans="1:11" ht="15" thickBot="1" x14ac:dyDescent="0.35">
      <c r="A1" s="52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52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53"/>
      <c r="B3" s="283" t="s">
        <v>42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54"/>
      <c r="D4" s="48"/>
      <c r="E4" s="48"/>
      <c r="F4" s="48"/>
      <c r="G4" s="48"/>
      <c r="H4" s="48"/>
    </row>
    <row r="5" spans="1:11" x14ac:dyDescent="0.3">
      <c r="B5" s="13" t="s">
        <v>1</v>
      </c>
      <c r="C5" s="55" t="s">
        <v>5</v>
      </c>
      <c r="D5" s="14" t="s">
        <v>6</v>
      </c>
      <c r="E5" s="15" t="s">
        <v>2</v>
      </c>
      <c r="F5" s="15" t="s">
        <v>7</v>
      </c>
      <c r="G5" s="15" t="s">
        <v>3</v>
      </c>
      <c r="H5" s="15" t="s">
        <v>4</v>
      </c>
      <c r="K5" s="16"/>
    </row>
    <row r="6" spans="1:11" x14ac:dyDescent="0.3">
      <c r="B6" s="43">
        <v>41396</v>
      </c>
      <c r="C6" s="20" t="s">
        <v>9</v>
      </c>
      <c r="D6" s="2" t="s">
        <v>38</v>
      </c>
      <c r="E6" s="8">
        <v>189</v>
      </c>
      <c r="F6" s="7">
        <v>190.5</v>
      </c>
      <c r="G6" s="5">
        <v>1587.3015873015872</v>
      </c>
      <c r="H6" s="8">
        <v>2380</v>
      </c>
      <c r="K6" s="16"/>
    </row>
    <row r="7" spans="1:11" x14ac:dyDescent="0.3">
      <c r="B7" s="43">
        <v>41397</v>
      </c>
      <c r="C7" s="20" t="s">
        <v>9</v>
      </c>
      <c r="D7" s="2" t="s">
        <v>31</v>
      </c>
      <c r="E7" s="8">
        <v>805</v>
      </c>
      <c r="F7" s="7">
        <v>821</v>
      </c>
      <c r="G7" s="5">
        <v>372.67080745341616</v>
      </c>
      <c r="H7" s="8">
        <v>4378.8819875776398</v>
      </c>
      <c r="K7" s="16"/>
    </row>
    <row r="8" spans="1:11" x14ac:dyDescent="0.3">
      <c r="B8" s="43">
        <v>41400</v>
      </c>
      <c r="C8" s="20" t="s">
        <v>9</v>
      </c>
      <c r="D8" s="2" t="s">
        <v>44</v>
      </c>
      <c r="E8" s="5">
        <v>295</v>
      </c>
      <c r="F8" s="4">
        <v>300.7</v>
      </c>
      <c r="G8" s="5">
        <v>1016.9491525423729</v>
      </c>
      <c r="H8" s="8">
        <v>4576.2711864406783</v>
      </c>
      <c r="K8" s="16"/>
    </row>
    <row r="9" spans="1:11" x14ac:dyDescent="0.3">
      <c r="B9" s="43">
        <v>41401</v>
      </c>
      <c r="C9" s="20" t="s">
        <v>9</v>
      </c>
      <c r="D9" s="2" t="s">
        <v>12</v>
      </c>
      <c r="E9" s="5">
        <v>156.9</v>
      </c>
      <c r="F9" s="4">
        <v>158.69999999999999</v>
      </c>
      <c r="G9" s="5">
        <v>1912.0458891013384</v>
      </c>
      <c r="H9" s="8">
        <v>1720.8413001911883</v>
      </c>
      <c r="K9" s="16"/>
    </row>
    <row r="10" spans="1:11" x14ac:dyDescent="0.3">
      <c r="B10" s="43">
        <v>41402</v>
      </c>
      <c r="C10" s="20" t="s">
        <v>9</v>
      </c>
      <c r="D10" s="2" t="s">
        <v>60</v>
      </c>
      <c r="E10" s="4">
        <v>697</v>
      </c>
      <c r="F10" s="4">
        <v>704.5</v>
      </c>
      <c r="G10" s="5">
        <v>430.41606886657104</v>
      </c>
      <c r="H10" s="8">
        <v>3228.120516499283</v>
      </c>
      <c r="K10" s="16"/>
    </row>
    <row r="11" spans="1:11" x14ac:dyDescent="0.3">
      <c r="B11" s="43">
        <v>41403</v>
      </c>
      <c r="C11" s="20" t="s">
        <v>9</v>
      </c>
      <c r="D11" s="2" t="s">
        <v>45</v>
      </c>
      <c r="E11" s="5">
        <v>148</v>
      </c>
      <c r="F11" s="3">
        <v>149.19999999999999</v>
      </c>
      <c r="G11" s="5">
        <v>2027.0270270270271</v>
      </c>
      <c r="H11" s="8">
        <v>1216.2162162162047</v>
      </c>
      <c r="K11" s="16"/>
    </row>
    <row r="12" spans="1:11" x14ac:dyDescent="0.3">
      <c r="B12" s="43">
        <v>41404</v>
      </c>
      <c r="C12" s="20" t="s">
        <v>9</v>
      </c>
      <c r="D12" s="2" t="s">
        <v>31</v>
      </c>
      <c r="E12" s="3">
        <v>809.5</v>
      </c>
      <c r="F12" s="4">
        <v>822.5</v>
      </c>
      <c r="G12" s="5">
        <v>370.59913526868439</v>
      </c>
      <c r="H12" s="8">
        <v>3613.3415688696723</v>
      </c>
      <c r="K12" s="16"/>
    </row>
    <row r="13" spans="1:11" x14ac:dyDescent="0.3">
      <c r="B13" s="43">
        <v>41407</v>
      </c>
      <c r="C13" s="20" t="s">
        <v>9</v>
      </c>
      <c r="D13" s="2" t="s">
        <v>46</v>
      </c>
      <c r="E13" s="4">
        <v>323.5</v>
      </c>
      <c r="F13" s="4">
        <v>328.6</v>
      </c>
      <c r="G13" s="5">
        <v>927.35703245749619</v>
      </c>
      <c r="H13" s="8">
        <v>4335.3941267388054</v>
      </c>
      <c r="K13" s="16"/>
    </row>
    <row r="14" spans="1:11" x14ac:dyDescent="0.3">
      <c r="B14" s="43">
        <v>41408</v>
      </c>
      <c r="C14" s="20" t="s">
        <v>9</v>
      </c>
      <c r="D14" s="2" t="s">
        <v>47</v>
      </c>
      <c r="E14" s="5">
        <v>710</v>
      </c>
      <c r="F14" s="4">
        <v>727.5</v>
      </c>
      <c r="G14" s="5">
        <v>422.53521126760563</v>
      </c>
      <c r="H14" s="8">
        <v>5492.9577464788736</v>
      </c>
      <c r="K14" s="16"/>
    </row>
    <row r="15" spans="1:11" x14ac:dyDescent="0.3">
      <c r="B15" s="43">
        <v>41409</v>
      </c>
      <c r="C15" s="20" t="s">
        <v>9</v>
      </c>
      <c r="D15" s="2" t="s">
        <v>14</v>
      </c>
      <c r="E15" s="5">
        <v>573</v>
      </c>
      <c r="F15" s="4">
        <v>582.85</v>
      </c>
      <c r="G15" s="5">
        <v>523.56020942408372</v>
      </c>
      <c r="H15" s="8">
        <v>5157.0680628272366</v>
      </c>
      <c r="K15" s="16"/>
    </row>
    <row r="16" spans="1:11" x14ac:dyDescent="0.3">
      <c r="B16" s="43">
        <v>41410</v>
      </c>
      <c r="C16" s="20" t="s">
        <v>9</v>
      </c>
      <c r="D16" s="2" t="s">
        <v>48</v>
      </c>
      <c r="E16" s="4">
        <v>724.4</v>
      </c>
      <c r="F16" s="3">
        <v>739</v>
      </c>
      <c r="G16" s="5">
        <v>414.13583655438987</v>
      </c>
      <c r="H16" s="8">
        <v>4576.2009939260133</v>
      </c>
      <c r="K16" s="16"/>
    </row>
    <row r="17" spans="2:11" x14ac:dyDescent="0.3">
      <c r="B17" s="43">
        <v>41411</v>
      </c>
      <c r="C17" s="20" t="s">
        <v>9</v>
      </c>
      <c r="D17" s="2" t="s">
        <v>28</v>
      </c>
      <c r="E17" s="4">
        <v>846.1</v>
      </c>
      <c r="F17" s="3">
        <v>830</v>
      </c>
      <c r="G17" s="5">
        <v>354.56801796477959</v>
      </c>
      <c r="H17" s="8">
        <v>-5708.5450892329591</v>
      </c>
      <c r="K17" s="16"/>
    </row>
    <row r="18" spans="2:11" x14ac:dyDescent="0.3">
      <c r="B18" s="43">
        <v>41414</v>
      </c>
      <c r="C18" s="20" t="s">
        <v>9</v>
      </c>
      <c r="D18" s="2" t="s">
        <v>29</v>
      </c>
      <c r="E18" s="4">
        <v>738</v>
      </c>
      <c r="F18" s="5">
        <v>752.7</v>
      </c>
      <c r="G18" s="5">
        <v>406.5040650406504</v>
      </c>
      <c r="H18" s="8">
        <v>5101.6260162601666</v>
      </c>
      <c r="K18" s="16"/>
    </row>
    <row r="19" spans="2:11" x14ac:dyDescent="0.3">
      <c r="B19" s="43">
        <v>41415</v>
      </c>
      <c r="C19" s="20" t="s">
        <v>9</v>
      </c>
      <c r="D19" s="2" t="s">
        <v>12</v>
      </c>
      <c r="E19" s="4">
        <v>148.75</v>
      </c>
      <c r="F19" s="5">
        <v>150.4</v>
      </c>
      <c r="G19" s="5">
        <v>2016.8067226890757</v>
      </c>
      <c r="H19" s="8">
        <v>1663.8655462184931</v>
      </c>
      <c r="K19" s="16"/>
    </row>
    <row r="20" spans="2:11" x14ac:dyDescent="0.3">
      <c r="B20" s="43">
        <v>41416</v>
      </c>
      <c r="C20" s="20" t="s">
        <v>8</v>
      </c>
      <c r="D20" s="2" t="s">
        <v>49</v>
      </c>
      <c r="E20" s="5">
        <v>1087</v>
      </c>
      <c r="F20" s="5">
        <v>1078</v>
      </c>
      <c r="G20" s="5">
        <v>275.98896044158232</v>
      </c>
      <c r="H20" s="8">
        <v>1241.9503219871203</v>
      </c>
      <c r="K20" s="16"/>
    </row>
    <row r="21" spans="2:11" x14ac:dyDescent="0.3">
      <c r="B21" s="43">
        <v>41417</v>
      </c>
      <c r="C21" s="20" t="s">
        <v>9</v>
      </c>
      <c r="D21" s="2" t="s">
        <v>50</v>
      </c>
      <c r="E21" s="5">
        <v>970</v>
      </c>
      <c r="F21" s="5">
        <v>989</v>
      </c>
      <c r="G21" s="5">
        <v>309.2783505154639</v>
      </c>
      <c r="H21" s="8">
        <v>5876.2886597938141</v>
      </c>
      <c r="K21" s="16"/>
    </row>
    <row r="22" spans="2:11" x14ac:dyDescent="0.3">
      <c r="B22" s="43">
        <v>41418</v>
      </c>
      <c r="C22" s="20" t="s">
        <v>9</v>
      </c>
      <c r="D22" s="2" t="s">
        <v>51</v>
      </c>
      <c r="E22" s="5">
        <v>84.55</v>
      </c>
      <c r="F22" s="3">
        <v>85.3</v>
      </c>
      <c r="G22" s="5">
        <v>3548.1963335304554</v>
      </c>
      <c r="H22" s="8">
        <v>1330.5736250739208</v>
      </c>
      <c r="K22" s="16"/>
    </row>
    <row r="23" spans="2:11" x14ac:dyDescent="0.3">
      <c r="B23" s="43">
        <v>41421</v>
      </c>
      <c r="C23" s="20" t="s">
        <v>9</v>
      </c>
      <c r="D23" s="2" t="s">
        <v>52</v>
      </c>
      <c r="E23" s="5">
        <v>673</v>
      </c>
      <c r="F23" s="3">
        <v>694.5</v>
      </c>
      <c r="G23" s="5">
        <v>445.76523031203567</v>
      </c>
      <c r="H23" s="8">
        <v>9583.9524517087666</v>
      </c>
      <c r="K23" s="16"/>
    </row>
    <row r="24" spans="2:11" x14ac:dyDescent="0.3">
      <c r="B24" s="43">
        <v>41422</v>
      </c>
      <c r="C24" s="20" t="s">
        <v>9</v>
      </c>
      <c r="D24" s="2" t="s">
        <v>53</v>
      </c>
      <c r="E24" s="5">
        <v>750</v>
      </c>
      <c r="F24" s="3">
        <v>757.8</v>
      </c>
      <c r="G24" s="5">
        <v>400</v>
      </c>
      <c r="H24" s="8">
        <v>1559.9999999999909</v>
      </c>
      <c r="K24" s="16"/>
    </row>
    <row r="25" spans="2:11" x14ac:dyDescent="0.3">
      <c r="B25" s="43">
        <v>41424</v>
      </c>
      <c r="C25" s="20" t="s">
        <v>9</v>
      </c>
      <c r="D25" s="2" t="s">
        <v>29</v>
      </c>
      <c r="E25" s="4">
        <v>743</v>
      </c>
      <c r="F25" s="3">
        <v>750.5</v>
      </c>
      <c r="G25" s="5">
        <v>403.7685060565276</v>
      </c>
      <c r="H25" s="8">
        <v>3028.2637954239572</v>
      </c>
    </row>
    <row r="26" spans="2:11" x14ac:dyDescent="0.3">
      <c r="B26" s="43">
        <v>41425</v>
      </c>
      <c r="C26" s="20" t="s">
        <v>9</v>
      </c>
      <c r="D26" s="2" t="s">
        <v>54</v>
      </c>
      <c r="E26" s="4">
        <v>160</v>
      </c>
      <c r="F26" s="3">
        <v>167.75</v>
      </c>
      <c r="G26" s="5">
        <v>1875</v>
      </c>
      <c r="H26" s="8">
        <v>7265.625</v>
      </c>
    </row>
    <row r="27" spans="2:11" x14ac:dyDescent="0.3">
      <c r="C27"/>
      <c r="D27"/>
      <c r="E27"/>
      <c r="F27"/>
      <c r="G27"/>
      <c r="H27" s="19">
        <v>71619</v>
      </c>
    </row>
    <row r="29" spans="2:11" ht="15.6" x14ac:dyDescent="0.3">
      <c r="B29" s="48" t="s">
        <v>62</v>
      </c>
      <c r="C29" s="54"/>
      <c r="D29" s="48"/>
      <c r="E29" s="48"/>
      <c r="F29" s="48"/>
      <c r="G29" s="48"/>
      <c r="H29" s="48"/>
    </row>
    <row r="30" spans="2:11" x14ac:dyDescent="0.3">
      <c r="B30" s="43">
        <v>41396</v>
      </c>
      <c r="C30" s="20" t="s">
        <v>9</v>
      </c>
      <c r="D30" s="2" t="s">
        <v>36</v>
      </c>
      <c r="E30" s="6">
        <v>1148.5</v>
      </c>
      <c r="F30" s="7">
        <v>1161.7</v>
      </c>
      <c r="G30" s="5">
        <v>250</v>
      </c>
      <c r="H30" s="8">
        <v>3300.0000000000114</v>
      </c>
    </row>
    <row r="31" spans="2:11" x14ac:dyDescent="0.3">
      <c r="B31" s="43">
        <v>41397</v>
      </c>
      <c r="C31" s="20" t="s">
        <v>9</v>
      </c>
      <c r="D31" s="2" t="s">
        <v>55</v>
      </c>
      <c r="E31" s="8">
        <v>713</v>
      </c>
      <c r="F31" s="7">
        <v>726</v>
      </c>
      <c r="G31" s="5">
        <v>500</v>
      </c>
      <c r="H31" s="8">
        <v>6500</v>
      </c>
    </row>
    <row r="32" spans="2:11" x14ac:dyDescent="0.3">
      <c r="B32" s="43">
        <v>41400</v>
      </c>
      <c r="C32" s="20" t="s">
        <v>9</v>
      </c>
      <c r="D32" s="2" t="s">
        <v>26</v>
      </c>
      <c r="E32" s="4">
        <v>231.6</v>
      </c>
      <c r="F32" s="5">
        <v>233.7</v>
      </c>
      <c r="G32" s="5">
        <v>1000</v>
      </c>
      <c r="H32" s="8">
        <v>2099.9999999999945</v>
      </c>
    </row>
    <row r="33" spans="2:8" x14ac:dyDescent="0.3">
      <c r="B33" s="43">
        <v>41401</v>
      </c>
      <c r="C33" s="20" t="s">
        <v>9</v>
      </c>
      <c r="D33" s="2" t="s">
        <v>30</v>
      </c>
      <c r="E33" s="5">
        <v>343</v>
      </c>
      <c r="F33" s="5">
        <v>345.4</v>
      </c>
      <c r="G33" s="5">
        <v>1000</v>
      </c>
      <c r="H33" s="8">
        <v>2399.9999999999773</v>
      </c>
    </row>
    <row r="34" spans="2:8" x14ac:dyDescent="0.3">
      <c r="B34" s="43">
        <v>41402</v>
      </c>
      <c r="C34" s="20" t="s">
        <v>8</v>
      </c>
      <c r="D34" s="2" t="s">
        <v>44</v>
      </c>
      <c r="E34" s="5">
        <v>302</v>
      </c>
      <c r="F34" s="4">
        <v>305.25</v>
      </c>
      <c r="G34" s="5">
        <v>1000</v>
      </c>
      <c r="H34" s="8">
        <v>-3250</v>
      </c>
    </row>
    <row r="35" spans="2:8" x14ac:dyDescent="0.3">
      <c r="B35" s="43">
        <v>41403</v>
      </c>
      <c r="C35" s="20" t="s">
        <v>9</v>
      </c>
      <c r="D35" s="2" t="s">
        <v>12</v>
      </c>
      <c r="E35" s="4">
        <v>155.1</v>
      </c>
      <c r="F35" s="4">
        <v>160.30000000000001</v>
      </c>
      <c r="G35" s="5">
        <v>4000</v>
      </c>
      <c r="H35" s="8">
        <v>20800.000000000069</v>
      </c>
    </row>
    <row r="36" spans="2:8" x14ac:dyDescent="0.3">
      <c r="B36" s="43">
        <v>41404</v>
      </c>
      <c r="C36" s="20" t="s">
        <v>9</v>
      </c>
      <c r="D36" s="2" t="s">
        <v>37</v>
      </c>
      <c r="E36" s="4">
        <v>105.1</v>
      </c>
      <c r="F36" s="4">
        <v>106.3</v>
      </c>
      <c r="G36" s="5">
        <v>2000</v>
      </c>
      <c r="H36" s="8">
        <v>2400.0000000000055</v>
      </c>
    </row>
    <row r="37" spans="2:8" x14ac:dyDescent="0.3">
      <c r="B37" s="43">
        <v>41407</v>
      </c>
      <c r="C37" s="20" t="s">
        <v>9</v>
      </c>
      <c r="D37" s="2" t="s">
        <v>37</v>
      </c>
      <c r="E37" s="3">
        <v>105.3</v>
      </c>
      <c r="F37" s="4">
        <v>106.3</v>
      </c>
      <c r="G37" s="5">
        <v>2000</v>
      </c>
      <c r="H37" s="8">
        <v>2000</v>
      </c>
    </row>
    <row r="38" spans="2:8" x14ac:dyDescent="0.3">
      <c r="B38" s="43">
        <v>41408</v>
      </c>
      <c r="C38" s="20" t="s">
        <v>9</v>
      </c>
      <c r="D38" s="2" t="s">
        <v>37</v>
      </c>
      <c r="E38" s="5">
        <v>105.5</v>
      </c>
      <c r="F38" s="4">
        <v>106.35</v>
      </c>
      <c r="G38" s="5">
        <v>2000</v>
      </c>
      <c r="H38" s="8">
        <v>1699.9999999999886</v>
      </c>
    </row>
    <row r="39" spans="2:8" x14ac:dyDescent="0.3">
      <c r="B39" s="43">
        <v>41409</v>
      </c>
      <c r="C39" s="20" t="s">
        <v>9</v>
      </c>
      <c r="D39" s="2" t="s">
        <v>28</v>
      </c>
      <c r="E39" s="5">
        <v>776</v>
      </c>
      <c r="F39" s="3">
        <v>799.75</v>
      </c>
      <c r="G39" s="5">
        <v>500</v>
      </c>
      <c r="H39" s="8">
        <v>11875</v>
      </c>
    </row>
    <row r="40" spans="2:8" x14ac:dyDescent="0.3">
      <c r="B40" s="43">
        <v>41410</v>
      </c>
      <c r="C40" s="20" t="s">
        <v>9</v>
      </c>
      <c r="D40" s="2" t="s">
        <v>56</v>
      </c>
      <c r="E40" s="4">
        <v>114.75</v>
      </c>
      <c r="F40" s="3">
        <v>115.9</v>
      </c>
      <c r="G40" s="5">
        <v>4000</v>
      </c>
      <c r="H40" s="8">
        <v>4600.0000000000227</v>
      </c>
    </row>
    <row r="41" spans="2:8" x14ac:dyDescent="0.3">
      <c r="B41" s="43">
        <v>41411</v>
      </c>
      <c r="C41" s="20" t="s">
        <v>9</v>
      </c>
      <c r="D41" s="2" t="s">
        <v>37</v>
      </c>
      <c r="E41" s="5">
        <v>110</v>
      </c>
      <c r="F41" s="3">
        <v>112.2</v>
      </c>
      <c r="G41" s="5">
        <v>2000</v>
      </c>
      <c r="H41" s="8">
        <v>4400.0000000000055</v>
      </c>
    </row>
    <row r="42" spans="2:8" x14ac:dyDescent="0.3">
      <c r="B42" s="43">
        <v>41414</v>
      </c>
      <c r="C42" s="20" t="s">
        <v>9</v>
      </c>
      <c r="D42" s="2" t="s">
        <v>12</v>
      </c>
      <c r="E42" s="3">
        <v>160</v>
      </c>
      <c r="F42" s="3">
        <v>162.75</v>
      </c>
      <c r="G42" s="5">
        <v>2000</v>
      </c>
      <c r="H42" s="8">
        <v>5500</v>
      </c>
    </row>
    <row r="43" spans="2:8" x14ac:dyDescent="0.3">
      <c r="B43" s="43">
        <v>41415</v>
      </c>
      <c r="C43" s="20" t="s">
        <v>9</v>
      </c>
      <c r="D43" s="2" t="s">
        <v>36</v>
      </c>
      <c r="E43" s="4">
        <v>1186</v>
      </c>
      <c r="F43" s="3">
        <v>1207.5</v>
      </c>
      <c r="G43" s="5">
        <v>250</v>
      </c>
      <c r="H43" s="8">
        <v>5375</v>
      </c>
    </row>
    <row r="44" spans="2:8" x14ac:dyDescent="0.3">
      <c r="B44" s="43">
        <v>41416</v>
      </c>
      <c r="C44" s="20" t="s">
        <v>9</v>
      </c>
      <c r="D44" s="2" t="s">
        <v>28</v>
      </c>
      <c r="E44" s="5">
        <v>828</v>
      </c>
      <c r="F44" s="5">
        <v>811</v>
      </c>
      <c r="G44" s="5">
        <v>500</v>
      </c>
      <c r="H44" s="8">
        <v>-8500</v>
      </c>
    </row>
    <row r="45" spans="2:8" x14ac:dyDescent="0.3">
      <c r="B45" s="43">
        <v>41417</v>
      </c>
      <c r="C45" s="20" t="s">
        <v>8</v>
      </c>
      <c r="D45" s="2" t="s">
        <v>46</v>
      </c>
      <c r="E45" s="5">
        <v>333</v>
      </c>
      <c r="F45" s="5">
        <v>327.2</v>
      </c>
      <c r="G45" s="5">
        <v>1000</v>
      </c>
      <c r="H45" s="8">
        <v>5800.0000000000109</v>
      </c>
    </row>
    <row r="46" spans="2:8" x14ac:dyDescent="0.3">
      <c r="B46" s="43">
        <v>41418</v>
      </c>
      <c r="C46" s="20" t="s">
        <v>9</v>
      </c>
      <c r="D46" s="2" t="s">
        <v>56</v>
      </c>
      <c r="E46" s="5">
        <v>108</v>
      </c>
      <c r="F46" s="4">
        <v>108.5</v>
      </c>
      <c r="G46" s="5">
        <v>4000</v>
      </c>
      <c r="H46" s="8">
        <v>2000</v>
      </c>
    </row>
    <row r="47" spans="2:8" x14ac:dyDescent="0.3">
      <c r="B47" s="43">
        <v>41421</v>
      </c>
      <c r="C47" s="20" t="s">
        <v>8</v>
      </c>
      <c r="D47" s="2" t="s">
        <v>57</v>
      </c>
      <c r="E47" s="5">
        <v>75</v>
      </c>
      <c r="F47" s="3">
        <v>75.3</v>
      </c>
      <c r="G47" s="5">
        <v>4000</v>
      </c>
      <c r="H47" s="8">
        <v>-1200</v>
      </c>
    </row>
    <row r="48" spans="2:8" x14ac:dyDescent="0.3">
      <c r="B48" s="43">
        <v>41422</v>
      </c>
      <c r="C48" s="20" t="s">
        <v>8</v>
      </c>
      <c r="D48" s="2" t="s">
        <v>58</v>
      </c>
      <c r="E48" s="5">
        <v>1470</v>
      </c>
      <c r="F48" s="3">
        <v>1457.2</v>
      </c>
      <c r="G48" s="5">
        <v>250</v>
      </c>
      <c r="H48" s="8">
        <v>3199.9999999999886</v>
      </c>
    </row>
    <row r="49" spans="2:8" x14ac:dyDescent="0.3">
      <c r="B49" s="43">
        <v>41423</v>
      </c>
      <c r="C49" s="20" t="s">
        <v>9</v>
      </c>
      <c r="D49" s="2" t="s">
        <v>59</v>
      </c>
      <c r="E49" s="5">
        <v>2110</v>
      </c>
      <c r="F49" s="3">
        <v>2127.6</v>
      </c>
      <c r="G49" s="5">
        <v>125</v>
      </c>
      <c r="H49" s="8">
        <v>2199.9999999999886</v>
      </c>
    </row>
    <row r="50" spans="2:8" x14ac:dyDescent="0.3">
      <c r="B50" s="43">
        <v>41424</v>
      </c>
      <c r="C50" s="20" t="s">
        <v>9</v>
      </c>
      <c r="D50" s="2" t="s">
        <v>12</v>
      </c>
      <c r="E50" s="4">
        <v>139.5</v>
      </c>
      <c r="F50" s="3">
        <v>140.9</v>
      </c>
      <c r="G50" s="5">
        <v>2000</v>
      </c>
      <c r="H50" s="8">
        <v>2800.0000000000114</v>
      </c>
    </row>
    <row r="51" spans="2:8" x14ac:dyDescent="0.3">
      <c r="B51" s="43"/>
      <c r="C51" s="57"/>
      <c r="D51" s="17"/>
      <c r="E51" s="17"/>
      <c r="F51" s="17"/>
      <c r="H51" s="21">
        <v>76000</v>
      </c>
    </row>
    <row r="53" spans="2:8" ht="15.6" x14ac:dyDescent="0.3">
      <c r="B53" s="48" t="s">
        <v>63</v>
      </c>
      <c r="C53" s="54"/>
      <c r="D53" s="48"/>
      <c r="E53" s="48"/>
      <c r="F53" s="48"/>
      <c r="G53" s="48"/>
      <c r="H53" s="48"/>
    </row>
    <row r="54" spans="2:8" x14ac:dyDescent="0.3">
      <c r="B54" s="43">
        <v>41396</v>
      </c>
      <c r="C54" s="20" t="s">
        <v>61</v>
      </c>
      <c r="D54" s="2" t="s">
        <v>41</v>
      </c>
      <c r="E54" s="5">
        <v>12545</v>
      </c>
      <c r="F54" s="5">
        <v>12715</v>
      </c>
      <c r="G54" s="5">
        <v>50</v>
      </c>
      <c r="H54" s="8">
        <v>6375</v>
      </c>
    </row>
    <row r="55" spans="2:8" x14ac:dyDescent="0.3">
      <c r="B55" s="43">
        <v>41397</v>
      </c>
      <c r="C55" s="20" t="s">
        <v>9</v>
      </c>
      <c r="D55" s="2" t="s">
        <v>39</v>
      </c>
      <c r="E55" s="5">
        <v>5980</v>
      </c>
      <c r="F55" s="5">
        <v>6000</v>
      </c>
      <c r="G55" s="5">
        <v>100</v>
      </c>
      <c r="H55" s="8">
        <v>1000</v>
      </c>
    </row>
    <row r="56" spans="2:8" x14ac:dyDescent="0.3">
      <c r="B56" s="43">
        <v>41400</v>
      </c>
      <c r="C56" s="20" t="s">
        <v>9</v>
      </c>
      <c r="D56" s="2" t="s">
        <v>39</v>
      </c>
      <c r="E56" s="5">
        <v>5946</v>
      </c>
      <c r="F56" s="5">
        <v>5981.4</v>
      </c>
      <c r="G56" s="5">
        <v>100</v>
      </c>
      <c r="H56" s="8">
        <v>2794.9999999999818</v>
      </c>
    </row>
    <row r="57" spans="2:8" x14ac:dyDescent="0.3">
      <c r="B57" s="43">
        <v>41401</v>
      </c>
      <c r="C57" s="20" t="s">
        <v>9</v>
      </c>
      <c r="D57" s="2" t="s">
        <v>39</v>
      </c>
      <c r="E57" s="5">
        <v>5998</v>
      </c>
      <c r="F57" s="3">
        <v>6050</v>
      </c>
      <c r="G57" s="5">
        <v>100</v>
      </c>
      <c r="H57" s="8">
        <v>4365.0000000000091</v>
      </c>
    </row>
    <row r="58" spans="2:8" x14ac:dyDescent="0.3">
      <c r="B58" s="43">
        <v>41402</v>
      </c>
      <c r="C58" s="20" t="s">
        <v>9</v>
      </c>
      <c r="D58" s="2" t="s">
        <v>39</v>
      </c>
      <c r="E58" s="5">
        <v>6060</v>
      </c>
      <c r="F58" s="3">
        <v>6077</v>
      </c>
      <c r="G58" s="5">
        <v>100</v>
      </c>
      <c r="H58" s="8">
        <v>850</v>
      </c>
    </row>
    <row r="59" spans="2:8" x14ac:dyDescent="0.3">
      <c r="B59" s="43">
        <v>41403</v>
      </c>
      <c r="C59" s="20" t="s">
        <v>9</v>
      </c>
      <c r="D59" s="2" t="s">
        <v>39</v>
      </c>
      <c r="E59" s="5">
        <v>6050</v>
      </c>
      <c r="F59" s="3">
        <v>6085</v>
      </c>
      <c r="G59" s="5">
        <v>100</v>
      </c>
      <c r="H59" s="8">
        <v>2550</v>
      </c>
    </row>
    <row r="60" spans="2:8" x14ac:dyDescent="0.3">
      <c r="B60" s="43">
        <v>41404</v>
      </c>
      <c r="C60" s="20" t="s">
        <v>9</v>
      </c>
      <c r="D60" s="2" t="s">
        <v>39</v>
      </c>
      <c r="E60" s="3">
        <v>6046</v>
      </c>
      <c r="F60" s="5">
        <v>6107</v>
      </c>
      <c r="G60" s="5">
        <v>100</v>
      </c>
      <c r="H60" s="8">
        <v>4787.5</v>
      </c>
    </row>
    <row r="61" spans="2:8" x14ac:dyDescent="0.3">
      <c r="B61" s="43">
        <v>41407</v>
      </c>
      <c r="C61" s="20" t="s">
        <v>9</v>
      </c>
      <c r="D61" s="2" t="s">
        <v>39</v>
      </c>
      <c r="E61" s="3">
        <v>6081</v>
      </c>
      <c r="F61" s="5">
        <v>6100</v>
      </c>
      <c r="G61" s="5">
        <v>100</v>
      </c>
      <c r="H61" s="8">
        <v>950</v>
      </c>
    </row>
    <row r="62" spans="2:8" x14ac:dyDescent="0.3">
      <c r="B62" s="43">
        <v>41408</v>
      </c>
      <c r="C62" s="20" t="s">
        <v>9</v>
      </c>
      <c r="D62" s="2" t="s">
        <v>41</v>
      </c>
      <c r="E62" s="5">
        <v>12528</v>
      </c>
      <c r="F62" s="5">
        <v>12637</v>
      </c>
      <c r="G62" s="5">
        <v>50</v>
      </c>
      <c r="H62" s="8">
        <v>3625</v>
      </c>
    </row>
    <row r="63" spans="2:8" x14ac:dyDescent="0.3">
      <c r="B63" s="43">
        <v>41409</v>
      </c>
      <c r="C63" s="20" t="s">
        <v>9</v>
      </c>
      <c r="D63" s="2" t="s">
        <v>41</v>
      </c>
      <c r="E63" s="5">
        <v>12652</v>
      </c>
      <c r="F63" s="5">
        <v>12799</v>
      </c>
      <c r="G63" s="5">
        <v>50</v>
      </c>
      <c r="H63" s="8">
        <v>5562.5</v>
      </c>
    </row>
    <row r="64" spans="2:8" x14ac:dyDescent="0.3">
      <c r="B64" s="43">
        <v>41410</v>
      </c>
      <c r="C64" s="20" t="s">
        <v>9</v>
      </c>
      <c r="D64" s="2" t="s">
        <v>41</v>
      </c>
      <c r="E64" s="5">
        <v>13105</v>
      </c>
      <c r="F64" s="5">
        <v>13220</v>
      </c>
      <c r="G64" s="5">
        <v>50</v>
      </c>
      <c r="H64" s="8">
        <v>5750</v>
      </c>
    </row>
    <row r="65" spans="2:8" x14ac:dyDescent="0.3">
      <c r="B65" s="43">
        <v>41411</v>
      </c>
      <c r="C65" s="20" t="s">
        <v>9</v>
      </c>
      <c r="D65" s="2" t="s">
        <v>39</v>
      </c>
      <c r="E65" s="5">
        <v>6175</v>
      </c>
      <c r="F65" s="5">
        <v>6200</v>
      </c>
      <c r="G65" s="5">
        <v>100</v>
      </c>
      <c r="H65" s="8">
        <v>2500</v>
      </c>
    </row>
    <row r="66" spans="2:8" x14ac:dyDescent="0.3">
      <c r="B66" s="43">
        <v>41414</v>
      </c>
      <c r="C66" s="20" t="s">
        <v>9</v>
      </c>
      <c r="D66" s="2" t="s">
        <v>39</v>
      </c>
      <c r="E66" s="5">
        <v>6213</v>
      </c>
      <c r="F66" s="5">
        <v>6175</v>
      </c>
      <c r="G66" s="5">
        <v>100</v>
      </c>
      <c r="H66" s="8">
        <v>-3800</v>
      </c>
    </row>
    <row r="67" spans="2:8" x14ac:dyDescent="0.3">
      <c r="B67" s="43">
        <v>41415</v>
      </c>
      <c r="C67" s="20" t="s">
        <v>9</v>
      </c>
      <c r="D67" s="2" t="s">
        <v>39</v>
      </c>
      <c r="E67" s="5">
        <v>6164</v>
      </c>
      <c r="F67" s="5">
        <v>6189.5</v>
      </c>
      <c r="G67" s="5">
        <v>100</v>
      </c>
      <c r="H67" s="8">
        <v>1275</v>
      </c>
    </row>
    <row r="68" spans="2:8" x14ac:dyDescent="0.3">
      <c r="B68" s="43">
        <v>41416</v>
      </c>
      <c r="C68" s="20" t="s">
        <v>9</v>
      </c>
      <c r="D68" s="2" t="s">
        <v>41</v>
      </c>
      <c r="E68" s="5">
        <v>13088</v>
      </c>
      <c r="F68" s="5">
        <v>13030</v>
      </c>
      <c r="G68" s="5">
        <v>50</v>
      </c>
      <c r="H68" s="8">
        <v>-2900</v>
      </c>
    </row>
    <row r="69" spans="2:8" x14ac:dyDescent="0.3">
      <c r="B69" s="43">
        <v>41417</v>
      </c>
      <c r="C69" s="20" t="s">
        <v>8</v>
      </c>
      <c r="D69" s="2" t="s">
        <v>39</v>
      </c>
      <c r="E69" s="5">
        <v>6042</v>
      </c>
      <c r="F69" s="5">
        <v>5958</v>
      </c>
      <c r="G69" s="5">
        <v>100</v>
      </c>
      <c r="H69" s="22">
        <v>6600</v>
      </c>
    </row>
    <row r="70" spans="2:8" x14ac:dyDescent="0.3">
      <c r="B70" s="43">
        <v>41418</v>
      </c>
      <c r="C70" s="20" t="s">
        <v>9</v>
      </c>
      <c r="D70" s="2" t="s">
        <v>41</v>
      </c>
      <c r="E70" s="5">
        <v>12550</v>
      </c>
      <c r="F70" s="5">
        <v>12622</v>
      </c>
      <c r="G70" s="5">
        <v>50</v>
      </c>
      <c r="H70" s="8">
        <v>3600</v>
      </c>
    </row>
    <row r="71" spans="2:8" x14ac:dyDescent="0.3">
      <c r="B71" s="43">
        <v>41421</v>
      </c>
      <c r="C71" s="20" t="s">
        <v>9</v>
      </c>
      <c r="D71" s="2" t="s">
        <v>39</v>
      </c>
      <c r="E71" s="5">
        <v>6010</v>
      </c>
      <c r="F71" s="5">
        <v>6028</v>
      </c>
      <c r="G71" s="5">
        <v>100</v>
      </c>
      <c r="H71" s="8">
        <v>900</v>
      </c>
    </row>
    <row r="72" spans="2:8" x14ac:dyDescent="0.3">
      <c r="B72" s="43">
        <v>41422</v>
      </c>
      <c r="C72" s="20" t="s">
        <v>9</v>
      </c>
      <c r="D72" s="2" t="s">
        <v>41</v>
      </c>
      <c r="E72" s="5">
        <v>12910</v>
      </c>
      <c r="F72" s="3">
        <v>12955</v>
      </c>
      <c r="G72" s="5">
        <v>50</v>
      </c>
      <c r="H72" s="8">
        <v>1125</v>
      </c>
    </row>
    <row r="73" spans="2:8" x14ac:dyDescent="0.3">
      <c r="B73" s="43">
        <v>41423</v>
      </c>
      <c r="C73" s="20" t="s">
        <v>9</v>
      </c>
      <c r="D73" s="2" t="s">
        <v>40</v>
      </c>
      <c r="E73" s="5">
        <v>12775</v>
      </c>
      <c r="F73" s="3">
        <v>12808.5</v>
      </c>
      <c r="G73" s="5">
        <v>50</v>
      </c>
      <c r="H73" s="8">
        <v>837.5</v>
      </c>
    </row>
    <row r="74" spans="2:8" x14ac:dyDescent="0.3">
      <c r="B74" s="43">
        <v>41424</v>
      </c>
      <c r="C74" s="20" t="s">
        <v>9</v>
      </c>
      <c r="D74" s="2" t="s">
        <v>41</v>
      </c>
      <c r="E74" s="5">
        <v>12790</v>
      </c>
      <c r="F74" s="3">
        <v>12840</v>
      </c>
      <c r="G74" s="5">
        <v>50</v>
      </c>
      <c r="H74" s="8">
        <v>1250</v>
      </c>
    </row>
    <row r="75" spans="2:8" x14ac:dyDescent="0.3">
      <c r="B75" s="43">
        <v>41425</v>
      </c>
      <c r="C75" s="20" t="s">
        <v>9</v>
      </c>
      <c r="D75" s="2" t="s">
        <v>41</v>
      </c>
      <c r="E75" s="5">
        <v>12725</v>
      </c>
      <c r="F75" s="3">
        <v>12738</v>
      </c>
      <c r="G75" s="5">
        <v>50</v>
      </c>
      <c r="H75" s="8">
        <v>650</v>
      </c>
    </row>
    <row r="76" spans="2:8" x14ac:dyDescent="0.3">
      <c r="H76" s="21">
        <v>50648</v>
      </c>
    </row>
    <row r="78" spans="2:8" ht="15.6" x14ac:dyDescent="0.3">
      <c r="B78" s="48" t="s">
        <v>64</v>
      </c>
      <c r="C78" s="54"/>
      <c r="D78" s="48"/>
      <c r="E78" s="48"/>
      <c r="F78" s="48"/>
      <c r="G78" s="48"/>
      <c r="H78" s="48"/>
    </row>
    <row r="79" spans="2:8" x14ac:dyDescent="0.3">
      <c r="B79" s="58">
        <v>41396</v>
      </c>
      <c r="C79" s="20" t="s">
        <v>65</v>
      </c>
      <c r="D79" s="3" t="s">
        <v>66</v>
      </c>
      <c r="E79" s="8">
        <v>130</v>
      </c>
      <c r="F79" s="6">
        <v>170</v>
      </c>
      <c r="G79" s="8">
        <v>200</v>
      </c>
      <c r="H79" s="24">
        <v>6000</v>
      </c>
    </row>
    <row r="80" spans="2:8" x14ac:dyDescent="0.3">
      <c r="B80" s="58">
        <v>41397</v>
      </c>
      <c r="C80" s="20" t="s">
        <v>65</v>
      </c>
      <c r="D80" s="3" t="s">
        <v>66</v>
      </c>
      <c r="E80" s="8">
        <v>122</v>
      </c>
      <c r="F80" s="6">
        <v>141.25</v>
      </c>
      <c r="G80" s="8">
        <v>200</v>
      </c>
      <c r="H80" s="24">
        <v>3850</v>
      </c>
    </row>
    <row r="81" spans="2:8" x14ac:dyDescent="0.3">
      <c r="B81" s="58">
        <v>41400</v>
      </c>
      <c r="C81" s="20" t="s">
        <v>65</v>
      </c>
      <c r="D81" s="3" t="s">
        <v>66</v>
      </c>
      <c r="E81" s="8">
        <v>115</v>
      </c>
      <c r="F81" s="8">
        <v>126</v>
      </c>
      <c r="G81" s="8">
        <v>200</v>
      </c>
      <c r="H81" s="24">
        <v>1100</v>
      </c>
    </row>
    <row r="82" spans="2:8" x14ac:dyDescent="0.3">
      <c r="B82" s="58">
        <v>41401</v>
      </c>
      <c r="C82" s="20" t="s">
        <v>65</v>
      </c>
      <c r="D82" s="3" t="s">
        <v>67</v>
      </c>
      <c r="E82" s="8">
        <v>90</v>
      </c>
      <c r="F82" s="8">
        <v>118</v>
      </c>
      <c r="G82" s="8">
        <v>200</v>
      </c>
      <c r="H82" s="24">
        <v>5600</v>
      </c>
    </row>
    <row r="83" spans="2:8" x14ac:dyDescent="0.3">
      <c r="B83" s="58">
        <v>41402</v>
      </c>
      <c r="C83" s="20" t="s">
        <v>65</v>
      </c>
      <c r="D83" s="3" t="s">
        <v>67</v>
      </c>
      <c r="E83" s="8">
        <v>127</v>
      </c>
      <c r="F83" s="8">
        <v>137</v>
      </c>
      <c r="G83" s="8">
        <v>200</v>
      </c>
      <c r="H83" s="24">
        <v>1000</v>
      </c>
    </row>
    <row r="84" spans="2:8" x14ac:dyDescent="0.3">
      <c r="B84" s="58">
        <v>41403</v>
      </c>
      <c r="C84" s="20" t="s">
        <v>65</v>
      </c>
      <c r="D84" s="3" t="s">
        <v>67</v>
      </c>
      <c r="E84" s="2">
        <v>128</v>
      </c>
      <c r="F84" s="5">
        <v>139</v>
      </c>
      <c r="G84" s="5">
        <v>200</v>
      </c>
      <c r="H84" s="24">
        <v>1100</v>
      </c>
    </row>
    <row r="85" spans="2:8" x14ac:dyDescent="0.3">
      <c r="B85" s="58">
        <v>41404</v>
      </c>
      <c r="C85" s="20" t="s">
        <v>65</v>
      </c>
      <c r="D85" s="3" t="s">
        <v>67</v>
      </c>
      <c r="E85" s="2">
        <v>123</v>
      </c>
      <c r="F85" s="3">
        <v>131.75</v>
      </c>
      <c r="G85" s="5">
        <v>200</v>
      </c>
      <c r="H85" s="24">
        <v>875</v>
      </c>
    </row>
    <row r="86" spans="2:8" x14ac:dyDescent="0.3">
      <c r="B86" s="58">
        <v>41407</v>
      </c>
      <c r="C86" s="20" t="s">
        <v>65</v>
      </c>
      <c r="D86" s="3" t="s">
        <v>68</v>
      </c>
      <c r="E86" s="2">
        <v>71.5</v>
      </c>
      <c r="F86" s="5">
        <v>52</v>
      </c>
      <c r="G86" s="5">
        <v>200</v>
      </c>
      <c r="H86" s="24">
        <v>-3900</v>
      </c>
    </row>
    <row r="87" spans="2:8" x14ac:dyDescent="0.3">
      <c r="B87" s="58">
        <v>41408</v>
      </c>
      <c r="C87" s="20" t="s">
        <v>65</v>
      </c>
      <c r="D87" s="3" t="s">
        <v>67</v>
      </c>
      <c r="E87" s="2">
        <v>74</v>
      </c>
      <c r="F87" s="5">
        <v>92</v>
      </c>
      <c r="G87" s="8">
        <v>200</v>
      </c>
      <c r="H87" s="24">
        <v>3600</v>
      </c>
    </row>
    <row r="88" spans="2:8" x14ac:dyDescent="0.3">
      <c r="B88" s="58">
        <v>41409</v>
      </c>
      <c r="C88" s="20" t="s">
        <v>65</v>
      </c>
      <c r="D88" s="3" t="s">
        <v>67</v>
      </c>
      <c r="E88" s="2">
        <v>117</v>
      </c>
      <c r="F88" s="5">
        <v>164</v>
      </c>
      <c r="G88" s="8">
        <v>200</v>
      </c>
      <c r="H88" s="24">
        <v>6950</v>
      </c>
    </row>
    <row r="89" spans="2:8" x14ac:dyDescent="0.3">
      <c r="B89" s="58">
        <v>41410</v>
      </c>
      <c r="C89" s="20" t="s">
        <v>65</v>
      </c>
      <c r="D89" s="3" t="s">
        <v>68</v>
      </c>
      <c r="E89" s="2">
        <v>135.5</v>
      </c>
      <c r="F89" s="5">
        <v>138</v>
      </c>
      <c r="G89" s="8">
        <v>200</v>
      </c>
      <c r="H89" s="24">
        <v>500</v>
      </c>
    </row>
    <row r="90" spans="2:8" x14ac:dyDescent="0.3">
      <c r="B90" s="58">
        <v>41411</v>
      </c>
      <c r="C90" s="20" t="s">
        <v>65</v>
      </c>
      <c r="D90" s="3" t="s">
        <v>68</v>
      </c>
      <c r="E90" s="2">
        <v>110</v>
      </c>
      <c r="F90" s="5">
        <v>118.5</v>
      </c>
      <c r="G90" s="8">
        <v>200</v>
      </c>
      <c r="H90" s="24">
        <v>850</v>
      </c>
    </row>
    <row r="91" spans="2:8" x14ac:dyDescent="0.3">
      <c r="B91" s="58">
        <v>41414</v>
      </c>
      <c r="C91" s="20" t="s">
        <v>65</v>
      </c>
      <c r="D91" s="3" t="s">
        <v>68</v>
      </c>
      <c r="E91" s="2">
        <v>152.5</v>
      </c>
      <c r="F91" s="5">
        <v>133</v>
      </c>
      <c r="G91" s="8">
        <v>200</v>
      </c>
      <c r="H91" s="24">
        <v>-3900</v>
      </c>
    </row>
    <row r="92" spans="2:8" x14ac:dyDescent="0.3">
      <c r="B92" s="58">
        <v>41415</v>
      </c>
      <c r="C92" s="20" t="s">
        <v>65</v>
      </c>
      <c r="D92" s="3" t="s">
        <v>68</v>
      </c>
      <c r="E92" s="2">
        <v>109</v>
      </c>
      <c r="F92" s="5">
        <v>89</v>
      </c>
      <c r="G92" s="8">
        <v>200</v>
      </c>
      <c r="H92" s="24">
        <v>-4000</v>
      </c>
    </row>
    <row r="93" spans="2:8" x14ac:dyDescent="0.3">
      <c r="B93" s="58">
        <v>41416</v>
      </c>
      <c r="C93" s="20" t="s">
        <v>65</v>
      </c>
      <c r="D93" s="3" t="s">
        <v>68</v>
      </c>
      <c r="E93" s="2">
        <v>82.5</v>
      </c>
      <c r="F93" s="2">
        <v>85</v>
      </c>
      <c r="G93" s="8">
        <v>200</v>
      </c>
      <c r="H93" s="24">
        <v>500</v>
      </c>
    </row>
    <row r="94" spans="2:8" x14ac:dyDescent="0.3">
      <c r="B94" s="58">
        <v>41417</v>
      </c>
      <c r="C94" s="20" t="s">
        <v>69</v>
      </c>
      <c r="D94" s="3" t="s">
        <v>70</v>
      </c>
      <c r="E94" s="2">
        <v>160</v>
      </c>
      <c r="F94" s="2">
        <v>210</v>
      </c>
      <c r="G94" s="8">
        <v>200</v>
      </c>
      <c r="H94" s="24">
        <v>6950</v>
      </c>
    </row>
    <row r="95" spans="2:8" x14ac:dyDescent="0.3">
      <c r="B95" s="58">
        <v>41418</v>
      </c>
      <c r="C95" s="20" t="s">
        <v>65</v>
      </c>
      <c r="D95" s="3" t="s">
        <v>66</v>
      </c>
      <c r="E95" s="2">
        <v>80</v>
      </c>
      <c r="F95" s="2">
        <v>104.5</v>
      </c>
      <c r="G95" s="8">
        <v>200</v>
      </c>
      <c r="H95" s="24">
        <v>3300</v>
      </c>
    </row>
    <row r="96" spans="2:8" x14ac:dyDescent="0.3">
      <c r="B96" s="58">
        <v>41421</v>
      </c>
      <c r="C96" s="20" t="s">
        <v>65</v>
      </c>
      <c r="D96" s="3" t="s">
        <v>66</v>
      </c>
      <c r="E96" s="2">
        <v>125</v>
      </c>
      <c r="F96" s="2">
        <v>135.6</v>
      </c>
      <c r="G96" s="8">
        <v>200</v>
      </c>
      <c r="H96" s="24">
        <v>1059.9999999999995</v>
      </c>
    </row>
    <row r="97" spans="2:8" x14ac:dyDescent="0.3">
      <c r="B97" s="58">
        <v>41422</v>
      </c>
      <c r="C97" s="20" t="s">
        <v>65</v>
      </c>
      <c r="D97" s="3" t="s">
        <v>71</v>
      </c>
      <c r="E97" s="2">
        <v>109</v>
      </c>
      <c r="F97" s="2">
        <v>123.5</v>
      </c>
      <c r="G97" s="8">
        <v>200</v>
      </c>
      <c r="H97" s="24">
        <v>1450</v>
      </c>
    </row>
    <row r="98" spans="2:8" x14ac:dyDescent="0.3">
      <c r="B98" s="58">
        <v>41423</v>
      </c>
      <c r="C98" s="20" t="s">
        <v>65</v>
      </c>
      <c r="D98" s="3" t="s">
        <v>71</v>
      </c>
      <c r="E98" s="2">
        <v>111</v>
      </c>
      <c r="F98" s="2">
        <v>113.45</v>
      </c>
      <c r="G98" s="8">
        <v>200</v>
      </c>
      <c r="H98" s="24">
        <v>490.00000000000057</v>
      </c>
    </row>
    <row r="99" spans="2:8" x14ac:dyDescent="0.3">
      <c r="B99" s="58">
        <v>41424</v>
      </c>
      <c r="C99" s="20" t="s">
        <v>65</v>
      </c>
      <c r="D99" s="3" t="s">
        <v>71</v>
      </c>
      <c r="E99" s="2">
        <v>110</v>
      </c>
      <c r="F99" s="2">
        <v>118.65</v>
      </c>
      <c r="G99" s="8">
        <v>200</v>
      </c>
      <c r="H99" s="24">
        <v>865.00000000000057</v>
      </c>
    </row>
    <row r="100" spans="2:8" x14ac:dyDescent="0.3">
      <c r="B100" s="58">
        <v>41425</v>
      </c>
      <c r="C100" s="20" t="s">
        <v>65</v>
      </c>
      <c r="D100" s="3" t="s">
        <v>72</v>
      </c>
      <c r="E100" s="2">
        <v>87</v>
      </c>
      <c r="F100" s="5">
        <v>67</v>
      </c>
      <c r="G100" s="8">
        <v>200</v>
      </c>
      <c r="H100" s="24">
        <v>-4000</v>
      </c>
    </row>
    <row r="101" spans="2:8" x14ac:dyDescent="0.3">
      <c r="B101" s="17"/>
      <c r="C101" s="25"/>
      <c r="D101" s="25"/>
      <c r="E101" s="25"/>
      <c r="F101" s="25"/>
      <c r="G101" s="25"/>
      <c r="H101" s="26">
        <v>30240</v>
      </c>
    </row>
  </sheetData>
  <mergeCells count="3">
    <mergeCell ref="B1:H1"/>
    <mergeCell ref="B2:H2"/>
    <mergeCell ref="B3:H3"/>
  </mergeCells>
  <hyperlinks>
    <hyperlink ref="J2" location="'MASTER '!A1" display="Back" xr:uid="{00000000-0004-0000-0100-000000000000}"/>
  </hyperlinks>
  <pageMargins left="0.7" right="0.7" top="0.75" bottom="0.75" header="0.3" footer="0.3"/>
  <pageSetup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17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538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41946</v>
      </c>
      <c r="C6" s="2" t="s">
        <v>8</v>
      </c>
      <c r="D6" s="2" t="s">
        <v>107</v>
      </c>
      <c r="E6" s="41" t="s">
        <v>539</v>
      </c>
      <c r="F6" s="40" t="s">
        <v>540</v>
      </c>
      <c r="G6" s="5">
        <v>116</v>
      </c>
      <c r="H6" s="41" t="s">
        <v>547</v>
      </c>
      <c r="K6" s="16"/>
    </row>
    <row r="7" spans="1:14" x14ac:dyDescent="0.3">
      <c r="B7" s="43">
        <v>41948</v>
      </c>
      <c r="C7" s="2" t="s">
        <v>8</v>
      </c>
      <c r="D7" s="28" t="s">
        <v>34</v>
      </c>
      <c r="E7" s="30">
        <v>283</v>
      </c>
      <c r="F7" s="30">
        <v>277</v>
      </c>
      <c r="G7" s="30">
        <v>1060</v>
      </c>
      <c r="H7" s="41" t="s">
        <v>548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41950</v>
      </c>
      <c r="C8" s="2" t="s">
        <v>8</v>
      </c>
      <c r="D8" s="28" t="s">
        <v>115</v>
      </c>
      <c r="E8" s="30">
        <v>344.5</v>
      </c>
      <c r="F8" s="30">
        <v>342</v>
      </c>
      <c r="G8" s="30">
        <v>870</v>
      </c>
      <c r="H8" s="30">
        <v>2175</v>
      </c>
      <c r="J8" s="16" t="s">
        <v>449</v>
      </c>
      <c r="K8" s="30">
        <v>18</v>
      </c>
      <c r="L8" s="30">
        <v>16</v>
      </c>
      <c r="M8" s="30">
        <v>1</v>
      </c>
      <c r="N8" s="30">
        <v>1</v>
      </c>
    </row>
    <row r="9" spans="1:14" x14ac:dyDescent="0.3">
      <c r="B9" s="43">
        <v>41953</v>
      </c>
      <c r="C9" s="2" t="s">
        <v>8</v>
      </c>
      <c r="D9" s="28" t="s">
        <v>19</v>
      </c>
      <c r="E9" s="30">
        <v>2748</v>
      </c>
      <c r="F9" s="30">
        <v>2735</v>
      </c>
      <c r="G9" s="30">
        <v>109</v>
      </c>
      <c r="H9" s="30">
        <v>1417</v>
      </c>
      <c r="J9" s="16" t="s">
        <v>450</v>
      </c>
      <c r="K9" s="30">
        <v>18</v>
      </c>
      <c r="L9" s="30">
        <v>12</v>
      </c>
      <c r="M9" s="30">
        <v>5</v>
      </c>
      <c r="N9" s="30">
        <v>1</v>
      </c>
    </row>
    <row r="10" spans="1:14" x14ac:dyDescent="0.3">
      <c r="B10" s="43">
        <v>41954</v>
      </c>
      <c r="C10" s="30" t="s">
        <v>8</v>
      </c>
      <c r="D10" s="30" t="s">
        <v>163</v>
      </c>
      <c r="E10" s="30">
        <v>195.5</v>
      </c>
      <c r="F10" s="30">
        <v>198</v>
      </c>
      <c r="G10" s="30">
        <v>1534</v>
      </c>
      <c r="H10" s="30">
        <v>-3835</v>
      </c>
      <c r="J10" s="16" t="s">
        <v>451</v>
      </c>
      <c r="K10" s="30">
        <v>18</v>
      </c>
      <c r="L10" s="30">
        <v>14</v>
      </c>
      <c r="M10" s="30">
        <v>4</v>
      </c>
      <c r="N10" s="30">
        <v>0</v>
      </c>
    </row>
    <row r="11" spans="1:14" x14ac:dyDescent="0.3">
      <c r="B11" s="43">
        <v>41955</v>
      </c>
      <c r="C11" s="2" t="s">
        <v>8</v>
      </c>
      <c r="D11" s="28" t="s">
        <v>29</v>
      </c>
      <c r="E11" s="30">
        <v>1603</v>
      </c>
      <c r="F11" s="30">
        <v>1596</v>
      </c>
      <c r="G11" s="30">
        <v>187</v>
      </c>
      <c r="H11" s="30">
        <v>1496</v>
      </c>
      <c r="J11" s="16" t="s">
        <v>452</v>
      </c>
      <c r="K11" s="30">
        <v>18</v>
      </c>
      <c r="L11" s="30">
        <v>12</v>
      </c>
      <c r="M11" s="30">
        <v>4</v>
      </c>
      <c r="N11" s="30">
        <v>2</v>
      </c>
    </row>
    <row r="12" spans="1:14" x14ac:dyDescent="0.3">
      <c r="B12" s="43">
        <v>41956</v>
      </c>
      <c r="C12" s="2" t="s">
        <v>8</v>
      </c>
      <c r="D12" s="28" t="s">
        <v>275</v>
      </c>
      <c r="E12" s="30">
        <v>741</v>
      </c>
      <c r="F12" s="30">
        <v>727</v>
      </c>
      <c r="G12" s="30">
        <v>404</v>
      </c>
      <c r="H12" s="30">
        <v>5656</v>
      </c>
      <c r="J12" s="16"/>
      <c r="K12" s="21">
        <v>72</v>
      </c>
      <c r="L12" s="21">
        <v>54</v>
      </c>
      <c r="M12" s="21">
        <v>14</v>
      </c>
      <c r="N12" s="21">
        <v>4</v>
      </c>
    </row>
    <row r="13" spans="1:14" x14ac:dyDescent="0.3">
      <c r="B13" s="43">
        <v>41957</v>
      </c>
      <c r="C13" s="2" t="s">
        <v>8</v>
      </c>
      <c r="D13" s="28" t="s">
        <v>190</v>
      </c>
      <c r="E13" s="30">
        <v>666</v>
      </c>
      <c r="F13" s="30">
        <v>654</v>
      </c>
      <c r="G13" s="30">
        <v>450</v>
      </c>
      <c r="H13" s="30">
        <v>5400</v>
      </c>
      <c r="K13" s="16"/>
    </row>
    <row r="14" spans="1:14" x14ac:dyDescent="0.3">
      <c r="B14" s="43">
        <v>41960</v>
      </c>
      <c r="C14" s="2" t="s">
        <v>8</v>
      </c>
      <c r="D14" s="28" t="s">
        <v>109</v>
      </c>
      <c r="E14" s="30">
        <v>1245</v>
      </c>
      <c r="F14" s="30">
        <v>1235</v>
      </c>
      <c r="G14" s="30">
        <v>240</v>
      </c>
      <c r="H14" s="30">
        <v>2400</v>
      </c>
      <c r="K14" s="68" t="s">
        <v>520</v>
      </c>
      <c r="L14" s="69"/>
      <c r="M14" s="70"/>
    </row>
    <row r="15" spans="1:14" x14ac:dyDescent="0.3">
      <c r="B15" s="43">
        <v>41961</v>
      </c>
      <c r="C15" s="2" t="s">
        <v>8</v>
      </c>
      <c r="D15" s="28" t="s">
        <v>160</v>
      </c>
      <c r="E15" s="30">
        <v>612</v>
      </c>
      <c r="F15" s="30">
        <v>606</v>
      </c>
      <c r="G15" s="30">
        <v>490</v>
      </c>
      <c r="H15" s="30">
        <v>2940</v>
      </c>
      <c r="K15" s="16"/>
    </row>
    <row r="16" spans="1:14" x14ac:dyDescent="0.3">
      <c r="B16" s="43">
        <v>41962</v>
      </c>
      <c r="C16" s="2" t="s">
        <v>8</v>
      </c>
      <c r="D16" s="28" t="s">
        <v>552</v>
      </c>
      <c r="E16" s="30">
        <v>719</v>
      </c>
      <c r="F16" s="30">
        <v>713</v>
      </c>
      <c r="G16" s="30">
        <v>417</v>
      </c>
      <c r="H16" s="30">
        <v>2502</v>
      </c>
      <c r="K16" s="28"/>
      <c r="L16" s="30"/>
      <c r="M16" s="30"/>
      <c r="N16" s="30"/>
    </row>
    <row r="17" spans="2:14" x14ac:dyDescent="0.3">
      <c r="B17" s="43">
        <v>41963</v>
      </c>
      <c r="C17" s="2" t="s">
        <v>8</v>
      </c>
      <c r="D17" s="28" t="s">
        <v>109</v>
      </c>
      <c r="E17" s="30">
        <v>1235</v>
      </c>
      <c r="F17" s="30">
        <v>1225</v>
      </c>
      <c r="G17" s="30">
        <v>242</v>
      </c>
      <c r="H17" s="30">
        <v>2420</v>
      </c>
      <c r="K17" s="49"/>
      <c r="L17" s="30"/>
      <c r="M17" s="30"/>
      <c r="N17" s="30"/>
    </row>
    <row r="18" spans="2:14" x14ac:dyDescent="0.3">
      <c r="B18" s="43">
        <v>41964</v>
      </c>
      <c r="C18" s="2" t="s">
        <v>11</v>
      </c>
      <c r="D18" s="28" t="s">
        <v>19</v>
      </c>
      <c r="E18" s="30">
        <v>303</v>
      </c>
      <c r="F18" s="30">
        <v>307</v>
      </c>
      <c r="G18" s="30">
        <v>990</v>
      </c>
      <c r="H18" s="30">
        <v>3960</v>
      </c>
      <c r="K18" s="49"/>
      <c r="L18" s="30"/>
      <c r="M18" s="30"/>
      <c r="N18" s="30"/>
    </row>
    <row r="19" spans="2:14" x14ac:dyDescent="0.3">
      <c r="B19" s="43">
        <v>41967</v>
      </c>
      <c r="C19" s="30" t="s">
        <v>8</v>
      </c>
      <c r="D19" s="30" t="s">
        <v>137</v>
      </c>
      <c r="E19" s="30">
        <v>748</v>
      </c>
      <c r="F19" s="30">
        <v>750</v>
      </c>
      <c r="G19" s="30">
        <v>401</v>
      </c>
      <c r="H19" s="30">
        <v>-802</v>
      </c>
      <c r="K19" s="49"/>
      <c r="L19" s="30"/>
      <c r="M19" s="30"/>
      <c r="N19" s="30"/>
    </row>
    <row r="20" spans="2:14" x14ac:dyDescent="0.3">
      <c r="B20" s="43">
        <v>41968</v>
      </c>
      <c r="C20" s="28" t="s">
        <v>8</v>
      </c>
      <c r="D20" s="28" t="s">
        <v>19</v>
      </c>
      <c r="E20" s="30">
        <v>307</v>
      </c>
      <c r="F20" s="30">
        <v>302.5</v>
      </c>
      <c r="G20" s="30">
        <v>977</v>
      </c>
      <c r="H20" s="30">
        <v>4397</v>
      </c>
      <c r="K20" s="49"/>
      <c r="L20" s="30"/>
      <c r="M20" s="30"/>
      <c r="N20" s="30"/>
    </row>
    <row r="21" spans="2:14" x14ac:dyDescent="0.3">
      <c r="B21" s="43">
        <v>41969</v>
      </c>
      <c r="C21" s="28" t="s">
        <v>8</v>
      </c>
      <c r="D21" s="30" t="s">
        <v>190</v>
      </c>
      <c r="E21" s="30">
        <v>615</v>
      </c>
      <c r="F21" s="30">
        <v>612</v>
      </c>
      <c r="G21" s="30">
        <v>487</v>
      </c>
      <c r="H21" s="30">
        <v>1461</v>
      </c>
      <c r="K21" s="16"/>
    </row>
    <row r="22" spans="2:14" x14ac:dyDescent="0.3">
      <c r="B22" s="43">
        <v>41970</v>
      </c>
      <c r="C22" s="28" t="s">
        <v>8</v>
      </c>
      <c r="D22" s="28" t="s">
        <v>550</v>
      </c>
      <c r="E22" s="49" t="s">
        <v>555</v>
      </c>
      <c r="F22" s="49" t="s">
        <v>556</v>
      </c>
      <c r="G22" s="49" t="s">
        <v>557</v>
      </c>
      <c r="H22" s="74" t="s">
        <v>558</v>
      </c>
      <c r="K22" s="16"/>
    </row>
    <row r="23" spans="2:14" x14ac:dyDescent="0.3">
      <c r="B23" s="43">
        <v>41971</v>
      </c>
      <c r="C23" s="28" t="s">
        <v>8</v>
      </c>
      <c r="D23" s="28" t="s">
        <v>34</v>
      </c>
      <c r="E23" s="49" t="s">
        <v>560</v>
      </c>
      <c r="F23" s="49" t="s">
        <v>561</v>
      </c>
      <c r="G23" s="49" t="s">
        <v>559</v>
      </c>
      <c r="H23" s="74" t="s">
        <v>562</v>
      </c>
      <c r="K23" s="16"/>
    </row>
    <row r="24" spans="2:14" ht="18" x14ac:dyDescent="0.35">
      <c r="B24" s="43"/>
      <c r="C24" s="28"/>
      <c r="D24" s="28"/>
      <c r="E24" s="49"/>
      <c r="F24" s="49"/>
      <c r="G24" s="49"/>
      <c r="H24" s="76" t="s">
        <v>566</v>
      </c>
      <c r="K24" s="16"/>
    </row>
    <row r="25" spans="2:14" ht="15.6" x14ac:dyDescent="0.3">
      <c r="B25" s="43"/>
      <c r="C25" s="28"/>
      <c r="D25" s="28"/>
      <c r="E25" s="49"/>
      <c r="F25" s="49"/>
      <c r="G25" s="49"/>
      <c r="H25" s="62"/>
    </row>
    <row r="26" spans="2:14" ht="15.6" x14ac:dyDescent="0.3">
      <c r="B26" s="43"/>
      <c r="C26" s="28"/>
      <c r="D26" s="28"/>
      <c r="E26" s="28"/>
      <c r="F26" s="28"/>
      <c r="G26" s="28"/>
      <c r="H26" s="34"/>
    </row>
    <row r="27" spans="2:14" ht="15.6" x14ac:dyDescent="0.3">
      <c r="C27" s="28"/>
      <c r="D27" s="28"/>
      <c r="E27" s="28"/>
      <c r="F27" s="28"/>
      <c r="G27" s="28"/>
      <c r="H27" s="34"/>
    </row>
    <row r="29" spans="2:14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4" x14ac:dyDescent="0.3">
      <c r="B30" s="43">
        <v>41946</v>
      </c>
      <c r="C30" s="2" t="s">
        <v>8</v>
      </c>
      <c r="D30" s="2" t="s">
        <v>98</v>
      </c>
      <c r="E30" s="41" t="s">
        <v>541</v>
      </c>
      <c r="F30" s="40" t="s">
        <v>542</v>
      </c>
      <c r="G30" s="5">
        <v>125</v>
      </c>
      <c r="H30" s="40" t="s">
        <v>546</v>
      </c>
    </row>
    <row r="31" spans="2:14" x14ac:dyDescent="0.3">
      <c r="B31" s="43">
        <v>41948</v>
      </c>
      <c r="C31" s="30" t="s">
        <v>8</v>
      </c>
      <c r="D31" s="30" t="s">
        <v>115</v>
      </c>
      <c r="E31" s="30">
        <v>355</v>
      </c>
      <c r="F31" s="30">
        <v>347</v>
      </c>
      <c r="G31" s="30">
        <v>1000</v>
      </c>
      <c r="H31" s="30">
        <v>8000</v>
      </c>
    </row>
    <row r="32" spans="2:14" x14ac:dyDescent="0.3">
      <c r="B32" s="43">
        <v>41950</v>
      </c>
      <c r="C32" s="30" t="s">
        <v>8</v>
      </c>
      <c r="D32" s="30" t="s">
        <v>109</v>
      </c>
      <c r="E32" s="30">
        <v>1245</v>
      </c>
      <c r="F32" s="30">
        <v>1240</v>
      </c>
      <c r="G32" s="30">
        <v>250</v>
      </c>
      <c r="H32" s="30">
        <v>1000</v>
      </c>
    </row>
    <row r="33" spans="2:8" x14ac:dyDescent="0.3">
      <c r="B33" s="43">
        <v>41953</v>
      </c>
      <c r="C33" s="30" t="s">
        <v>8</v>
      </c>
      <c r="D33" s="30" t="s">
        <v>25</v>
      </c>
      <c r="E33" s="30">
        <v>470</v>
      </c>
      <c r="F33" s="30">
        <v>465</v>
      </c>
      <c r="G33" s="30">
        <v>1000</v>
      </c>
      <c r="H33" s="30">
        <v>5000</v>
      </c>
    </row>
    <row r="34" spans="2:8" x14ac:dyDescent="0.3">
      <c r="B34" s="43">
        <v>41954</v>
      </c>
      <c r="C34" s="30" t="s">
        <v>8</v>
      </c>
      <c r="D34" s="30" t="s">
        <v>549</v>
      </c>
      <c r="E34" s="30">
        <v>255</v>
      </c>
      <c r="F34" s="30">
        <v>252</v>
      </c>
      <c r="G34" s="30">
        <v>1000</v>
      </c>
      <c r="H34" s="30">
        <v>-3000</v>
      </c>
    </row>
    <row r="35" spans="2:8" x14ac:dyDescent="0.3">
      <c r="B35" s="43">
        <v>41955</v>
      </c>
      <c r="C35" s="30" t="s">
        <v>8</v>
      </c>
      <c r="D35" s="30" t="s">
        <v>550</v>
      </c>
      <c r="E35" s="30">
        <v>153</v>
      </c>
      <c r="F35" s="30">
        <v>151</v>
      </c>
      <c r="G35" s="30">
        <v>1000</v>
      </c>
      <c r="H35" s="30">
        <v>2000</v>
      </c>
    </row>
    <row r="36" spans="2:8" x14ac:dyDescent="0.3">
      <c r="B36" s="43">
        <v>41956</v>
      </c>
      <c r="C36" s="30" t="s">
        <v>8</v>
      </c>
      <c r="D36" s="30" t="s">
        <v>34</v>
      </c>
      <c r="E36" s="30">
        <v>269</v>
      </c>
      <c r="F36" s="30">
        <v>264</v>
      </c>
      <c r="G36" s="30">
        <v>1000</v>
      </c>
      <c r="H36" s="30">
        <v>5000</v>
      </c>
    </row>
    <row r="37" spans="2:8" x14ac:dyDescent="0.3">
      <c r="B37" s="43">
        <v>41957</v>
      </c>
      <c r="C37" s="30" t="s">
        <v>8</v>
      </c>
      <c r="D37" s="30" t="s">
        <v>160</v>
      </c>
      <c r="E37" s="30">
        <v>613</v>
      </c>
      <c r="F37" s="30">
        <v>609</v>
      </c>
      <c r="G37" s="30">
        <v>500</v>
      </c>
      <c r="H37" s="30">
        <v>2000</v>
      </c>
    </row>
    <row r="38" spans="2:8" x14ac:dyDescent="0.3">
      <c r="B38" s="43">
        <v>41960</v>
      </c>
      <c r="C38" s="30" t="s">
        <v>8</v>
      </c>
      <c r="D38" s="30" t="s">
        <v>190</v>
      </c>
      <c r="E38" s="30">
        <v>646</v>
      </c>
      <c r="F38" s="30">
        <v>640</v>
      </c>
      <c r="G38" s="30">
        <v>500</v>
      </c>
      <c r="H38" s="30">
        <v>3000</v>
      </c>
    </row>
    <row r="39" spans="2:8" x14ac:dyDescent="0.3">
      <c r="B39" s="43">
        <v>41961</v>
      </c>
      <c r="C39" s="30" t="s">
        <v>8</v>
      </c>
      <c r="D39" s="30" t="s">
        <v>137</v>
      </c>
      <c r="E39" s="30">
        <v>752</v>
      </c>
      <c r="F39" s="30">
        <v>753</v>
      </c>
      <c r="G39" s="30">
        <v>500</v>
      </c>
      <c r="H39" s="30">
        <v>-500</v>
      </c>
    </row>
    <row r="40" spans="2:8" x14ac:dyDescent="0.3">
      <c r="B40" s="43">
        <v>41962</v>
      </c>
      <c r="C40" s="30" t="s">
        <v>8</v>
      </c>
      <c r="D40" s="30" t="s">
        <v>190</v>
      </c>
      <c r="E40" s="30">
        <v>620</v>
      </c>
      <c r="F40" s="30">
        <v>604</v>
      </c>
      <c r="G40" s="30">
        <v>500</v>
      </c>
      <c r="H40" s="30">
        <v>8000</v>
      </c>
    </row>
    <row r="41" spans="2:8" x14ac:dyDescent="0.3">
      <c r="B41" s="43">
        <v>41963</v>
      </c>
      <c r="C41" s="30" t="s">
        <v>8</v>
      </c>
      <c r="D41" s="30" t="s">
        <v>190</v>
      </c>
      <c r="E41" s="30">
        <v>594</v>
      </c>
      <c r="F41" s="30">
        <v>600</v>
      </c>
      <c r="G41" s="30">
        <v>500</v>
      </c>
      <c r="H41" s="30">
        <v>-3000</v>
      </c>
    </row>
    <row r="42" spans="2:8" x14ac:dyDescent="0.3">
      <c r="B42" s="43">
        <v>41964</v>
      </c>
      <c r="C42" s="30" t="s">
        <v>8</v>
      </c>
      <c r="D42" s="30" t="s">
        <v>553</v>
      </c>
      <c r="E42" s="30">
        <v>346</v>
      </c>
      <c r="F42" s="30">
        <v>347</v>
      </c>
      <c r="G42" s="30">
        <v>1000</v>
      </c>
      <c r="H42" s="30">
        <v>-1000</v>
      </c>
    </row>
    <row r="43" spans="2:8" x14ac:dyDescent="0.3">
      <c r="B43" s="43">
        <v>41967</v>
      </c>
      <c r="C43" s="30" t="s">
        <v>8</v>
      </c>
      <c r="D43" s="30" t="s">
        <v>85</v>
      </c>
      <c r="E43" s="30">
        <v>398</v>
      </c>
      <c r="F43" s="30">
        <v>401</v>
      </c>
      <c r="G43" s="30">
        <v>1000</v>
      </c>
      <c r="H43" s="30">
        <v>-3000</v>
      </c>
    </row>
    <row r="44" spans="2:8" x14ac:dyDescent="0.3">
      <c r="B44" s="43">
        <v>41968</v>
      </c>
      <c r="C44" s="30" t="s">
        <v>8</v>
      </c>
      <c r="D44" s="30" t="s">
        <v>139</v>
      </c>
      <c r="E44" s="30">
        <v>681</v>
      </c>
      <c r="F44" s="30">
        <v>676</v>
      </c>
      <c r="G44" s="30">
        <v>500</v>
      </c>
      <c r="H44" s="30">
        <v>2500</v>
      </c>
    </row>
    <row r="45" spans="2:8" x14ac:dyDescent="0.3">
      <c r="B45" s="43">
        <v>41969</v>
      </c>
      <c r="C45" s="30" t="s">
        <v>8</v>
      </c>
      <c r="D45" s="30" t="s">
        <v>25</v>
      </c>
      <c r="E45" s="30">
        <v>466</v>
      </c>
      <c r="F45" s="30">
        <v>462</v>
      </c>
      <c r="G45" s="30">
        <v>500</v>
      </c>
      <c r="H45" s="49" t="s">
        <v>311</v>
      </c>
    </row>
    <row r="46" spans="2:8" x14ac:dyDescent="0.3">
      <c r="B46" s="43">
        <v>41970</v>
      </c>
      <c r="C46" s="30" t="s">
        <v>9</v>
      </c>
      <c r="D46" s="30" t="s">
        <v>476</v>
      </c>
      <c r="E46" s="30">
        <v>428</v>
      </c>
      <c r="F46" s="30">
        <v>432</v>
      </c>
      <c r="G46" s="30">
        <v>1000</v>
      </c>
      <c r="H46" s="30">
        <v>4000</v>
      </c>
    </row>
    <row r="47" spans="2:8" x14ac:dyDescent="0.3">
      <c r="B47" s="43">
        <v>41971</v>
      </c>
      <c r="C47" s="30" t="s">
        <v>8</v>
      </c>
      <c r="D47" s="30" t="s">
        <v>433</v>
      </c>
      <c r="E47" s="30">
        <v>440</v>
      </c>
      <c r="F47" s="30">
        <v>436</v>
      </c>
      <c r="G47" s="30">
        <v>500</v>
      </c>
      <c r="H47" s="30">
        <v>2000</v>
      </c>
    </row>
    <row r="48" spans="2:8" ht="18" x14ac:dyDescent="0.35">
      <c r="B48" s="43"/>
      <c r="C48" s="30"/>
      <c r="D48" s="30"/>
      <c r="E48" s="30"/>
      <c r="F48" s="30"/>
      <c r="G48" s="30"/>
      <c r="H48" s="76" t="s">
        <v>567</v>
      </c>
    </row>
    <row r="49" spans="2:10" ht="18" x14ac:dyDescent="0.35">
      <c r="B49" s="43"/>
      <c r="C49" s="30"/>
      <c r="D49" s="30"/>
      <c r="E49" s="30"/>
      <c r="F49" s="30"/>
      <c r="G49" s="30"/>
      <c r="H49" s="76"/>
    </row>
    <row r="50" spans="2:10" ht="18" x14ac:dyDescent="0.35">
      <c r="B50" s="43"/>
      <c r="C50" s="30"/>
      <c r="D50" s="30"/>
      <c r="E50" s="30"/>
      <c r="F50" s="30"/>
      <c r="G50" s="30"/>
      <c r="H50" s="76"/>
    </row>
    <row r="51" spans="2:10" ht="15.6" x14ac:dyDescent="0.3">
      <c r="B51" s="43"/>
      <c r="C51" s="30"/>
      <c r="D51" s="30"/>
      <c r="E51" s="30"/>
      <c r="F51" s="30"/>
      <c r="G51" s="30"/>
      <c r="H51" s="33"/>
    </row>
    <row r="52" spans="2:10" ht="15.6" x14ac:dyDescent="0.3">
      <c r="B52" s="48" t="s">
        <v>63</v>
      </c>
      <c r="C52" s="48"/>
      <c r="D52" s="48"/>
      <c r="E52" s="48"/>
      <c r="F52" s="48"/>
      <c r="G52" s="48"/>
      <c r="H52" s="48"/>
    </row>
    <row r="53" spans="2:10" x14ac:dyDescent="0.3">
      <c r="B53" s="43">
        <v>41946</v>
      </c>
      <c r="C53" s="2" t="s">
        <v>8</v>
      </c>
      <c r="D53" s="2" t="s">
        <v>39</v>
      </c>
      <c r="E53" s="41" t="s">
        <v>543</v>
      </c>
      <c r="F53" s="40" t="s">
        <v>570</v>
      </c>
      <c r="G53" s="41" t="s">
        <v>217</v>
      </c>
      <c r="H53" s="41" t="s">
        <v>273</v>
      </c>
    </row>
    <row r="54" spans="2:10" x14ac:dyDescent="0.3">
      <c r="B54" s="43">
        <v>41948</v>
      </c>
      <c r="C54" s="30" t="s">
        <v>9</v>
      </c>
      <c r="D54" s="2" t="s">
        <v>306</v>
      </c>
      <c r="E54" s="30">
        <v>8390</v>
      </c>
      <c r="F54" s="30">
        <v>8410</v>
      </c>
      <c r="G54" s="30">
        <v>100</v>
      </c>
      <c r="H54" s="30">
        <v>2000</v>
      </c>
    </row>
    <row r="55" spans="2:10" x14ac:dyDescent="0.3">
      <c r="B55" s="43">
        <v>41950</v>
      </c>
      <c r="C55" s="30" t="s">
        <v>8</v>
      </c>
      <c r="D55" s="2" t="s">
        <v>39</v>
      </c>
      <c r="E55" s="30">
        <v>8375</v>
      </c>
      <c r="F55" s="30">
        <v>8355</v>
      </c>
      <c r="G55" s="30">
        <v>100</v>
      </c>
      <c r="H55" s="30">
        <v>2000</v>
      </c>
    </row>
    <row r="56" spans="2:10" x14ac:dyDescent="0.3">
      <c r="B56" s="43">
        <v>41953</v>
      </c>
      <c r="C56" s="30" t="s">
        <v>8</v>
      </c>
      <c r="D56" s="2" t="s">
        <v>39</v>
      </c>
      <c r="E56" s="30">
        <v>8370</v>
      </c>
      <c r="F56" s="30">
        <v>8350</v>
      </c>
      <c r="G56" s="41" t="s">
        <v>217</v>
      </c>
      <c r="H56" s="30">
        <v>2000</v>
      </c>
    </row>
    <row r="57" spans="2:10" x14ac:dyDescent="0.3">
      <c r="B57" s="43">
        <v>41954</v>
      </c>
      <c r="C57" s="30" t="s">
        <v>9</v>
      </c>
      <c r="D57" s="2" t="s">
        <v>39</v>
      </c>
      <c r="E57" s="30">
        <v>8395</v>
      </c>
      <c r="F57" s="30">
        <v>8375</v>
      </c>
      <c r="G57" s="30">
        <v>100</v>
      </c>
      <c r="H57" s="30">
        <v>-2000</v>
      </c>
    </row>
    <row r="58" spans="2:10" x14ac:dyDescent="0.3">
      <c r="B58" s="43">
        <v>41955</v>
      </c>
      <c r="C58" s="30" t="s">
        <v>9</v>
      </c>
      <c r="D58" s="2" t="s">
        <v>39</v>
      </c>
      <c r="E58" s="30">
        <v>8435</v>
      </c>
      <c r="F58" s="30">
        <v>8415</v>
      </c>
      <c r="G58" s="30">
        <v>100</v>
      </c>
      <c r="H58" s="30">
        <v>-2000</v>
      </c>
    </row>
    <row r="59" spans="2:10" x14ac:dyDescent="0.3">
      <c r="B59" s="43">
        <v>41956</v>
      </c>
      <c r="C59" s="30" t="s">
        <v>8</v>
      </c>
      <c r="D59" s="2" t="s">
        <v>39</v>
      </c>
      <c r="E59" s="30">
        <v>8385</v>
      </c>
      <c r="F59" s="30">
        <v>8360</v>
      </c>
      <c r="G59" s="41" t="s">
        <v>217</v>
      </c>
      <c r="H59" s="30">
        <v>2500</v>
      </c>
      <c r="J59" s="1"/>
    </row>
    <row r="60" spans="2:10" x14ac:dyDescent="0.3">
      <c r="B60" s="43">
        <v>41957</v>
      </c>
      <c r="C60" s="30" t="s">
        <v>9</v>
      </c>
      <c r="D60" s="2" t="s">
        <v>39</v>
      </c>
      <c r="E60" s="30">
        <v>8395</v>
      </c>
      <c r="F60" s="30">
        <v>8425</v>
      </c>
      <c r="G60" s="30">
        <v>100</v>
      </c>
      <c r="H60" s="30">
        <v>3000</v>
      </c>
      <c r="J60" s="1"/>
    </row>
    <row r="61" spans="2:10" x14ac:dyDescent="0.3">
      <c r="B61" s="43">
        <v>41960</v>
      </c>
      <c r="C61" s="30" t="s">
        <v>8</v>
      </c>
      <c r="D61" s="2" t="s">
        <v>39</v>
      </c>
      <c r="E61" s="30">
        <v>8390</v>
      </c>
      <c r="F61" s="30">
        <v>8410</v>
      </c>
      <c r="G61" s="41" t="s">
        <v>217</v>
      </c>
      <c r="H61" s="30">
        <v>-2000</v>
      </c>
      <c r="J61" s="1"/>
    </row>
    <row r="62" spans="2:10" x14ac:dyDescent="0.3">
      <c r="B62" s="43">
        <v>41961</v>
      </c>
      <c r="C62" s="30" t="s">
        <v>9</v>
      </c>
      <c r="D62" s="2" t="s">
        <v>39</v>
      </c>
      <c r="E62" s="30">
        <v>8455</v>
      </c>
      <c r="F62" s="30">
        <v>8445</v>
      </c>
      <c r="G62" s="30">
        <v>100</v>
      </c>
      <c r="H62" s="30">
        <v>1000</v>
      </c>
      <c r="J62" s="1"/>
    </row>
    <row r="63" spans="2:10" x14ac:dyDescent="0.3">
      <c r="B63" s="43">
        <v>41962</v>
      </c>
      <c r="C63" s="30" t="s">
        <v>8</v>
      </c>
      <c r="D63" s="2" t="s">
        <v>39</v>
      </c>
      <c r="E63" s="30">
        <v>8445</v>
      </c>
      <c r="F63" s="30">
        <v>8390</v>
      </c>
      <c r="G63" s="30">
        <v>100</v>
      </c>
      <c r="H63" s="30">
        <v>5500</v>
      </c>
      <c r="J63" s="1"/>
    </row>
    <row r="64" spans="2:10" x14ac:dyDescent="0.3">
      <c r="B64" s="43">
        <v>41963</v>
      </c>
      <c r="C64" s="30" t="s">
        <v>8</v>
      </c>
      <c r="D64" s="2" t="s">
        <v>39</v>
      </c>
      <c r="E64" s="30">
        <v>8395</v>
      </c>
      <c r="F64" s="30">
        <v>8375</v>
      </c>
      <c r="G64" s="41" t="s">
        <v>217</v>
      </c>
      <c r="H64" s="30">
        <v>2000</v>
      </c>
      <c r="J64" s="1"/>
    </row>
    <row r="65" spans="2:10" x14ac:dyDescent="0.3">
      <c r="B65" s="43">
        <v>41964</v>
      </c>
      <c r="C65" s="30" t="s">
        <v>9</v>
      </c>
      <c r="D65" s="2" t="s">
        <v>39</v>
      </c>
      <c r="E65" s="30">
        <v>8470</v>
      </c>
      <c r="F65" s="30">
        <v>8505</v>
      </c>
      <c r="G65" s="30">
        <v>100</v>
      </c>
      <c r="H65" s="30">
        <v>3500</v>
      </c>
      <c r="J65" s="46"/>
    </row>
    <row r="66" spans="2:10" x14ac:dyDescent="0.3">
      <c r="B66" s="43">
        <v>41967</v>
      </c>
      <c r="C66" s="30" t="s">
        <v>8</v>
      </c>
      <c r="D66" s="2" t="s">
        <v>39</v>
      </c>
      <c r="E66" s="30">
        <v>8525</v>
      </c>
      <c r="F66" s="30">
        <v>8535</v>
      </c>
      <c r="G66" s="41" t="s">
        <v>217</v>
      </c>
      <c r="H66" s="30">
        <v>-1000</v>
      </c>
      <c r="J66" s="46"/>
    </row>
    <row r="67" spans="2:10" x14ac:dyDescent="0.3">
      <c r="B67" s="43">
        <v>41968</v>
      </c>
      <c r="C67" s="30" t="s">
        <v>8</v>
      </c>
      <c r="D67" s="2" t="s">
        <v>39</v>
      </c>
      <c r="E67" s="30">
        <v>8515</v>
      </c>
      <c r="F67" s="30">
        <v>8465</v>
      </c>
      <c r="G67" s="30">
        <v>100</v>
      </c>
      <c r="H67" s="30">
        <v>5000</v>
      </c>
      <c r="J67" s="46"/>
    </row>
    <row r="68" spans="2:10" x14ac:dyDescent="0.3">
      <c r="B68" s="43">
        <v>41969</v>
      </c>
      <c r="C68" s="30" t="s">
        <v>9</v>
      </c>
      <c r="D68" s="2" t="s">
        <v>39</v>
      </c>
      <c r="E68" s="30">
        <v>8460</v>
      </c>
      <c r="F68" s="30">
        <v>8510</v>
      </c>
      <c r="G68" s="30">
        <v>100</v>
      </c>
      <c r="H68" s="30">
        <v>5000</v>
      </c>
      <c r="J68" s="46"/>
    </row>
    <row r="69" spans="2:10" x14ac:dyDescent="0.3">
      <c r="B69" s="43">
        <v>41970</v>
      </c>
      <c r="C69" s="30" t="s">
        <v>8</v>
      </c>
      <c r="D69" s="2" t="s">
        <v>39</v>
      </c>
      <c r="E69" s="30">
        <v>8475</v>
      </c>
      <c r="F69" s="30">
        <v>8460</v>
      </c>
      <c r="G69" s="41" t="s">
        <v>217</v>
      </c>
      <c r="H69" s="30">
        <v>1500</v>
      </c>
      <c r="J69" s="46"/>
    </row>
    <row r="70" spans="2:10" x14ac:dyDescent="0.3">
      <c r="B70" s="43">
        <v>41971</v>
      </c>
      <c r="C70" s="30" t="s">
        <v>9</v>
      </c>
      <c r="D70" s="2" t="s">
        <v>39</v>
      </c>
      <c r="E70" s="30">
        <v>8635</v>
      </c>
      <c r="F70" s="30">
        <v>8665</v>
      </c>
      <c r="G70" s="30">
        <v>100</v>
      </c>
      <c r="H70" s="30">
        <v>3000</v>
      </c>
      <c r="J70" s="46"/>
    </row>
    <row r="71" spans="2:10" ht="18" x14ac:dyDescent="0.35">
      <c r="B71" s="43"/>
      <c r="C71" s="30"/>
      <c r="D71" s="2"/>
      <c r="E71" s="30"/>
      <c r="F71" s="30"/>
      <c r="G71" s="30"/>
      <c r="H71" s="76" t="s">
        <v>568</v>
      </c>
      <c r="J71" s="46"/>
    </row>
    <row r="72" spans="2:10" x14ac:dyDescent="0.3">
      <c r="B72" s="43"/>
      <c r="C72" s="30"/>
      <c r="D72" s="2"/>
      <c r="E72" s="30"/>
      <c r="F72" s="30"/>
      <c r="G72" s="41"/>
      <c r="H72" s="49"/>
      <c r="J72" s="47"/>
    </row>
    <row r="73" spans="2:10" x14ac:dyDescent="0.3">
      <c r="B73" s="43"/>
      <c r="C73" s="30"/>
      <c r="D73" s="2"/>
      <c r="E73" s="30"/>
      <c r="F73" s="30"/>
      <c r="G73" s="41"/>
      <c r="H73" s="49"/>
      <c r="J73" s="46"/>
    </row>
    <row r="74" spans="2:10" ht="15.6" x14ac:dyDescent="0.3">
      <c r="B74" s="43"/>
      <c r="C74" s="30"/>
      <c r="D74" s="2"/>
      <c r="E74" s="30"/>
      <c r="F74" s="30"/>
      <c r="G74" s="41"/>
      <c r="H74" s="34"/>
      <c r="J74" s="46"/>
    </row>
    <row r="75" spans="2:10" x14ac:dyDescent="0.3">
      <c r="B75" s="43"/>
      <c r="C75" s="28"/>
      <c r="D75" s="30"/>
      <c r="E75" s="28"/>
      <c r="F75" s="28"/>
      <c r="G75" s="28"/>
      <c r="H75" s="28"/>
      <c r="J75" s="46"/>
    </row>
    <row r="76" spans="2:10" ht="15.6" x14ac:dyDescent="0.3">
      <c r="B76" s="48" t="s">
        <v>333</v>
      </c>
      <c r="C76" s="61"/>
      <c r="D76" s="61"/>
      <c r="E76" s="61"/>
      <c r="F76" s="61"/>
      <c r="G76" s="61"/>
      <c r="H76" s="61"/>
    </row>
    <row r="77" spans="2:10" x14ac:dyDescent="0.3">
      <c r="B77" s="43">
        <v>41946</v>
      </c>
      <c r="C77" s="3" t="s">
        <v>9</v>
      </c>
      <c r="D77" s="3" t="s">
        <v>544</v>
      </c>
      <c r="E77" s="40" t="s">
        <v>228</v>
      </c>
      <c r="F77" s="40" t="s">
        <v>228</v>
      </c>
      <c r="G77" s="30">
        <v>200</v>
      </c>
      <c r="H77" s="8">
        <v>0</v>
      </c>
    </row>
    <row r="78" spans="2:10" x14ac:dyDescent="0.3">
      <c r="B78" s="43">
        <v>41948</v>
      </c>
      <c r="C78" s="3" t="s">
        <v>9</v>
      </c>
      <c r="D78" s="3" t="s">
        <v>545</v>
      </c>
      <c r="E78" s="30">
        <v>120</v>
      </c>
      <c r="F78" s="30">
        <v>115</v>
      </c>
      <c r="G78" s="30">
        <v>200</v>
      </c>
      <c r="H78" s="30">
        <v>-1000</v>
      </c>
    </row>
    <row r="79" spans="2:10" x14ac:dyDescent="0.3">
      <c r="B79" s="43">
        <v>41950</v>
      </c>
      <c r="C79" s="3" t="s">
        <v>9</v>
      </c>
      <c r="D79" s="3" t="s">
        <v>544</v>
      </c>
      <c r="E79" s="30">
        <v>105</v>
      </c>
      <c r="F79" s="30">
        <v>130</v>
      </c>
      <c r="G79" s="30">
        <v>200</v>
      </c>
      <c r="H79" s="30">
        <v>5000</v>
      </c>
    </row>
    <row r="80" spans="2:10" x14ac:dyDescent="0.3">
      <c r="B80" s="43">
        <v>41953</v>
      </c>
      <c r="C80" s="3" t="s">
        <v>9</v>
      </c>
      <c r="D80" s="30" t="s">
        <v>544</v>
      </c>
      <c r="E80" s="30">
        <v>105</v>
      </c>
      <c r="F80" s="30">
        <v>120</v>
      </c>
      <c r="G80" s="30">
        <v>200</v>
      </c>
      <c r="H80" s="30">
        <v>3000</v>
      </c>
    </row>
    <row r="81" spans="2:8" x14ac:dyDescent="0.3">
      <c r="B81" s="43">
        <v>41954</v>
      </c>
      <c r="C81" s="3" t="s">
        <v>9</v>
      </c>
      <c r="D81" s="30" t="s">
        <v>545</v>
      </c>
      <c r="E81" s="30">
        <v>108</v>
      </c>
      <c r="F81" s="30">
        <v>88</v>
      </c>
      <c r="G81" s="30">
        <v>200</v>
      </c>
      <c r="H81" s="30">
        <v>-4000</v>
      </c>
    </row>
    <row r="82" spans="2:8" x14ac:dyDescent="0.3">
      <c r="B82" s="43">
        <v>41955</v>
      </c>
      <c r="C82" s="3" t="s">
        <v>9</v>
      </c>
      <c r="D82" s="30" t="s">
        <v>551</v>
      </c>
      <c r="E82" s="30">
        <v>95</v>
      </c>
      <c r="F82" s="30">
        <v>80</v>
      </c>
      <c r="G82" s="30">
        <v>200</v>
      </c>
      <c r="H82" s="30">
        <v>-3000</v>
      </c>
    </row>
    <row r="83" spans="2:8" x14ac:dyDescent="0.3">
      <c r="B83" s="43">
        <v>41956</v>
      </c>
      <c r="C83" s="3" t="s">
        <v>9</v>
      </c>
      <c r="D83" s="30" t="s">
        <v>544</v>
      </c>
      <c r="E83" s="30">
        <v>80</v>
      </c>
      <c r="F83" s="30">
        <v>95</v>
      </c>
      <c r="G83" s="30">
        <v>200</v>
      </c>
      <c r="H83" s="30">
        <v>3000</v>
      </c>
    </row>
    <row r="84" spans="2:8" x14ac:dyDescent="0.3">
      <c r="B84" s="43">
        <v>41957</v>
      </c>
      <c r="C84" s="3" t="s">
        <v>9</v>
      </c>
      <c r="D84" s="30" t="s">
        <v>551</v>
      </c>
      <c r="E84" s="30">
        <v>66</v>
      </c>
      <c r="F84" s="30">
        <v>88</v>
      </c>
      <c r="G84" s="30">
        <v>200</v>
      </c>
      <c r="H84" s="30">
        <v>4000</v>
      </c>
    </row>
    <row r="85" spans="2:8" x14ac:dyDescent="0.3">
      <c r="B85" s="43">
        <v>41960</v>
      </c>
      <c r="C85" s="3" t="s">
        <v>9</v>
      </c>
      <c r="D85" s="30" t="s">
        <v>544</v>
      </c>
      <c r="E85" s="30">
        <v>75</v>
      </c>
      <c r="F85" s="30">
        <v>60</v>
      </c>
      <c r="G85" s="30">
        <v>200</v>
      </c>
      <c r="H85" s="30">
        <v>-3000</v>
      </c>
    </row>
    <row r="86" spans="2:8" x14ac:dyDescent="0.3">
      <c r="B86" s="43">
        <v>41961</v>
      </c>
      <c r="C86" s="3" t="s">
        <v>9</v>
      </c>
      <c r="D86" s="30" t="s">
        <v>551</v>
      </c>
      <c r="E86" s="30">
        <v>94</v>
      </c>
      <c r="F86" s="30">
        <v>84</v>
      </c>
      <c r="G86" s="30">
        <v>200</v>
      </c>
      <c r="H86" s="30">
        <v>-2000</v>
      </c>
    </row>
    <row r="87" spans="2:8" x14ac:dyDescent="0.3">
      <c r="B87" s="43">
        <v>41962</v>
      </c>
      <c r="C87" s="3" t="s">
        <v>9</v>
      </c>
      <c r="D87" s="30" t="s">
        <v>554</v>
      </c>
      <c r="E87" s="30">
        <v>85</v>
      </c>
      <c r="F87" s="30">
        <v>115</v>
      </c>
      <c r="G87" s="30">
        <v>200</v>
      </c>
      <c r="H87" s="30">
        <v>6000</v>
      </c>
    </row>
    <row r="88" spans="2:8" x14ac:dyDescent="0.3">
      <c r="B88" s="43">
        <v>41963</v>
      </c>
      <c r="C88" s="3" t="s">
        <v>11</v>
      </c>
      <c r="D88" s="30" t="s">
        <v>544</v>
      </c>
      <c r="E88" s="30">
        <v>55</v>
      </c>
      <c r="F88" s="30">
        <v>65</v>
      </c>
      <c r="G88" s="30">
        <v>200</v>
      </c>
      <c r="H88" s="30">
        <v>2000</v>
      </c>
    </row>
    <row r="89" spans="2:8" x14ac:dyDescent="0.3">
      <c r="B89" s="43">
        <v>41964</v>
      </c>
      <c r="C89" s="3" t="s">
        <v>9</v>
      </c>
      <c r="D89" s="30" t="s">
        <v>551</v>
      </c>
      <c r="E89" s="30">
        <v>95</v>
      </c>
      <c r="F89" s="30">
        <v>120</v>
      </c>
      <c r="G89" s="30">
        <v>200</v>
      </c>
      <c r="H89" s="30">
        <v>5000</v>
      </c>
    </row>
    <row r="90" spans="2:8" x14ac:dyDescent="0.3">
      <c r="B90" s="43">
        <v>41967</v>
      </c>
      <c r="C90" s="3" t="s">
        <v>9</v>
      </c>
      <c r="D90" s="30" t="s">
        <v>563</v>
      </c>
      <c r="E90" s="30">
        <v>85</v>
      </c>
      <c r="F90" s="30">
        <v>95</v>
      </c>
      <c r="G90" s="30">
        <v>200</v>
      </c>
      <c r="H90" s="30">
        <v>2000</v>
      </c>
    </row>
    <row r="91" spans="2:8" x14ac:dyDescent="0.3">
      <c r="B91" s="43">
        <v>41968</v>
      </c>
      <c r="C91" s="3" t="s">
        <v>9</v>
      </c>
      <c r="D91" s="30" t="s">
        <v>563</v>
      </c>
      <c r="E91" s="30">
        <v>95</v>
      </c>
      <c r="F91" s="30">
        <v>130</v>
      </c>
      <c r="G91" s="30">
        <v>200</v>
      </c>
      <c r="H91" s="30">
        <v>7000</v>
      </c>
    </row>
    <row r="92" spans="2:8" x14ac:dyDescent="0.3">
      <c r="B92" s="43">
        <v>41969</v>
      </c>
      <c r="C92" s="3" t="s">
        <v>9</v>
      </c>
      <c r="D92" s="30" t="s">
        <v>551</v>
      </c>
      <c r="E92" s="30">
        <v>70</v>
      </c>
      <c r="F92" s="30">
        <v>110</v>
      </c>
      <c r="G92" s="30">
        <v>200</v>
      </c>
      <c r="H92" s="30">
        <v>8000</v>
      </c>
    </row>
    <row r="93" spans="2:8" x14ac:dyDescent="0.3">
      <c r="B93" s="43">
        <v>41970</v>
      </c>
      <c r="C93" s="3" t="s">
        <v>9</v>
      </c>
      <c r="D93" s="30" t="s">
        <v>564</v>
      </c>
      <c r="E93" s="30">
        <v>118</v>
      </c>
      <c r="F93" s="30">
        <v>112</v>
      </c>
      <c r="G93" s="30">
        <v>200</v>
      </c>
      <c r="H93" s="30">
        <v>-1200</v>
      </c>
    </row>
    <row r="94" spans="2:8" x14ac:dyDescent="0.3">
      <c r="B94" s="43">
        <v>41971</v>
      </c>
      <c r="C94" s="3" t="s">
        <v>9</v>
      </c>
      <c r="D94" s="30" t="s">
        <v>565</v>
      </c>
      <c r="E94" s="30">
        <v>125</v>
      </c>
      <c r="F94" s="30">
        <v>140</v>
      </c>
      <c r="G94" s="30">
        <v>200</v>
      </c>
      <c r="H94" s="30">
        <v>3000</v>
      </c>
    </row>
    <row r="95" spans="2:8" ht="18" x14ac:dyDescent="0.35">
      <c r="B95" s="43"/>
      <c r="C95" s="30"/>
      <c r="D95" s="30"/>
      <c r="E95" s="30"/>
      <c r="F95" s="30"/>
      <c r="G95" s="30"/>
      <c r="H95" s="76" t="s">
        <v>569</v>
      </c>
    </row>
    <row r="96" spans="2:8" ht="15.6" x14ac:dyDescent="0.3">
      <c r="B96" s="43"/>
      <c r="C96" s="30"/>
      <c r="D96" s="30"/>
      <c r="E96" s="30"/>
      <c r="F96" s="30"/>
      <c r="G96" s="30"/>
      <c r="H96" s="62"/>
    </row>
    <row r="97" spans="2:8" ht="15.6" x14ac:dyDescent="0.3">
      <c r="B97" s="43"/>
      <c r="C97" s="30"/>
      <c r="D97" s="30"/>
      <c r="E97" s="30"/>
      <c r="F97" s="30"/>
      <c r="G97" s="30"/>
      <c r="H97" s="34"/>
    </row>
    <row r="98" spans="2:8" x14ac:dyDescent="0.3">
      <c r="B98" s="1"/>
      <c r="C98" s="28"/>
      <c r="D98" s="28"/>
      <c r="E98" s="49"/>
      <c r="F98" s="49"/>
      <c r="G98" s="28"/>
      <c r="H98" s="49"/>
    </row>
    <row r="99" spans="2:8" ht="15.6" x14ac:dyDescent="0.3">
      <c r="B99" s="1"/>
      <c r="C99" s="28"/>
      <c r="D99" s="28"/>
      <c r="E99" s="28"/>
      <c r="F99" s="28"/>
      <c r="G99" s="28"/>
      <c r="H99" s="34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9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</sheetData>
  <mergeCells count="3">
    <mergeCell ref="B1:H1"/>
    <mergeCell ref="B2:H2"/>
    <mergeCell ref="B3:H3"/>
  </mergeCells>
  <hyperlinks>
    <hyperlink ref="J2" location="'MASTER '!A1" display="Back" xr:uid="{00000000-0004-0000-1300-000000000000}"/>
  </hyperlinks>
  <pageMargins left="0.7" right="0.7" top="0.75" bottom="0.75" header="0.3" footer="0.3"/>
  <pageSetup orientation="portrait" horizontalDpi="300" verticalDpi="0" r:id="rId1"/>
  <ignoredErrors>
    <ignoredError sqref="E53 E77:G77 E30:F30 E6:F6 H30 H6:H7 G56:G61 G64 E22:H22 H45 G66:G69 H23:H24 E23:G23 H48 H71 H95 G53:H5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3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538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74846</v>
      </c>
      <c r="C6" s="2" t="s">
        <v>8</v>
      </c>
      <c r="D6" s="2" t="s">
        <v>187</v>
      </c>
      <c r="E6" s="41" t="s">
        <v>573</v>
      </c>
      <c r="F6" s="40" t="s">
        <v>574</v>
      </c>
      <c r="G6" s="5">
        <v>2189</v>
      </c>
      <c r="H6" s="41" t="s">
        <v>583</v>
      </c>
      <c r="K6" s="16"/>
    </row>
    <row r="7" spans="1:14" x14ac:dyDescent="0.3">
      <c r="B7" s="43">
        <v>74847</v>
      </c>
      <c r="C7" s="2" t="s">
        <v>8</v>
      </c>
      <c r="D7" s="28" t="s">
        <v>275</v>
      </c>
      <c r="E7" s="30">
        <v>725</v>
      </c>
      <c r="F7" s="30">
        <v>713</v>
      </c>
      <c r="G7" s="30">
        <v>413</v>
      </c>
      <c r="H7" s="41" t="s">
        <v>584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74848</v>
      </c>
      <c r="C8" s="2" t="s">
        <v>8</v>
      </c>
      <c r="D8" s="28" t="s">
        <v>395</v>
      </c>
      <c r="E8" s="30">
        <v>3538</v>
      </c>
      <c r="F8" s="30">
        <v>3490</v>
      </c>
      <c r="G8" s="30">
        <v>85</v>
      </c>
      <c r="H8" s="30">
        <v>4080</v>
      </c>
      <c r="J8" s="16" t="s">
        <v>449</v>
      </c>
      <c r="K8" s="30">
        <v>24</v>
      </c>
      <c r="L8" s="30">
        <v>19</v>
      </c>
      <c r="M8" s="30">
        <v>4</v>
      </c>
      <c r="N8" s="30">
        <v>1</v>
      </c>
    </row>
    <row r="9" spans="1:14" x14ac:dyDescent="0.3">
      <c r="B9" s="43">
        <v>74849</v>
      </c>
      <c r="C9" s="2" t="s">
        <v>8</v>
      </c>
      <c r="D9" s="28" t="s">
        <v>575</v>
      </c>
      <c r="E9" s="30">
        <v>173</v>
      </c>
      <c r="F9" s="30">
        <v>170</v>
      </c>
      <c r="G9" s="30">
        <v>1734</v>
      </c>
      <c r="H9" s="30">
        <v>5202</v>
      </c>
      <c r="J9" s="16" t="s">
        <v>450</v>
      </c>
      <c r="K9" s="30">
        <v>23</v>
      </c>
      <c r="L9" s="30">
        <v>17</v>
      </c>
      <c r="M9" s="30">
        <v>5</v>
      </c>
      <c r="N9" s="30">
        <v>2</v>
      </c>
    </row>
    <row r="10" spans="1:14" x14ac:dyDescent="0.3">
      <c r="B10" s="43">
        <v>74850</v>
      </c>
      <c r="C10" s="30" t="s">
        <v>8</v>
      </c>
      <c r="D10" s="30" t="s">
        <v>395</v>
      </c>
      <c r="E10" s="30">
        <v>3455</v>
      </c>
      <c r="F10" s="30">
        <v>3405</v>
      </c>
      <c r="G10" s="30">
        <v>86</v>
      </c>
      <c r="H10" s="30">
        <v>4300</v>
      </c>
      <c r="J10" s="16" t="s">
        <v>451</v>
      </c>
      <c r="K10" s="30">
        <v>23</v>
      </c>
      <c r="L10" s="30">
        <v>19</v>
      </c>
      <c r="M10" s="30">
        <v>3</v>
      </c>
      <c r="N10" s="30">
        <v>1</v>
      </c>
    </row>
    <row r="11" spans="1:14" x14ac:dyDescent="0.3">
      <c r="B11" s="43">
        <v>74853</v>
      </c>
      <c r="C11" s="2" t="s">
        <v>8</v>
      </c>
      <c r="D11" s="28" t="s">
        <v>395</v>
      </c>
      <c r="E11" s="30">
        <v>3355</v>
      </c>
      <c r="F11" s="30">
        <v>3315</v>
      </c>
      <c r="G11" s="30">
        <v>89</v>
      </c>
      <c r="H11" s="30">
        <v>3560</v>
      </c>
      <c r="J11" s="16" t="s">
        <v>452</v>
      </c>
      <c r="K11" s="30">
        <v>22</v>
      </c>
      <c r="L11" s="30">
        <v>16</v>
      </c>
      <c r="M11" s="30">
        <v>5</v>
      </c>
      <c r="N11" s="30">
        <v>1</v>
      </c>
    </row>
    <row r="12" spans="1:14" x14ac:dyDescent="0.3">
      <c r="B12" s="43">
        <v>74854</v>
      </c>
      <c r="C12" s="2" t="s">
        <v>8</v>
      </c>
      <c r="D12" s="28" t="s">
        <v>34</v>
      </c>
      <c r="E12" s="30">
        <v>254</v>
      </c>
      <c r="F12" s="30">
        <v>252</v>
      </c>
      <c r="G12" s="30">
        <v>1181</v>
      </c>
      <c r="H12" s="30">
        <v>2362</v>
      </c>
      <c r="J12" s="16"/>
      <c r="K12" s="21">
        <v>92</v>
      </c>
      <c r="L12" s="21">
        <v>71</v>
      </c>
      <c r="M12" s="21">
        <v>17</v>
      </c>
      <c r="N12" s="21">
        <v>5</v>
      </c>
    </row>
    <row r="13" spans="1:14" x14ac:dyDescent="0.3">
      <c r="B13" s="43">
        <v>74855</v>
      </c>
      <c r="C13" s="2" t="s">
        <v>8</v>
      </c>
      <c r="D13" s="28" t="s">
        <v>107</v>
      </c>
      <c r="E13" s="30">
        <v>2595</v>
      </c>
      <c r="F13" s="30">
        <v>2560</v>
      </c>
      <c r="G13" s="30">
        <v>115</v>
      </c>
      <c r="H13" s="30">
        <v>4025</v>
      </c>
      <c r="K13" s="16"/>
    </row>
    <row r="14" spans="1:14" x14ac:dyDescent="0.3">
      <c r="B14" s="43">
        <v>74856</v>
      </c>
      <c r="C14" s="2" t="s">
        <v>8</v>
      </c>
      <c r="D14" s="28" t="s">
        <v>586</v>
      </c>
      <c r="E14" s="30">
        <v>3360</v>
      </c>
      <c r="F14" s="30">
        <v>3385</v>
      </c>
      <c r="G14" s="30">
        <v>89</v>
      </c>
      <c r="H14" s="30">
        <v>-2225</v>
      </c>
      <c r="K14" s="68" t="s">
        <v>617</v>
      </c>
      <c r="L14" s="69"/>
      <c r="M14" s="70"/>
    </row>
    <row r="15" spans="1:14" x14ac:dyDescent="0.3">
      <c r="B15" s="43">
        <v>74857</v>
      </c>
      <c r="C15" s="2" t="s">
        <v>8</v>
      </c>
      <c r="D15" s="28" t="s">
        <v>497</v>
      </c>
      <c r="E15" s="30">
        <v>218</v>
      </c>
      <c r="F15" s="30">
        <v>215</v>
      </c>
      <c r="G15" s="30">
        <v>1376</v>
      </c>
      <c r="H15" s="30">
        <v>4128</v>
      </c>
      <c r="K15" s="16"/>
    </row>
    <row r="16" spans="1:14" x14ac:dyDescent="0.3">
      <c r="B16" s="43">
        <v>74860</v>
      </c>
      <c r="C16" s="2" t="s">
        <v>8</v>
      </c>
      <c r="D16" s="28" t="s">
        <v>395</v>
      </c>
      <c r="E16" s="30">
        <v>3332</v>
      </c>
      <c r="F16" s="30">
        <v>3355</v>
      </c>
      <c r="G16" s="30">
        <v>90</v>
      </c>
      <c r="H16" s="30">
        <v>-1980</v>
      </c>
      <c r="K16" s="28"/>
      <c r="L16" s="30"/>
      <c r="M16" s="30"/>
      <c r="N16" s="30"/>
    </row>
    <row r="17" spans="2:14" x14ac:dyDescent="0.3">
      <c r="B17" s="43">
        <v>74861</v>
      </c>
      <c r="C17" s="2" t="s">
        <v>8</v>
      </c>
      <c r="D17" s="28" t="s">
        <v>19</v>
      </c>
      <c r="E17" s="30">
        <v>307</v>
      </c>
      <c r="F17" s="30">
        <v>300</v>
      </c>
      <c r="G17" s="30">
        <v>977</v>
      </c>
      <c r="H17" s="30">
        <v>6839</v>
      </c>
      <c r="K17" s="49"/>
      <c r="L17" s="30"/>
      <c r="M17" s="30"/>
      <c r="N17" s="30"/>
    </row>
    <row r="18" spans="2:14" x14ac:dyDescent="0.3">
      <c r="B18" s="43">
        <v>74862</v>
      </c>
      <c r="C18" s="2" t="s">
        <v>8</v>
      </c>
      <c r="D18" s="28" t="s">
        <v>19</v>
      </c>
      <c r="E18" s="30">
        <v>291</v>
      </c>
      <c r="F18" s="30">
        <v>293.5</v>
      </c>
      <c r="G18" s="30">
        <v>1030</v>
      </c>
      <c r="H18" s="30">
        <v>-2575</v>
      </c>
      <c r="K18" s="49"/>
      <c r="L18" s="30"/>
      <c r="M18" s="30"/>
      <c r="N18" s="30"/>
    </row>
    <row r="19" spans="2:14" x14ac:dyDescent="0.3">
      <c r="B19" s="43">
        <v>74862</v>
      </c>
      <c r="C19" s="2" t="s">
        <v>8</v>
      </c>
      <c r="D19" s="28" t="s">
        <v>107</v>
      </c>
      <c r="E19" s="30">
        <v>2470</v>
      </c>
      <c r="F19" s="30">
        <v>2450</v>
      </c>
      <c r="G19" s="30">
        <v>121</v>
      </c>
      <c r="H19" s="30">
        <v>2420</v>
      </c>
      <c r="K19" s="49"/>
      <c r="L19" s="30"/>
      <c r="M19" s="30"/>
      <c r="N19" s="30"/>
    </row>
    <row r="20" spans="2:14" x14ac:dyDescent="0.3">
      <c r="B20" s="43">
        <v>74863</v>
      </c>
      <c r="C20" s="2" t="s">
        <v>8</v>
      </c>
      <c r="D20" s="28" t="s">
        <v>588</v>
      </c>
      <c r="E20" s="30">
        <v>130</v>
      </c>
      <c r="F20" s="30">
        <v>132</v>
      </c>
      <c r="G20" s="30">
        <v>2307</v>
      </c>
      <c r="H20" s="30">
        <v>-4614</v>
      </c>
      <c r="K20" s="49"/>
      <c r="L20" s="30"/>
      <c r="M20" s="30"/>
      <c r="N20" s="30"/>
    </row>
    <row r="21" spans="2:14" x14ac:dyDescent="0.3">
      <c r="B21" s="43">
        <v>74863</v>
      </c>
      <c r="C21" s="30" t="s">
        <v>9</v>
      </c>
      <c r="D21" s="30" t="s">
        <v>78</v>
      </c>
      <c r="E21" s="30">
        <v>1485</v>
      </c>
      <c r="F21" s="30">
        <v>1510</v>
      </c>
      <c r="G21" s="30">
        <v>202</v>
      </c>
      <c r="H21" s="30">
        <v>5050</v>
      </c>
      <c r="K21" s="49"/>
      <c r="L21" s="30"/>
      <c r="M21" s="30"/>
      <c r="N21" s="30"/>
    </row>
    <row r="22" spans="2:14" x14ac:dyDescent="0.3">
      <c r="B22" s="43">
        <v>74864</v>
      </c>
      <c r="C22" s="28" t="s">
        <v>11</v>
      </c>
      <c r="D22" s="28" t="s">
        <v>78</v>
      </c>
      <c r="E22" s="30">
        <v>1540</v>
      </c>
      <c r="F22" s="30">
        <v>1543</v>
      </c>
      <c r="G22" s="30">
        <v>194</v>
      </c>
      <c r="H22" s="30">
        <v>582</v>
      </c>
      <c r="K22" s="49"/>
      <c r="L22" s="30"/>
      <c r="M22" s="30"/>
      <c r="N22" s="30"/>
    </row>
    <row r="23" spans="2:14" x14ac:dyDescent="0.3">
      <c r="B23" s="43">
        <v>74867</v>
      </c>
      <c r="C23" s="28" t="s">
        <v>8</v>
      </c>
      <c r="D23" s="30" t="s">
        <v>365</v>
      </c>
      <c r="E23" s="30">
        <v>1058</v>
      </c>
      <c r="F23" s="30">
        <v>1052</v>
      </c>
      <c r="G23" s="30">
        <v>283</v>
      </c>
      <c r="H23" s="30">
        <v>1698</v>
      </c>
      <c r="K23" s="16"/>
    </row>
    <row r="24" spans="2:14" x14ac:dyDescent="0.3">
      <c r="B24" s="43">
        <v>74868</v>
      </c>
      <c r="C24" s="28" t="s">
        <v>9</v>
      </c>
      <c r="D24" s="28" t="s">
        <v>129</v>
      </c>
      <c r="E24" s="49" t="s">
        <v>590</v>
      </c>
      <c r="F24" s="49" t="s">
        <v>591</v>
      </c>
      <c r="G24" s="49" t="s">
        <v>597</v>
      </c>
      <c r="H24" s="74" t="s">
        <v>598</v>
      </c>
      <c r="K24" s="16"/>
    </row>
    <row r="25" spans="2:14" x14ac:dyDescent="0.3">
      <c r="B25" s="43">
        <v>74869</v>
      </c>
      <c r="C25" s="28" t="s">
        <v>8</v>
      </c>
      <c r="D25" s="28" t="s">
        <v>592</v>
      </c>
      <c r="E25" s="49" t="s">
        <v>593</v>
      </c>
      <c r="F25" s="49" t="s">
        <v>594</v>
      </c>
      <c r="G25" s="49" t="s">
        <v>599</v>
      </c>
      <c r="H25" s="74" t="s">
        <v>599</v>
      </c>
      <c r="K25" s="41"/>
    </row>
    <row r="26" spans="2:14" x14ac:dyDescent="0.3">
      <c r="B26" s="43">
        <v>74871</v>
      </c>
      <c r="C26" s="28" t="s">
        <v>8</v>
      </c>
      <c r="D26" s="28" t="s">
        <v>98</v>
      </c>
      <c r="E26" s="49" t="s">
        <v>595</v>
      </c>
      <c r="F26" s="49" t="s">
        <v>596</v>
      </c>
      <c r="G26" s="49" t="s">
        <v>600</v>
      </c>
      <c r="H26" s="74" t="s">
        <v>601</v>
      </c>
      <c r="K26" s="41"/>
    </row>
    <row r="27" spans="2:14" ht="15.6" x14ac:dyDescent="0.3">
      <c r="B27" s="43">
        <v>74874</v>
      </c>
      <c r="C27" s="28" t="s">
        <v>8</v>
      </c>
      <c r="D27" s="28" t="s">
        <v>19</v>
      </c>
      <c r="E27" s="49" t="s">
        <v>604</v>
      </c>
      <c r="F27" s="49" t="s">
        <v>605</v>
      </c>
      <c r="G27" s="49" t="s">
        <v>606</v>
      </c>
      <c r="H27" s="62" t="s">
        <v>607</v>
      </c>
      <c r="L27" s="30"/>
    </row>
    <row r="28" spans="2:14" x14ac:dyDescent="0.3">
      <c r="B28" s="43">
        <v>74875</v>
      </c>
      <c r="C28" s="28" t="s">
        <v>8</v>
      </c>
      <c r="D28" s="28" t="s">
        <v>30</v>
      </c>
      <c r="E28" s="49">
        <v>438</v>
      </c>
      <c r="F28" s="49">
        <v>435</v>
      </c>
      <c r="G28" s="49">
        <v>684</v>
      </c>
      <c r="H28" s="74" t="s">
        <v>608</v>
      </c>
      <c r="L28" s="30"/>
    </row>
    <row r="29" spans="2:14" x14ac:dyDescent="0.3">
      <c r="B29" s="43">
        <v>74876</v>
      </c>
      <c r="C29" s="28" t="s">
        <v>8</v>
      </c>
      <c r="D29" s="28" t="s">
        <v>275</v>
      </c>
      <c r="E29" s="49">
        <v>645</v>
      </c>
      <c r="F29" s="49">
        <v>641.5</v>
      </c>
      <c r="G29" s="49" t="s">
        <v>609</v>
      </c>
      <c r="H29" s="74" t="s">
        <v>610</v>
      </c>
      <c r="L29" s="30"/>
    </row>
    <row r="30" spans="2:14" ht="18" x14ac:dyDescent="0.35">
      <c r="C30" s="28"/>
      <c r="D30" s="28"/>
      <c r="E30" s="28"/>
      <c r="F30" s="28"/>
      <c r="G30" s="28"/>
      <c r="H30" s="76">
        <v>51837</v>
      </c>
      <c r="L30" s="30"/>
    </row>
    <row r="31" spans="2:14" ht="15.6" x14ac:dyDescent="0.3">
      <c r="C31" s="28"/>
      <c r="D31" s="28"/>
      <c r="E31" s="28"/>
      <c r="F31" s="28"/>
      <c r="G31" s="28"/>
      <c r="H31" s="34"/>
      <c r="L31" s="30"/>
    </row>
    <row r="32" spans="2:14" ht="15.6" x14ac:dyDescent="0.3">
      <c r="C32" s="28"/>
      <c r="D32" s="28"/>
      <c r="E32" s="28"/>
      <c r="F32" s="28"/>
      <c r="G32" s="28"/>
      <c r="H32" s="34"/>
      <c r="L32" s="30"/>
    </row>
    <row r="33" spans="2:12" ht="15.6" x14ac:dyDescent="0.3">
      <c r="C33" s="28"/>
      <c r="D33" s="28"/>
      <c r="E33" s="28"/>
      <c r="F33" s="28"/>
      <c r="G33" s="28"/>
      <c r="H33" s="34"/>
      <c r="L33" s="30"/>
    </row>
    <row r="34" spans="2:12" x14ac:dyDescent="0.3">
      <c r="L34" s="30"/>
    </row>
    <row r="35" spans="2:12" ht="15.6" x14ac:dyDescent="0.3">
      <c r="B35" s="48" t="s">
        <v>62</v>
      </c>
      <c r="C35" s="48"/>
      <c r="D35" s="48"/>
      <c r="E35" s="48"/>
      <c r="F35" s="48"/>
      <c r="G35" s="48"/>
      <c r="H35" s="48"/>
      <c r="L35" s="30"/>
    </row>
    <row r="36" spans="2:12" x14ac:dyDescent="0.3">
      <c r="B36" s="43">
        <v>74846</v>
      </c>
      <c r="C36" s="2" t="s">
        <v>8</v>
      </c>
      <c r="D36" s="2" t="s">
        <v>46</v>
      </c>
      <c r="E36" s="41" t="s">
        <v>576</v>
      </c>
      <c r="F36" s="40" t="s">
        <v>577</v>
      </c>
      <c r="G36" s="5">
        <v>1000</v>
      </c>
      <c r="H36" s="40" t="s">
        <v>463</v>
      </c>
      <c r="L36" s="30"/>
    </row>
    <row r="37" spans="2:12" x14ac:dyDescent="0.3">
      <c r="B37" s="43">
        <v>74847</v>
      </c>
      <c r="C37" s="30" t="s">
        <v>8</v>
      </c>
      <c r="D37" s="30" t="s">
        <v>115</v>
      </c>
      <c r="E37" s="30">
        <v>348</v>
      </c>
      <c r="F37" s="30">
        <v>352</v>
      </c>
      <c r="G37" s="30">
        <v>1000</v>
      </c>
      <c r="H37" s="30">
        <v>-4000</v>
      </c>
      <c r="L37" s="30"/>
    </row>
    <row r="38" spans="2:12" x14ac:dyDescent="0.3">
      <c r="B38" s="43">
        <v>74848</v>
      </c>
      <c r="C38" s="30" t="s">
        <v>8</v>
      </c>
      <c r="D38" s="30" t="s">
        <v>578</v>
      </c>
      <c r="E38" s="30">
        <v>2105</v>
      </c>
      <c r="F38" s="30">
        <v>2125</v>
      </c>
      <c r="G38" s="30">
        <v>250</v>
      </c>
      <c r="H38" s="30">
        <v>-2500</v>
      </c>
      <c r="L38" s="30"/>
    </row>
    <row r="39" spans="2:12" x14ac:dyDescent="0.3">
      <c r="B39" s="43">
        <v>74849</v>
      </c>
      <c r="C39" s="30" t="s">
        <v>8</v>
      </c>
      <c r="D39" s="30" t="s">
        <v>19</v>
      </c>
      <c r="E39" s="30">
        <v>317</v>
      </c>
      <c r="F39" s="30">
        <v>315.5</v>
      </c>
      <c r="G39" s="30">
        <v>1250</v>
      </c>
      <c r="H39" s="30">
        <v>1875</v>
      </c>
      <c r="L39" s="30"/>
    </row>
    <row r="40" spans="2:12" x14ac:dyDescent="0.3">
      <c r="B40" s="43">
        <v>74850</v>
      </c>
      <c r="C40" s="30" t="s">
        <v>8</v>
      </c>
      <c r="D40" s="30" t="s">
        <v>46</v>
      </c>
      <c r="E40" s="30">
        <v>369</v>
      </c>
      <c r="F40" s="30">
        <v>364.5</v>
      </c>
      <c r="G40" s="30">
        <v>1000</v>
      </c>
      <c r="H40" s="30">
        <v>4500</v>
      </c>
      <c r="L40" s="30"/>
    </row>
    <row r="41" spans="2:12" x14ac:dyDescent="0.3">
      <c r="B41" s="43">
        <v>74853</v>
      </c>
      <c r="C41" s="30" t="s">
        <v>8</v>
      </c>
      <c r="D41" s="30" t="s">
        <v>98</v>
      </c>
      <c r="E41" s="30">
        <v>3180</v>
      </c>
      <c r="F41" s="30">
        <v>3165</v>
      </c>
      <c r="G41" s="30">
        <v>125</v>
      </c>
      <c r="H41" s="30">
        <v>1875</v>
      </c>
      <c r="L41" s="30"/>
    </row>
    <row r="42" spans="2:12" x14ac:dyDescent="0.3">
      <c r="B42" s="43">
        <v>74854</v>
      </c>
      <c r="C42" s="30" t="s">
        <v>8</v>
      </c>
      <c r="D42" s="30" t="s">
        <v>585</v>
      </c>
      <c r="E42" s="30">
        <v>660</v>
      </c>
      <c r="F42" s="30">
        <v>644</v>
      </c>
      <c r="G42" s="30">
        <v>500</v>
      </c>
      <c r="H42" s="30">
        <v>8000</v>
      </c>
      <c r="L42" s="30"/>
    </row>
    <row r="43" spans="2:12" x14ac:dyDescent="0.3">
      <c r="B43" s="43">
        <v>74855</v>
      </c>
      <c r="C43" s="30" t="s">
        <v>8</v>
      </c>
      <c r="D43" s="30" t="s">
        <v>50</v>
      </c>
      <c r="E43" s="30">
        <v>831</v>
      </c>
      <c r="F43" s="30">
        <v>834</v>
      </c>
      <c r="G43" s="30">
        <v>250</v>
      </c>
      <c r="H43" s="30">
        <v>-750</v>
      </c>
      <c r="K43" s="74"/>
    </row>
    <row r="44" spans="2:12" x14ac:dyDescent="0.3">
      <c r="B44" s="43">
        <v>74856</v>
      </c>
      <c r="C44" s="30" t="s">
        <v>8</v>
      </c>
      <c r="D44" s="30" t="s">
        <v>78</v>
      </c>
      <c r="E44" s="30">
        <v>1520</v>
      </c>
      <c r="F44" s="30">
        <v>1535</v>
      </c>
      <c r="G44" s="30">
        <v>250</v>
      </c>
      <c r="H44" s="30">
        <v>-3750</v>
      </c>
      <c r="K44" s="74"/>
    </row>
    <row r="45" spans="2:12" x14ac:dyDescent="0.3">
      <c r="B45" s="43">
        <v>74857</v>
      </c>
      <c r="C45" s="30" t="s">
        <v>8</v>
      </c>
      <c r="D45" s="30" t="s">
        <v>30</v>
      </c>
      <c r="E45" s="30">
        <v>433</v>
      </c>
      <c r="F45" s="30">
        <v>420</v>
      </c>
      <c r="G45" s="30">
        <v>500</v>
      </c>
      <c r="H45" s="30">
        <v>6500</v>
      </c>
      <c r="K45" s="74"/>
    </row>
    <row r="46" spans="2:12" ht="15.6" x14ac:dyDescent="0.3">
      <c r="B46" s="43">
        <v>74860</v>
      </c>
      <c r="C46" s="30" t="s">
        <v>8</v>
      </c>
      <c r="D46" s="30" t="s">
        <v>160</v>
      </c>
      <c r="E46" s="30">
        <v>635</v>
      </c>
      <c r="F46" s="30">
        <v>628</v>
      </c>
      <c r="G46" s="30">
        <v>500</v>
      </c>
      <c r="H46" s="30">
        <v>3500</v>
      </c>
      <c r="K46" s="62"/>
    </row>
    <row r="47" spans="2:12" x14ac:dyDescent="0.3">
      <c r="B47" s="43">
        <v>74861</v>
      </c>
      <c r="C47" s="30" t="s">
        <v>8</v>
      </c>
      <c r="D47" s="30" t="s">
        <v>95</v>
      </c>
      <c r="E47" s="30">
        <v>339</v>
      </c>
      <c r="F47" s="30">
        <v>333</v>
      </c>
      <c r="G47" s="30">
        <v>1250</v>
      </c>
      <c r="H47" s="30">
        <v>7500</v>
      </c>
      <c r="K47" s="74"/>
    </row>
    <row r="48" spans="2:12" x14ac:dyDescent="0.3">
      <c r="B48" s="43">
        <v>74862</v>
      </c>
      <c r="C48" s="30" t="s">
        <v>8</v>
      </c>
      <c r="D48" s="30" t="s">
        <v>95</v>
      </c>
      <c r="E48" s="30">
        <v>324</v>
      </c>
      <c r="F48" s="30">
        <v>329</v>
      </c>
      <c r="G48" s="30">
        <v>1250</v>
      </c>
      <c r="H48" s="30">
        <v>-6250</v>
      </c>
      <c r="K48" s="74"/>
    </row>
    <row r="49" spans="2:10" x14ac:dyDescent="0.3">
      <c r="B49" s="43">
        <v>74863</v>
      </c>
      <c r="C49" s="30" t="s">
        <v>8</v>
      </c>
      <c r="D49" s="30" t="s">
        <v>31</v>
      </c>
      <c r="E49" s="30">
        <v>878</v>
      </c>
      <c r="F49" s="30">
        <v>868</v>
      </c>
      <c r="G49" s="30">
        <v>250</v>
      </c>
      <c r="H49" s="30">
        <v>2500</v>
      </c>
    </row>
    <row r="50" spans="2:10" x14ac:dyDescent="0.3">
      <c r="B50" s="43">
        <v>74864</v>
      </c>
      <c r="C50" s="30" t="s">
        <v>8</v>
      </c>
      <c r="D50" s="30" t="s">
        <v>111</v>
      </c>
      <c r="E50" s="30">
        <v>435</v>
      </c>
      <c r="F50" s="30">
        <v>434</v>
      </c>
      <c r="G50" s="30">
        <v>500</v>
      </c>
      <c r="H50" s="30">
        <v>500</v>
      </c>
    </row>
    <row r="51" spans="2:10" x14ac:dyDescent="0.3">
      <c r="B51" s="43">
        <v>74867</v>
      </c>
      <c r="C51" s="30" t="s">
        <v>8</v>
      </c>
      <c r="D51" s="30" t="s">
        <v>602</v>
      </c>
      <c r="E51" s="30">
        <v>1065</v>
      </c>
      <c r="F51" s="30">
        <v>1050</v>
      </c>
      <c r="G51" s="30">
        <v>500</v>
      </c>
      <c r="H51" s="30">
        <v>7500</v>
      </c>
    </row>
    <row r="52" spans="2:10" x14ac:dyDescent="0.3">
      <c r="B52" s="43">
        <v>74868</v>
      </c>
      <c r="C52" s="30" t="s">
        <v>8</v>
      </c>
      <c r="D52" s="30" t="s">
        <v>160</v>
      </c>
      <c r="E52" s="30">
        <v>616</v>
      </c>
      <c r="F52" s="30">
        <v>615</v>
      </c>
      <c r="G52" s="30">
        <v>500</v>
      </c>
      <c r="H52" s="30">
        <v>500</v>
      </c>
    </row>
    <row r="53" spans="2:10" x14ac:dyDescent="0.3">
      <c r="B53" s="43">
        <v>74868</v>
      </c>
      <c r="C53" s="30" t="s">
        <v>8</v>
      </c>
      <c r="D53" s="30" t="s">
        <v>139</v>
      </c>
      <c r="E53" s="30">
        <v>740</v>
      </c>
      <c r="F53" s="30">
        <v>734</v>
      </c>
      <c r="G53" s="30">
        <v>500</v>
      </c>
      <c r="H53" s="30">
        <v>3000</v>
      </c>
    </row>
    <row r="54" spans="2:10" x14ac:dyDescent="0.3">
      <c r="B54" s="43">
        <v>74869</v>
      </c>
      <c r="C54" s="30" t="s">
        <v>8</v>
      </c>
      <c r="D54" s="30" t="s">
        <v>46</v>
      </c>
      <c r="E54" s="30">
        <v>350</v>
      </c>
      <c r="F54" s="30">
        <v>343</v>
      </c>
      <c r="G54" s="30">
        <v>500</v>
      </c>
      <c r="H54" s="30">
        <v>3500</v>
      </c>
    </row>
    <row r="55" spans="2:10" x14ac:dyDescent="0.3">
      <c r="B55" s="43">
        <v>74871</v>
      </c>
      <c r="C55" s="30" t="s">
        <v>8</v>
      </c>
      <c r="D55" s="30" t="s">
        <v>99</v>
      </c>
      <c r="E55" s="30">
        <v>371</v>
      </c>
      <c r="F55" s="30">
        <v>369.5</v>
      </c>
      <c r="G55" s="30">
        <v>1000</v>
      </c>
      <c r="H55" s="30">
        <v>1500</v>
      </c>
    </row>
    <row r="56" spans="2:10" x14ac:dyDescent="0.3">
      <c r="B56" s="43">
        <v>74874</v>
      </c>
      <c r="C56" s="30" t="s">
        <v>8</v>
      </c>
      <c r="D56" s="30" t="s">
        <v>168</v>
      </c>
      <c r="E56" s="30">
        <v>271</v>
      </c>
      <c r="F56" s="30">
        <v>274</v>
      </c>
      <c r="G56" s="30">
        <v>1000</v>
      </c>
      <c r="H56" s="49" t="s">
        <v>611</v>
      </c>
    </row>
    <row r="57" spans="2:10" x14ac:dyDescent="0.3">
      <c r="B57" s="43">
        <v>74875</v>
      </c>
      <c r="C57" s="30" t="s">
        <v>8</v>
      </c>
      <c r="D57" s="30" t="s">
        <v>34</v>
      </c>
      <c r="E57" s="30">
        <v>239</v>
      </c>
      <c r="F57" s="30">
        <v>236</v>
      </c>
      <c r="G57" s="30">
        <v>1000</v>
      </c>
      <c r="H57" s="30">
        <v>3000</v>
      </c>
    </row>
    <row r="58" spans="2:10" x14ac:dyDescent="0.3">
      <c r="B58" s="43">
        <v>74876</v>
      </c>
      <c r="C58" s="30" t="s">
        <v>8</v>
      </c>
      <c r="D58" s="30" t="s">
        <v>275</v>
      </c>
      <c r="E58" s="30">
        <v>649</v>
      </c>
      <c r="F58" s="30">
        <v>650</v>
      </c>
      <c r="G58" s="30">
        <v>500</v>
      </c>
      <c r="H58" s="30">
        <v>-500</v>
      </c>
    </row>
    <row r="59" spans="2:10" ht="18" x14ac:dyDescent="0.35">
      <c r="C59" s="30"/>
      <c r="D59" s="30"/>
      <c r="E59" s="30"/>
      <c r="F59" s="30"/>
      <c r="G59" s="30"/>
      <c r="H59" s="76" t="s">
        <v>614</v>
      </c>
    </row>
    <row r="60" spans="2:10" ht="18" x14ac:dyDescent="0.35">
      <c r="C60" s="30"/>
      <c r="D60" s="30"/>
      <c r="E60" s="30"/>
      <c r="F60" s="30"/>
      <c r="G60" s="30"/>
      <c r="H60" s="76"/>
    </row>
    <row r="61" spans="2:10" ht="18" x14ac:dyDescent="0.35">
      <c r="B61" s="43"/>
      <c r="C61" s="30"/>
      <c r="D61" s="30"/>
      <c r="E61" s="30"/>
      <c r="F61" s="30"/>
      <c r="G61" s="30"/>
      <c r="H61" s="76"/>
      <c r="J61" s="1"/>
    </row>
    <row r="62" spans="2:10" ht="15.6" x14ac:dyDescent="0.3">
      <c r="B62" s="43"/>
      <c r="C62" s="30"/>
      <c r="D62" s="30"/>
      <c r="E62" s="30"/>
      <c r="F62" s="30"/>
      <c r="G62" s="30"/>
      <c r="H62" s="33"/>
      <c r="J62" s="1"/>
    </row>
    <row r="63" spans="2:10" ht="15.6" x14ac:dyDescent="0.3">
      <c r="B63" s="48" t="s">
        <v>571</v>
      </c>
      <c r="C63" s="48"/>
      <c r="D63" s="48"/>
      <c r="E63" s="48"/>
      <c r="F63" s="48"/>
      <c r="G63" s="48"/>
      <c r="H63" s="48"/>
      <c r="J63" s="1"/>
    </row>
    <row r="64" spans="2:10" x14ac:dyDescent="0.3">
      <c r="B64" s="43">
        <v>74846</v>
      </c>
      <c r="C64" s="2" t="s">
        <v>8</v>
      </c>
      <c r="D64" s="2" t="s">
        <v>39</v>
      </c>
      <c r="E64" s="41" t="s">
        <v>579</v>
      </c>
      <c r="F64" s="40" t="s">
        <v>580</v>
      </c>
      <c r="G64" s="41" t="s">
        <v>217</v>
      </c>
      <c r="H64" s="41" t="s">
        <v>518</v>
      </c>
      <c r="J64" s="1"/>
    </row>
    <row r="65" spans="2:10" x14ac:dyDescent="0.3">
      <c r="B65" s="43">
        <v>74847</v>
      </c>
      <c r="C65" s="30" t="s">
        <v>9</v>
      </c>
      <c r="D65" s="2" t="s">
        <v>39</v>
      </c>
      <c r="E65" s="30">
        <v>8585</v>
      </c>
      <c r="F65" s="30">
        <v>8560</v>
      </c>
      <c r="G65" s="30">
        <v>100</v>
      </c>
      <c r="H65" s="30">
        <v>-2500</v>
      </c>
      <c r="J65" s="1"/>
    </row>
    <row r="66" spans="2:10" x14ac:dyDescent="0.3">
      <c r="B66" s="43">
        <v>74848</v>
      </c>
      <c r="C66" s="30" t="s">
        <v>9</v>
      </c>
      <c r="D66" s="2" t="s">
        <v>39</v>
      </c>
      <c r="E66" s="30">
        <v>8565</v>
      </c>
      <c r="F66" s="30">
        <v>8585</v>
      </c>
      <c r="G66" s="30">
        <v>100</v>
      </c>
      <c r="H66" s="30">
        <v>2000</v>
      </c>
      <c r="J66" s="1"/>
    </row>
    <row r="67" spans="2:10" x14ac:dyDescent="0.3">
      <c r="B67" s="43">
        <v>74849</v>
      </c>
      <c r="C67" s="30" t="s">
        <v>8</v>
      </c>
      <c r="D67" s="2" t="s">
        <v>39</v>
      </c>
      <c r="E67" s="30">
        <v>8595</v>
      </c>
      <c r="F67" s="30">
        <v>8575</v>
      </c>
      <c r="G67" s="41" t="s">
        <v>217</v>
      </c>
      <c r="H67" s="30">
        <v>2000</v>
      </c>
      <c r="J67" s="46"/>
    </row>
    <row r="68" spans="2:10" x14ac:dyDescent="0.3">
      <c r="B68" s="43">
        <v>74850</v>
      </c>
      <c r="C68" s="30" t="s">
        <v>8</v>
      </c>
      <c r="D68" s="2" t="s">
        <v>39</v>
      </c>
      <c r="E68" s="30">
        <v>8605</v>
      </c>
      <c r="F68" s="30">
        <v>8575</v>
      </c>
      <c r="G68" s="30">
        <v>100</v>
      </c>
      <c r="H68" s="30">
        <v>3000</v>
      </c>
      <c r="J68" s="46"/>
    </row>
    <row r="69" spans="2:10" x14ac:dyDescent="0.3">
      <c r="B69" s="43">
        <v>74853</v>
      </c>
      <c r="C69" s="30" t="s">
        <v>8</v>
      </c>
      <c r="D69" s="2" t="s">
        <v>39</v>
      </c>
      <c r="E69" s="30">
        <v>8565</v>
      </c>
      <c r="F69" s="30">
        <v>8515</v>
      </c>
      <c r="G69" s="41" t="s">
        <v>217</v>
      </c>
      <c r="H69" s="30">
        <v>5000</v>
      </c>
      <c r="J69" s="46"/>
    </row>
    <row r="70" spans="2:10" x14ac:dyDescent="0.3">
      <c r="B70" s="43">
        <v>74854</v>
      </c>
      <c r="C70" s="30" t="s">
        <v>8</v>
      </c>
      <c r="D70" s="2" t="s">
        <v>39</v>
      </c>
      <c r="E70" s="30">
        <v>8465</v>
      </c>
      <c r="F70" s="30">
        <v>8415</v>
      </c>
      <c r="G70" s="30">
        <v>100</v>
      </c>
      <c r="H70" s="30">
        <v>5000</v>
      </c>
      <c r="J70" s="46"/>
    </row>
    <row r="71" spans="2:10" x14ac:dyDescent="0.3">
      <c r="B71" s="43">
        <v>74855</v>
      </c>
      <c r="C71" s="30" t="s">
        <v>9</v>
      </c>
      <c r="D71" s="2" t="s">
        <v>39</v>
      </c>
      <c r="E71" s="30">
        <v>8395</v>
      </c>
      <c r="F71" s="30">
        <v>8420</v>
      </c>
      <c r="G71" s="30">
        <v>100</v>
      </c>
      <c r="H71" s="30">
        <v>2500</v>
      </c>
      <c r="J71" s="46"/>
    </row>
    <row r="72" spans="2:10" x14ac:dyDescent="0.3">
      <c r="B72" s="43">
        <v>74856</v>
      </c>
      <c r="C72" s="30" t="s">
        <v>8</v>
      </c>
      <c r="D72" s="2" t="s">
        <v>39</v>
      </c>
      <c r="E72" s="30">
        <v>8340</v>
      </c>
      <c r="F72" s="30">
        <v>8320</v>
      </c>
      <c r="G72" s="41" t="s">
        <v>217</v>
      </c>
      <c r="H72" s="30">
        <v>2000</v>
      </c>
      <c r="J72" s="46"/>
    </row>
    <row r="73" spans="2:10" x14ac:dyDescent="0.3">
      <c r="B73" s="43">
        <v>74857</v>
      </c>
      <c r="C73" s="30" t="s">
        <v>8</v>
      </c>
      <c r="D73" s="2" t="s">
        <v>39</v>
      </c>
      <c r="E73" s="30">
        <v>8350</v>
      </c>
      <c r="F73" s="30">
        <v>8325</v>
      </c>
      <c r="G73" s="41" t="s">
        <v>217</v>
      </c>
      <c r="H73" s="30">
        <v>-2500</v>
      </c>
      <c r="J73" s="46"/>
    </row>
    <row r="74" spans="2:10" x14ac:dyDescent="0.3">
      <c r="B74" s="43">
        <v>74857</v>
      </c>
      <c r="C74" s="30" t="s">
        <v>8</v>
      </c>
      <c r="D74" s="2" t="s">
        <v>39</v>
      </c>
      <c r="E74" s="30">
        <v>8315</v>
      </c>
      <c r="F74" s="30">
        <v>8270</v>
      </c>
      <c r="G74" s="30">
        <v>100</v>
      </c>
      <c r="H74" s="30">
        <v>4500</v>
      </c>
      <c r="J74" s="47"/>
    </row>
    <row r="75" spans="2:10" x14ac:dyDescent="0.3">
      <c r="B75" s="43">
        <v>74860</v>
      </c>
      <c r="C75" s="30" t="s">
        <v>8</v>
      </c>
      <c r="D75" s="2" t="s">
        <v>39</v>
      </c>
      <c r="E75" s="30">
        <v>8265</v>
      </c>
      <c r="F75" s="30">
        <v>8245</v>
      </c>
      <c r="G75" s="30">
        <v>100</v>
      </c>
      <c r="H75" s="30">
        <v>2000</v>
      </c>
      <c r="J75" s="46"/>
    </row>
    <row r="76" spans="2:10" x14ac:dyDescent="0.3">
      <c r="B76" s="43">
        <v>74861</v>
      </c>
      <c r="C76" s="30" t="s">
        <v>8</v>
      </c>
      <c r="D76" s="2" t="s">
        <v>39</v>
      </c>
      <c r="E76" s="30">
        <v>8200</v>
      </c>
      <c r="F76" s="30">
        <v>8140</v>
      </c>
      <c r="G76" s="30">
        <v>100</v>
      </c>
      <c r="H76" s="30">
        <v>6000</v>
      </c>
      <c r="J76" s="46"/>
    </row>
    <row r="77" spans="2:10" x14ac:dyDescent="0.3">
      <c r="B77" s="43">
        <v>74862</v>
      </c>
      <c r="C77" s="30" t="s">
        <v>8</v>
      </c>
      <c r="D77" s="2" t="s">
        <v>39</v>
      </c>
      <c r="E77" s="30">
        <v>8075</v>
      </c>
      <c r="F77" s="30">
        <v>8020</v>
      </c>
      <c r="G77" s="30">
        <v>100</v>
      </c>
      <c r="H77" s="30">
        <v>5500</v>
      </c>
      <c r="J77" s="46"/>
    </row>
    <row r="78" spans="2:10" x14ac:dyDescent="0.3">
      <c r="B78" s="43">
        <v>74863</v>
      </c>
      <c r="C78" s="30" t="s">
        <v>8</v>
      </c>
      <c r="D78" s="2" t="s">
        <v>39</v>
      </c>
      <c r="E78" s="30">
        <v>8135</v>
      </c>
      <c r="F78" s="30">
        <v>8105</v>
      </c>
      <c r="G78" s="41" t="s">
        <v>217</v>
      </c>
      <c r="H78" s="30">
        <v>3000</v>
      </c>
    </row>
    <row r="79" spans="2:10" x14ac:dyDescent="0.3">
      <c r="B79" s="43">
        <v>74864</v>
      </c>
      <c r="C79" s="30" t="s">
        <v>9</v>
      </c>
      <c r="D79" s="2" t="s">
        <v>39</v>
      </c>
      <c r="E79" s="30">
        <v>8260</v>
      </c>
      <c r="F79" s="30">
        <v>8277</v>
      </c>
      <c r="G79" s="30">
        <v>100</v>
      </c>
      <c r="H79" s="30">
        <v>1700</v>
      </c>
    </row>
    <row r="80" spans="2:10" x14ac:dyDescent="0.3">
      <c r="B80" s="43">
        <v>74867</v>
      </c>
      <c r="C80" s="30" t="s">
        <v>8</v>
      </c>
      <c r="D80" s="2" t="s">
        <v>39</v>
      </c>
      <c r="E80" s="30">
        <v>8255</v>
      </c>
      <c r="F80" s="30">
        <v>8285</v>
      </c>
      <c r="G80" s="41" t="s">
        <v>217</v>
      </c>
      <c r="H80" s="30">
        <v>-3000</v>
      </c>
    </row>
    <row r="81" spans="2:8" x14ac:dyDescent="0.3">
      <c r="B81" s="43">
        <v>74868</v>
      </c>
      <c r="C81" s="30" t="s">
        <v>8</v>
      </c>
      <c r="D81" s="2" t="s">
        <v>39</v>
      </c>
      <c r="E81" s="30">
        <v>8357</v>
      </c>
      <c r="F81" s="30">
        <v>8290</v>
      </c>
      <c r="G81" s="30">
        <v>100</v>
      </c>
      <c r="H81" s="30">
        <v>6700</v>
      </c>
    </row>
    <row r="82" spans="2:8" x14ac:dyDescent="0.3">
      <c r="B82" s="43">
        <v>74869</v>
      </c>
      <c r="C82" s="30" t="s">
        <v>8</v>
      </c>
      <c r="D82" s="2" t="s">
        <v>39</v>
      </c>
      <c r="E82" s="30">
        <v>8260</v>
      </c>
      <c r="F82" s="30">
        <v>8200</v>
      </c>
      <c r="G82" s="30">
        <v>100</v>
      </c>
      <c r="H82" s="30">
        <v>6000</v>
      </c>
    </row>
    <row r="83" spans="2:8" x14ac:dyDescent="0.3">
      <c r="B83" s="43">
        <v>74871</v>
      </c>
      <c r="C83" s="30" t="s">
        <v>8</v>
      </c>
      <c r="D83" s="2" t="s">
        <v>39</v>
      </c>
      <c r="E83" s="30">
        <v>8240</v>
      </c>
      <c r="F83" s="30">
        <v>8215</v>
      </c>
      <c r="G83" s="41" t="s">
        <v>217</v>
      </c>
      <c r="H83" s="30">
        <v>2500</v>
      </c>
    </row>
    <row r="84" spans="2:8" x14ac:dyDescent="0.3">
      <c r="B84" s="43">
        <v>74874</v>
      </c>
      <c r="C84" s="30" t="s">
        <v>9</v>
      </c>
      <c r="D84" s="2" t="s">
        <v>39</v>
      </c>
      <c r="E84" s="30">
        <v>8335</v>
      </c>
      <c r="F84" s="30">
        <v>8320</v>
      </c>
      <c r="G84" s="30">
        <v>100</v>
      </c>
      <c r="H84" s="30">
        <v>-1500</v>
      </c>
    </row>
    <row r="85" spans="2:8" x14ac:dyDescent="0.3">
      <c r="B85" s="43">
        <v>74875</v>
      </c>
      <c r="C85" s="30" t="s">
        <v>8</v>
      </c>
      <c r="D85" s="2" t="s">
        <v>39</v>
      </c>
      <c r="E85" s="30">
        <v>8315</v>
      </c>
      <c r="F85" s="30">
        <v>8290</v>
      </c>
      <c r="G85" s="41" t="s">
        <v>217</v>
      </c>
      <c r="H85" s="30">
        <v>2500</v>
      </c>
    </row>
    <row r="86" spans="2:8" x14ac:dyDescent="0.3">
      <c r="B86" s="43">
        <v>74876</v>
      </c>
      <c r="C86" s="30" t="s">
        <v>9</v>
      </c>
      <c r="D86" s="2" t="s">
        <v>39</v>
      </c>
      <c r="E86" s="30">
        <v>8330</v>
      </c>
      <c r="F86" s="30">
        <v>8355</v>
      </c>
      <c r="G86" s="30">
        <v>100</v>
      </c>
      <c r="H86" s="30">
        <v>2500</v>
      </c>
    </row>
    <row r="87" spans="2:8" ht="18" x14ac:dyDescent="0.35">
      <c r="C87" s="30"/>
      <c r="D87" s="2"/>
      <c r="E87" s="30"/>
      <c r="F87" s="30"/>
      <c r="G87" s="30"/>
      <c r="H87" s="76" t="s">
        <v>615</v>
      </c>
    </row>
    <row r="88" spans="2:8" x14ac:dyDescent="0.3">
      <c r="B88" s="43"/>
      <c r="C88" s="30"/>
      <c r="D88" s="2"/>
      <c r="E88" s="30"/>
      <c r="F88" s="30"/>
      <c r="G88" s="41"/>
      <c r="H88" s="49"/>
    </row>
    <row r="89" spans="2:8" ht="15.6" x14ac:dyDescent="0.3">
      <c r="B89" s="43"/>
      <c r="C89" s="30"/>
      <c r="D89" s="2"/>
      <c r="E89" s="30"/>
      <c r="F89" s="30"/>
      <c r="G89" s="30"/>
      <c r="H89" s="34"/>
    </row>
    <row r="90" spans="2:8" x14ac:dyDescent="0.3">
      <c r="B90" s="43"/>
      <c r="C90" s="28"/>
      <c r="D90" s="30"/>
      <c r="E90" s="28"/>
      <c r="F90" s="28"/>
      <c r="G90" s="28"/>
      <c r="H90" s="28"/>
    </row>
    <row r="91" spans="2:8" ht="15.6" x14ac:dyDescent="0.3">
      <c r="B91" s="48" t="s">
        <v>572</v>
      </c>
      <c r="C91" s="61"/>
      <c r="D91" s="61"/>
      <c r="E91" s="61"/>
      <c r="F91" s="61"/>
      <c r="G91" s="61"/>
      <c r="H91" s="61"/>
    </row>
    <row r="92" spans="2:8" x14ac:dyDescent="0.3">
      <c r="B92" s="43">
        <v>74846</v>
      </c>
      <c r="C92" s="3" t="s">
        <v>9</v>
      </c>
      <c r="D92" s="3" t="s">
        <v>581</v>
      </c>
      <c r="E92" s="40" t="s">
        <v>523</v>
      </c>
      <c r="F92" s="40" t="s">
        <v>582</v>
      </c>
      <c r="G92" s="30">
        <v>200</v>
      </c>
      <c r="H92" s="8">
        <v>4000</v>
      </c>
    </row>
    <row r="93" spans="2:8" x14ac:dyDescent="0.3">
      <c r="B93" s="43">
        <v>74847</v>
      </c>
      <c r="C93" s="3" t="s">
        <v>9</v>
      </c>
      <c r="D93" s="3" t="s">
        <v>565</v>
      </c>
      <c r="E93" s="30">
        <v>90</v>
      </c>
      <c r="F93" s="30">
        <v>85</v>
      </c>
      <c r="G93" s="30">
        <v>200</v>
      </c>
      <c r="H93" s="30">
        <v>-1000</v>
      </c>
    </row>
    <row r="94" spans="2:8" x14ac:dyDescent="0.3">
      <c r="B94" s="43">
        <v>74848</v>
      </c>
      <c r="C94" s="3" t="s">
        <v>9</v>
      </c>
      <c r="D94" s="3" t="s">
        <v>565</v>
      </c>
      <c r="E94" s="30">
        <v>72</v>
      </c>
      <c r="F94" s="30">
        <v>82</v>
      </c>
      <c r="G94" s="30">
        <v>200</v>
      </c>
      <c r="H94" s="30">
        <v>2000</v>
      </c>
    </row>
    <row r="95" spans="2:8" x14ac:dyDescent="0.3">
      <c r="B95" s="43">
        <v>74849</v>
      </c>
      <c r="C95" s="3" t="s">
        <v>9</v>
      </c>
      <c r="D95" s="30" t="s">
        <v>563</v>
      </c>
      <c r="E95" s="30">
        <v>88</v>
      </c>
      <c r="F95" s="30">
        <v>100</v>
      </c>
      <c r="G95" s="30">
        <v>200</v>
      </c>
      <c r="H95" s="30">
        <v>2400</v>
      </c>
    </row>
    <row r="96" spans="2:8" x14ac:dyDescent="0.3">
      <c r="B96" s="43">
        <v>74850</v>
      </c>
      <c r="C96" s="3" t="s">
        <v>9</v>
      </c>
      <c r="D96" s="30" t="s">
        <v>563</v>
      </c>
      <c r="E96" s="30">
        <v>80</v>
      </c>
      <c r="F96" s="30">
        <v>95</v>
      </c>
      <c r="G96" s="30">
        <v>200</v>
      </c>
      <c r="H96" s="30">
        <v>3000</v>
      </c>
    </row>
    <row r="97" spans="2:8" x14ac:dyDescent="0.3">
      <c r="B97" s="43">
        <v>74853</v>
      </c>
      <c r="C97" s="3" t="s">
        <v>9</v>
      </c>
      <c r="D97" s="30" t="s">
        <v>563</v>
      </c>
      <c r="E97" s="30">
        <v>90</v>
      </c>
      <c r="F97" s="30">
        <v>125</v>
      </c>
      <c r="G97" s="30">
        <v>200</v>
      </c>
      <c r="H97" s="30">
        <v>7000</v>
      </c>
    </row>
    <row r="98" spans="2:8" x14ac:dyDescent="0.3">
      <c r="B98" s="43">
        <v>74854</v>
      </c>
      <c r="C98" s="3" t="s">
        <v>9</v>
      </c>
      <c r="D98" s="30" t="s">
        <v>554</v>
      </c>
      <c r="E98" s="30">
        <v>98</v>
      </c>
      <c r="F98" s="30">
        <v>135</v>
      </c>
      <c r="G98" s="30">
        <v>200</v>
      </c>
      <c r="H98" s="30">
        <v>7400</v>
      </c>
    </row>
    <row r="99" spans="2:8" x14ac:dyDescent="0.3">
      <c r="B99" s="43">
        <v>74855</v>
      </c>
      <c r="C99" s="3" t="s">
        <v>9</v>
      </c>
      <c r="D99" s="30" t="s">
        <v>551</v>
      </c>
      <c r="E99" s="30">
        <v>78</v>
      </c>
      <c r="F99" s="30">
        <v>89</v>
      </c>
      <c r="G99" s="30">
        <v>200</v>
      </c>
      <c r="H99" s="30">
        <v>2200</v>
      </c>
    </row>
    <row r="100" spans="2:8" x14ac:dyDescent="0.3">
      <c r="B100" s="43">
        <v>74856</v>
      </c>
      <c r="C100" s="3" t="s">
        <v>9</v>
      </c>
      <c r="D100" s="30" t="s">
        <v>544</v>
      </c>
      <c r="E100" s="30">
        <v>108</v>
      </c>
      <c r="F100" s="30">
        <v>122</v>
      </c>
      <c r="G100" s="30">
        <v>200</v>
      </c>
      <c r="H100" s="30">
        <v>2800</v>
      </c>
    </row>
    <row r="101" spans="2:8" x14ac:dyDescent="0.3">
      <c r="B101" s="43">
        <v>74857</v>
      </c>
      <c r="C101" s="3" t="s">
        <v>9</v>
      </c>
      <c r="D101" s="30" t="s">
        <v>587</v>
      </c>
      <c r="E101" s="30">
        <v>100</v>
      </c>
      <c r="F101" s="30">
        <v>80</v>
      </c>
      <c r="G101" s="30">
        <v>200</v>
      </c>
      <c r="H101" s="30">
        <v>-4000</v>
      </c>
    </row>
    <row r="102" spans="2:8" x14ac:dyDescent="0.3">
      <c r="B102" s="43">
        <v>74860</v>
      </c>
      <c r="C102" s="3" t="s">
        <v>9</v>
      </c>
      <c r="D102" s="30" t="s">
        <v>589</v>
      </c>
      <c r="E102" s="30">
        <v>90</v>
      </c>
      <c r="F102" s="30">
        <v>80</v>
      </c>
      <c r="G102" s="30">
        <v>200</v>
      </c>
      <c r="H102" s="30">
        <v>-2000</v>
      </c>
    </row>
    <row r="103" spans="2:8" x14ac:dyDescent="0.3">
      <c r="B103" s="43">
        <v>74861</v>
      </c>
      <c r="C103" s="3" t="s">
        <v>9</v>
      </c>
      <c r="D103" s="30" t="s">
        <v>495</v>
      </c>
      <c r="E103" s="30">
        <v>70</v>
      </c>
      <c r="F103" s="30">
        <v>110</v>
      </c>
      <c r="G103" s="30">
        <v>200</v>
      </c>
      <c r="H103" s="30">
        <v>8000</v>
      </c>
    </row>
    <row r="104" spans="2:8" x14ac:dyDescent="0.3">
      <c r="B104" s="43">
        <v>74862</v>
      </c>
      <c r="C104" s="3" t="s">
        <v>9</v>
      </c>
      <c r="D104" s="30" t="s">
        <v>492</v>
      </c>
      <c r="E104" s="30">
        <v>92</v>
      </c>
      <c r="F104" s="30">
        <v>130</v>
      </c>
      <c r="G104" s="30">
        <v>200</v>
      </c>
      <c r="H104" s="30">
        <v>7600</v>
      </c>
    </row>
    <row r="105" spans="2:8" x14ac:dyDescent="0.3">
      <c r="B105" s="43">
        <v>74863</v>
      </c>
      <c r="C105" s="3" t="s">
        <v>9</v>
      </c>
      <c r="D105" s="30" t="s">
        <v>495</v>
      </c>
      <c r="E105" s="30">
        <v>100</v>
      </c>
      <c r="F105" s="30">
        <v>115</v>
      </c>
      <c r="G105" s="30">
        <v>200</v>
      </c>
      <c r="H105" s="30">
        <v>3000</v>
      </c>
    </row>
    <row r="106" spans="2:8" x14ac:dyDescent="0.3">
      <c r="B106" s="43">
        <v>74864</v>
      </c>
      <c r="C106" s="3" t="s">
        <v>9</v>
      </c>
      <c r="D106" s="30" t="s">
        <v>500</v>
      </c>
      <c r="E106" s="30">
        <v>80</v>
      </c>
      <c r="F106" s="30">
        <v>90</v>
      </c>
      <c r="G106" s="30">
        <v>200</v>
      </c>
      <c r="H106" s="30">
        <v>2000</v>
      </c>
    </row>
    <row r="107" spans="2:8" x14ac:dyDescent="0.3">
      <c r="B107" s="43">
        <v>74867</v>
      </c>
      <c r="C107" s="3" t="s">
        <v>9</v>
      </c>
      <c r="D107" s="30" t="s">
        <v>589</v>
      </c>
      <c r="E107" s="30">
        <v>65</v>
      </c>
      <c r="F107" s="30">
        <v>55</v>
      </c>
      <c r="G107" s="30">
        <v>200</v>
      </c>
      <c r="H107" s="30">
        <v>-2000</v>
      </c>
    </row>
    <row r="108" spans="2:8" x14ac:dyDescent="0.3">
      <c r="B108" s="43">
        <v>74868</v>
      </c>
      <c r="C108" s="3" t="s">
        <v>9</v>
      </c>
      <c r="D108" s="30" t="s">
        <v>544</v>
      </c>
      <c r="E108" s="30">
        <v>53</v>
      </c>
      <c r="F108" s="30">
        <v>85</v>
      </c>
      <c r="G108" s="30">
        <v>200</v>
      </c>
      <c r="H108" s="30">
        <v>7400</v>
      </c>
    </row>
    <row r="109" spans="2:8" x14ac:dyDescent="0.3">
      <c r="B109" s="43">
        <v>74869</v>
      </c>
      <c r="C109" s="3" t="s">
        <v>9</v>
      </c>
      <c r="D109" s="30" t="s">
        <v>603</v>
      </c>
      <c r="E109" s="30">
        <v>120</v>
      </c>
      <c r="F109" s="30">
        <v>160</v>
      </c>
      <c r="G109" s="30">
        <v>200</v>
      </c>
      <c r="H109" s="30">
        <v>8000</v>
      </c>
    </row>
    <row r="110" spans="2:8" x14ac:dyDescent="0.3">
      <c r="B110" s="43">
        <v>74871</v>
      </c>
      <c r="C110" s="3" t="s">
        <v>9</v>
      </c>
      <c r="D110" s="30" t="s">
        <v>495</v>
      </c>
      <c r="E110" s="30">
        <v>130</v>
      </c>
      <c r="F110" s="30">
        <v>110</v>
      </c>
      <c r="G110" s="30">
        <v>200</v>
      </c>
      <c r="H110" s="30">
        <v>-4000</v>
      </c>
    </row>
    <row r="111" spans="2:8" ht="15.6" x14ac:dyDescent="0.3">
      <c r="B111" s="43">
        <v>74874</v>
      </c>
      <c r="C111" s="3" t="s">
        <v>9</v>
      </c>
      <c r="D111" s="30" t="s">
        <v>587</v>
      </c>
      <c r="E111" s="30">
        <v>150</v>
      </c>
      <c r="F111" s="30">
        <v>140</v>
      </c>
      <c r="G111" s="30">
        <v>200</v>
      </c>
      <c r="H111" s="62" t="s">
        <v>613</v>
      </c>
    </row>
    <row r="112" spans="2:8" x14ac:dyDescent="0.3">
      <c r="B112" s="43">
        <v>74875</v>
      </c>
      <c r="C112" s="3" t="s">
        <v>9</v>
      </c>
      <c r="D112" s="30" t="s">
        <v>589</v>
      </c>
      <c r="E112" s="30">
        <v>125</v>
      </c>
      <c r="F112" s="30">
        <v>140</v>
      </c>
      <c r="G112" s="30">
        <v>200</v>
      </c>
      <c r="H112" s="49" t="s">
        <v>390</v>
      </c>
    </row>
    <row r="113" spans="2:8" x14ac:dyDescent="0.3">
      <c r="B113" s="43">
        <v>74876</v>
      </c>
      <c r="C113" s="3" t="s">
        <v>9</v>
      </c>
      <c r="D113" s="28" t="s">
        <v>587</v>
      </c>
      <c r="E113" s="49" t="s">
        <v>612</v>
      </c>
      <c r="F113" s="49" t="s">
        <v>226</v>
      </c>
      <c r="G113" s="30">
        <v>200</v>
      </c>
      <c r="H113" s="49" t="s">
        <v>311</v>
      </c>
    </row>
    <row r="114" spans="2:8" ht="18" x14ac:dyDescent="0.35">
      <c r="C114" s="3"/>
      <c r="D114" s="28"/>
      <c r="E114" s="28"/>
      <c r="F114" s="28"/>
      <c r="G114" s="30"/>
      <c r="H114" s="76" t="s">
        <v>616</v>
      </c>
    </row>
    <row r="115" spans="2:8" x14ac:dyDescent="0.3">
      <c r="C115" s="3"/>
      <c r="D115" s="28"/>
      <c r="E115" s="28"/>
      <c r="F115" s="28"/>
      <c r="G115" s="30"/>
      <c r="H115" s="28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8"/>
    </row>
    <row r="121" spans="2:8" x14ac:dyDescent="0.3">
      <c r="B121" s="1"/>
      <c r="C121" s="28"/>
      <c r="D121" s="28"/>
      <c r="E121" s="28"/>
      <c r="F121" s="28"/>
      <c r="G121" s="28"/>
      <c r="H121" s="29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</sheetData>
  <mergeCells count="3">
    <mergeCell ref="B1:H1"/>
    <mergeCell ref="B2:H2"/>
    <mergeCell ref="B3:H3"/>
  </mergeCells>
  <hyperlinks>
    <hyperlink ref="J2" location="'MASTER '!A1" display="Back" xr:uid="{00000000-0004-0000-1400-000000000000}"/>
  </hyperlinks>
  <pageMargins left="0.7" right="0.7" top="0.75" bottom="0.75" header="0.3" footer="0.3"/>
  <pageSetup orientation="portrait" horizontalDpi="300" verticalDpi="0" r:id="rId1"/>
  <ignoredErrors>
    <ignoredError sqref="G73:G74 E64:F64 H64 E36:H36 E92:F92 E6:H7 G64:G72 G77:G86 E24:H26 E27:H29 H56 E111:H113 H114 H87 H5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3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618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42005</v>
      </c>
      <c r="C6" s="2" t="s">
        <v>8</v>
      </c>
      <c r="D6" s="2" t="s">
        <v>433</v>
      </c>
      <c r="E6" s="41" t="s">
        <v>619</v>
      </c>
      <c r="F6" s="40" t="s">
        <v>620</v>
      </c>
      <c r="G6" s="5">
        <v>660</v>
      </c>
      <c r="H6" s="41" t="s">
        <v>627</v>
      </c>
      <c r="K6" s="16"/>
    </row>
    <row r="7" spans="1:14" x14ac:dyDescent="0.3">
      <c r="B7" s="43">
        <v>42006</v>
      </c>
      <c r="C7" s="2" t="s">
        <v>8</v>
      </c>
      <c r="D7" s="28" t="s">
        <v>422</v>
      </c>
      <c r="E7" s="30">
        <v>441</v>
      </c>
      <c r="F7" s="30">
        <v>435</v>
      </c>
      <c r="G7" s="30">
        <v>680</v>
      </c>
      <c r="H7" s="41" t="s">
        <v>628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42009</v>
      </c>
      <c r="C8" s="2" t="s">
        <v>8</v>
      </c>
      <c r="D8" s="28" t="s">
        <v>108</v>
      </c>
      <c r="E8" s="30">
        <v>761</v>
      </c>
      <c r="F8" s="30">
        <v>750</v>
      </c>
      <c r="G8" s="30">
        <v>394</v>
      </c>
      <c r="H8" s="30">
        <v>4334</v>
      </c>
      <c r="J8" s="16" t="s">
        <v>449</v>
      </c>
      <c r="K8" s="30">
        <v>21</v>
      </c>
      <c r="L8" s="30">
        <v>19</v>
      </c>
      <c r="M8" s="30">
        <v>1</v>
      </c>
      <c r="N8" s="30">
        <v>1</v>
      </c>
    </row>
    <row r="9" spans="1:14" x14ac:dyDescent="0.3">
      <c r="B9" s="43">
        <v>42010</v>
      </c>
      <c r="C9" s="2" t="s">
        <v>8</v>
      </c>
      <c r="D9" s="28" t="s">
        <v>46</v>
      </c>
      <c r="E9" s="30">
        <v>341</v>
      </c>
      <c r="F9" s="30">
        <v>332</v>
      </c>
      <c r="G9" s="30">
        <v>880</v>
      </c>
      <c r="H9" s="30">
        <v>7920</v>
      </c>
      <c r="J9" s="16" t="s">
        <v>450</v>
      </c>
      <c r="K9" s="30">
        <v>23</v>
      </c>
      <c r="L9" s="30">
        <v>18</v>
      </c>
      <c r="M9" s="30">
        <v>2</v>
      </c>
      <c r="N9" s="30">
        <v>3</v>
      </c>
    </row>
    <row r="10" spans="1:14" x14ac:dyDescent="0.3">
      <c r="B10" s="43">
        <v>42011</v>
      </c>
      <c r="C10" s="30" t="s">
        <v>8</v>
      </c>
      <c r="D10" s="30" t="s">
        <v>371</v>
      </c>
      <c r="E10" s="30">
        <v>315</v>
      </c>
      <c r="F10" s="30">
        <v>312</v>
      </c>
      <c r="G10" s="30">
        <v>952</v>
      </c>
      <c r="H10" s="30">
        <v>2856</v>
      </c>
      <c r="J10" s="16" t="s">
        <v>451</v>
      </c>
      <c r="K10" s="30">
        <v>21</v>
      </c>
      <c r="L10" s="30">
        <v>19</v>
      </c>
      <c r="M10" s="30">
        <v>2</v>
      </c>
      <c r="N10" s="30">
        <v>0</v>
      </c>
    </row>
    <row r="11" spans="1:14" x14ac:dyDescent="0.3">
      <c r="B11" s="43">
        <v>42012</v>
      </c>
      <c r="C11" s="2" t="s">
        <v>11</v>
      </c>
      <c r="D11" s="28" t="s">
        <v>93</v>
      </c>
      <c r="E11" s="30">
        <v>472</v>
      </c>
      <c r="F11" s="30">
        <v>476</v>
      </c>
      <c r="G11" s="30">
        <v>636</v>
      </c>
      <c r="H11" s="30">
        <v>2544</v>
      </c>
      <c r="J11" s="16" t="s">
        <v>452</v>
      </c>
      <c r="K11" s="30">
        <v>21</v>
      </c>
      <c r="L11" s="30">
        <v>19</v>
      </c>
      <c r="M11" s="30">
        <v>2</v>
      </c>
      <c r="N11" s="30">
        <v>0</v>
      </c>
    </row>
    <row r="12" spans="1:14" x14ac:dyDescent="0.3">
      <c r="B12" s="43">
        <v>42013</v>
      </c>
      <c r="C12" s="2" t="s">
        <v>8</v>
      </c>
      <c r="D12" s="28" t="s">
        <v>48</v>
      </c>
      <c r="E12" s="30">
        <v>1078</v>
      </c>
      <c r="F12" s="30">
        <v>1055</v>
      </c>
      <c r="G12" s="30">
        <v>279</v>
      </c>
      <c r="H12" s="30">
        <v>6417</v>
      </c>
      <c r="J12" s="16"/>
      <c r="K12" s="21">
        <v>86</v>
      </c>
      <c r="L12" s="21">
        <v>75</v>
      </c>
      <c r="M12" s="21">
        <v>7</v>
      </c>
      <c r="N12" s="21">
        <v>4</v>
      </c>
    </row>
    <row r="13" spans="1:14" x14ac:dyDescent="0.3">
      <c r="B13" s="43">
        <v>42016</v>
      </c>
      <c r="C13" s="2" t="s">
        <v>8</v>
      </c>
      <c r="D13" s="28" t="s">
        <v>13</v>
      </c>
      <c r="E13" s="30">
        <v>486</v>
      </c>
      <c r="F13" s="30">
        <v>479</v>
      </c>
      <c r="G13" s="30">
        <v>617</v>
      </c>
      <c r="H13" s="30">
        <v>4319</v>
      </c>
      <c r="K13" s="16"/>
    </row>
    <row r="14" spans="1:14" x14ac:dyDescent="0.3">
      <c r="B14" s="43">
        <v>42017</v>
      </c>
      <c r="C14" s="2" t="s">
        <v>8</v>
      </c>
      <c r="D14" s="28" t="s">
        <v>13</v>
      </c>
      <c r="E14" s="30">
        <v>484</v>
      </c>
      <c r="F14" s="30">
        <v>475</v>
      </c>
      <c r="G14" s="30">
        <v>619</v>
      </c>
      <c r="H14" s="30">
        <v>5571</v>
      </c>
      <c r="K14" s="68" t="s">
        <v>650</v>
      </c>
      <c r="L14" s="69"/>
      <c r="M14" s="70"/>
    </row>
    <row r="15" spans="1:14" x14ac:dyDescent="0.3">
      <c r="B15" s="43">
        <v>42018</v>
      </c>
      <c r="C15" s="2" t="s">
        <v>8</v>
      </c>
      <c r="D15" s="28" t="s">
        <v>139</v>
      </c>
      <c r="E15" s="30">
        <v>487</v>
      </c>
      <c r="F15" s="30">
        <v>480</v>
      </c>
      <c r="G15" s="30">
        <v>616</v>
      </c>
      <c r="H15" s="30">
        <v>4312</v>
      </c>
      <c r="K15" s="16"/>
    </row>
    <row r="16" spans="1:14" x14ac:dyDescent="0.3">
      <c r="B16" s="43">
        <v>42019</v>
      </c>
      <c r="C16" s="2"/>
      <c r="D16" s="28"/>
      <c r="E16" s="30"/>
      <c r="F16" s="30"/>
      <c r="G16" s="30"/>
      <c r="H16" s="30"/>
      <c r="K16" s="28"/>
      <c r="L16" s="30"/>
      <c r="M16" s="30"/>
      <c r="N16" s="30"/>
    </row>
    <row r="17" spans="2:14" x14ac:dyDescent="0.3">
      <c r="B17" s="43">
        <v>42020</v>
      </c>
      <c r="C17" s="2" t="s">
        <v>8</v>
      </c>
      <c r="D17" s="28" t="s">
        <v>98</v>
      </c>
      <c r="E17" s="30">
        <v>2925</v>
      </c>
      <c r="F17" s="30">
        <v>2910</v>
      </c>
      <c r="G17" s="30">
        <v>102</v>
      </c>
      <c r="H17" s="30">
        <v>1530</v>
      </c>
      <c r="K17" s="49"/>
      <c r="L17" s="30"/>
      <c r="M17" s="30"/>
      <c r="N17" s="30"/>
    </row>
    <row r="18" spans="2:14" x14ac:dyDescent="0.3">
      <c r="B18" s="43">
        <v>42023</v>
      </c>
      <c r="C18" s="2" t="s">
        <v>8</v>
      </c>
      <c r="D18" s="28" t="s">
        <v>173</v>
      </c>
      <c r="E18" s="30">
        <v>840</v>
      </c>
      <c r="F18" s="30">
        <v>830</v>
      </c>
      <c r="G18" s="30">
        <v>357</v>
      </c>
      <c r="H18" s="30">
        <v>3570</v>
      </c>
      <c r="K18" s="49"/>
      <c r="L18" s="30"/>
      <c r="M18" s="30"/>
      <c r="N18" s="30"/>
    </row>
    <row r="19" spans="2:14" x14ac:dyDescent="0.3">
      <c r="B19" s="43">
        <v>42024</v>
      </c>
      <c r="C19" s="2" t="s">
        <v>8</v>
      </c>
      <c r="D19" s="28" t="s">
        <v>341</v>
      </c>
      <c r="E19" s="30">
        <v>255</v>
      </c>
      <c r="F19" s="30">
        <v>249</v>
      </c>
      <c r="G19" s="30">
        <v>1176</v>
      </c>
      <c r="H19" s="30">
        <v>7056</v>
      </c>
      <c r="K19" s="49"/>
      <c r="L19" s="30"/>
      <c r="M19" s="30"/>
      <c r="N19" s="30"/>
    </row>
    <row r="20" spans="2:14" x14ac:dyDescent="0.3">
      <c r="B20" s="43">
        <v>42025</v>
      </c>
      <c r="C20" s="2" t="s">
        <v>8</v>
      </c>
      <c r="D20" s="28" t="s">
        <v>109</v>
      </c>
      <c r="E20" s="30">
        <v>1320</v>
      </c>
      <c r="F20" s="30">
        <v>1320</v>
      </c>
      <c r="G20" s="30">
        <v>227</v>
      </c>
      <c r="H20" s="30">
        <v>2272</v>
      </c>
      <c r="K20" s="49"/>
      <c r="L20" s="30"/>
      <c r="M20" s="30"/>
      <c r="N20" s="30"/>
    </row>
    <row r="21" spans="2:14" x14ac:dyDescent="0.3">
      <c r="B21" s="43">
        <v>42026</v>
      </c>
      <c r="C21" s="30" t="s">
        <v>8</v>
      </c>
      <c r="D21" s="30" t="s">
        <v>629</v>
      </c>
      <c r="E21" s="30">
        <v>1320</v>
      </c>
      <c r="F21" s="30">
        <v>1320</v>
      </c>
      <c r="G21" s="30">
        <v>227</v>
      </c>
      <c r="H21" s="30">
        <v>2272</v>
      </c>
      <c r="K21" s="49"/>
      <c r="L21" s="30"/>
      <c r="M21" s="30"/>
      <c r="N21" s="30"/>
    </row>
    <row r="22" spans="2:14" x14ac:dyDescent="0.3">
      <c r="B22" s="43">
        <v>42027</v>
      </c>
      <c r="C22" s="28" t="s">
        <v>8</v>
      </c>
      <c r="D22" s="28" t="s">
        <v>93</v>
      </c>
      <c r="E22" s="30">
        <v>459</v>
      </c>
      <c r="F22" s="30">
        <v>466</v>
      </c>
      <c r="G22" s="30">
        <v>652</v>
      </c>
      <c r="H22" s="30">
        <v>-4564</v>
      </c>
      <c r="K22" s="49"/>
      <c r="L22" s="30"/>
      <c r="M22" s="30"/>
      <c r="N22" s="30"/>
    </row>
    <row r="23" spans="2:14" x14ac:dyDescent="0.3">
      <c r="B23" s="43">
        <v>42031</v>
      </c>
      <c r="C23" s="28" t="s">
        <v>8</v>
      </c>
      <c r="D23" s="30" t="s">
        <v>365</v>
      </c>
      <c r="E23" s="30">
        <v>1016</v>
      </c>
      <c r="F23" s="30">
        <v>1006</v>
      </c>
      <c r="G23" s="30">
        <v>295</v>
      </c>
      <c r="H23" s="30">
        <v>2950</v>
      </c>
      <c r="K23" s="16"/>
    </row>
    <row r="24" spans="2:14" x14ac:dyDescent="0.3">
      <c r="B24" s="43">
        <v>42032</v>
      </c>
      <c r="C24" s="28" t="s">
        <v>8</v>
      </c>
      <c r="D24" s="28" t="s">
        <v>78</v>
      </c>
      <c r="E24" s="49" t="s">
        <v>643</v>
      </c>
      <c r="F24" s="49" t="s">
        <v>644</v>
      </c>
      <c r="G24" s="49" t="s">
        <v>394</v>
      </c>
      <c r="H24" s="74" t="s">
        <v>645</v>
      </c>
      <c r="K24" s="16"/>
    </row>
    <row r="25" spans="2:14" x14ac:dyDescent="0.3">
      <c r="B25" s="43">
        <v>42033</v>
      </c>
      <c r="C25" s="28" t="s">
        <v>8</v>
      </c>
      <c r="D25" s="28" t="s">
        <v>552</v>
      </c>
      <c r="E25" s="49" t="s">
        <v>636</v>
      </c>
      <c r="F25" s="49" t="s">
        <v>637</v>
      </c>
      <c r="G25" s="49" t="s">
        <v>642</v>
      </c>
      <c r="H25" s="74" t="s">
        <v>646</v>
      </c>
      <c r="K25" s="41"/>
    </row>
    <row r="26" spans="2:14" x14ac:dyDescent="0.3">
      <c r="B26" s="43">
        <v>42033</v>
      </c>
      <c r="C26" s="28" t="s">
        <v>8</v>
      </c>
      <c r="D26" s="28" t="s">
        <v>13</v>
      </c>
      <c r="E26" s="49" t="s">
        <v>638</v>
      </c>
      <c r="F26" s="49" t="s">
        <v>639</v>
      </c>
      <c r="G26" s="49" t="s">
        <v>641</v>
      </c>
      <c r="H26" s="74" t="s">
        <v>647</v>
      </c>
      <c r="K26" s="41"/>
    </row>
    <row r="27" spans="2:14" x14ac:dyDescent="0.3">
      <c r="B27" s="43">
        <v>42034</v>
      </c>
      <c r="C27" s="28" t="s">
        <v>8</v>
      </c>
      <c r="D27" s="28" t="s">
        <v>109</v>
      </c>
      <c r="E27" s="49" t="s">
        <v>633</v>
      </c>
      <c r="F27" s="49" t="s">
        <v>648</v>
      </c>
      <c r="G27" s="49" t="s">
        <v>640</v>
      </c>
      <c r="H27" s="74" t="s">
        <v>649</v>
      </c>
      <c r="L27" s="30"/>
    </row>
    <row r="28" spans="2:14" ht="15.6" x14ac:dyDescent="0.3">
      <c r="C28" s="28"/>
      <c r="D28" s="28"/>
      <c r="E28" s="49"/>
      <c r="F28" s="49"/>
      <c r="G28" s="49"/>
      <c r="H28" s="65" t="s">
        <v>651</v>
      </c>
      <c r="L28" s="30"/>
    </row>
    <row r="29" spans="2:14" x14ac:dyDescent="0.3">
      <c r="C29" s="28"/>
      <c r="D29" s="28"/>
      <c r="E29" s="49"/>
      <c r="F29" s="49"/>
      <c r="G29" s="49"/>
      <c r="H29" s="74"/>
      <c r="L29" s="30"/>
    </row>
    <row r="30" spans="2:14" x14ac:dyDescent="0.3">
      <c r="C30" s="28"/>
      <c r="D30" s="28"/>
      <c r="E30" s="49"/>
      <c r="F30" s="49"/>
      <c r="G30" s="49"/>
      <c r="H30" s="74"/>
      <c r="L30" s="30"/>
    </row>
    <row r="31" spans="2:14" ht="18" x14ac:dyDescent="0.35">
      <c r="B31" s="43"/>
      <c r="C31" s="28"/>
      <c r="D31" s="28"/>
      <c r="E31" s="28"/>
      <c r="F31" s="28"/>
      <c r="G31" s="28"/>
      <c r="H31" s="76"/>
      <c r="L31" s="30"/>
    </row>
    <row r="32" spans="2:14" ht="15.6" x14ac:dyDescent="0.3">
      <c r="C32" s="28"/>
      <c r="D32" s="28"/>
      <c r="E32" s="28"/>
      <c r="F32" s="28"/>
      <c r="G32" s="28"/>
      <c r="H32" s="34"/>
      <c r="L32" s="30"/>
    </row>
    <row r="33" spans="2:12" ht="15.6" x14ac:dyDescent="0.3">
      <c r="C33" s="28"/>
      <c r="D33" s="28"/>
      <c r="E33" s="28"/>
      <c r="F33" s="28"/>
      <c r="G33" s="28"/>
      <c r="H33" s="34"/>
      <c r="L33" s="30"/>
    </row>
    <row r="34" spans="2:12" ht="15.6" x14ac:dyDescent="0.3">
      <c r="C34" s="28"/>
      <c r="D34" s="28"/>
      <c r="E34" s="28"/>
      <c r="F34" s="28"/>
      <c r="G34" s="28"/>
      <c r="H34" s="34"/>
      <c r="L34" s="30"/>
    </row>
    <row r="35" spans="2:12" x14ac:dyDescent="0.3">
      <c r="L35" s="30"/>
    </row>
    <row r="36" spans="2:12" ht="15.6" x14ac:dyDescent="0.3">
      <c r="B36" s="48" t="s">
        <v>62</v>
      </c>
      <c r="C36" s="48"/>
      <c r="D36" s="48"/>
      <c r="E36" s="48"/>
      <c r="F36" s="48"/>
      <c r="G36" s="48"/>
      <c r="H36" s="48"/>
      <c r="L36" s="30"/>
    </row>
    <row r="37" spans="2:12" x14ac:dyDescent="0.3">
      <c r="B37" s="43">
        <v>42005</v>
      </c>
      <c r="C37" s="2" t="s">
        <v>8</v>
      </c>
      <c r="D37" s="2" t="s">
        <v>621</v>
      </c>
      <c r="E37" s="41" t="s">
        <v>622</v>
      </c>
      <c r="F37" s="40" t="s">
        <v>248</v>
      </c>
      <c r="G37" s="5">
        <v>1000</v>
      </c>
      <c r="H37" s="40" t="s">
        <v>311</v>
      </c>
      <c r="L37" s="30"/>
    </row>
    <row r="38" spans="2:12" x14ac:dyDescent="0.3">
      <c r="B38" s="43">
        <v>42006</v>
      </c>
      <c r="C38" s="30" t="s">
        <v>8</v>
      </c>
      <c r="D38" s="30" t="s">
        <v>108</v>
      </c>
      <c r="E38" s="30">
        <v>778</v>
      </c>
      <c r="F38" s="30">
        <v>773</v>
      </c>
      <c r="G38" s="30">
        <v>250</v>
      </c>
      <c r="H38" s="30">
        <v>1250</v>
      </c>
      <c r="L38" s="30"/>
    </row>
    <row r="39" spans="2:12" x14ac:dyDescent="0.3">
      <c r="B39" s="43">
        <v>42009</v>
      </c>
      <c r="C39" s="30" t="s">
        <v>8</v>
      </c>
      <c r="D39" s="30" t="s">
        <v>85</v>
      </c>
      <c r="E39" s="30">
        <v>364</v>
      </c>
      <c r="F39" s="30">
        <v>359</v>
      </c>
      <c r="G39" s="30">
        <v>1000</v>
      </c>
      <c r="H39" s="30">
        <v>4000</v>
      </c>
      <c r="L39" s="30"/>
    </row>
    <row r="40" spans="2:12" x14ac:dyDescent="0.3">
      <c r="B40" s="43">
        <v>42010</v>
      </c>
      <c r="C40" s="30" t="s">
        <v>8</v>
      </c>
      <c r="D40" s="30" t="s">
        <v>78</v>
      </c>
      <c r="E40" s="30">
        <v>1526</v>
      </c>
      <c r="F40" s="30">
        <v>1505</v>
      </c>
      <c r="G40" s="30">
        <v>250</v>
      </c>
      <c r="H40" s="30">
        <v>5250</v>
      </c>
      <c r="L40" s="30"/>
    </row>
    <row r="41" spans="2:12" x14ac:dyDescent="0.3">
      <c r="B41" s="43">
        <v>42011</v>
      </c>
      <c r="C41" s="30" t="s">
        <v>8</v>
      </c>
      <c r="D41" s="30" t="s">
        <v>30</v>
      </c>
      <c r="E41" s="30">
        <v>419</v>
      </c>
      <c r="F41" s="30">
        <v>419</v>
      </c>
      <c r="G41" s="30">
        <v>500</v>
      </c>
      <c r="H41" s="30">
        <v>0</v>
      </c>
      <c r="L41" s="30"/>
    </row>
    <row r="42" spans="2:12" x14ac:dyDescent="0.3">
      <c r="B42" s="43">
        <v>42012</v>
      </c>
      <c r="C42" s="30" t="s">
        <v>8</v>
      </c>
      <c r="D42" s="30" t="s">
        <v>31</v>
      </c>
      <c r="E42" s="30">
        <v>850</v>
      </c>
      <c r="F42" s="30">
        <v>846</v>
      </c>
      <c r="G42" s="30">
        <v>250</v>
      </c>
      <c r="H42" s="30">
        <v>1000</v>
      </c>
      <c r="L42" s="30"/>
    </row>
    <row r="43" spans="2:12" x14ac:dyDescent="0.3">
      <c r="B43" s="43">
        <v>42013</v>
      </c>
      <c r="C43" s="30" t="s">
        <v>8</v>
      </c>
      <c r="D43" s="30" t="s">
        <v>48</v>
      </c>
      <c r="E43" s="30">
        <v>1078</v>
      </c>
      <c r="F43" s="30">
        <v>1053</v>
      </c>
      <c r="G43" s="30">
        <v>250</v>
      </c>
      <c r="H43" s="30">
        <v>6250</v>
      </c>
      <c r="K43" s="74"/>
    </row>
    <row r="44" spans="2:12" x14ac:dyDescent="0.3">
      <c r="B44" s="43">
        <v>42016</v>
      </c>
      <c r="C44" s="30" t="s">
        <v>8</v>
      </c>
      <c r="D44" s="30" t="s">
        <v>25</v>
      </c>
      <c r="E44" s="30">
        <v>397</v>
      </c>
      <c r="F44" s="30">
        <v>394</v>
      </c>
      <c r="G44" s="30">
        <v>1000</v>
      </c>
      <c r="H44" s="30">
        <v>3000</v>
      </c>
      <c r="K44" s="74"/>
    </row>
    <row r="45" spans="2:12" x14ac:dyDescent="0.3">
      <c r="B45" s="43">
        <v>42017</v>
      </c>
      <c r="C45" s="30" t="s">
        <v>8</v>
      </c>
      <c r="D45" s="30" t="s">
        <v>435</v>
      </c>
      <c r="E45" s="30">
        <v>243</v>
      </c>
      <c r="F45" s="30">
        <v>238</v>
      </c>
      <c r="G45" s="30">
        <v>1000</v>
      </c>
      <c r="H45" s="30">
        <v>5000</v>
      </c>
      <c r="K45" s="74"/>
    </row>
    <row r="46" spans="2:12" ht="15.6" x14ac:dyDescent="0.3">
      <c r="B46" s="43">
        <v>42018</v>
      </c>
      <c r="C46" s="30" t="s">
        <v>8</v>
      </c>
      <c r="D46" s="30" t="s">
        <v>106</v>
      </c>
      <c r="E46" s="30">
        <v>463</v>
      </c>
      <c r="F46" s="30">
        <v>451</v>
      </c>
      <c r="G46" s="30">
        <v>500</v>
      </c>
      <c r="H46" s="30">
        <v>6000</v>
      </c>
      <c r="K46" s="62"/>
    </row>
    <row r="47" spans="2:12" x14ac:dyDescent="0.3">
      <c r="B47" s="43">
        <v>42019</v>
      </c>
      <c r="C47" s="30" t="s">
        <v>8</v>
      </c>
      <c r="D47" s="30" t="s">
        <v>106</v>
      </c>
      <c r="E47" s="30">
        <v>459</v>
      </c>
      <c r="F47" s="30">
        <v>465</v>
      </c>
      <c r="G47" s="30">
        <v>500</v>
      </c>
      <c r="H47" s="30">
        <v>-3000</v>
      </c>
      <c r="K47" s="74"/>
    </row>
    <row r="48" spans="2:12" x14ac:dyDescent="0.3">
      <c r="B48" s="43">
        <v>42020</v>
      </c>
      <c r="C48" s="30" t="s">
        <v>8</v>
      </c>
      <c r="D48" s="30" t="s">
        <v>85</v>
      </c>
      <c r="E48" s="30">
        <v>343</v>
      </c>
      <c r="F48" s="30">
        <v>344</v>
      </c>
      <c r="G48" s="30">
        <v>1000</v>
      </c>
      <c r="H48" s="30">
        <v>-1000</v>
      </c>
      <c r="K48" s="74"/>
    </row>
    <row r="49" spans="2:10" x14ac:dyDescent="0.3">
      <c r="B49" s="43">
        <v>42023</v>
      </c>
      <c r="C49" s="30" t="s">
        <v>8</v>
      </c>
      <c r="D49" s="30" t="s">
        <v>119</v>
      </c>
      <c r="E49" s="30">
        <v>1390</v>
      </c>
      <c r="F49" s="30">
        <v>1390</v>
      </c>
      <c r="G49" s="30">
        <v>250</v>
      </c>
      <c r="H49" s="30">
        <v>0</v>
      </c>
    </row>
    <row r="50" spans="2:10" x14ac:dyDescent="0.3">
      <c r="B50" s="43">
        <v>42024</v>
      </c>
      <c r="C50" s="30" t="s">
        <v>8</v>
      </c>
      <c r="D50" s="30" t="s">
        <v>502</v>
      </c>
      <c r="E50" s="30">
        <v>1130</v>
      </c>
      <c r="F50" s="30">
        <v>1124</v>
      </c>
      <c r="G50" s="30">
        <v>250</v>
      </c>
      <c r="H50" s="30">
        <v>1500</v>
      </c>
    </row>
    <row r="51" spans="2:10" x14ac:dyDescent="0.3">
      <c r="B51" s="43">
        <v>42025</v>
      </c>
      <c r="C51" s="30" t="s">
        <v>8</v>
      </c>
      <c r="D51" s="30" t="s">
        <v>630</v>
      </c>
      <c r="E51" s="30">
        <v>313</v>
      </c>
      <c r="F51" s="30">
        <v>308</v>
      </c>
      <c r="G51" s="30">
        <v>1000</v>
      </c>
      <c r="H51" s="30">
        <v>5000</v>
      </c>
    </row>
    <row r="52" spans="2:10" x14ac:dyDescent="0.3">
      <c r="B52" s="43">
        <v>42026</v>
      </c>
      <c r="C52" s="30" t="s">
        <v>8</v>
      </c>
      <c r="D52" s="30" t="s">
        <v>109</v>
      </c>
      <c r="E52" s="30">
        <v>1335</v>
      </c>
      <c r="F52" s="30">
        <v>1325</v>
      </c>
      <c r="G52" s="30">
        <v>250</v>
      </c>
      <c r="H52" s="30">
        <v>2500</v>
      </c>
    </row>
    <row r="53" spans="2:10" x14ac:dyDescent="0.3">
      <c r="B53" s="43">
        <v>42027</v>
      </c>
      <c r="C53" s="30" t="s">
        <v>8</v>
      </c>
      <c r="D53" s="30" t="s">
        <v>117</v>
      </c>
      <c r="E53" s="30">
        <v>247</v>
      </c>
      <c r="F53" s="30">
        <v>251</v>
      </c>
      <c r="G53" s="30">
        <v>1000</v>
      </c>
      <c r="H53" s="30">
        <v>-4000</v>
      </c>
    </row>
    <row r="54" spans="2:10" x14ac:dyDescent="0.3">
      <c r="B54" s="43">
        <v>42031</v>
      </c>
      <c r="C54" s="30" t="s">
        <v>8</v>
      </c>
      <c r="D54" s="30" t="s">
        <v>13</v>
      </c>
      <c r="E54" s="30">
        <v>486</v>
      </c>
      <c r="F54" s="30">
        <v>481</v>
      </c>
      <c r="G54" s="30">
        <v>500</v>
      </c>
      <c r="H54" s="30">
        <v>2500</v>
      </c>
    </row>
    <row r="55" spans="2:10" x14ac:dyDescent="0.3">
      <c r="B55" s="43">
        <v>42032</v>
      </c>
      <c r="C55" s="30" t="s">
        <v>8</v>
      </c>
      <c r="D55" s="30" t="s">
        <v>78</v>
      </c>
      <c r="E55" s="30">
        <v>1727</v>
      </c>
      <c r="F55" s="30">
        <v>1705</v>
      </c>
      <c r="G55" s="30">
        <v>250</v>
      </c>
      <c r="H55" s="30">
        <v>5500</v>
      </c>
    </row>
    <row r="56" spans="2:10" x14ac:dyDescent="0.3">
      <c r="B56" s="43">
        <v>42033</v>
      </c>
      <c r="C56" s="30" t="s">
        <v>8</v>
      </c>
      <c r="D56" s="30" t="s">
        <v>552</v>
      </c>
      <c r="E56" s="30">
        <v>868</v>
      </c>
      <c r="F56" s="30">
        <v>864</v>
      </c>
      <c r="G56" s="30">
        <v>500</v>
      </c>
      <c r="H56" s="30">
        <v>2000</v>
      </c>
    </row>
    <row r="57" spans="2:10" x14ac:dyDescent="0.3">
      <c r="B57" s="43">
        <v>42033</v>
      </c>
      <c r="C57" s="30" t="s">
        <v>8</v>
      </c>
      <c r="D57" s="30" t="s">
        <v>13</v>
      </c>
      <c r="E57" s="30">
        <v>482</v>
      </c>
      <c r="F57" s="30">
        <v>478</v>
      </c>
      <c r="G57" s="30">
        <v>500</v>
      </c>
      <c r="H57" s="30">
        <v>2000</v>
      </c>
    </row>
    <row r="58" spans="2:10" x14ac:dyDescent="0.3">
      <c r="B58" s="43">
        <v>42034</v>
      </c>
      <c r="C58" s="30" t="s">
        <v>8</v>
      </c>
      <c r="D58" s="30" t="s">
        <v>107</v>
      </c>
      <c r="E58" s="30">
        <v>2405</v>
      </c>
      <c r="F58" s="30">
        <v>2390</v>
      </c>
      <c r="G58" s="30">
        <v>125</v>
      </c>
      <c r="H58" s="49" t="s">
        <v>635</v>
      </c>
    </row>
    <row r="59" spans="2:10" x14ac:dyDescent="0.3">
      <c r="B59" s="43">
        <v>42034</v>
      </c>
      <c r="C59" s="30" t="s">
        <v>8</v>
      </c>
      <c r="D59" s="30" t="s">
        <v>78</v>
      </c>
      <c r="E59" s="30">
        <v>1718</v>
      </c>
      <c r="F59" s="30">
        <v>1700</v>
      </c>
      <c r="G59" s="30">
        <v>250</v>
      </c>
      <c r="H59" s="30">
        <v>4500</v>
      </c>
    </row>
    <row r="60" spans="2:10" ht="15.6" x14ac:dyDescent="0.3">
      <c r="B60" s="43"/>
      <c r="C60" s="30"/>
      <c r="D60" s="30"/>
      <c r="E60" s="30"/>
      <c r="F60" s="30"/>
      <c r="G60" s="30"/>
      <c r="H60" s="33">
        <v>53125</v>
      </c>
    </row>
    <row r="61" spans="2:10" ht="18" x14ac:dyDescent="0.35">
      <c r="C61" s="30"/>
      <c r="D61" s="30"/>
      <c r="E61" s="30"/>
      <c r="F61" s="30"/>
      <c r="G61" s="30"/>
      <c r="H61" s="76"/>
      <c r="J61" s="1"/>
    </row>
    <row r="62" spans="2:10" ht="18" x14ac:dyDescent="0.35">
      <c r="C62" s="30"/>
      <c r="D62" s="30"/>
      <c r="E62" s="30"/>
      <c r="F62" s="30"/>
      <c r="G62" s="30"/>
      <c r="H62" s="76"/>
      <c r="J62" s="1"/>
    </row>
    <row r="63" spans="2:10" ht="18" x14ac:dyDescent="0.35">
      <c r="B63" s="43"/>
      <c r="C63" s="30"/>
      <c r="D63" s="30"/>
      <c r="E63" s="30"/>
      <c r="F63" s="30"/>
      <c r="G63" s="30"/>
      <c r="H63" s="76"/>
      <c r="J63" s="1"/>
    </row>
    <row r="64" spans="2:10" ht="15.6" x14ac:dyDescent="0.3">
      <c r="B64" s="43"/>
      <c r="C64" s="30"/>
      <c r="D64" s="30"/>
      <c r="E64" s="30"/>
      <c r="F64" s="30"/>
      <c r="G64" s="30"/>
      <c r="H64" s="33"/>
      <c r="J64" s="1"/>
    </row>
    <row r="65" spans="2:10" ht="15.6" x14ac:dyDescent="0.3">
      <c r="B65" s="48" t="s">
        <v>571</v>
      </c>
      <c r="C65" s="48"/>
      <c r="D65" s="48"/>
      <c r="E65" s="48"/>
      <c r="F65" s="48"/>
      <c r="G65" s="48"/>
      <c r="H65" s="48"/>
      <c r="J65" s="1"/>
    </row>
    <row r="66" spans="2:10" x14ac:dyDescent="0.3">
      <c r="B66" s="43">
        <v>42005</v>
      </c>
      <c r="C66" s="2" t="s">
        <v>9</v>
      </c>
      <c r="D66" s="2" t="s">
        <v>39</v>
      </c>
      <c r="E66" s="41" t="s">
        <v>623</v>
      </c>
      <c r="F66" s="40" t="s">
        <v>624</v>
      </c>
      <c r="G66" s="41" t="s">
        <v>217</v>
      </c>
      <c r="H66" s="41" t="s">
        <v>518</v>
      </c>
      <c r="J66" s="1"/>
    </row>
    <row r="67" spans="2:10" x14ac:dyDescent="0.3">
      <c r="B67" s="43">
        <v>42006</v>
      </c>
      <c r="C67" s="30" t="s">
        <v>9</v>
      </c>
      <c r="D67" s="2" t="s">
        <v>39</v>
      </c>
      <c r="E67" s="30">
        <v>8430</v>
      </c>
      <c r="F67" s="30">
        <v>8455</v>
      </c>
      <c r="G67" s="41" t="s">
        <v>217</v>
      </c>
      <c r="H67" s="30">
        <v>2500</v>
      </c>
      <c r="J67" s="46"/>
    </row>
    <row r="68" spans="2:10" x14ac:dyDescent="0.3">
      <c r="B68" s="43">
        <v>42009</v>
      </c>
      <c r="C68" s="30" t="s">
        <v>9</v>
      </c>
      <c r="D68" s="2" t="s">
        <v>39</v>
      </c>
      <c r="E68" s="30">
        <v>8470</v>
      </c>
      <c r="F68" s="30">
        <v>8488</v>
      </c>
      <c r="G68" s="30">
        <v>100</v>
      </c>
      <c r="H68" s="30">
        <v>1800</v>
      </c>
      <c r="J68" s="46"/>
    </row>
    <row r="69" spans="2:10" x14ac:dyDescent="0.3">
      <c r="B69" s="43">
        <v>42010</v>
      </c>
      <c r="C69" s="30" t="s">
        <v>8</v>
      </c>
      <c r="D69" s="2" t="s">
        <v>39</v>
      </c>
      <c r="E69" s="30">
        <v>8280</v>
      </c>
      <c r="F69" s="30">
        <v>8220</v>
      </c>
      <c r="G69" s="41" t="s">
        <v>217</v>
      </c>
      <c r="H69" s="30">
        <v>6000</v>
      </c>
      <c r="J69" s="46"/>
    </row>
    <row r="70" spans="2:10" x14ac:dyDescent="0.3">
      <c r="B70" s="43">
        <v>42011</v>
      </c>
      <c r="C70" s="30" t="s">
        <v>8</v>
      </c>
      <c r="D70" s="2" t="s">
        <v>39</v>
      </c>
      <c r="E70" s="30">
        <v>8165</v>
      </c>
      <c r="F70" s="30">
        <v>8110</v>
      </c>
      <c r="G70" s="30">
        <v>100</v>
      </c>
      <c r="H70" s="30">
        <v>4500</v>
      </c>
      <c r="J70" s="46"/>
    </row>
    <row r="71" spans="2:10" x14ac:dyDescent="0.3">
      <c r="B71" s="43">
        <v>42012</v>
      </c>
      <c r="C71" s="30" t="s">
        <v>9</v>
      </c>
      <c r="D71" s="2" t="s">
        <v>39</v>
      </c>
      <c r="E71" s="30">
        <v>8225</v>
      </c>
      <c r="F71" s="30">
        <v>8265</v>
      </c>
      <c r="G71" s="41" t="s">
        <v>217</v>
      </c>
      <c r="H71" s="30">
        <v>4000</v>
      </c>
      <c r="J71" s="46"/>
    </row>
    <row r="72" spans="2:10" x14ac:dyDescent="0.3">
      <c r="B72" s="43">
        <v>42013</v>
      </c>
      <c r="C72" s="30" t="s">
        <v>8</v>
      </c>
      <c r="D72" s="2" t="s">
        <v>39</v>
      </c>
      <c r="E72" s="30">
        <v>8305</v>
      </c>
      <c r="F72" s="30">
        <v>8245</v>
      </c>
      <c r="G72" s="41" t="s">
        <v>217</v>
      </c>
      <c r="H72" s="30">
        <v>5000</v>
      </c>
      <c r="J72" s="46"/>
    </row>
    <row r="73" spans="2:10" x14ac:dyDescent="0.3">
      <c r="B73" s="43">
        <v>42016</v>
      </c>
      <c r="C73" s="30" t="s">
        <v>8</v>
      </c>
      <c r="D73" s="2" t="s">
        <v>39</v>
      </c>
      <c r="E73" s="30">
        <v>8310</v>
      </c>
      <c r="F73" s="30">
        <v>8285</v>
      </c>
      <c r="G73" s="41" t="s">
        <v>217</v>
      </c>
      <c r="H73" s="30">
        <v>2500</v>
      </c>
      <c r="J73" s="46"/>
    </row>
    <row r="74" spans="2:10" x14ac:dyDescent="0.3">
      <c r="B74" s="43">
        <v>42017</v>
      </c>
      <c r="C74" s="30" t="s">
        <v>8</v>
      </c>
      <c r="D74" s="2" t="s">
        <v>39</v>
      </c>
      <c r="E74" s="30">
        <v>8365</v>
      </c>
      <c r="F74" s="30">
        <v>8340</v>
      </c>
      <c r="G74" s="30">
        <v>100</v>
      </c>
      <c r="H74" s="30">
        <v>2500</v>
      </c>
      <c r="J74" s="47"/>
    </row>
    <row r="75" spans="2:10" x14ac:dyDescent="0.3">
      <c r="B75" s="43">
        <v>42018</v>
      </c>
      <c r="C75" s="30" t="s">
        <v>8</v>
      </c>
      <c r="D75" s="2" t="s">
        <v>39</v>
      </c>
      <c r="E75" s="30">
        <v>8330</v>
      </c>
      <c r="F75" s="30">
        <v>8270</v>
      </c>
      <c r="G75" s="41" t="s">
        <v>217</v>
      </c>
      <c r="H75" s="30">
        <v>5000</v>
      </c>
      <c r="J75" s="46"/>
    </row>
    <row r="76" spans="2:10" x14ac:dyDescent="0.3">
      <c r="B76" s="43">
        <v>42019</v>
      </c>
      <c r="C76" s="30" t="s">
        <v>8</v>
      </c>
      <c r="D76" s="2" t="s">
        <v>39</v>
      </c>
      <c r="E76" s="30">
        <v>8440</v>
      </c>
      <c r="F76" s="30">
        <v>8470</v>
      </c>
      <c r="G76" s="30">
        <v>100</v>
      </c>
      <c r="H76" s="30">
        <v>-3000</v>
      </c>
      <c r="J76" s="46"/>
    </row>
    <row r="77" spans="2:10" x14ac:dyDescent="0.3">
      <c r="B77" s="43">
        <v>42020</v>
      </c>
      <c r="C77" s="30" t="s">
        <v>9</v>
      </c>
      <c r="D77" s="2" t="s">
        <v>39</v>
      </c>
      <c r="E77" s="30">
        <v>8500</v>
      </c>
      <c r="F77" s="30">
        <v>8540</v>
      </c>
      <c r="G77" s="41" t="s">
        <v>217</v>
      </c>
      <c r="H77" s="30">
        <v>4000</v>
      </c>
      <c r="J77" s="46"/>
    </row>
    <row r="78" spans="2:10" x14ac:dyDescent="0.3">
      <c r="B78" s="43">
        <v>42023</v>
      </c>
      <c r="C78" s="30" t="s">
        <v>9</v>
      </c>
      <c r="D78" s="2" t="s">
        <v>39</v>
      </c>
      <c r="E78" s="30">
        <v>8570</v>
      </c>
      <c r="F78" s="30">
        <v>8585</v>
      </c>
      <c r="G78" s="41" t="s">
        <v>217</v>
      </c>
      <c r="H78" s="30">
        <v>1500</v>
      </c>
    </row>
    <row r="79" spans="2:10" x14ac:dyDescent="0.3">
      <c r="B79" s="43">
        <v>42024</v>
      </c>
      <c r="C79" s="30" t="s">
        <v>11</v>
      </c>
      <c r="D79" s="2" t="s">
        <v>39</v>
      </c>
      <c r="E79" s="30">
        <v>8610</v>
      </c>
      <c r="F79" s="30">
        <v>8665</v>
      </c>
      <c r="G79" s="41" t="s">
        <v>217</v>
      </c>
      <c r="H79" s="30">
        <v>5500</v>
      </c>
    </row>
    <row r="80" spans="2:10" x14ac:dyDescent="0.3">
      <c r="B80" s="43">
        <v>42025</v>
      </c>
      <c r="C80" s="30" t="s">
        <v>8</v>
      </c>
      <c r="D80" s="2" t="s">
        <v>39</v>
      </c>
      <c r="E80" s="30">
        <v>8745</v>
      </c>
      <c r="F80" s="30">
        <v>8705</v>
      </c>
      <c r="G80" s="30">
        <v>100</v>
      </c>
      <c r="H80" s="30">
        <v>4000</v>
      </c>
    </row>
    <row r="81" spans="2:8" x14ac:dyDescent="0.3">
      <c r="B81" s="43">
        <v>42026</v>
      </c>
      <c r="C81" s="30" t="s">
        <v>8</v>
      </c>
      <c r="D81" s="2" t="s">
        <v>39</v>
      </c>
      <c r="E81" s="30">
        <v>8780</v>
      </c>
      <c r="F81" s="30">
        <v>8750</v>
      </c>
      <c r="G81" s="41" t="s">
        <v>217</v>
      </c>
      <c r="H81" s="30">
        <v>3000</v>
      </c>
    </row>
    <row r="82" spans="2:8" x14ac:dyDescent="0.3">
      <c r="B82" s="43">
        <v>42027</v>
      </c>
      <c r="C82" s="30" t="s">
        <v>8</v>
      </c>
      <c r="D82" s="2" t="s">
        <v>39</v>
      </c>
      <c r="E82" s="30">
        <v>8850</v>
      </c>
      <c r="F82" s="30">
        <v>8810</v>
      </c>
      <c r="G82" s="30">
        <v>100</v>
      </c>
      <c r="H82" s="30">
        <v>4000</v>
      </c>
    </row>
    <row r="83" spans="2:8" x14ac:dyDescent="0.3">
      <c r="B83" s="43">
        <v>42031</v>
      </c>
      <c r="C83" s="30" t="s">
        <v>8</v>
      </c>
      <c r="D83" s="2" t="s">
        <v>39</v>
      </c>
      <c r="E83" s="30">
        <v>8870</v>
      </c>
      <c r="F83" s="30">
        <v>8845</v>
      </c>
      <c r="G83" s="41" t="s">
        <v>217</v>
      </c>
      <c r="H83" s="30">
        <v>2500</v>
      </c>
    </row>
    <row r="84" spans="2:8" x14ac:dyDescent="0.3">
      <c r="B84" s="43">
        <v>42032</v>
      </c>
      <c r="C84" s="30" t="s">
        <v>8</v>
      </c>
      <c r="D84" s="2" t="s">
        <v>39</v>
      </c>
      <c r="E84" s="30">
        <v>8920</v>
      </c>
      <c r="F84" s="30">
        <v>8900</v>
      </c>
      <c r="G84" s="41" t="s">
        <v>217</v>
      </c>
      <c r="H84" s="30">
        <v>2000</v>
      </c>
    </row>
    <row r="85" spans="2:8" x14ac:dyDescent="0.3">
      <c r="B85" s="43">
        <v>42033</v>
      </c>
      <c r="C85" s="30" t="s">
        <v>8</v>
      </c>
      <c r="D85" s="2" t="s">
        <v>39</v>
      </c>
      <c r="E85" s="30">
        <v>8880</v>
      </c>
      <c r="F85" s="30">
        <v>8920</v>
      </c>
      <c r="G85" s="41" t="s">
        <v>217</v>
      </c>
      <c r="H85" s="30">
        <v>-4000</v>
      </c>
    </row>
    <row r="86" spans="2:8" x14ac:dyDescent="0.3">
      <c r="B86" s="43">
        <v>42034</v>
      </c>
      <c r="C86" s="30" t="s">
        <v>8</v>
      </c>
      <c r="D86" s="2" t="s">
        <v>39</v>
      </c>
      <c r="E86" s="30">
        <v>8970</v>
      </c>
      <c r="F86" s="30">
        <v>8915</v>
      </c>
      <c r="G86" s="30">
        <v>100</v>
      </c>
      <c r="H86" s="30">
        <v>5500</v>
      </c>
    </row>
    <row r="87" spans="2:8" ht="15.6" x14ac:dyDescent="0.3">
      <c r="B87" s="43"/>
      <c r="C87" s="30"/>
      <c r="D87" s="2"/>
      <c r="E87" s="30"/>
      <c r="F87" s="30"/>
      <c r="G87" s="41"/>
      <c r="H87" s="33">
        <v>62800</v>
      </c>
    </row>
    <row r="88" spans="2:8" x14ac:dyDescent="0.3">
      <c r="B88" s="43"/>
      <c r="C88" s="30"/>
      <c r="D88" s="2"/>
      <c r="E88" s="30"/>
      <c r="F88" s="30"/>
      <c r="G88" s="30"/>
      <c r="H88" s="30"/>
    </row>
    <row r="89" spans="2:8" ht="18" x14ac:dyDescent="0.35">
      <c r="C89" s="30"/>
      <c r="D89" s="2"/>
      <c r="E89" s="30"/>
      <c r="F89" s="30"/>
      <c r="G89" s="41"/>
      <c r="H89" s="76"/>
    </row>
    <row r="90" spans="2:8" x14ac:dyDescent="0.3">
      <c r="B90" s="43"/>
      <c r="C90" s="30"/>
      <c r="D90" s="2"/>
      <c r="E90" s="30"/>
      <c r="F90" s="30"/>
      <c r="G90" s="41"/>
      <c r="H90" s="49"/>
    </row>
    <row r="91" spans="2:8" ht="15.6" x14ac:dyDescent="0.3">
      <c r="B91" s="43"/>
      <c r="C91" s="30"/>
      <c r="D91" s="2"/>
      <c r="E91" s="30"/>
      <c r="F91" s="30"/>
      <c r="G91" s="30"/>
      <c r="H91" s="34"/>
    </row>
    <row r="92" spans="2:8" x14ac:dyDescent="0.3">
      <c r="B92" s="43"/>
      <c r="C92" s="28"/>
      <c r="D92" s="30"/>
      <c r="E92" s="28"/>
      <c r="F92" s="28"/>
      <c r="G92" s="28"/>
      <c r="H92" s="28"/>
    </row>
    <row r="93" spans="2:8" ht="15.6" x14ac:dyDescent="0.3">
      <c r="B93" s="48" t="s">
        <v>572</v>
      </c>
      <c r="C93" s="61"/>
      <c r="D93" s="61"/>
      <c r="E93" s="61"/>
      <c r="F93" s="61"/>
      <c r="G93" s="61"/>
      <c r="H93" s="61"/>
    </row>
    <row r="94" spans="2:8" x14ac:dyDescent="0.3">
      <c r="B94" s="43">
        <v>42005</v>
      </c>
      <c r="C94" s="3" t="s">
        <v>9</v>
      </c>
      <c r="D94" s="3" t="s">
        <v>587</v>
      </c>
      <c r="E94" s="40" t="s">
        <v>582</v>
      </c>
      <c r="F94" s="40" t="s">
        <v>626</v>
      </c>
      <c r="G94" s="30">
        <v>200</v>
      </c>
      <c r="H94" s="8">
        <v>3000</v>
      </c>
    </row>
    <row r="95" spans="2:8" x14ac:dyDescent="0.3">
      <c r="B95" s="43">
        <v>42006</v>
      </c>
      <c r="C95" s="3" t="s">
        <v>9</v>
      </c>
      <c r="D95" s="3" t="s">
        <v>551</v>
      </c>
      <c r="E95" s="30">
        <v>133</v>
      </c>
      <c r="F95" s="30">
        <v>148</v>
      </c>
      <c r="G95" s="30">
        <v>200</v>
      </c>
      <c r="H95" s="30">
        <v>3000</v>
      </c>
    </row>
    <row r="96" spans="2:8" x14ac:dyDescent="0.3">
      <c r="B96" s="43">
        <v>42009</v>
      </c>
      <c r="C96" s="3" t="s">
        <v>9</v>
      </c>
      <c r="D96" s="3" t="s">
        <v>625</v>
      </c>
      <c r="E96" s="30">
        <v>90</v>
      </c>
      <c r="F96" s="30">
        <v>100</v>
      </c>
      <c r="G96" s="30">
        <v>200</v>
      </c>
      <c r="H96" s="30">
        <v>2000</v>
      </c>
    </row>
    <row r="97" spans="2:8" x14ac:dyDescent="0.3">
      <c r="B97" s="43">
        <v>42010</v>
      </c>
      <c r="C97" s="3" t="s">
        <v>9</v>
      </c>
      <c r="D97" s="30" t="s">
        <v>589</v>
      </c>
      <c r="E97" s="30">
        <v>130</v>
      </c>
      <c r="F97" s="30">
        <v>170</v>
      </c>
      <c r="G97" s="30">
        <v>200</v>
      </c>
      <c r="H97" s="30">
        <v>8000</v>
      </c>
    </row>
    <row r="98" spans="2:8" x14ac:dyDescent="0.3">
      <c r="B98" s="43">
        <v>42011</v>
      </c>
      <c r="C98" s="3" t="s">
        <v>9</v>
      </c>
      <c r="D98" s="30" t="s">
        <v>495</v>
      </c>
      <c r="E98" s="30">
        <v>155</v>
      </c>
      <c r="F98" s="30">
        <v>190</v>
      </c>
      <c r="G98" s="30">
        <v>200</v>
      </c>
      <c r="H98" s="30">
        <v>7000</v>
      </c>
    </row>
    <row r="99" spans="2:8" x14ac:dyDescent="0.3">
      <c r="B99" s="43">
        <v>42012</v>
      </c>
      <c r="C99" s="3" t="s">
        <v>9</v>
      </c>
      <c r="D99" s="30" t="s">
        <v>500</v>
      </c>
      <c r="E99" s="30">
        <v>130</v>
      </c>
      <c r="F99" s="30">
        <v>155</v>
      </c>
      <c r="G99" s="30">
        <v>200</v>
      </c>
      <c r="H99" s="30">
        <v>5000</v>
      </c>
    </row>
    <row r="100" spans="2:8" x14ac:dyDescent="0.3">
      <c r="B100" s="43">
        <v>42013</v>
      </c>
      <c r="C100" s="3" t="s">
        <v>9</v>
      </c>
      <c r="D100" s="30" t="s">
        <v>544</v>
      </c>
      <c r="E100" s="30">
        <v>158</v>
      </c>
      <c r="F100" s="30">
        <v>200</v>
      </c>
      <c r="G100" s="30">
        <v>200</v>
      </c>
      <c r="H100" s="30">
        <v>8400</v>
      </c>
    </row>
    <row r="101" spans="2:8" x14ac:dyDescent="0.3">
      <c r="B101" s="43">
        <v>42016</v>
      </c>
      <c r="C101" s="3" t="s">
        <v>9</v>
      </c>
      <c r="D101" s="30" t="s">
        <v>589</v>
      </c>
      <c r="E101" s="30">
        <v>108</v>
      </c>
      <c r="F101" s="30">
        <v>125</v>
      </c>
      <c r="G101" s="30">
        <v>200</v>
      </c>
      <c r="H101" s="30">
        <v>3400</v>
      </c>
    </row>
    <row r="102" spans="2:8" x14ac:dyDescent="0.3">
      <c r="B102" s="43">
        <v>42017</v>
      </c>
      <c r="C102" s="3" t="s">
        <v>9</v>
      </c>
      <c r="D102" s="30" t="s">
        <v>544</v>
      </c>
      <c r="E102" s="30">
        <v>118</v>
      </c>
      <c r="F102" s="30">
        <v>133</v>
      </c>
      <c r="G102" s="30">
        <v>200</v>
      </c>
      <c r="H102" s="30">
        <v>3000</v>
      </c>
    </row>
    <row r="103" spans="2:8" x14ac:dyDescent="0.3">
      <c r="B103" s="43">
        <v>42018</v>
      </c>
      <c r="C103" s="3" t="s">
        <v>9</v>
      </c>
      <c r="D103" s="30" t="s">
        <v>544</v>
      </c>
      <c r="E103" s="30">
        <v>145</v>
      </c>
      <c r="F103" s="30">
        <v>185</v>
      </c>
      <c r="G103" s="30">
        <v>200</v>
      </c>
      <c r="H103" s="30">
        <v>8000</v>
      </c>
    </row>
    <row r="104" spans="2:8" x14ac:dyDescent="0.3">
      <c r="B104" s="43">
        <v>42019</v>
      </c>
      <c r="C104" s="3" t="s">
        <v>9</v>
      </c>
      <c r="D104" s="30" t="s">
        <v>554</v>
      </c>
      <c r="E104" s="30">
        <v>122</v>
      </c>
      <c r="F104" s="30">
        <v>102</v>
      </c>
      <c r="G104" s="30">
        <v>200</v>
      </c>
      <c r="H104" s="30">
        <v>-4000</v>
      </c>
    </row>
    <row r="105" spans="2:8" x14ac:dyDescent="0.3">
      <c r="B105" s="43">
        <v>42020</v>
      </c>
      <c r="C105" s="3" t="s">
        <v>9</v>
      </c>
      <c r="D105" s="30" t="s">
        <v>625</v>
      </c>
      <c r="E105" s="30">
        <v>100</v>
      </c>
      <c r="F105" s="30">
        <v>115</v>
      </c>
      <c r="G105" s="30">
        <v>200</v>
      </c>
      <c r="H105" s="30">
        <v>3000</v>
      </c>
    </row>
    <row r="106" spans="2:8" x14ac:dyDescent="0.3">
      <c r="B106" s="43">
        <v>42023</v>
      </c>
      <c r="C106" s="3" t="s">
        <v>9</v>
      </c>
      <c r="D106" s="30" t="s">
        <v>625</v>
      </c>
      <c r="E106" s="30">
        <v>130</v>
      </c>
      <c r="F106" s="30">
        <v>140</v>
      </c>
      <c r="G106" s="30">
        <v>200</v>
      </c>
      <c r="H106" s="30">
        <v>2000</v>
      </c>
    </row>
    <row r="107" spans="2:8" x14ac:dyDescent="0.3">
      <c r="B107" s="43">
        <v>42024</v>
      </c>
      <c r="C107" s="3" t="s">
        <v>9</v>
      </c>
      <c r="D107" s="30" t="s">
        <v>565</v>
      </c>
      <c r="E107" s="30">
        <v>88</v>
      </c>
      <c r="F107" s="30">
        <v>125</v>
      </c>
      <c r="G107" s="30">
        <v>200</v>
      </c>
      <c r="H107" s="30">
        <v>7400</v>
      </c>
    </row>
    <row r="108" spans="2:8" x14ac:dyDescent="0.3">
      <c r="B108" s="43">
        <v>42025</v>
      </c>
      <c r="C108" s="3" t="s">
        <v>9</v>
      </c>
      <c r="D108" s="30" t="s">
        <v>631</v>
      </c>
      <c r="E108" s="30">
        <v>105</v>
      </c>
      <c r="F108" s="30">
        <v>120</v>
      </c>
      <c r="G108" s="30">
        <v>200</v>
      </c>
      <c r="H108" s="30">
        <v>3000</v>
      </c>
    </row>
    <row r="109" spans="2:8" x14ac:dyDescent="0.3">
      <c r="B109" s="43">
        <v>42026</v>
      </c>
      <c r="C109" s="3" t="s">
        <v>9</v>
      </c>
      <c r="D109" s="30" t="s">
        <v>631</v>
      </c>
      <c r="E109" s="30">
        <v>90</v>
      </c>
      <c r="F109" s="30">
        <v>105</v>
      </c>
      <c r="G109" s="30">
        <v>200</v>
      </c>
      <c r="H109" s="30">
        <v>3000</v>
      </c>
    </row>
    <row r="110" spans="2:8" x14ac:dyDescent="0.3">
      <c r="B110" s="43">
        <v>42027</v>
      </c>
      <c r="C110" s="3" t="s">
        <v>9</v>
      </c>
      <c r="D110" s="30" t="s">
        <v>632</v>
      </c>
      <c r="E110" s="30">
        <v>164</v>
      </c>
      <c r="F110" s="30">
        <v>194</v>
      </c>
      <c r="G110" s="30">
        <v>200</v>
      </c>
      <c r="H110" s="30">
        <v>6000</v>
      </c>
    </row>
    <row r="111" spans="2:8" x14ac:dyDescent="0.3">
      <c r="B111" s="43">
        <v>42031</v>
      </c>
      <c r="C111" s="3" t="s">
        <v>9</v>
      </c>
      <c r="D111" s="30" t="s">
        <v>632</v>
      </c>
      <c r="E111" s="30">
        <v>135</v>
      </c>
      <c r="F111" s="30">
        <v>162</v>
      </c>
      <c r="G111" s="30">
        <v>200</v>
      </c>
      <c r="H111" s="30">
        <v>5400</v>
      </c>
    </row>
    <row r="112" spans="2:8" x14ac:dyDescent="0.3">
      <c r="B112" s="43">
        <v>42032</v>
      </c>
      <c r="C112" s="3" t="s">
        <v>9</v>
      </c>
      <c r="D112" s="30" t="s">
        <v>632</v>
      </c>
      <c r="E112" s="30">
        <v>85</v>
      </c>
      <c r="F112" s="30">
        <v>95</v>
      </c>
      <c r="G112" s="30">
        <v>200</v>
      </c>
      <c r="H112" s="30">
        <v>2000</v>
      </c>
    </row>
    <row r="113" spans="2:8" ht="15.6" x14ac:dyDescent="0.3">
      <c r="B113" s="43">
        <v>42033</v>
      </c>
      <c r="C113" s="3" t="s">
        <v>9</v>
      </c>
      <c r="D113" s="30" t="s">
        <v>632</v>
      </c>
      <c r="E113" s="30">
        <v>121</v>
      </c>
      <c r="F113" s="30">
        <v>90</v>
      </c>
      <c r="G113" s="30">
        <v>200</v>
      </c>
      <c r="H113" s="62" t="s">
        <v>634</v>
      </c>
    </row>
    <row r="114" spans="2:8" x14ac:dyDescent="0.3">
      <c r="B114" s="43">
        <v>42034</v>
      </c>
      <c r="C114" s="3" t="s">
        <v>9</v>
      </c>
      <c r="D114" s="30" t="s">
        <v>632</v>
      </c>
      <c r="E114" s="30">
        <v>200</v>
      </c>
      <c r="F114" s="30">
        <v>235</v>
      </c>
      <c r="G114" s="30">
        <v>200</v>
      </c>
      <c r="H114" s="49" t="s">
        <v>463</v>
      </c>
    </row>
    <row r="115" spans="2:8" ht="15.6" x14ac:dyDescent="0.3">
      <c r="B115" s="43"/>
      <c r="C115" s="3"/>
      <c r="D115" s="28"/>
      <c r="E115" s="49"/>
      <c r="F115" s="49"/>
      <c r="G115" s="30"/>
      <c r="H115" s="65" t="s">
        <v>652</v>
      </c>
    </row>
    <row r="116" spans="2:8" ht="18" x14ac:dyDescent="0.35">
      <c r="C116" s="3"/>
      <c r="D116" s="28"/>
      <c r="E116" s="28"/>
      <c r="F116" s="28"/>
      <c r="G116" s="30"/>
      <c r="H116" s="76"/>
    </row>
    <row r="117" spans="2:8" x14ac:dyDescent="0.3">
      <c r="C117" s="3"/>
      <c r="D117" s="28"/>
      <c r="E117" s="28"/>
      <c r="F117" s="28"/>
      <c r="G117" s="30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8"/>
    </row>
    <row r="121" spans="2:8" x14ac:dyDescent="0.3">
      <c r="B121" s="1"/>
      <c r="C121" s="28"/>
      <c r="D121" s="28"/>
      <c r="E121" s="28"/>
      <c r="F121" s="28"/>
      <c r="G121" s="28"/>
      <c r="H121" s="28"/>
    </row>
    <row r="122" spans="2:8" x14ac:dyDescent="0.3">
      <c r="B122" s="1"/>
      <c r="C122" s="28"/>
      <c r="D122" s="28"/>
      <c r="E122" s="28"/>
      <c r="F122" s="28"/>
      <c r="G122" s="28"/>
      <c r="H122" s="28"/>
    </row>
    <row r="123" spans="2:8" x14ac:dyDescent="0.3">
      <c r="B123" s="1"/>
      <c r="C123" s="28"/>
      <c r="D123" s="28"/>
      <c r="E123" s="28"/>
      <c r="F123" s="28"/>
      <c r="G123" s="28"/>
      <c r="H123" s="29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</sheetData>
  <mergeCells count="3">
    <mergeCell ref="B1:H1"/>
    <mergeCell ref="B2:H2"/>
    <mergeCell ref="B3:H3"/>
  </mergeCells>
  <hyperlinks>
    <hyperlink ref="J2" location="'MASTER '!A1" display="Back" xr:uid="{00000000-0004-0000-1500-000000000000}"/>
  </hyperlinks>
  <pageMargins left="0.7" right="0.7" top="0.75" bottom="0.75" header="0.3" footer="0.3"/>
  <pageSetup orientation="portrait" horizontalDpi="300" verticalDpi="0" r:id="rId1"/>
  <ignoredErrors>
    <ignoredError sqref="E66:H72 E6:H8 E37:H37 E94:F94 G84 G79 G78 G77 G76 G75 G74 G73 G80 G81 G82 G86 G85 H58 G83 E24:H26 E27:F27 G27:H27 H113:H115 H2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2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676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42037</v>
      </c>
      <c r="C6" s="2" t="s">
        <v>8</v>
      </c>
      <c r="D6" s="2" t="s">
        <v>129</v>
      </c>
      <c r="E6" s="41" t="s">
        <v>658</v>
      </c>
      <c r="F6" s="40" t="s">
        <v>659</v>
      </c>
      <c r="G6" s="5">
        <v>239</v>
      </c>
      <c r="H6" s="41" t="s">
        <v>660</v>
      </c>
      <c r="K6" s="16"/>
    </row>
    <row r="7" spans="1:14" x14ac:dyDescent="0.3">
      <c r="B7" s="43">
        <v>42038</v>
      </c>
      <c r="C7" s="2" t="s">
        <v>8</v>
      </c>
      <c r="D7" s="28" t="s">
        <v>78</v>
      </c>
      <c r="E7" s="30">
        <v>1734</v>
      </c>
      <c r="F7" s="30">
        <v>1710</v>
      </c>
      <c r="G7" s="30">
        <v>173</v>
      </c>
      <c r="H7" s="41" t="s">
        <v>653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42039</v>
      </c>
      <c r="C8" s="2" t="s">
        <v>8</v>
      </c>
      <c r="D8" s="28" t="s">
        <v>13</v>
      </c>
      <c r="E8" s="30">
        <v>505</v>
      </c>
      <c r="F8" s="30">
        <v>500</v>
      </c>
      <c r="G8" s="30">
        <v>594</v>
      </c>
      <c r="H8" s="30">
        <v>-2970</v>
      </c>
      <c r="J8" s="16" t="s">
        <v>449</v>
      </c>
      <c r="K8" s="30">
        <v>16</v>
      </c>
      <c r="L8" s="30">
        <v>13</v>
      </c>
      <c r="M8" s="30">
        <v>2</v>
      </c>
      <c r="N8" s="30">
        <v>1</v>
      </c>
    </row>
    <row r="9" spans="1:14" x14ac:dyDescent="0.3">
      <c r="B9" s="43">
        <v>42040</v>
      </c>
      <c r="C9" s="2" t="s">
        <v>11</v>
      </c>
      <c r="D9" s="28" t="s">
        <v>94</v>
      </c>
      <c r="E9" s="30">
        <v>1078</v>
      </c>
      <c r="F9" s="30">
        <v>1092</v>
      </c>
      <c r="G9" s="30">
        <v>278</v>
      </c>
      <c r="H9" s="30">
        <v>3892</v>
      </c>
      <c r="J9" s="16" t="s">
        <v>450</v>
      </c>
      <c r="K9" s="30">
        <v>17</v>
      </c>
      <c r="L9" s="30">
        <v>13</v>
      </c>
      <c r="M9" s="30">
        <v>2</v>
      </c>
      <c r="N9" s="30">
        <v>2</v>
      </c>
    </row>
    <row r="10" spans="1:14" x14ac:dyDescent="0.3">
      <c r="B10" s="43">
        <v>42041</v>
      </c>
      <c r="C10" s="30" t="s">
        <v>8</v>
      </c>
      <c r="D10" s="30" t="s">
        <v>93</v>
      </c>
      <c r="E10" s="30">
        <v>464</v>
      </c>
      <c r="F10" s="30">
        <v>459</v>
      </c>
      <c r="G10" s="30">
        <v>646</v>
      </c>
      <c r="H10" s="30">
        <v>-3876</v>
      </c>
      <c r="J10" s="16" t="s">
        <v>451</v>
      </c>
      <c r="K10" s="30">
        <v>17</v>
      </c>
      <c r="L10" s="30">
        <v>12</v>
      </c>
      <c r="M10" s="30">
        <v>5</v>
      </c>
      <c r="N10" s="30">
        <v>0</v>
      </c>
    </row>
    <row r="11" spans="1:14" x14ac:dyDescent="0.3">
      <c r="B11" s="43">
        <v>42047</v>
      </c>
      <c r="C11" s="2" t="s">
        <v>8</v>
      </c>
      <c r="D11" s="28" t="s">
        <v>109</v>
      </c>
      <c r="E11" s="30">
        <v>1140</v>
      </c>
      <c r="F11" s="30">
        <v>1134</v>
      </c>
      <c r="G11" s="30">
        <v>264</v>
      </c>
      <c r="H11" s="30">
        <v>1584</v>
      </c>
      <c r="J11" s="16" t="s">
        <v>452</v>
      </c>
      <c r="K11" s="30">
        <v>17</v>
      </c>
      <c r="L11" s="30">
        <v>12</v>
      </c>
      <c r="M11" s="30">
        <v>5</v>
      </c>
      <c r="N11" s="30">
        <v>0</v>
      </c>
    </row>
    <row r="12" spans="1:14" x14ac:dyDescent="0.3">
      <c r="B12" s="43">
        <v>42048</v>
      </c>
      <c r="C12" s="2" t="s">
        <v>8</v>
      </c>
      <c r="D12" s="28" t="s">
        <v>30</v>
      </c>
      <c r="E12" s="30">
        <v>415</v>
      </c>
      <c r="F12" s="30">
        <v>406</v>
      </c>
      <c r="G12" s="30">
        <v>722</v>
      </c>
      <c r="H12" s="30">
        <v>6498</v>
      </c>
      <c r="J12" s="16"/>
      <c r="K12" s="21">
        <v>67</v>
      </c>
      <c r="L12" s="21">
        <v>50</v>
      </c>
      <c r="M12" s="21">
        <v>14</v>
      </c>
      <c r="N12" s="21">
        <v>3</v>
      </c>
    </row>
    <row r="13" spans="1:14" x14ac:dyDescent="0.3">
      <c r="B13" s="43">
        <v>42051</v>
      </c>
      <c r="C13" s="2" t="s">
        <v>8</v>
      </c>
      <c r="D13" s="28" t="s">
        <v>78</v>
      </c>
      <c r="E13" s="30">
        <v>1650</v>
      </c>
      <c r="F13" s="30">
        <v>1641</v>
      </c>
      <c r="G13" s="30">
        <v>181</v>
      </c>
      <c r="H13" s="30">
        <v>1629</v>
      </c>
      <c r="K13" s="16"/>
    </row>
    <row r="14" spans="1:14" x14ac:dyDescent="0.3">
      <c r="B14" s="43">
        <v>42053</v>
      </c>
      <c r="C14" s="2" t="s">
        <v>9</v>
      </c>
      <c r="D14" s="28" t="s">
        <v>30</v>
      </c>
      <c r="E14" s="30">
        <v>411</v>
      </c>
      <c r="F14" s="30">
        <v>413.5</v>
      </c>
      <c r="G14" s="30">
        <v>729</v>
      </c>
      <c r="H14" s="30">
        <v>1822</v>
      </c>
      <c r="K14" s="68" t="s">
        <v>520</v>
      </c>
      <c r="L14" s="69"/>
      <c r="M14" s="70"/>
    </row>
    <row r="15" spans="1:14" x14ac:dyDescent="0.3">
      <c r="B15" s="43">
        <v>42054</v>
      </c>
      <c r="C15" s="2" t="s">
        <v>8</v>
      </c>
      <c r="D15" s="28" t="s">
        <v>121</v>
      </c>
      <c r="E15" s="30">
        <v>155</v>
      </c>
      <c r="F15" s="30">
        <v>152</v>
      </c>
      <c r="G15" s="30">
        <v>1935</v>
      </c>
      <c r="H15" s="30">
        <v>5805</v>
      </c>
      <c r="K15" s="16"/>
    </row>
    <row r="16" spans="1:14" x14ac:dyDescent="0.3">
      <c r="B16" s="43">
        <v>42055</v>
      </c>
      <c r="C16" s="2" t="s">
        <v>8</v>
      </c>
      <c r="D16" s="28" t="s">
        <v>184</v>
      </c>
      <c r="E16" s="30">
        <v>653</v>
      </c>
      <c r="F16" s="30">
        <v>648</v>
      </c>
      <c r="G16" s="30">
        <v>459</v>
      </c>
      <c r="H16" s="30">
        <v>2295</v>
      </c>
      <c r="K16" s="28"/>
      <c r="L16" s="30"/>
      <c r="M16" s="30"/>
      <c r="N16" s="30"/>
    </row>
    <row r="17" spans="2:14" x14ac:dyDescent="0.3">
      <c r="B17" s="43">
        <v>42058</v>
      </c>
      <c r="C17" s="30" t="s">
        <v>8</v>
      </c>
      <c r="D17" s="30" t="s">
        <v>30</v>
      </c>
      <c r="E17" s="30">
        <v>405</v>
      </c>
      <c r="F17" s="30">
        <v>396</v>
      </c>
      <c r="G17" s="30">
        <v>740</v>
      </c>
      <c r="H17" s="30">
        <v>6660</v>
      </c>
      <c r="K17" s="49"/>
      <c r="L17" s="30"/>
      <c r="M17" s="30"/>
      <c r="N17" s="30"/>
    </row>
    <row r="18" spans="2:14" x14ac:dyDescent="0.3">
      <c r="B18" s="43">
        <v>42059</v>
      </c>
      <c r="C18" s="28" t="s">
        <v>8</v>
      </c>
      <c r="D18" s="28" t="s">
        <v>124</v>
      </c>
      <c r="E18" s="30">
        <v>567</v>
      </c>
      <c r="F18" s="30">
        <v>560</v>
      </c>
      <c r="G18" s="30">
        <v>529</v>
      </c>
      <c r="H18" s="30">
        <v>3703</v>
      </c>
      <c r="K18" s="49"/>
      <c r="L18" s="30"/>
      <c r="M18" s="30"/>
      <c r="N18" s="30"/>
    </row>
    <row r="19" spans="2:14" x14ac:dyDescent="0.3">
      <c r="B19" s="43">
        <v>42060</v>
      </c>
      <c r="C19" s="28" t="s">
        <v>8</v>
      </c>
      <c r="D19" s="30" t="s">
        <v>575</v>
      </c>
      <c r="E19" s="30">
        <v>181.5</v>
      </c>
      <c r="F19" s="30">
        <v>177.5</v>
      </c>
      <c r="G19" s="30">
        <v>1653</v>
      </c>
      <c r="H19" s="30">
        <v>6612</v>
      </c>
      <c r="K19" s="49"/>
      <c r="L19" s="30"/>
      <c r="M19" s="30"/>
      <c r="N19" s="30"/>
    </row>
    <row r="20" spans="2:14" x14ac:dyDescent="0.3">
      <c r="B20" s="43">
        <v>42061</v>
      </c>
      <c r="C20" s="28" t="s">
        <v>8</v>
      </c>
      <c r="D20" s="28" t="s">
        <v>107</v>
      </c>
      <c r="E20" s="49" t="s">
        <v>665</v>
      </c>
      <c r="F20" s="49" t="s">
        <v>666</v>
      </c>
      <c r="G20" s="49" t="s">
        <v>524</v>
      </c>
      <c r="H20" s="74" t="s">
        <v>311</v>
      </c>
      <c r="K20" s="49"/>
      <c r="L20" s="30"/>
      <c r="M20" s="30"/>
      <c r="N20" s="30"/>
    </row>
    <row r="21" spans="2:14" x14ac:dyDescent="0.3">
      <c r="B21" s="43">
        <v>42062</v>
      </c>
      <c r="C21" s="28" t="s">
        <v>8</v>
      </c>
      <c r="D21" s="28" t="s">
        <v>668</v>
      </c>
      <c r="E21" s="49" t="s">
        <v>669</v>
      </c>
      <c r="F21" s="49" t="s">
        <v>671</v>
      </c>
      <c r="G21" s="49" t="s">
        <v>670</v>
      </c>
      <c r="H21" s="74" t="s">
        <v>672</v>
      </c>
      <c r="K21" s="49"/>
      <c r="L21" s="30"/>
      <c r="M21" s="30"/>
      <c r="N21" s="30"/>
    </row>
    <row r="22" spans="2:14" ht="15.6" x14ac:dyDescent="0.3">
      <c r="C22" s="28"/>
      <c r="D22" s="28"/>
      <c r="E22" s="49"/>
      <c r="F22" s="49"/>
      <c r="G22" s="49"/>
      <c r="H22" s="63" t="s">
        <v>675</v>
      </c>
      <c r="K22" s="49"/>
      <c r="L22" s="30"/>
      <c r="M22" s="30"/>
      <c r="N22" s="30"/>
    </row>
    <row r="23" spans="2:14" x14ac:dyDescent="0.3">
      <c r="C23" s="28"/>
      <c r="D23" s="28"/>
      <c r="E23" s="49"/>
      <c r="F23" s="49"/>
      <c r="G23" s="49"/>
      <c r="H23" s="74"/>
      <c r="K23" s="16"/>
    </row>
    <row r="24" spans="2:14" ht="15.6" x14ac:dyDescent="0.3">
      <c r="C24" s="28"/>
      <c r="D24" s="28"/>
      <c r="E24" s="49"/>
      <c r="F24" s="49"/>
      <c r="G24" s="49"/>
      <c r="H24" s="65"/>
      <c r="K24" s="16"/>
    </row>
    <row r="25" spans="2:14" x14ac:dyDescent="0.3">
      <c r="C25" s="28"/>
      <c r="D25" s="28"/>
      <c r="E25" s="49"/>
      <c r="F25" s="49"/>
      <c r="G25" s="49"/>
      <c r="H25" s="74"/>
      <c r="K25" s="41"/>
    </row>
    <row r="26" spans="2:14" x14ac:dyDescent="0.3">
      <c r="C26" s="28"/>
      <c r="D26" s="28"/>
      <c r="E26" s="49"/>
      <c r="F26" s="49"/>
      <c r="G26" s="49"/>
      <c r="H26" s="74"/>
      <c r="K26" s="41"/>
    </row>
    <row r="27" spans="2:14" ht="18" x14ac:dyDescent="0.35">
      <c r="C27" s="28"/>
      <c r="D27" s="28"/>
      <c r="E27" s="28"/>
      <c r="F27" s="28"/>
      <c r="G27" s="28"/>
      <c r="H27" s="76"/>
      <c r="L27" s="30"/>
    </row>
    <row r="28" spans="2:14" ht="15.6" x14ac:dyDescent="0.3">
      <c r="B28" s="43"/>
      <c r="C28" s="28"/>
      <c r="D28" s="28"/>
      <c r="E28" s="28"/>
      <c r="F28" s="28"/>
      <c r="G28" s="28"/>
      <c r="H28" s="34"/>
      <c r="L28" s="30"/>
    </row>
    <row r="29" spans="2:14" ht="15.6" x14ac:dyDescent="0.3">
      <c r="C29" s="28"/>
      <c r="D29" s="28"/>
      <c r="E29" s="28"/>
      <c r="F29" s="28"/>
      <c r="G29" s="28"/>
      <c r="H29" s="34"/>
      <c r="L29" s="30"/>
    </row>
    <row r="30" spans="2:14" ht="15.6" x14ac:dyDescent="0.3">
      <c r="C30" s="28"/>
      <c r="D30" s="28"/>
      <c r="E30" s="28"/>
      <c r="F30" s="28"/>
      <c r="G30" s="28"/>
      <c r="H30" s="34"/>
      <c r="L30" s="30"/>
    </row>
    <row r="31" spans="2:14" x14ac:dyDescent="0.3">
      <c r="L31" s="30"/>
    </row>
    <row r="32" spans="2:14" ht="15.6" x14ac:dyDescent="0.3">
      <c r="B32" s="48" t="s">
        <v>62</v>
      </c>
      <c r="C32" s="48"/>
      <c r="D32" s="48"/>
      <c r="E32" s="48"/>
      <c r="F32" s="48"/>
      <c r="G32" s="48"/>
      <c r="H32" s="48"/>
      <c r="L32" s="30"/>
    </row>
    <row r="33" spans="2:12" x14ac:dyDescent="0.3">
      <c r="B33" s="43">
        <v>42037</v>
      </c>
      <c r="C33" s="2" t="s">
        <v>8</v>
      </c>
      <c r="D33" s="2" t="s">
        <v>139</v>
      </c>
      <c r="E33" s="41" t="s">
        <v>656</v>
      </c>
      <c r="F33" s="40" t="s">
        <v>657</v>
      </c>
      <c r="G33" s="5">
        <v>500</v>
      </c>
      <c r="H33" s="40" t="s">
        <v>320</v>
      </c>
      <c r="L33" s="30"/>
    </row>
    <row r="34" spans="2:12" x14ac:dyDescent="0.3">
      <c r="B34" s="43">
        <v>42038</v>
      </c>
      <c r="C34" s="30" t="s">
        <v>8</v>
      </c>
      <c r="D34" s="30" t="s">
        <v>107</v>
      </c>
      <c r="E34" s="30">
        <v>2390</v>
      </c>
      <c r="F34" s="30">
        <v>2365</v>
      </c>
      <c r="G34" s="30">
        <v>125</v>
      </c>
      <c r="H34" s="30">
        <v>3125</v>
      </c>
      <c r="L34" s="30"/>
    </row>
    <row r="35" spans="2:12" x14ac:dyDescent="0.3">
      <c r="B35" s="43">
        <v>42039</v>
      </c>
      <c r="C35" s="30" t="s">
        <v>8</v>
      </c>
      <c r="D35" s="30" t="s">
        <v>107</v>
      </c>
      <c r="E35" s="30">
        <v>2255</v>
      </c>
      <c r="F35" s="30">
        <v>2255</v>
      </c>
      <c r="G35" s="30">
        <v>125</v>
      </c>
      <c r="H35" s="30">
        <v>0</v>
      </c>
      <c r="L35" s="30"/>
    </row>
    <row r="36" spans="2:12" x14ac:dyDescent="0.3">
      <c r="B36" s="43">
        <v>42039</v>
      </c>
      <c r="C36" s="30" t="s">
        <v>8</v>
      </c>
      <c r="D36" s="30" t="s">
        <v>13</v>
      </c>
      <c r="E36" s="30">
        <v>509</v>
      </c>
      <c r="F36" s="30">
        <v>503</v>
      </c>
      <c r="G36" s="30">
        <v>500</v>
      </c>
      <c r="H36" s="30">
        <v>-3000</v>
      </c>
      <c r="L36" s="30"/>
    </row>
    <row r="37" spans="2:12" x14ac:dyDescent="0.3">
      <c r="B37" s="43">
        <v>42040</v>
      </c>
      <c r="C37" s="30" t="s">
        <v>8</v>
      </c>
      <c r="D37" s="30" t="s">
        <v>395</v>
      </c>
      <c r="E37" s="30">
        <v>3090</v>
      </c>
      <c r="F37" s="30">
        <v>3082</v>
      </c>
      <c r="G37" s="30">
        <v>125</v>
      </c>
      <c r="H37" s="30">
        <v>1000</v>
      </c>
      <c r="L37" s="30"/>
    </row>
    <row r="38" spans="2:12" x14ac:dyDescent="0.3">
      <c r="B38" s="43">
        <v>42041</v>
      </c>
      <c r="C38" s="30" t="s">
        <v>8</v>
      </c>
      <c r="D38" s="30" t="s">
        <v>109</v>
      </c>
      <c r="E38" s="30">
        <v>1167</v>
      </c>
      <c r="F38" s="30">
        <v>1152</v>
      </c>
      <c r="G38" s="30">
        <v>250</v>
      </c>
      <c r="H38" s="30">
        <v>3750</v>
      </c>
      <c r="L38" s="30"/>
    </row>
    <row r="39" spans="2:12" x14ac:dyDescent="0.3">
      <c r="B39" s="43">
        <v>42047</v>
      </c>
      <c r="C39" s="30" t="s">
        <v>8</v>
      </c>
      <c r="D39" s="30" t="s">
        <v>19</v>
      </c>
      <c r="E39" s="30">
        <v>284</v>
      </c>
      <c r="F39" s="30">
        <v>281</v>
      </c>
      <c r="G39" s="30">
        <v>1250</v>
      </c>
      <c r="H39" s="30">
        <v>3750</v>
      </c>
      <c r="L39" s="30"/>
    </row>
    <row r="40" spans="2:12" x14ac:dyDescent="0.3">
      <c r="B40" s="43">
        <v>42048</v>
      </c>
      <c r="C40" s="30" t="s">
        <v>8</v>
      </c>
      <c r="D40" s="30" t="s">
        <v>575</v>
      </c>
      <c r="E40" s="30">
        <v>179</v>
      </c>
      <c r="F40" s="30">
        <v>176</v>
      </c>
      <c r="G40" s="30">
        <v>2000</v>
      </c>
      <c r="H40" s="30">
        <v>6000</v>
      </c>
      <c r="L40" s="30"/>
    </row>
    <row r="41" spans="2:12" x14ac:dyDescent="0.3">
      <c r="B41" s="43">
        <v>42051</v>
      </c>
      <c r="C41" s="30" t="s">
        <v>8</v>
      </c>
      <c r="D41" s="30" t="s">
        <v>106</v>
      </c>
      <c r="E41" s="30">
        <v>466</v>
      </c>
      <c r="F41" s="30">
        <v>456</v>
      </c>
      <c r="G41" s="30">
        <v>500</v>
      </c>
      <c r="H41" s="30">
        <v>5000</v>
      </c>
      <c r="L41" s="30"/>
    </row>
    <row r="42" spans="2:12" x14ac:dyDescent="0.3">
      <c r="B42" s="43">
        <v>42053</v>
      </c>
      <c r="C42" s="30" t="s">
        <v>9</v>
      </c>
      <c r="D42" s="30" t="s">
        <v>663</v>
      </c>
      <c r="E42" s="30">
        <v>226</v>
      </c>
      <c r="F42" s="30">
        <v>229</v>
      </c>
      <c r="G42" s="30">
        <v>100</v>
      </c>
      <c r="H42" s="30">
        <v>3000</v>
      </c>
      <c r="L42" s="30"/>
    </row>
    <row r="43" spans="2:12" x14ac:dyDescent="0.3">
      <c r="B43" s="43">
        <v>42054</v>
      </c>
      <c r="C43" s="30" t="s">
        <v>8</v>
      </c>
      <c r="D43" s="30" t="s">
        <v>46</v>
      </c>
      <c r="E43" s="30">
        <v>335</v>
      </c>
      <c r="F43" s="30">
        <v>332</v>
      </c>
      <c r="G43" s="30">
        <v>1000</v>
      </c>
      <c r="H43" s="30">
        <v>3000</v>
      </c>
      <c r="K43" s="74"/>
    </row>
    <row r="44" spans="2:12" x14ac:dyDescent="0.3">
      <c r="B44" s="43">
        <v>42055</v>
      </c>
      <c r="C44" s="30" t="s">
        <v>8</v>
      </c>
      <c r="D44" s="30" t="s">
        <v>341</v>
      </c>
      <c r="E44" s="30">
        <v>266</v>
      </c>
      <c r="F44" s="30">
        <v>265</v>
      </c>
      <c r="G44" s="30">
        <v>1000</v>
      </c>
      <c r="H44" s="30">
        <v>1000</v>
      </c>
      <c r="K44" s="74"/>
    </row>
    <row r="45" spans="2:12" x14ac:dyDescent="0.3">
      <c r="B45" s="43">
        <v>42058</v>
      </c>
      <c r="C45" s="30" t="s">
        <v>8</v>
      </c>
      <c r="D45" s="30" t="s">
        <v>98</v>
      </c>
      <c r="E45" s="30">
        <v>2640</v>
      </c>
      <c r="F45" s="30">
        <v>2661</v>
      </c>
      <c r="G45" s="30">
        <v>125</v>
      </c>
      <c r="H45" s="30">
        <v>-2625</v>
      </c>
      <c r="K45" s="74"/>
    </row>
    <row r="46" spans="2:12" ht="15.6" x14ac:dyDescent="0.3">
      <c r="B46" s="43">
        <v>42059</v>
      </c>
      <c r="C46" s="30" t="s">
        <v>8</v>
      </c>
      <c r="D46" s="30" t="s">
        <v>46</v>
      </c>
      <c r="E46" s="30">
        <v>324</v>
      </c>
      <c r="F46" s="30">
        <v>318</v>
      </c>
      <c r="G46" s="30">
        <v>500</v>
      </c>
      <c r="H46" s="30">
        <v>3000</v>
      </c>
      <c r="K46" s="62"/>
    </row>
    <row r="47" spans="2:12" x14ac:dyDescent="0.3">
      <c r="B47" s="43">
        <v>42060</v>
      </c>
      <c r="C47" s="30" t="s">
        <v>8</v>
      </c>
      <c r="D47" s="30" t="s">
        <v>667</v>
      </c>
      <c r="E47" s="30">
        <v>453</v>
      </c>
      <c r="F47" s="30">
        <v>447</v>
      </c>
      <c r="G47" s="30">
        <v>500</v>
      </c>
      <c r="H47" s="30">
        <v>3000</v>
      </c>
      <c r="K47" s="74"/>
    </row>
    <row r="48" spans="2:12" x14ac:dyDescent="0.3">
      <c r="B48" s="43">
        <v>42061</v>
      </c>
      <c r="C48" s="30" t="s">
        <v>8</v>
      </c>
      <c r="D48" s="30" t="s">
        <v>667</v>
      </c>
      <c r="E48" s="30">
        <v>448</v>
      </c>
      <c r="F48" s="30">
        <v>438</v>
      </c>
      <c r="G48" s="30">
        <v>500</v>
      </c>
      <c r="H48" s="30">
        <v>5000</v>
      </c>
      <c r="K48" s="74"/>
    </row>
    <row r="49" spans="2:10" x14ac:dyDescent="0.3">
      <c r="B49" s="43">
        <v>42062</v>
      </c>
      <c r="C49" s="30" t="s">
        <v>8</v>
      </c>
      <c r="D49" s="30" t="s">
        <v>30</v>
      </c>
      <c r="E49" s="30">
        <v>403</v>
      </c>
      <c r="F49" s="30">
        <v>405</v>
      </c>
      <c r="G49" s="30">
        <v>500</v>
      </c>
      <c r="H49" s="30">
        <v>-1000</v>
      </c>
    </row>
    <row r="50" spans="2:10" ht="15.6" x14ac:dyDescent="0.3">
      <c r="B50" s="43"/>
      <c r="C50" s="30"/>
      <c r="D50" s="30"/>
      <c r="E50" s="30"/>
      <c r="F50" s="30"/>
      <c r="G50" s="30"/>
      <c r="H50" s="33">
        <v>42000</v>
      </c>
    </row>
    <row r="51" spans="2:10" x14ac:dyDescent="0.3">
      <c r="B51" s="43"/>
      <c r="C51" s="30"/>
      <c r="D51" s="30"/>
      <c r="E51" s="30"/>
      <c r="F51" s="30"/>
      <c r="G51" s="30"/>
      <c r="H51" s="49"/>
    </row>
    <row r="52" spans="2:10" x14ac:dyDescent="0.3">
      <c r="B52" s="43"/>
      <c r="C52" s="30"/>
      <c r="D52" s="30"/>
      <c r="E52" s="30"/>
      <c r="F52" s="30"/>
      <c r="G52" s="30"/>
      <c r="H52" s="30"/>
    </row>
    <row r="53" spans="2:10" ht="15.6" x14ac:dyDescent="0.3">
      <c r="B53" s="43"/>
      <c r="C53" s="30"/>
      <c r="D53" s="30"/>
      <c r="E53" s="30"/>
      <c r="F53" s="30"/>
      <c r="G53" s="30"/>
      <c r="H53" s="33"/>
    </row>
    <row r="54" spans="2:10" ht="18" x14ac:dyDescent="0.35">
      <c r="C54" s="30"/>
      <c r="D54" s="30"/>
      <c r="E54" s="30"/>
      <c r="F54" s="30"/>
      <c r="G54" s="30"/>
      <c r="H54" s="76"/>
    </row>
    <row r="55" spans="2:10" ht="18" x14ac:dyDescent="0.35">
      <c r="C55" s="30"/>
      <c r="D55" s="30"/>
      <c r="E55" s="30"/>
      <c r="F55" s="30"/>
      <c r="G55" s="30"/>
      <c r="H55" s="76"/>
    </row>
    <row r="56" spans="2:10" ht="18" x14ac:dyDescent="0.35">
      <c r="B56" s="43"/>
      <c r="C56" s="30"/>
      <c r="D56" s="30"/>
      <c r="E56" s="30"/>
      <c r="F56" s="30"/>
      <c r="G56" s="30"/>
      <c r="H56" s="76"/>
    </row>
    <row r="57" spans="2:10" ht="15.6" x14ac:dyDescent="0.3">
      <c r="B57" s="43"/>
      <c r="C57" s="30"/>
      <c r="D57" s="30"/>
      <c r="E57" s="30"/>
      <c r="F57" s="30"/>
      <c r="G57" s="30"/>
      <c r="H57" s="33"/>
    </row>
    <row r="58" spans="2:10" ht="15.6" x14ac:dyDescent="0.3">
      <c r="B58" s="48" t="s">
        <v>571</v>
      </c>
      <c r="C58" s="48"/>
      <c r="D58" s="48"/>
      <c r="E58" s="48"/>
      <c r="F58" s="48"/>
      <c r="G58" s="48"/>
      <c r="H58" s="48"/>
    </row>
    <row r="59" spans="2:10" x14ac:dyDescent="0.3">
      <c r="B59" s="43">
        <v>42037</v>
      </c>
      <c r="C59" s="2" t="s">
        <v>8</v>
      </c>
      <c r="D59" s="2" t="s">
        <v>39</v>
      </c>
      <c r="E59" s="41" t="s">
        <v>654</v>
      </c>
      <c r="F59" s="40" t="s">
        <v>655</v>
      </c>
      <c r="G59" s="41" t="s">
        <v>217</v>
      </c>
      <c r="H59" s="41" t="s">
        <v>245</v>
      </c>
    </row>
    <row r="60" spans="2:10" x14ac:dyDescent="0.3">
      <c r="B60" s="43">
        <v>42038</v>
      </c>
      <c r="C60" s="30" t="s">
        <v>8</v>
      </c>
      <c r="D60" s="2" t="s">
        <v>39</v>
      </c>
      <c r="E60" s="2">
        <v>8855</v>
      </c>
      <c r="F60" s="30">
        <v>8800</v>
      </c>
      <c r="G60" s="41" t="s">
        <v>217</v>
      </c>
      <c r="H60" s="30">
        <v>5500</v>
      </c>
    </row>
    <row r="61" spans="2:10" x14ac:dyDescent="0.3">
      <c r="B61" s="43">
        <v>42039</v>
      </c>
      <c r="C61" s="30" t="s">
        <v>8</v>
      </c>
      <c r="D61" s="2" t="s">
        <v>39</v>
      </c>
      <c r="E61" s="30">
        <v>8825</v>
      </c>
      <c r="F61" s="30">
        <v>8770</v>
      </c>
      <c r="G61" s="30">
        <v>100</v>
      </c>
      <c r="H61" s="30">
        <v>5500</v>
      </c>
      <c r="J61" s="1"/>
    </row>
    <row r="62" spans="2:10" x14ac:dyDescent="0.3">
      <c r="B62" s="43">
        <v>42040</v>
      </c>
      <c r="C62" s="30" t="s">
        <v>9</v>
      </c>
      <c r="D62" s="2" t="s">
        <v>39</v>
      </c>
      <c r="E62" s="30">
        <v>8785</v>
      </c>
      <c r="F62" s="30">
        <v>8840</v>
      </c>
      <c r="G62" s="41" t="s">
        <v>217</v>
      </c>
      <c r="H62" s="30">
        <v>5500</v>
      </c>
      <c r="J62" s="1"/>
    </row>
    <row r="63" spans="2:10" x14ac:dyDescent="0.3">
      <c r="B63" s="43">
        <v>42041</v>
      </c>
      <c r="C63" s="30" t="s">
        <v>9</v>
      </c>
      <c r="D63" s="2" t="s">
        <v>39</v>
      </c>
      <c r="E63" s="30">
        <v>8745</v>
      </c>
      <c r="F63" s="30">
        <v>8715</v>
      </c>
      <c r="G63" s="41" t="s">
        <v>217</v>
      </c>
      <c r="H63" s="30">
        <v>-3000</v>
      </c>
      <c r="J63" s="1"/>
    </row>
    <row r="64" spans="2:10" x14ac:dyDescent="0.3">
      <c r="B64" s="43">
        <v>42041</v>
      </c>
      <c r="C64" s="30" t="s">
        <v>8</v>
      </c>
      <c r="D64" s="2" t="s">
        <v>39</v>
      </c>
      <c r="E64" s="30">
        <v>8715</v>
      </c>
      <c r="F64" s="30">
        <v>8745</v>
      </c>
      <c r="G64" s="41" t="s">
        <v>217</v>
      </c>
      <c r="H64" s="30">
        <v>-3000</v>
      </c>
      <c r="J64" s="1"/>
    </row>
    <row r="65" spans="2:10" x14ac:dyDescent="0.3">
      <c r="B65" s="43">
        <v>42047</v>
      </c>
      <c r="C65" s="30" t="s">
        <v>8</v>
      </c>
      <c r="D65" s="2" t="s">
        <v>39</v>
      </c>
      <c r="E65" s="30">
        <v>8680</v>
      </c>
      <c r="F65" s="30">
        <v>8640</v>
      </c>
      <c r="G65" s="41" t="s">
        <v>217</v>
      </c>
      <c r="H65" s="30">
        <v>4000</v>
      </c>
      <c r="J65" s="1"/>
    </row>
    <row r="66" spans="2:10" x14ac:dyDescent="0.3">
      <c r="B66" s="43">
        <v>42048</v>
      </c>
      <c r="C66" s="30" t="s">
        <v>8</v>
      </c>
      <c r="D66" s="2" t="s">
        <v>39</v>
      </c>
      <c r="E66" s="30">
        <v>8785</v>
      </c>
      <c r="F66" s="30">
        <v>8770</v>
      </c>
      <c r="G66" s="41" t="s">
        <v>217</v>
      </c>
      <c r="H66" s="30">
        <v>1500</v>
      </c>
      <c r="J66" s="1"/>
    </row>
    <row r="67" spans="2:10" x14ac:dyDescent="0.3">
      <c r="B67" s="43">
        <v>42051</v>
      </c>
      <c r="C67" s="30" t="s">
        <v>9</v>
      </c>
      <c r="D67" s="2" t="s">
        <v>39</v>
      </c>
      <c r="E67" s="30">
        <v>8885</v>
      </c>
      <c r="F67" s="30">
        <v>8855</v>
      </c>
      <c r="G67" s="30">
        <v>100</v>
      </c>
      <c r="H67" s="30">
        <v>-3000</v>
      </c>
      <c r="J67" s="46"/>
    </row>
    <row r="68" spans="2:10" x14ac:dyDescent="0.3">
      <c r="B68" s="43">
        <v>42053</v>
      </c>
      <c r="C68" s="30" t="s">
        <v>9</v>
      </c>
      <c r="D68" s="2" t="s">
        <v>39</v>
      </c>
      <c r="E68" s="30">
        <v>8855</v>
      </c>
      <c r="F68" s="30">
        <v>8910</v>
      </c>
      <c r="G68" s="41" t="s">
        <v>217</v>
      </c>
      <c r="H68" s="30">
        <v>5500</v>
      </c>
      <c r="J68" s="46"/>
    </row>
    <row r="69" spans="2:10" x14ac:dyDescent="0.3">
      <c r="B69" s="43">
        <v>42054</v>
      </c>
      <c r="C69" s="30" t="s">
        <v>8</v>
      </c>
      <c r="D69" s="2" t="s">
        <v>39</v>
      </c>
      <c r="E69" s="30">
        <v>8905</v>
      </c>
      <c r="F69" s="30">
        <v>8850</v>
      </c>
      <c r="G69" s="41" t="s">
        <v>217</v>
      </c>
      <c r="H69" s="30">
        <v>5500</v>
      </c>
      <c r="J69" s="46"/>
    </row>
    <row r="70" spans="2:10" x14ac:dyDescent="0.3">
      <c r="B70" s="43">
        <v>42055</v>
      </c>
      <c r="C70" s="30" t="s">
        <v>8</v>
      </c>
      <c r="D70" s="2" t="s">
        <v>39</v>
      </c>
      <c r="E70" s="30">
        <v>8850</v>
      </c>
      <c r="F70" s="30">
        <v>8870</v>
      </c>
      <c r="G70" s="30">
        <v>100</v>
      </c>
      <c r="H70" s="30">
        <v>-2000</v>
      </c>
      <c r="J70" s="46"/>
    </row>
    <row r="71" spans="2:10" x14ac:dyDescent="0.3">
      <c r="B71" s="43">
        <v>42058</v>
      </c>
      <c r="C71" s="30" t="s">
        <v>8</v>
      </c>
      <c r="D71" s="2" t="s">
        <v>39</v>
      </c>
      <c r="E71" s="30">
        <v>8860</v>
      </c>
      <c r="F71" s="30">
        <v>8000</v>
      </c>
      <c r="G71" s="41" t="s">
        <v>217</v>
      </c>
      <c r="H71" s="30">
        <v>6000</v>
      </c>
      <c r="J71" s="46"/>
    </row>
    <row r="72" spans="2:10" x14ac:dyDescent="0.3">
      <c r="B72" s="43">
        <v>42059</v>
      </c>
      <c r="C72" s="30" t="s">
        <v>8</v>
      </c>
      <c r="D72" s="2" t="s">
        <v>39</v>
      </c>
      <c r="E72" s="30">
        <v>8760</v>
      </c>
      <c r="F72" s="30">
        <v>8744</v>
      </c>
      <c r="G72" s="41" t="s">
        <v>217</v>
      </c>
      <c r="H72" s="30">
        <v>1600</v>
      </c>
      <c r="J72" s="46"/>
    </row>
    <row r="73" spans="2:10" x14ac:dyDescent="0.3">
      <c r="B73" s="43">
        <v>42060</v>
      </c>
      <c r="C73" s="30" t="s">
        <v>8</v>
      </c>
      <c r="D73" s="2" t="s">
        <v>39</v>
      </c>
      <c r="E73" s="30">
        <v>8825</v>
      </c>
      <c r="F73" s="30">
        <v>8785</v>
      </c>
      <c r="G73" s="41" t="s">
        <v>217</v>
      </c>
      <c r="H73" s="30">
        <v>4000</v>
      </c>
      <c r="J73" s="46"/>
    </row>
    <row r="74" spans="2:10" x14ac:dyDescent="0.3">
      <c r="B74" s="43">
        <v>42061</v>
      </c>
      <c r="C74" s="30" t="s">
        <v>8</v>
      </c>
      <c r="D74" s="2" t="s">
        <v>39</v>
      </c>
      <c r="E74" s="30">
        <v>8740</v>
      </c>
      <c r="F74" s="30">
        <v>8680</v>
      </c>
      <c r="G74" s="41" t="s">
        <v>217</v>
      </c>
      <c r="H74" s="30">
        <v>6000</v>
      </c>
      <c r="J74" s="47"/>
    </row>
    <row r="75" spans="2:10" x14ac:dyDescent="0.3">
      <c r="B75" s="43">
        <v>42062</v>
      </c>
      <c r="C75" s="30" t="s">
        <v>8</v>
      </c>
      <c r="D75" s="2" t="s">
        <v>39</v>
      </c>
      <c r="E75" s="30">
        <v>8770</v>
      </c>
      <c r="F75" s="30">
        <v>8800</v>
      </c>
      <c r="G75" s="30">
        <v>100</v>
      </c>
      <c r="H75" s="30">
        <v>-3000</v>
      </c>
      <c r="J75" s="46"/>
    </row>
    <row r="76" spans="2:10" ht="15.6" x14ac:dyDescent="0.3">
      <c r="B76" s="43"/>
      <c r="C76" s="30"/>
      <c r="D76" s="2"/>
      <c r="E76" s="30"/>
      <c r="F76" s="30"/>
      <c r="G76" s="41"/>
      <c r="H76" s="33">
        <v>40100</v>
      </c>
      <c r="J76" s="46"/>
    </row>
    <row r="77" spans="2:10" ht="15.6" x14ac:dyDescent="0.3">
      <c r="B77" s="43"/>
      <c r="C77" s="30"/>
      <c r="D77" s="2"/>
      <c r="E77" s="30"/>
      <c r="F77" s="30"/>
      <c r="G77" s="41"/>
      <c r="H77" s="33"/>
      <c r="J77" s="46"/>
    </row>
    <row r="78" spans="2:10" x14ac:dyDescent="0.3">
      <c r="B78" s="43"/>
      <c r="C78" s="30"/>
      <c r="D78" s="2"/>
      <c r="E78" s="30"/>
      <c r="F78" s="30"/>
      <c r="G78" s="30"/>
      <c r="H78" s="30"/>
    </row>
    <row r="79" spans="2:10" ht="18" x14ac:dyDescent="0.35">
      <c r="C79" s="30"/>
      <c r="D79" s="2"/>
      <c r="E79" s="30"/>
      <c r="F79" s="30"/>
      <c r="G79" s="41"/>
      <c r="H79" s="76"/>
    </row>
    <row r="80" spans="2:10" x14ac:dyDescent="0.3">
      <c r="B80" s="43"/>
      <c r="C80" s="30"/>
      <c r="D80" s="2"/>
      <c r="E80" s="30"/>
      <c r="F80" s="30"/>
      <c r="G80" s="41"/>
      <c r="H80" s="49"/>
    </row>
    <row r="81" spans="2:8" ht="15.6" x14ac:dyDescent="0.3">
      <c r="B81" s="43"/>
      <c r="C81" s="30"/>
      <c r="D81" s="2"/>
      <c r="E81" s="30"/>
      <c r="F81" s="30"/>
      <c r="G81" s="30"/>
      <c r="H81" s="34"/>
    </row>
    <row r="82" spans="2:8" x14ac:dyDescent="0.3">
      <c r="B82" s="43"/>
      <c r="C82" s="28"/>
      <c r="D82" s="30"/>
      <c r="E82" s="28"/>
      <c r="F82" s="28"/>
      <c r="G82" s="28"/>
      <c r="H82" s="28"/>
    </row>
    <row r="83" spans="2:8" ht="15.6" x14ac:dyDescent="0.3">
      <c r="B83" s="48" t="s">
        <v>572</v>
      </c>
      <c r="C83" s="61"/>
      <c r="D83" s="61"/>
      <c r="E83" s="61"/>
      <c r="F83" s="61"/>
      <c r="G83" s="61"/>
      <c r="H83" s="61"/>
    </row>
    <row r="84" spans="2:8" x14ac:dyDescent="0.3">
      <c r="B84" s="43">
        <v>42037</v>
      </c>
      <c r="C84" s="3" t="s">
        <v>9</v>
      </c>
      <c r="D84" s="3" t="s">
        <v>631</v>
      </c>
      <c r="E84" s="40" t="s">
        <v>226</v>
      </c>
      <c r="F84" s="40" t="s">
        <v>513</v>
      </c>
      <c r="G84" s="30">
        <v>200</v>
      </c>
      <c r="H84" s="8">
        <v>2000</v>
      </c>
    </row>
    <row r="85" spans="2:8" x14ac:dyDescent="0.3">
      <c r="B85" s="43">
        <v>42038</v>
      </c>
      <c r="C85" s="3" t="s">
        <v>9</v>
      </c>
      <c r="D85" s="3" t="s">
        <v>631</v>
      </c>
      <c r="E85" s="30">
        <v>140</v>
      </c>
      <c r="F85" s="30">
        <v>155</v>
      </c>
      <c r="G85" s="30">
        <v>200</v>
      </c>
      <c r="H85" s="30">
        <v>3000</v>
      </c>
    </row>
    <row r="86" spans="2:8" x14ac:dyDescent="0.3">
      <c r="B86" s="43">
        <v>42039</v>
      </c>
      <c r="C86" s="3" t="s">
        <v>9</v>
      </c>
      <c r="D86" s="3" t="s">
        <v>631</v>
      </c>
      <c r="E86" s="30">
        <v>145</v>
      </c>
      <c r="F86" s="30">
        <v>170</v>
      </c>
      <c r="G86" s="30">
        <v>200</v>
      </c>
      <c r="H86" s="30">
        <v>5000</v>
      </c>
    </row>
    <row r="87" spans="2:8" x14ac:dyDescent="0.3">
      <c r="B87" s="43">
        <v>42040</v>
      </c>
      <c r="C87" s="3" t="s">
        <v>9</v>
      </c>
      <c r="D87" s="30" t="s">
        <v>661</v>
      </c>
      <c r="E87" s="30">
        <v>140</v>
      </c>
      <c r="F87" s="30">
        <v>175</v>
      </c>
      <c r="G87" s="30">
        <v>200</v>
      </c>
      <c r="H87" s="30">
        <v>7000</v>
      </c>
    </row>
    <row r="88" spans="2:8" x14ac:dyDescent="0.3">
      <c r="B88" s="43">
        <v>42041</v>
      </c>
      <c r="C88" s="3" t="s">
        <v>9</v>
      </c>
      <c r="D88" s="30" t="s">
        <v>661</v>
      </c>
      <c r="E88" s="30">
        <v>124</v>
      </c>
      <c r="F88" s="30">
        <v>115</v>
      </c>
      <c r="G88" s="30">
        <v>200</v>
      </c>
      <c r="H88" s="30">
        <v>-1800</v>
      </c>
    </row>
    <row r="89" spans="2:8" x14ac:dyDescent="0.3">
      <c r="B89" s="43">
        <v>42041</v>
      </c>
      <c r="C89" s="3" t="s">
        <v>9</v>
      </c>
      <c r="D89" s="30" t="s">
        <v>662</v>
      </c>
      <c r="E89" s="30">
        <v>145</v>
      </c>
      <c r="F89" s="30">
        <v>125</v>
      </c>
      <c r="G89" s="30">
        <v>200</v>
      </c>
      <c r="H89" s="30">
        <v>-4000</v>
      </c>
    </row>
    <row r="90" spans="2:8" x14ac:dyDescent="0.3">
      <c r="B90" s="43">
        <v>42047</v>
      </c>
      <c r="C90" s="3" t="s">
        <v>9</v>
      </c>
      <c r="D90" s="30" t="s">
        <v>662</v>
      </c>
      <c r="E90" s="30">
        <v>122</v>
      </c>
      <c r="F90" s="30">
        <v>150</v>
      </c>
      <c r="G90" s="30">
        <v>200</v>
      </c>
      <c r="H90" s="30">
        <v>5600</v>
      </c>
    </row>
    <row r="91" spans="2:8" x14ac:dyDescent="0.3">
      <c r="B91" s="43">
        <v>42048</v>
      </c>
      <c r="C91" s="3" t="s">
        <v>9</v>
      </c>
      <c r="D91" s="30" t="s">
        <v>631</v>
      </c>
      <c r="E91" s="30">
        <v>110</v>
      </c>
      <c r="F91" s="30">
        <v>120</v>
      </c>
      <c r="G91" s="30">
        <v>200</v>
      </c>
      <c r="H91" s="30">
        <v>2000</v>
      </c>
    </row>
    <row r="92" spans="2:8" x14ac:dyDescent="0.3">
      <c r="B92" s="43">
        <v>42051</v>
      </c>
      <c r="C92" s="3" t="s">
        <v>9</v>
      </c>
      <c r="D92" s="30" t="s">
        <v>661</v>
      </c>
      <c r="E92" s="30">
        <v>142</v>
      </c>
      <c r="F92" s="30">
        <v>152</v>
      </c>
      <c r="G92" s="30">
        <v>200</v>
      </c>
      <c r="H92" s="30">
        <v>2000</v>
      </c>
    </row>
    <row r="93" spans="2:8" x14ac:dyDescent="0.3">
      <c r="B93" s="43">
        <v>42053</v>
      </c>
      <c r="C93" s="3" t="s">
        <v>9</v>
      </c>
      <c r="D93" s="30" t="s">
        <v>661</v>
      </c>
      <c r="E93" s="30">
        <v>120</v>
      </c>
      <c r="F93" s="30">
        <v>160</v>
      </c>
      <c r="G93" s="30">
        <v>200</v>
      </c>
      <c r="H93" s="30">
        <v>8000</v>
      </c>
    </row>
    <row r="94" spans="2:8" x14ac:dyDescent="0.3">
      <c r="B94" s="43">
        <v>42054</v>
      </c>
      <c r="C94" s="3" t="s">
        <v>9</v>
      </c>
      <c r="D94" s="30" t="s">
        <v>664</v>
      </c>
      <c r="E94" s="30">
        <v>133</v>
      </c>
      <c r="F94" s="30">
        <v>170</v>
      </c>
      <c r="G94" s="30">
        <v>200</v>
      </c>
      <c r="H94" s="30">
        <v>7400</v>
      </c>
    </row>
    <row r="95" spans="2:8" x14ac:dyDescent="0.3">
      <c r="B95" s="43">
        <v>42055</v>
      </c>
      <c r="C95" s="3" t="s">
        <v>9</v>
      </c>
      <c r="D95" s="30" t="s">
        <v>632</v>
      </c>
      <c r="E95" s="30">
        <v>170</v>
      </c>
      <c r="F95" s="30">
        <v>150</v>
      </c>
      <c r="G95" s="30">
        <v>200</v>
      </c>
      <c r="H95" s="30">
        <v>-4000</v>
      </c>
    </row>
    <row r="96" spans="2:8" x14ac:dyDescent="0.3">
      <c r="B96" s="43">
        <v>42058</v>
      </c>
      <c r="C96" s="3" t="s">
        <v>9</v>
      </c>
      <c r="D96" s="30" t="s">
        <v>632</v>
      </c>
      <c r="E96" s="30">
        <v>153</v>
      </c>
      <c r="F96" s="30">
        <v>190</v>
      </c>
      <c r="G96" s="30">
        <v>200</v>
      </c>
      <c r="H96" s="30">
        <v>7400</v>
      </c>
    </row>
    <row r="97" spans="2:8" x14ac:dyDescent="0.3">
      <c r="B97" s="43">
        <v>42059</v>
      </c>
      <c r="C97" s="3" t="s">
        <v>9</v>
      </c>
      <c r="D97" s="30" t="s">
        <v>664</v>
      </c>
      <c r="E97" s="30">
        <v>153</v>
      </c>
      <c r="F97" s="30">
        <v>133</v>
      </c>
      <c r="G97" s="30">
        <v>200</v>
      </c>
      <c r="H97" s="30">
        <v>-4000</v>
      </c>
    </row>
    <row r="98" spans="2:8" x14ac:dyDescent="0.3">
      <c r="B98" s="43">
        <v>42060</v>
      </c>
      <c r="C98" s="3" t="s">
        <v>9</v>
      </c>
      <c r="D98" s="30" t="s">
        <v>664</v>
      </c>
      <c r="E98" s="30">
        <v>85</v>
      </c>
      <c r="F98" s="30">
        <v>120</v>
      </c>
      <c r="G98" s="30">
        <v>200</v>
      </c>
      <c r="H98" s="30">
        <v>7000</v>
      </c>
    </row>
    <row r="99" spans="2:8" x14ac:dyDescent="0.3">
      <c r="B99" s="43">
        <v>42061</v>
      </c>
      <c r="C99" s="3" t="s">
        <v>9</v>
      </c>
      <c r="D99" s="30" t="s">
        <v>664</v>
      </c>
      <c r="E99" s="30">
        <v>155</v>
      </c>
      <c r="F99" s="30">
        <v>190</v>
      </c>
      <c r="G99" s="30">
        <v>200</v>
      </c>
      <c r="H99" s="30">
        <v>7000</v>
      </c>
    </row>
    <row r="100" spans="2:8" ht="15.6" x14ac:dyDescent="0.3">
      <c r="B100" s="43">
        <v>42062</v>
      </c>
      <c r="C100" s="3" t="s">
        <v>9</v>
      </c>
      <c r="D100" s="30" t="s">
        <v>631</v>
      </c>
      <c r="E100" s="30">
        <v>200</v>
      </c>
      <c r="F100" s="30">
        <v>180</v>
      </c>
      <c r="G100" s="30">
        <v>200</v>
      </c>
      <c r="H100" s="62" t="s">
        <v>673</v>
      </c>
    </row>
    <row r="101" spans="2:8" ht="15.6" x14ac:dyDescent="0.3">
      <c r="B101" s="43"/>
      <c r="C101" s="3"/>
      <c r="D101" s="30"/>
      <c r="E101" s="30"/>
      <c r="F101" s="30"/>
      <c r="G101" s="30"/>
      <c r="H101" s="65" t="s">
        <v>674</v>
      </c>
    </row>
    <row r="102" spans="2:8" ht="15.6" x14ac:dyDescent="0.3">
      <c r="B102" s="43"/>
      <c r="C102" s="3"/>
      <c r="D102" s="28"/>
      <c r="E102" s="49"/>
      <c r="F102" s="49"/>
      <c r="G102" s="30"/>
      <c r="H102" s="65"/>
    </row>
    <row r="103" spans="2:8" ht="18" x14ac:dyDescent="0.35">
      <c r="C103" s="3"/>
      <c r="D103" s="28"/>
      <c r="E103" s="28"/>
      <c r="F103" s="28"/>
      <c r="G103" s="30"/>
      <c r="H103" s="76"/>
    </row>
    <row r="104" spans="2:8" x14ac:dyDescent="0.3">
      <c r="C104" s="3"/>
      <c r="D104" s="28"/>
      <c r="E104" s="28"/>
      <c r="F104" s="28"/>
      <c r="G104" s="30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9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</sheetData>
  <mergeCells count="3">
    <mergeCell ref="B1:H1"/>
    <mergeCell ref="B2:H2"/>
    <mergeCell ref="B3:H3"/>
  </mergeCells>
  <hyperlinks>
    <hyperlink ref="J2" location="'MASTER '!A1" display="Back" xr:uid="{00000000-0004-0000-1600-000000000000}"/>
  </hyperlinks>
  <pageMargins left="0.7" right="0.7" top="0.75" bottom="0.75" header="0.3" footer="0.3"/>
  <pageSetup orientation="portrait" horizontalDpi="300" verticalDpi="0" r:id="rId1"/>
  <ignoredErrors>
    <ignoredError sqref="G64 E84:F84 E59:F60 H59:H60 E33:H33 E6:H7 G59:G63 G68:G73 G65:G67 G74:G75 E20:H20 E21:F21 G21:H21 H100:H101 H2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2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677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42065</v>
      </c>
      <c r="C6" s="2" t="s">
        <v>8</v>
      </c>
      <c r="D6" s="2" t="s">
        <v>99</v>
      </c>
      <c r="E6" s="41" t="s">
        <v>681</v>
      </c>
      <c r="F6" s="40" t="s">
        <v>682</v>
      </c>
      <c r="G6" s="5">
        <v>875</v>
      </c>
      <c r="H6" s="41" t="s">
        <v>683</v>
      </c>
      <c r="K6" s="16"/>
    </row>
    <row r="7" spans="1:14" x14ac:dyDescent="0.3">
      <c r="B7" s="43">
        <v>42066</v>
      </c>
      <c r="C7" s="2" t="s">
        <v>8</v>
      </c>
      <c r="D7" s="28" t="s">
        <v>34</v>
      </c>
      <c r="E7" s="30">
        <v>251</v>
      </c>
      <c r="F7" s="30">
        <v>250</v>
      </c>
      <c r="G7" s="30">
        <v>1195</v>
      </c>
      <c r="H7" s="41" t="s">
        <v>692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42067</v>
      </c>
      <c r="C8" s="2" t="s">
        <v>8</v>
      </c>
      <c r="D8" s="28" t="s">
        <v>139</v>
      </c>
      <c r="E8" s="30">
        <v>892</v>
      </c>
      <c r="F8" s="30">
        <v>874</v>
      </c>
      <c r="G8" s="30">
        <v>336</v>
      </c>
      <c r="H8" s="30">
        <v>6048</v>
      </c>
      <c r="J8" s="16" t="s">
        <v>449</v>
      </c>
      <c r="K8" s="30">
        <v>23</v>
      </c>
      <c r="L8" s="30">
        <v>15</v>
      </c>
      <c r="M8" s="30">
        <v>7</v>
      </c>
      <c r="N8" s="30">
        <v>1</v>
      </c>
    </row>
    <row r="9" spans="1:14" x14ac:dyDescent="0.3">
      <c r="B9" s="43">
        <v>42068</v>
      </c>
      <c r="C9" s="2" t="s">
        <v>8</v>
      </c>
      <c r="D9" s="28" t="s">
        <v>690</v>
      </c>
      <c r="E9" s="30">
        <v>211</v>
      </c>
      <c r="F9" s="30">
        <v>210</v>
      </c>
      <c r="G9" s="30">
        <v>1421</v>
      </c>
      <c r="H9" s="30">
        <v>1421</v>
      </c>
      <c r="J9" s="16" t="s">
        <v>450</v>
      </c>
      <c r="K9" s="30">
        <v>21</v>
      </c>
      <c r="L9" s="30">
        <v>17</v>
      </c>
      <c r="M9" s="30">
        <v>3</v>
      </c>
      <c r="N9" s="30">
        <v>1</v>
      </c>
    </row>
    <row r="10" spans="1:14" x14ac:dyDescent="0.3">
      <c r="B10" s="43">
        <v>42072</v>
      </c>
      <c r="C10" s="30" t="s">
        <v>8</v>
      </c>
      <c r="D10" s="30" t="s">
        <v>106</v>
      </c>
      <c r="E10" s="30">
        <v>467</v>
      </c>
      <c r="F10" s="30">
        <v>460</v>
      </c>
      <c r="G10" s="30">
        <v>642</v>
      </c>
      <c r="H10" s="30">
        <v>4494</v>
      </c>
      <c r="J10" s="16" t="s">
        <v>451</v>
      </c>
      <c r="K10" s="30">
        <v>21</v>
      </c>
      <c r="L10" s="30">
        <v>18</v>
      </c>
      <c r="M10" s="30">
        <v>3</v>
      </c>
      <c r="N10" s="30">
        <v>0</v>
      </c>
    </row>
    <row r="11" spans="1:14" x14ac:dyDescent="0.3">
      <c r="B11" s="43">
        <v>42073</v>
      </c>
      <c r="C11" s="2" t="s">
        <v>11</v>
      </c>
      <c r="D11" s="28" t="s">
        <v>13</v>
      </c>
      <c r="E11" s="30">
        <v>469</v>
      </c>
      <c r="F11" s="30">
        <v>464</v>
      </c>
      <c r="G11" s="30">
        <v>639</v>
      </c>
      <c r="H11" s="30">
        <v>-2556</v>
      </c>
      <c r="J11" s="16" t="s">
        <v>452</v>
      </c>
      <c r="K11" s="30">
        <v>21</v>
      </c>
      <c r="L11" s="30">
        <v>17</v>
      </c>
      <c r="M11" s="30">
        <v>4</v>
      </c>
      <c r="N11" s="30">
        <v>0</v>
      </c>
    </row>
    <row r="12" spans="1:14" x14ac:dyDescent="0.3">
      <c r="B12" s="43">
        <v>42074</v>
      </c>
      <c r="C12" s="2" t="s">
        <v>8</v>
      </c>
      <c r="D12" s="28" t="s">
        <v>49</v>
      </c>
      <c r="E12" s="30">
        <v>1552</v>
      </c>
      <c r="F12" s="30">
        <v>1542</v>
      </c>
      <c r="G12" s="30">
        <v>193</v>
      </c>
      <c r="H12" s="30">
        <v>1930</v>
      </c>
      <c r="J12" s="16"/>
      <c r="K12" s="21">
        <v>86</v>
      </c>
      <c r="L12" s="21">
        <v>67</v>
      </c>
      <c r="M12" s="21">
        <v>17</v>
      </c>
      <c r="N12" s="21">
        <v>3</v>
      </c>
    </row>
    <row r="13" spans="1:14" x14ac:dyDescent="0.3">
      <c r="B13" s="43">
        <v>42075</v>
      </c>
      <c r="C13" s="2" t="s">
        <v>8</v>
      </c>
      <c r="D13" s="28" t="s">
        <v>689</v>
      </c>
      <c r="E13" s="30">
        <v>168</v>
      </c>
      <c r="F13" s="30">
        <v>169.5</v>
      </c>
      <c r="G13" s="30">
        <v>1785</v>
      </c>
      <c r="H13" s="30">
        <v>-2677</v>
      </c>
      <c r="K13" s="16"/>
    </row>
    <row r="14" spans="1:14" x14ac:dyDescent="0.3">
      <c r="B14" s="43">
        <v>42076</v>
      </c>
      <c r="C14" s="2" t="s">
        <v>8</v>
      </c>
      <c r="D14" s="28" t="s">
        <v>78</v>
      </c>
      <c r="E14" s="30">
        <v>1735</v>
      </c>
      <c r="F14" s="30">
        <v>1700</v>
      </c>
      <c r="G14" s="30">
        <v>172</v>
      </c>
      <c r="H14" s="30">
        <v>6020</v>
      </c>
      <c r="K14" s="68" t="s">
        <v>617</v>
      </c>
      <c r="L14" s="69"/>
      <c r="M14" s="70"/>
    </row>
    <row r="15" spans="1:14" x14ac:dyDescent="0.3">
      <c r="B15" s="43">
        <v>42079</v>
      </c>
      <c r="C15" s="2" t="s">
        <v>8</v>
      </c>
      <c r="D15" s="28" t="s">
        <v>160</v>
      </c>
      <c r="E15" s="30">
        <v>688</v>
      </c>
      <c r="F15" s="30">
        <v>692</v>
      </c>
      <c r="G15" s="30">
        <v>436</v>
      </c>
      <c r="H15" s="30">
        <v>-1744</v>
      </c>
      <c r="K15" s="16"/>
    </row>
    <row r="16" spans="1:14" x14ac:dyDescent="0.3">
      <c r="B16" s="43">
        <v>42080</v>
      </c>
      <c r="C16" s="2" t="s">
        <v>8</v>
      </c>
      <c r="D16" s="28" t="s">
        <v>550</v>
      </c>
      <c r="E16" s="30">
        <v>183</v>
      </c>
      <c r="F16" s="30">
        <v>175</v>
      </c>
      <c r="G16" s="30">
        <v>1639</v>
      </c>
      <c r="H16" s="30">
        <v>13112</v>
      </c>
      <c r="K16" s="28"/>
      <c r="L16" s="30"/>
      <c r="M16" s="30"/>
      <c r="N16" s="30"/>
    </row>
    <row r="17" spans="2:14" x14ac:dyDescent="0.3">
      <c r="B17" s="43">
        <v>42081</v>
      </c>
      <c r="C17" s="30" t="s">
        <v>8</v>
      </c>
      <c r="D17" s="30" t="s">
        <v>137</v>
      </c>
      <c r="E17" s="30">
        <v>924</v>
      </c>
      <c r="F17" s="30">
        <v>915</v>
      </c>
      <c r="G17" s="30">
        <v>325</v>
      </c>
      <c r="H17" s="30">
        <v>3925</v>
      </c>
      <c r="K17" s="49"/>
      <c r="L17" s="30"/>
      <c r="M17" s="30"/>
      <c r="N17" s="30"/>
    </row>
    <row r="18" spans="2:14" x14ac:dyDescent="0.3">
      <c r="B18" s="43">
        <v>42082</v>
      </c>
      <c r="C18" s="28" t="s">
        <v>8</v>
      </c>
      <c r="D18" s="28" t="s">
        <v>592</v>
      </c>
      <c r="E18" s="30">
        <v>349</v>
      </c>
      <c r="F18" s="30">
        <v>353</v>
      </c>
      <c r="G18" s="30">
        <v>859</v>
      </c>
      <c r="H18" s="30">
        <v>-3436</v>
      </c>
      <c r="K18" s="49"/>
      <c r="L18" s="30"/>
      <c r="M18" s="30"/>
      <c r="N18" s="30"/>
    </row>
    <row r="19" spans="2:14" x14ac:dyDescent="0.3">
      <c r="B19" s="43">
        <v>42083</v>
      </c>
      <c r="C19" s="28" t="s">
        <v>8</v>
      </c>
      <c r="D19" s="30" t="s">
        <v>341</v>
      </c>
      <c r="E19" s="30">
        <v>271</v>
      </c>
      <c r="F19" s="30">
        <v>266.5</v>
      </c>
      <c r="G19" s="30">
        <v>1107</v>
      </c>
      <c r="H19" s="30">
        <v>4982</v>
      </c>
      <c r="K19" s="49"/>
      <c r="L19" s="30"/>
      <c r="M19" s="30"/>
      <c r="N19" s="30"/>
    </row>
    <row r="20" spans="2:14" x14ac:dyDescent="0.3">
      <c r="B20" s="43">
        <v>42086</v>
      </c>
      <c r="C20" s="28" t="s">
        <v>8</v>
      </c>
      <c r="D20" s="28" t="s">
        <v>19</v>
      </c>
      <c r="E20" s="49" t="s">
        <v>693</v>
      </c>
      <c r="F20" s="49" t="s">
        <v>694</v>
      </c>
      <c r="G20" s="49" t="s">
        <v>710</v>
      </c>
      <c r="H20" s="74" t="s">
        <v>711</v>
      </c>
      <c r="K20" s="49"/>
      <c r="L20" s="30"/>
      <c r="M20" s="30"/>
      <c r="N20" s="30"/>
    </row>
    <row r="21" spans="2:14" x14ac:dyDescent="0.3">
      <c r="B21" s="43">
        <v>42087</v>
      </c>
      <c r="C21" s="28" t="s">
        <v>8</v>
      </c>
      <c r="D21" s="28" t="s">
        <v>137</v>
      </c>
      <c r="E21" s="49" t="s">
        <v>695</v>
      </c>
      <c r="F21" s="49" t="s">
        <v>696</v>
      </c>
      <c r="G21" s="49" t="s">
        <v>712</v>
      </c>
      <c r="H21" s="74" t="s">
        <v>713</v>
      </c>
      <c r="K21" s="49"/>
      <c r="L21" s="30"/>
      <c r="M21" s="30"/>
      <c r="N21" s="30"/>
    </row>
    <row r="22" spans="2:14" ht="15.6" x14ac:dyDescent="0.3">
      <c r="B22" s="43">
        <v>42088</v>
      </c>
      <c r="C22" s="28" t="s">
        <v>8</v>
      </c>
      <c r="D22" s="28" t="s">
        <v>16</v>
      </c>
      <c r="E22" s="49" t="s">
        <v>697</v>
      </c>
      <c r="F22" s="49" t="s">
        <v>698</v>
      </c>
      <c r="G22" s="49" t="s">
        <v>714</v>
      </c>
      <c r="H22" s="64" t="s">
        <v>715</v>
      </c>
      <c r="K22" s="49"/>
      <c r="L22" s="30"/>
      <c r="M22" s="30"/>
      <c r="N22" s="30"/>
    </row>
    <row r="23" spans="2:14" ht="15.6" x14ac:dyDescent="0.3">
      <c r="B23" s="43">
        <v>42089</v>
      </c>
      <c r="C23" s="28" t="s">
        <v>9</v>
      </c>
      <c r="D23" s="28" t="s">
        <v>93</v>
      </c>
      <c r="E23" s="49" t="s">
        <v>699</v>
      </c>
      <c r="F23" s="49" t="s">
        <v>700</v>
      </c>
      <c r="G23" s="49" t="s">
        <v>716</v>
      </c>
      <c r="H23" s="64" t="s">
        <v>717</v>
      </c>
      <c r="K23" s="16"/>
    </row>
    <row r="24" spans="2:14" x14ac:dyDescent="0.3">
      <c r="B24" s="43">
        <v>42089</v>
      </c>
      <c r="C24" s="28" t="s">
        <v>8</v>
      </c>
      <c r="D24" s="28" t="s">
        <v>115</v>
      </c>
      <c r="E24" s="49" t="s">
        <v>701</v>
      </c>
      <c r="F24" s="49" t="s">
        <v>702</v>
      </c>
      <c r="G24" s="49" t="s">
        <v>718</v>
      </c>
      <c r="H24" s="74" t="s">
        <v>719</v>
      </c>
      <c r="K24" s="16"/>
    </row>
    <row r="25" spans="2:14" ht="15.6" x14ac:dyDescent="0.3">
      <c r="B25" s="43">
        <v>42090</v>
      </c>
      <c r="C25" s="28" t="s">
        <v>8</v>
      </c>
      <c r="D25" s="28" t="s">
        <v>137</v>
      </c>
      <c r="E25" s="49" t="s">
        <v>703</v>
      </c>
      <c r="F25" s="49" t="s">
        <v>704</v>
      </c>
      <c r="G25" s="49" t="s">
        <v>702</v>
      </c>
      <c r="H25" s="62" t="s">
        <v>720</v>
      </c>
      <c r="K25" s="41"/>
    </row>
    <row r="26" spans="2:14" x14ac:dyDescent="0.3">
      <c r="B26" s="43">
        <v>42093</v>
      </c>
      <c r="C26" s="28" t="s">
        <v>8</v>
      </c>
      <c r="D26" s="28" t="s">
        <v>26</v>
      </c>
      <c r="E26" s="49" t="s">
        <v>721</v>
      </c>
      <c r="F26" s="49" t="s">
        <v>722</v>
      </c>
      <c r="G26" s="49" t="s">
        <v>723</v>
      </c>
      <c r="H26" s="74" t="s">
        <v>724</v>
      </c>
      <c r="K26" s="41"/>
    </row>
    <row r="27" spans="2:14" x14ac:dyDescent="0.3">
      <c r="B27" s="43">
        <v>42094</v>
      </c>
      <c r="C27" s="28" t="s">
        <v>8</v>
      </c>
      <c r="D27" s="28" t="s">
        <v>365</v>
      </c>
      <c r="E27" s="49" t="s">
        <v>725</v>
      </c>
      <c r="F27" s="49" t="s">
        <v>729</v>
      </c>
      <c r="G27" s="49" t="s">
        <v>726</v>
      </c>
      <c r="H27" s="74" t="s">
        <v>730</v>
      </c>
      <c r="L27" s="30"/>
    </row>
    <row r="28" spans="2:14" x14ac:dyDescent="0.3">
      <c r="B28" s="43">
        <v>42094</v>
      </c>
      <c r="C28" s="28" t="s">
        <v>9</v>
      </c>
      <c r="D28" s="28" t="s">
        <v>84</v>
      </c>
      <c r="E28" s="28">
        <v>3710</v>
      </c>
      <c r="F28" s="28">
        <v>3725</v>
      </c>
      <c r="G28" s="28">
        <v>80</v>
      </c>
      <c r="H28" s="49" t="s">
        <v>727</v>
      </c>
      <c r="L28" s="30"/>
    </row>
    <row r="29" spans="2:14" ht="18" x14ac:dyDescent="0.35">
      <c r="C29" s="28"/>
      <c r="D29" s="28"/>
      <c r="E29" s="28"/>
      <c r="F29" s="28"/>
      <c r="G29" s="28"/>
      <c r="H29" s="76">
        <v>40776</v>
      </c>
      <c r="L29" s="30"/>
    </row>
    <row r="30" spans="2:14" ht="15.6" x14ac:dyDescent="0.3">
      <c r="C30" s="28"/>
      <c r="D30" s="28"/>
      <c r="E30" s="28"/>
      <c r="F30" s="28"/>
      <c r="G30" s="28"/>
      <c r="H30" s="34"/>
      <c r="L30" s="30"/>
    </row>
    <row r="31" spans="2:14" ht="15.6" x14ac:dyDescent="0.3">
      <c r="C31" s="28"/>
      <c r="D31" s="28"/>
      <c r="E31" s="28"/>
      <c r="F31" s="28"/>
      <c r="G31" s="28"/>
      <c r="H31" s="34"/>
      <c r="L31" s="30"/>
    </row>
    <row r="32" spans="2:14" x14ac:dyDescent="0.3">
      <c r="L32" s="30"/>
    </row>
    <row r="33" spans="2:12" ht="15.6" x14ac:dyDescent="0.3">
      <c r="B33" s="48" t="s">
        <v>62</v>
      </c>
      <c r="C33" s="48"/>
      <c r="D33" s="48"/>
      <c r="E33" s="48"/>
      <c r="F33" s="48"/>
      <c r="G33" s="48"/>
      <c r="H33" s="48"/>
      <c r="L33" s="30"/>
    </row>
    <row r="34" spans="2:12" x14ac:dyDescent="0.3">
      <c r="B34" s="43">
        <v>42065</v>
      </c>
      <c r="C34" s="2" t="s">
        <v>8</v>
      </c>
      <c r="D34" s="2" t="s">
        <v>115</v>
      </c>
      <c r="E34" s="41" t="s">
        <v>576</v>
      </c>
      <c r="F34" s="40" t="s">
        <v>680</v>
      </c>
      <c r="G34" s="5">
        <v>1000</v>
      </c>
      <c r="H34" s="40" t="s">
        <v>518</v>
      </c>
      <c r="L34" s="30"/>
    </row>
    <row r="35" spans="2:12" x14ac:dyDescent="0.3">
      <c r="B35" s="43">
        <v>42066</v>
      </c>
      <c r="C35" s="30" t="s">
        <v>8</v>
      </c>
      <c r="D35" s="30" t="s">
        <v>30</v>
      </c>
      <c r="E35" s="30">
        <v>408</v>
      </c>
      <c r="F35" s="30">
        <v>409</v>
      </c>
      <c r="G35" s="30">
        <v>500</v>
      </c>
      <c r="H35" s="30">
        <v>-500</v>
      </c>
      <c r="L35" s="30"/>
    </row>
    <row r="36" spans="2:12" x14ac:dyDescent="0.3">
      <c r="B36" s="43">
        <v>42067</v>
      </c>
      <c r="C36" s="30" t="s">
        <v>8</v>
      </c>
      <c r="D36" s="30" t="s">
        <v>678</v>
      </c>
      <c r="E36" s="30">
        <v>218</v>
      </c>
      <c r="F36" s="30">
        <v>211</v>
      </c>
      <c r="G36" s="30">
        <v>1000</v>
      </c>
      <c r="H36" s="30">
        <v>7000</v>
      </c>
      <c r="L36" s="30"/>
    </row>
    <row r="37" spans="2:12" x14ac:dyDescent="0.3">
      <c r="B37" s="43">
        <v>42068</v>
      </c>
      <c r="C37" s="30" t="s">
        <v>8</v>
      </c>
      <c r="D37" s="30" t="s">
        <v>30</v>
      </c>
      <c r="E37" s="30">
        <v>400</v>
      </c>
      <c r="F37" s="30">
        <v>406</v>
      </c>
      <c r="G37" s="30">
        <v>500</v>
      </c>
      <c r="H37" s="30">
        <v>-3000</v>
      </c>
      <c r="L37" s="30"/>
    </row>
    <row r="38" spans="2:12" x14ac:dyDescent="0.3">
      <c r="B38" s="43">
        <v>42072</v>
      </c>
      <c r="C38" s="30" t="s">
        <v>8</v>
      </c>
      <c r="D38" s="30" t="s">
        <v>46</v>
      </c>
      <c r="E38" s="30">
        <v>314</v>
      </c>
      <c r="F38" s="30">
        <v>313</v>
      </c>
      <c r="G38" s="30">
        <v>500</v>
      </c>
      <c r="H38" s="30">
        <v>500</v>
      </c>
      <c r="L38" s="30"/>
    </row>
    <row r="39" spans="2:12" x14ac:dyDescent="0.3">
      <c r="B39" s="43">
        <v>42073</v>
      </c>
      <c r="C39" s="30" t="s">
        <v>9</v>
      </c>
      <c r="D39" s="30" t="s">
        <v>13</v>
      </c>
      <c r="E39" s="30">
        <v>471</v>
      </c>
      <c r="F39" s="30">
        <v>465</v>
      </c>
      <c r="G39" s="30">
        <v>500</v>
      </c>
      <c r="H39" s="30">
        <v>-3000</v>
      </c>
      <c r="L39" s="30"/>
    </row>
    <row r="40" spans="2:12" x14ac:dyDescent="0.3">
      <c r="B40" s="43">
        <v>42074</v>
      </c>
      <c r="C40" s="30" t="s">
        <v>8</v>
      </c>
      <c r="D40" s="30" t="s">
        <v>34</v>
      </c>
      <c r="E40" s="30">
        <v>227.5</v>
      </c>
      <c r="F40" s="30">
        <v>223.5</v>
      </c>
      <c r="G40" s="30">
        <v>1000</v>
      </c>
      <c r="H40" s="30">
        <v>4000</v>
      </c>
      <c r="L40" s="30"/>
    </row>
    <row r="41" spans="2:12" x14ac:dyDescent="0.3">
      <c r="B41" s="43">
        <v>42075</v>
      </c>
      <c r="C41" s="30" t="s">
        <v>8</v>
      </c>
      <c r="D41" s="30" t="s">
        <v>173</v>
      </c>
      <c r="E41" s="30">
        <v>813</v>
      </c>
      <c r="F41" s="30">
        <v>805</v>
      </c>
      <c r="G41" s="30">
        <v>500</v>
      </c>
      <c r="H41" s="30">
        <v>4000</v>
      </c>
      <c r="L41" s="30"/>
    </row>
    <row r="42" spans="2:12" x14ac:dyDescent="0.3">
      <c r="B42" s="43">
        <v>42076</v>
      </c>
      <c r="C42" s="30" t="s">
        <v>8</v>
      </c>
      <c r="D42" s="30" t="s">
        <v>78</v>
      </c>
      <c r="E42" s="30">
        <v>1750</v>
      </c>
      <c r="F42" s="30">
        <v>1720</v>
      </c>
      <c r="G42" s="30">
        <v>250</v>
      </c>
      <c r="H42" s="30">
        <v>7500</v>
      </c>
      <c r="L42" s="30"/>
    </row>
    <row r="43" spans="2:12" x14ac:dyDescent="0.3">
      <c r="B43" s="43">
        <v>42079</v>
      </c>
      <c r="C43" s="30" t="s">
        <v>8</v>
      </c>
      <c r="D43" s="30" t="s">
        <v>34</v>
      </c>
      <c r="E43" s="30">
        <v>219</v>
      </c>
      <c r="F43" s="30">
        <v>216</v>
      </c>
      <c r="G43" s="30">
        <v>1000</v>
      </c>
      <c r="H43" s="30">
        <v>3000</v>
      </c>
      <c r="K43" s="74"/>
    </row>
    <row r="44" spans="2:12" x14ac:dyDescent="0.3">
      <c r="B44" s="43">
        <v>42080</v>
      </c>
      <c r="C44" s="30" t="s">
        <v>8</v>
      </c>
      <c r="D44" s="30" t="s">
        <v>688</v>
      </c>
      <c r="E44" s="30">
        <v>592</v>
      </c>
      <c r="F44" s="30">
        <v>578</v>
      </c>
      <c r="G44" s="30">
        <v>500</v>
      </c>
      <c r="H44" s="30">
        <v>7000</v>
      </c>
      <c r="K44" s="74"/>
    </row>
    <row r="45" spans="2:12" x14ac:dyDescent="0.3">
      <c r="B45" s="43">
        <v>42081</v>
      </c>
      <c r="C45" s="30" t="s">
        <v>8</v>
      </c>
      <c r="D45" s="30" t="s">
        <v>46</v>
      </c>
      <c r="E45" s="30">
        <v>309.5</v>
      </c>
      <c r="F45" s="30">
        <v>305</v>
      </c>
      <c r="G45" s="30">
        <v>500</v>
      </c>
      <c r="H45" s="30">
        <v>2250</v>
      </c>
      <c r="K45" s="74"/>
    </row>
    <row r="46" spans="2:12" ht="15.6" x14ac:dyDescent="0.3">
      <c r="B46" s="43">
        <v>42082</v>
      </c>
      <c r="C46" s="30" t="s">
        <v>8</v>
      </c>
      <c r="D46" s="30" t="s">
        <v>341</v>
      </c>
      <c r="E46" s="30">
        <v>283</v>
      </c>
      <c r="F46" s="30">
        <v>277</v>
      </c>
      <c r="G46" s="30">
        <v>1000</v>
      </c>
      <c r="H46" s="30">
        <v>6000</v>
      </c>
      <c r="K46" s="62"/>
    </row>
    <row r="47" spans="2:12" x14ac:dyDescent="0.3">
      <c r="B47" s="43">
        <v>42083</v>
      </c>
      <c r="C47" s="30" t="s">
        <v>8</v>
      </c>
      <c r="D47" s="30" t="s">
        <v>46</v>
      </c>
      <c r="E47" s="30">
        <v>307</v>
      </c>
      <c r="F47" s="30">
        <v>306</v>
      </c>
      <c r="G47" s="30">
        <v>500</v>
      </c>
      <c r="H47" s="30">
        <v>500</v>
      </c>
      <c r="K47" s="74"/>
    </row>
    <row r="48" spans="2:12" x14ac:dyDescent="0.3">
      <c r="B48" s="43">
        <v>42086</v>
      </c>
      <c r="C48" s="30" t="s">
        <v>8</v>
      </c>
      <c r="D48" s="30" t="s">
        <v>678</v>
      </c>
      <c r="E48" s="30">
        <v>205</v>
      </c>
      <c r="F48" s="30">
        <v>202</v>
      </c>
      <c r="G48" s="30">
        <v>1000</v>
      </c>
      <c r="H48" s="30">
        <v>3000</v>
      </c>
      <c r="K48" s="74"/>
    </row>
    <row r="49" spans="2:10" x14ac:dyDescent="0.3">
      <c r="B49" s="43">
        <v>42087</v>
      </c>
      <c r="C49" s="30" t="s">
        <v>8</v>
      </c>
      <c r="D49" s="30" t="s">
        <v>124</v>
      </c>
      <c r="E49" s="30">
        <v>548</v>
      </c>
      <c r="F49" s="30">
        <v>537</v>
      </c>
      <c r="G49" s="30">
        <v>500</v>
      </c>
      <c r="H49" s="30">
        <v>5500</v>
      </c>
    </row>
    <row r="50" spans="2:10" x14ac:dyDescent="0.3">
      <c r="B50" s="43">
        <v>42088</v>
      </c>
      <c r="C50" s="30" t="s">
        <v>8</v>
      </c>
      <c r="D50" s="30" t="s">
        <v>115</v>
      </c>
      <c r="E50" s="30">
        <v>366.5</v>
      </c>
      <c r="F50" s="30">
        <v>361.5</v>
      </c>
      <c r="G50" s="30">
        <v>1000</v>
      </c>
      <c r="H50" s="30">
        <v>5000</v>
      </c>
    </row>
    <row r="51" spans="2:10" ht="15.6" x14ac:dyDescent="0.3">
      <c r="B51" s="43">
        <v>42089</v>
      </c>
      <c r="C51" s="30" t="s">
        <v>8</v>
      </c>
      <c r="D51" s="30" t="s">
        <v>19</v>
      </c>
      <c r="E51" s="30">
        <v>263</v>
      </c>
      <c r="F51" s="30">
        <v>256</v>
      </c>
      <c r="G51" s="30">
        <v>1250</v>
      </c>
      <c r="H51" s="77">
        <v>8750</v>
      </c>
    </row>
    <row r="52" spans="2:10" x14ac:dyDescent="0.3">
      <c r="B52" s="43">
        <v>42090</v>
      </c>
      <c r="C52" s="30" t="s">
        <v>8</v>
      </c>
      <c r="D52" s="30" t="s">
        <v>99</v>
      </c>
      <c r="E52" s="30">
        <v>323</v>
      </c>
      <c r="F52" s="30">
        <v>319</v>
      </c>
      <c r="G52" s="30">
        <v>1000</v>
      </c>
      <c r="H52" s="49" t="s">
        <v>518</v>
      </c>
    </row>
    <row r="53" spans="2:10" x14ac:dyDescent="0.3">
      <c r="B53" s="43">
        <v>42093</v>
      </c>
      <c r="C53" s="30" t="s">
        <v>8</v>
      </c>
      <c r="D53" s="30" t="s">
        <v>34</v>
      </c>
      <c r="E53" s="30">
        <v>215.5</v>
      </c>
      <c r="F53" s="30">
        <v>212.5</v>
      </c>
      <c r="G53" s="30">
        <v>1000</v>
      </c>
      <c r="H53" s="30">
        <v>3000</v>
      </c>
    </row>
    <row r="54" spans="2:10" ht="15.6" x14ac:dyDescent="0.3">
      <c r="B54" s="43">
        <v>42094</v>
      </c>
      <c r="C54" s="30" t="s">
        <v>8</v>
      </c>
      <c r="D54" s="30" t="s">
        <v>184</v>
      </c>
      <c r="E54" s="30">
        <v>625</v>
      </c>
      <c r="F54" s="30">
        <v>633</v>
      </c>
      <c r="G54" s="30">
        <v>500</v>
      </c>
      <c r="H54" s="77">
        <v>-4000</v>
      </c>
    </row>
    <row r="55" spans="2:10" ht="18" x14ac:dyDescent="0.35">
      <c r="C55" s="30"/>
      <c r="D55" s="30"/>
      <c r="E55" s="30"/>
      <c r="F55" s="30"/>
      <c r="G55" s="30"/>
      <c r="H55" s="76" t="s">
        <v>732</v>
      </c>
    </row>
    <row r="56" spans="2:10" ht="18" x14ac:dyDescent="0.35">
      <c r="C56" s="30"/>
      <c r="D56" s="30"/>
      <c r="E56" s="30"/>
      <c r="F56" s="30"/>
      <c r="G56" s="30"/>
      <c r="H56" s="76"/>
    </row>
    <row r="57" spans="2:10" ht="18" x14ac:dyDescent="0.35">
      <c r="B57" s="43"/>
      <c r="C57" s="30"/>
      <c r="D57" s="30"/>
      <c r="E57" s="30"/>
      <c r="F57" s="30"/>
      <c r="G57" s="30"/>
      <c r="H57" s="76"/>
    </row>
    <row r="58" spans="2:10" ht="15.6" x14ac:dyDescent="0.3">
      <c r="B58" s="43"/>
      <c r="C58" s="30"/>
      <c r="D58" s="30"/>
      <c r="E58" s="30"/>
      <c r="F58" s="30"/>
      <c r="G58" s="30"/>
      <c r="H58" s="33"/>
    </row>
    <row r="59" spans="2:10" ht="15.6" x14ac:dyDescent="0.3">
      <c r="B59" s="48" t="s">
        <v>571</v>
      </c>
      <c r="C59" s="48"/>
      <c r="D59" s="48"/>
      <c r="E59" s="48"/>
      <c r="F59" s="48"/>
      <c r="G59" s="48"/>
      <c r="H59" s="48"/>
    </row>
    <row r="60" spans="2:10" x14ac:dyDescent="0.3">
      <c r="B60" s="43">
        <v>42065</v>
      </c>
      <c r="C60" s="2" t="s">
        <v>8</v>
      </c>
      <c r="D60" s="2" t="s">
        <v>39</v>
      </c>
      <c r="E60" s="41" t="s">
        <v>684</v>
      </c>
      <c r="F60" s="40" t="s">
        <v>685</v>
      </c>
      <c r="G60" s="41" t="s">
        <v>217</v>
      </c>
      <c r="H60" s="41" t="s">
        <v>446</v>
      </c>
    </row>
    <row r="61" spans="2:10" x14ac:dyDescent="0.3">
      <c r="B61" s="43">
        <v>42066</v>
      </c>
      <c r="C61" s="30" t="s">
        <v>9</v>
      </c>
      <c r="D61" s="2" t="s">
        <v>39</v>
      </c>
      <c r="E61" s="2">
        <v>9000</v>
      </c>
      <c r="F61" s="30">
        <v>9060</v>
      </c>
      <c r="G61" s="41" t="s">
        <v>217</v>
      </c>
      <c r="H61" s="30">
        <v>6000</v>
      </c>
      <c r="J61" s="1"/>
    </row>
    <row r="62" spans="2:10" x14ac:dyDescent="0.3">
      <c r="B62" s="43">
        <v>42067</v>
      </c>
      <c r="C62" s="30" t="s">
        <v>8</v>
      </c>
      <c r="D62" s="2" t="s">
        <v>39</v>
      </c>
      <c r="E62" s="30">
        <v>9126</v>
      </c>
      <c r="F62" s="30">
        <v>9065</v>
      </c>
      <c r="G62" s="30">
        <v>100</v>
      </c>
      <c r="H62" s="30">
        <v>6100</v>
      </c>
      <c r="J62" s="1"/>
    </row>
    <row r="63" spans="2:10" x14ac:dyDescent="0.3">
      <c r="B63" s="43">
        <v>42068</v>
      </c>
      <c r="C63" s="30" t="s">
        <v>8</v>
      </c>
      <c r="D63" s="2" t="s">
        <v>39</v>
      </c>
      <c r="E63" s="30">
        <v>8960</v>
      </c>
      <c r="F63" s="30">
        <v>8900</v>
      </c>
      <c r="G63" s="30">
        <v>100</v>
      </c>
      <c r="H63" s="30">
        <v>6000</v>
      </c>
      <c r="J63" s="1"/>
    </row>
    <row r="64" spans="2:10" x14ac:dyDescent="0.3">
      <c r="B64" s="43">
        <v>42072</v>
      </c>
      <c r="C64" s="30" t="s">
        <v>8</v>
      </c>
      <c r="D64" s="2" t="s">
        <v>39</v>
      </c>
      <c r="E64" s="30">
        <v>8855</v>
      </c>
      <c r="F64" s="30">
        <v>8800</v>
      </c>
      <c r="G64" s="41" t="s">
        <v>217</v>
      </c>
      <c r="H64" s="30">
        <v>5500</v>
      </c>
      <c r="J64" s="1"/>
    </row>
    <row r="65" spans="2:10" x14ac:dyDescent="0.3">
      <c r="B65" s="43">
        <v>42073</v>
      </c>
      <c r="C65" s="30" t="s">
        <v>9</v>
      </c>
      <c r="D65" s="2" t="s">
        <v>39</v>
      </c>
      <c r="E65" s="30">
        <v>8800</v>
      </c>
      <c r="F65" s="30">
        <v>8770</v>
      </c>
      <c r="G65" s="41" t="s">
        <v>217</v>
      </c>
      <c r="H65" s="30">
        <v>-3000</v>
      </c>
      <c r="J65" s="1"/>
    </row>
    <row r="66" spans="2:10" x14ac:dyDescent="0.3">
      <c r="B66" s="43">
        <v>42074</v>
      </c>
      <c r="C66" s="30" t="s">
        <v>8</v>
      </c>
      <c r="D66" s="2" t="s">
        <v>39</v>
      </c>
      <c r="E66" s="30">
        <v>8750</v>
      </c>
      <c r="F66" s="30">
        <v>8733</v>
      </c>
      <c r="G66" s="30">
        <v>100</v>
      </c>
      <c r="H66" s="30">
        <v>1700</v>
      </c>
      <c r="J66" s="1"/>
    </row>
    <row r="67" spans="2:10" x14ac:dyDescent="0.3">
      <c r="B67" s="43">
        <v>42075</v>
      </c>
      <c r="C67" s="30" t="s">
        <v>9</v>
      </c>
      <c r="D67" s="2" t="s">
        <v>39</v>
      </c>
      <c r="E67" s="30">
        <v>8800</v>
      </c>
      <c r="F67" s="30">
        <v>8825</v>
      </c>
      <c r="G67" s="41" t="s">
        <v>217</v>
      </c>
      <c r="H67" s="30">
        <v>2500</v>
      </c>
      <c r="J67" s="46"/>
    </row>
    <row r="68" spans="2:10" x14ac:dyDescent="0.3">
      <c r="B68" s="43">
        <v>42076</v>
      </c>
      <c r="C68" s="30" t="s">
        <v>8</v>
      </c>
      <c r="D68" s="2" t="s">
        <v>39</v>
      </c>
      <c r="E68" s="30">
        <v>8780</v>
      </c>
      <c r="F68" s="30">
        <v>8725</v>
      </c>
      <c r="G68" s="30">
        <v>100</v>
      </c>
      <c r="H68" s="30">
        <v>5500</v>
      </c>
      <c r="J68" s="46"/>
    </row>
    <row r="69" spans="2:10" x14ac:dyDescent="0.3">
      <c r="B69" s="43">
        <v>42079</v>
      </c>
      <c r="C69" s="30" t="s">
        <v>8</v>
      </c>
      <c r="D69" s="2" t="s">
        <v>39</v>
      </c>
      <c r="E69" s="30">
        <v>8675</v>
      </c>
      <c r="F69" s="30">
        <v>8650</v>
      </c>
      <c r="G69" s="41" t="s">
        <v>217</v>
      </c>
      <c r="H69" s="30">
        <v>2500</v>
      </c>
      <c r="J69" s="46"/>
    </row>
    <row r="70" spans="2:10" x14ac:dyDescent="0.3">
      <c r="B70" s="43">
        <v>42080</v>
      </c>
      <c r="C70" s="30" t="s">
        <v>9</v>
      </c>
      <c r="D70" s="2" t="s">
        <v>39</v>
      </c>
      <c r="E70" s="30">
        <v>8745</v>
      </c>
      <c r="F70" s="30">
        <v>8763</v>
      </c>
      <c r="G70" s="41" t="s">
        <v>217</v>
      </c>
      <c r="H70" s="30">
        <v>1800</v>
      </c>
      <c r="J70" s="46"/>
    </row>
    <row r="71" spans="2:10" x14ac:dyDescent="0.3">
      <c r="B71" s="43">
        <v>42081</v>
      </c>
      <c r="C71" s="30" t="s">
        <v>8</v>
      </c>
      <c r="D71" s="2" t="s">
        <v>39</v>
      </c>
      <c r="E71" s="30">
        <v>8725</v>
      </c>
      <c r="F71" s="30">
        <v>8755</v>
      </c>
      <c r="G71" s="30">
        <v>100</v>
      </c>
      <c r="H71" s="30">
        <v>-3000</v>
      </c>
      <c r="J71" s="46"/>
    </row>
    <row r="72" spans="2:10" x14ac:dyDescent="0.3">
      <c r="B72" s="43">
        <v>42082</v>
      </c>
      <c r="C72" s="30" t="s">
        <v>8</v>
      </c>
      <c r="D72" s="2" t="s">
        <v>39</v>
      </c>
      <c r="E72" s="30">
        <v>8785</v>
      </c>
      <c r="F72" s="30">
        <v>8730</v>
      </c>
      <c r="G72" s="41" t="s">
        <v>217</v>
      </c>
      <c r="H72" s="30">
        <v>5500</v>
      </c>
      <c r="J72" s="46"/>
    </row>
    <row r="73" spans="2:10" x14ac:dyDescent="0.3">
      <c r="B73" s="43">
        <v>42083</v>
      </c>
      <c r="C73" s="30" t="s">
        <v>8</v>
      </c>
      <c r="D73" s="2" t="s">
        <v>39</v>
      </c>
      <c r="E73" s="30">
        <v>8630</v>
      </c>
      <c r="F73" s="30">
        <v>8605</v>
      </c>
      <c r="G73" s="41" t="s">
        <v>217</v>
      </c>
      <c r="H73" s="30">
        <v>2500</v>
      </c>
      <c r="J73" s="46"/>
    </row>
    <row r="74" spans="2:10" x14ac:dyDescent="0.3">
      <c r="B74" s="43">
        <v>42086</v>
      </c>
      <c r="C74" s="30" t="s">
        <v>8</v>
      </c>
      <c r="D74" s="2" t="s">
        <v>39</v>
      </c>
      <c r="E74" s="30">
        <v>8600</v>
      </c>
      <c r="F74" s="30">
        <v>8555</v>
      </c>
      <c r="G74" s="41" t="s">
        <v>217</v>
      </c>
      <c r="H74" s="30">
        <v>4500</v>
      </c>
      <c r="J74" s="47"/>
    </row>
    <row r="75" spans="2:10" x14ac:dyDescent="0.3">
      <c r="B75" s="43">
        <v>42087</v>
      </c>
      <c r="C75" s="30" t="s">
        <v>8</v>
      </c>
      <c r="D75" s="2" t="s">
        <v>39</v>
      </c>
      <c r="E75" s="30">
        <v>8595</v>
      </c>
      <c r="F75" s="30">
        <v>8555</v>
      </c>
      <c r="G75" s="41" t="s">
        <v>217</v>
      </c>
      <c r="H75" s="30">
        <v>4000</v>
      </c>
      <c r="J75" s="46"/>
    </row>
    <row r="76" spans="2:10" x14ac:dyDescent="0.3">
      <c r="B76" s="43">
        <v>42088</v>
      </c>
      <c r="C76" s="30" t="s">
        <v>8</v>
      </c>
      <c r="D76" s="2" t="s">
        <v>39</v>
      </c>
      <c r="E76" s="30">
        <v>8565</v>
      </c>
      <c r="F76" s="30">
        <v>8530</v>
      </c>
      <c r="G76" s="30">
        <v>100</v>
      </c>
      <c r="H76" s="30">
        <v>3500</v>
      </c>
      <c r="J76" s="46"/>
    </row>
    <row r="77" spans="2:10" ht="15.6" x14ac:dyDescent="0.3">
      <c r="B77" s="43">
        <v>42089</v>
      </c>
      <c r="C77" s="30" t="s">
        <v>8</v>
      </c>
      <c r="D77" s="2" t="s">
        <v>39</v>
      </c>
      <c r="E77" s="30">
        <v>8480</v>
      </c>
      <c r="F77" s="30">
        <v>8440</v>
      </c>
      <c r="G77" s="41" t="s">
        <v>217</v>
      </c>
      <c r="H77" s="77">
        <v>4000</v>
      </c>
      <c r="J77" s="46"/>
    </row>
    <row r="78" spans="2:10" ht="15.6" x14ac:dyDescent="0.3">
      <c r="B78" s="43">
        <v>42090</v>
      </c>
      <c r="C78" s="30" t="s">
        <v>8</v>
      </c>
      <c r="D78" s="2" t="s">
        <v>39</v>
      </c>
      <c r="E78" s="30">
        <v>8450</v>
      </c>
      <c r="F78" s="30">
        <v>8390</v>
      </c>
      <c r="G78" s="41" t="s">
        <v>217</v>
      </c>
      <c r="H78" s="77">
        <v>6000</v>
      </c>
    </row>
    <row r="79" spans="2:10" x14ac:dyDescent="0.3">
      <c r="B79" s="43">
        <v>42093</v>
      </c>
      <c r="C79" s="30" t="s">
        <v>8</v>
      </c>
      <c r="D79" s="2" t="s">
        <v>39</v>
      </c>
      <c r="E79" s="30">
        <v>8470</v>
      </c>
      <c r="F79" s="30">
        <v>8500</v>
      </c>
      <c r="G79" s="30">
        <v>100</v>
      </c>
      <c r="H79" s="30">
        <v>-3000</v>
      </c>
    </row>
    <row r="80" spans="2:10" x14ac:dyDescent="0.3">
      <c r="B80" s="43">
        <v>42094</v>
      </c>
      <c r="C80" s="30" t="s">
        <v>9</v>
      </c>
      <c r="D80" s="2" t="s">
        <v>39</v>
      </c>
      <c r="E80" s="30">
        <v>8565</v>
      </c>
      <c r="F80" s="30">
        <v>8590</v>
      </c>
      <c r="G80" s="41" t="s">
        <v>217</v>
      </c>
      <c r="H80" s="49" t="s">
        <v>728</v>
      </c>
    </row>
    <row r="81" spans="2:8" ht="18" x14ac:dyDescent="0.35">
      <c r="B81" s="43"/>
      <c r="C81" s="30"/>
      <c r="D81" s="2"/>
      <c r="E81" s="30"/>
      <c r="F81" s="30"/>
      <c r="G81" s="41"/>
      <c r="H81" s="76" t="s">
        <v>731</v>
      </c>
    </row>
    <row r="82" spans="2:8" ht="15.6" x14ac:dyDescent="0.3">
      <c r="B82" s="43"/>
      <c r="C82" s="30"/>
      <c r="D82" s="2"/>
      <c r="E82" s="30"/>
      <c r="F82" s="30"/>
      <c r="G82" s="30"/>
      <c r="H82" s="34"/>
    </row>
    <row r="83" spans="2:8" x14ac:dyDescent="0.3">
      <c r="B83" s="43"/>
      <c r="C83" s="28"/>
      <c r="D83" s="30"/>
      <c r="E83" s="28"/>
      <c r="F83" s="28"/>
      <c r="G83" s="28"/>
      <c r="H83" s="28"/>
    </row>
    <row r="84" spans="2:8" ht="15.6" x14ac:dyDescent="0.3">
      <c r="B84" s="48" t="s">
        <v>572</v>
      </c>
      <c r="C84" s="61"/>
      <c r="D84" s="61"/>
      <c r="E84" s="61"/>
      <c r="F84" s="61"/>
      <c r="G84" s="61"/>
      <c r="H84" s="61"/>
    </row>
    <row r="85" spans="2:8" x14ac:dyDescent="0.3">
      <c r="B85" s="43">
        <v>42065</v>
      </c>
      <c r="C85" s="3" t="s">
        <v>9</v>
      </c>
      <c r="D85" s="3" t="s">
        <v>632</v>
      </c>
      <c r="E85" s="40" t="s">
        <v>232</v>
      </c>
      <c r="F85" s="40" t="s">
        <v>513</v>
      </c>
      <c r="G85" s="30">
        <v>200</v>
      </c>
      <c r="H85" s="8">
        <v>5000</v>
      </c>
    </row>
    <row r="86" spans="2:8" x14ac:dyDescent="0.3">
      <c r="B86" s="43">
        <v>42066</v>
      </c>
      <c r="C86" s="3" t="s">
        <v>9</v>
      </c>
      <c r="D86" s="3" t="s">
        <v>686</v>
      </c>
      <c r="E86" s="30">
        <v>136</v>
      </c>
      <c r="F86" s="30">
        <v>160</v>
      </c>
      <c r="G86" s="30">
        <v>200</v>
      </c>
      <c r="H86" s="30">
        <v>4800</v>
      </c>
    </row>
    <row r="87" spans="2:8" x14ac:dyDescent="0.3">
      <c r="B87" s="43">
        <v>42067</v>
      </c>
      <c r="C87" s="3" t="s">
        <v>9</v>
      </c>
      <c r="D87" s="3" t="s">
        <v>679</v>
      </c>
      <c r="E87" s="30">
        <v>114</v>
      </c>
      <c r="F87" s="30">
        <v>150</v>
      </c>
      <c r="G87" s="30">
        <v>200</v>
      </c>
      <c r="H87" s="30">
        <v>7200</v>
      </c>
    </row>
    <row r="88" spans="2:8" x14ac:dyDescent="0.3">
      <c r="B88" s="43">
        <v>42068</v>
      </c>
      <c r="C88" s="3" t="s">
        <v>9</v>
      </c>
      <c r="D88" s="30" t="s">
        <v>632</v>
      </c>
      <c r="E88" s="30">
        <v>140</v>
      </c>
      <c r="F88" s="30">
        <v>180</v>
      </c>
      <c r="G88" s="30">
        <v>200</v>
      </c>
      <c r="H88" s="30">
        <v>8000</v>
      </c>
    </row>
    <row r="89" spans="2:8" x14ac:dyDescent="0.3">
      <c r="B89" s="43">
        <v>42072</v>
      </c>
      <c r="C89" s="3" t="s">
        <v>9</v>
      </c>
      <c r="D89" s="30" t="s">
        <v>691</v>
      </c>
      <c r="E89" s="30">
        <v>138</v>
      </c>
      <c r="F89" s="30">
        <v>178</v>
      </c>
      <c r="G89" s="30">
        <v>200</v>
      </c>
      <c r="H89" s="30">
        <v>8000</v>
      </c>
    </row>
    <row r="90" spans="2:8" x14ac:dyDescent="0.3">
      <c r="B90" s="43">
        <v>42073</v>
      </c>
      <c r="C90" s="3" t="s">
        <v>9</v>
      </c>
      <c r="D90" s="30" t="s">
        <v>687</v>
      </c>
      <c r="E90" s="30">
        <v>173</v>
      </c>
      <c r="F90" s="30">
        <v>153</v>
      </c>
      <c r="G90" s="30">
        <v>200</v>
      </c>
      <c r="H90" s="30">
        <v>-4000</v>
      </c>
    </row>
    <row r="91" spans="2:8" x14ac:dyDescent="0.3">
      <c r="B91" s="43">
        <v>42074</v>
      </c>
      <c r="C91" s="3" t="s">
        <v>9</v>
      </c>
      <c r="D91" s="30" t="s">
        <v>631</v>
      </c>
      <c r="E91" s="30">
        <v>138</v>
      </c>
      <c r="F91" s="30">
        <v>148</v>
      </c>
      <c r="G91" s="30">
        <v>200</v>
      </c>
      <c r="H91" s="30">
        <v>2000</v>
      </c>
    </row>
    <row r="92" spans="2:8" x14ac:dyDescent="0.3">
      <c r="B92" s="43">
        <v>42075</v>
      </c>
      <c r="C92" s="3" t="s">
        <v>9</v>
      </c>
      <c r="D92" s="30" t="s">
        <v>661</v>
      </c>
      <c r="E92" s="30">
        <v>104</v>
      </c>
      <c r="F92" s="30">
        <v>114</v>
      </c>
      <c r="G92" s="30">
        <v>200</v>
      </c>
      <c r="H92" s="30">
        <v>2000</v>
      </c>
    </row>
    <row r="93" spans="2:8" x14ac:dyDescent="0.3">
      <c r="B93" s="43">
        <v>42076</v>
      </c>
      <c r="C93" s="3" t="s">
        <v>9</v>
      </c>
      <c r="D93" s="30" t="s">
        <v>631</v>
      </c>
      <c r="E93" s="30">
        <v>110</v>
      </c>
      <c r="F93" s="30">
        <v>150</v>
      </c>
      <c r="G93" s="30">
        <v>200</v>
      </c>
      <c r="H93" s="30">
        <v>8000</v>
      </c>
    </row>
    <row r="94" spans="2:8" x14ac:dyDescent="0.3">
      <c r="B94" s="43">
        <v>42079</v>
      </c>
      <c r="C94" s="3" t="s">
        <v>9</v>
      </c>
      <c r="D94" s="30" t="s">
        <v>662</v>
      </c>
      <c r="E94" s="30">
        <v>105</v>
      </c>
      <c r="F94" s="30">
        <v>120</v>
      </c>
      <c r="G94" s="30">
        <v>200</v>
      </c>
      <c r="H94" s="30">
        <v>3000</v>
      </c>
    </row>
    <row r="95" spans="2:8" x14ac:dyDescent="0.3">
      <c r="B95" s="43">
        <v>42080</v>
      </c>
      <c r="C95" s="3" t="s">
        <v>9</v>
      </c>
      <c r="D95" s="30" t="s">
        <v>687</v>
      </c>
      <c r="E95" s="30">
        <v>114</v>
      </c>
      <c r="F95" s="30">
        <v>124</v>
      </c>
      <c r="G95" s="30">
        <v>200</v>
      </c>
      <c r="H95" s="30">
        <v>2000</v>
      </c>
    </row>
    <row r="96" spans="2:8" x14ac:dyDescent="0.3">
      <c r="B96" s="43">
        <v>42081</v>
      </c>
      <c r="C96" s="3" t="s">
        <v>9</v>
      </c>
      <c r="D96" s="30" t="s">
        <v>631</v>
      </c>
      <c r="E96" s="30">
        <v>130</v>
      </c>
      <c r="F96" s="30">
        <v>110</v>
      </c>
      <c r="G96" s="30">
        <v>200</v>
      </c>
      <c r="H96" s="30">
        <v>-4000</v>
      </c>
    </row>
    <row r="97" spans="2:8" x14ac:dyDescent="0.3">
      <c r="B97" s="43">
        <v>42082</v>
      </c>
      <c r="C97" s="3" t="s">
        <v>9</v>
      </c>
      <c r="D97" s="30" t="s">
        <v>631</v>
      </c>
      <c r="E97" s="30">
        <v>85</v>
      </c>
      <c r="F97" s="30">
        <v>120</v>
      </c>
      <c r="G97" s="30">
        <v>200</v>
      </c>
      <c r="H97" s="30">
        <v>7000</v>
      </c>
    </row>
    <row r="98" spans="2:8" x14ac:dyDescent="0.3">
      <c r="B98" s="43">
        <v>42083</v>
      </c>
      <c r="C98" s="3" t="s">
        <v>9</v>
      </c>
      <c r="D98" s="30" t="s">
        <v>662</v>
      </c>
      <c r="E98" s="30">
        <v>110</v>
      </c>
      <c r="F98" s="30">
        <v>125</v>
      </c>
      <c r="G98" s="30">
        <v>200</v>
      </c>
      <c r="H98" s="30">
        <v>3000</v>
      </c>
    </row>
    <row r="99" spans="2:8" x14ac:dyDescent="0.3">
      <c r="B99" s="43">
        <v>42086</v>
      </c>
      <c r="C99" s="3" t="s">
        <v>9</v>
      </c>
      <c r="D99" s="30" t="s">
        <v>662</v>
      </c>
      <c r="E99" s="30">
        <v>120</v>
      </c>
      <c r="F99" s="30">
        <v>148</v>
      </c>
      <c r="G99" s="30">
        <v>200</v>
      </c>
      <c r="H99" s="30">
        <v>5600</v>
      </c>
    </row>
    <row r="100" spans="2:8" x14ac:dyDescent="0.3">
      <c r="B100" s="43">
        <v>42087</v>
      </c>
      <c r="C100" s="3" t="s">
        <v>9</v>
      </c>
      <c r="D100" s="30" t="s">
        <v>662</v>
      </c>
      <c r="E100" s="30">
        <v>117</v>
      </c>
      <c r="F100" s="30">
        <v>97</v>
      </c>
      <c r="G100" s="30">
        <v>200</v>
      </c>
      <c r="H100" s="30">
        <v>-4000</v>
      </c>
    </row>
    <row r="101" spans="2:8" ht="15.6" x14ac:dyDescent="0.3">
      <c r="B101" s="43">
        <v>42088</v>
      </c>
      <c r="C101" s="3" t="s">
        <v>9</v>
      </c>
      <c r="D101" s="30" t="s">
        <v>563</v>
      </c>
      <c r="E101" s="30">
        <v>56</v>
      </c>
      <c r="F101" s="30">
        <v>80</v>
      </c>
      <c r="G101" s="30">
        <v>200</v>
      </c>
      <c r="H101" s="62" t="s">
        <v>709</v>
      </c>
    </row>
    <row r="102" spans="2:8" ht="15.6" x14ac:dyDescent="0.3">
      <c r="B102" s="43">
        <v>42089</v>
      </c>
      <c r="C102" s="3" t="s">
        <v>9</v>
      </c>
      <c r="D102" s="30" t="s">
        <v>708</v>
      </c>
      <c r="E102" s="30">
        <v>75</v>
      </c>
      <c r="F102" s="30">
        <v>110</v>
      </c>
      <c r="G102" s="30">
        <v>200</v>
      </c>
      <c r="H102" s="62" t="s">
        <v>463</v>
      </c>
    </row>
    <row r="103" spans="2:8" ht="15.6" x14ac:dyDescent="0.3">
      <c r="B103" s="43">
        <v>42090</v>
      </c>
      <c r="C103" s="3" t="s">
        <v>9</v>
      </c>
      <c r="D103" s="28" t="s">
        <v>554</v>
      </c>
      <c r="E103" s="49" t="s">
        <v>705</v>
      </c>
      <c r="F103" s="49" t="s">
        <v>706</v>
      </c>
      <c r="G103" s="30">
        <v>200</v>
      </c>
      <c r="H103" s="62" t="s">
        <v>707</v>
      </c>
    </row>
    <row r="104" spans="2:8" x14ac:dyDescent="0.3">
      <c r="B104" s="43">
        <v>42093</v>
      </c>
      <c r="C104" s="3" t="s">
        <v>9</v>
      </c>
      <c r="D104" s="28" t="s">
        <v>554</v>
      </c>
      <c r="E104" s="28">
        <v>150</v>
      </c>
      <c r="F104" s="28">
        <v>135</v>
      </c>
      <c r="G104" s="30">
        <v>200</v>
      </c>
      <c r="H104" s="49" t="s">
        <v>611</v>
      </c>
    </row>
    <row r="105" spans="2:8" x14ac:dyDescent="0.3">
      <c r="B105" s="43">
        <v>42094</v>
      </c>
      <c r="C105" s="3" t="s">
        <v>9</v>
      </c>
      <c r="D105" s="28" t="s">
        <v>625</v>
      </c>
      <c r="E105" s="28">
        <v>168</v>
      </c>
      <c r="F105" s="28">
        <v>185</v>
      </c>
      <c r="G105" s="30">
        <v>200</v>
      </c>
      <c r="H105" s="28">
        <v>3400</v>
      </c>
    </row>
    <row r="106" spans="2:8" ht="18" x14ac:dyDescent="0.35">
      <c r="B106" s="1"/>
      <c r="C106" s="28"/>
      <c r="D106" s="28"/>
      <c r="E106" s="28"/>
      <c r="F106" s="28"/>
      <c r="G106" s="28"/>
      <c r="H106" s="76">
        <v>74400</v>
      </c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x14ac:dyDescent="0.3">
      <c r="B108" s="1"/>
      <c r="C108" s="28"/>
      <c r="D108" s="28"/>
      <c r="E108" s="28"/>
      <c r="F108" s="28"/>
      <c r="G108" s="28"/>
      <c r="H108" s="28"/>
    </row>
    <row r="109" spans="2:8" x14ac:dyDescent="0.3">
      <c r="B109" s="1"/>
      <c r="C109" s="28"/>
      <c r="D109" s="28"/>
      <c r="E109" s="28"/>
      <c r="F109" s="28"/>
      <c r="G109" s="28"/>
      <c r="H109" s="28"/>
    </row>
    <row r="110" spans="2:8" x14ac:dyDescent="0.3">
      <c r="B110" s="1"/>
      <c r="C110" s="28"/>
      <c r="D110" s="28"/>
      <c r="E110" s="28"/>
      <c r="F110" s="28"/>
      <c r="G110" s="28"/>
      <c r="H110" s="28"/>
    </row>
    <row r="111" spans="2:8" x14ac:dyDescent="0.3">
      <c r="B111" s="1"/>
      <c r="C111" s="28"/>
      <c r="D111" s="28"/>
      <c r="E111" s="28"/>
      <c r="F111" s="28"/>
      <c r="G111" s="28"/>
      <c r="H111" s="29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  <row r="117" spans="2:2" x14ac:dyDescent="0.3">
      <c r="B117" s="1"/>
    </row>
    <row r="118" spans="2:2" x14ac:dyDescent="0.3">
      <c r="B118" s="1"/>
    </row>
    <row r="119" spans="2:2" x14ac:dyDescent="0.3">
      <c r="B119" s="1"/>
    </row>
    <row r="120" spans="2:2" x14ac:dyDescent="0.3">
      <c r="B120" s="1"/>
    </row>
    <row r="121" spans="2:2" x14ac:dyDescent="0.3">
      <c r="B121" s="1"/>
    </row>
    <row r="122" spans="2:2" x14ac:dyDescent="0.3">
      <c r="B122" s="1"/>
    </row>
  </sheetData>
  <mergeCells count="3">
    <mergeCell ref="B1:H1"/>
    <mergeCell ref="B2:H2"/>
    <mergeCell ref="B3:H3"/>
  </mergeCells>
  <hyperlinks>
    <hyperlink ref="J2" location="'MASTER '!A1" display="Back" xr:uid="{00000000-0004-0000-1700-000000000000}"/>
  </hyperlinks>
  <pageMargins left="0.7" right="0.7" top="0.75" bottom="0.75" header="0.3" footer="0.3"/>
  <pageSetup orientation="portrait" horizontalDpi="300" verticalDpi="0" r:id="rId1"/>
  <ignoredErrors>
    <ignoredError sqref="E6:H7 E33:H34 E60:H71 E85:G95 E101:H103 H52 E20:H25 G72:G78 E26:H26 G80:H80 H104 E28:H28 E27 G27 F27 H27 H55 H81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13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733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42095</v>
      </c>
      <c r="C6" s="2" t="s">
        <v>8</v>
      </c>
      <c r="D6" s="2" t="s">
        <v>94</v>
      </c>
      <c r="E6" s="41" t="s">
        <v>734</v>
      </c>
      <c r="F6" s="40" t="s">
        <v>735</v>
      </c>
      <c r="G6" s="5">
        <v>293</v>
      </c>
      <c r="H6" s="41" t="s">
        <v>741</v>
      </c>
      <c r="K6" s="16"/>
    </row>
    <row r="7" spans="1:14" x14ac:dyDescent="0.3">
      <c r="B7" s="43">
        <v>42100</v>
      </c>
      <c r="C7" s="2" t="s">
        <v>11</v>
      </c>
      <c r="D7" s="28" t="s">
        <v>133</v>
      </c>
      <c r="E7" s="30">
        <v>2054</v>
      </c>
      <c r="F7" s="30">
        <v>2090</v>
      </c>
      <c r="G7" s="30">
        <v>146</v>
      </c>
      <c r="H7" s="41" t="s">
        <v>742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42101</v>
      </c>
      <c r="C8" s="2" t="s">
        <v>8</v>
      </c>
      <c r="D8" s="28" t="s">
        <v>187</v>
      </c>
      <c r="E8" s="30">
        <v>127.5</v>
      </c>
      <c r="F8" s="30">
        <v>126.5</v>
      </c>
      <c r="G8" s="30">
        <v>2352</v>
      </c>
      <c r="H8" s="30">
        <v>2352</v>
      </c>
      <c r="J8" s="16" t="s">
        <v>449</v>
      </c>
      <c r="K8" s="30">
        <v>27</v>
      </c>
      <c r="L8" s="30">
        <v>22</v>
      </c>
      <c r="M8" s="30">
        <v>4</v>
      </c>
      <c r="N8" s="30">
        <v>1</v>
      </c>
    </row>
    <row r="9" spans="1:14" x14ac:dyDescent="0.3">
      <c r="B9" s="43">
        <v>42102</v>
      </c>
      <c r="C9" s="2" t="s">
        <v>8</v>
      </c>
      <c r="D9" s="28" t="s">
        <v>46</v>
      </c>
      <c r="E9" s="30">
        <v>313</v>
      </c>
      <c r="F9" s="30">
        <v>312</v>
      </c>
      <c r="G9" s="30">
        <v>958</v>
      </c>
      <c r="H9" s="30">
        <v>958</v>
      </c>
      <c r="J9" s="16" t="s">
        <v>450</v>
      </c>
      <c r="K9" s="30">
        <v>22</v>
      </c>
      <c r="L9" s="30">
        <v>15</v>
      </c>
      <c r="M9" s="30">
        <v>5</v>
      </c>
      <c r="N9" s="30">
        <v>2</v>
      </c>
    </row>
    <row r="10" spans="1:14" x14ac:dyDescent="0.3">
      <c r="B10" s="43">
        <v>42103</v>
      </c>
      <c r="C10" s="30" t="s">
        <v>8</v>
      </c>
      <c r="D10" s="30" t="s">
        <v>168</v>
      </c>
      <c r="E10" s="30">
        <v>290.5</v>
      </c>
      <c r="F10" s="30">
        <v>283.5</v>
      </c>
      <c r="G10" s="30">
        <v>1032</v>
      </c>
      <c r="H10" s="30">
        <v>7224</v>
      </c>
      <c r="J10" s="16" t="s">
        <v>451</v>
      </c>
      <c r="K10" s="30">
        <v>20</v>
      </c>
      <c r="L10" s="30">
        <v>16</v>
      </c>
      <c r="M10" s="30">
        <v>4</v>
      </c>
      <c r="N10" s="30">
        <v>0</v>
      </c>
    </row>
    <row r="11" spans="1:14" x14ac:dyDescent="0.3">
      <c r="B11" s="43">
        <v>42104</v>
      </c>
      <c r="C11" s="2" t="s">
        <v>8</v>
      </c>
      <c r="D11" s="28" t="s">
        <v>585</v>
      </c>
      <c r="E11" s="30">
        <v>599</v>
      </c>
      <c r="F11" s="30">
        <v>596.5</v>
      </c>
      <c r="G11" s="30">
        <v>500</v>
      </c>
      <c r="H11" s="30">
        <v>1750</v>
      </c>
      <c r="J11" s="16" t="s">
        <v>452</v>
      </c>
      <c r="K11" s="30">
        <v>20</v>
      </c>
      <c r="L11" s="30">
        <v>16</v>
      </c>
      <c r="M11" s="30">
        <v>4</v>
      </c>
      <c r="N11" s="30">
        <v>0</v>
      </c>
    </row>
    <row r="12" spans="1:14" x14ac:dyDescent="0.3">
      <c r="B12" s="43">
        <v>42107</v>
      </c>
      <c r="C12" s="2" t="s">
        <v>8</v>
      </c>
      <c r="D12" s="28" t="s">
        <v>98</v>
      </c>
      <c r="E12" s="30">
        <v>2572</v>
      </c>
      <c r="F12" s="30">
        <v>2570</v>
      </c>
      <c r="G12" s="30">
        <v>117</v>
      </c>
      <c r="H12" s="30">
        <v>234</v>
      </c>
      <c r="J12" s="16"/>
      <c r="K12" s="21">
        <v>89</v>
      </c>
      <c r="L12" s="21">
        <v>69</v>
      </c>
      <c r="M12" s="21">
        <v>17</v>
      </c>
      <c r="N12" s="21">
        <v>3</v>
      </c>
    </row>
    <row r="13" spans="1:14" x14ac:dyDescent="0.3">
      <c r="B13" s="43">
        <v>42107</v>
      </c>
      <c r="C13" s="2" t="s">
        <v>8</v>
      </c>
      <c r="D13" s="28" t="s">
        <v>139</v>
      </c>
      <c r="E13" s="30">
        <v>840</v>
      </c>
      <c r="F13" s="30">
        <v>836</v>
      </c>
      <c r="G13" s="30">
        <v>357</v>
      </c>
      <c r="H13" s="30">
        <v>1428</v>
      </c>
      <c r="K13" s="16"/>
    </row>
    <row r="14" spans="1:14" x14ac:dyDescent="0.3">
      <c r="B14" s="43">
        <v>42109</v>
      </c>
      <c r="C14" s="2" t="s">
        <v>8</v>
      </c>
      <c r="D14" s="28" t="s">
        <v>308</v>
      </c>
      <c r="E14" s="30">
        <v>652</v>
      </c>
      <c r="F14" s="30">
        <v>660</v>
      </c>
      <c r="G14" s="30">
        <v>299</v>
      </c>
      <c r="H14" s="30">
        <v>-2392</v>
      </c>
      <c r="K14" s="68" t="s">
        <v>778</v>
      </c>
      <c r="L14" s="69"/>
      <c r="M14" s="70"/>
    </row>
    <row r="15" spans="1:14" x14ac:dyDescent="0.3">
      <c r="B15" s="43">
        <v>42109</v>
      </c>
      <c r="C15" s="2" t="s">
        <v>8</v>
      </c>
      <c r="D15" s="28" t="s">
        <v>107</v>
      </c>
      <c r="E15" s="30">
        <v>2090</v>
      </c>
      <c r="F15" s="30">
        <v>2072</v>
      </c>
      <c r="G15" s="30">
        <v>144</v>
      </c>
      <c r="H15" s="30">
        <v>2592</v>
      </c>
      <c r="K15" s="16"/>
    </row>
    <row r="16" spans="1:14" x14ac:dyDescent="0.3">
      <c r="B16" s="43">
        <v>42110</v>
      </c>
      <c r="C16" s="2" t="s">
        <v>8</v>
      </c>
      <c r="D16" s="28" t="s">
        <v>133</v>
      </c>
      <c r="E16" s="30">
        <v>1900</v>
      </c>
      <c r="F16" s="30">
        <v>1870</v>
      </c>
      <c r="G16" s="30">
        <v>158</v>
      </c>
      <c r="H16" s="30">
        <v>4740</v>
      </c>
      <c r="K16" s="28"/>
      <c r="L16" s="30"/>
      <c r="M16" s="30"/>
      <c r="N16" s="30"/>
    </row>
    <row r="17" spans="2:14" x14ac:dyDescent="0.3">
      <c r="B17" s="43">
        <v>42111</v>
      </c>
      <c r="C17" s="2" t="s">
        <v>8</v>
      </c>
      <c r="D17" s="28" t="s">
        <v>98</v>
      </c>
      <c r="E17" s="30">
        <v>2405</v>
      </c>
      <c r="F17" s="30">
        <v>2385</v>
      </c>
      <c r="G17" s="30">
        <v>125</v>
      </c>
      <c r="H17" s="30">
        <v>2500</v>
      </c>
      <c r="K17" s="49"/>
      <c r="L17" s="30"/>
      <c r="M17" s="30"/>
      <c r="N17" s="30"/>
    </row>
    <row r="18" spans="2:14" x14ac:dyDescent="0.3">
      <c r="B18" s="43">
        <v>42114</v>
      </c>
      <c r="C18" s="30" t="s">
        <v>8</v>
      </c>
      <c r="D18" s="30" t="s">
        <v>124</v>
      </c>
      <c r="E18" s="30">
        <v>530</v>
      </c>
      <c r="F18" s="30">
        <v>524</v>
      </c>
      <c r="G18" s="30">
        <v>566</v>
      </c>
      <c r="H18" s="30">
        <v>3396</v>
      </c>
      <c r="K18" s="49"/>
      <c r="L18" s="30"/>
      <c r="M18" s="30"/>
      <c r="N18" s="30"/>
    </row>
    <row r="19" spans="2:14" x14ac:dyDescent="0.3">
      <c r="B19" s="43">
        <v>42115</v>
      </c>
      <c r="C19" s="30" t="s">
        <v>8</v>
      </c>
      <c r="D19" s="30" t="s">
        <v>98</v>
      </c>
      <c r="E19" s="30">
        <v>2315</v>
      </c>
      <c r="F19" s="30">
        <v>2295</v>
      </c>
      <c r="G19" s="30">
        <v>130</v>
      </c>
      <c r="H19" s="30">
        <v>2600</v>
      </c>
      <c r="K19" s="49"/>
      <c r="L19" s="30"/>
      <c r="M19" s="30"/>
      <c r="N19" s="30"/>
    </row>
    <row r="20" spans="2:14" x14ac:dyDescent="0.3">
      <c r="B20" s="43">
        <v>42115</v>
      </c>
      <c r="C20" s="30" t="s">
        <v>9</v>
      </c>
      <c r="D20" s="30" t="s">
        <v>106</v>
      </c>
      <c r="E20" s="30">
        <v>429</v>
      </c>
      <c r="F20" s="30">
        <v>433</v>
      </c>
      <c r="G20" s="30">
        <v>700</v>
      </c>
      <c r="H20" s="30">
        <v>2800</v>
      </c>
      <c r="K20" s="49"/>
      <c r="L20" s="30"/>
      <c r="M20" s="30"/>
      <c r="N20" s="30"/>
    </row>
    <row r="21" spans="2:14" x14ac:dyDescent="0.3">
      <c r="B21" s="43">
        <v>42115</v>
      </c>
      <c r="C21" s="28" t="s">
        <v>9</v>
      </c>
      <c r="D21" s="28" t="s">
        <v>85</v>
      </c>
      <c r="E21" s="30">
        <v>405</v>
      </c>
      <c r="F21" s="30">
        <v>409</v>
      </c>
      <c r="G21" s="30">
        <v>740</v>
      </c>
      <c r="H21" s="30">
        <v>2960</v>
      </c>
      <c r="K21" s="49"/>
      <c r="L21" s="30"/>
      <c r="M21" s="30"/>
      <c r="N21" s="30"/>
    </row>
    <row r="22" spans="2:14" x14ac:dyDescent="0.3">
      <c r="B22" s="43">
        <v>42116</v>
      </c>
      <c r="C22" s="28" t="s">
        <v>8</v>
      </c>
      <c r="D22" s="28" t="s">
        <v>37</v>
      </c>
      <c r="E22" s="30">
        <v>133</v>
      </c>
      <c r="F22" s="30">
        <v>135</v>
      </c>
      <c r="G22" s="30">
        <v>2255</v>
      </c>
      <c r="H22" s="30">
        <v>-4510</v>
      </c>
      <c r="K22" s="49"/>
      <c r="L22" s="30"/>
      <c r="M22" s="30"/>
      <c r="N22" s="30"/>
    </row>
    <row r="23" spans="2:14" x14ac:dyDescent="0.3">
      <c r="B23" s="43">
        <v>42116</v>
      </c>
      <c r="C23" s="28" t="s">
        <v>9</v>
      </c>
      <c r="D23" s="30" t="s">
        <v>189</v>
      </c>
      <c r="E23" s="30">
        <v>228</v>
      </c>
      <c r="F23" s="30">
        <v>231</v>
      </c>
      <c r="G23" s="30">
        <v>1315</v>
      </c>
      <c r="H23" s="30">
        <v>3945</v>
      </c>
      <c r="K23" s="16"/>
    </row>
    <row r="24" spans="2:14" x14ac:dyDescent="0.3">
      <c r="B24" s="43">
        <v>42117</v>
      </c>
      <c r="C24" s="28" t="s">
        <v>9</v>
      </c>
      <c r="D24" s="30" t="s">
        <v>133</v>
      </c>
      <c r="E24" s="30">
        <v>1775</v>
      </c>
      <c r="F24" s="30">
        <v>1770</v>
      </c>
      <c r="G24" s="30">
        <v>169</v>
      </c>
      <c r="H24" s="30">
        <v>-845</v>
      </c>
      <c r="K24" s="16"/>
    </row>
    <row r="25" spans="2:14" x14ac:dyDescent="0.3">
      <c r="B25" s="43">
        <v>42117</v>
      </c>
      <c r="C25" s="28" t="s">
        <v>8</v>
      </c>
      <c r="D25" s="28" t="s">
        <v>46</v>
      </c>
      <c r="E25" s="49" t="s">
        <v>743</v>
      </c>
      <c r="F25" s="49" t="s">
        <v>605</v>
      </c>
      <c r="G25" s="49" t="s">
        <v>757</v>
      </c>
      <c r="H25" s="74" t="s">
        <v>767</v>
      </c>
      <c r="K25" s="41"/>
    </row>
    <row r="26" spans="2:14" x14ac:dyDescent="0.3">
      <c r="B26" s="43">
        <v>42118</v>
      </c>
      <c r="C26" s="28" t="s">
        <v>8</v>
      </c>
      <c r="D26" s="28" t="s">
        <v>98</v>
      </c>
      <c r="E26" s="49" t="s">
        <v>744</v>
      </c>
      <c r="F26" s="49" t="s">
        <v>745</v>
      </c>
      <c r="G26" s="49" t="s">
        <v>758</v>
      </c>
      <c r="H26" s="74" t="s">
        <v>426</v>
      </c>
      <c r="K26" s="41"/>
    </row>
    <row r="27" spans="2:14" x14ac:dyDescent="0.3">
      <c r="B27" s="43">
        <v>42121</v>
      </c>
      <c r="C27" s="28" t="s">
        <v>9</v>
      </c>
      <c r="D27" s="28" t="s">
        <v>109</v>
      </c>
      <c r="E27" s="49" t="s">
        <v>748</v>
      </c>
      <c r="F27" s="49" t="s">
        <v>749</v>
      </c>
      <c r="G27" s="49" t="s">
        <v>759</v>
      </c>
      <c r="H27" s="74" t="s">
        <v>768</v>
      </c>
      <c r="L27" s="30"/>
    </row>
    <row r="28" spans="2:14" ht="15.6" x14ac:dyDescent="0.3">
      <c r="B28" s="43">
        <v>42121</v>
      </c>
      <c r="C28" s="28" t="s">
        <v>8</v>
      </c>
      <c r="D28" s="28" t="s">
        <v>98</v>
      </c>
      <c r="E28" s="49" t="s">
        <v>746</v>
      </c>
      <c r="F28" s="49" t="s">
        <v>747</v>
      </c>
      <c r="G28" s="49" t="s">
        <v>760</v>
      </c>
      <c r="H28" s="64" t="s">
        <v>769</v>
      </c>
      <c r="L28" s="30"/>
    </row>
    <row r="29" spans="2:14" ht="15.6" x14ac:dyDescent="0.3">
      <c r="B29" s="43">
        <v>42122</v>
      </c>
      <c r="C29" s="28" t="s">
        <v>8</v>
      </c>
      <c r="D29" s="28" t="s">
        <v>378</v>
      </c>
      <c r="E29" s="49" t="s">
        <v>750</v>
      </c>
      <c r="F29" s="49" t="s">
        <v>751</v>
      </c>
      <c r="G29" s="49" t="s">
        <v>761</v>
      </c>
      <c r="H29" s="64" t="s">
        <v>770</v>
      </c>
      <c r="L29" s="30"/>
    </row>
    <row r="30" spans="2:14" x14ac:dyDescent="0.3">
      <c r="B30" s="43">
        <v>42123</v>
      </c>
      <c r="C30" s="28" t="s">
        <v>8</v>
      </c>
      <c r="D30" s="28" t="s">
        <v>99</v>
      </c>
      <c r="E30" s="49" t="s">
        <v>752</v>
      </c>
      <c r="F30" s="49" t="s">
        <v>726</v>
      </c>
      <c r="G30" s="49" t="s">
        <v>764</v>
      </c>
      <c r="H30" s="74" t="s">
        <v>771</v>
      </c>
      <c r="L30" s="30"/>
    </row>
    <row r="31" spans="2:14" x14ac:dyDescent="0.3">
      <c r="B31" s="43">
        <v>42123</v>
      </c>
      <c r="C31" s="28" t="s">
        <v>9</v>
      </c>
      <c r="D31" s="28" t="s">
        <v>30</v>
      </c>
      <c r="E31" s="49" t="s">
        <v>753</v>
      </c>
      <c r="F31" s="49" t="s">
        <v>680</v>
      </c>
      <c r="G31" s="49" t="s">
        <v>743</v>
      </c>
      <c r="H31" s="74" t="s">
        <v>772</v>
      </c>
      <c r="L31" s="30"/>
    </row>
    <row r="32" spans="2:14" ht="15.6" x14ac:dyDescent="0.3">
      <c r="B32" s="43">
        <v>42124</v>
      </c>
      <c r="C32" s="28" t="s">
        <v>8</v>
      </c>
      <c r="D32" s="28" t="s">
        <v>46</v>
      </c>
      <c r="E32" s="49" t="s">
        <v>754</v>
      </c>
      <c r="F32" s="49" t="s">
        <v>755</v>
      </c>
      <c r="G32" s="49" t="s">
        <v>766</v>
      </c>
      <c r="H32" s="62" t="s">
        <v>773</v>
      </c>
      <c r="L32" s="30"/>
    </row>
    <row r="33" spans="2:12" ht="15.6" x14ac:dyDescent="0.3">
      <c r="B33" s="43"/>
      <c r="C33" s="28"/>
      <c r="D33" s="28"/>
      <c r="E33" s="49"/>
      <c r="F33" s="49"/>
      <c r="G33" s="49"/>
      <c r="H33" s="63" t="s">
        <v>774</v>
      </c>
      <c r="L33" s="30"/>
    </row>
    <row r="34" spans="2:12" x14ac:dyDescent="0.3">
      <c r="B34" s="43"/>
      <c r="C34" s="28"/>
      <c r="D34" s="28"/>
      <c r="E34" s="49"/>
      <c r="F34" s="49"/>
      <c r="G34" s="49"/>
      <c r="H34" s="74"/>
      <c r="L34" s="30"/>
    </row>
    <row r="35" spans="2:12" x14ac:dyDescent="0.3">
      <c r="C35" s="28"/>
      <c r="D35" s="28"/>
      <c r="E35" s="28"/>
      <c r="F35" s="28"/>
      <c r="G35" s="28"/>
      <c r="H35" s="49"/>
      <c r="L35" s="30"/>
    </row>
    <row r="36" spans="2:12" ht="18" x14ac:dyDescent="0.35">
      <c r="C36" s="28"/>
      <c r="D36" s="28"/>
      <c r="E36" s="28"/>
      <c r="F36" s="28"/>
      <c r="G36" s="28"/>
      <c r="H36" s="76"/>
      <c r="L36" s="30"/>
    </row>
    <row r="37" spans="2:12" ht="15.6" x14ac:dyDescent="0.3">
      <c r="C37" s="28"/>
      <c r="D37" s="28"/>
      <c r="E37" s="28"/>
      <c r="F37" s="28"/>
      <c r="G37" s="28"/>
      <c r="H37" s="34"/>
      <c r="L37" s="30"/>
    </row>
    <row r="38" spans="2:12" ht="15.6" x14ac:dyDescent="0.3">
      <c r="C38" s="28"/>
      <c r="D38" s="28"/>
      <c r="E38" s="28"/>
      <c r="F38" s="28"/>
      <c r="G38" s="28"/>
      <c r="H38" s="34"/>
      <c r="L38" s="30"/>
    </row>
    <row r="39" spans="2:12" x14ac:dyDescent="0.3">
      <c r="L39" s="30"/>
    </row>
    <row r="40" spans="2:12" ht="15.6" x14ac:dyDescent="0.3">
      <c r="B40" s="48" t="s">
        <v>62</v>
      </c>
      <c r="C40" s="48"/>
      <c r="D40" s="48"/>
      <c r="E40" s="48"/>
      <c r="F40" s="48"/>
      <c r="G40" s="48"/>
      <c r="H40" s="48"/>
      <c r="L40" s="30"/>
    </row>
    <row r="41" spans="2:12" x14ac:dyDescent="0.3">
      <c r="B41" s="43">
        <v>42095</v>
      </c>
      <c r="C41" s="2" t="s">
        <v>9</v>
      </c>
      <c r="D41" s="2" t="s">
        <v>84</v>
      </c>
      <c r="E41" s="41" t="s">
        <v>736</v>
      </c>
      <c r="F41" s="40" t="s">
        <v>737</v>
      </c>
      <c r="G41" s="5">
        <v>125</v>
      </c>
      <c r="H41" s="40" t="s">
        <v>728</v>
      </c>
      <c r="L41" s="30"/>
    </row>
    <row r="42" spans="2:12" x14ac:dyDescent="0.3">
      <c r="B42" s="43">
        <v>42100</v>
      </c>
      <c r="C42" s="30" t="s">
        <v>8</v>
      </c>
      <c r="D42" s="30" t="s">
        <v>738</v>
      </c>
      <c r="E42" s="30">
        <v>154</v>
      </c>
      <c r="F42" s="30">
        <v>156</v>
      </c>
      <c r="G42" s="30">
        <v>2000</v>
      </c>
      <c r="H42" s="30">
        <v>-4000</v>
      </c>
      <c r="L42" s="30"/>
    </row>
    <row r="43" spans="2:12" x14ac:dyDescent="0.3">
      <c r="B43" s="43">
        <v>42101</v>
      </c>
      <c r="C43" s="30" t="s">
        <v>8</v>
      </c>
      <c r="D43" s="30" t="s">
        <v>112</v>
      </c>
      <c r="E43" s="30">
        <v>339</v>
      </c>
      <c r="F43" s="30">
        <v>336</v>
      </c>
      <c r="G43" s="30">
        <v>1000</v>
      </c>
      <c r="H43" s="30">
        <v>3000</v>
      </c>
      <c r="K43" s="74"/>
    </row>
    <row r="44" spans="2:12" x14ac:dyDescent="0.3">
      <c r="B44" s="43">
        <v>42102</v>
      </c>
      <c r="C44" s="30" t="s">
        <v>8</v>
      </c>
      <c r="D44" s="30" t="s">
        <v>667</v>
      </c>
      <c r="E44" s="30">
        <v>509</v>
      </c>
      <c r="F44" s="30">
        <v>506</v>
      </c>
      <c r="G44" s="30">
        <v>500</v>
      </c>
      <c r="H44" s="30">
        <v>1500</v>
      </c>
      <c r="K44" s="74"/>
    </row>
    <row r="45" spans="2:12" x14ac:dyDescent="0.3">
      <c r="B45" s="43">
        <v>42103</v>
      </c>
      <c r="C45" s="30" t="s">
        <v>8</v>
      </c>
      <c r="D45" s="30" t="s">
        <v>46</v>
      </c>
      <c r="E45" s="30">
        <v>314.5</v>
      </c>
      <c r="F45" s="30">
        <v>311.5</v>
      </c>
      <c r="G45" s="30">
        <v>500</v>
      </c>
      <c r="H45" s="30">
        <v>1500</v>
      </c>
      <c r="K45" s="74"/>
    </row>
    <row r="46" spans="2:12" ht="15.6" x14ac:dyDescent="0.3">
      <c r="B46" s="43">
        <v>42104</v>
      </c>
      <c r="C46" s="30" t="s">
        <v>8</v>
      </c>
      <c r="D46" s="30" t="s">
        <v>99</v>
      </c>
      <c r="E46" s="30">
        <v>345.5</v>
      </c>
      <c r="F46" s="30">
        <v>343.5</v>
      </c>
      <c r="G46" s="30">
        <v>1000</v>
      </c>
      <c r="H46" s="30">
        <v>2000</v>
      </c>
      <c r="K46" s="62"/>
    </row>
    <row r="47" spans="2:12" x14ac:dyDescent="0.3">
      <c r="B47" s="43">
        <v>42107</v>
      </c>
      <c r="C47" s="30" t="s">
        <v>8</v>
      </c>
      <c r="D47" s="30" t="s">
        <v>46</v>
      </c>
      <c r="E47" s="30">
        <v>313</v>
      </c>
      <c r="F47" s="30">
        <v>313</v>
      </c>
      <c r="G47" s="30">
        <v>500</v>
      </c>
      <c r="H47" s="30">
        <v>0</v>
      </c>
      <c r="K47" s="74"/>
    </row>
    <row r="48" spans="2:12" x14ac:dyDescent="0.3">
      <c r="B48" s="43">
        <v>42109</v>
      </c>
      <c r="C48" s="30" t="s">
        <v>8</v>
      </c>
      <c r="D48" s="30" t="s">
        <v>98</v>
      </c>
      <c r="E48" s="30">
        <v>2590</v>
      </c>
      <c r="F48" s="30">
        <v>2545</v>
      </c>
      <c r="G48" s="30">
        <v>125</v>
      </c>
      <c r="H48" s="30">
        <v>5625</v>
      </c>
      <c r="K48" s="74"/>
    </row>
    <row r="49" spans="2:10" x14ac:dyDescent="0.3">
      <c r="B49" s="43">
        <v>42109</v>
      </c>
      <c r="C49" s="30" t="s">
        <v>8</v>
      </c>
      <c r="D49" s="30" t="s">
        <v>106</v>
      </c>
      <c r="E49" s="30">
        <v>460</v>
      </c>
      <c r="F49" s="30">
        <v>451</v>
      </c>
      <c r="G49" s="30">
        <v>500</v>
      </c>
      <c r="H49" s="30">
        <v>4500</v>
      </c>
    </row>
    <row r="50" spans="2:10" x14ac:dyDescent="0.3">
      <c r="B50" s="43">
        <v>42110</v>
      </c>
      <c r="C50" s="30" t="s">
        <v>8</v>
      </c>
      <c r="D50" s="30" t="s">
        <v>98</v>
      </c>
      <c r="E50" s="30">
        <v>2515</v>
      </c>
      <c r="F50" s="30">
        <v>2470</v>
      </c>
      <c r="G50" s="30">
        <v>125</v>
      </c>
      <c r="H50" s="30">
        <v>5625</v>
      </c>
    </row>
    <row r="51" spans="2:10" x14ac:dyDescent="0.3">
      <c r="B51" s="43">
        <v>42111</v>
      </c>
      <c r="C51" s="30" t="s">
        <v>8</v>
      </c>
      <c r="D51" s="30" t="s">
        <v>133</v>
      </c>
      <c r="E51" s="30">
        <v>1855</v>
      </c>
      <c r="F51" s="30">
        <v>1815</v>
      </c>
      <c r="G51" s="30">
        <v>250</v>
      </c>
      <c r="H51" s="30">
        <v>10000</v>
      </c>
    </row>
    <row r="52" spans="2:10" x14ac:dyDescent="0.3">
      <c r="B52" s="43">
        <v>42114</v>
      </c>
      <c r="C52" s="30" t="s">
        <v>8</v>
      </c>
      <c r="D52" s="30" t="s">
        <v>98</v>
      </c>
      <c r="E52" s="30">
        <v>2410</v>
      </c>
      <c r="F52" s="30">
        <v>2365</v>
      </c>
      <c r="G52" s="30">
        <v>125</v>
      </c>
      <c r="H52" s="30">
        <v>5625</v>
      </c>
    </row>
    <row r="53" spans="2:10" x14ac:dyDescent="0.3">
      <c r="B53" s="43">
        <v>42115</v>
      </c>
      <c r="C53" s="30" t="s">
        <v>8</v>
      </c>
      <c r="D53" s="30" t="s">
        <v>98</v>
      </c>
      <c r="E53" s="30">
        <v>2330</v>
      </c>
      <c r="F53" s="30">
        <v>2310</v>
      </c>
      <c r="G53" s="30">
        <v>125</v>
      </c>
      <c r="H53" s="30">
        <v>2500</v>
      </c>
    </row>
    <row r="54" spans="2:10" x14ac:dyDescent="0.3">
      <c r="B54" s="43">
        <v>42116</v>
      </c>
      <c r="C54" s="30" t="s">
        <v>8</v>
      </c>
      <c r="D54" s="30" t="s">
        <v>422</v>
      </c>
      <c r="E54" s="30">
        <v>448.5</v>
      </c>
      <c r="F54" s="30">
        <v>454</v>
      </c>
      <c r="G54" s="30">
        <v>500</v>
      </c>
      <c r="H54" s="30">
        <v>-3000</v>
      </c>
    </row>
    <row r="55" spans="2:10" x14ac:dyDescent="0.3">
      <c r="B55" s="43">
        <v>42117</v>
      </c>
      <c r="C55" s="30" t="s">
        <v>9</v>
      </c>
      <c r="D55" s="30" t="s">
        <v>98</v>
      </c>
      <c r="E55" s="30">
        <v>2415</v>
      </c>
      <c r="F55" s="30">
        <v>2390</v>
      </c>
      <c r="G55" s="30">
        <v>125</v>
      </c>
      <c r="H55" s="30">
        <v>-3125</v>
      </c>
    </row>
    <row r="56" spans="2:10" x14ac:dyDescent="0.3">
      <c r="B56" s="43">
        <v>42117</v>
      </c>
      <c r="C56" s="30" t="s">
        <v>8</v>
      </c>
      <c r="D56" s="30" t="s">
        <v>124</v>
      </c>
      <c r="E56" s="30">
        <v>523</v>
      </c>
      <c r="F56" s="30">
        <v>511</v>
      </c>
      <c r="G56" s="30">
        <v>500</v>
      </c>
      <c r="H56" s="30">
        <v>6000</v>
      </c>
    </row>
    <row r="57" spans="2:10" x14ac:dyDescent="0.3">
      <c r="B57" s="43">
        <v>42118</v>
      </c>
      <c r="C57" s="30" t="s">
        <v>8</v>
      </c>
      <c r="D57" s="30" t="s">
        <v>124</v>
      </c>
      <c r="E57" s="30">
        <v>512</v>
      </c>
      <c r="F57" s="30">
        <v>518</v>
      </c>
      <c r="G57" s="30">
        <v>500</v>
      </c>
      <c r="H57" s="30">
        <v>-3000</v>
      </c>
    </row>
    <row r="58" spans="2:10" x14ac:dyDescent="0.3">
      <c r="B58" s="43">
        <v>42121</v>
      </c>
      <c r="C58" s="30" t="s">
        <v>8</v>
      </c>
      <c r="D58" s="30" t="s">
        <v>19</v>
      </c>
      <c r="E58" s="30">
        <v>273</v>
      </c>
      <c r="F58" s="30">
        <v>268</v>
      </c>
      <c r="G58" s="30">
        <v>1250</v>
      </c>
      <c r="H58" s="30">
        <v>6250</v>
      </c>
    </row>
    <row r="59" spans="2:10" x14ac:dyDescent="0.3">
      <c r="B59" s="43">
        <v>42122</v>
      </c>
      <c r="C59" s="30" t="s">
        <v>8</v>
      </c>
      <c r="D59" s="30" t="s">
        <v>108</v>
      </c>
      <c r="E59" s="30">
        <v>847</v>
      </c>
      <c r="F59" s="30">
        <v>827</v>
      </c>
      <c r="G59" s="30">
        <v>500</v>
      </c>
      <c r="H59" s="30">
        <v>10000</v>
      </c>
    </row>
    <row r="60" spans="2:10" ht="15.6" x14ac:dyDescent="0.3">
      <c r="B60" s="43">
        <v>42122</v>
      </c>
      <c r="C60" s="30" t="s">
        <v>8</v>
      </c>
      <c r="D60" s="30" t="s">
        <v>117</v>
      </c>
      <c r="E60" s="30">
        <v>226</v>
      </c>
      <c r="F60" s="30">
        <v>230</v>
      </c>
      <c r="G60" s="30">
        <v>1000</v>
      </c>
      <c r="H60" s="77">
        <v>-4000</v>
      </c>
    </row>
    <row r="61" spans="2:10" x14ac:dyDescent="0.3">
      <c r="B61" s="43">
        <v>42123</v>
      </c>
      <c r="C61" s="30" t="s">
        <v>8</v>
      </c>
      <c r="D61" s="30" t="s">
        <v>19</v>
      </c>
      <c r="E61" s="30">
        <v>271</v>
      </c>
      <c r="F61" s="30">
        <v>271</v>
      </c>
      <c r="G61" s="30">
        <v>1250</v>
      </c>
      <c r="H61" s="49" t="s">
        <v>756</v>
      </c>
      <c r="J61" s="1"/>
    </row>
    <row r="62" spans="2:10" x14ac:dyDescent="0.3">
      <c r="B62" s="43">
        <v>42124</v>
      </c>
      <c r="C62" s="30" t="s">
        <v>8</v>
      </c>
      <c r="D62" s="30" t="s">
        <v>99</v>
      </c>
      <c r="E62" s="30">
        <v>325</v>
      </c>
      <c r="F62" s="30">
        <v>321</v>
      </c>
      <c r="G62" s="30">
        <v>1000</v>
      </c>
      <c r="H62" s="30">
        <v>4000</v>
      </c>
      <c r="J62" s="1"/>
    </row>
    <row r="63" spans="2:10" ht="15.6" x14ac:dyDescent="0.3">
      <c r="B63" s="43"/>
      <c r="C63" s="30"/>
      <c r="D63" s="30"/>
      <c r="E63" s="30"/>
      <c r="F63" s="30"/>
      <c r="G63" s="30"/>
      <c r="H63" s="63" t="s">
        <v>775</v>
      </c>
      <c r="J63" s="1"/>
    </row>
    <row r="64" spans="2:10" ht="18" x14ac:dyDescent="0.35">
      <c r="C64" s="30"/>
      <c r="D64" s="30"/>
      <c r="E64" s="30"/>
      <c r="F64" s="30"/>
      <c r="G64" s="30"/>
      <c r="H64" s="76"/>
      <c r="J64" s="1"/>
    </row>
    <row r="65" spans="2:10" ht="18" x14ac:dyDescent="0.35">
      <c r="C65" s="30"/>
      <c r="D65" s="30"/>
      <c r="E65" s="30"/>
      <c r="F65" s="30"/>
      <c r="G65" s="30"/>
      <c r="H65" s="76"/>
      <c r="J65" s="1"/>
    </row>
    <row r="66" spans="2:10" ht="18" x14ac:dyDescent="0.35">
      <c r="B66" s="43"/>
      <c r="C66" s="30"/>
      <c r="D66" s="30"/>
      <c r="E66" s="30"/>
      <c r="F66" s="30"/>
      <c r="G66" s="30"/>
      <c r="H66" s="76"/>
      <c r="J66" s="1"/>
    </row>
    <row r="67" spans="2:10" ht="15.6" x14ac:dyDescent="0.3">
      <c r="B67" s="43"/>
      <c r="C67" s="30"/>
      <c r="D67" s="30"/>
      <c r="E67" s="30"/>
      <c r="F67" s="30"/>
      <c r="G67" s="30"/>
      <c r="H67" s="33"/>
      <c r="J67" s="46"/>
    </row>
    <row r="68" spans="2:10" ht="15.6" x14ac:dyDescent="0.3">
      <c r="B68" s="48" t="s">
        <v>571</v>
      </c>
      <c r="C68" s="48"/>
      <c r="D68" s="48"/>
      <c r="E68" s="48"/>
      <c r="F68" s="48"/>
      <c r="G68" s="48"/>
      <c r="H68" s="48"/>
      <c r="J68" s="46"/>
    </row>
    <row r="69" spans="2:10" x14ac:dyDescent="0.3">
      <c r="B69" s="43">
        <v>42095</v>
      </c>
      <c r="C69" s="2" t="s">
        <v>8</v>
      </c>
      <c r="D69" s="2" t="s">
        <v>39</v>
      </c>
      <c r="E69" s="41" t="s">
        <v>739</v>
      </c>
      <c r="F69" s="40" t="s">
        <v>740</v>
      </c>
      <c r="G69" s="41" t="s">
        <v>217</v>
      </c>
      <c r="H69" s="41" t="s">
        <v>611</v>
      </c>
      <c r="J69" s="46"/>
    </row>
    <row r="70" spans="2:10" x14ac:dyDescent="0.3">
      <c r="B70" s="43">
        <v>42100</v>
      </c>
      <c r="C70" s="30" t="s">
        <v>8</v>
      </c>
      <c r="D70" s="2" t="s">
        <v>39</v>
      </c>
      <c r="E70" s="2">
        <v>8620</v>
      </c>
      <c r="F70" s="30">
        <v>8650</v>
      </c>
      <c r="G70" s="41" t="s">
        <v>217</v>
      </c>
      <c r="H70" s="30">
        <v>-3000</v>
      </c>
      <c r="J70" s="46"/>
    </row>
    <row r="71" spans="2:10" x14ac:dyDescent="0.3">
      <c r="B71" s="43">
        <v>42101</v>
      </c>
      <c r="C71" s="30" t="s">
        <v>8</v>
      </c>
      <c r="D71" s="2" t="s">
        <v>39</v>
      </c>
      <c r="E71" s="30">
        <v>8695</v>
      </c>
      <c r="F71" s="30">
        <v>8640</v>
      </c>
      <c r="G71" s="30">
        <v>100</v>
      </c>
      <c r="H71" s="30">
        <v>5500</v>
      </c>
      <c r="J71" s="46"/>
    </row>
    <row r="72" spans="2:10" x14ac:dyDescent="0.3">
      <c r="B72" s="43">
        <v>42102</v>
      </c>
      <c r="C72" s="30" t="s">
        <v>8</v>
      </c>
      <c r="D72" s="2" t="s">
        <v>39</v>
      </c>
      <c r="E72" s="30">
        <v>8735</v>
      </c>
      <c r="F72" s="30">
        <v>8760</v>
      </c>
      <c r="G72" s="30">
        <v>100</v>
      </c>
      <c r="H72" s="30">
        <v>-2500</v>
      </c>
      <c r="J72" s="46"/>
    </row>
    <row r="73" spans="2:10" x14ac:dyDescent="0.3">
      <c r="B73" s="43">
        <v>42103</v>
      </c>
      <c r="C73" s="30" t="s">
        <v>8</v>
      </c>
      <c r="D73" s="2" t="s">
        <v>39</v>
      </c>
      <c r="E73" s="30">
        <v>8765</v>
      </c>
      <c r="F73" s="30">
        <v>8715</v>
      </c>
      <c r="G73" s="41" t="s">
        <v>217</v>
      </c>
      <c r="H73" s="30">
        <v>5000</v>
      </c>
      <c r="J73" s="46"/>
    </row>
    <row r="74" spans="2:10" x14ac:dyDescent="0.3">
      <c r="B74" s="43">
        <v>42104</v>
      </c>
      <c r="C74" s="30" t="s">
        <v>8</v>
      </c>
      <c r="D74" s="2" t="s">
        <v>39</v>
      </c>
      <c r="E74" s="30">
        <v>8796</v>
      </c>
      <c r="F74" s="30">
        <v>8771</v>
      </c>
      <c r="G74" s="41" t="s">
        <v>217</v>
      </c>
      <c r="H74" s="30">
        <v>2500</v>
      </c>
      <c r="J74" s="47"/>
    </row>
    <row r="75" spans="2:10" x14ac:dyDescent="0.3">
      <c r="B75" s="43">
        <v>42107</v>
      </c>
      <c r="C75" s="30" t="s">
        <v>8</v>
      </c>
      <c r="D75" s="2" t="s">
        <v>39</v>
      </c>
      <c r="E75" s="30">
        <v>8805</v>
      </c>
      <c r="F75" s="30">
        <v>8790</v>
      </c>
      <c r="G75" s="41" t="s">
        <v>217</v>
      </c>
      <c r="H75" s="30">
        <v>1500</v>
      </c>
      <c r="J75" s="46"/>
    </row>
    <row r="76" spans="2:10" x14ac:dyDescent="0.3">
      <c r="B76" s="43">
        <v>42109</v>
      </c>
      <c r="C76" s="30" t="s">
        <v>9</v>
      </c>
      <c r="D76" s="2" t="s">
        <v>39</v>
      </c>
      <c r="E76" s="30">
        <v>8845</v>
      </c>
      <c r="F76" s="30">
        <v>8870</v>
      </c>
      <c r="G76" s="30">
        <v>100</v>
      </c>
      <c r="H76" s="30">
        <v>2500</v>
      </c>
      <c r="J76" s="46"/>
    </row>
    <row r="77" spans="2:10" x14ac:dyDescent="0.3">
      <c r="B77" s="43">
        <v>42110</v>
      </c>
      <c r="C77" s="30" t="s">
        <v>8</v>
      </c>
      <c r="D77" s="2" t="s">
        <v>39</v>
      </c>
      <c r="E77" s="30">
        <v>8745</v>
      </c>
      <c r="F77" s="30">
        <v>8690</v>
      </c>
      <c r="G77" s="41" t="s">
        <v>217</v>
      </c>
      <c r="H77" s="30">
        <v>5500</v>
      </c>
      <c r="J77" s="46"/>
    </row>
    <row r="78" spans="2:10" x14ac:dyDescent="0.3">
      <c r="B78" s="43">
        <v>42111</v>
      </c>
      <c r="C78" s="30" t="s">
        <v>8</v>
      </c>
      <c r="D78" s="2" t="s">
        <v>39</v>
      </c>
      <c r="E78" s="30">
        <v>8695</v>
      </c>
      <c r="F78" s="30">
        <v>8640</v>
      </c>
      <c r="G78" s="41" t="s">
        <v>217</v>
      </c>
      <c r="H78" s="30">
        <v>5500</v>
      </c>
    </row>
    <row r="79" spans="2:10" x14ac:dyDescent="0.3">
      <c r="B79" s="43">
        <v>42114</v>
      </c>
      <c r="C79" s="30" t="s">
        <v>8</v>
      </c>
      <c r="D79" s="2" t="s">
        <v>39</v>
      </c>
      <c r="E79" s="30">
        <v>8605</v>
      </c>
      <c r="F79" s="30">
        <v>8550</v>
      </c>
      <c r="G79" s="41" t="s">
        <v>217</v>
      </c>
      <c r="H79" s="30">
        <v>5500</v>
      </c>
    </row>
    <row r="80" spans="2:10" x14ac:dyDescent="0.3">
      <c r="B80" s="43">
        <v>42115</v>
      </c>
      <c r="C80" s="30" t="s">
        <v>8</v>
      </c>
      <c r="D80" s="2" t="s">
        <v>39</v>
      </c>
      <c r="E80" s="30">
        <v>8455</v>
      </c>
      <c r="F80" s="30">
        <v>8415</v>
      </c>
      <c r="G80" s="30">
        <v>100</v>
      </c>
      <c r="H80" s="30">
        <v>4000</v>
      </c>
    </row>
    <row r="81" spans="2:8" x14ac:dyDescent="0.3">
      <c r="B81" s="43">
        <v>42116</v>
      </c>
      <c r="C81" s="30" t="s">
        <v>8</v>
      </c>
      <c r="D81" s="2" t="s">
        <v>39</v>
      </c>
      <c r="E81" s="30">
        <v>8420</v>
      </c>
      <c r="F81" s="30">
        <v>8365</v>
      </c>
      <c r="G81" s="30">
        <v>100</v>
      </c>
      <c r="H81" s="30">
        <v>5500</v>
      </c>
    </row>
    <row r="82" spans="2:8" x14ac:dyDescent="0.3">
      <c r="B82" s="43">
        <v>42117</v>
      </c>
      <c r="C82" s="30" t="s">
        <v>9</v>
      </c>
      <c r="D82" s="2" t="s">
        <v>39</v>
      </c>
      <c r="E82" s="30">
        <v>8510</v>
      </c>
      <c r="F82" s="30">
        <v>8480</v>
      </c>
      <c r="G82" s="30">
        <v>100</v>
      </c>
      <c r="H82" s="30">
        <v>-3000</v>
      </c>
    </row>
    <row r="83" spans="2:8" x14ac:dyDescent="0.3">
      <c r="B83" s="43">
        <v>42117</v>
      </c>
      <c r="C83" s="30" t="s">
        <v>8</v>
      </c>
      <c r="D83" s="2" t="s">
        <v>39</v>
      </c>
      <c r="E83" s="30">
        <v>8465</v>
      </c>
      <c r="F83" s="30">
        <v>8400</v>
      </c>
      <c r="G83" s="41" t="s">
        <v>217</v>
      </c>
      <c r="H83" s="30">
        <v>6500</v>
      </c>
    </row>
    <row r="84" spans="2:8" x14ac:dyDescent="0.3">
      <c r="B84" s="43">
        <v>42118</v>
      </c>
      <c r="C84" s="30" t="s">
        <v>8</v>
      </c>
      <c r="D84" s="2" t="s">
        <v>39</v>
      </c>
      <c r="E84" s="30">
        <v>8370</v>
      </c>
      <c r="F84" s="30">
        <v>8300</v>
      </c>
      <c r="G84" s="41" t="s">
        <v>217</v>
      </c>
      <c r="H84" s="30">
        <v>7000</v>
      </c>
    </row>
    <row r="85" spans="2:8" x14ac:dyDescent="0.3">
      <c r="B85" s="43">
        <v>42121</v>
      </c>
      <c r="C85" s="30" t="s">
        <v>8</v>
      </c>
      <c r="D85" s="2" t="s">
        <v>39</v>
      </c>
      <c r="E85" s="30">
        <v>8310</v>
      </c>
      <c r="F85" s="30">
        <v>8250</v>
      </c>
      <c r="G85" s="41" t="s">
        <v>217</v>
      </c>
      <c r="H85" s="30">
        <v>6000</v>
      </c>
    </row>
    <row r="86" spans="2:8" ht="15.6" x14ac:dyDescent="0.3">
      <c r="B86" s="43">
        <v>42122</v>
      </c>
      <c r="C86" s="30" t="s">
        <v>8</v>
      </c>
      <c r="D86" s="2" t="s">
        <v>39</v>
      </c>
      <c r="E86" s="30">
        <v>8250</v>
      </c>
      <c r="F86" s="30">
        <v>8205</v>
      </c>
      <c r="G86" s="30">
        <v>100</v>
      </c>
      <c r="H86" s="77">
        <v>4500</v>
      </c>
    </row>
    <row r="87" spans="2:8" ht="15.6" x14ac:dyDescent="0.3">
      <c r="B87" s="43">
        <v>42123</v>
      </c>
      <c r="C87" s="30" t="s">
        <v>8</v>
      </c>
      <c r="D87" s="2" t="s">
        <v>39</v>
      </c>
      <c r="E87" s="30">
        <v>8275</v>
      </c>
      <c r="F87" s="30">
        <v>8235</v>
      </c>
      <c r="G87" s="30">
        <v>100</v>
      </c>
      <c r="H87" s="77">
        <v>4000</v>
      </c>
    </row>
    <row r="88" spans="2:8" x14ac:dyDescent="0.3">
      <c r="B88" s="43">
        <v>42124</v>
      </c>
      <c r="C88" s="30" t="s">
        <v>8</v>
      </c>
      <c r="D88" s="2" t="s">
        <v>39</v>
      </c>
      <c r="E88" s="30">
        <v>8160</v>
      </c>
      <c r="F88" s="30">
        <v>8145</v>
      </c>
      <c r="G88" s="41" t="s">
        <v>217</v>
      </c>
      <c r="H88" s="30">
        <v>1500</v>
      </c>
    </row>
    <row r="89" spans="2:8" ht="15.6" x14ac:dyDescent="0.3">
      <c r="B89" s="43"/>
      <c r="C89" s="30"/>
      <c r="D89" s="2"/>
      <c r="E89" s="30"/>
      <c r="F89" s="30"/>
      <c r="G89" s="41"/>
      <c r="H89" s="63" t="s">
        <v>776</v>
      </c>
    </row>
    <row r="90" spans="2:8" ht="18" x14ac:dyDescent="0.35">
      <c r="B90" s="43"/>
      <c r="C90" s="30"/>
      <c r="D90" s="2"/>
      <c r="E90" s="30"/>
      <c r="F90" s="30"/>
      <c r="G90" s="41"/>
      <c r="H90" s="76"/>
    </row>
    <row r="91" spans="2:8" ht="15.6" x14ac:dyDescent="0.3">
      <c r="B91" s="43"/>
      <c r="C91" s="30"/>
      <c r="D91" s="2"/>
      <c r="E91" s="30"/>
      <c r="F91" s="30"/>
      <c r="G91" s="30"/>
      <c r="H91" s="34"/>
    </row>
    <row r="92" spans="2:8" x14ac:dyDescent="0.3">
      <c r="B92" s="43"/>
      <c r="C92" s="28"/>
      <c r="D92" s="30"/>
      <c r="E92" s="28"/>
      <c r="F92" s="28"/>
      <c r="G92" s="28"/>
      <c r="H92" s="28"/>
    </row>
    <row r="93" spans="2:8" ht="15.6" x14ac:dyDescent="0.3">
      <c r="B93" s="48" t="s">
        <v>572</v>
      </c>
      <c r="C93" s="61"/>
      <c r="D93" s="61"/>
      <c r="E93" s="61"/>
      <c r="F93" s="61"/>
      <c r="G93" s="61"/>
      <c r="H93" s="61"/>
    </row>
    <row r="94" spans="2:8" x14ac:dyDescent="0.3">
      <c r="B94" s="43">
        <v>42095</v>
      </c>
      <c r="C94" s="3" t="s">
        <v>9</v>
      </c>
      <c r="D94" s="3" t="s">
        <v>563</v>
      </c>
      <c r="E94" s="40" t="s">
        <v>229</v>
      </c>
      <c r="F94" s="40" t="s">
        <v>232</v>
      </c>
      <c r="G94" s="30">
        <v>200</v>
      </c>
      <c r="H94" s="8">
        <v>-4000</v>
      </c>
    </row>
    <row r="95" spans="2:8" x14ac:dyDescent="0.3">
      <c r="B95" s="43">
        <v>42100</v>
      </c>
      <c r="C95" s="3" t="s">
        <v>9</v>
      </c>
      <c r="D95" s="3" t="s">
        <v>662</v>
      </c>
      <c r="E95" s="30">
        <v>160</v>
      </c>
      <c r="F95" s="30">
        <v>140</v>
      </c>
      <c r="G95" s="30">
        <v>200</v>
      </c>
      <c r="H95" s="30">
        <v>-4000</v>
      </c>
    </row>
    <row r="96" spans="2:8" x14ac:dyDescent="0.3">
      <c r="B96" s="43">
        <v>42101</v>
      </c>
      <c r="C96" s="3" t="s">
        <v>9</v>
      </c>
      <c r="D96" s="3" t="s">
        <v>662</v>
      </c>
      <c r="E96" s="30">
        <v>120</v>
      </c>
      <c r="F96" s="30">
        <v>145</v>
      </c>
      <c r="G96" s="30">
        <v>200</v>
      </c>
      <c r="H96" s="30">
        <v>5000</v>
      </c>
    </row>
    <row r="97" spans="2:8" x14ac:dyDescent="0.3">
      <c r="B97" s="43">
        <v>42102</v>
      </c>
      <c r="C97" s="3" t="s">
        <v>9</v>
      </c>
      <c r="D97" s="30" t="s">
        <v>631</v>
      </c>
      <c r="E97" s="30">
        <v>142</v>
      </c>
      <c r="F97" s="30">
        <v>122</v>
      </c>
      <c r="G97" s="30">
        <v>200</v>
      </c>
      <c r="H97" s="30">
        <v>-4000</v>
      </c>
    </row>
    <row r="98" spans="2:8" x14ac:dyDescent="0.3">
      <c r="B98" s="43">
        <v>42103</v>
      </c>
      <c r="C98" s="3" t="s">
        <v>9</v>
      </c>
      <c r="D98" s="30" t="s">
        <v>631</v>
      </c>
      <c r="E98" s="30">
        <v>130</v>
      </c>
      <c r="F98" s="30">
        <v>155</v>
      </c>
      <c r="G98" s="30">
        <v>200</v>
      </c>
      <c r="H98" s="30">
        <v>5000</v>
      </c>
    </row>
    <row r="99" spans="2:8" x14ac:dyDescent="0.3">
      <c r="B99" s="43">
        <v>42104</v>
      </c>
      <c r="C99" s="3" t="s">
        <v>9</v>
      </c>
      <c r="D99" s="30" t="s">
        <v>631</v>
      </c>
      <c r="E99" s="30">
        <v>110</v>
      </c>
      <c r="F99" s="30">
        <v>120</v>
      </c>
      <c r="G99" s="30">
        <v>200</v>
      </c>
      <c r="H99" s="30">
        <v>2000</v>
      </c>
    </row>
    <row r="100" spans="2:8" x14ac:dyDescent="0.3">
      <c r="B100" s="43">
        <v>42107</v>
      </c>
      <c r="C100" s="3" t="s">
        <v>9</v>
      </c>
      <c r="D100" s="30" t="s">
        <v>631</v>
      </c>
      <c r="E100" s="30">
        <v>100</v>
      </c>
      <c r="F100" s="30">
        <v>110</v>
      </c>
      <c r="G100" s="30">
        <v>200</v>
      </c>
      <c r="H100" s="30">
        <v>2000</v>
      </c>
    </row>
    <row r="101" spans="2:8" x14ac:dyDescent="0.3">
      <c r="B101" s="43">
        <v>42109</v>
      </c>
      <c r="C101" s="3" t="s">
        <v>9</v>
      </c>
      <c r="D101" s="30" t="s">
        <v>661</v>
      </c>
      <c r="E101" s="30">
        <v>120</v>
      </c>
      <c r="F101" s="30">
        <v>135</v>
      </c>
      <c r="G101" s="30">
        <v>200</v>
      </c>
      <c r="H101" s="30">
        <v>3000</v>
      </c>
    </row>
    <row r="102" spans="2:8" x14ac:dyDescent="0.3">
      <c r="B102" s="43">
        <v>42110</v>
      </c>
      <c r="C102" s="3" t="s">
        <v>9</v>
      </c>
      <c r="D102" s="30" t="s">
        <v>631</v>
      </c>
      <c r="E102" s="30">
        <v>125</v>
      </c>
      <c r="F102" s="30">
        <v>160</v>
      </c>
      <c r="G102" s="30">
        <v>200</v>
      </c>
      <c r="H102" s="30">
        <v>7000</v>
      </c>
    </row>
    <row r="103" spans="2:8" x14ac:dyDescent="0.3">
      <c r="B103" s="43">
        <v>42111</v>
      </c>
      <c r="C103" s="3" t="s">
        <v>9</v>
      </c>
      <c r="D103" s="30" t="s">
        <v>662</v>
      </c>
      <c r="E103" s="30">
        <v>95</v>
      </c>
      <c r="F103" s="30">
        <v>120</v>
      </c>
      <c r="G103" s="30">
        <v>200</v>
      </c>
      <c r="H103" s="30">
        <v>5000</v>
      </c>
    </row>
    <row r="104" spans="2:8" x14ac:dyDescent="0.3">
      <c r="B104" s="43">
        <v>42114</v>
      </c>
      <c r="C104" s="3" t="s">
        <v>9</v>
      </c>
      <c r="D104" s="30" t="s">
        <v>563</v>
      </c>
      <c r="E104" s="30">
        <v>90</v>
      </c>
      <c r="F104" s="30">
        <v>130</v>
      </c>
      <c r="G104" s="30">
        <v>200</v>
      </c>
      <c r="H104" s="30">
        <v>8000</v>
      </c>
    </row>
    <row r="105" spans="2:8" x14ac:dyDescent="0.3">
      <c r="B105" s="43">
        <v>42115</v>
      </c>
      <c r="C105" s="3" t="s">
        <v>9</v>
      </c>
      <c r="D105" s="30" t="s">
        <v>554</v>
      </c>
      <c r="E105" s="30">
        <v>118</v>
      </c>
      <c r="F105" s="30">
        <v>143</v>
      </c>
      <c r="G105" s="30">
        <v>200</v>
      </c>
      <c r="H105" s="30">
        <v>5000</v>
      </c>
    </row>
    <row r="106" spans="2:8" x14ac:dyDescent="0.3">
      <c r="B106" s="43">
        <v>42116</v>
      </c>
      <c r="C106" s="3" t="s">
        <v>9</v>
      </c>
      <c r="D106" s="30" t="s">
        <v>554</v>
      </c>
      <c r="E106" s="30">
        <v>133</v>
      </c>
      <c r="F106" s="30">
        <v>170</v>
      </c>
      <c r="G106" s="30">
        <v>200</v>
      </c>
      <c r="H106" s="30">
        <v>7400</v>
      </c>
    </row>
    <row r="107" spans="2:8" x14ac:dyDescent="0.3">
      <c r="B107" s="43">
        <v>42117</v>
      </c>
      <c r="C107" s="3" t="s">
        <v>9</v>
      </c>
      <c r="D107" s="30" t="s">
        <v>625</v>
      </c>
      <c r="E107" s="30">
        <v>85</v>
      </c>
      <c r="F107" s="30">
        <v>65</v>
      </c>
      <c r="G107" s="30">
        <v>200</v>
      </c>
      <c r="H107" s="30">
        <v>-4000</v>
      </c>
    </row>
    <row r="108" spans="2:8" x14ac:dyDescent="0.3">
      <c r="B108" s="43">
        <v>42117</v>
      </c>
      <c r="C108" s="3" t="s">
        <v>9</v>
      </c>
      <c r="D108" s="30" t="s">
        <v>554</v>
      </c>
      <c r="E108" s="30">
        <v>100</v>
      </c>
      <c r="F108" s="30">
        <v>150</v>
      </c>
      <c r="G108" s="30">
        <v>200</v>
      </c>
      <c r="H108" s="30">
        <v>10000</v>
      </c>
    </row>
    <row r="109" spans="2:8" x14ac:dyDescent="0.3">
      <c r="B109" s="43">
        <v>42118</v>
      </c>
      <c r="C109" s="3" t="s">
        <v>9</v>
      </c>
      <c r="D109" s="30" t="s">
        <v>544</v>
      </c>
      <c r="E109" s="30">
        <v>100</v>
      </c>
      <c r="F109" s="30">
        <v>140</v>
      </c>
      <c r="G109" s="30">
        <v>200</v>
      </c>
      <c r="H109" s="30">
        <v>8000</v>
      </c>
    </row>
    <row r="110" spans="2:8" ht="15.6" x14ac:dyDescent="0.3">
      <c r="B110" s="43">
        <v>42121</v>
      </c>
      <c r="C110" s="3" t="s">
        <v>9</v>
      </c>
      <c r="D110" s="30" t="s">
        <v>544</v>
      </c>
      <c r="E110" s="30">
        <v>122</v>
      </c>
      <c r="F110" s="30">
        <v>160</v>
      </c>
      <c r="G110" s="30">
        <v>200</v>
      </c>
      <c r="H110" s="62" t="s">
        <v>765</v>
      </c>
    </row>
    <row r="111" spans="2:8" ht="15.6" x14ac:dyDescent="0.3">
      <c r="B111" s="43">
        <v>42122</v>
      </c>
      <c r="C111" s="3" t="s">
        <v>9</v>
      </c>
      <c r="D111" s="30" t="s">
        <v>589</v>
      </c>
      <c r="E111" s="30">
        <v>80</v>
      </c>
      <c r="F111" s="30">
        <v>105</v>
      </c>
      <c r="G111" s="30">
        <v>200</v>
      </c>
      <c r="H111" s="62" t="s">
        <v>466</v>
      </c>
    </row>
    <row r="112" spans="2:8" ht="15.6" x14ac:dyDescent="0.3">
      <c r="B112" s="43">
        <v>42123</v>
      </c>
      <c r="C112" s="3" t="s">
        <v>9</v>
      </c>
      <c r="D112" s="28" t="s">
        <v>589</v>
      </c>
      <c r="E112" s="49" t="s">
        <v>762</v>
      </c>
      <c r="F112" s="49" t="s">
        <v>763</v>
      </c>
      <c r="G112" s="30">
        <v>200</v>
      </c>
      <c r="H112" s="62" t="s">
        <v>466</v>
      </c>
    </row>
    <row r="113" spans="2:8" x14ac:dyDescent="0.3">
      <c r="B113" s="43">
        <v>42124</v>
      </c>
      <c r="C113" s="3" t="s">
        <v>9</v>
      </c>
      <c r="D113" s="28" t="s">
        <v>495</v>
      </c>
      <c r="E113" s="49">
        <v>60</v>
      </c>
      <c r="F113" s="49">
        <v>70</v>
      </c>
      <c r="G113" s="30">
        <v>200</v>
      </c>
      <c r="H113" s="49" t="s">
        <v>311</v>
      </c>
    </row>
    <row r="114" spans="2:8" ht="15.6" x14ac:dyDescent="0.3">
      <c r="B114" s="43"/>
      <c r="C114" s="3"/>
      <c r="D114" s="28"/>
      <c r="E114" s="28"/>
      <c r="F114" s="28"/>
      <c r="G114" s="30"/>
      <c r="H114" s="63" t="s">
        <v>777</v>
      </c>
    </row>
    <row r="115" spans="2:8" ht="18" x14ac:dyDescent="0.35">
      <c r="B115" s="1"/>
      <c r="C115" s="3"/>
      <c r="D115" s="28"/>
      <c r="E115" s="28"/>
      <c r="F115" s="28"/>
      <c r="G115" s="28"/>
      <c r="H115" s="76"/>
    </row>
    <row r="116" spans="2:8" x14ac:dyDescent="0.3">
      <c r="B116" s="1"/>
      <c r="C116" s="28"/>
      <c r="D116" s="28"/>
      <c r="E116" s="28"/>
      <c r="F116" s="28"/>
      <c r="G116" s="28"/>
      <c r="H116" s="28"/>
    </row>
    <row r="117" spans="2:8" x14ac:dyDescent="0.3">
      <c r="B117" s="1"/>
      <c r="C117" s="28"/>
      <c r="D117" s="28"/>
      <c r="E117" s="28"/>
      <c r="F117" s="28"/>
      <c r="G117" s="28"/>
      <c r="H117" s="28"/>
    </row>
    <row r="118" spans="2:8" x14ac:dyDescent="0.3">
      <c r="B118" s="1"/>
      <c r="C118" s="28"/>
      <c r="D118" s="28"/>
      <c r="E118" s="28"/>
      <c r="F118" s="28"/>
      <c r="G118" s="28"/>
      <c r="H118" s="28"/>
    </row>
    <row r="119" spans="2:8" x14ac:dyDescent="0.3">
      <c r="B119" s="1"/>
      <c r="C119" s="28"/>
      <c r="D119" s="28"/>
      <c r="E119" s="28"/>
      <c r="F119" s="28"/>
      <c r="G119" s="28"/>
      <c r="H119" s="28"/>
    </row>
    <row r="120" spans="2:8" x14ac:dyDescent="0.3">
      <c r="B120" s="1"/>
      <c r="C120" s="28"/>
      <c r="D120" s="28"/>
      <c r="E120" s="28"/>
      <c r="F120" s="28"/>
      <c r="G120" s="28"/>
      <c r="H120" s="29"/>
    </row>
    <row r="121" spans="2:8" x14ac:dyDescent="0.3">
      <c r="B121" s="1"/>
    </row>
    <row r="122" spans="2:8" x14ac:dyDescent="0.3">
      <c r="B122" s="1"/>
    </row>
    <row r="123" spans="2:8" x14ac:dyDescent="0.3">
      <c r="B123" s="1"/>
    </row>
    <row r="124" spans="2:8" x14ac:dyDescent="0.3">
      <c r="B124" s="1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</sheetData>
  <mergeCells count="3">
    <mergeCell ref="B1:H1"/>
    <mergeCell ref="B2:H2"/>
    <mergeCell ref="B3:H3"/>
  </mergeCells>
  <hyperlinks>
    <hyperlink ref="J2" location="'MASTER '!A1" display="Back" xr:uid="{00000000-0004-0000-1800-000000000000}"/>
  </hyperlinks>
  <pageMargins left="0.7" right="0.7" top="0.75" bottom="0.75" header="0.3" footer="0.3"/>
  <pageSetup orientation="portrait" horizontalDpi="300" verticalDpi="0" r:id="rId1"/>
  <ignoredErrors>
    <ignoredError sqref="E69:H80 E94:F95 E41:H41 E6:H8 G88 G81 G83 G84 G85 G86 G87 H61 E112:H112 H110:H111 H113:H114 E25:H33 H63 H8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4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811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42128</v>
      </c>
      <c r="C6" s="2" t="s">
        <v>9</v>
      </c>
      <c r="D6" s="2" t="s">
        <v>365</v>
      </c>
      <c r="E6" s="41" t="s">
        <v>781</v>
      </c>
      <c r="F6" s="40" t="s">
        <v>782</v>
      </c>
      <c r="G6" s="5">
        <v>321</v>
      </c>
      <c r="H6" s="41" t="s">
        <v>788</v>
      </c>
      <c r="K6" s="16"/>
    </row>
    <row r="7" spans="1:14" x14ac:dyDescent="0.3">
      <c r="B7" s="43">
        <v>42129</v>
      </c>
      <c r="C7" s="2" t="s">
        <v>8</v>
      </c>
      <c r="D7" s="2" t="s">
        <v>115</v>
      </c>
      <c r="E7" s="41" t="s">
        <v>269</v>
      </c>
      <c r="F7" s="40" t="s">
        <v>780</v>
      </c>
      <c r="G7" s="5">
        <v>821</v>
      </c>
      <c r="H7" s="41" t="s">
        <v>789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42129</v>
      </c>
      <c r="C8" s="2" t="s">
        <v>8</v>
      </c>
      <c r="D8" s="28" t="s">
        <v>585</v>
      </c>
      <c r="E8" s="30">
        <v>540</v>
      </c>
      <c r="F8" s="30">
        <v>535</v>
      </c>
      <c r="G8" s="30">
        <v>555</v>
      </c>
      <c r="H8" s="41" t="s">
        <v>790</v>
      </c>
      <c r="J8" s="16" t="s">
        <v>449</v>
      </c>
      <c r="K8" s="30">
        <v>38</v>
      </c>
      <c r="L8" s="30">
        <v>33</v>
      </c>
      <c r="M8" s="30">
        <v>5</v>
      </c>
      <c r="N8" s="30">
        <v>0</v>
      </c>
    </row>
    <row r="9" spans="1:14" x14ac:dyDescent="0.3">
      <c r="B9" s="43">
        <v>42130</v>
      </c>
      <c r="C9" s="2" t="s">
        <v>8</v>
      </c>
      <c r="D9" s="28" t="s">
        <v>78</v>
      </c>
      <c r="E9" s="30">
        <v>1610</v>
      </c>
      <c r="F9" s="30">
        <v>1580</v>
      </c>
      <c r="G9" s="30">
        <v>186</v>
      </c>
      <c r="H9" s="30">
        <v>5580</v>
      </c>
      <c r="J9" s="16" t="s">
        <v>450</v>
      </c>
      <c r="K9" s="30">
        <v>22</v>
      </c>
      <c r="L9" s="30">
        <v>19</v>
      </c>
      <c r="M9" s="30">
        <v>2</v>
      </c>
      <c r="N9" s="30">
        <v>1</v>
      </c>
    </row>
    <row r="10" spans="1:14" x14ac:dyDescent="0.3">
      <c r="B10" s="43">
        <v>42131</v>
      </c>
      <c r="C10" s="2" t="s">
        <v>8</v>
      </c>
      <c r="D10" s="28" t="s">
        <v>34</v>
      </c>
      <c r="E10" s="30">
        <v>208</v>
      </c>
      <c r="F10" s="30">
        <v>204</v>
      </c>
      <c r="G10" s="30">
        <v>1442</v>
      </c>
      <c r="H10" s="30">
        <v>5768</v>
      </c>
      <c r="J10" s="16" t="s">
        <v>451</v>
      </c>
      <c r="K10" s="30">
        <v>20</v>
      </c>
      <c r="L10" s="30">
        <v>19</v>
      </c>
      <c r="M10" s="30">
        <v>1</v>
      </c>
      <c r="N10" s="30">
        <v>0</v>
      </c>
    </row>
    <row r="11" spans="1:14" x14ac:dyDescent="0.3">
      <c r="B11" s="43">
        <v>42131</v>
      </c>
      <c r="C11" s="2" t="s">
        <v>11</v>
      </c>
      <c r="D11" s="28" t="s">
        <v>93</v>
      </c>
      <c r="E11" s="30">
        <v>391</v>
      </c>
      <c r="F11" s="30">
        <v>385</v>
      </c>
      <c r="G11" s="30">
        <v>767</v>
      </c>
      <c r="H11" s="30">
        <v>-4602</v>
      </c>
      <c r="J11" s="16" t="s">
        <v>452</v>
      </c>
      <c r="K11" s="30">
        <v>20</v>
      </c>
      <c r="L11" s="30">
        <v>19</v>
      </c>
      <c r="M11" s="30">
        <v>1</v>
      </c>
      <c r="N11" s="30">
        <v>0</v>
      </c>
    </row>
    <row r="12" spans="1:14" x14ac:dyDescent="0.3">
      <c r="B12" s="43">
        <v>42132</v>
      </c>
      <c r="C12" s="2" t="s">
        <v>9</v>
      </c>
      <c r="D12" s="28" t="s">
        <v>78</v>
      </c>
      <c r="E12" s="30">
        <v>1598</v>
      </c>
      <c r="F12" s="30">
        <v>1615</v>
      </c>
      <c r="G12" s="30">
        <v>188</v>
      </c>
      <c r="H12" s="30">
        <v>3196</v>
      </c>
      <c r="J12" s="16"/>
      <c r="K12" s="21">
        <v>100</v>
      </c>
      <c r="L12" s="21">
        <v>90</v>
      </c>
      <c r="M12" s="21">
        <v>9</v>
      </c>
      <c r="N12" s="21">
        <v>1</v>
      </c>
    </row>
    <row r="13" spans="1:14" x14ac:dyDescent="0.3">
      <c r="B13" s="43">
        <v>42132</v>
      </c>
      <c r="C13" s="30" t="s">
        <v>8</v>
      </c>
      <c r="D13" s="30" t="s">
        <v>98</v>
      </c>
      <c r="E13" s="30">
        <v>2265</v>
      </c>
      <c r="F13" s="30">
        <v>2252</v>
      </c>
      <c r="G13" s="30">
        <v>132</v>
      </c>
      <c r="H13" s="30">
        <v>1716</v>
      </c>
      <c r="K13" s="16"/>
    </row>
    <row r="14" spans="1:14" x14ac:dyDescent="0.3">
      <c r="B14" s="43">
        <v>42135</v>
      </c>
      <c r="C14" s="30" t="s">
        <v>8</v>
      </c>
      <c r="D14" s="30" t="s">
        <v>791</v>
      </c>
      <c r="E14" s="30">
        <v>189</v>
      </c>
      <c r="F14" s="30">
        <v>192</v>
      </c>
      <c r="G14" s="30">
        <v>1587</v>
      </c>
      <c r="H14" s="30">
        <v>-4761</v>
      </c>
      <c r="K14" s="68" t="s">
        <v>808</v>
      </c>
      <c r="L14" s="69"/>
      <c r="M14" s="70"/>
    </row>
    <row r="15" spans="1:14" x14ac:dyDescent="0.3">
      <c r="B15" s="43">
        <v>42135</v>
      </c>
      <c r="C15" s="2" t="s">
        <v>9</v>
      </c>
      <c r="D15" s="28" t="s">
        <v>107</v>
      </c>
      <c r="E15" s="30">
        <v>2168</v>
      </c>
      <c r="F15" s="30">
        <v>2190</v>
      </c>
      <c r="G15" s="30">
        <v>138</v>
      </c>
      <c r="H15" s="30">
        <v>3036</v>
      </c>
      <c r="K15" s="16"/>
    </row>
    <row r="16" spans="1:14" x14ac:dyDescent="0.3">
      <c r="B16" s="43">
        <v>42136</v>
      </c>
      <c r="C16" s="2" t="s">
        <v>8</v>
      </c>
      <c r="D16" s="28" t="s">
        <v>133</v>
      </c>
      <c r="E16" s="30">
        <v>1745</v>
      </c>
      <c r="F16" s="30">
        <v>1736</v>
      </c>
      <c r="G16" s="30">
        <v>171</v>
      </c>
      <c r="H16" s="30">
        <v>1539</v>
      </c>
      <c r="K16" s="28"/>
      <c r="L16" s="30"/>
      <c r="M16" s="30"/>
      <c r="N16" s="30"/>
    </row>
    <row r="17" spans="2:14" x14ac:dyDescent="0.3">
      <c r="B17" s="43">
        <v>42136</v>
      </c>
      <c r="C17" s="2" t="s">
        <v>9</v>
      </c>
      <c r="D17" s="28" t="s">
        <v>98</v>
      </c>
      <c r="E17" s="30">
        <v>2420</v>
      </c>
      <c r="F17" s="30">
        <v>2465</v>
      </c>
      <c r="G17" s="30">
        <v>124</v>
      </c>
      <c r="H17" s="30">
        <v>5580</v>
      </c>
      <c r="K17" s="49"/>
      <c r="L17" s="30"/>
      <c r="M17" s="30"/>
      <c r="N17" s="30"/>
    </row>
    <row r="18" spans="2:14" x14ac:dyDescent="0.3">
      <c r="B18" s="43">
        <v>42137</v>
      </c>
      <c r="C18" s="2" t="s">
        <v>8</v>
      </c>
      <c r="D18" s="28" t="s">
        <v>37</v>
      </c>
      <c r="E18" s="30">
        <v>133.5</v>
      </c>
      <c r="F18" s="30">
        <v>131.80000000000001</v>
      </c>
      <c r="G18" s="30">
        <v>2247</v>
      </c>
      <c r="H18" s="30">
        <v>3819</v>
      </c>
      <c r="K18" s="49"/>
      <c r="L18" s="30"/>
      <c r="M18" s="30"/>
      <c r="N18" s="30"/>
    </row>
    <row r="19" spans="2:14" x14ac:dyDescent="0.3">
      <c r="B19" s="43">
        <v>42137</v>
      </c>
      <c r="C19" s="2" t="s">
        <v>9</v>
      </c>
      <c r="D19" s="28" t="s">
        <v>146</v>
      </c>
      <c r="E19" s="30">
        <v>136.5</v>
      </c>
      <c r="F19" s="30">
        <v>138.5</v>
      </c>
      <c r="G19" s="30">
        <v>2197</v>
      </c>
      <c r="H19" s="30">
        <v>4394</v>
      </c>
      <c r="K19" s="49"/>
      <c r="L19" s="30"/>
      <c r="M19" s="30"/>
      <c r="N19" s="30"/>
    </row>
    <row r="20" spans="2:14" x14ac:dyDescent="0.3">
      <c r="B20" s="43">
        <v>42138</v>
      </c>
      <c r="C20" s="2" t="s">
        <v>9</v>
      </c>
      <c r="D20" s="28" t="s">
        <v>37</v>
      </c>
      <c r="E20" s="30">
        <v>135.5</v>
      </c>
      <c r="F20" s="30">
        <v>137.5</v>
      </c>
      <c r="G20" s="30">
        <v>2214</v>
      </c>
      <c r="H20" s="30">
        <v>4428</v>
      </c>
      <c r="K20" s="49"/>
      <c r="L20" s="30"/>
      <c r="M20" s="30"/>
      <c r="N20" s="30"/>
    </row>
    <row r="21" spans="2:14" x14ac:dyDescent="0.3">
      <c r="B21" s="43">
        <v>42139</v>
      </c>
      <c r="C21" s="2" t="s">
        <v>8</v>
      </c>
      <c r="D21" s="28" t="s">
        <v>187</v>
      </c>
      <c r="E21" s="30">
        <v>132</v>
      </c>
      <c r="F21" s="30">
        <v>130.69999999999999</v>
      </c>
      <c r="G21" s="30">
        <v>2272</v>
      </c>
      <c r="H21" s="30">
        <v>2953</v>
      </c>
      <c r="K21" s="49"/>
      <c r="L21" s="30"/>
      <c r="M21" s="30"/>
      <c r="N21" s="30"/>
    </row>
    <row r="22" spans="2:14" x14ac:dyDescent="0.3">
      <c r="B22" s="43">
        <v>42142</v>
      </c>
      <c r="C22" s="2" t="s">
        <v>9</v>
      </c>
      <c r="D22" s="28" t="s">
        <v>94</v>
      </c>
      <c r="E22" s="30">
        <v>997</v>
      </c>
      <c r="F22" s="30">
        <v>1011</v>
      </c>
      <c r="G22" s="30">
        <v>300</v>
      </c>
      <c r="H22" s="30">
        <v>4200</v>
      </c>
      <c r="K22" s="49"/>
      <c r="L22" s="30"/>
      <c r="M22" s="30"/>
      <c r="N22" s="30"/>
    </row>
    <row r="23" spans="2:14" x14ac:dyDescent="0.3">
      <c r="B23" s="43">
        <v>42142</v>
      </c>
      <c r="C23" s="2" t="s">
        <v>8</v>
      </c>
      <c r="D23" s="28" t="s">
        <v>168</v>
      </c>
      <c r="E23" s="30">
        <v>269</v>
      </c>
      <c r="F23" s="30">
        <v>266</v>
      </c>
      <c r="G23" s="30">
        <v>1115</v>
      </c>
      <c r="H23" s="30">
        <v>3345</v>
      </c>
      <c r="K23" s="16"/>
    </row>
    <row r="24" spans="2:14" x14ac:dyDescent="0.3">
      <c r="B24" s="43">
        <v>42143</v>
      </c>
      <c r="C24" s="2" t="s">
        <v>9</v>
      </c>
      <c r="D24" s="28" t="s">
        <v>94</v>
      </c>
      <c r="E24" s="30">
        <v>1109</v>
      </c>
      <c r="F24" s="30">
        <v>1015</v>
      </c>
      <c r="G24" s="30">
        <v>270</v>
      </c>
      <c r="H24" s="30">
        <v>1620</v>
      </c>
      <c r="K24" s="16"/>
    </row>
    <row r="25" spans="2:14" x14ac:dyDescent="0.3">
      <c r="B25" s="43">
        <v>42143</v>
      </c>
      <c r="C25" s="2" t="s">
        <v>8</v>
      </c>
      <c r="D25" s="28" t="s">
        <v>371</v>
      </c>
      <c r="E25" s="30">
        <v>270</v>
      </c>
      <c r="F25" s="30">
        <v>271</v>
      </c>
      <c r="G25" s="30">
        <v>1111</v>
      </c>
      <c r="H25" s="30">
        <v>-1111</v>
      </c>
      <c r="K25" s="41"/>
    </row>
    <row r="26" spans="2:14" x14ac:dyDescent="0.3">
      <c r="B26" s="43">
        <v>42144</v>
      </c>
      <c r="C26" s="2" t="s">
        <v>8</v>
      </c>
      <c r="D26" s="28" t="s">
        <v>107</v>
      </c>
      <c r="E26" s="30">
        <v>2205</v>
      </c>
      <c r="F26" s="30">
        <v>2160</v>
      </c>
      <c r="G26" s="30">
        <v>136</v>
      </c>
      <c r="H26" s="30">
        <v>6120</v>
      </c>
      <c r="K26" s="41"/>
    </row>
    <row r="27" spans="2:14" x14ac:dyDescent="0.3">
      <c r="B27" s="43">
        <v>42144</v>
      </c>
      <c r="C27" s="30" t="s">
        <v>8</v>
      </c>
      <c r="D27" s="30" t="s">
        <v>93</v>
      </c>
      <c r="E27" s="30">
        <v>411</v>
      </c>
      <c r="F27" s="30">
        <v>407</v>
      </c>
      <c r="G27" s="30">
        <v>730</v>
      </c>
      <c r="H27" s="30">
        <v>2920</v>
      </c>
      <c r="L27" s="30"/>
    </row>
    <row r="28" spans="2:14" x14ac:dyDescent="0.3">
      <c r="B28" s="43">
        <v>42145</v>
      </c>
      <c r="C28" s="30" t="s">
        <v>8</v>
      </c>
      <c r="D28" s="30" t="s">
        <v>34</v>
      </c>
      <c r="E28" s="30">
        <v>197</v>
      </c>
      <c r="F28" s="30">
        <v>195</v>
      </c>
      <c r="G28" s="30">
        <v>1522</v>
      </c>
      <c r="H28" s="30">
        <v>3044</v>
      </c>
      <c r="L28" s="30"/>
    </row>
    <row r="29" spans="2:14" x14ac:dyDescent="0.3">
      <c r="B29" s="43">
        <v>42146</v>
      </c>
      <c r="C29" s="30" t="s">
        <v>8</v>
      </c>
      <c r="D29" s="30" t="s">
        <v>37</v>
      </c>
      <c r="E29" s="30">
        <v>137.5</v>
      </c>
      <c r="F29" s="30">
        <v>136.69999999999999</v>
      </c>
      <c r="G29" s="30">
        <v>2181</v>
      </c>
      <c r="H29" s="30">
        <v>1744</v>
      </c>
      <c r="L29" s="30"/>
    </row>
    <row r="30" spans="2:14" x14ac:dyDescent="0.3">
      <c r="B30" s="43">
        <v>42146</v>
      </c>
      <c r="C30" s="30" t="s">
        <v>9</v>
      </c>
      <c r="D30" s="30" t="s">
        <v>19</v>
      </c>
      <c r="E30" s="30">
        <v>297</v>
      </c>
      <c r="F30" s="30">
        <v>299</v>
      </c>
      <c r="G30" s="30">
        <v>1010</v>
      </c>
      <c r="H30" s="30">
        <v>2020</v>
      </c>
      <c r="L30" s="30"/>
    </row>
    <row r="31" spans="2:14" x14ac:dyDescent="0.3">
      <c r="B31" s="43">
        <v>42149</v>
      </c>
      <c r="C31" s="30" t="s">
        <v>8</v>
      </c>
      <c r="D31" s="30" t="s">
        <v>108</v>
      </c>
      <c r="E31" s="30">
        <v>877</v>
      </c>
      <c r="F31" s="30">
        <v>870</v>
      </c>
      <c r="G31" s="30">
        <v>342</v>
      </c>
      <c r="H31" s="30">
        <v>2394</v>
      </c>
      <c r="L31" s="30"/>
    </row>
    <row r="32" spans="2:14" x14ac:dyDescent="0.3">
      <c r="B32" s="43">
        <v>42149</v>
      </c>
      <c r="C32" s="30" t="s">
        <v>9</v>
      </c>
      <c r="D32" s="30" t="s">
        <v>299</v>
      </c>
      <c r="E32" s="30">
        <v>789</v>
      </c>
      <c r="F32" s="30">
        <v>797</v>
      </c>
      <c r="G32" s="30">
        <v>380</v>
      </c>
      <c r="H32" s="30">
        <v>3420</v>
      </c>
      <c r="L32" s="30"/>
    </row>
    <row r="33" spans="2:12" x14ac:dyDescent="0.3">
      <c r="B33" s="43">
        <v>42149</v>
      </c>
      <c r="C33" s="28" t="s">
        <v>8</v>
      </c>
      <c r="D33" s="28" t="s">
        <v>395</v>
      </c>
      <c r="E33" s="30">
        <v>3635</v>
      </c>
      <c r="F33" s="30">
        <v>3580</v>
      </c>
      <c r="G33" s="30">
        <v>82</v>
      </c>
      <c r="H33" s="30">
        <v>3690</v>
      </c>
      <c r="L33" s="30"/>
    </row>
    <row r="34" spans="2:12" x14ac:dyDescent="0.3">
      <c r="B34" s="43">
        <v>42150</v>
      </c>
      <c r="C34" s="28" t="s">
        <v>8</v>
      </c>
      <c r="D34" s="28" t="s">
        <v>395</v>
      </c>
      <c r="E34" s="30">
        <v>3595</v>
      </c>
      <c r="F34" s="30">
        <v>3545</v>
      </c>
      <c r="G34" s="30">
        <v>83</v>
      </c>
      <c r="H34" s="30">
        <v>4150</v>
      </c>
      <c r="L34" s="30"/>
    </row>
    <row r="35" spans="2:12" x14ac:dyDescent="0.3">
      <c r="B35" s="43">
        <v>42150</v>
      </c>
      <c r="C35" s="28" t="s">
        <v>8</v>
      </c>
      <c r="D35" s="28" t="s">
        <v>50</v>
      </c>
      <c r="E35" s="30">
        <v>990</v>
      </c>
      <c r="F35" s="30">
        <v>985</v>
      </c>
      <c r="G35" s="30">
        <v>303</v>
      </c>
      <c r="H35" s="30">
        <v>1515</v>
      </c>
      <c r="L35" s="30"/>
    </row>
    <row r="36" spans="2:12" x14ac:dyDescent="0.3">
      <c r="B36" s="43">
        <v>42150</v>
      </c>
      <c r="C36" s="28" t="s">
        <v>9</v>
      </c>
      <c r="D36" s="28" t="s">
        <v>794</v>
      </c>
      <c r="E36" s="30">
        <v>347</v>
      </c>
      <c r="F36" s="30">
        <v>350</v>
      </c>
      <c r="G36" s="30">
        <v>864</v>
      </c>
      <c r="H36" s="30">
        <v>2592</v>
      </c>
      <c r="L36" s="30"/>
    </row>
    <row r="37" spans="2:12" x14ac:dyDescent="0.3">
      <c r="B37" s="43">
        <v>42151</v>
      </c>
      <c r="C37" s="28" t="s">
        <v>9</v>
      </c>
      <c r="D37" s="28" t="s">
        <v>46</v>
      </c>
      <c r="E37" s="30">
        <v>326</v>
      </c>
      <c r="F37" s="30">
        <v>333</v>
      </c>
      <c r="G37" s="30">
        <v>920</v>
      </c>
      <c r="H37" s="30">
        <v>6440</v>
      </c>
      <c r="L37" s="30"/>
    </row>
    <row r="38" spans="2:12" x14ac:dyDescent="0.3">
      <c r="B38" s="43">
        <v>42151</v>
      </c>
      <c r="C38" s="28" t="s">
        <v>8</v>
      </c>
      <c r="D38" s="30" t="s">
        <v>795</v>
      </c>
      <c r="E38" s="30">
        <v>1980</v>
      </c>
      <c r="F38" s="30">
        <v>1955</v>
      </c>
      <c r="G38" s="30">
        <v>151</v>
      </c>
      <c r="H38" s="30">
        <v>3775</v>
      </c>
      <c r="L38" s="30"/>
    </row>
    <row r="39" spans="2:12" x14ac:dyDescent="0.3">
      <c r="B39" s="43">
        <v>42152</v>
      </c>
      <c r="C39" s="28" t="s">
        <v>8</v>
      </c>
      <c r="D39" s="30" t="s">
        <v>794</v>
      </c>
      <c r="E39" s="30">
        <v>330</v>
      </c>
      <c r="F39" s="30">
        <v>321</v>
      </c>
      <c r="G39" s="30">
        <v>909</v>
      </c>
      <c r="H39" s="30">
        <v>8181</v>
      </c>
      <c r="L39" s="30"/>
    </row>
    <row r="40" spans="2:12" x14ac:dyDescent="0.3">
      <c r="B40" s="43">
        <v>42152</v>
      </c>
      <c r="C40" s="28" t="s">
        <v>9</v>
      </c>
      <c r="D40" s="30" t="s">
        <v>796</v>
      </c>
      <c r="E40" s="30">
        <v>1245</v>
      </c>
      <c r="F40" s="30">
        <v>1233</v>
      </c>
      <c r="G40" s="30">
        <v>240</v>
      </c>
      <c r="H40" s="30">
        <v>-2880</v>
      </c>
      <c r="L40" s="30"/>
    </row>
    <row r="41" spans="2:12" x14ac:dyDescent="0.3">
      <c r="B41" s="43">
        <v>42152</v>
      </c>
      <c r="C41" s="28" t="s">
        <v>8</v>
      </c>
      <c r="D41" s="30" t="s">
        <v>157</v>
      </c>
      <c r="E41" s="30">
        <v>1223</v>
      </c>
      <c r="F41" s="30">
        <v>1207</v>
      </c>
      <c r="G41" s="30">
        <v>245</v>
      </c>
      <c r="H41" s="30">
        <v>3675</v>
      </c>
      <c r="L41" s="30"/>
    </row>
    <row r="42" spans="2:12" x14ac:dyDescent="0.3">
      <c r="B42" s="43">
        <v>42153</v>
      </c>
      <c r="C42" s="28" t="s">
        <v>8</v>
      </c>
      <c r="D42" s="28" t="s">
        <v>395</v>
      </c>
      <c r="E42" s="49" t="s">
        <v>245</v>
      </c>
      <c r="F42" s="49" t="s">
        <v>797</v>
      </c>
      <c r="G42" s="49" t="s">
        <v>763</v>
      </c>
      <c r="H42" s="74" t="s">
        <v>803</v>
      </c>
      <c r="L42" s="30"/>
    </row>
    <row r="43" spans="2:12" x14ac:dyDescent="0.3">
      <c r="B43" s="43">
        <v>42153</v>
      </c>
      <c r="C43" s="28" t="s">
        <v>8</v>
      </c>
      <c r="D43" s="28" t="s">
        <v>798</v>
      </c>
      <c r="E43" s="49" t="s">
        <v>799</v>
      </c>
      <c r="F43" s="49" t="s">
        <v>809</v>
      </c>
      <c r="G43" s="49" t="s">
        <v>804</v>
      </c>
      <c r="H43" s="74" t="s">
        <v>548</v>
      </c>
      <c r="K43" s="74"/>
    </row>
    <row r="44" spans="2:12" ht="15.6" x14ac:dyDescent="0.3">
      <c r="C44" s="28"/>
      <c r="D44" s="28"/>
      <c r="E44" s="49"/>
      <c r="F44" s="49"/>
      <c r="G44" s="49"/>
      <c r="H44" s="63" t="s">
        <v>810</v>
      </c>
      <c r="K44" s="74"/>
    </row>
    <row r="45" spans="2:12" ht="15.6" x14ac:dyDescent="0.3">
      <c r="C45" s="28"/>
      <c r="D45" s="28"/>
      <c r="E45" s="49"/>
      <c r="F45" s="49"/>
      <c r="G45" s="49"/>
      <c r="H45" s="64"/>
      <c r="K45" s="74"/>
    </row>
    <row r="46" spans="2:12" ht="15.6" x14ac:dyDescent="0.3">
      <c r="C46" s="28"/>
      <c r="D46" s="28"/>
      <c r="E46" s="28"/>
      <c r="F46" s="28"/>
      <c r="G46" s="28"/>
      <c r="H46" s="34"/>
      <c r="K46" s="62"/>
    </row>
    <row r="47" spans="2:12" ht="15.6" x14ac:dyDescent="0.3">
      <c r="C47" s="28"/>
      <c r="D47" s="28"/>
      <c r="E47" s="28"/>
      <c r="F47" s="28"/>
      <c r="G47" s="28"/>
      <c r="H47" s="34"/>
      <c r="K47" s="74"/>
    </row>
    <row r="48" spans="2:12" x14ac:dyDescent="0.3">
      <c r="K48" s="74"/>
    </row>
    <row r="49" spans="2:10" ht="15.6" x14ac:dyDescent="0.3">
      <c r="B49" s="48" t="s">
        <v>62</v>
      </c>
      <c r="C49" s="48"/>
      <c r="D49" s="48"/>
      <c r="E49" s="48"/>
      <c r="F49" s="48"/>
      <c r="G49" s="48"/>
      <c r="H49" s="48"/>
    </row>
    <row r="50" spans="2:10" x14ac:dyDescent="0.3">
      <c r="B50" s="43">
        <v>42128</v>
      </c>
      <c r="C50" s="2" t="s">
        <v>8</v>
      </c>
      <c r="D50" s="2" t="s">
        <v>575</v>
      </c>
      <c r="E50" s="41" t="s">
        <v>783</v>
      </c>
      <c r="F50" s="40" t="s">
        <v>784</v>
      </c>
      <c r="G50" s="5">
        <v>2000</v>
      </c>
      <c r="H50" s="40" t="s">
        <v>463</v>
      </c>
    </row>
    <row r="51" spans="2:10" x14ac:dyDescent="0.3">
      <c r="B51" s="43">
        <v>42129</v>
      </c>
      <c r="C51" s="30" t="s">
        <v>8</v>
      </c>
      <c r="D51" s="30" t="s">
        <v>34</v>
      </c>
      <c r="E51" s="30">
        <v>217</v>
      </c>
      <c r="F51" s="30">
        <v>214</v>
      </c>
      <c r="G51" s="30">
        <v>1000</v>
      </c>
      <c r="H51" s="30">
        <v>3000</v>
      </c>
    </row>
    <row r="52" spans="2:10" x14ac:dyDescent="0.3">
      <c r="B52" s="43">
        <v>42130</v>
      </c>
      <c r="C52" s="30" t="s">
        <v>8</v>
      </c>
      <c r="D52" s="30" t="s">
        <v>585</v>
      </c>
      <c r="E52" s="30">
        <v>540</v>
      </c>
      <c r="F52" s="30">
        <v>535</v>
      </c>
      <c r="G52" s="30">
        <v>500</v>
      </c>
      <c r="H52" s="30">
        <v>2500</v>
      </c>
    </row>
    <row r="53" spans="2:10" x14ac:dyDescent="0.3">
      <c r="B53" s="43">
        <v>42131</v>
      </c>
      <c r="C53" s="30" t="s">
        <v>8</v>
      </c>
      <c r="D53" s="30" t="s">
        <v>34</v>
      </c>
      <c r="E53" s="30">
        <v>209</v>
      </c>
      <c r="F53" s="30">
        <v>205</v>
      </c>
      <c r="G53" s="30">
        <v>1000</v>
      </c>
      <c r="H53" s="30">
        <v>4000</v>
      </c>
    </row>
    <row r="54" spans="2:10" x14ac:dyDescent="0.3">
      <c r="B54" s="43">
        <v>42132</v>
      </c>
      <c r="C54" s="30" t="s">
        <v>8</v>
      </c>
      <c r="D54" s="30" t="s">
        <v>791</v>
      </c>
      <c r="E54" s="30">
        <v>190</v>
      </c>
      <c r="F54" s="30">
        <v>184</v>
      </c>
      <c r="G54" s="30">
        <v>1000</v>
      </c>
      <c r="H54" s="30">
        <v>6000</v>
      </c>
    </row>
    <row r="55" spans="2:10" x14ac:dyDescent="0.3">
      <c r="B55" s="43">
        <v>42135</v>
      </c>
      <c r="C55" s="30" t="s">
        <v>8</v>
      </c>
      <c r="D55" s="30" t="s">
        <v>105</v>
      </c>
      <c r="E55" s="30">
        <v>295.5</v>
      </c>
      <c r="F55" s="30">
        <v>293</v>
      </c>
      <c r="G55" s="30">
        <v>1000</v>
      </c>
      <c r="H55" s="30">
        <v>2500</v>
      </c>
    </row>
    <row r="56" spans="2:10" x14ac:dyDescent="0.3">
      <c r="B56" s="43">
        <v>42136</v>
      </c>
      <c r="C56" s="30" t="s">
        <v>8</v>
      </c>
      <c r="D56" s="30" t="s">
        <v>341</v>
      </c>
      <c r="E56" s="30">
        <v>255</v>
      </c>
      <c r="F56" s="30">
        <v>259</v>
      </c>
      <c r="G56" s="30">
        <v>1000</v>
      </c>
      <c r="H56" s="30">
        <v>-4000</v>
      </c>
    </row>
    <row r="57" spans="2:10" x14ac:dyDescent="0.3">
      <c r="B57" s="43">
        <v>42136</v>
      </c>
      <c r="C57" s="30" t="s">
        <v>8</v>
      </c>
      <c r="D57" s="30" t="s">
        <v>78</v>
      </c>
      <c r="E57" s="30">
        <v>1585</v>
      </c>
      <c r="F57" s="30">
        <v>1562</v>
      </c>
      <c r="G57" s="30">
        <v>250</v>
      </c>
      <c r="H57" s="30">
        <v>5750</v>
      </c>
    </row>
    <row r="58" spans="2:10" x14ac:dyDescent="0.3">
      <c r="B58" s="43">
        <v>42137</v>
      </c>
      <c r="C58" s="30" t="s">
        <v>8</v>
      </c>
      <c r="D58" s="30" t="s">
        <v>792</v>
      </c>
      <c r="E58" s="30">
        <v>135</v>
      </c>
      <c r="F58" s="30">
        <v>132</v>
      </c>
      <c r="G58" s="30">
        <v>2000</v>
      </c>
      <c r="H58" s="30">
        <v>6000</v>
      </c>
    </row>
    <row r="59" spans="2:10" x14ac:dyDescent="0.3">
      <c r="B59" s="43">
        <v>42138</v>
      </c>
      <c r="C59" s="30" t="s">
        <v>8</v>
      </c>
      <c r="D59" s="30" t="s">
        <v>115</v>
      </c>
      <c r="E59" s="30">
        <v>367</v>
      </c>
      <c r="F59" s="30">
        <v>365</v>
      </c>
      <c r="G59" s="30">
        <v>1000</v>
      </c>
      <c r="H59" s="30">
        <v>2000</v>
      </c>
    </row>
    <row r="60" spans="2:10" x14ac:dyDescent="0.3">
      <c r="B60" s="43">
        <v>42139</v>
      </c>
      <c r="C60" s="30" t="s">
        <v>8</v>
      </c>
      <c r="D60" s="30" t="s">
        <v>168</v>
      </c>
      <c r="E60" s="30">
        <v>275</v>
      </c>
      <c r="F60" s="30">
        <v>270</v>
      </c>
      <c r="G60" s="30">
        <v>1000</v>
      </c>
      <c r="H60" s="30">
        <v>5000</v>
      </c>
    </row>
    <row r="61" spans="2:10" x14ac:dyDescent="0.3">
      <c r="B61" s="43">
        <v>42142</v>
      </c>
      <c r="C61" s="30" t="s">
        <v>8</v>
      </c>
      <c r="D61" s="30" t="s">
        <v>113</v>
      </c>
      <c r="E61" s="30">
        <v>161</v>
      </c>
      <c r="F61" s="30">
        <v>158</v>
      </c>
      <c r="G61" s="30">
        <v>1000</v>
      </c>
      <c r="H61" s="30">
        <v>3000</v>
      </c>
      <c r="J61" s="1"/>
    </row>
    <row r="62" spans="2:10" x14ac:dyDescent="0.3">
      <c r="B62" s="43">
        <v>42143</v>
      </c>
      <c r="C62" s="30" t="s">
        <v>8</v>
      </c>
      <c r="D62" s="30" t="s">
        <v>187</v>
      </c>
      <c r="E62" s="30">
        <v>132</v>
      </c>
      <c r="F62" s="30">
        <v>132</v>
      </c>
      <c r="G62" s="30">
        <v>1000</v>
      </c>
      <c r="H62" s="30">
        <v>0</v>
      </c>
      <c r="J62" s="1"/>
    </row>
    <row r="63" spans="2:10" x14ac:dyDescent="0.3">
      <c r="B63" s="43">
        <v>42144</v>
      </c>
      <c r="C63" s="30" t="s">
        <v>8</v>
      </c>
      <c r="D63" s="30" t="s">
        <v>793</v>
      </c>
      <c r="E63" s="30">
        <v>107</v>
      </c>
      <c r="F63" s="30">
        <v>105.5</v>
      </c>
      <c r="G63" s="30">
        <v>2000</v>
      </c>
      <c r="H63" s="30">
        <v>3000</v>
      </c>
      <c r="J63" s="1"/>
    </row>
    <row r="64" spans="2:10" x14ac:dyDescent="0.3">
      <c r="B64" s="43">
        <v>42144</v>
      </c>
      <c r="C64" s="30" t="s">
        <v>8</v>
      </c>
      <c r="D64" s="30" t="s">
        <v>395</v>
      </c>
      <c r="E64" s="30">
        <v>3645</v>
      </c>
      <c r="F64" s="30">
        <v>3615</v>
      </c>
      <c r="G64" s="30">
        <v>125</v>
      </c>
      <c r="H64" s="30">
        <v>3750</v>
      </c>
      <c r="J64" s="1"/>
    </row>
    <row r="65" spans="2:10" x14ac:dyDescent="0.3">
      <c r="B65" s="43">
        <v>42145</v>
      </c>
      <c r="C65" s="30" t="s">
        <v>8</v>
      </c>
      <c r="D65" s="30" t="s">
        <v>395</v>
      </c>
      <c r="E65" s="30">
        <v>3640</v>
      </c>
      <c r="F65" s="30">
        <v>3600</v>
      </c>
      <c r="G65" s="30">
        <v>125</v>
      </c>
      <c r="H65" s="30">
        <v>5000</v>
      </c>
      <c r="J65" s="1"/>
    </row>
    <row r="66" spans="2:10" x14ac:dyDescent="0.3">
      <c r="B66" s="43">
        <v>42146</v>
      </c>
      <c r="C66" s="30" t="s">
        <v>8</v>
      </c>
      <c r="D66" s="30" t="s">
        <v>395</v>
      </c>
      <c r="E66" s="30">
        <v>3620</v>
      </c>
      <c r="F66" s="30">
        <v>3655</v>
      </c>
      <c r="G66" s="30">
        <v>125</v>
      </c>
      <c r="H66" s="30">
        <v>-4375</v>
      </c>
      <c r="J66" s="1"/>
    </row>
    <row r="67" spans="2:10" x14ac:dyDescent="0.3">
      <c r="B67" s="43">
        <v>42149</v>
      </c>
      <c r="C67" s="30" t="s">
        <v>8</v>
      </c>
      <c r="D67" s="30" t="s">
        <v>15</v>
      </c>
      <c r="E67" s="30">
        <v>1358</v>
      </c>
      <c r="F67" s="30">
        <v>1345</v>
      </c>
      <c r="G67" s="30">
        <v>500</v>
      </c>
      <c r="H67" s="30">
        <v>6500</v>
      </c>
      <c r="J67" s="46"/>
    </row>
    <row r="68" spans="2:10" x14ac:dyDescent="0.3">
      <c r="B68" s="43">
        <v>42150</v>
      </c>
      <c r="C68" s="30" t="s">
        <v>8</v>
      </c>
      <c r="D68" s="30" t="s">
        <v>50</v>
      </c>
      <c r="E68" s="30">
        <v>992</v>
      </c>
      <c r="F68" s="30">
        <v>983</v>
      </c>
      <c r="G68" s="30">
        <v>500</v>
      </c>
      <c r="H68" s="30">
        <v>4500</v>
      </c>
      <c r="J68" s="46"/>
    </row>
    <row r="69" spans="2:10" x14ac:dyDescent="0.3">
      <c r="B69" s="43">
        <v>42151</v>
      </c>
      <c r="C69" s="30" t="s">
        <v>8</v>
      </c>
      <c r="D69" s="30" t="s">
        <v>795</v>
      </c>
      <c r="E69" s="30">
        <v>1978</v>
      </c>
      <c r="F69" s="30">
        <v>1955</v>
      </c>
      <c r="G69" s="30">
        <v>250</v>
      </c>
      <c r="H69" s="30">
        <v>5750</v>
      </c>
      <c r="J69" s="46"/>
    </row>
    <row r="70" spans="2:10" x14ac:dyDescent="0.3">
      <c r="B70" s="43">
        <v>42152</v>
      </c>
      <c r="C70" s="30" t="s">
        <v>8</v>
      </c>
      <c r="D70" s="30" t="s">
        <v>800</v>
      </c>
      <c r="E70" s="30">
        <v>943</v>
      </c>
      <c r="F70" s="30">
        <v>925</v>
      </c>
      <c r="G70" s="30">
        <v>250</v>
      </c>
      <c r="H70" s="30">
        <v>4500</v>
      </c>
      <c r="J70" s="46"/>
    </row>
    <row r="71" spans="2:10" ht="15.6" x14ac:dyDescent="0.3">
      <c r="B71" s="43">
        <v>42153</v>
      </c>
      <c r="C71" s="30" t="s">
        <v>8</v>
      </c>
      <c r="D71" s="30" t="s">
        <v>689</v>
      </c>
      <c r="E71" s="30">
        <v>171</v>
      </c>
      <c r="F71" s="30">
        <v>169</v>
      </c>
      <c r="G71" s="30">
        <v>2000</v>
      </c>
      <c r="H71" s="77">
        <v>4000</v>
      </c>
      <c r="J71" s="46"/>
    </row>
    <row r="72" spans="2:10" ht="15.6" x14ac:dyDescent="0.3">
      <c r="B72" s="43"/>
      <c r="C72" s="30"/>
      <c r="D72" s="30"/>
      <c r="E72" s="30"/>
      <c r="F72" s="30"/>
      <c r="G72" s="30"/>
      <c r="H72" s="63" t="s">
        <v>805</v>
      </c>
      <c r="J72" s="46"/>
    </row>
    <row r="73" spans="2:10" x14ac:dyDescent="0.3">
      <c r="B73" s="43"/>
      <c r="C73" s="30"/>
      <c r="D73" s="30"/>
      <c r="E73" s="30"/>
      <c r="F73" s="30"/>
      <c r="G73" s="30"/>
      <c r="H73" s="30"/>
      <c r="J73" s="46"/>
    </row>
    <row r="74" spans="2:10" ht="15.6" x14ac:dyDescent="0.3">
      <c r="B74" s="43"/>
      <c r="C74" s="30"/>
      <c r="D74" s="30"/>
      <c r="E74" s="30"/>
      <c r="F74" s="30"/>
      <c r="G74" s="30"/>
      <c r="H74" s="63"/>
      <c r="J74" s="47"/>
    </row>
    <row r="75" spans="2:10" ht="18" x14ac:dyDescent="0.35">
      <c r="B75" s="43"/>
      <c r="C75" s="30"/>
      <c r="D75" s="30"/>
      <c r="E75" s="30"/>
      <c r="F75" s="30"/>
      <c r="G75" s="30"/>
      <c r="H75" s="76"/>
      <c r="J75" s="46"/>
    </row>
    <row r="76" spans="2:10" ht="15.6" x14ac:dyDescent="0.3">
      <c r="B76" s="43"/>
      <c r="C76" s="30"/>
      <c r="D76" s="30"/>
      <c r="E76" s="30"/>
      <c r="F76" s="30"/>
      <c r="G76" s="30"/>
      <c r="H76" s="33"/>
      <c r="J76" s="46"/>
    </row>
    <row r="77" spans="2:10" ht="15.6" x14ac:dyDescent="0.3">
      <c r="B77" s="48" t="s">
        <v>571</v>
      </c>
      <c r="C77" s="48"/>
      <c r="D77" s="48"/>
      <c r="E77" s="48"/>
      <c r="F77" s="48"/>
      <c r="G77" s="48"/>
      <c r="H77" s="48"/>
      <c r="J77" s="46"/>
    </row>
    <row r="78" spans="2:10" x14ac:dyDescent="0.3">
      <c r="B78" s="43">
        <v>42128</v>
      </c>
      <c r="C78" s="2" t="s">
        <v>9</v>
      </c>
      <c r="D78" s="2" t="s">
        <v>39</v>
      </c>
      <c r="E78" s="41" t="s">
        <v>785</v>
      </c>
      <c r="F78" s="40" t="s">
        <v>786</v>
      </c>
      <c r="G78" s="41" t="s">
        <v>217</v>
      </c>
      <c r="H78" s="41" t="s">
        <v>280</v>
      </c>
    </row>
    <row r="79" spans="2:10" x14ac:dyDescent="0.3">
      <c r="B79" s="43">
        <v>42129</v>
      </c>
      <c r="C79" s="30" t="s">
        <v>9</v>
      </c>
      <c r="D79" s="2" t="s">
        <v>39</v>
      </c>
      <c r="E79" s="2">
        <v>8370</v>
      </c>
      <c r="F79" s="30">
        <v>8395</v>
      </c>
      <c r="G79" s="41" t="s">
        <v>217</v>
      </c>
      <c r="H79" s="30">
        <v>2500</v>
      </c>
    </row>
    <row r="80" spans="2:10" x14ac:dyDescent="0.3">
      <c r="B80" s="43">
        <v>42130</v>
      </c>
      <c r="C80" s="30" t="s">
        <v>8</v>
      </c>
      <c r="D80" s="2" t="s">
        <v>39</v>
      </c>
      <c r="E80" s="30">
        <v>8240</v>
      </c>
      <c r="F80" s="30">
        <v>8180</v>
      </c>
      <c r="G80" s="30">
        <v>100</v>
      </c>
      <c r="H80" s="30">
        <v>6000</v>
      </c>
    </row>
    <row r="81" spans="2:8" x14ac:dyDescent="0.3">
      <c r="B81" s="43">
        <v>42131</v>
      </c>
      <c r="C81" s="30" t="s">
        <v>9</v>
      </c>
      <c r="D81" s="2" t="s">
        <v>39</v>
      </c>
      <c r="E81" s="30">
        <v>8120</v>
      </c>
      <c r="F81" s="30">
        <v>8140</v>
      </c>
      <c r="G81" s="30">
        <v>100</v>
      </c>
      <c r="H81" s="30">
        <v>2000</v>
      </c>
    </row>
    <row r="82" spans="2:8" x14ac:dyDescent="0.3">
      <c r="B82" s="43">
        <v>42132</v>
      </c>
      <c r="C82" s="30" t="s">
        <v>9</v>
      </c>
      <c r="D82" s="2" t="s">
        <v>39</v>
      </c>
      <c r="E82" s="30">
        <v>8180</v>
      </c>
      <c r="F82" s="30">
        <v>8235</v>
      </c>
      <c r="G82" s="41" t="s">
        <v>217</v>
      </c>
      <c r="H82" s="30">
        <v>5500</v>
      </c>
    </row>
    <row r="83" spans="2:8" x14ac:dyDescent="0.3">
      <c r="B83" s="43">
        <v>42135</v>
      </c>
      <c r="C83" s="30" t="s">
        <v>9</v>
      </c>
      <c r="D83" s="2" t="s">
        <v>39</v>
      </c>
      <c r="E83" s="30">
        <v>8280</v>
      </c>
      <c r="F83" s="30">
        <v>8335</v>
      </c>
      <c r="G83" s="41" t="s">
        <v>217</v>
      </c>
      <c r="H83" s="30">
        <v>5500</v>
      </c>
    </row>
    <row r="84" spans="2:8" x14ac:dyDescent="0.3">
      <c r="B84" s="43">
        <v>42136</v>
      </c>
      <c r="C84" s="30" t="s">
        <v>8</v>
      </c>
      <c r="D84" s="2" t="s">
        <v>39</v>
      </c>
      <c r="E84" s="30">
        <v>8240</v>
      </c>
      <c r="F84" s="30">
        <v>8180</v>
      </c>
      <c r="G84" s="41" t="s">
        <v>217</v>
      </c>
      <c r="H84" s="30">
        <v>6000</v>
      </c>
    </row>
    <row r="85" spans="2:8" x14ac:dyDescent="0.3">
      <c r="B85" s="43">
        <v>42137</v>
      </c>
      <c r="C85" s="30" t="s">
        <v>8</v>
      </c>
      <c r="D85" s="2" t="s">
        <v>39</v>
      </c>
      <c r="E85" s="30">
        <v>8245</v>
      </c>
      <c r="F85" s="30">
        <v>8190</v>
      </c>
      <c r="G85" s="41" t="s">
        <v>217</v>
      </c>
      <c r="H85" s="30">
        <v>5500</v>
      </c>
    </row>
    <row r="86" spans="2:8" x14ac:dyDescent="0.3">
      <c r="B86" s="43">
        <v>42138</v>
      </c>
      <c r="C86" s="30" t="s">
        <v>8</v>
      </c>
      <c r="D86" s="2" t="s">
        <v>39</v>
      </c>
      <c r="E86" s="30">
        <v>8190</v>
      </c>
      <c r="F86" s="30">
        <v>8170</v>
      </c>
      <c r="G86" s="30">
        <v>100</v>
      </c>
      <c r="H86" s="30">
        <v>2000</v>
      </c>
    </row>
    <row r="87" spans="2:8" x14ac:dyDescent="0.3">
      <c r="B87" s="43">
        <v>42139</v>
      </c>
      <c r="C87" s="30" t="s">
        <v>8</v>
      </c>
      <c r="D87" s="2" t="s">
        <v>39</v>
      </c>
      <c r="E87" s="30">
        <v>8255</v>
      </c>
      <c r="F87" s="30">
        <v>8240</v>
      </c>
      <c r="G87" s="30">
        <v>100</v>
      </c>
      <c r="H87" s="30">
        <v>1500</v>
      </c>
    </row>
    <row r="88" spans="2:8" x14ac:dyDescent="0.3">
      <c r="B88" s="43">
        <v>42142</v>
      </c>
      <c r="C88" s="30" t="s">
        <v>8</v>
      </c>
      <c r="D88" s="2" t="s">
        <v>39</v>
      </c>
      <c r="E88" s="30">
        <v>8315</v>
      </c>
      <c r="F88" s="30">
        <v>8290</v>
      </c>
      <c r="G88" s="41" t="s">
        <v>217</v>
      </c>
      <c r="H88" s="30">
        <v>2500</v>
      </c>
    </row>
    <row r="89" spans="2:8" x14ac:dyDescent="0.3">
      <c r="B89" s="43">
        <v>42143</v>
      </c>
      <c r="C89" s="30" t="s">
        <v>8</v>
      </c>
      <c r="D89" s="2" t="s">
        <v>39</v>
      </c>
      <c r="E89" s="30">
        <v>8355</v>
      </c>
      <c r="F89" s="30">
        <v>8385</v>
      </c>
      <c r="G89" s="41" t="s">
        <v>217</v>
      </c>
      <c r="H89" s="30">
        <v>-3000</v>
      </c>
    </row>
    <row r="90" spans="2:8" x14ac:dyDescent="0.3">
      <c r="B90" s="43">
        <v>42144</v>
      </c>
      <c r="C90" s="30" t="s">
        <v>8</v>
      </c>
      <c r="D90" s="2" t="s">
        <v>39</v>
      </c>
      <c r="E90" s="30">
        <v>8440</v>
      </c>
      <c r="F90" s="30">
        <v>8415</v>
      </c>
      <c r="G90" s="41" t="s">
        <v>217</v>
      </c>
      <c r="H90" s="30">
        <v>2500</v>
      </c>
    </row>
    <row r="91" spans="2:8" x14ac:dyDescent="0.3">
      <c r="B91" s="43">
        <v>42145</v>
      </c>
      <c r="C91" s="30" t="s">
        <v>8</v>
      </c>
      <c r="D91" s="2" t="s">
        <v>39</v>
      </c>
      <c r="E91" s="30">
        <v>8420</v>
      </c>
      <c r="F91" s="30">
        <v>8380</v>
      </c>
      <c r="G91" s="41" t="s">
        <v>217</v>
      </c>
      <c r="H91" s="30">
        <v>4000</v>
      </c>
    </row>
    <row r="92" spans="2:8" x14ac:dyDescent="0.3">
      <c r="B92" s="43">
        <v>42146</v>
      </c>
      <c r="C92" s="30" t="s">
        <v>9</v>
      </c>
      <c r="D92" s="2" t="s">
        <v>39</v>
      </c>
      <c r="E92" s="30">
        <v>8460</v>
      </c>
      <c r="F92" s="30">
        <v>8485</v>
      </c>
      <c r="G92" s="30">
        <v>100</v>
      </c>
      <c r="H92" s="30">
        <v>2500</v>
      </c>
    </row>
    <row r="93" spans="2:8" x14ac:dyDescent="0.3">
      <c r="B93" s="43">
        <v>42149</v>
      </c>
      <c r="C93" s="30" t="s">
        <v>8</v>
      </c>
      <c r="D93" s="2" t="s">
        <v>39</v>
      </c>
      <c r="E93" s="30">
        <v>8430</v>
      </c>
      <c r="F93" s="30">
        <v>8370</v>
      </c>
      <c r="G93" s="30">
        <v>100</v>
      </c>
      <c r="H93" s="30">
        <v>6000</v>
      </c>
    </row>
    <row r="94" spans="2:8" x14ac:dyDescent="0.3">
      <c r="B94" s="43">
        <v>42150</v>
      </c>
      <c r="C94" s="30" t="s">
        <v>8</v>
      </c>
      <c r="D94" s="2" t="s">
        <v>39</v>
      </c>
      <c r="E94" s="30">
        <v>8345</v>
      </c>
      <c r="F94" s="30">
        <v>8310</v>
      </c>
      <c r="G94" s="41" t="s">
        <v>217</v>
      </c>
      <c r="H94" s="30">
        <v>3500</v>
      </c>
    </row>
    <row r="95" spans="2:8" ht="15.6" x14ac:dyDescent="0.3">
      <c r="B95" s="43">
        <v>42151</v>
      </c>
      <c r="C95" s="30" t="s">
        <v>8</v>
      </c>
      <c r="D95" s="2" t="s">
        <v>39</v>
      </c>
      <c r="E95" s="30">
        <v>8320</v>
      </c>
      <c r="F95" s="30">
        <v>8300</v>
      </c>
      <c r="G95" s="41" t="s">
        <v>217</v>
      </c>
      <c r="H95" s="77">
        <v>2000</v>
      </c>
    </row>
    <row r="96" spans="2:8" ht="15.6" x14ac:dyDescent="0.3">
      <c r="B96" s="43">
        <v>42152</v>
      </c>
      <c r="C96" s="30" t="s">
        <v>8</v>
      </c>
      <c r="D96" s="2" t="s">
        <v>39</v>
      </c>
      <c r="E96" s="30">
        <v>8350</v>
      </c>
      <c r="F96" s="30">
        <v>8295</v>
      </c>
      <c r="G96" s="30">
        <v>100</v>
      </c>
      <c r="H96" s="77">
        <v>5500</v>
      </c>
    </row>
    <row r="97" spans="2:8" x14ac:dyDescent="0.3">
      <c r="B97" s="43">
        <v>42153</v>
      </c>
      <c r="C97" s="30" t="s">
        <v>9</v>
      </c>
      <c r="D97" s="2" t="s">
        <v>39</v>
      </c>
      <c r="E97" s="30">
        <v>8395</v>
      </c>
      <c r="F97" s="30">
        <v>8420</v>
      </c>
      <c r="G97" s="41" t="s">
        <v>217</v>
      </c>
      <c r="H97" s="30">
        <v>2500</v>
      </c>
    </row>
    <row r="98" spans="2:8" ht="15.6" x14ac:dyDescent="0.3">
      <c r="B98" s="43"/>
      <c r="C98" s="30"/>
      <c r="D98" s="2"/>
      <c r="E98" s="30"/>
      <c r="F98" s="30"/>
      <c r="G98" s="41"/>
      <c r="H98" s="63" t="s">
        <v>806</v>
      </c>
    </row>
    <row r="99" spans="2:8" ht="18" x14ac:dyDescent="0.35">
      <c r="B99" s="43"/>
      <c r="C99" s="30"/>
      <c r="D99" s="2"/>
      <c r="E99" s="30"/>
      <c r="F99" s="30"/>
      <c r="G99" s="41"/>
      <c r="H99" s="76"/>
    </row>
    <row r="100" spans="2:8" ht="15.6" x14ac:dyDescent="0.3">
      <c r="B100" s="43"/>
      <c r="C100" s="30"/>
      <c r="D100" s="2"/>
      <c r="E100" s="30"/>
      <c r="F100" s="30"/>
      <c r="G100" s="30"/>
      <c r="H100" s="34"/>
    </row>
    <row r="101" spans="2:8" x14ac:dyDescent="0.3">
      <c r="B101" s="43"/>
      <c r="C101" s="28"/>
      <c r="D101" s="30"/>
      <c r="E101" s="28"/>
      <c r="F101" s="28"/>
      <c r="G101" s="28"/>
      <c r="H101" s="28"/>
    </row>
    <row r="102" spans="2:8" ht="15.6" x14ac:dyDescent="0.3">
      <c r="B102" s="48" t="s">
        <v>572</v>
      </c>
      <c r="C102" s="61"/>
      <c r="D102" s="61"/>
      <c r="E102" s="61"/>
      <c r="F102" s="61"/>
      <c r="G102" s="61"/>
      <c r="H102" s="61"/>
    </row>
    <row r="103" spans="2:8" x14ac:dyDescent="0.3">
      <c r="B103" s="43">
        <v>42128</v>
      </c>
      <c r="C103" s="3" t="s">
        <v>9</v>
      </c>
      <c r="D103" s="3" t="s">
        <v>587</v>
      </c>
      <c r="E103" s="40" t="s">
        <v>226</v>
      </c>
      <c r="F103" s="40" t="s">
        <v>787</v>
      </c>
      <c r="G103" s="30">
        <v>200</v>
      </c>
      <c r="H103" s="8">
        <v>5000</v>
      </c>
    </row>
    <row r="104" spans="2:8" x14ac:dyDescent="0.3">
      <c r="B104" s="43">
        <v>42129</v>
      </c>
      <c r="C104" s="3" t="s">
        <v>9</v>
      </c>
      <c r="D104" s="3" t="s">
        <v>587</v>
      </c>
      <c r="E104" s="30">
        <v>175</v>
      </c>
      <c r="F104" s="30">
        <v>190</v>
      </c>
      <c r="G104" s="30">
        <v>200</v>
      </c>
      <c r="H104" s="30">
        <v>3000</v>
      </c>
    </row>
    <row r="105" spans="2:8" x14ac:dyDescent="0.3">
      <c r="B105" s="43">
        <v>42130</v>
      </c>
      <c r="C105" s="3" t="s">
        <v>9</v>
      </c>
      <c r="D105" s="3" t="s">
        <v>495</v>
      </c>
      <c r="E105" s="30">
        <v>140</v>
      </c>
      <c r="F105" s="30">
        <v>170</v>
      </c>
      <c r="G105" s="30">
        <v>200</v>
      </c>
      <c r="H105" s="30">
        <v>6000</v>
      </c>
    </row>
    <row r="106" spans="2:8" x14ac:dyDescent="0.3">
      <c r="B106" s="43">
        <v>42131</v>
      </c>
      <c r="C106" s="3" t="s">
        <v>9</v>
      </c>
      <c r="D106" s="30" t="s">
        <v>779</v>
      </c>
      <c r="E106" s="30">
        <v>112</v>
      </c>
      <c r="F106" s="30">
        <v>122</v>
      </c>
      <c r="G106" s="30">
        <v>200</v>
      </c>
      <c r="H106" s="30">
        <v>2000</v>
      </c>
    </row>
    <row r="107" spans="2:8" x14ac:dyDescent="0.3">
      <c r="B107" s="43">
        <v>42132</v>
      </c>
      <c r="C107" s="3" t="s">
        <v>9</v>
      </c>
      <c r="D107" s="30" t="s">
        <v>779</v>
      </c>
      <c r="E107" s="30">
        <v>130</v>
      </c>
      <c r="F107" s="30">
        <v>160</v>
      </c>
      <c r="G107" s="30">
        <v>200</v>
      </c>
      <c r="H107" s="30">
        <v>6000</v>
      </c>
    </row>
    <row r="108" spans="2:8" x14ac:dyDescent="0.3">
      <c r="B108" s="43">
        <v>42135</v>
      </c>
      <c r="C108" s="3" t="s">
        <v>9</v>
      </c>
      <c r="D108" s="30" t="s">
        <v>587</v>
      </c>
      <c r="E108" s="30">
        <v>120</v>
      </c>
      <c r="F108" s="30">
        <v>160</v>
      </c>
      <c r="G108" s="30">
        <v>200</v>
      </c>
      <c r="H108" s="30">
        <v>8000</v>
      </c>
    </row>
    <row r="109" spans="2:8" x14ac:dyDescent="0.3">
      <c r="B109" s="43">
        <v>42136</v>
      </c>
      <c r="C109" s="3" t="s">
        <v>9</v>
      </c>
      <c r="D109" s="30" t="s">
        <v>495</v>
      </c>
      <c r="E109" s="30">
        <v>120</v>
      </c>
      <c r="F109" s="30">
        <v>160</v>
      </c>
      <c r="G109" s="30">
        <v>200</v>
      </c>
      <c r="H109" s="30">
        <v>8000</v>
      </c>
    </row>
    <row r="110" spans="2:8" x14ac:dyDescent="0.3">
      <c r="B110" s="43">
        <v>42137</v>
      </c>
      <c r="C110" s="3" t="s">
        <v>9</v>
      </c>
      <c r="D110" s="30" t="s">
        <v>495</v>
      </c>
      <c r="E110" s="30">
        <v>125</v>
      </c>
      <c r="F110" s="30">
        <v>165</v>
      </c>
      <c r="G110" s="30">
        <v>200</v>
      </c>
      <c r="H110" s="30">
        <v>8000</v>
      </c>
    </row>
    <row r="111" spans="2:8" x14ac:dyDescent="0.3">
      <c r="B111" s="43">
        <v>42138</v>
      </c>
      <c r="C111" s="3" t="s">
        <v>9</v>
      </c>
      <c r="D111" s="30" t="s">
        <v>495</v>
      </c>
      <c r="E111" s="30">
        <v>154</v>
      </c>
      <c r="F111" s="30">
        <v>164</v>
      </c>
      <c r="G111" s="30">
        <v>200</v>
      </c>
      <c r="H111" s="30">
        <v>2000</v>
      </c>
    </row>
    <row r="112" spans="2:8" x14ac:dyDescent="0.3">
      <c r="B112" s="43">
        <v>42139</v>
      </c>
      <c r="C112" s="3" t="s">
        <v>9</v>
      </c>
      <c r="D112" s="30" t="s">
        <v>495</v>
      </c>
      <c r="E112" s="30">
        <v>108</v>
      </c>
      <c r="F112" s="30">
        <v>118</v>
      </c>
      <c r="G112" s="30">
        <v>200</v>
      </c>
      <c r="H112" s="30">
        <v>2000</v>
      </c>
    </row>
    <row r="113" spans="2:8" x14ac:dyDescent="0.3">
      <c r="B113" s="43">
        <v>42142</v>
      </c>
      <c r="C113" s="3" t="s">
        <v>9</v>
      </c>
      <c r="D113" s="30" t="s">
        <v>589</v>
      </c>
      <c r="E113" s="30">
        <v>107</v>
      </c>
      <c r="F113" s="30">
        <v>122</v>
      </c>
      <c r="G113" s="30">
        <v>200</v>
      </c>
      <c r="H113" s="30">
        <v>3000</v>
      </c>
    </row>
    <row r="114" spans="2:8" x14ac:dyDescent="0.3">
      <c r="B114" s="43">
        <v>42143</v>
      </c>
      <c r="C114" s="3" t="s">
        <v>9</v>
      </c>
      <c r="D114" s="30" t="s">
        <v>544</v>
      </c>
      <c r="E114" s="30">
        <v>122</v>
      </c>
      <c r="F114" s="30">
        <v>102</v>
      </c>
      <c r="G114" s="30">
        <v>200</v>
      </c>
      <c r="H114" s="30">
        <v>-4000</v>
      </c>
    </row>
    <row r="115" spans="2:8" x14ac:dyDescent="0.3">
      <c r="B115" s="43">
        <v>42144</v>
      </c>
      <c r="C115" s="3" t="s">
        <v>9</v>
      </c>
      <c r="D115" s="30" t="s">
        <v>554</v>
      </c>
      <c r="E115" s="30">
        <v>114</v>
      </c>
      <c r="F115" s="30">
        <v>129</v>
      </c>
      <c r="G115" s="30">
        <v>200</v>
      </c>
      <c r="H115" s="30">
        <v>3000</v>
      </c>
    </row>
    <row r="116" spans="2:8" x14ac:dyDescent="0.3">
      <c r="B116" s="43">
        <v>42145</v>
      </c>
      <c r="C116" s="3" t="s">
        <v>9</v>
      </c>
      <c r="D116" s="30" t="s">
        <v>554</v>
      </c>
      <c r="E116" s="30">
        <v>120</v>
      </c>
      <c r="F116" s="30">
        <v>145</v>
      </c>
      <c r="G116" s="30">
        <v>200</v>
      </c>
      <c r="H116" s="30">
        <v>5000</v>
      </c>
    </row>
    <row r="117" spans="2:8" x14ac:dyDescent="0.3">
      <c r="B117" s="43">
        <v>42146</v>
      </c>
      <c r="C117" s="3" t="s">
        <v>9</v>
      </c>
      <c r="D117" s="30" t="s">
        <v>551</v>
      </c>
      <c r="E117" s="30">
        <v>100</v>
      </c>
      <c r="F117" s="30">
        <v>115</v>
      </c>
      <c r="G117" s="30">
        <v>200</v>
      </c>
      <c r="H117" s="30">
        <v>3000</v>
      </c>
    </row>
    <row r="118" spans="2:8" x14ac:dyDescent="0.3">
      <c r="B118" s="43">
        <v>42149</v>
      </c>
      <c r="C118" s="3" t="s">
        <v>9</v>
      </c>
      <c r="D118" s="30" t="s">
        <v>554</v>
      </c>
      <c r="E118" s="30">
        <v>98</v>
      </c>
      <c r="F118" s="30">
        <v>133</v>
      </c>
      <c r="G118" s="30">
        <v>200</v>
      </c>
      <c r="H118" s="30">
        <v>7000</v>
      </c>
    </row>
    <row r="119" spans="2:8" ht="15.6" x14ac:dyDescent="0.3">
      <c r="B119" s="43">
        <v>42150</v>
      </c>
      <c r="C119" s="3" t="s">
        <v>9</v>
      </c>
      <c r="D119" s="30" t="s">
        <v>544</v>
      </c>
      <c r="E119" s="30">
        <v>80</v>
      </c>
      <c r="F119" s="30">
        <v>105</v>
      </c>
      <c r="G119" s="30">
        <v>200</v>
      </c>
      <c r="H119" s="62" t="s">
        <v>466</v>
      </c>
    </row>
    <row r="120" spans="2:8" ht="15.6" x14ac:dyDescent="0.3">
      <c r="B120" s="43">
        <v>42151</v>
      </c>
      <c r="C120" s="3" t="s">
        <v>9</v>
      </c>
      <c r="D120" s="30" t="s">
        <v>544</v>
      </c>
      <c r="E120" s="30">
        <v>90</v>
      </c>
      <c r="F120" s="30">
        <v>100</v>
      </c>
      <c r="G120" s="30">
        <v>200</v>
      </c>
      <c r="H120" s="62" t="s">
        <v>311</v>
      </c>
    </row>
    <row r="121" spans="2:8" ht="15.6" x14ac:dyDescent="0.3">
      <c r="B121" s="43">
        <v>42152</v>
      </c>
      <c r="C121" s="3" t="s">
        <v>9</v>
      </c>
      <c r="D121" s="28" t="s">
        <v>544</v>
      </c>
      <c r="E121" s="49" t="s">
        <v>801</v>
      </c>
      <c r="F121" s="49" t="s">
        <v>802</v>
      </c>
      <c r="G121" s="30">
        <v>200</v>
      </c>
      <c r="H121" s="62" t="s">
        <v>466</v>
      </c>
    </row>
    <row r="122" spans="2:8" x14ac:dyDescent="0.3">
      <c r="B122" s="43">
        <v>42153</v>
      </c>
      <c r="C122" s="3" t="s">
        <v>9</v>
      </c>
      <c r="D122" s="28" t="s">
        <v>551</v>
      </c>
      <c r="E122" s="49" t="s">
        <v>626</v>
      </c>
      <c r="F122" s="49" t="s">
        <v>513</v>
      </c>
      <c r="G122" s="30">
        <v>200</v>
      </c>
      <c r="H122" s="49" t="s">
        <v>390</v>
      </c>
    </row>
    <row r="123" spans="2:8" ht="15.6" x14ac:dyDescent="0.3">
      <c r="B123" s="43"/>
      <c r="C123" s="3"/>
      <c r="D123" s="28"/>
      <c r="E123" s="28"/>
      <c r="F123" s="28"/>
      <c r="G123" s="30"/>
      <c r="H123" s="63" t="s">
        <v>807</v>
      </c>
    </row>
    <row r="124" spans="2:8" ht="18" x14ac:dyDescent="0.35">
      <c r="B124" s="1"/>
      <c r="C124" s="3"/>
      <c r="D124" s="28"/>
      <c r="E124" s="28"/>
      <c r="F124" s="28"/>
      <c r="G124" s="28"/>
      <c r="H124" s="76"/>
    </row>
    <row r="125" spans="2:8" x14ac:dyDescent="0.3">
      <c r="B125" s="1"/>
      <c r="C125" s="28"/>
      <c r="D125" s="28"/>
      <c r="E125" s="28"/>
      <c r="F125" s="28"/>
      <c r="G125" s="28"/>
      <c r="H125" s="28"/>
    </row>
    <row r="126" spans="2:8" x14ac:dyDescent="0.3">
      <c r="B126" s="1"/>
      <c r="C126" s="28"/>
      <c r="D126" s="28"/>
      <c r="E126" s="28"/>
      <c r="F126" s="28"/>
      <c r="G126" s="28"/>
      <c r="H126" s="28"/>
    </row>
    <row r="127" spans="2:8" x14ac:dyDescent="0.3">
      <c r="B127" s="1"/>
      <c r="C127" s="28"/>
      <c r="D127" s="28"/>
      <c r="E127" s="28"/>
      <c r="F127" s="28"/>
      <c r="G127" s="28"/>
      <c r="H127" s="28"/>
    </row>
    <row r="128" spans="2:8" x14ac:dyDescent="0.3">
      <c r="B128" s="1"/>
      <c r="C128" s="28"/>
      <c r="D128" s="28"/>
      <c r="E128" s="28"/>
      <c r="F128" s="28"/>
      <c r="G128" s="28"/>
      <c r="H128" s="28"/>
    </row>
    <row r="129" spans="2:8" x14ac:dyDescent="0.3">
      <c r="B129" s="1"/>
      <c r="C129" s="28"/>
      <c r="D129" s="28"/>
      <c r="E129" s="28"/>
      <c r="F129" s="28"/>
      <c r="G129" s="28"/>
      <c r="H129" s="29"/>
    </row>
    <row r="130" spans="2:8" x14ac:dyDescent="0.3">
      <c r="B130" s="1"/>
    </row>
    <row r="131" spans="2:8" x14ac:dyDescent="0.3">
      <c r="B131" s="1"/>
    </row>
    <row r="132" spans="2:8" x14ac:dyDescent="0.3">
      <c r="B132" s="1"/>
    </row>
    <row r="133" spans="2:8" x14ac:dyDescent="0.3">
      <c r="B133" s="1"/>
    </row>
    <row r="134" spans="2:8" x14ac:dyDescent="0.3">
      <c r="B134" s="1"/>
    </row>
    <row r="135" spans="2:8" x14ac:dyDescent="0.3">
      <c r="B135" s="1"/>
    </row>
    <row r="136" spans="2:8" x14ac:dyDescent="0.3">
      <c r="B136" s="1"/>
    </row>
    <row r="137" spans="2:8" x14ac:dyDescent="0.3">
      <c r="B137" s="1"/>
    </row>
    <row r="138" spans="2:8" x14ac:dyDescent="0.3">
      <c r="B138" s="1"/>
    </row>
    <row r="139" spans="2:8" x14ac:dyDescent="0.3">
      <c r="B139" s="1"/>
    </row>
    <row r="140" spans="2:8" x14ac:dyDescent="0.3">
      <c r="B140" s="1"/>
    </row>
  </sheetData>
  <mergeCells count="3">
    <mergeCell ref="B1:H1"/>
    <mergeCell ref="B2:H2"/>
    <mergeCell ref="B3:H3"/>
  </mergeCells>
  <hyperlinks>
    <hyperlink ref="J2" location="'MASTER '!A1" display="Back" xr:uid="{00000000-0004-0000-1900-000000000000}"/>
  </hyperlinks>
  <pageMargins left="0.7" right="0.7" top="0.75" bottom="0.75" header="0.3" footer="0.3"/>
  <pageSetup orientation="portrait" horizontalDpi="300" verticalDpi="0" r:id="rId1"/>
  <ignoredErrors>
    <ignoredError sqref="G78:G97 E6:H8 E119:H122 E78:F78 H78 E50:H50 E42:H42 H72 H123 H98 E43 G43 F44:H44 F43 H4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136"/>
  <sheetViews>
    <sheetView topLeftCell="A19" workbookViewId="0"/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812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42156</v>
      </c>
      <c r="C6" s="2" t="s">
        <v>8</v>
      </c>
      <c r="D6" s="2" t="s">
        <v>815</v>
      </c>
      <c r="E6" s="41" t="s">
        <v>816</v>
      </c>
      <c r="F6" s="40" t="s">
        <v>817</v>
      </c>
      <c r="G6" s="5">
        <v>243</v>
      </c>
      <c r="H6" s="41" t="s">
        <v>830</v>
      </c>
      <c r="K6" s="16"/>
    </row>
    <row r="7" spans="1:14" x14ac:dyDescent="0.3">
      <c r="B7" s="43">
        <v>42157</v>
      </c>
      <c r="C7" s="2" t="s">
        <v>8</v>
      </c>
      <c r="D7" s="2" t="s">
        <v>103</v>
      </c>
      <c r="E7" s="41" t="s">
        <v>818</v>
      </c>
      <c r="F7" s="40" t="s">
        <v>819</v>
      </c>
      <c r="G7" s="5">
        <v>1118</v>
      </c>
      <c r="H7" s="41" t="s">
        <v>831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42158</v>
      </c>
      <c r="C8" s="2" t="s">
        <v>8</v>
      </c>
      <c r="D8" s="28" t="s">
        <v>814</v>
      </c>
      <c r="E8" s="30">
        <v>845</v>
      </c>
      <c r="F8" s="30">
        <v>837</v>
      </c>
      <c r="G8" s="30">
        <v>355</v>
      </c>
      <c r="H8" s="41" t="s">
        <v>832</v>
      </c>
      <c r="J8" s="16" t="s">
        <v>449</v>
      </c>
      <c r="K8" s="30">
        <v>32</v>
      </c>
      <c r="L8" s="30">
        <v>26</v>
      </c>
      <c r="M8" s="30">
        <v>6</v>
      </c>
      <c r="N8" s="30">
        <v>0</v>
      </c>
    </row>
    <row r="9" spans="1:14" x14ac:dyDescent="0.3">
      <c r="B9" s="43">
        <v>42159</v>
      </c>
      <c r="C9" s="2" t="s">
        <v>8</v>
      </c>
      <c r="D9" s="28" t="s">
        <v>813</v>
      </c>
      <c r="E9" s="30">
        <v>119.5</v>
      </c>
      <c r="F9" s="30">
        <v>119</v>
      </c>
      <c r="G9" s="30">
        <v>2510</v>
      </c>
      <c r="H9" s="41" t="s">
        <v>658</v>
      </c>
      <c r="J9" s="16" t="s">
        <v>450</v>
      </c>
      <c r="K9" s="30">
        <v>24</v>
      </c>
      <c r="L9" s="30">
        <v>19</v>
      </c>
      <c r="M9" s="30">
        <v>4</v>
      </c>
      <c r="N9" s="30">
        <v>1</v>
      </c>
    </row>
    <row r="10" spans="1:14" x14ac:dyDescent="0.3">
      <c r="B10" s="43">
        <v>42159</v>
      </c>
      <c r="C10" s="2" t="s">
        <v>8</v>
      </c>
      <c r="D10" s="28" t="s">
        <v>46</v>
      </c>
      <c r="E10" s="30">
        <v>305</v>
      </c>
      <c r="F10" s="30">
        <v>301</v>
      </c>
      <c r="G10" s="30">
        <v>983</v>
      </c>
      <c r="H10" s="30">
        <v>3932</v>
      </c>
      <c r="J10" s="16" t="s">
        <v>451</v>
      </c>
      <c r="K10" s="30">
        <v>23</v>
      </c>
      <c r="L10" s="30">
        <v>21</v>
      </c>
      <c r="M10" s="30">
        <v>2</v>
      </c>
      <c r="N10" s="30">
        <v>0</v>
      </c>
    </row>
    <row r="11" spans="1:14" x14ac:dyDescent="0.3">
      <c r="B11" s="43">
        <v>42160</v>
      </c>
      <c r="C11" s="2" t="s">
        <v>8</v>
      </c>
      <c r="D11" s="28" t="s">
        <v>99</v>
      </c>
      <c r="E11" s="30">
        <v>296</v>
      </c>
      <c r="F11" s="30">
        <v>300</v>
      </c>
      <c r="G11" s="30">
        <v>1013</v>
      </c>
      <c r="H11" s="30">
        <v>-4052</v>
      </c>
      <c r="J11" s="16" t="s">
        <v>452</v>
      </c>
      <c r="K11" s="30">
        <v>22</v>
      </c>
      <c r="L11" s="30">
        <v>18</v>
      </c>
      <c r="M11" s="30">
        <v>4</v>
      </c>
      <c r="N11" s="30">
        <v>0</v>
      </c>
    </row>
    <row r="12" spans="1:14" x14ac:dyDescent="0.3">
      <c r="B12" s="43">
        <v>42163</v>
      </c>
      <c r="C12" s="2" t="s">
        <v>8</v>
      </c>
      <c r="D12" s="28" t="s">
        <v>688</v>
      </c>
      <c r="E12" s="30">
        <v>600</v>
      </c>
      <c r="F12" s="30">
        <v>594</v>
      </c>
      <c r="G12" s="30">
        <v>500</v>
      </c>
      <c r="H12" s="30">
        <v>3000</v>
      </c>
      <c r="J12" s="16"/>
      <c r="K12" s="21">
        <v>101</v>
      </c>
      <c r="L12" s="21">
        <v>84</v>
      </c>
      <c r="M12" s="21">
        <v>16</v>
      </c>
      <c r="N12" s="21">
        <v>1</v>
      </c>
    </row>
    <row r="13" spans="1:14" x14ac:dyDescent="0.3">
      <c r="B13" s="43">
        <v>42164</v>
      </c>
      <c r="C13" s="2" t="s">
        <v>8</v>
      </c>
      <c r="D13" s="28" t="s">
        <v>395</v>
      </c>
      <c r="E13" s="30">
        <v>3370</v>
      </c>
      <c r="F13" s="30">
        <v>3315</v>
      </c>
      <c r="G13" s="30">
        <v>90</v>
      </c>
      <c r="H13" s="30">
        <v>4950</v>
      </c>
      <c r="K13" s="16"/>
    </row>
    <row r="14" spans="1:14" x14ac:dyDescent="0.3">
      <c r="B14" s="43">
        <v>42165</v>
      </c>
      <c r="C14" s="30" t="s">
        <v>8</v>
      </c>
      <c r="D14" s="30" t="s">
        <v>689</v>
      </c>
      <c r="E14" s="30">
        <v>165.5</v>
      </c>
      <c r="F14" s="30">
        <v>169</v>
      </c>
      <c r="G14" s="30">
        <v>1812</v>
      </c>
      <c r="H14" s="30">
        <v>-6342</v>
      </c>
      <c r="K14" s="68" t="s">
        <v>839</v>
      </c>
      <c r="L14" s="69"/>
      <c r="M14" s="70"/>
    </row>
    <row r="15" spans="1:14" x14ac:dyDescent="0.3">
      <c r="B15" s="43">
        <v>42166</v>
      </c>
      <c r="C15" s="30" t="s">
        <v>8</v>
      </c>
      <c r="D15" s="30" t="s">
        <v>25</v>
      </c>
      <c r="E15" s="30">
        <v>303</v>
      </c>
      <c r="F15" s="30">
        <v>299</v>
      </c>
      <c r="G15" s="30">
        <v>990</v>
      </c>
      <c r="H15" s="30">
        <v>390</v>
      </c>
      <c r="K15" s="16"/>
    </row>
    <row r="16" spans="1:14" x14ac:dyDescent="0.3">
      <c r="B16" s="43">
        <v>42167</v>
      </c>
      <c r="C16" s="2" t="s">
        <v>8</v>
      </c>
      <c r="D16" s="28" t="s">
        <v>25</v>
      </c>
      <c r="E16" s="30">
        <v>299</v>
      </c>
      <c r="F16" s="30">
        <v>296</v>
      </c>
      <c r="G16" s="30">
        <v>1003</v>
      </c>
      <c r="H16" s="30">
        <v>3009</v>
      </c>
      <c r="K16" s="28"/>
      <c r="L16" s="30"/>
      <c r="M16" s="30"/>
      <c r="N16" s="30"/>
    </row>
    <row r="17" spans="2:14" x14ac:dyDescent="0.3">
      <c r="B17" s="43">
        <v>42170</v>
      </c>
      <c r="C17" s="2" t="s">
        <v>8</v>
      </c>
      <c r="D17" s="28" t="s">
        <v>833</v>
      </c>
      <c r="E17" s="30">
        <v>142</v>
      </c>
      <c r="F17" s="30">
        <v>140.9</v>
      </c>
      <c r="G17" s="30">
        <v>2112</v>
      </c>
      <c r="H17" s="30">
        <v>2323</v>
      </c>
      <c r="K17" s="49"/>
      <c r="L17" s="30"/>
      <c r="M17" s="30"/>
      <c r="N17" s="30"/>
    </row>
    <row r="18" spans="2:14" x14ac:dyDescent="0.3">
      <c r="B18" s="43">
        <v>42171</v>
      </c>
      <c r="C18" s="2" t="s">
        <v>11</v>
      </c>
      <c r="D18" s="28" t="s">
        <v>168</v>
      </c>
      <c r="E18" s="30">
        <v>267</v>
      </c>
      <c r="F18" s="30">
        <v>272</v>
      </c>
      <c r="G18" s="30">
        <v>1123</v>
      </c>
      <c r="H18" s="30">
        <v>5615</v>
      </c>
      <c r="K18" s="49"/>
      <c r="L18" s="30"/>
      <c r="M18" s="30"/>
      <c r="N18" s="30"/>
    </row>
    <row r="19" spans="2:14" x14ac:dyDescent="0.3">
      <c r="B19" s="43">
        <v>42171</v>
      </c>
      <c r="C19" s="2" t="s">
        <v>8</v>
      </c>
      <c r="D19" s="28" t="s">
        <v>37</v>
      </c>
      <c r="E19" s="30">
        <v>114.5</v>
      </c>
      <c r="F19" s="30">
        <v>113.5</v>
      </c>
      <c r="G19" s="30">
        <v>2620</v>
      </c>
      <c r="H19" s="30">
        <v>2620</v>
      </c>
      <c r="K19" s="49"/>
      <c r="L19" s="30"/>
      <c r="M19" s="30"/>
      <c r="N19" s="30"/>
    </row>
    <row r="20" spans="2:14" x14ac:dyDescent="0.3">
      <c r="B20" s="43">
        <v>42172</v>
      </c>
      <c r="C20" s="2" t="s">
        <v>9</v>
      </c>
      <c r="D20" s="28" t="s">
        <v>403</v>
      </c>
      <c r="E20" s="30">
        <v>1790</v>
      </c>
      <c r="F20" s="30">
        <v>1815</v>
      </c>
      <c r="G20" s="30">
        <v>167</v>
      </c>
      <c r="H20" s="30">
        <v>4175</v>
      </c>
      <c r="K20" s="49"/>
      <c r="L20" s="30"/>
      <c r="M20" s="30"/>
      <c r="N20" s="30"/>
    </row>
    <row r="21" spans="2:14" x14ac:dyDescent="0.3">
      <c r="B21" s="43">
        <v>42172</v>
      </c>
      <c r="C21" s="2" t="s">
        <v>8</v>
      </c>
      <c r="D21" s="28" t="s">
        <v>117</v>
      </c>
      <c r="E21" s="30">
        <v>217</v>
      </c>
      <c r="F21" s="30">
        <v>221</v>
      </c>
      <c r="G21" s="30">
        <v>1382</v>
      </c>
      <c r="H21" s="30">
        <v>-5528</v>
      </c>
      <c r="K21" s="49"/>
      <c r="L21" s="30"/>
      <c r="M21" s="30"/>
      <c r="N21" s="30"/>
    </row>
    <row r="22" spans="2:14" x14ac:dyDescent="0.3">
      <c r="B22" s="43">
        <v>42173</v>
      </c>
      <c r="C22" s="2" t="s">
        <v>9</v>
      </c>
      <c r="D22" s="28" t="s">
        <v>84</v>
      </c>
      <c r="E22" s="30">
        <v>3830</v>
      </c>
      <c r="F22" s="30">
        <v>3890</v>
      </c>
      <c r="G22" s="30">
        <v>79</v>
      </c>
      <c r="H22" s="30">
        <v>4740</v>
      </c>
      <c r="K22" s="49"/>
      <c r="L22" s="30"/>
      <c r="M22" s="30"/>
      <c r="N22" s="30"/>
    </row>
    <row r="23" spans="2:14" x14ac:dyDescent="0.3">
      <c r="B23" s="43">
        <v>42173</v>
      </c>
      <c r="C23" s="2" t="s">
        <v>8</v>
      </c>
      <c r="D23" s="28" t="s">
        <v>34</v>
      </c>
      <c r="E23" s="30">
        <v>179</v>
      </c>
      <c r="F23" s="30">
        <v>177.8</v>
      </c>
      <c r="G23" s="30">
        <v>1675</v>
      </c>
      <c r="H23" s="30">
        <v>2010</v>
      </c>
      <c r="K23" s="16"/>
    </row>
    <row r="24" spans="2:14" x14ac:dyDescent="0.3">
      <c r="B24" s="43">
        <v>42174</v>
      </c>
      <c r="C24" s="2" t="s">
        <v>8</v>
      </c>
      <c r="D24" s="28" t="s">
        <v>112</v>
      </c>
      <c r="E24" s="30">
        <v>344</v>
      </c>
      <c r="F24" s="30">
        <v>339</v>
      </c>
      <c r="G24" s="30">
        <v>872</v>
      </c>
      <c r="H24" s="30">
        <v>4360</v>
      </c>
      <c r="K24" s="16"/>
    </row>
    <row r="25" spans="2:14" x14ac:dyDescent="0.3">
      <c r="B25" s="43">
        <v>42174</v>
      </c>
      <c r="C25" s="2" t="s">
        <v>9</v>
      </c>
      <c r="D25" s="28" t="s">
        <v>403</v>
      </c>
      <c r="E25" s="30">
        <v>1855</v>
      </c>
      <c r="F25" s="30">
        <v>1870</v>
      </c>
      <c r="G25" s="30">
        <v>161</v>
      </c>
      <c r="H25" s="30">
        <v>2415</v>
      </c>
      <c r="K25" s="41"/>
    </row>
    <row r="26" spans="2:14" x14ac:dyDescent="0.3">
      <c r="B26" s="43">
        <v>42177</v>
      </c>
      <c r="C26" s="2" t="s">
        <v>8</v>
      </c>
      <c r="D26" s="28" t="s">
        <v>173</v>
      </c>
      <c r="E26" s="30">
        <v>738</v>
      </c>
      <c r="F26" s="30">
        <v>733</v>
      </c>
      <c r="G26" s="30">
        <v>406</v>
      </c>
      <c r="H26" s="30">
        <v>2030</v>
      </c>
      <c r="K26" s="41"/>
    </row>
    <row r="27" spans="2:14" x14ac:dyDescent="0.3">
      <c r="B27" s="43">
        <v>42177</v>
      </c>
      <c r="C27" s="2" t="s">
        <v>9</v>
      </c>
      <c r="D27" s="28" t="s">
        <v>22</v>
      </c>
      <c r="E27" s="30">
        <v>150</v>
      </c>
      <c r="F27" s="30">
        <v>155</v>
      </c>
      <c r="G27" s="30">
        <v>2000</v>
      </c>
      <c r="H27" s="30">
        <v>10000</v>
      </c>
      <c r="L27" s="30"/>
    </row>
    <row r="28" spans="2:14" x14ac:dyDescent="0.3">
      <c r="B28" s="43">
        <v>42178</v>
      </c>
      <c r="C28" s="2" t="s">
        <v>8</v>
      </c>
      <c r="D28" s="28" t="s">
        <v>188</v>
      </c>
      <c r="E28" s="30">
        <v>143</v>
      </c>
      <c r="F28" s="30">
        <v>141</v>
      </c>
      <c r="G28" s="30">
        <v>2097</v>
      </c>
      <c r="H28" s="30">
        <v>4194</v>
      </c>
      <c r="L28" s="30"/>
    </row>
    <row r="29" spans="2:14" x14ac:dyDescent="0.3">
      <c r="B29" s="43">
        <v>42179</v>
      </c>
      <c r="C29" s="2" t="s">
        <v>11</v>
      </c>
      <c r="D29" s="28" t="s">
        <v>137</v>
      </c>
      <c r="E29" s="30">
        <v>887</v>
      </c>
      <c r="F29" s="30">
        <v>906</v>
      </c>
      <c r="G29" s="30">
        <v>338</v>
      </c>
      <c r="H29" s="30">
        <v>6422</v>
      </c>
      <c r="L29" s="30"/>
    </row>
    <row r="30" spans="2:14" x14ac:dyDescent="0.3">
      <c r="B30" s="43">
        <v>42179</v>
      </c>
      <c r="C30" s="2" t="s">
        <v>8</v>
      </c>
      <c r="D30" s="28" t="s">
        <v>188</v>
      </c>
      <c r="E30" s="30">
        <v>143</v>
      </c>
      <c r="F30" s="30">
        <v>146</v>
      </c>
      <c r="G30" s="30">
        <v>2097</v>
      </c>
      <c r="H30" s="30">
        <v>-6291</v>
      </c>
      <c r="L30" s="30"/>
    </row>
    <row r="31" spans="2:14" x14ac:dyDescent="0.3">
      <c r="B31" s="43">
        <v>42180</v>
      </c>
      <c r="C31" s="2" t="s">
        <v>8</v>
      </c>
      <c r="D31" s="28" t="s">
        <v>837</v>
      </c>
      <c r="E31" s="30">
        <v>880</v>
      </c>
      <c r="F31" s="30">
        <v>862</v>
      </c>
      <c r="G31" s="30">
        <v>340</v>
      </c>
      <c r="H31" s="30">
        <v>6120</v>
      </c>
      <c r="L31" s="30"/>
    </row>
    <row r="32" spans="2:14" x14ac:dyDescent="0.3">
      <c r="B32" s="43">
        <v>42181</v>
      </c>
      <c r="C32" s="2" t="s">
        <v>8</v>
      </c>
      <c r="D32" s="28" t="s">
        <v>496</v>
      </c>
      <c r="E32" s="30">
        <v>447</v>
      </c>
      <c r="F32" s="30">
        <v>445</v>
      </c>
      <c r="G32" s="30">
        <v>671</v>
      </c>
      <c r="H32" s="30">
        <v>1342</v>
      </c>
      <c r="L32" s="30"/>
    </row>
    <row r="33" spans="2:12" x14ac:dyDescent="0.3">
      <c r="B33" s="43">
        <v>42181</v>
      </c>
      <c r="C33" s="2" t="s">
        <v>8</v>
      </c>
      <c r="D33" s="28" t="s">
        <v>94</v>
      </c>
      <c r="E33" s="30">
        <v>1060</v>
      </c>
      <c r="F33" s="30">
        <v>1052</v>
      </c>
      <c r="G33" s="30">
        <v>283</v>
      </c>
      <c r="H33" s="30">
        <v>2264</v>
      </c>
      <c r="L33" s="30"/>
    </row>
    <row r="34" spans="2:12" x14ac:dyDescent="0.3">
      <c r="B34" s="43">
        <v>42184</v>
      </c>
      <c r="C34" s="2" t="s">
        <v>8</v>
      </c>
      <c r="D34" s="28" t="s">
        <v>94</v>
      </c>
      <c r="E34" s="30">
        <v>1035</v>
      </c>
      <c r="F34" s="30">
        <v>1046</v>
      </c>
      <c r="G34" s="30">
        <v>289</v>
      </c>
      <c r="H34" s="30">
        <v>-3179</v>
      </c>
      <c r="L34" s="30"/>
    </row>
    <row r="35" spans="2:12" x14ac:dyDescent="0.3">
      <c r="B35" s="43">
        <v>42185</v>
      </c>
      <c r="C35" s="30" t="s">
        <v>8</v>
      </c>
      <c r="D35" s="30" t="s">
        <v>46</v>
      </c>
      <c r="E35" s="30">
        <v>308</v>
      </c>
      <c r="F35" s="30">
        <v>309</v>
      </c>
      <c r="G35" s="30">
        <v>974</v>
      </c>
      <c r="H35" s="30">
        <v>-974</v>
      </c>
      <c r="L35" s="30"/>
    </row>
    <row r="36" spans="2:12" x14ac:dyDescent="0.3">
      <c r="B36" s="43">
        <v>42185</v>
      </c>
      <c r="C36" s="30" t="s">
        <v>9</v>
      </c>
      <c r="D36" s="30" t="s">
        <v>137</v>
      </c>
      <c r="E36" s="30">
        <v>910</v>
      </c>
      <c r="F36" s="30">
        <v>920</v>
      </c>
      <c r="G36" s="30">
        <v>329</v>
      </c>
      <c r="H36" s="30">
        <v>3290</v>
      </c>
      <c r="L36" s="30"/>
    </row>
    <row r="37" spans="2:12" x14ac:dyDescent="0.3">
      <c r="B37" s="43">
        <v>42185</v>
      </c>
      <c r="C37" s="28" t="s">
        <v>9</v>
      </c>
      <c r="D37" s="28" t="s">
        <v>137</v>
      </c>
      <c r="E37" s="78">
        <v>915</v>
      </c>
      <c r="F37" s="78">
        <v>922</v>
      </c>
      <c r="G37" s="78">
        <v>327</v>
      </c>
      <c r="H37" s="30">
        <v>2289</v>
      </c>
    </row>
    <row r="38" spans="2:12" ht="18" x14ac:dyDescent="0.35">
      <c r="B38" s="43"/>
      <c r="C38" s="28"/>
      <c r="D38" s="28"/>
      <c r="E38" s="78"/>
      <c r="F38" s="78"/>
      <c r="G38" s="78"/>
      <c r="H38" s="80">
        <v>65003</v>
      </c>
    </row>
    <row r="39" spans="2:12" ht="15.6" x14ac:dyDescent="0.3">
      <c r="B39" s="43"/>
      <c r="C39" s="28"/>
      <c r="D39" s="28"/>
      <c r="E39" s="78"/>
      <c r="F39" s="78"/>
      <c r="G39" s="78"/>
      <c r="H39" s="79"/>
    </row>
    <row r="40" spans="2:12" ht="15.6" x14ac:dyDescent="0.3">
      <c r="B40" s="43"/>
      <c r="C40" s="28"/>
      <c r="D40" s="28"/>
      <c r="E40" s="78"/>
      <c r="F40" s="78"/>
      <c r="G40" s="78"/>
      <c r="H40" s="79"/>
    </row>
    <row r="42" spans="2:12" ht="15.6" x14ac:dyDescent="0.3">
      <c r="B42" s="48" t="s">
        <v>62</v>
      </c>
      <c r="C42" s="48"/>
      <c r="D42" s="48"/>
      <c r="E42" s="48"/>
      <c r="F42" s="48"/>
      <c r="G42" s="48"/>
      <c r="H42" s="48"/>
    </row>
    <row r="43" spans="2:12" x14ac:dyDescent="0.3">
      <c r="B43" s="43">
        <v>42156</v>
      </c>
      <c r="C43" s="2" t="s">
        <v>8</v>
      </c>
      <c r="D43" s="2" t="s">
        <v>502</v>
      </c>
      <c r="E43" s="41" t="s">
        <v>820</v>
      </c>
      <c r="F43" s="40" t="s">
        <v>821</v>
      </c>
      <c r="G43" s="5">
        <v>500</v>
      </c>
      <c r="H43" s="40" t="s">
        <v>728</v>
      </c>
      <c r="J43" s="1"/>
    </row>
    <row r="44" spans="2:12" x14ac:dyDescent="0.3">
      <c r="B44" s="43">
        <v>42157</v>
      </c>
      <c r="C44" s="30" t="s">
        <v>8</v>
      </c>
      <c r="D44" s="30" t="s">
        <v>822</v>
      </c>
      <c r="E44" s="30">
        <v>903</v>
      </c>
      <c r="F44" s="30">
        <v>878</v>
      </c>
      <c r="G44" s="30">
        <v>500</v>
      </c>
      <c r="H44" s="30">
        <v>7500</v>
      </c>
      <c r="J44" s="1"/>
    </row>
    <row r="45" spans="2:12" x14ac:dyDescent="0.3">
      <c r="B45" s="43">
        <v>42158</v>
      </c>
      <c r="C45" s="30" t="s">
        <v>8</v>
      </c>
      <c r="D45" s="30" t="s">
        <v>173</v>
      </c>
      <c r="E45" s="30">
        <v>752</v>
      </c>
      <c r="F45" s="30">
        <v>761</v>
      </c>
      <c r="G45" s="30">
        <v>500</v>
      </c>
      <c r="H45" s="30">
        <v>-4500</v>
      </c>
      <c r="J45" s="1"/>
    </row>
    <row r="46" spans="2:12" x14ac:dyDescent="0.3">
      <c r="B46" s="43">
        <v>42159</v>
      </c>
      <c r="C46" s="30" t="s">
        <v>8</v>
      </c>
      <c r="D46" s="30" t="s">
        <v>828</v>
      </c>
      <c r="E46" s="30">
        <v>720</v>
      </c>
      <c r="F46" s="30">
        <v>702</v>
      </c>
      <c r="G46" s="30">
        <v>500</v>
      </c>
      <c r="H46" s="30">
        <v>9000</v>
      </c>
      <c r="J46" s="1"/>
    </row>
    <row r="47" spans="2:12" x14ac:dyDescent="0.3">
      <c r="B47" s="43">
        <v>42160</v>
      </c>
      <c r="C47" s="30" t="s">
        <v>8</v>
      </c>
      <c r="D47" s="30" t="s">
        <v>46</v>
      </c>
      <c r="E47" s="30">
        <v>300</v>
      </c>
      <c r="F47" s="30">
        <v>306</v>
      </c>
      <c r="G47" s="30">
        <v>500</v>
      </c>
      <c r="H47" s="30">
        <v>-3000</v>
      </c>
      <c r="J47" s="1"/>
    </row>
    <row r="48" spans="2:12" x14ac:dyDescent="0.3">
      <c r="B48" s="43">
        <v>42163</v>
      </c>
      <c r="C48" s="30" t="s">
        <v>8</v>
      </c>
      <c r="D48" s="30" t="s">
        <v>829</v>
      </c>
      <c r="E48" s="30">
        <v>182</v>
      </c>
      <c r="F48" s="30">
        <v>180.5</v>
      </c>
      <c r="G48" s="30">
        <v>2000</v>
      </c>
      <c r="H48" s="30">
        <v>3000</v>
      </c>
      <c r="J48" s="1"/>
    </row>
    <row r="49" spans="2:10" x14ac:dyDescent="0.3">
      <c r="B49" s="43">
        <v>42163</v>
      </c>
      <c r="C49" s="30" t="s">
        <v>8</v>
      </c>
      <c r="D49" s="30" t="s">
        <v>422</v>
      </c>
      <c r="E49" s="30">
        <v>400</v>
      </c>
      <c r="F49" s="30">
        <v>397</v>
      </c>
      <c r="G49" s="30">
        <v>500</v>
      </c>
      <c r="H49" s="30">
        <v>1500</v>
      </c>
      <c r="J49" s="46"/>
    </row>
    <row r="50" spans="2:10" x14ac:dyDescent="0.3">
      <c r="B50" s="43">
        <v>42164</v>
      </c>
      <c r="C50" s="30" t="s">
        <v>8</v>
      </c>
      <c r="D50" s="30" t="s">
        <v>108</v>
      </c>
      <c r="E50" s="30">
        <v>844</v>
      </c>
      <c r="F50" s="30">
        <v>854</v>
      </c>
      <c r="G50" s="30">
        <v>500</v>
      </c>
      <c r="H50" s="30">
        <v>-4500</v>
      </c>
      <c r="J50" s="46"/>
    </row>
    <row r="51" spans="2:10" x14ac:dyDescent="0.3">
      <c r="B51" s="43">
        <v>42165</v>
      </c>
      <c r="C51" s="30" t="s">
        <v>8</v>
      </c>
      <c r="D51" s="30" t="s">
        <v>834</v>
      </c>
      <c r="E51" s="30">
        <v>181</v>
      </c>
      <c r="F51" s="30">
        <v>185</v>
      </c>
      <c r="G51" s="30">
        <v>1000</v>
      </c>
      <c r="H51" s="30">
        <v>-4000</v>
      </c>
      <c r="J51" s="46"/>
    </row>
    <row r="52" spans="2:10" x14ac:dyDescent="0.3">
      <c r="B52" s="43">
        <v>42166</v>
      </c>
      <c r="C52" s="30" t="s">
        <v>8</v>
      </c>
      <c r="D52" s="30" t="s">
        <v>192</v>
      </c>
      <c r="E52" s="30">
        <v>293</v>
      </c>
      <c r="F52" s="30">
        <v>286</v>
      </c>
      <c r="G52" s="30">
        <v>1000</v>
      </c>
      <c r="H52" s="30">
        <v>7000</v>
      </c>
      <c r="J52" s="46"/>
    </row>
    <row r="53" spans="2:10" x14ac:dyDescent="0.3">
      <c r="B53" s="43">
        <v>42167</v>
      </c>
      <c r="C53" s="30" t="s">
        <v>8</v>
      </c>
      <c r="D53" s="30" t="s">
        <v>192</v>
      </c>
      <c r="E53" s="30">
        <v>283</v>
      </c>
      <c r="F53" s="30">
        <v>287</v>
      </c>
      <c r="G53" s="30">
        <v>1000</v>
      </c>
      <c r="H53" s="30">
        <v>-4000</v>
      </c>
      <c r="J53" s="46"/>
    </row>
    <row r="54" spans="2:10" x14ac:dyDescent="0.3">
      <c r="B54" s="43">
        <v>42170</v>
      </c>
      <c r="C54" s="30" t="s">
        <v>8</v>
      </c>
      <c r="D54" s="30" t="s">
        <v>431</v>
      </c>
      <c r="E54" s="30">
        <v>265</v>
      </c>
      <c r="F54" s="30">
        <v>264</v>
      </c>
      <c r="G54" s="30">
        <v>1000</v>
      </c>
      <c r="H54" s="30">
        <v>1000</v>
      </c>
      <c r="J54" s="46"/>
    </row>
    <row r="55" spans="2:10" x14ac:dyDescent="0.3">
      <c r="B55" s="43">
        <v>42171</v>
      </c>
      <c r="C55" s="30" t="s">
        <v>8</v>
      </c>
      <c r="D55" s="30" t="s">
        <v>159</v>
      </c>
      <c r="E55" s="30">
        <v>255</v>
      </c>
      <c r="F55" s="30">
        <v>253</v>
      </c>
      <c r="G55" s="30">
        <v>1000</v>
      </c>
      <c r="H55" s="30">
        <v>2000</v>
      </c>
      <c r="J55" s="46"/>
    </row>
    <row r="56" spans="2:10" x14ac:dyDescent="0.3">
      <c r="B56" s="43">
        <v>42172</v>
      </c>
      <c r="C56" s="30" t="s">
        <v>8</v>
      </c>
      <c r="D56" s="30" t="s">
        <v>34</v>
      </c>
      <c r="E56" s="30">
        <v>181</v>
      </c>
      <c r="F56" s="30">
        <v>179</v>
      </c>
      <c r="G56" s="30">
        <v>1000</v>
      </c>
      <c r="H56" s="30">
        <v>3000</v>
      </c>
      <c r="J56" s="47"/>
    </row>
    <row r="57" spans="2:10" x14ac:dyDescent="0.3">
      <c r="B57" s="43">
        <v>42173</v>
      </c>
      <c r="C57" s="30" t="s">
        <v>9</v>
      </c>
      <c r="D57" s="30" t="s">
        <v>94</v>
      </c>
      <c r="E57" s="30">
        <v>1012</v>
      </c>
      <c r="F57" s="30">
        <v>1022</v>
      </c>
      <c r="G57" s="30">
        <v>250</v>
      </c>
      <c r="H57" s="30">
        <v>2500</v>
      </c>
      <c r="J57" s="46"/>
    </row>
    <row r="58" spans="2:10" x14ac:dyDescent="0.3">
      <c r="B58" s="43">
        <v>42174</v>
      </c>
      <c r="C58" s="30" t="s">
        <v>8</v>
      </c>
      <c r="D58" s="30" t="s">
        <v>112</v>
      </c>
      <c r="E58" s="30">
        <v>345</v>
      </c>
      <c r="F58" s="30">
        <v>339</v>
      </c>
      <c r="G58" s="30">
        <v>1000</v>
      </c>
      <c r="H58" s="30">
        <v>6000</v>
      </c>
      <c r="J58" s="46"/>
    </row>
    <row r="59" spans="2:10" x14ac:dyDescent="0.3">
      <c r="B59" s="43">
        <v>42177</v>
      </c>
      <c r="C59" s="30" t="s">
        <v>8</v>
      </c>
      <c r="D59" s="30" t="s">
        <v>795</v>
      </c>
      <c r="E59" s="30">
        <v>1960</v>
      </c>
      <c r="F59" s="30">
        <v>1960</v>
      </c>
      <c r="G59" s="30">
        <v>125</v>
      </c>
      <c r="H59" s="30">
        <v>0</v>
      </c>
      <c r="J59" s="46"/>
    </row>
    <row r="60" spans="2:10" x14ac:dyDescent="0.3">
      <c r="B60" s="43">
        <v>42178</v>
      </c>
      <c r="C60" s="30" t="s">
        <v>9</v>
      </c>
      <c r="D60" s="30" t="s">
        <v>290</v>
      </c>
      <c r="E60" s="30">
        <v>263</v>
      </c>
      <c r="F60" s="30">
        <v>266</v>
      </c>
      <c r="G60" s="30">
        <v>1000</v>
      </c>
      <c r="H60" s="30">
        <v>3000</v>
      </c>
    </row>
    <row r="61" spans="2:10" x14ac:dyDescent="0.3">
      <c r="B61" s="43">
        <v>42179</v>
      </c>
      <c r="C61" s="30" t="s">
        <v>9</v>
      </c>
      <c r="D61" s="30" t="s">
        <v>137</v>
      </c>
      <c r="E61" s="30">
        <v>889</v>
      </c>
      <c r="F61" s="30">
        <v>900</v>
      </c>
      <c r="G61" s="30">
        <v>500</v>
      </c>
      <c r="H61" s="30">
        <v>5500</v>
      </c>
    </row>
    <row r="62" spans="2:10" x14ac:dyDescent="0.3">
      <c r="B62" s="43">
        <v>42180</v>
      </c>
      <c r="C62" s="30" t="s">
        <v>8</v>
      </c>
      <c r="D62" s="30" t="s">
        <v>168</v>
      </c>
      <c r="E62" s="30">
        <v>283</v>
      </c>
      <c r="F62" s="30">
        <v>278.5</v>
      </c>
      <c r="G62" s="30">
        <v>1000</v>
      </c>
      <c r="H62" s="30">
        <v>4500</v>
      </c>
    </row>
    <row r="63" spans="2:10" x14ac:dyDescent="0.3">
      <c r="B63" s="43">
        <v>42181</v>
      </c>
      <c r="C63" s="30" t="s">
        <v>8</v>
      </c>
      <c r="D63" s="30" t="s">
        <v>108</v>
      </c>
      <c r="E63" s="30">
        <v>977</v>
      </c>
      <c r="F63" s="30">
        <v>988</v>
      </c>
      <c r="G63" s="30">
        <v>250</v>
      </c>
      <c r="H63" s="30">
        <v>2750</v>
      </c>
    </row>
    <row r="64" spans="2:10" x14ac:dyDescent="0.3">
      <c r="B64" s="43">
        <v>42181</v>
      </c>
      <c r="C64" s="30" t="s">
        <v>8</v>
      </c>
      <c r="D64" s="30" t="s">
        <v>552</v>
      </c>
      <c r="E64" s="30">
        <v>850</v>
      </c>
      <c r="F64" s="30">
        <v>841</v>
      </c>
      <c r="G64" s="30">
        <v>500</v>
      </c>
      <c r="H64" s="30">
        <v>4500</v>
      </c>
    </row>
    <row r="65" spans="2:8" x14ac:dyDescent="0.3">
      <c r="B65" s="43">
        <v>42184</v>
      </c>
      <c r="C65" s="30" t="s">
        <v>8</v>
      </c>
      <c r="D65" s="30" t="s">
        <v>791</v>
      </c>
      <c r="E65" s="30">
        <v>169</v>
      </c>
      <c r="F65" s="30">
        <v>166</v>
      </c>
      <c r="G65" s="30">
        <v>1000</v>
      </c>
      <c r="H65" s="30">
        <v>3000</v>
      </c>
    </row>
    <row r="66" spans="2:8" ht="15.6" x14ac:dyDescent="0.3">
      <c r="B66" s="43">
        <v>42185</v>
      </c>
      <c r="C66" s="30" t="s">
        <v>8</v>
      </c>
      <c r="D66" s="30" t="s">
        <v>798</v>
      </c>
      <c r="E66" s="30">
        <v>447</v>
      </c>
      <c r="F66" s="30">
        <v>448</v>
      </c>
      <c r="G66" s="30">
        <v>500</v>
      </c>
      <c r="H66" s="77">
        <v>-500</v>
      </c>
    </row>
    <row r="67" spans="2:8" ht="18" x14ac:dyDescent="0.35">
      <c r="B67" s="43"/>
      <c r="C67" s="30"/>
      <c r="D67" s="30"/>
      <c r="E67" s="30"/>
      <c r="F67" s="30"/>
      <c r="G67" s="30"/>
      <c r="H67" s="80">
        <v>46250</v>
      </c>
    </row>
    <row r="68" spans="2:8" x14ac:dyDescent="0.3">
      <c r="B68" s="43"/>
      <c r="C68" s="30"/>
      <c r="D68" s="30"/>
      <c r="E68" s="30"/>
      <c r="F68" s="30"/>
      <c r="G68" s="30"/>
      <c r="H68" s="30"/>
    </row>
    <row r="69" spans="2:8" ht="15.6" x14ac:dyDescent="0.3">
      <c r="B69" s="43"/>
      <c r="C69" s="30"/>
      <c r="D69" s="30"/>
      <c r="E69" s="30"/>
      <c r="F69" s="30"/>
      <c r="G69" s="30"/>
      <c r="H69" s="63"/>
    </row>
    <row r="70" spans="2:8" ht="18" x14ac:dyDescent="0.35">
      <c r="B70" s="43"/>
      <c r="C70" s="30"/>
      <c r="D70" s="30"/>
      <c r="E70" s="30"/>
      <c r="F70" s="30"/>
      <c r="G70" s="30"/>
      <c r="H70" s="76"/>
    </row>
    <row r="71" spans="2:8" ht="15.6" x14ac:dyDescent="0.3">
      <c r="B71" s="43"/>
      <c r="C71" s="30"/>
      <c r="D71" s="30"/>
      <c r="E71" s="30"/>
      <c r="F71" s="30"/>
      <c r="G71" s="30"/>
      <c r="H71" s="33"/>
    </row>
    <row r="72" spans="2:8" ht="15.6" x14ac:dyDescent="0.3">
      <c r="B72" s="48" t="s">
        <v>571</v>
      </c>
      <c r="C72" s="48"/>
      <c r="D72" s="48"/>
      <c r="E72" s="48"/>
      <c r="F72" s="48"/>
      <c r="G72" s="48"/>
      <c r="H72" s="48"/>
    </row>
    <row r="73" spans="2:8" x14ac:dyDescent="0.3">
      <c r="B73" s="43">
        <v>42156</v>
      </c>
      <c r="C73" s="2" t="s">
        <v>9</v>
      </c>
      <c r="D73" s="2" t="s">
        <v>39</v>
      </c>
      <c r="E73" s="41" t="s">
        <v>823</v>
      </c>
      <c r="F73" s="40" t="s">
        <v>824</v>
      </c>
      <c r="G73" s="41" t="s">
        <v>217</v>
      </c>
      <c r="H73" s="41" t="s">
        <v>245</v>
      </c>
    </row>
    <row r="74" spans="2:8" x14ac:dyDescent="0.3">
      <c r="B74" s="43">
        <v>42157</v>
      </c>
      <c r="C74" s="30" t="s">
        <v>8</v>
      </c>
      <c r="D74" s="2" t="s">
        <v>39</v>
      </c>
      <c r="E74" s="2">
        <v>8395</v>
      </c>
      <c r="F74" s="30">
        <v>8335</v>
      </c>
      <c r="G74" s="41" t="s">
        <v>217</v>
      </c>
      <c r="H74" s="30">
        <v>6000</v>
      </c>
    </row>
    <row r="75" spans="2:8" x14ac:dyDescent="0.3">
      <c r="B75" s="43">
        <v>42158</v>
      </c>
      <c r="C75" s="30" t="s">
        <v>8</v>
      </c>
      <c r="D75" s="2" t="s">
        <v>39</v>
      </c>
      <c r="E75" s="2">
        <v>8190</v>
      </c>
      <c r="F75" s="30">
        <v>8120</v>
      </c>
      <c r="G75" s="41" t="s">
        <v>217</v>
      </c>
      <c r="H75" s="30">
        <v>7000</v>
      </c>
    </row>
    <row r="76" spans="2:8" x14ac:dyDescent="0.3">
      <c r="B76" s="43">
        <v>42158</v>
      </c>
      <c r="C76" s="30" t="s">
        <v>8</v>
      </c>
      <c r="D76" s="2" t="s">
        <v>827</v>
      </c>
      <c r="E76" s="30">
        <v>8125</v>
      </c>
      <c r="F76" s="30">
        <v>8100</v>
      </c>
      <c r="G76" s="30">
        <v>100</v>
      </c>
      <c r="H76" s="30">
        <v>2500</v>
      </c>
    </row>
    <row r="77" spans="2:8" x14ac:dyDescent="0.3">
      <c r="B77" s="43">
        <v>42159</v>
      </c>
      <c r="C77" s="30" t="s">
        <v>8</v>
      </c>
      <c r="D77" s="2" t="s">
        <v>39</v>
      </c>
      <c r="E77" s="30">
        <v>8135</v>
      </c>
      <c r="F77" s="30">
        <v>8070</v>
      </c>
      <c r="G77" s="30">
        <v>100</v>
      </c>
      <c r="H77" s="30">
        <v>6500</v>
      </c>
    </row>
    <row r="78" spans="2:8" x14ac:dyDescent="0.3">
      <c r="B78" s="43">
        <v>42160</v>
      </c>
      <c r="C78" s="30" t="s">
        <v>8</v>
      </c>
      <c r="D78" s="2" t="s">
        <v>39</v>
      </c>
      <c r="E78" s="30">
        <v>8130</v>
      </c>
      <c r="F78" s="30">
        <v>8105</v>
      </c>
      <c r="G78" s="30">
        <v>100</v>
      </c>
      <c r="H78" s="30">
        <v>2500</v>
      </c>
    </row>
    <row r="79" spans="2:8" x14ac:dyDescent="0.3">
      <c r="B79" s="43">
        <v>42163</v>
      </c>
      <c r="C79" s="30" t="s">
        <v>8</v>
      </c>
      <c r="D79" s="2" t="s">
        <v>39</v>
      </c>
      <c r="E79" s="30">
        <v>8075</v>
      </c>
      <c r="F79" s="30">
        <v>8045</v>
      </c>
      <c r="G79" s="30">
        <v>100</v>
      </c>
      <c r="H79" s="30">
        <v>3000</v>
      </c>
    </row>
    <row r="80" spans="2:8" x14ac:dyDescent="0.3">
      <c r="B80" s="43">
        <v>42164</v>
      </c>
      <c r="C80" s="30" t="s">
        <v>8</v>
      </c>
      <c r="D80" s="2" t="s">
        <v>39</v>
      </c>
      <c r="E80" s="30">
        <v>8035</v>
      </c>
      <c r="F80" s="30">
        <v>8010</v>
      </c>
      <c r="G80" s="30">
        <v>100</v>
      </c>
      <c r="H80" s="30">
        <v>2500</v>
      </c>
    </row>
    <row r="81" spans="2:8" x14ac:dyDescent="0.3">
      <c r="B81" s="43">
        <v>42165</v>
      </c>
      <c r="C81" s="30" t="s">
        <v>9</v>
      </c>
      <c r="D81" s="2" t="s">
        <v>39</v>
      </c>
      <c r="E81" s="30">
        <v>8095</v>
      </c>
      <c r="F81" s="30">
        <v>8150</v>
      </c>
      <c r="G81" s="30">
        <v>100</v>
      </c>
      <c r="H81" s="30">
        <v>5500</v>
      </c>
    </row>
    <row r="82" spans="2:8" x14ac:dyDescent="0.3">
      <c r="B82" s="43">
        <v>42166</v>
      </c>
      <c r="C82" s="30" t="s">
        <v>8</v>
      </c>
      <c r="D82" s="2" t="s">
        <v>39</v>
      </c>
      <c r="E82" s="30">
        <v>8125</v>
      </c>
      <c r="F82" s="30">
        <v>8060</v>
      </c>
      <c r="G82" s="30">
        <v>100</v>
      </c>
      <c r="H82" s="30">
        <v>6500</v>
      </c>
    </row>
    <row r="83" spans="2:8" x14ac:dyDescent="0.3">
      <c r="B83" s="43">
        <v>42167</v>
      </c>
      <c r="C83" s="30" t="s">
        <v>8</v>
      </c>
      <c r="D83" s="2" t="s">
        <v>39</v>
      </c>
      <c r="E83" s="30">
        <v>7960</v>
      </c>
      <c r="F83" s="30">
        <v>7935</v>
      </c>
      <c r="G83" s="30">
        <v>100</v>
      </c>
      <c r="H83" s="30">
        <v>2500</v>
      </c>
    </row>
    <row r="84" spans="2:8" x14ac:dyDescent="0.3">
      <c r="B84" s="43">
        <v>42170</v>
      </c>
      <c r="C84" s="30" t="s">
        <v>8</v>
      </c>
      <c r="D84" s="2" t="s">
        <v>39</v>
      </c>
      <c r="E84" s="30">
        <v>8000</v>
      </c>
      <c r="F84" s="30">
        <v>7980</v>
      </c>
      <c r="G84" s="30">
        <v>100</v>
      </c>
      <c r="H84" s="30">
        <v>2000</v>
      </c>
    </row>
    <row r="85" spans="2:8" x14ac:dyDescent="0.3">
      <c r="B85" s="43">
        <v>42171</v>
      </c>
      <c r="C85" s="30" t="s">
        <v>8</v>
      </c>
      <c r="D85" s="2" t="s">
        <v>39</v>
      </c>
      <c r="E85" s="30">
        <v>7980</v>
      </c>
      <c r="F85" s="30">
        <v>7940</v>
      </c>
      <c r="G85" s="30">
        <v>100</v>
      </c>
      <c r="H85" s="30">
        <v>4000</v>
      </c>
    </row>
    <row r="86" spans="2:8" x14ac:dyDescent="0.3">
      <c r="B86" s="43">
        <v>42172</v>
      </c>
      <c r="C86" s="30" t="s">
        <v>8</v>
      </c>
      <c r="D86" s="2" t="s">
        <v>39</v>
      </c>
      <c r="E86" s="30">
        <v>8055</v>
      </c>
      <c r="F86" s="30">
        <v>8090</v>
      </c>
      <c r="G86" s="30">
        <v>100</v>
      </c>
      <c r="H86" s="30">
        <v>-3500</v>
      </c>
    </row>
    <row r="87" spans="2:8" x14ac:dyDescent="0.3">
      <c r="B87" s="43">
        <v>42173</v>
      </c>
      <c r="C87" s="30" t="s">
        <v>9</v>
      </c>
      <c r="D87" s="2" t="s">
        <v>39</v>
      </c>
      <c r="E87" s="30">
        <v>8140</v>
      </c>
      <c r="F87" s="30">
        <v>8180</v>
      </c>
      <c r="G87" s="30">
        <v>100</v>
      </c>
      <c r="H87" s="30">
        <v>4000</v>
      </c>
    </row>
    <row r="88" spans="2:8" x14ac:dyDescent="0.3">
      <c r="B88" s="43">
        <v>42174</v>
      </c>
      <c r="C88" s="30" t="s">
        <v>9</v>
      </c>
      <c r="D88" s="2" t="s">
        <v>39</v>
      </c>
      <c r="E88" s="30">
        <v>8200</v>
      </c>
      <c r="F88" s="30">
        <v>8240</v>
      </c>
      <c r="G88" s="30">
        <v>100</v>
      </c>
      <c r="H88" s="30">
        <v>4000</v>
      </c>
    </row>
    <row r="89" spans="2:8" x14ac:dyDescent="0.3">
      <c r="B89" s="43">
        <v>42177</v>
      </c>
      <c r="C89" s="30" t="s">
        <v>9</v>
      </c>
      <c r="D89" s="2" t="s">
        <v>39</v>
      </c>
      <c r="E89" s="30">
        <v>8290</v>
      </c>
      <c r="F89" s="30">
        <v>8345</v>
      </c>
      <c r="G89" s="30">
        <v>100</v>
      </c>
      <c r="H89" s="30">
        <v>5500</v>
      </c>
    </row>
    <row r="90" spans="2:8" x14ac:dyDescent="0.3">
      <c r="B90" s="43">
        <v>42178</v>
      </c>
      <c r="C90" s="30" t="s">
        <v>9</v>
      </c>
      <c r="D90" s="2" t="s">
        <v>39</v>
      </c>
      <c r="E90" s="30">
        <v>8370</v>
      </c>
      <c r="F90" s="30">
        <v>8395</v>
      </c>
      <c r="G90" s="30">
        <v>100</v>
      </c>
      <c r="H90" s="30">
        <v>2500</v>
      </c>
    </row>
    <row r="91" spans="2:8" ht="15.6" x14ac:dyDescent="0.3">
      <c r="B91" s="43">
        <v>42179</v>
      </c>
      <c r="C91" s="30" t="s">
        <v>8</v>
      </c>
      <c r="D91" s="2" t="s">
        <v>39</v>
      </c>
      <c r="E91" s="30">
        <v>8395</v>
      </c>
      <c r="F91" s="30">
        <v>8340</v>
      </c>
      <c r="G91" s="30">
        <v>100</v>
      </c>
      <c r="H91" s="77">
        <v>5500</v>
      </c>
    </row>
    <row r="92" spans="2:8" ht="15.6" x14ac:dyDescent="0.3">
      <c r="B92" s="43">
        <v>42180</v>
      </c>
      <c r="C92" s="30" t="s">
        <v>8</v>
      </c>
      <c r="D92" s="2" t="s">
        <v>39</v>
      </c>
      <c r="E92" s="30">
        <v>8362</v>
      </c>
      <c r="F92" s="30">
        <v>8390</v>
      </c>
      <c r="G92" s="30">
        <v>100</v>
      </c>
      <c r="H92" s="77">
        <v>-2800</v>
      </c>
    </row>
    <row r="93" spans="2:8" x14ac:dyDescent="0.3">
      <c r="B93" s="43">
        <v>42181</v>
      </c>
      <c r="C93" s="30" t="s">
        <v>8</v>
      </c>
      <c r="D93" s="2" t="s">
        <v>39</v>
      </c>
      <c r="E93" s="30">
        <v>8370</v>
      </c>
      <c r="F93" s="30">
        <v>8345</v>
      </c>
      <c r="G93" s="30">
        <v>100</v>
      </c>
      <c r="H93" s="30">
        <v>2500</v>
      </c>
    </row>
    <row r="94" spans="2:8" x14ac:dyDescent="0.3">
      <c r="B94" s="43">
        <v>42184</v>
      </c>
      <c r="C94" s="30" t="s">
        <v>8</v>
      </c>
      <c r="D94" s="2" t="s">
        <v>39</v>
      </c>
      <c r="E94" s="30">
        <v>8235</v>
      </c>
      <c r="F94" s="30">
        <v>8195</v>
      </c>
      <c r="G94" s="30">
        <v>100</v>
      </c>
      <c r="H94" s="30">
        <v>4000</v>
      </c>
    </row>
    <row r="95" spans="2:8" ht="15.6" x14ac:dyDescent="0.3">
      <c r="B95" s="43">
        <v>42185</v>
      </c>
      <c r="C95" s="30" t="s">
        <v>9</v>
      </c>
      <c r="D95" s="2" t="s">
        <v>39</v>
      </c>
      <c r="E95" s="30">
        <v>8325</v>
      </c>
      <c r="F95" s="30">
        <v>8380</v>
      </c>
      <c r="G95" s="30">
        <v>100</v>
      </c>
      <c r="H95" s="77">
        <v>5500</v>
      </c>
    </row>
    <row r="96" spans="2:8" ht="18" x14ac:dyDescent="0.35">
      <c r="B96" s="43"/>
      <c r="C96" s="30"/>
      <c r="D96" s="2"/>
      <c r="E96" s="30"/>
      <c r="F96" s="30"/>
      <c r="G96" s="30"/>
      <c r="H96" s="80">
        <v>81200</v>
      </c>
    </row>
    <row r="97" spans="2:8" x14ac:dyDescent="0.3">
      <c r="B97" s="43"/>
      <c r="C97" s="28"/>
      <c r="D97" s="30"/>
      <c r="E97" s="28"/>
      <c r="F97" s="28"/>
      <c r="G97" s="28"/>
      <c r="H97" s="28"/>
    </row>
    <row r="98" spans="2:8" ht="15.6" x14ac:dyDescent="0.3">
      <c r="B98" s="48" t="s">
        <v>572</v>
      </c>
      <c r="C98" s="61"/>
      <c r="D98" s="61"/>
      <c r="E98" s="61"/>
      <c r="F98" s="61"/>
      <c r="G98" s="61"/>
      <c r="H98" s="61"/>
    </row>
    <row r="99" spans="2:8" x14ac:dyDescent="0.3">
      <c r="B99" s="43">
        <v>42156</v>
      </c>
      <c r="C99" s="3" t="s">
        <v>9</v>
      </c>
      <c r="D99" s="3" t="s">
        <v>625</v>
      </c>
      <c r="E99" s="41" t="s">
        <v>825</v>
      </c>
      <c r="F99" s="41" t="s">
        <v>826</v>
      </c>
      <c r="G99" s="30">
        <v>200</v>
      </c>
      <c r="H99" s="8">
        <v>2000</v>
      </c>
    </row>
    <row r="100" spans="2:8" x14ac:dyDescent="0.3">
      <c r="B100" s="43">
        <v>42157</v>
      </c>
      <c r="C100" s="3" t="s">
        <v>9</v>
      </c>
      <c r="D100" s="3" t="s">
        <v>544</v>
      </c>
      <c r="E100" s="30">
        <v>140</v>
      </c>
      <c r="F100" s="30">
        <v>175</v>
      </c>
      <c r="G100" s="30">
        <v>200</v>
      </c>
      <c r="H100" s="30">
        <v>7000</v>
      </c>
    </row>
    <row r="101" spans="2:8" x14ac:dyDescent="0.3">
      <c r="B101" s="43">
        <v>42158</v>
      </c>
      <c r="C101" s="3" t="s">
        <v>9</v>
      </c>
      <c r="D101" s="3" t="s">
        <v>495</v>
      </c>
      <c r="E101" s="30">
        <v>140</v>
      </c>
      <c r="F101" s="30">
        <v>175</v>
      </c>
      <c r="G101" s="30">
        <v>200</v>
      </c>
      <c r="H101" s="30">
        <v>7000</v>
      </c>
    </row>
    <row r="102" spans="2:8" x14ac:dyDescent="0.3">
      <c r="B102" s="43">
        <v>42159</v>
      </c>
      <c r="C102" s="3" t="s">
        <v>9</v>
      </c>
      <c r="D102" s="30" t="s">
        <v>492</v>
      </c>
      <c r="E102" s="30">
        <v>128</v>
      </c>
      <c r="F102" s="30">
        <v>163</v>
      </c>
      <c r="G102" s="30">
        <v>200</v>
      </c>
      <c r="H102" s="30">
        <v>7000</v>
      </c>
    </row>
    <row r="103" spans="2:8" x14ac:dyDescent="0.3">
      <c r="B103" s="43">
        <v>42160</v>
      </c>
      <c r="C103" s="3" t="s">
        <v>9</v>
      </c>
      <c r="D103" s="30" t="s">
        <v>492</v>
      </c>
      <c r="E103" s="30">
        <v>130</v>
      </c>
      <c r="F103" s="30">
        <v>110</v>
      </c>
      <c r="G103" s="30">
        <v>200</v>
      </c>
      <c r="H103" s="30">
        <v>-4000</v>
      </c>
    </row>
    <row r="104" spans="2:8" x14ac:dyDescent="0.3">
      <c r="B104" s="43">
        <v>42163</v>
      </c>
      <c r="C104" s="3" t="s">
        <v>9</v>
      </c>
      <c r="D104" s="30" t="s">
        <v>492</v>
      </c>
      <c r="E104" s="30">
        <v>150</v>
      </c>
      <c r="F104" s="30">
        <v>165</v>
      </c>
      <c r="G104" s="30">
        <v>200</v>
      </c>
      <c r="H104" s="30">
        <v>3000</v>
      </c>
    </row>
    <row r="105" spans="2:8" x14ac:dyDescent="0.3">
      <c r="B105" s="43">
        <v>42164</v>
      </c>
      <c r="C105" s="3" t="s">
        <v>9</v>
      </c>
      <c r="D105" s="30" t="s">
        <v>492</v>
      </c>
      <c r="E105" s="30">
        <v>160</v>
      </c>
      <c r="F105" s="30">
        <v>175</v>
      </c>
      <c r="G105" s="30">
        <v>200</v>
      </c>
      <c r="H105" s="30">
        <v>3000</v>
      </c>
    </row>
    <row r="106" spans="2:8" x14ac:dyDescent="0.3">
      <c r="B106" s="43">
        <v>42165</v>
      </c>
      <c r="C106" s="3" t="s">
        <v>9</v>
      </c>
      <c r="D106" s="30" t="s">
        <v>836</v>
      </c>
      <c r="E106" s="30">
        <v>110</v>
      </c>
      <c r="F106" s="30">
        <v>135</v>
      </c>
      <c r="G106" s="30">
        <v>200</v>
      </c>
      <c r="H106" s="30">
        <v>5000</v>
      </c>
    </row>
    <row r="107" spans="2:8" x14ac:dyDescent="0.3">
      <c r="B107" s="43">
        <v>42166</v>
      </c>
      <c r="C107" s="3" t="s">
        <v>9</v>
      </c>
      <c r="D107" s="30" t="s">
        <v>472</v>
      </c>
      <c r="E107" s="30">
        <v>97</v>
      </c>
      <c r="F107" s="30">
        <v>132</v>
      </c>
      <c r="G107" s="30">
        <v>200</v>
      </c>
      <c r="H107" s="30">
        <v>7000</v>
      </c>
    </row>
    <row r="108" spans="2:8" x14ac:dyDescent="0.3">
      <c r="B108" s="43">
        <v>42167</v>
      </c>
      <c r="C108" s="30" t="s">
        <v>9</v>
      </c>
      <c r="D108" s="30" t="s">
        <v>835</v>
      </c>
      <c r="E108" s="30">
        <v>130</v>
      </c>
      <c r="F108" s="30">
        <v>110</v>
      </c>
      <c r="G108" s="30">
        <v>200</v>
      </c>
      <c r="H108" s="30">
        <v>-4000</v>
      </c>
    </row>
    <row r="109" spans="2:8" x14ac:dyDescent="0.3">
      <c r="B109" s="43">
        <v>42170</v>
      </c>
      <c r="C109" s="3" t="s">
        <v>9</v>
      </c>
      <c r="D109" s="30" t="s">
        <v>472</v>
      </c>
      <c r="E109" s="30">
        <v>90</v>
      </c>
      <c r="F109" s="30">
        <v>105</v>
      </c>
      <c r="G109" s="30">
        <v>200</v>
      </c>
      <c r="H109" s="30">
        <v>3000</v>
      </c>
    </row>
    <row r="110" spans="2:8" x14ac:dyDescent="0.3">
      <c r="B110" s="43">
        <v>42171</v>
      </c>
      <c r="C110" s="3" t="s">
        <v>9</v>
      </c>
      <c r="D110" s="30" t="s">
        <v>472</v>
      </c>
      <c r="E110" s="30">
        <v>98</v>
      </c>
      <c r="F110" s="30">
        <v>120</v>
      </c>
      <c r="G110" s="30">
        <v>200</v>
      </c>
      <c r="H110" s="30">
        <v>4400</v>
      </c>
    </row>
    <row r="111" spans="2:8" x14ac:dyDescent="0.3">
      <c r="B111" s="43">
        <v>42172</v>
      </c>
      <c r="C111" s="3" t="s">
        <v>9</v>
      </c>
      <c r="D111" s="30" t="s">
        <v>492</v>
      </c>
      <c r="E111" s="30">
        <v>110</v>
      </c>
      <c r="F111" s="30">
        <v>90</v>
      </c>
      <c r="G111" s="30">
        <v>200</v>
      </c>
      <c r="H111" s="30">
        <v>-4000</v>
      </c>
    </row>
    <row r="112" spans="2:8" x14ac:dyDescent="0.3">
      <c r="B112" s="43">
        <v>42173</v>
      </c>
      <c r="C112" s="3" t="s">
        <v>9</v>
      </c>
      <c r="D112" s="30" t="s">
        <v>499</v>
      </c>
      <c r="E112" s="30">
        <v>90</v>
      </c>
      <c r="F112" s="30">
        <v>115</v>
      </c>
      <c r="G112" s="30">
        <v>200</v>
      </c>
      <c r="H112" s="30">
        <v>5000</v>
      </c>
    </row>
    <row r="113" spans="2:8" x14ac:dyDescent="0.3">
      <c r="B113" s="43">
        <v>42174</v>
      </c>
      <c r="C113" s="3" t="s">
        <v>9</v>
      </c>
      <c r="D113" s="30" t="s">
        <v>499</v>
      </c>
      <c r="E113" s="30">
        <v>125</v>
      </c>
      <c r="F113" s="30">
        <v>160</v>
      </c>
      <c r="G113" s="30">
        <v>200</v>
      </c>
      <c r="H113" s="30">
        <v>7000</v>
      </c>
    </row>
    <row r="114" spans="2:8" x14ac:dyDescent="0.3">
      <c r="B114" s="43">
        <v>42177</v>
      </c>
      <c r="C114" s="3" t="s">
        <v>9</v>
      </c>
      <c r="D114" s="30" t="s">
        <v>500</v>
      </c>
      <c r="E114" s="30">
        <v>110</v>
      </c>
      <c r="F114" s="30">
        <v>145</v>
      </c>
      <c r="G114" s="30">
        <v>200</v>
      </c>
      <c r="H114" s="30">
        <v>7000</v>
      </c>
    </row>
    <row r="115" spans="2:8" ht="15.6" x14ac:dyDescent="0.3">
      <c r="B115" s="43">
        <v>42178</v>
      </c>
      <c r="C115" s="3" t="s">
        <v>9</v>
      </c>
      <c r="D115" s="30" t="s">
        <v>587</v>
      </c>
      <c r="E115" s="30">
        <v>90</v>
      </c>
      <c r="F115" s="30">
        <v>115</v>
      </c>
      <c r="G115" s="30">
        <v>200</v>
      </c>
      <c r="H115" s="62" t="s">
        <v>466</v>
      </c>
    </row>
    <row r="116" spans="2:8" ht="15.6" x14ac:dyDescent="0.3">
      <c r="B116" s="43">
        <v>42179</v>
      </c>
      <c r="C116" s="3" t="s">
        <v>9</v>
      </c>
      <c r="D116" s="30" t="s">
        <v>554</v>
      </c>
      <c r="E116" s="30">
        <v>110</v>
      </c>
      <c r="F116" s="30">
        <v>90</v>
      </c>
      <c r="G116" s="30">
        <v>200</v>
      </c>
      <c r="H116" s="62" t="s">
        <v>673</v>
      </c>
    </row>
    <row r="117" spans="2:8" ht="15.6" x14ac:dyDescent="0.3">
      <c r="B117" s="43">
        <v>42180</v>
      </c>
      <c r="C117" s="3" t="s">
        <v>9</v>
      </c>
      <c r="D117" s="28" t="s">
        <v>554</v>
      </c>
      <c r="E117" s="49" t="s">
        <v>574</v>
      </c>
      <c r="F117" s="49" t="s">
        <v>467</v>
      </c>
      <c r="G117" s="30">
        <v>200</v>
      </c>
      <c r="H117" s="62" t="s">
        <v>673</v>
      </c>
    </row>
    <row r="118" spans="2:8" x14ac:dyDescent="0.3">
      <c r="B118" s="43">
        <v>42181</v>
      </c>
      <c r="C118" s="3" t="s">
        <v>9</v>
      </c>
      <c r="D118" s="28" t="s">
        <v>544</v>
      </c>
      <c r="E118" s="49" t="s">
        <v>513</v>
      </c>
      <c r="F118" s="49" t="s">
        <v>787</v>
      </c>
      <c r="G118" s="30">
        <v>200</v>
      </c>
      <c r="H118" s="49" t="s">
        <v>390</v>
      </c>
    </row>
    <row r="119" spans="2:8" x14ac:dyDescent="0.3">
      <c r="B119" s="43">
        <v>42184</v>
      </c>
      <c r="C119" s="3" t="s">
        <v>9</v>
      </c>
      <c r="D119" s="28" t="s">
        <v>589</v>
      </c>
      <c r="E119" s="78">
        <v>190</v>
      </c>
      <c r="F119" s="78">
        <v>220</v>
      </c>
      <c r="G119" s="30">
        <v>200</v>
      </c>
      <c r="H119" s="30">
        <v>6000</v>
      </c>
    </row>
    <row r="120" spans="2:8" x14ac:dyDescent="0.3">
      <c r="B120" s="43">
        <v>42185</v>
      </c>
      <c r="C120" s="28" t="s">
        <v>9</v>
      </c>
      <c r="D120" s="28" t="s">
        <v>838</v>
      </c>
      <c r="E120" s="78">
        <v>170</v>
      </c>
      <c r="F120" s="78">
        <v>195</v>
      </c>
      <c r="G120" s="78">
        <v>200</v>
      </c>
      <c r="H120" s="78">
        <v>5000</v>
      </c>
    </row>
    <row r="121" spans="2:8" ht="18" x14ac:dyDescent="0.35">
      <c r="B121" s="1"/>
      <c r="C121" s="28"/>
      <c r="D121" s="28"/>
      <c r="E121" s="28"/>
      <c r="F121" s="28"/>
      <c r="G121" s="28"/>
      <c r="H121" s="80">
        <v>66400</v>
      </c>
    </row>
    <row r="122" spans="2:8" x14ac:dyDescent="0.3">
      <c r="B122" s="1"/>
      <c r="C122" s="28"/>
      <c r="D122" s="28"/>
      <c r="E122" s="28"/>
      <c r="F122" s="28"/>
      <c r="G122" s="28"/>
      <c r="H122" s="28"/>
    </row>
    <row r="123" spans="2:8" x14ac:dyDescent="0.3">
      <c r="B123" s="1"/>
      <c r="C123" s="28"/>
      <c r="D123" s="28"/>
      <c r="E123" s="28"/>
      <c r="F123" s="28"/>
      <c r="G123" s="28"/>
      <c r="H123" s="28"/>
    </row>
    <row r="124" spans="2:8" x14ac:dyDescent="0.3">
      <c r="B124" s="1"/>
      <c r="C124" s="28"/>
      <c r="D124" s="28"/>
      <c r="E124" s="28"/>
      <c r="F124" s="28"/>
      <c r="G124" s="28"/>
      <c r="H124" s="29"/>
    </row>
    <row r="125" spans="2:8" x14ac:dyDescent="0.3">
      <c r="B125" s="1"/>
    </row>
    <row r="126" spans="2:8" x14ac:dyDescent="0.3">
      <c r="B126" s="1"/>
    </row>
    <row r="127" spans="2:8" x14ac:dyDescent="0.3">
      <c r="B127" s="1"/>
    </row>
    <row r="128" spans="2:8" x14ac:dyDescent="0.3">
      <c r="B128" s="1"/>
    </row>
    <row r="129" spans="2:2" x14ac:dyDescent="0.3">
      <c r="B129" s="1"/>
    </row>
    <row r="130" spans="2:2" x14ac:dyDescent="0.3">
      <c r="B130" s="1"/>
    </row>
    <row r="131" spans="2:2" x14ac:dyDescent="0.3">
      <c r="B131" s="1"/>
    </row>
    <row r="132" spans="2:2" x14ac:dyDescent="0.3">
      <c r="B132" s="1"/>
    </row>
    <row r="133" spans="2:2" x14ac:dyDescent="0.3">
      <c r="B133" s="1"/>
    </row>
    <row r="134" spans="2:2" x14ac:dyDescent="0.3">
      <c r="B134" s="1"/>
    </row>
    <row r="135" spans="2:2" x14ac:dyDescent="0.3">
      <c r="B135" s="1"/>
    </row>
    <row r="136" spans="2:2" x14ac:dyDescent="0.3">
      <c r="B136" s="1"/>
    </row>
  </sheetData>
  <mergeCells count="3">
    <mergeCell ref="B1:H1"/>
    <mergeCell ref="B2:H2"/>
    <mergeCell ref="B3:H3"/>
  </mergeCells>
  <hyperlinks>
    <hyperlink ref="J2" location="'MASTER '!A1" display="Back" xr:uid="{00000000-0004-0000-1A00-000000000000}"/>
  </hyperlinks>
  <pageMargins left="0.7" right="0.7" top="0.75" bottom="0.75" header="0.3" footer="0.3"/>
  <ignoredErrors>
    <ignoredError sqref="E43:H43 E6:F6 E7:H12 G6:H6 E73:H79 E99:F99 G82 G80 G81 E115:H117 E118:H11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143"/>
  <sheetViews>
    <sheetView topLeftCell="B1"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840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42186</v>
      </c>
      <c r="C6" s="2" t="s">
        <v>11</v>
      </c>
      <c r="D6" s="2" t="s">
        <v>113</v>
      </c>
      <c r="E6" s="41" t="s">
        <v>841</v>
      </c>
      <c r="F6" s="40" t="s">
        <v>842</v>
      </c>
      <c r="G6" s="5">
        <v>2006</v>
      </c>
      <c r="H6" s="41" t="s">
        <v>855</v>
      </c>
      <c r="K6" s="16"/>
    </row>
    <row r="7" spans="1:14" x14ac:dyDescent="0.3">
      <c r="B7" s="43">
        <v>42186</v>
      </c>
      <c r="C7" s="2" t="s">
        <v>8</v>
      </c>
      <c r="D7" s="2" t="s">
        <v>107</v>
      </c>
      <c r="E7" s="41" t="s">
        <v>843</v>
      </c>
      <c r="F7" s="40" t="s">
        <v>844</v>
      </c>
      <c r="G7" s="5">
        <v>118</v>
      </c>
      <c r="H7" s="41" t="s">
        <v>856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42187</v>
      </c>
      <c r="C8" s="2" t="s">
        <v>8</v>
      </c>
      <c r="D8" s="2" t="s">
        <v>175</v>
      </c>
      <c r="E8" s="41" t="s">
        <v>845</v>
      </c>
      <c r="F8" s="40" t="s">
        <v>846</v>
      </c>
      <c r="G8" s="5">
        <v>209</v>
      </c>
      <c r="H8" s="41" t="s">
        <v>857</v>
      </c>
      <c r="J8" s="16" t="s">
        <v>449</v>
      </c>
      <c r="K8" s="30">
        <v>34</v>
      </c>
      <c r="L8" s="30">
        <v>28</v>
      </c>
      <c r="M8" s="30">
        <v>5</v>
      </c>
      <c r="N8" s="30">
        <v>1</v>
      </c>
    </row>
    <row r="9" spans="1:14" x14ac:dyDescent="0.3">
      <c r="B9" s="43">
        <v>42188</v>
      </c>
      <c r="C9" s="2" t="s">
        <v>9</v>
      </c>
      <c r="D9" s="28" t="s">
        <v>114</v>
      </c>
      <c r="E9" s="30">
        <v>1855</v>
      </c>
      <c r="F9" s="30">
        <v>1880</v>
      </c>
      <c r="G9" s="30">
        <v>161</v>
      </c>
      <c r="H9" s="41" t="s">
        <v>858</v>
      </c>
      <c r="J9" s="16" t="s">
        <v>450</v>
      </c>
      <c r="K9" s="30">
        <v>30</v>
      </c>
      <c r="L9" s="30">
        <v>24</v>
      </c>
      <c r="M9" s="30">
        <v>6</v>
      </c>
      <c r="N9" s="30">
        <v>0</v>
      </c>
    </row>
    <row r="10" spans="1:14" x14ac:dyDescent="0.3">
      <c r="B10" s="43">
        <v>42188</v>
      </c>
      <c r="C10" s="2" t="s">
        <v>417</v>
      </c>
      <c r="D10" s="28" t="s">
        <v>37</v>
      </c>
      <c r="E10" s="30">
        <v>111</v>
      </c>
      <c r="F10" s="30">
        <v>110</v>
      </c>
      <c r="G10" s="30">
        <v>2702</v>
      </c>
      <c r="H10" s="41" t="s">
        <v>859</v>
      </c>
      <c r="J10" s="16" t="s">
        <v>451</v>
      </c>
      <c r="K10" s="30">
        <v>23</v>
      </c>
      <c r="L10" s="30">
        <v>20</v>
      </c>
      <c r="M10" s="30">
        <v>3</v>
      </c>
      <c r="N10" s="30">
        <v>0</v>
      </c>
    </row>
    <row r="11" spans="1:14" x14ac:dyDescent="0.3">
      <c r="B11" s="43">
        <v>42191</v>
      </c>
      <c r="C11" s="2" t="s">
        <v>8</v>
      </c>
      <c r="D11" s="28" t="s">
        <v>689</v>
      </c>
      <c r="E11" s="30">
        <v>160</v>
      </c>
      <c r="F11" s="30">
        <v>161</v>
      </c>
      <c r="G11" s="30">
        <v>1875</v>
      </c>
      <c r="H11" s="41" t="s">
        <v>860</v>
      </c>
      <c r="J11" s="16" t="s">
        <v>452</v>
      </c>
      <c r="K11" s="30">
        <v>23</v>
      </c>
      <c r="L11" s="30">
        <v>20</v>
      </c>
      <c r="M11" s="30">
        <v>3</v>
      </c>
      <c r="N11" s="30">
        <v>0</v>
      </c>
    </row>
    <row r="12" spans="1:14" x14ac:dyDescent="0.3">
      <c r="B12" s="43">
        <v>42192</v>
      </c>
      <c r="C12" s="2" t="s">
        <v>9</v>
      </c>
      <c r="D12" s="28" t="s">
        <v>103</v>
      </c>
      <c r="E12" s="30">
        <v>264</v>
      </c>
      <c r="F12" s="30">
        <v>260</v>
      </c>
      <c r="G12" s="30">
        <v>1136</v>
      </c>
      <c r="H12" s="41" t="s">
        <v>861</v>
      </c>
      <c r="J12" s="16"/>
      <c r="K12" s="21">
        <v>110</v>
      </c>
      <c r="L12" s="21">
        <v>92</v>
      </c>
      <c r="M12" s="21">
        <v>17</v>
      </c>
      <c r="N12" s="21">
        <v>1</v>
      </c>
    </row>
    <row r="13" spans="1:14" x14ac:dyDescent="0.3">
      <c r="B13" s="43">
        <v>42192</v>
      </c>
      <c r="C13" s="2" t="s">
        <v>8</v>
      </c>
      <c r="D13" s="28" t="s">
        <v>795</v>
      </c>
      <c r="E13" s="30">
        <v>2040</v>
      </c>
      <c r="F13" s="30">
        <v>2060</v>
      </c>
      <c r="G13" s="30">
        <v>147</v>
      </c>
      <c r="H13" s="30">
        <v>-2940</v>
      </c>
      <c r="K13" s="16"/>
    </row>
    <row r="14" spans="1:14" x14ac:dyDescent="0.3">
      <c r="B14" s="43">
        <v>42193</v>
      </c>
      <c r="C14" s="2" t="s">
        <v>417</v>
      </c>
      <c r="D14" s="28" t="s">
        <v>588</v>
      </c>
      <c r="E14" s="30">
        <v>137.5</v>
      </c>
      <c r="F14" s="30">
        <v>136.5</v>
      </c>
      <c r="G14" s="30">
        <v>2181</v>
      </c>
      <c r="H14" s="30">
        <v>2181</v>
      </c>
      <c r="K14" s="68" t="s">
        <v>866</v>
      </c>
      <c r="L14" s="69"/>
      <c r="M14" s="70"/>
    </row>
    <row r="15" spans="1:14" x14ac:dyDescent="0.3">
      <c r="B15" s="43">
        <v>42194</v>
      </c>
      <c r="C15" s="30" t="s">
        <v>9</v>
      </c>
      <c r="D15" s="30" t="s">
        <v>78</v>
      </c>
      <c r="E15" s="30">
        <v>1830</v>
      </c>
      <c r="F15" s="30">
        <v>1850</v>
      </c>
      <c r="G15" s="30">
        <v>163</v>
      </c>
      <c r="H15" s="30">
        <v>3260</v>
      </c>
      <c r="K15" s="16"/>
    </row>
    <row r="16" spans="1:14" x14ac:dyDescent="0.3">
      <c r="B16" s="43">
        <v>42194</v>
      </c>
      <c r="C16" s="30" t="s">
        <v>8</v>
      </c>
      <c r="D16" s="30" t="s">
        <v>798</v>
      </c>
      <c r="E16" s="30">
        <v>428</v>
      </c>
      <c r="F16" s="30">
        <v>423</v>
      </c>
      <c r="G16" s="30">
        <v>700</v>
      </c>
      <c r="H16" s="30">
        <v>3500</v>
      </c>
      <c r="K16" s="28"/>
      <c r="L16" s="30"/>
      <c r="M16" s="30"/>
      <c r="N16" s="30"/>
    </row>
    <row r="17" spans="2:14" x14ac:dyDescent="0.3">
      <c r="B17" s="43">
        <v>42195</v>
      </c>
      <c r="C17" s="30" t="s">
        <v>11</v>
      </c>
      <c r="D17" s="30" t="s">
        <v>113</v>
      </c>
      <c r="E17" s="30">
        <v>169</v>
      </c>
      <c r="F17" s="30">
        <v>171</v>
      </c>
      <c r="G17" s="30">
        <v>1775</v>
      </c>
      <c r="H17" s="30">
        <v>3550</v>
      </c>
      <c r="K17" s="49"/>
      <c r="L17" s="30"/>
      <c r="M17" s="30"/>
      <c r="N17" s="30"/>
    </row>
    <row r="18" spans="2:14" x14ac:dyDescent="0.3">
      <c r="B18" s="43">
        <v>42195</v>
      </c>
      <c r="C18" s="30" t="s">
        <v>8</v>
      </c>
      <c r="D18" s="30" t="s">
        <v>30</v>
      </c>
      <c r="E18" s="30">
        <v>364</v>
      </c>
      <c r="F18" s="30">
        <v>359</v>
      </c>
      <c r="G18" s="30">
        <v>824</v>
      </c>
      <c r="H18" s="30">
        <v>4120</v>
      </c>
      <c r="K18" s="49"/>
      <c r="L18" s="30"/>
      <c r="M18" s="30"/>
      <c r="N18" s="30"/>
    </row>
    <row r="19" spans="2:14" x14ac:dyDescent="0.3">
      <c r="B19" s="43">
        <v>42198</v>
      </c>
      <c r="C19" s="30" t="s">
        <v>11</v>
      </c>
      <c r="D19" s="30" t="s">
        <v>160</v>
      </c>
      <c r="E19" s="30">
        <v>658</v>
      </c>
      <c r="F19" s="30">
        <v>664</v>
      </c>
      <c r="G19" s="30">
        <v>455</v>
      </c>
      <c r="H19" s="30">
        <v>2730</v>
      </c>
      <c r="K19" s="49"/>
      <c r="L19" s="30"/>
      <c r="M19" s="30"/>
      <c r="N19" s="30"/>
    </row>
    <row r="20" spans="2:14" x14ac:dyDescent="0.3">
      <c r="B20" s="43">
        <v>42198</v>
      </c>
      <c r="C20" s="2" t="s">
        <v>8</v>
      </c>
      <c r="D20" s="28" t="s">
        <v>689</v>
      </c>
      <c r="E20" s="30">
        <v>158.5</v>
      </c>
      <c r="F20" s="30">
        <v>157.5</v>
      </c>
      <c r="G20" s="30">
        <v>1892</v>
      </c>
      <c r="H20" s="30">
        <v>1892</v>
      </c>
      <c r="K20" s="49"/>
      <c r="L20" s="30"/>
      <c r="M20" s="30"/>
      <c r="N20" s="30"/>
    </row>
    <row r="21" spans="2:14" x14ac:dyDescent="0.3">
      <c r="B21" s="43">
        <v>42199</v>
      </c>
      <c r="C21" s="2" t="s">
        <v>8</v>
      </c>
      <c r="D21" s="28" t="s">
        <v>19</v>
      </c>
      <c r="E21" s="30">
        <v>272</v>
      </c>
      <c r="F21" s="30">
        <v>269</v>
      </c>
      <c r="G21" s="30">
        <v>1102</v>
      </c>
      <c r="H21" s="30">
        <v>3306</v>
      </c>
      <c r="K21" s="49"/>
      <c r="L21" s="30"/>
      <c r="M21" s="30"/>
      <c r="N21" s="30"/>
    </row>
    <row r="22" spans="2:14" x14ac:dyDescent="0.3">
      <c r="B22" s="43">
        <v>42199</v>
      </c>
      <c r="C22" s="2" t="s">
        <v>9</v>
      </c>
      <c r="D22" s="28" t="s">
        <v>160</v>
      </c>
      <c r="E22" s="30">
        <v>666</v>
      </c>
      <c r="F22" s="30">
        <v>671</v>
      </c>
      <c r="G22" s="30">
        <v>450</v>
      </c>
      <c r="H22" s="30">
        <v>2250</v>
      </c>
      <c r="K22" s="49"/>
      <c r="L22" s="30"/>
      <c r="M22" s="30"/>
      <c r="N22" s="30"/>
    </row>
    <row r="23" spans="2:14" x14ac:dyDescent="0.3">
      <c r="B23" s="43">
        <v>42200</v>
      </c>
      <c r="C23" s="2" t="s">
        <v>8</v>
      </c>
      <c r="D23" s="28" t="s">
        <v>334</v>
      </c>
      <c r="E23" s="30">
        <v>1135</v>
      </c>
      <c r="F23" s="30">
        <v>1125</v>
      </c>
      <c r="G23" s="30">
        <v>264</v>
      </c>
      <c r="H23" s="30">
        <v>2640</v>
      </c>
      <c r="K23" s="16"/>
    </row>
    <row r="24" spans="2:14" x14ac:dyDescent="0.3">
      <c r="B24" s="43">
        <v>42201</v>
      </c>
      <c r="C24" s="2" t="s">
        <v>11</v>
      </c>
      <c r="D24" s="28" t="s">
        <v>31</v>
      </c>
      <c r="E24" s="30">
        <v>1022</v>
      </c>
      <c r="F24" s="30">
        <v>1028</v>
      </c>
      <c r="G24" s="30">
        <v>293</v>
      </c>
      <c r="H24" s="30">
        <v>1758</v>
      </c>
      <c r="K24" s="16"/>
    </row>
    <row r="25" spans="2:14" x14ac:dyDescent="0.3">
      <c r="B25" s="43">
        <v>42201</v>
      </c>
      <c r="C25" s="2" t="s">
        <v>8</v>
      </c>
      <c r="D25" s="28" t="s">
        <v>863</v>
      </c>
      <c r="E25" s="30">
        <v>1120</v>
      </c>
      <c r="F25" s="30">
        <v>1110</v>
      </c>
      <c r="G25" s="30">
        <v>267</v>
      </c>
      <c r="H25" s="30">
        <v>2670</v>
      </c>
      <c r="K25" s="41"/>
    </row>
    <row r="26" spans="2:14" x14ac:dyDescent="0.3">
      <c r="B26" s="43">
        <v>42202</v>
      </c>
      <c r="C26" s="2" t="s">
        <v>8</v>
      </c>
      <c r="D26" s="28" t="s">
        <v>334</v>
      </c>
      <c r="E26" s="30">
        <v>1100</v>
      </c>
      <c r="F26" s="30">
        <v>1093</v>
      </c>
      <c r="G26" s="30">
        <v>272</v>
      </c>
      <c r="H26" s="30">
        <v>1904</v>
      </c>
      <c r="K26" s="41"/>
    </row>
    <row r="27" spans="2:14" x14ac:dyDescent="0.3">
      <c r="B27" s="43">
        <v>42205</v>
      </c>
      <c r="C27" s="2" t="s">
        <v>8</v>
      </c>
      <c r="D27" s="28" t="s">
        <v>28</v>
      </c>
      <c r="E27" s="30">
        <v>143</v>
      </c>
      <c r="F27" s="30">
        <v>140</v>
      </c>
      <c r="G27" s="30">
        <v>2097</v>
      </c>
      <c r="H27" s="30">
        <v>6291</v>
      </c>
      <c r="L27" s="30"/>
    </row>
    <row r="28" spans="2:14" x14ac:dyDescent="0.3">
      <c r="B28" s="43">
        <v>42206</v>
      </c>
      <c r="C28" s="2" t="s">
        <v>8</v>
      </c>
      <c r="D28" s="28" t="s">
        <v>34</v>
      </c>
      <c r="E28" s="30">
        <v>165</v>
      </c>
      <c r="F28" s="30">
        <v>162</v>
      </c>
      <c r="G28" s="30">
        <v>1818</v>
      </c>
      <c r="H28" s="30">
        <v>5454</v>
      </c>
      <c r="L28" s="30"/>
    </row>
    <row r="29" spans="2:14" x14ac:dyDescent="0.3">
      <c r="B29" s="43">
        <v>42207</v>
      </c>
      <c r="C29" s="2" t="s">
        <v>8</v>
      </c>
      <c r="D29" s="28" t="s">
        <v>28</v>
      </c>
      <c r="E29" s="30">
        <v>138</v>
      </c>
      <c r="F29" s="30">
        <v>140</v>
      </c>
      <c r="G29" s="30">
        <v>2173</v>
      </c>
      <c r="H29" s="30">
        <v>-4346</v>
      </c>
      <c r="L29" s="30"/>
    </row>
    <row r="30" spans="2:14" x14ac:dyDescent="0.3">
      <c r="B30" s="43">
        <v>42208</v>
      </c>
      <c r="C30" s="2" t="s">
        <v>8</v>
      </c>
      <c r="D30" s="28" t="s">
        <v>46</v>
      </c>
      <c r="E30" s="30">
        <v>281</v>
      </c>
      <c r="F30" s="30">
        <v>283</v>
      </c>
      <c r="G30" s="30">
        <v>1067</v>
      </c>
      <c r="H30" s="30">
        <v>-2134</v>
      </c>
      <c r="L30" s="30"/>
    </row>
    <row r="31" spans="2:14" x14ac:dyDescent="0.3">
      <c r="B31" s="43">
        <v>42208</v>
      </c>
      <c r="C31" s="2" t="s">
        <v>9</v>
      </c>
      <c r="D31" s="28" t="s">
        <v>630</v>
      </c>
      <c r="E31" s="30">
        <v>407</v>
      </c>
      <c r="F31" s="30">
        <v>411</v>
      </c>
      <c r="G31" s="30">
        <v>737</v>
      </c>
      <c r="H31" s="30">
        <v>2948</v>
      </c>
      <c r="L31" s="30"/>
    </row>
    <row r="32" spans="2:14" x14ac:dyDescent="0.3">
      <c r="B32" s="43">
        <v>42209</v>
      </c>
      <c r="C32" s="2" t="s">
        <v>8</v>
      </c>
      <c r="D32" s="28" t="s">
        <v>78</v>
      </c>
      <c r="E32" s="30">
        <v>1825</v>
      </c>
      <c r="F32" s="30">
        <v>1798</v>
      </c>
      <c r="G32" s="30">
        <v>165</v>
      </c>
      <c r="H32" s="30">
        <v>4455</v>
      </c>
      <c r="L32" s="30"/>
    </row>
    <row r="33" spans="2:12" x14ac:dyDescent="0.3">
      <c r="B33" s="43">
        <v>42212</v>
      </c>
      <c r="C33" s="2" t="s">
        <v>8</v>
      </c>
      <c r="D33" s="28" t="s">
        <v>78</v>
      </c>
      <c r="E33" s="30">
        <v>1765</v>
      </c>
      <c r="F33" s="30">
        <v>1740</v>
      </c>
      <c r="G33" s="30">
        <v>170</v>
      </c>
      <c r="H33" s="30">
        <v>4250</v>
      </c>
      <c r="L33" s="30"/>
    </row>
    <row r="34" spans="2:12" x14ac:dyDescent="0.3">
      <c r="B34" s="43">
        <v>42213</v>
      </c>
      <c r="C34" s="2" t="s">
        <v>8</v>
      </c>
      <c r="D34" s="28" t="s">
        <v>19</v>
      </c>
      <c r="E34" s="30">
        <v>259</v>
      </c>
      <c r="F34" s="30">
        <v>258.5</v>
      </c>
      <c r="G34" s="30">
        <v>1158</v>
      </c>
      <c r="H34" s="30">
        <v>579</v>
      </c>
      <c r="L34" s="30"/>
    </row>
    <row r="35" spans="2:12" x14ac:dyDescent="0.3">
      <c r="B35" s="43">
        <v>42214</v>
      </c>
      <c r="C35" s="2" t="s">
        <v>9</v>
      </c>
      <c r="D35" s="28" t="s">
        <v>78</v>
      </c>
      <c r="E35" s="30">
        <v>1760</v>
      </c>
      <c r="F35" s="30">
        <v>1795</v>
      </c>
      <c r="G35" s="30">
        <v>170</v>
      </c>
      <c r="H35" s="30">
        <v>5950</v>
      </c>
      <c r="L35" s="30"/>
    </row>
    <row r="36" spans="2:12" x14ac:dyDescent="0.3">
      <c r="B36" s="43">
        <v>42214</v>
      </c>
      <c r="C36" s="2" t="s">
        <v>8</v>
      </c>
      <c r="D36" s="28" t="s">
        <v>98</v>
      </c>
      <c r="E36" s="30">
        <v>2525</v>
      </c>
      <c r="F36" s="30">
        <v>2507</v>
      </c>
      <c r="G36" s="30">
        <v>118</v>
      </c>
      <c r="H36" s="30">
        <v>2124</v>
      </c>
      <c r="L36" s="30"/>
    </row>
    <row r="37" spans="2:12" x14ac:dyDescent="0.3">
      <c r="B37" s="43">
        <v>42215</v>
      </c>
      <c r="C37" s="2" t="s">
        <v>8</v>
      </c>
      <c r="D37" s="28" t="s">
        <v>187</v>
      </c>
      <c r="E37" s="30">
        <v>103</v>
      </c>
      <c r="F37" s="30">
        <v>101</v>
      </c>
      <c r="G37" s="30">
        <v>2912</v>
      </c>
      <c r="H37" s="30">
        <v>5824</v>
      </c>
    </row>
    <row r="38" spans="2:12" x14ac:dyDescent="0.3">
      <c r="B38" s="43">
        <v>42216</v>
      </c>
      <c r="C38" s="2" t="s">
        <v>9</v>
      </c>
      <c r="D38" s="28" t="s">
        <v>157</v>
      </c>
      <c r="E38" s="30">
        <v>1120</v>
      </c>
      <c r="F38" s="30">
        <v>1145</v>
      </c>
      <c r="G38" s="30">
        <v>267</v>
      </c>
      <c r="H38" s="30">
        <v>6675</v>
      </c>
    </row>
    <row r="39" spans="2:12" x14ac:dyDescent="0.3">
      <c r="B39" s="43">
        <v>42216</v>
      </c>
      <c r="C39" s="2" t="s">
        <v>8</v>
      </c>
      <c r="D39" s="28" t="s">
        <v>341</v>
      </c>
      <c r="E39" s="30">
        <v>291</v>
      </c>
      <c r="F39" s="30">
        <v>291.5</v>
      </c>
      <c r="G39" s="30">
        <v>1030</v>
      </c>
      <c r="H39" s="30">
        <v>-515</v>
      </c>
    </row>
    <row r="40" spans="2:12" ht="18" x14ac:dyDescent="0.35">
      <c r="B40" s="43"/>
      <c r="C40" s="2"/>
      <c r="D40" s="28"/>
      <c r="E40" s="30"/>
      <c r="F40" s="30"/>
      <c r="G40" s="30"/>
      <c r="H40" s="72">
        <v>82381</v>
      </c>
    </row>
    <row r="41" spans="2:12" x14ac:dyDescent="0.3">
      <c r="C41" s="2"/>
      <c r="D41" s="28"/>
      <c r="E41" s="30"/>
      <c r="F41" s="30"/>
      <c r="G41" s="30"/>
      <c r="H41" s="30"/>
    </row>
    <row r="42" spans="2:12" x14ac:dyDescent="0.3">
      <c r="C42" s="2"/>
      <c r="D42" s="28"/>
      <c r="E42" s="30"/>
      <c r="F42" s="30"/>
      <c r="G42" s="30"/>
      <c r="H42" s="30"/>
    </row>
    <row r="43" spans="2:12" ht="15.6" x14ac:dyDescent="0.3">
      <c r="B43" s="43"/>
      <c r="C43" s="28"/>
      <c r="D43" s="28"/>
      <c r="E43" s="78"/>
      <c r="F43" s="78"/>
      <c r="G43" s="78"/>
      <c r="H43" s="79"/>
      <c r="J43" s="1"/>
    </row>
    <row r="44" spans="2:12" x14ac:dyDescent="0.3">
      <c r="J44" s="1"/>
    </row>
    <row r="45" spans="2:12" ht="15.6" x14ac:dyDescent="0.3">
      <c r="B45" s="48" t="s">
        <v>62</v>
      </c>
      <c r="C45" s="48"/>
      <c r="D45" s="48"/>
      <c r="E45" s="48"/>
      <c r="F45" s="48"/>
      <c r="G45" s="48"/>
      <c r="H45" s="48"/>
      <c r="J45" s="1"/>
    </row>
    <row r="46" spans="2:12" x14ac:dyDescent="0.3">
      <c r="B46" s="43">
        <v>42186</v>
      </c>
      <c r="C46" s="2" t="s">
        <v>8</v>
      </c>
      <c r="D46" s="2" t="s">
        <v>290</v>
      </c>
      <c r="E46" s="41" t="s">
        <v>847</v>
      </c>
      <c r="F46" s="40" t="s">
        <v>819</v>
      </c>
      <c r="G46" s="5">
        <v>1000</v>
      </c>
      <c r="H46" s="40" t="s">
        <v>848</v>
      </c>
      <c r="J46" s="1"/>
    </row>
    <row r="47" spans="2:12" x14ac:dyDescent="0.3">
      <c r="B47" s="43">
        <v>42186</v>
      </c>
      <c r="C47" s="2" t="s">
        <v>8</v>
      </c>
      <c r="D47" s="2" t="s">
        <v>107</v>
      </c>
      <c r="E47" s="41" t="s">
        <v>849</v>
      </c>
      <c r="F47" s="40" t="s">
        <v>850</v>
      </c>
      <c r="G47" s="5">
        <v>125</v>
      </c>
      <c r="H47" s="40" t="s">
        <v>851</v>
      </c>
      <c r="J47" s="1"/>
    </row>
    <row r="48" spans="2:12" x14ac:dyDescent="0.3">
      <c r="B48" s="43">
        <v>42187</v>
      </c>
      <c r="C48" s="30" t="s">
        <v>9</v>
      </c>
      <c r="D48" s="30" t="s">
        <v>34</v>
      </c>
      <c r="E48" s="30">
        <v>181</v>
      </c>
      <c r="F48" s="30">
        <v>183</v>
      </c>
      <c r="G48" s="30">
        <v>1000</v>
      </c>
      <c r="H48" s="30">
        <v>2000</v>
      </c>
      <c r="J48" s="46"/>
    </row>
    <row r="49" spans="2:10" x14ac:dyDescent="0.3">
      <c r="B49" s="43">
        <v>42187</v>
      </c>
      <c r="C49" s="30" t="s">
        <v>8</v>
      </c>
      <c r="D49" s="30" t="s">
        <v>129</v>
      </c>
      <c r="E49" s="30">
        <v>1280</v>
      </c>
      <c r="F49" s="30">
        <v>1274</v>
      </c>
      <c r="G49" s="30">
        <v>500</v>
      </c>
      <c r="H49" s="30">
        <v>3000</v>
      </c>
      <c r="J49" s="46"/>
    </row>
    <row r="50" spans="2:10" x14ac:dyDescent="0.3">
      <c r="B50" s="43">
        <v>42188</v>
      </c>
      <c r="C50" s="30" t="s">
        <v>8</v>
      </c>
      <c r="D50" s="30" t="s">
        <v>689</v>
      </c>
      <c r="E50" s="30">
        <v>164</v>
      </c>
      <c r="F50" s="30">
        <v>162</v>
      </c>
      <c r="G50" s="30">
        <v>2000</v>
      </c>
      <c r="H50" s="30">
        <v>4000</v>
      </c>
      <c r="J50" s="46"/>
    </row>
    <row r="51" spans="2:10" x14ac:dyDescent="0.3">
      <c r="B51" s="43">
        <v>42191</v>
      </c>
      <c r="C51" s="30" t="s">
        <v>8</v>
      </c>
      <c r="D51" s="30" t="s">
        <v>99</v>
      </c>
      <c r="E51" s="30">
        <v>314</v>
      </c>
      <c r="F51" s="30">
        <v>318</v>
      </c>
      <c r="G51" s="30">
        <v>500</v>
      </c>
      <c r="H51" s="30">
        <v>-2000</v>
      </c>
      <c r="J51" s="46"/>
    </row>
    <row r="52" spans="2:10" x14ac:dyDescent="0.3">
      <c r="B52" s="43">
        <v>42192</v>
      </c>
      <c r="C52" s="30" t="s">
        <v>8</v>
      </c>
      <c r="D52" s="30" t="s">
        <v>146</v>
      </c>
      <c r="E52" s="30">
        <v>137.5</v>
      </c>
      <c r="F52" s="30">
        <v>134.5</v>
      </c>
      <c r="G52" s="30">
        <v>2000</v>
      </c>
      <c r="H52" s="30">
        <v>6000</v>
      </c>
      <c r="J52" s="46"/>
    </row>
    <row r="53" spans="2:10" x14ac:dyDescent="0.3">
      <c r="B53" s="43">
        <v>42192</v>
      </c>
      <c r="C53" s="30" t="s">
        <v>8</v>
      </c>
      <c r="D53" s="30" t="s">
        <v>588</v>
      </c>
      <c r="E53" s="30">
        <v>140</v>
      </c>
      <c r="F53" s="30">
        <v>138.5</v>
      </c>
      <c r="G53" s="30">
        <v>2000</v>
      </c>
      <c r="H53" s="30">
        <v>3000</v>
      </c>
      <c r="J53" s="46"/>
    </row>
    <row r="54" spans="2:10" x14ac:dyDescent="0.3">
      <c r="B54" s="43">
        <v>42193</v>
      </c>
      <c r="C54" s="30" t="s">
        <v>8</v>
      </c>
      <c r="D54" s="30" t="s">
        <v>798</v>
      </c>
      <c r="E54" s="30">
        <v>440</v>
      </c>
      <c r="F54" s="30">
        <v>431</v>
      </c>
      <c r="G54" s="30">
        <v>500</v>
      </c>
      <c r="H54" s="30">
        <v>4500</v>
      </c>
      <c r="J54" s="46"/>
    </row>
    <row r="55" spans="2:10" x14ac:dyDescent="0.3">
      <c r="B55" s="43">
        <v>42193</v>
      </c>
      <c r="C55" s="30" t="s">
        <v>8</v>
      </c>
      <c r="D55" s="30" t="s">
        <v>139</v>
      </c>
      <c r="E55" s="30">
        <v>825</v>
      </c>
      <c r="F55" s="30">
        <v>807</v>
      </c>
      <c r="G55" s="30">
        <v>250</v>
      </c>
      <c r="H55" s="30">
        <v>9000</v>
      </c>
      <c r="J55" s="47"/>
    </row>
    <row r="56" spans="2:10" x14ac:dyDescent="0.3">
      <c r="B56" s="43">
        <v>42194</v>
      </c>
      <c r="C56" s="30" t="s">
        <v>8</v>
      </c>
      <c r="D56" s="30" t="s">
        <v>862</v>
      </c>
      <c r="E56" s="30">
        <v>525</v>
      </c>
      <c r="F56" s="30">
        <v>512</v>
      </c>
      <c r="G56" s="30">
        <v>500</v>
      </c>
      <c r="H56" s="30">
        <v>6500</v>
      </c>
      <c r="J56" s="46"/>
    </row>
    <row r="57" spans="2:10" x14ac:dyDescent="0.3">
      <c r="B57" s="43">
        <v>42195</v>
      </c>
      <c r="C57" s="30" t="s">
        <v>8</v>
      </c>
      <c r="D57" s="30" t="s">
        <v>800</v>
      </c>
      <c r="E57" s="30">
        <v>978</v>
      </c>
      <c r="F57" s="30">
        <v>972</v>
      </c>
      <c r="G57" s="30">
        <v>500</v>
      </c>
      <c r="H57" s="30">
        <v>3000</v>
      </c>
    </row>
    <row r="58" spans="2:10" x14ac:dyDescent="0.3">
      <c r="B58" s="43">
        <v>42198</v>
      </c>
      <c r="C58" s="30" t="s">
        <v>8</v>
      </c>
      <c r="D58" s="30" t="s">
        <v>862</v>
      </c>
      <c r="E58" s="30">
        <v>512</v>
      </c>
      <c r="F58" s="30">
        <v>519</v>
      </c>
      <c r="G58" s="30">
        <v>500</v>
      </c>
      <c r="H58" s="30">
        <v>-3500</v>
      </c>
    </row>
    <row r="59" spans="2:10" x14ac:dyDescent="0.3">
      <c r="B59" s="43">
        <v>42199</v>
      </c>
      <c r="C59" s="30" t="s">
        <v>8</v>
      </c>
      <c r="D59" s="30" t="s">
        <v>124</v>
      </c>
      <c r="E59" s="30">
        <v>396</v>
      </c>
      <c r="F59" s="30">
        <v>385</v>
      </c>
      <c r="G59" s="30">
        <v>500</v>
      </c>
      <c r="H59" s="30">
        <v>4500</v>
      </c>
    </row>
    <row r="60" spans="2:10" x14ac:dyDescent="0.3">
      <c r="B60" s="43">
        <v>42200</v>
      </c>
      <c r="C60" s="30" t="s">
        <v>8</v>
      </c>
      <c r="D60" s="30" t="s">
        <v>592</v>
      </c>
      <c r="E60" s="30">
        <v>435</v>
      </c>
      <c r="F60" s="30">
        <v>433</v>
      </c>
      <c r="G60" s="30">
        <v>1000</v>
      </c>
      <c r="H60" s="30">
        <v>2000</v>
      </c>
    </row>
    <row r="61" spans="2:10" x14ac:dyDescent="0.3">
      <c r="B61" s="43">
        <v>42200</v>
      </c>
      <c r="C61" s="30" t="s">
        <v>8</v>
      </c>
      <c r="D61" s="30" t="s">
        <v>334</v>
      </c>
      <c r="E61" s="30">
        <v>1146</v>
      </c>
      <c r="F61" s="30">
        <v>1132</v>
      </c>
      <c r="G61" s="30">
        <v>250</v>
      </c>
      <c r="H61" s="30">
        <v>3500</v>
      </c>
    </row>
    <row r="62" spans="2:10" x14ac:dyDescent="0.3">
      <c r="B62" s="43">
        <v>42201</v>
      </c>
      <c r="C62" s="30" t="s">
        <v>8</v>
      </c>
      <c r="D62" s="30" t="s">
        <v>834</v>
      </c>
      <c r="E62" s="30">
        <v>145</v>
      </c>
      <c r="F62" s="30">
        <v>143.80000000000001</v>
      </c>
      <c r="G62" s="30">
        <v>2000</v>
      </c>
      <c r="H62" s="30">
        <v>2400</v>
      </c>
    </row>
    <row r="63" spans="2:10" x14ac:dyDescent="0.3">
      <c r="B63" s="43">
        <v>42202</v>
      </c>
      <c r="C63" s="30" t="s">
        <v>8</v>
      </c>
      <c r="D63" s="30" t="s">
        <v>124</v>
      </c>
      <c r="E63" s="30">
        <v>393</v>
      </c>
      <c r="F63" s="30">
        <v>398</v>
      </c>
      <c r="G63" s="30">
        <v>500</v>
      </c>
      <c r="H63" s="30">
        <v>-2500</v>
      </c>
    </row>
    <row r="64" spans="2:10" x14ac:dyDescent="0.3">
      <c r="B64" s="43">
        <v>42202</v>
      </c>
      <c r="C64" s="30" t="s">
        <v>8</v>
      </c>
      <c r="D64" s="30" t="s">
        <v>129</v>
      </c>
      <c r="E64" s="30">
        <v>1135</v>
      </c>
      <c r="F64" s="30">
        <v>1130</v>
      </c>
      <c r="G64" s="30">
        <v>250</v>
      </c>
      <c r="H64" s="30">
        <v>1250</v>
      </c>
    </row>
    <row r="65" spans="2:8" x14ac:dyDescent="0.3">
      <c r="B65" s="43">
        <v>42205</v>
      </c>
      <c r="C65" s="30" t="s">
        <v>8</v>
      </c>
      <c r="D65" s="30" t="s">
        <v>129</v>
      </c>
      <c r="E65" s="30">
        <v>1315</v>
      </c>
      <c r="F65" s="30">
        <v>1320</v>
      </c>
      <c r="G65" s="30">
        <v>250</v>
      </c>
      <c r="H65" s="30">
        <v>-1250</v>
      </c>
    </row>
    <row r="66" spans="2:8" x14ac:dyDescent="0.3">
      <c r="B66" s="43">
        <v>42206</v>
      </c>
      <c r="C66" s="30" t="s">
        <v>8</v>
      </c>
      <c r="D66" s="30" t="s">
        <v>108</v>
      </c>
      <c r="E66" s="30">
        <v>1060</v>
      </c>
      <c r="F66" s="30">
        <v>1044</v>
      </c>
      <c r="G66" s="30">
        <v>250</v>
      </c>
      <c r="H66" s="30">
        <v>4000</v>
      </c>
    </row>
    <row r="67" spans="2:8" x14ac:dyDescent="0.3">
      <c r="B67" s="43">
        <v>42206</v>
      </c>
      <c r="C67" s="30" t="s">
        <v>8</v>
      </c>
      <c r="D67" s="30" t="s">
        <v>34</v>
      </c>
      <c r="E67" s="30">
        <v>163.5</v>
      </c>
      <c r="F67" s="30">
        <v>162.5</v>
      </c>
      <c r="G67" s="30">
        <v>2000</v>
      </c>
      <c r="H67" s="30">
        <v>2000</v>
      </c>
    </row>
    <row r="68" spans="2:8" x14ac:dyDescent="0.3">
      <c r="B68" s="43">
        <v>42207</v>
      </c>
      <c r="C68" s="30" t="s">
        <v>8</v>
      </c>
      <c r="D68" s="30" t="s">
        <v>34</v>
      </c>
      <c r="E68" s="30">
        <v>160</v>
      </c>
      <c r="F68" s="30">
        <v>157</v>
      </c>
      <c r="G68" s="30">
        <v>2000</v>
      </c>
      <c r="H68" s="30">
        <v>6000</v>
      </c>
    </row>
    <row r="69" spans="2:8" x14ac:dyDescent="0.3">
      <c r="B69" s="43">
        <v>42208</v>
      </c>
      <c r="C69" s="30" t="s">
        <v>8</v>
      </c>
      <c r="D69" s="30" t="s">
        <v>78</v>
      </c>
      <c r="E69" s="30">
        <v>1855</v>
      </c>
      <c r="F69" s="30">
        <v>1830</v>
      </c>
      <c r="G69" s="30">
        <v>125</v>
      </c>
      <c r="H69" s="30">
        <v>3125</v>
      </c>
    </row>
    <row r="70" spans="2:8" x14ac:dyDescent="0.3">
      <c r="B70" s="43">
        <v>42209</v>
      </c>
      <c r="C70" s="30" t="s">
        <v>8</v>
      </c>
      <c r="D70" s="30" t="s">
        <v>864</v>
      </c>
      <c r="E70" s="30">
        <v>1313</v>
      </c>
      <c r="F70" s="30">
        <v>1300</v>
      </c>
      <c r="G70" s="30">
        <v>250</v>
      </c>
      <c r="H70" s="30">
        <v>3250</v>
      </c>
    </row>
    <row r="71" spans="2:8" x14ac:dyDescent="0.3">
      <c r="B71" s="43">
        <v>42212</v>
      </c>
      <c r="C71" s="30" t="s">
        <v>8</v>
      </c>
      <c r="D71" s="30" t="s">
        <v>93</v>
      </c>
      <c r="E71" s="30">
        <v>383</v>
      </c>
      <c r="F71" s="30">
        <v>373</v>
      </c>
      <c r="G71" s="30">
        <v>500</v>
      </c>
      <c r="H71" s="30">
        <v>5000</v>
      </c>
    </row>
    <row r="72" spans="2:8" x14ac:dyDescent="0.3">
      <c r="B72" s="43">
        <v>42213</v>
      </c>
      <c r="C72" s="30" t="s">
        <v>8</v>
      </c>
      <c r="D72" s="30" t="s">
        <v>93</v>
      </c>
      <c r="E72" s="30">
        <v>370</v>
      </c>
      <c r="F72" s="30">
        <v>375</v>
      </c>
      <c r="G72" s="30">
        <v>500</v>
      </c>
      <c r="H72" s="30">
        <v>-2500</v>
      </c>
    </row>
    <row r="73" spans="2:8" x14ac:dyDescent="0.3">
      <c r="B73" s="43">
        <v>42214</v>
      </c>
      <c r="C73" s="30" t="s">
        <v>8</v>
      </c>
      <c r="D73" s="30" t="s">
        <v>791</v>
      </c>
      <c r="E73" s="30">
        <v>159</v>
      </c>
      <c r="F73" s="30">
        <v>156</v>
      </c>
      <c r="G73" s="30">
        <v>1000</v>
      </c>
      <c r="H73" s="30">
        <v>3000</v>
      </c>
    </row>
    <row r="74" spans="2:8" ht="15.6" x14ac:dyDescent="0.3">
      <c r="B74" s="43">
        <v>42215</v>
      </c>
      <c r="C74" s="30" t="s">
        <v>8</v>
      </c>
      <c r="D74" s="30" t="s">
        <v>334</v>
      </c>
      <c r="E74" s="30">
        <v>1025</v>
      </c>
      <c r="F74" s="30">
        <v>1009</v>
      </c>
      <c r="G74" s="30">
        <v>250</v>
      </c>
      <c r="H74" s="77">
        <v>4000</v>
      </c>
    </row>
    <row r="75" spans="2:8" ht="15.6" x14ac:dyDescent="0.3">
      <c r="B75" s="43">
        <v>42216</v>
      </c>
      <c r="C75" s="30" t="s">
        <v>8</v>
      </c>
      <c r="D75" s="30" t="s">
        <v>31</v>
      </c>
      <c r="E75" s="30">
        <v>1000</v>
      </c>
      <c r="F75" s="30">
        <v>1007</v>
      </c>
      <c r="G75" s="30">
        <v>250</v>
      </c>
      <c r="H75" s="77">
        <v>-1750</v>
      </c>
    </row>
    <row r="76" spans="2:8" ht="18" x14ac:dyDescent="0.35">
      <c r="B76" s="43"/>
      <c r="C76" s="30"/>
      <c r="D76" s="30"/>
      <c r="E76" s="30"/>
      <c r="F76" s="30"/>
      <c r="G76" s="30"/>
      <c r="H76" s="72">
        <v>73775</v>
      </c>
    </row>
    <row r="77" spans="2:8" ht="15.6" x14ac:dyDescent="0.3">
      <c r="B77" s="43"/>
      <c r="C77" s="30"/>
      <c r="D77" s="30"/>
      <c r="E77" s="30"/>
      <c r="F77" s="30"/>
      <c r="G77" s="30"/>
      <c r="H77" s="63"/>
    </row>
    <row r="78" spans="2:8" ht="18" x14ac:dyDescent="0.35">
      <c r="B78" s="43"/>
      <c r="C78" s="30"/>
      <c r="D78" s="30"/>
      <c r="E78" s="30"/>
      <c r="F78" s="30"/>
      <c r="G78" s="30"/>
      <c r="H78" s="76"/>
    </row>
    <row r="79" spans="2:8" ht="15.6" x14ac:dyDescent="0.3">
      <c r="B79" s="43"/>
      <c r="C79" s="30"/>
      <c r="D79" s="30"/>
      <c r="E79" s="30"/>
      <c r="F79" s="30"/>
      <c r="G79" s="30"/>
      <c r="H79" s="33"/>
    </row>
    <row r="80" spans="2:8" ht="15.6" x14ac:dyDescent="0.3">
      <c r="B80" s="48" t="s">
        <v>571</v>
      </c>
      <c r="C80" s="48"/>
      <c r="D80" s="48"/>
      <c r="E80" s="48"/>
      <c r="F80" s="48"/>
      <c r="G80" s="48"/>
      <c r="H80" s="48"/>
    </row>
    <row r="81" spans="2:8" x14ac:dyDescent="0.3">
      <c r="B81" s="43">
        <v>42186</v>
      </c>
      <c r="C81" s="2" t="s">
        <v>9</v>
      </c>
      <c r="D81" s="2" t="s">
        <v>39</v>
      </c>
      <c r="E81" s="41" t="s">
        <v>852</v>
      </c>
      <c r="F81" s="40" t="s">
        <v>853</v>
      </c>
      <c r="G81" s="30">
        <v>100</v>
      </c>
      <c r="H81" s="41" t="s">
        <v>280</v>
      </c>
    </row>
    <row r="82" spans="2:8" x14ac:dyDescent="0.3">
      <c r="B82" s="43">
        <v>42187</v>
      </c>
      <c r="C82" s="30" t="s">
        <v>9</v>
      </c>
      <c r="D82" s="2" t="s">
        <v>39</v>
      </c>
      <c r="E82" s="2">
        <v>8450</v>
      </c>
      <c r="F82" s="30">
        <v>8475</v>
      </c>
      <c r="G82" s="30">
        <v>100</v>
      </c>
      <c r="H82" s="30">
        <v>2500</v>
      </c>
    </row>
    <row r="83" spans="2:8" x14ac:dyDescent="0.3">
      <c r="B83" s="43">
        <v>42188</v>
      </c>
      <c r="C83" s="30" t="s">
        <v>9</v>
      </c>
      <c r="D83" s="2" t="s">
        <v>39</v>
      </c>
      <c r="E83" s="2">
        <v>8480</v>
      </c>
      <c r="F83" s="30">
        <v>8490</v>
      </c>
      <c r="G83" s="30">
        <v>100</v>
      </c>
      <c r="H83" s="30">
        <v>1000</v>
      </c>
    </row>
    <row r="84" spans="2:8" x14ac:dyDescent="0.3">
      <c r="B84" s="43">
        <v>42191</v>
      </c>
      <c r="C84" s="30" t="s">
        <v>9</v>
      </c>
      <c r="D84" s="2" t="s">
        <v>39</v>
      </c>
      <c r="E84" s="30">
        <v>8420</v>
      </c>
      <c r="F84" s="30">
        <v>8405</v>
      </c>
      <c r="G84" s="30">
        <v>100</v>
      </c>
      <c r="H84" s="30">
        <v>-1500</v>
      </c>
    </row>
    <row r="85" spans="2:8" x14ac:dyDescent="0.3">
      <c r="B85" s="43">
        <v>42192</v>
      </c>
      <c r="C85" s="30" t="s">
        <v>8</v>
      </c>
      <c r="D85" s="2" t="s">
        <v>39</v>
      </c>
      <c r="E85" s="30">
        <v>8525</v>
      </c>
      <c r="F85" s="30">
        <v>8485</v>
      </c>
      <c r="G85" s="30">
        <v>100</v>
      </c>
      <c r="H85" s="30">
        <v>4000</v>
      </c>
    </row>
    <row r="86" spans="2:8" x14ac:dyDescent="0.3">
      <c r="B86" s="43">
        <v>42193</v>
      </c>
      <c r="C86" s="30" t="s">
        <v>8</v>
      </c>
      <c r="D86" s="2" t="s">
        <v>39</v>
      </c>
      <c r="E86" s="30">
        <v>8415</v>
      </c>
      <c r="F86" s="30">
        <v>8355</v>
      </c>
      <c r="G86" s="30">
        <v>100</v>
      </c>
      <c r="H86" s="30">
        <v>6000</v>
      </c>
    </row>
    <row r="87" spans="2:8" x14ac:dyDescent="0.3">
      <c r="B87" s="43">
        <v>42194</v>
      </c>
      <c r="C87" s="30" t="s">
        <v>8</v>
      </c>
      <c r="D87" s="2" t="s">
        <v>39</v>
      </c>
      <c r="E87" s="30">
        <v>8375</v>
      </c>
      <c r="F87" s="30">
        <v>8335</v>
      </c>
      <c r="G87" s="30">
        <v>100</v>
      </c>
      <c r="H87" s="30">
        <v>4000</v>
      </c>
    </row>
    <row r="88" spans="2:8" x14ac:dyDescent="0.3">
      <c r="B88" s="43">
        <v>42195</v>
      </c>
      <c r="C88" s="30" t="s">
        <v>8</v>
      </c>
      <c r="D88" s="2" t="s">
        <v>39</v>
      </c>
      <c r="E88" s="30">
        <v>8375</v>
      </c>
      <c r="F88" s="30">
        <v>8335</v>
      </c>
      <c r="G88" s="30">
        <v>100</v>
      </c>
      <c r="H88" s="30">
        <v>4000</v>
      </c>
    </row>
    <row r="89" spans="2:8" x14ac:dyDescent="0.3">
      <c r="B89" s="43">
        <v>42198</v>
      </c>
      <c r="C89" s="30" t="s">
        <v>8</v>
      </c>
      <c r="D89" s="2" t="s">
        <v>39</v>
      </c>
      <c r="E89" s="30">
        <v>8375</v>
      </c>
      <c r="F89" s="30">
        <v>8360</v>
      </c>
      <c r="G89" s="30">
        <v>100</v>
      </c>
      <c r="H89" s="30">
        <v>1500</v>
      </c>
    </row>
    <row r="90" spans="2:8" x14ac:dyDescent="0.3">
      <c r="B90" s="43">
        <v>42199</v>
      </c>
      <c r="C90" s="30" t="s">
        <v>9</v>
      </c>
      <c r="D90" s="2" t="s">
        <v>39</v>
      </c>
      <c r="E90" s="30">
        <v>8460</v>
      </c>
      <c r="F90" s="30">
        <v>8500</v>
      </c>
      <c r="G90" s="30">
        <v>100</v>
      </c>
      <c r="H90" s="30">
        <v>4000</v>
      </c>
    </row>
    <row r="91" spans="2:8" x14ac:dyDescent="0.3">
      <c r="B91" s="43">
        <v>42200</v>
      </c>
      <c r="C91" s="30" t="s">
        <v>9</v>
      </c>
      <c r="D91" s="2" t="s">
        <v>39</v>
      </c>
      <c r="E91" s="30">
        <v>8530</v>
      </c>
      <c r="F91" s="30">
        <v>8545</v>
      </c>
      <c r="G91" s="30">
        <v>100</v>
      </c>
      <c r="H91" s="30">
        <v>1500</v>
      </c>
    </row>
    <row r="92" spans="2:8" x14ac:dyDescent="0.3">
      <c r="B92" s="43">
        <v>42201</v>
      </c>
      <c r="C92" s="30" t="s">
        <v>9</v>
      </c>
      <c r="D92" s="2" t="s">
        <v>39</v>
      </c>
      <c r="E92" s="30">
        <v>8575</v>
      </c>
      <c r="F92" s="30">
        <v>8630</v>
      </c>
      <c r="G92" s="30">
        <v>100</v>
      </c>
      <c r="H92" s="30">
        <v>5500</v>
      </c>
    </row>
    <row r="93" spans="2:8" x14ac:dyDescent="0.3">
      <c r="B93" s="43">
        <v>42202</v>
      </c>
      <c r="C93" s="30" t="s">
        <v>8</v>
      </c>
      <c r="D93" s="2" t="s">
        <v>39</v>
      </c>
      <c r="E93" s="30">
        <v>8625</v>
      </c>
      <c r="F93" s="30">
        <v>8615</v>
      </c>
      <c r="G93" s="30">
        <v>100</v>
      </c>
      <c r="H93" s="30">
        <v>1000</v>
      </c>
    </row>
    <row r="94" spans="2:8" x14ac:dyDescent="0.3">
      <c r="B94" s="43">
        <v>42205</v>
      </c>
      <c r="C94" s="30" t="s">
        <v>8</v>
      </c>
      <c r="D94" s="2" t="s">
        <v>39</v>
      </c>
      <c r="E94" s="30">
        <v>8600</v>
      </c>
      <c r="F94" s="30">
        <v>8580</v>
      </c>
      <c r="G94" s="30">
        <v>100</v>
      </c>
      <c r="H94" s="30">
        <v>2000</v>
      </c>
    </row>
    <row r="95" spans="2:8" x14ac:dyDescent="0.3">
      <c r="B95" s="43">
        <v>42206</v>
      </c>
      <c r="C95" s="30" t="s">
        <v>8</v>
      </c>
      <c r="D95" s="2" t="s">
        <v>39</v>
      </c>
      <c r="E95" s="30">
        <v>8620</v>
      </c>
      <c r="F95" s="30">
        <v>8555</v>
      </c>
      <c r="G95" s="30">
        <v>100</v>
      </c>
      <c r="H95" s="30">
        <v>6500</v>
      </c>
    </row>
    <row r="96" spans="2:8" x14ac:dyDescent="0.3">
      <c r="B96" s="43">
        <v>42207</v>
      </c>
      <c r="C96" s="30" t="s">
        <v>8</v>
      </c>
      <c r="D96" s="2" t="s">
        <v>39</v>
      </c>
      <c r="E96" s="30">
        <v>8585</v>
      </c>
      <c r="F96" s="30">
        <v>8620</v>
      </c>
      <c r="G96" s="30">
        <v>100</v>
      </c>
      <c r="H96" s="30">
        <v>-3500</v>
      </c>
    </row>
    <row r="97" spans="2:8" ht="15.6" x14ac:dyDescent="0.3">
      <c r="B97" s="43">
        <v>42208</v>
      </c>
      <c r="C97" s="30" t="s">
        <v>8</v>
      </c>
      <c r="D97" s="2" t="s">
        <v>39</v>
      </c>
      <c r="E97" s="30">
        <v>8635</v>
      </c>
      <c r="F97" s="30">
        <v>8595</v>
      </c>
      <c r="G97" s="30">
        <v>100</v>
      </c>
      <c r="H97" s="77">
        <v>4000</v>
      </c>
    </row>
    <row r="98" spans="2:8" ht="15.6" x14ac:dyDescent="0.3">
      <c r="B98" s="43">
        <v>42209</v>
      </c>
      <c r="C98" s="30" t="s">
        <v>8</v>
      </c>
      <c r="D98" s="2" t="s">
        <v>39</v>
      </c>
      <c r="E98" s="30">
        <v>8585</v>
      </c>
      <c r="F98" s="30">
        <v>8525</v>
      </c>
      <c r="G98" s="30">
        <v>100</v>
      </c>
      <c r="H98" s="77">
        <v>6000</v>
      </c>
    </row>
    <row r="99" spans="2:8" x14ac:dyDescent="0.3">
      <c r="B99" s="43">
        <v>42212</v>
      </c>
      <c r="C99" s="30" t="s">
        <v>8</v>
      </c>
      <c r="D99" s="2" t="s">
        <v>39</v>
      </c>
      <c r="E99" s="30">
        <v>8450</v>
      </c>
      <c r="F99" s="30">
        <v>8390</v>
      </c>
      <c r="G99" s="30">
        <v>100</v>
      </c>
      <c r="H99" s="30">
        <v>6000</v>
      </c>
    </row>
    <row r="100" spans="2:8" x14ac:dyDescent="0.3">
      <c r="B100" s="43">
        <v>42213</v>
      </c>
      <c r="C100" s="30" t="s">
        <v>8</v>
      </c>
      <c r="D100" s="2" t="s">
        <v>39</v>
      </c>
      <c r="E100" s="30">
        <v>8370</v>
      </c>
      <c r="F100" s="30">
        <v>8335</v>
      </c>
      <c r="G100" s="30">
        <v>100</v>
      </c>
      <c r="H100" s="30">
        <v>3500</v>
      </c>
    </row>
    <row r="101" spans="2:8" x14ac:dyDescent="0.3">
      <c r="B101" s="43">
        <v>42214</v>
      </c>
      <c r="C101" s="30" t="s">
        <v>8</v>
      </c>
      <c r="D101" s="2" t="s">
        <v>39</v>
      </c>
      <c r="E101" s="30">
        <v>8360</v>
      </c>
      <c r="F101" s="30">
        <v>8340</v>
      </c>
      <c r="G101" s="30">
        <v>100</v>
      </c>
      <c r="H101" s="30">
        <v>2000</v>
      </c>
    </row>
    <row r="102" spans="2:8" x14ac:dyDescent="0.3">
      <c r="B102" s="43">
        <v>42215</v>
      </c>
      <c r="C102" s="30" t="s">
        <v>9</v>
      </c>
      <c r="D102" s="2" t="s">
        <v>39</v>
      </c>
      <c r="E102" s="30">
        <v>8425</v>
      </c>
      <c r="F102" s="30">
        <v>8450</v>
      </c>
      <c r="G102" s="30">
        <v>100</v>
      </c>
      <c r="H102" s="49">
        <v>2500</v>
      </c>
    </row>
    <row r="103" spans="2:8" x14ac:dyDescent="0.3">
      <c r="B103" s="43">
        <v>42216</v>
      </c>
      <c r="C103" s="28" t="s">
        <v>8</v>
      </c>
      <c r="D103" s="2" t="s">
        <v>39</v>
      </c>
      <c r="E103" s="28">
        <v>8500</v>
      </c>
      <c r="F103" s="28">
        <v>8535</v>
      </c>
      <c r="G103" s="30">
        <v>100</v>
      </c>
      <c r="H103" s="49">
        <v>-3500</v>
      </c>
    </row>
    <row r="104" spans="2:8" ht="18" x14ac:dyDescent="0.35">
      <c r="B104" s="43"/>
      <c r="C104" s="28"/>
      <c r="D104" s="30"/>
      <c r="E104" s="28"/>
      <c r="F104" s="28"/>
      <c r="G104" s="28"/>
      <c r="H104" s="72">
        <v>65000</v>
      </c>
    </row>
    <row r="105" spans="2:8" x14ac:dyDescent="0.3">
      <c r="B105" s="43"/>
      <c r="C105" s="28"/>
      <c r="D105" s="30"/>
      <c r="E105" s="28"/>
      <c r="F105" s="28"/>
      <c r="G105" s="28"/>
      <c r="H105" s="28"/>
    </row>
    <row r="106" spans="2:8" x14ac:dyDescent="0.3">
      <c r="B106" s="43"/>
      <c r="C106" s="28"/>
      <c r="D106" s="30"/>
      <c r="E106" s="28"/>
      <c r="F106" s="28"/>
      <c r="G106" s="28"/>
      <c r="H106" s="28"/>
    </row>
    <row r="107" spans="2:8" ht="15.6" x14ac:dyDescent="0.3">
      <c r="B107" s="48" t="s">
        <v>572</v>
      </c>
      <c r="C107" s="61"/>
      <c r="D107" s="61"/>
      <c r="E107" s="61"/>
      <c r="F107" s="61"/>
      <c r="G107" s="61"/>
      <c r="H107" s="61"/>
    </row>
    <row r="108" spans="2:8" x14ac:dyDescent="0.3">
      <c r="B108" s="43">
        <v>42186</v>
      </c>
      <c r="C108" s="3" t="s">
        <v>9</v>
      </c>
      <c r="D108" s="3" t="s">
        <v>551</v>
      </c>
      <c r="E108" s="41" t="s">
        <v>232</v>
      </c>
      <c r="F108" s="41" t="s">
        <v>854</v>
      </c>
      <c r="G108" s="30">
        <v>200</v>
      </c>
      <c r="H108" s="8">
        <v>7000</v>
      </c>
    </row>
    <row r="109" spans="2:8" x14ac:dyDescent="0.3">
      <c r="B109" s="43">
        <v>42187</v>
      </c>
      <c r="C109" s="3" t="s">
        <v>9</v>
      </c>
      <c r="D109" s="3" t="s">
        <v>551</v>
      </c>
      <c r="E109" s="30">
        <v>160</v>
      </c>
      <c r="F109" s="30">
        <v>170</v>
      </c>
      <c r="G109" s="30">
        <v>200</v>
      </c>
      <c r="H109" s="30">
        <v>2000</v>
      </c>
    </row>
    <row r="110" spans="2:8" x14ac:dyDescent="0.3">
      <c r="B110" s="43">
        <v>42188</v>
      </c>
      <c r="C110" s="3" t="s">
        <v>9</v>
      </c>
      <c r="D110" s="3" t="s">
        <v>625</v>
      </c>
      <c r="E110" s="30">
        <v>125</v>
      </c>
      <c r="F110" s="30">
        <v>135</v>
      </c>
      <c r="G110" s="30">
        <v>200</v>
      </c>
      <c r="H110" s="30">
        <v>2000</v>
      </c>
    </row>
    <row r="111" spans="2:8" x14ac:dyDescent="0.3">
      <c r="B111" s="43">
        <v>42191</v>
      </c>
      <c r="C111" s="3" t="s">
        <v>9</v>
      </c>
      <c r="D111" s="30" t="s">
        <v>551</v>
      </c>
      <c r="E111" s="30">
        <v>142</v>
      </c>
      <c r="F111" s="30">
        <v>135</v>
      </c>
      <c r="G111" s="30">
        <v>200</v>
      </c>
      <c r="H111" s="30">
        <v>-1400</v>
      </c>
    </row>
    <row r="112" spans="2:8" x14ac:dyDescent="0.3">
      <c r="B112" s="43">
        <v>42192</v>
      </c>
      <c r="C112" s="3" t="s">
        <v>9</v>
      </c>
      <c r="D112" s="30" t="s">
        <v>554</v>
      </c>
      <c r="E112" s="30">
        <v>115</v>
      </c>
      <c r="F112" s="30">
        <v>135</v>
      </c>
      <c r="G112" s="30">
        <v>200</v>
      </c>
      <c r="H112" s="30">
        <v>4000</v>
      </c>
    </row>
    <row r="113" spans="2:8" x14ac:dyDescent="0.3">
      <c r="B113" s="43">
        <v>42193</v>
      </c>
      <c r="C113" s="3" t="s">
        <v>9</v>
      </c>
      <c r="D113" s="30" t="s">
        <v>544</v>
      </c>
      <c r="E113" s="30">
        <v>128</v>
      </c>
      <c r="F113" s="30">
        <v>163</v>
      </c>
      <c r="G113" s="30">
        <v>200</v>
      </c>
      <c r="H113" s="30">
        <v>7000</v>
      </c>
    </row>
    <row r="114" spans="2:8" x14ac:dyDescent="0.3">
      <c r="B114" s="43">
        <v>42194</v>
      </c>
      <c r="C114" s="3" t="s">
        <v>9</v>
      </c>
      <c r="D114" s="30" t="s">
        <v>544</v>
      </c>
      <c r="E114" s="30">
        <v>150</v>
      </c>
      <c r="F114" s="30">
        <v>160</v>
      </c>
      <c r="G114" s="30">
        <v>200</v>
      </c>
      <c r="H114" s="30">
        <v>4000</v>
      </c>
    </row>
    <row r="115" spans="2:8" x14ac:dyDescent="0.3">
      <c r="B115" s="43">
        <v>42195</v>
      </c>
      <c r="C115" s="3" t="s">
        <v>9</v>
      </c>
      <c r="D115" s="30" t="s">
        <v>544</v>
      </c>
      <c r="E115" s="30">
        <v>135</v>
      </c>
      <c r="F115" s="30">
        <v>160</v>
      </c>
      <c r="G115" s="30">
        <v>200</v>
      </c>
      <c r="H115" s="30">
        <v>5000</v>
      </c>
    </row>
    <row r="116" spans="2:8" x14ac:dyDescent="0.3">
      <c r="B116" s="43">
        <v>42198</v>
      </c>
      <c r="C116" s="3" t="s">
        <v>9</v>
      </c>
      <c r="D116" s="30" t="s">
        <v>544</v>
      </c>
      <c r="E116" s="30">
        <v>130</v>
      </c>
      <c r="F116" s="30">
        <v>140</v>
      </c>
      <c r="G116" s="30">
        <v>200</v>
      </c>
      <c r="H116" s="30">
        <v>2000</v>
      </c>
    </row>
    <row r="117" spans="2:8" x14ac:dyDescent="0.3">
      <c r="B117" s="43">
        <v>42199</v>
      </c>
      <c r="C117" s="3" t="s">
        <v>9</v>
      </c>
      <c r="D117" s="30" t="s">
        <v>551</v>
      </c>
      <c r="E117" s="30">
        <v>138</v>
      </c>
      <c r="F117" s="30">
        <v>161</v>
      </c>
      <c r="G117" s="30">
        <v>200</v>
      </c>
      <c r="H117" s="30">
        <v>4600</v>
      </c>
    </row>
    <row r="118" spans="2:8" x14ac:dyDescent="0.3">
      <c r="B118" s="43">
        <v>42200</v>
      </c>
      <c r="C118" s="3" t="s">
        <v>9</v>
      </c>
      <c r="D118" s="30" t="s">
        <v>625</v>
      </c>
      <c r="E118" s="30">
        <v>108</v>
      </c>
      <c r="F118" s="30">
        <v>118</v>
      </c>
      <c r="G118" s="30">
        <v>200</v>
      </c>
      <c r="H118" s="30">
        <v>2000</v>
      </c>
    </row>
    <row r="119" spans="2:8" x14ac:dyDescent="0.3">
      <c r="B119" s="43">
        <v>42201</v>
      </c>
      <c r="C119" s="3" t="s">
        <v>9</v>
      </c>
      <c r="D119" s="30" t="s">
        <v>625</v>
      </c>
      <c r="E119" s="30">
        <v>130</v>
      </c>
      <c r="F119" s="30">
        <v>165</v>
      </c>
      <c r="G119" s="30">
        <v>200</v>
      </c>
      <c r="H119" s="30">
        <v>7000</v>
      </c>
    </row>
    <row r="120" spans="2:8" x14ac:dyDescent="0.3">
      <c r="B120" s="43">
        <v>42202</v>
      </c>
      <c r="C120" s="3" t="s">
        <v>9</v>
      </c>
      <c r="D120" s="30" t="s">
        <v>662</v>
      </c>
      <c r="E120" s="30">
        <v>121</v>
      </c>
      <c r="F120" s="30">
        <v>122</v>
      </c>
      <c r="G120" s="30">
        <v>200</v>
      </c>
      <c r="H120" s="30">
        <v>200</v>
      </c>
    </row>
    <row r="121" spans="2:8" x14ac:dyDescent="0.3">
      <c r="B121" s="43">
        <v>42205</v>
      </c>
      <c r="C121" s="3" t="s">
        <v>9</v>
      </c>
      <c r="D121" s="30" t="s">
        <v>662</v>
      </c>
      <c r="E121" s="30">
        <v>130</v>
      </c>
      <c r="F121" s="30">
        <v>145</v>
      </c>
      <c r="G121" s="30">
        <v>200</v>
      </c>
      <c r="H121" s="30">
        <v>3000</v>
      </c>
    </row>
    <row r="122" spans="2:8" ht="15.6" x14ac:dyDescent="0.3">
      <c r="B122" s="43">
        <v>42206</v>
      </c>
      <c r="C122" s="3" t="s">
        <v>9</v>
      </c>
      <c r="D122" s="30" t="s">
        <v>662</v>
      </c>
      <c r="E122" s="30">
        <v>115</v>
      </c>
      <c r="F122" s="30">
        <v>150</v>
      </c>
      <c r="G122" s="30">
        <v>200</v>
      </c>
      <c r="H122" s="62" t="s">
        <v>463</v>
      </c>
    </row>
    <row r="123" spans="2:8" ht="15.6" x14ac:dyDescent="0.3">
      <c r="B123" s="43">
        <v>42207</v>
      </c>
      <c r="C123" s="3" t="s">
        <v>9</v>
      </c>
      <c r="D123" s="30" t="s">
        <v>662</v>
      </c>
      <c r="E123" s="30">
        <v>132</v>
      </c>
      <c r="F123" s="30">
        <v>112</v>
      </c>
      <c r="G123" s="30">
        <v>200</v>
      </c>
      <c r="H123" s="62" t="s">
        <v>673</v>
      </c>
    </row>
    <row r="124" spans="2:8" ht="15.6" x14ac:dyDescent="0.3">
      <c r="B124" s="43">
        <v>42208</v>
      </c>
      <c r="C124" s="3" t="s">
        <v>9</v>
      </c>
      <c r="D124" s="28" t="s">
        <v>662</v>
      </c>
      <c r="E124" s="49" t="s">
        <v>217</v>
      </c>
      <c r="F124" s="49" t="s">
        <v>524</v>
      </c>
      <c r="G124" s="30">
        <v>200</v>
      </c>
      <c r="H124" s="62" t="s">
        <v>466</v>
      </c>
    </row>
    <row r="125" spans="2:8" x14ac:dyDescent="0.3">
      <c r="B125" s="43">
        <v>42209</v>
      </c>
      <c r="C125" s="3" t="s">
        <v>9</v>
      </c>
      <c r="D125" s="28" t="s">
        <v>662</v>
      </c>
      <c r="E125" s="49" t="s">
        <v>214</v>
      </c>
      <c r="F125" s="49" t="s">
        <v>513</v>
      </c>
      <c r="G125" s="30">
        <v>200</v>
      </c>
      <c r="H125" s="49" t="s">
        <v>463</v>
      </c>
    </row>
    <row r="126" spans="2:8" x14ac:dyDescent="0.3">
      <c r="B126" s="43">
        <v>42212</v>
      </c>
      <c r="C126" s="3" t="s">
        <v>9</v>
      </c>
      <c r="D126" s="28" t="s">
        <v>563</v>
      </c>
      <c r="E126" s="49">
        <v>155</v>
      </c>
      <c r="F126" s="49">
        <v>190</v>
      </c>
      <c r="G126" s="30">
        <v>200</v>
      </c>
      <c r="H126" s="30">
        <v>7000</v>
      </c>
    </row>
    <row r="127" spans="2:8" x14ac:dyDescent="0.3">
      <c r="B127" s="43">
        <v>42213</v>
      </c>
      <c r="C127" s="28" t="s">
        <v>9</v>
      </c>
      <c r="D127" s="28" t="s">
        <v>554</v>
      </c>
      <c r="E127" s="49">
        <v>142</v>
      </c>
      <c r="F127" s="49">
        <v>167</v>
      </c>
      <c r="G127" s="30">
        <v>200</v>
      </c>
      <c r="H127" s="49">
        <v>5000</v>
      </c>
    </row>
    <row r="128" spans="2:8" x14ac:dyDescent="0.3">
      <c r="B128" s="43">
        <v>42214</v>
      </c>
      <c r="C128" s="28" t="s">
        <v>9</v>
      </c>
      <c r="D128" s="28" t="s">
        <v>554</v>
      </c>
      <c r="E128" s="28">
        <v>143</v>
      </c>
      <c r="F128" s="28">
        <v>158</v>
      </c>
      <c r="G128" s="30">
        <v>200</v>
      </c>
      <c r="H128" s="49">
        <v>3000</v>
      </c>
    </row>
    <row r="129" spans="2:8" x14ac:dyDescent="0.3">
      <c r="B129" s="43">
        <v>42215</v>
      </c>
      <c r="C129" s="28" t="s">
        <v>9</v>
      </c>
      <c r="D129" s="28" t="s">
        <v>865</v>
      </c>
      <c r="E129" s="28">
        <v>125</v>
      </c>
      <c r="F129" s="28">
        <v>150</v>
      </c>
      <c r="G129" s="30">
        <v>200</v>
      </c>
      <c r="H129" s="28">
        <v>5000</v>
      </c>
    </row>
    <row r="130" spans="2:8" x14ac:dyDescent="0.3">
      <c r="B130" s="43">
        <v>42216</v>
      </c>
      <c r="C130" s="28" t="s">
        <v>9</v>
      </c>
      <c r="D130" s="28" t="s">
        <v>554</v>
      </c>
      <c r="E130" s="28">
        <v>130</v>
      </c>
      <c r="F130" s="28">
        <v>110</v>
      </c>
      <c r="G130" s="30">
        <v>200</v>
      </c>
      <c r="H130" s="28">
        <v>-4000</v>
      </c>
    </row>
    <row r="131" spans="2:8" ht="18" x14ac:dyDescent="0.35">
      <c r="B131" s="1"/>
      <c r="C131" s="28"/>
      <c r="D131" s="28"/>
      <c r="E131" s="28"/>
      <c r="F131" s="28"/>
      <c r="G131" s="28"/>
      <c r="H131" s="72">
        <v>79400</v>
      </c>
    </row>
    <row r="132" spans="2:8" x14ac:dyDescent="0.3">
      <c r="B132" s="1"/>
    </row>
    <row r="133" spans="2:8" x14ac:dyDescent="0.3">
      <c r="B133" s="1"/>
    </row>
    <row r="134" spans="2:8" x14ac:dyDescent="0.3">
      <c r="B134" s="1"/>
    </row>
    <row r="135" spans="2:8" x14ac:dyDescent="0.3">
      <c r="B135" s="1"/>
    </row>
    <row r="136" spans="2:8" x14ac:dyDescent="0.3">
      <c r="B136" s="1"/>
    </row>
    <row r="137" spans="2:8" x14ac:dyDescent="0.3">
      <c r="B137" s="1"/>
    </row>
    <row r="138" spans="2:8" x14ac:dyDescent="0.3">
      <c r="B138" s="1"/>
    </row>
    <row r="139" spans="2:8" x14ac:dyDescent="0.3">
      <c r="B139" s="1"/>
    </row>
    <row r="140" spans="2:8" x14ac:dyDescent="0.3">
      <c r="B140" s="1"/>
    </row>
    <row r="141" spans="2:8" x14ac:dyDescent="0.3">
      <c r="B141" s="1"/>
    </row>
    <row r="142" spans="2:8" x14ac:dyDescent="0.3">
      <c r="B142" s="1"/>
    </row>
    <row r="143" spans="2:8" x14ac:dyDescent="0.3">
      <c r="B143" s="1"/>
    </row>
  </sheetData>
  <mergeCells count="3">
    <mergeCell ref="B1:H1"/>
    <mergeCell ref="B2:H2"/>
    <mergeCell ref="B3:H3"/>
  </mergeCells>
  <hyperlinks>
    <hyperlink ref="J2" location="'MASTER '!A1" display="Back" xr:uid="{00000000-0004-0000-1B00-000000000000}"/>
  </hyperlinks>
  <pageMargins left="0.7" right="0.7" top="0.75" bottom="0.75" header="0.3" footer="0.3"/>
  <pageSetup orientation="portrait" r:id="rId1"/>
  <ignoredErrors>
    <ignoredError sqref="E6:H13 E46:H47 E81:H82 E108:G108 H122 E123:H124 E125:H125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5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16.109375" style="10" customWidth="1"/>
    <col min="11" max="11" width="14.33203125" style="10" customWidth="1"/>
    <col min="12" max="16384" width="9.109375" style="10"/>
  </cols>
  <sheetData>
    <row r="1" spans="1:14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4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4" ht="15.6" x14ac:dyDescent="0.3">
      <c r="A3" s="11"/>
      <c r="B3" s="284" t="s">
        <v>902</v>
      </c>
      <c r="C3" s="284"/>
      <c r="D3" s="284"/>
      <c r="E3" s="284"/>
      <c r="F3" s="284"/>
      <c r="G3" s="284"/>
      <c r="H3" s="284"/>
      <c r="I3" s="11"/>
    </row>
    <row r="4" spans="1:14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4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4" x14ac:dyDescent="0.3">
      <c r="B6" s="43">
        <v>42219</v>
      </c>
      <c r="C6" s="2" t="s">
        <v>11</v>
      </c>
      <c r="D6" s="2" t="s">
        <v>19</v>
      </c>
      <c r="E6" s="41" t="s">
        <v>867</v>
      </c>
      <c r="F6" s="40" t="s">
        <v>868</v>
      </c>
      <c r="G6" s="5">
        <v>1060</v>
      </c>
      <c r="H6" s="41" t="s">
        <v>882</v>
      </c>
      <c r="K6" s="16"/>
    </row>
    <row r="7" spans="1:14" x14ac:dyDescent="0.3">
      <c r="B7" s="43">
        <v>42219</v>
      </c>
      <c r="C7" s="2" t="s">
        <v>8</v>
      </c>
      <c r="D7" s="2" t="s">
        <v>592</v>
      </c>
      <c r="E7" s="41" t="s">
        <v>871</v>
      </c>
      <c r="F7" s="40" t="s">
        <v>459</v>
      </c>
      <c r="G7" s="5">
        <v>710</v>
      </c>
      <c r="H7" s="41" t="s">
        <v>883</v>
      </c>
      <c r="J7" s="66" t="s">
        <v>453</v>
      </c>
      <c r="K7" s="67" t="s">
        <v>448</v>
      </c>
      <c r="L7" s="67" t="s">
        <v>454</v>
      </c>
      <c r="M7" s="67" t="s">
        <v>455</v>
      </c>
      <c r="N7" s="67" t="s">
        <v>456</v>
      </c>
    </row>
    <row r="8" spans="1:14" x14ac:dyDescent="0.3">
      <c r="B8" s="43">
        <v>42220</v>
      </c>
      <c r="C8" s="2" t="s">
        <v>9</v>
      </c>
      <c r="D8" s="2" t="s">
        <v>19</v>
      </c>
      <c r="E8" s="41" t="s">
        <v>869</v>
      </c>
      <c r="F8" s="40" t="s">
        <v>870</v>
      </c>
      <c r="G8" s="5">
        <v>1067</v>
      </c>
      <c r="H8" s="41" t="s">
        <v>884</v>
      </c>
      <c r="J8" s="16" t="s">
        <v>449</v>
      </c>
      <c r="K8" s="30">
        <v>43</v>
      </c>
      <c r="L8" s="30">
        <v>35</v>
      </c>
      <c r="M8" s="30">
        <v>6</v>
      </c>
      <c r="N8" s="30">
        <v>2</v>
      </c>
    </row>
    <row r="9" spans="1:14" x14ac:dyDescent="0.3">
      <c r="B9" s="43">
        <v>42220</v>
      </c>
      <c r="C9" s="2" t="s">
        <v>8</v>
      </c>
      <c r="D9" s="2" t="s">
        <v>815</v>
      </c>
      <c r="E9" s="41" t="s">
        <v>872</v>
      </c>
      <c r="F9" s="40" t="s">
        <v>873</v>
      </c>
      <c r="G9" s="5">
        <v>244</v>
      </c>
      <c r="H9" s="41" t="s">
        <v>885</v>
      </c>
      <c r="J9" s="16" t="s">
        <v>450</v>
      </c>
      <c r="K9" s="30">
        <v>22</v>
      </c>
      <c r="L9" s="30">
        <v>16</v>
      </c>
      <c r="M9" s="30">
        <v>5</v>
      </c>
      <c r="N9" s="30">
        <v>1</v>
      </c>
    </row>
    <row r="10" spans="1:14" x14ac:dyDescent="0.3">
      <c r="B10" s="43">
        <v>42221</v>
      </c>
      <c r="C10" s="2" t="s">
        <v>11</v>
      </c>
      <c r="D10" s="2" t="s">
        <v>129</v>
      </c>
      <c r="E10" s="41" t="s">
        <v>886</v>
      </c>
      <c r="F10" s="40" t="s">
        <v>887</v>
      </c>
      <c r="G10" s="5">
        <v>228</v>
      </c>
      <c r="H10" s="41" t="s">
        <v>890</v>
      </c>
      <c r="J10" s="16" t="s">
        <v>451</v>
      </c>
      <c r="K10" s="30">
        <v>23</v>
      </c>
      <c r="L10" s="30">
        <v>21</v>
      </c>
      <c r="M10" s="30">
        <v>2</v>
      </c>
      <c r="N10" s="30">
        <v>0</v>
      </c>
    </row>
    <row r="11" spans="1:14" x14ac:dyDescent="0.3">
      <c r="B11" s="43">
        <v>42221</v>
      </c>
      <c r="C11" s="2" t="s">
        <v>8</v>
      </c>
      <c r="D11" s="2" t="s">
        <v>19</v>
      </c>
      <c r="E11" s="41" t="s">
        <v>888</v>
      </c>
      <c r="F11" s="40" t="s">
        <v>889</v>
      </c>
      <c r="G11" s="5">
        <v>1041</v>
      </c>
      <c r="H11" s="41" t="s">
        <v>891</v>
      </c>
      <c r="J11" s="16" t="s">
        <v>452</v>
      </c>
      <c r="K11" s="30">
        <v>21</v>
      </c>
      <c r="L11" s="30">
        <v>19</v>
      </c>
      <c r="M11" s="30">
        <v>2</v>
      </c>
      <c r="N11" s="30">
        <v>0</v>
      </c>
    </row>
    <row r="12" spans="1:14" x14ac:dyDescent="0.3">
      <c r="B12" s="43">
        <v>42222</v>
      </c>
      <c r="C12" s="2" t="s">
        <v>8</v>
      </c>
      <c r="D12" s="28" t="s">
        <v>864</v>
      </c>
      <c r="E12" s="30">
        <v>1445</v>
      </c>
      <c r="F12" s="30">
        <v>1420</v>
      </c>
      <c r="G12" s="30">
        <v>207</v>
      </c>
      <c r="H12" s="41" t="s">
        <v>892</v>
      </c>
      <c r="J12" s="16"/>
      <c r="K12" s="21">
        <v>109</v>
      </c>
      <c r="L12" s="21">
        <v>91</v>
      </c>
      <c r="M12" s="21">
        <v>15</v>
      </c>
      <c r="N12" s="21">
        <v>3</v>
      </c>
    </row>
    <row r="13" spans="1:14" x14ac:dyDescent="0.3">
      <c r="B13" s="43">
        <v>42223</v>
      </c>
      <c r="C13" s="2" t="s">
        <v>11</v>
      </c>
      <c r="D13" s="28" t="s">
        <v>98</v>
      </c>
      <c r="E13" s="30">
        <v>2660</v>
      </c>
      <c r="F13" s="30">
        <v>2666</v>
      </c>
      <c r="G13" s="30">
        <v>112</v>
      </c>
      <c r="H13" s="41" t="s">
        <v>893</v>
      </c>
      <c r="K13" s="16"/>
    </row>
    <row r="14" spans="1:14" x14ac:dyDescent="0.3">
      <c r="B14" s="43">
        <v>42223</v>
      </c>
      <c r="C14" s="2" t="s">
        <v>8</v>
      </c>
      <c r="D14" s="28" t="s">
        <v>13</v>
      </c>
      <c r="E14" s="30">
        <v>421</v>
      </c>
      <c r="F14" s="30">
        <v>417</v>
      </c>
      <c r="G14" s="30">
        <v>712</v>
      </c>
      <c r="H14" s="41" t="s">
        <v>894</v>
      </c>
      <c r="K14" s="68" t="s">
        <v>901</v>
      </c>
      <c r="L14" s="69"/>
      <c r="M14" s="70"/>
    </row>
    <row r="15" spans="1:14" x14ac:dyDescent="0.3">
      <c r="B15" s="43">
        <v>42224</v>
      </c>
      <c r="C15" s="2" t="s">
        <v>8</v>
      </c>
      <c r="D15" s="28" t="s">
        <v>50</v>
      </c>
      <c r="E15" s="30">
        <v>847</v>
      </c>
      <c r="F15" s="30">
        <v>834</v>
      </c>
      <c r="G15" s="30">
        <v>354</v>
      </c>
      <c r="H15" s="41" t="s">
        <v>584</v>
      </c>
      <c r="K15" s="16"/>
    </row>
    <row r="16" spans="1:14" x14ac:dyDescent="0.3">
      <c r="B16" s="43">
        <v>42224</v>
      </c>
      <c r="C16" s="2" t="s">
        <v>9</v>
      </c>
      <c r="D16" s="28" t="s">
        <v>78</v>
      </c>
      <c r="E16" s="30">
        <v>1840</v>
      </c>
      <c r="F16" s="30">
        <v>1840</v>
      </c>
      <c r="G16" s="30">
        <v>163</v>
      </c>
      <c r="H16" s="41" t="s">
        <v>756</v>
      </c>
      <c r="K16" s="28"/>
      <c r="L16" s="30"/>
      <c r="M16" s="30"/>
      <c r="N16" s="30"/>
    </row>
    <row r="17" spans="2:14" x14ac:dyDescent="0.3">
      <c r="B17" s="43">
        <v>42224</v>
      </c>
      <c r="C17" s="2" t="s">
        <v>8</v>
      </c>
      <c r="D17" s="28" t="s">
        <v>34</v>
      </c>
      <c r="E17" s="30">
        <v>167</v>
      </c>
      <c r="F17" s="30">
        <v>163</v>
      </c>
      <c r="G17" s="30">
        <v>1796</v>
      </c>
      <c r="H17" s="41" t="s">
        <v>896</v>
      </c>
      <c r="K17" s="49"/>
      <c r="L17" s="30"/>
      <c r="M17" s="30"/>
      <c r="N17" s="30"/>
    </row>
    <row r="18" spans="2:14" x14ac:dyDescent="0.3">
      <c r="B18" s="43">
        <v>42227</v>
      </c>
      <c r="C18" s="2" t="s">
        <v>11</v>
      </c>
      <c r="D18" s="28" t="s">
        <v>19</v>
      </c>
      <c r="E18" s="30">
        <v>287</v>
      </c>
      <c r="F18" s="30">
        <v>283</v>
      </c>
      <c r="G18" s="30">
        <v>1045</v>
      </c>
      <c r="H18" s="41" t="s">
        <v>898</v>
      </c>
      <c r="K18" s="49"/>
      <c r="L18" s="30"/>
      <c r="M18" s="30"/>
      <c r="N18" s="30"/>
    </row>
    <row r="19" spans="2:14" x14ac:dyDescent="0.3">
      <c r="B19" s="43">
        <v>42227</v>
      </c>
      <c r="C19" s="2" t="s">
        <v>8</v>
      </c>
      <c r="D19" s="28" t="s">
        <v>78</v>
      </c>
      <c r="E19" s="30">
        <v>1812</v>
      </c>
      <c r="F19" s="30">
        <v>1785</v>
      </c>
      <c r="G19" s="30">
        <v>165</v>
      </c>
      <c r="H19" s="41" t="s">
        <v>897</v>
      </c>
      <c r="K19" s="49"/>
      <c r="L19" s="30"/>
      <c r="M19" s="30"/>
      <c r="N19" s="30"/>
    </row>
    <row r="20" spans="2:14" x14ac:dyDescent="0.3">
      <c r="B20" s="43">
        <v>42228</v>
      </c>
      <c r="C20" s="2" t="s">
        <v>9</v>
      </c>
      <c r="D20" s="28" t="s">
        <v>50</v>
      </c>
      <c r="E20" s="30">
        <v>860</v>
      </c>
      <c r="F20" s="30">
        <v>880</v>
      </c>
      <c r="G20" s="30">
        <v>348</v>
      </c>
      <c r="H20" s="30">
        <v>6960</v>
      </c>
      <c r="K20" s="49"/>
      <c r="L20" s="30"/>
      <c r="M20" s="30"/>
      <c r="N20" s="30"/>
    </row>
    <row r="21" spans="2:14" x14ac:dyDescent="0.3">
      <c r="B21" s="43">
        <v>42228</v>
      </c>
      <c r="C21" s="2" t="s">
        <v>8</v>
      </c>
      <c r="D21" s="28" t="s">
        <v>78</v>
      </c>
      <c r="E21" s="30">
        <v>1785</v>
      </c>
      <c r="F21" s="30">
        <v>1770</v>
      </c>
      <c r="G21" s="30">
        <v>168</v>
      </c>
      <c r="H21" s="30">
        <v>2520</v>
      </c>
      <c r="K21" s="49"/>
      <c r="L21" s="30"/>
      <c r="M21" s="30"/>
      <c r="N21" s="30"/>
    </row>
    <row r="22" spans="2:14" x14ac:dyDescent="0.3">
      <c r="B22" s="43">
        <v>42229</v>
      </c>
      <c r="C22" s="2" t="s">
        <v>11</v>
      </c>
      <c r="D22" s="28" t="s">
        <v>133</v>
      </c>
      <c r="E22" s="30">
        <v>1752</v>
      </c>
      <c r="F22" s="30">
        <v>1772</v>
      </c>
      <c r="G22" s="30">
        <v>171</v>
      </c>
      <c r="H22" s="30">
        <v>3420</v>
      </c>
      <c r="K22" s="49"/>
      <c r="L22" s="30"/>
      <c r="M22" s="30"/>
      <c r="N22" s="30"/>
    </row>
    <row r="23" spans="2:14" x14ac:dyDescent="0.3">
      <c r="B23" s="43">
        <v>42229</v>
      </c>
      <c r="C23" s="2" t="s">
        <v>8</v>
      </c>
      <c r="D23" s="28" t="s">
        <v>795</v>
      </c>
      <c r="E23" s="30">
        <v>1995</v>
      </c>
      <c r="F23" s="30">
        <v>1995</v>
      </c>
      <c r="G23" s="30">
        <v>150</v>
      </c>
      <c r="H23" s="30">
        <v>0</v>
      </c>
      <c r="K23" s="16"/>
    </row>
    <row r="24" spans="2:14" x14ac:dyDescent="0.3">
      <c r="B24" s="43">
        <v>42230</v>
      </c>
      <c r="C24" s="2" t="s">
        <v>9</v>
      </c>
      <c r="D24" s="30" t="s">
        <v>678</v>
      </c>
      <c r="E24" s="30">
        <v>210.5</v>
      </c>
      <c r="F24" s="30">
        <v>213</v>
      </c>
      <c r="G24" s="30">
        <v>1425</v>
      </c>
      <c r="H24" s="30">
        <v>3562</v>
      </c>
      <c r="K24" s="16"/>
    </row>
    <row r="25" spans="2:14" x14ac:dyDescent="0.3">
      <c r="B25" s="43">
        <v>42230</v>
      </c>
      <c r="C25" s="2" t="s">
        <v>8</v>
      </c>
      <c r="D25" s="30" t="s">
        <v>78</v>
      </c>
      <c r="E25" s="30">
        <v>1760</v>
      </c>
      <c r="F25" s="30">
        <v>1780</v>
      </c>
      <c r="G25" s="30">
        <v>170</v>
      </c>
      <c r="H25" s="30">
        <v>-3400</v>
      </c>
      <c r="K25" s="41"/>
    </row>
    <row r="26" spans="2:14" x14ac:dyDescent="0.3">
      <c r="B26" s="43">
        <v>42233</v>
      </c>
      <c r="C26" s="2" t="s">
        <v>11</v>
      </c>
      <c r="D26" s="30" t="s">
        <v>19</v>
      </c>
      <c r="E26" s="30">
        <v>275</v>
      </c>
      <c r="F26" s="30">
        <v>282</v>
      </c>
      <c r="G26" s="30">
        <v>1090</v>
      </c>
      <c r="H26" s="30">
        <v>7630</v>
      </c>
      <c r="K26" s="41"/>
    </row>
    <row r="27" spans="2:14" x14ac:dyDescent="0.3">
      <c r="B27" s="43">
        <v>42233</v>
      </c>
      <c r="C27" s="2" t="s">
        <v>8</v>
      </c>
      <c r="D27" s="30" t="s">
        <v>46</v>
      </c>
      <c r="E27" s="30">
        <v>263</v>
      </c>
      <c r="F27" s="30">
        <v>261.5</v>
      </c>
      <c r="G27" s="30">
        <v>1140</v>
      </c>
      <c r="H27" s="30">
        <v>2850</v>
      </c>
      <c r="L27" s="30"/>
    </row>
    <row r="28" spans="2:14" x14ac:dyDescent="0.3">
      <c r="B28" s="43">
        <v>42234</v>
      </c>
      <c r="C28" s="2" t="s">
        <v>9</v>
      </c>
      <c r="D28" s="30" t="s">
        <v>19</v>
      </c>
      <c r="E28" s="30">
        <v>279</v>
      </c>
      <c r="F28" s="30">
        <v>286</v>
      </c>
      <c r="G28" s="30">
        <v>1075</v>
      </c>
      <c r="H28" s="30">
        <v>7525</v>
      </c>
      <c r="L28" s="30"/>
    </row>
    <row r="29" spans="2:14" x14ac:dyDescent="0.3">
      <c r="B29" s="43">
        <v>42234</v>
      </c>
      <c r="C29" s="2" t="s">
        <v>8</v>
      </c>
      <c r="D29" s="30" t="s">
        <v>107</v>
      </c>
      <c r="E29" s="30">
        <v>2545</v>
      </c>
      <c r="F29" s="30">
        <v>2525</v>
      </c>
      <c r="G29" s="30">
        <v>117</v>
      </c>
      <c r="H29" s="30">
        <v>2340</v>
      </c>
      <c r="L29" s="30"/>
    </row>
    <row r="30" spans="2:14" x14ac:dyDescent="0.3">
      <c r="B30" s="43">
        <v>42234</v>
      </c>
      <c r="C30" s="2" t="s">
        <v>8</v>
      </c>
      <c r="D30" s="30" t="s">
        <v>58</v>
      </c>
      <c r="E30" s="30">
        <v>564</v>
      </c>
      <c r="F30" s="30">
        <v>556</v>
      </c>
      <c r="G30" s="30">
        <v>531</v>
      </c>
      <c r="H30" s="30">
        <v>4248</v>
      </c>
      <c r="L30" s="30"/>
    </row>
    <row r="31" spans="2:14" x14ac:dyDescent="0.3">
      <c r="B31" s="43">
        <v>42235</v>
      </c>
      <c r="C31" s="2" t="s">
        <v>11</v>
      </c>
      <c r="D31" s="30" t="s">
        <v>157</v>
      </c>
      <c r="E31" s="30">
        <v>1265</v>
      </c>
      <c r="F31" s="30">
        <v>1285</v>
      </c>
      <c r="G31" s="30">
        <v>237</v>
      </c>
      <c r="H31" s="30">
        <v>4740</v>
      </c>
      <c r="L31" s="30"/>
    </row>
    <row r="32" spans="2:14" x14ac:dyDescent="0.3">
      <c r="B32" s="43">
        <v>42235</v>
      </c>
      <c r="C32" s="2" t="s">
        <v>8</v>
      </c>
      <c r="D32" s="30" t="s">
        <v>58</v>
      </c>
      <c r="E32" s="30">
        <v>558</v>
      </c>
      <c r="F32" s="30">
        <v>553</v>
      </c>
      <c r="G32" s="30">
        <v>537</v>
      </c>
      <c r="H32" s="30">
        <v>2685</v>
      </c>
      <c r="L32" s="30"/>
    </row>
    <row r="33" spans="2:12" x14ac:dyDescent="0.3">
      <c r="B33" s="43">
        <v>42236</v>
      </c>
      <c r="C33" s="2" t="s">
        <v>9</v>
      </c>
      <c r="D33" s="30" t="s">
        <v>103</v>
      </c>
      <c r="E33" s="30">
        <v>231</v>
      </c>
      <c r="F33" s="30">
        <v>234</v>
      </c>
      <c r="G33" s="30">
        <v>1299</v>
      </c>
      <c r="H33" s="30">
        <v>3897</v>
      </c>
      <c r="L33" s="30"/>
    </row>
    <row r="34" spans="2:12" x14ac:dyDescent="0.3">
      <c r="B34" s="43">
        <v>42236</v>
      </c>
      <c r="C34" s="2" t="s">
        <v>8</v>
      </c>
      <c r="D34" s="30" t="s">
        <v>58</v>
      </c>
      <c r="E34" s="30">
        <v>546</v>
      </c>
      <c r="F34" s="30">
        <v>535</v>
      </c>
      <c r="G34" s="30">
        <v>550</v>
      </c>
      <c r="H34" s="30">
        <v>6050</v>
      </c>
      <c r="L34" s="30"/>
    </row>
    <row r="35" spans="2:12" x14ac:dyDescent="0.3">
      <c r="B35" s="43">
        <v>42237</v>
      </c>
      <c r="C35" s="2" t="s">
        <v>11</v>
      </c>
      <c r="D35" s="28" t="s">
        <v>133</v>
      </c>
      <c r="E35" s="30">
        <v>1895</v>
      </c>
      <c r="F35" s="30">
        <v>1910</v>
      </c>
      <c r="G35" s="30">
        <v>158</v>
      </c>
      <c r="H35" s="30">
        <v>2370</v>
      </c>
      <c r="L35" s="30"/>
    </row>
    <row r="36" spans="2:12" x14ac:dyDescent="0.3">
      <c r="B36" s="43">
        <v>42237</v>
      </c>
      <c r="C36" s="2" t="s">
        <v>8</v>
      </c>
      <c r="D36" s="28" t="s">
        <v>58</v>
      </c>
      <c r="E36" s="30">
        <v>520</v>
      </c>
      <c r="F36" s="30">
        <v>526</v>
      </c>
      <c r="G36" s="30">
        <v>577</v>
      </c>
      <c r="H36" s="30">
        <v>-3462</v>
      </c>
      <c r="L36" s="30"/>
    </row>
    <row r="37" spans="2:12" x14ac:dyDescent="0.3">
      <c r="B37" s="43">
        <v>42240</v>
      </c>
      <c r="C37" s="2" t="s">
        <v>9</v>
      </c>
      <c r="D37" s="28" t="s">
        <v>496</v>
      </c>
      <c r="E37" s="30">
        <v>446</v>
      </c>
      <c r="F37" s="30">
        <v>440</v>
      </c>
      <c r="G37" s="30">
        <v>672</v>
      </c>
      <c r="H37" s="30">
        <v>4032</v>
      </c>
    </row>
    <row r="38" spans="2:12" x14ac:dyDescent="0.3">
      <c r="B38" s="43">
        <v>42240</v>
      </c>
      <c r="C38" s="2" t="s">
        <v>8</v>
      </c>
      <c r="D38" s="28" t="s">
        <v>13</v>
      </c>
      <c r="E38" s="30">
        <v>330</v>
      </c>
      <c r="F38" s="30">
        <v>323</v>
      </c>
      <c r="G38" s="30">
        <v>909</v>
      </c>
      <c r="H38" s="30">
        <v>6363</v>
      </c>
    </row>
    <row r="39" spans="2:12" x14ac:dyDescent="0.3">
      <c r="B39" s="43">
        <v>42241</v>
      </c>
      <c r="C39" s="2" t="s">
        <v>11</v>
      </c>
      <c r="D39" s="28" t="s">
        <v>19</v>
      </c>
      <c r="E39" s="30">
        <v>249</v>
      </c>
      <c r="F39" s="30">
        <v>252</v>
      </c>
      <c r="G39" s="30">
        <v>1204</v>
      </c>
      <c r="H39" s="30">
        <v>3612</v>
      </c>
    </row>
    <row r="40" spans="2:12" x14ac:dyDescent="0.3">
      <c r="B40" s="43">
        <v>42241</v>
      </c>
      <c r="C40" s="2" t="s">
        <v>8</v>
      </c>
      <c r="D40" s="28" t="s">
        <v>133</v>
      </c>
      <c r="E40" s="30">
        <v>1740</v>
      </c>
      <c r="F40" s="30">
        <v>1720</v>
      </c>
      <c r="G40" s="30">
        <v>172</v>
      </c>
      <c r="H40" s="30">
        <v>3440</v>
      </c>
    </row>
    <row r="41" spans="2:12" x14ac:dyDescent="0.3">
      <c r="B41" s="43">
        <v>42242</v>
      </c>
      <c r="C41" s="2" t="s">
        <v>9</v>
      </c>
      <c r="D41" s="28" t="s">
        <v>133</v>
      </c>
      <c r="E41" s="30">
        <v>1840</v>
      </c>
      <c r="F41" s="30">
        <v>1880</v>
      </c>
      <c r="G41" s="30">
        <v>163</v>
      </c>
      <c r="H41" s="30">
        <v>6520</v>
      </c>
    </row>
    <row r="42" spans="2:12" x14ac:dyDescent="0.3">
      <c r="B42" s="43">
        <v>42242</v>
      </c>
      <c r="C42" s="2" t="s">
        <v>8</v>
      </c>
      <c r="D42" s="28" t="s">
        <v>117</v>
      </c>
      <c r="E42" s="30">
        <v>205</v>
      </c>
      <c r="F42" s="30">
        <v>198</v>
      </c>
      <c r="G42" s="30">
        <v>1463</v>
      </c>
      <c r="H42" s="30">
        <v>10241</v>
      </c>
    </row>
    <row r="43" spans="2:12" x14ac:dyDescent="0.3">
      <c r="B43" s="43">
        <v>42243</v>
      </c>
      <c r="C43" s="2" t="s">
        <v>8</v>
      </c>
      <c r="D43" s="28" t="s">
        <v>98</v>
      </c>
      <c r="E43" s="30">
        <v>2390</v>
      </c>
      <c r="F43" s="30">
        <v>2370</v>
      </c>
      <c r="G43" s="30">
        <v>125</v>
      </c>
      <c r="H43" s="30">
        <v>2500</v>
      </c>
      <c r="J43" s="1"/>
    </row>
    <row r="44" spans="2:12" x14ac:dyDescent="0.3">
      <c r="B44" s="43">
        <v>42244</v>
      </c>
      <c r="C44" s="2" t="s">
        <v>9</v>
      </c>
      <c r="D44" s="28" t="s">
        <v>19</v>
      </c>
      <c r="E44" s="30">
        <v>255</v>
      </c>
      <c r="F44" s="30">
        <v>251</v>
      </c>
      <c r="G44" s="30">
        <v>1176</v>
      </c>
      <c r="H44" s="30">
        <v>-4704</v>
      </c>
      <c r="J44" s="1"/>
    </row>
    <row r="45" spans="2:12" x14ac:dyDescent="0.3">
      <c r="B45" s="43">
        <v>42244</v>
      </c>
      <c r="C45" s="2" t="s">
        <v>8</v>
      </c>
      <c r="D45" s="28" t="s">
        <v>133</v>
      </c>
      <c r="E45" s="30">
        <v>1895</v>
      </c>
      <c r="F45" s="30">
        <v>1850</v>
      </c>
      <c r="G45" s="30">
        <v>158</v>
      </c>
      <c r="H45" s="30">
        <v>7110</v>
      </c>
      <c r="J45" s="1"/>
    </row>
    <row r="46" spans="2:12" x14ac:dyDescent="0.3">
      <c r="B46" s="43">
        <v>42247</v>
      </c>
      <c r="C46" s="2" t="s">
        <v>9</v>
      </c>
      <c r="D46" s="28" t="s">
        <v>163</v>
      </c>
      <c r="E46" s="30">
        <v>178.5</v>
      </c>
      <c r="F46" s="30">
        <v>179.5</v>
      </c>
      <c r="G46" s="30">
        <v>1680</v>
      </c>
      <c r="H46" s="30">
        <v>1680</v>
      </c>
      <c r="J46" s="1"/>
    </row>
    <row r="47" spans="2:12" x14ac:dyDescent="0.3">
      <c r="B47" s="43">
        <v>42247</v>
      </c>
      <c r="C47" s="2" t="s">
        <v>8</v>
      </c>
      <c r="D47" s="28" t="s">
        <v>112</v>
      </c>
      <c r="E47" s="30">
        <v>283</v>
      </c>
      <c r="F47" s="30">
        <v>280</v>
      </c>
      <c r="G47" s="30">
        <v>1060</v>
      </c>
      <c r="H47" s="30">
        <v>3180</v>
      </c>
      <c r="J47" s="1"/>
    </row>
    <row r="48" spans="2:12" x14ac:dyDescent="0.3">
      <c r="B48" s="43">
        <v>42247</v>
      </c>
      <c r="C48" s="2" t="s">
        <v>8</v>
      </c>
      <c r="D48" s="28" t="s">
        <v>689</v>
      </c>
      <c r="E48" s="30">
        <v>126</v>
      </c>
      <c r="F48" s="30">
        <v>127</v>
      </c>
      <c r="G48" s="30">
        <v>2380</v>
      </c>
      <c r="H48" s="30">
        <v>-2380</v>
      </c>
      <c r="J48" s="46"/>
    </row>
    <row r="49" spans="2:10" ht="18" x14ac:dyDescent="0.35">
      <c r="C49" s="2"/>
      <c r="D49" s="28"/>
      <c r="E49" s="30"/>
      <c r="F49" s="30"/>
      <c r="G49" s="30"/>
      <c r="H49" s="72">
        <v>137078</v>
      </c>
      <c r="J49" s="46"/>
    </row>
    <row r="50" spans="2:10" x14ac:dyDescent="0.3">
      <c r="C50" s="2"/>
      <c r="D50" s="28"/>
      <c r="E50" s="30"/>
      <c r="F50" s="30"/>
      <c r="G50" s="30"/>
      <c r="H50" s="30"/>
      <c r="J50" s="46"/>
    </row>
    <row r="51" spans="2:10" x14ac:dyDescent="0.3">
      <c r="C51" s="2"/>
      <c r="D51" s="28"/>
      <c r="E51" s="30"/>
      <c r="F51" s="30"/>
      <c r="G51" s="30"/>
      <c r="H51" s="30"/>
      <c r="J51" s="46"/>
    </row>
    <row r="53" spans="2:10" ht="15.6" x14ac:dyDescent="0.3">
      <c r="B53" s="48" t="s">
        <v>62</v>
      </c>
      <c r="C53" s="48"/>
      <c r="D53" s="48"/>
      <c r="E53" s="48"/>
      <c r="F53" s="48"/>
      <c r="G53" s="48"/>
      <c r="H53" s="48"/>
    </row>
    <row r="54" spans="2:10" x14ac:dyDescent="0.3">
      <c r="B54" s="43">
        <v>42219</v>
      </c>
      <c r="C54" s="2" t="s">
        <v>8</v>
      </c>
      <c r="D54" s="2" t="s">
        <v>371</v>
      </c>
      <c r="E54" s="41" t="s">
        <v>874</v>
      </c>
      <c r="F54" s="40" t="s">
        <v>875</v>
      </c>
      <c r="G54" s="5">
        <v>1000</v>
      </c>
      <c r="H54" s="40" t="s">
        <v>876</v>
      </c>
    </row>
    <row r="55" spans="2:10" x14ac:dyDescent="0.3">
      <c r="B55" s="43">
        <v>42220</v>
      </c>
      <c r="C55" s="2" t="s">
        <v>8</v>
      </c>
      <c r="D55" s="2" t="s">
        <v>334</v>
      </c>
      <c r="E55" s="41" t="s">
        <v>710</v>
      </c>
      <c r="F55" s="40" t="s">
        <v>877</v>
      </c>
      <c r="G55" s="5">
        <v>250</v>
      </c>
      <c r="H55" s="40" t="s">
        <v>878</v>
      </c>
    </row>
    <row r="56" spans="2:10" x14ac:dyDescent="0.3">
      <c r="B56" s="43">
        <v>42221</v>
      </c>
      <c r="C56" s="30" t="s">
        <v>8</v>
      </c>
      <c r="D56" s="30" t="s">
        <v>629</v>
      </c>
      <c r="E56" s="30">
        <v>1355</v>
      </c>
      <c r="F56" s="30">
        <v>1370</v>
      </c>
      <c r="G56" s="30">
        <v>125</v>
      </c>
      <c r="H56" s="30">
        <v>-1875</v>
      </c>
    </row>
    <row r="57" spans="2:10" x14ac:dyDescent="0.3">
      <c r="B57" s="43">
        <v>42222</v>
      </c>
      <c r="C57" s="30" t="s">
        <v>8</v>
      </c>
      <c r="D57" s="30" t="s">
        <v>895</v>
      </c>
      <c r="E57" s="30">
        <v>3965</v>
      </c>
      <c r="F57" s="30">
        <v>3930</v>
      </c>
      <c r="G57" s="30">
        <v>125</v>
      </c>
      <c r="H57" s="30">
        <v>4375</v>
      </c>
    </row>
    <row r="58" spans="2:10" x14ac:dyDescent="0.3">
      <c r="B58" s="43">
        <v>42223</v>
      </c>
      <c r="C58" s="30" t="s">
        <v>8</v>
      </c>
      <c r="D58" s="30" t="s">
        <v>117</v>
      </c>
      <c r="E58" s="30">
        <v>231</v>
      </c>
      <c r="F58" s="30">
        <v>229</v>
      </c>
      <c r="G58" s="30">
        <v>1000</v>
      </c>
      <c r="H58" s="30">
        <v>2000</v>
      </c>
    </row>
    <row r="59" spans="2:10" x14ac:dyDescent="0.3">
      <c r="B59" s="43">
        <v>42224</v>
      </c>
      <c r="C59" s="30" t="s">
        <v>8</v>
      </c>
      <c r="D59" s="30" t="s">
        <v>78</v>
      </c>
      <c r="E59" s="30">
        <v>1838</v>
      </c>
      <c r="F59" s="30">
        <v>1812</v>
      </c>
      <c r="G59" s="30">
        <v>125</v>
      </c>
      <c r="H59" s="30">
        <v>3250</v>
      </c>
    </row>
    <row r="60" spans="2:10" x14ac:dyDescent="0.3">
      <c r="B60" s="43">
        <v>42227</v>
      </c>
      <c r="C60" s="30" t="s">
        <v>8</v>
      </c>
      <c r="D60" s="30" t="s">
        <v>146</v>
      </c>
      <c r="E60" s="30">
        <v>131</v>
      </c>
      <c r="F60" s="30">
        <v>131</v>
      </c>
      <c r="G60" s="30">
        <v>2000</v>
      </c>
      <c r="H60" s="30">
        <v>0</v>
      </c>
    </row>
    <row r="61" spans="2:10" x14ac:dyDescent="0.3">
      <c r="B61" s="43">
        <v>42228</v>
      </c>
      <c r="C61" s="30" t="s">
        <v>8</v>
      </c>
      <c r="D61" s="30" t="s">
        <v>109</v>
      </c>
      <c r="E61" s="30">
        <v>1320</v>
      </c>
      <c r="F61" s="30">
        <v>1305</v>
      </c>
      <c r="G61" s="30">
        <v>250</v>
      </c>
      <c r="H61" s="30">
        <v>3750</v>
      </c>
    </row>
    <row r="62" spans="2:10" x14ac:dyDescent="0.3">
      <c r="B62" s="43">
        <v>42229</v>
      </c>
      <c r="C62" s="30" t="s">
        <v>8</v>
      </c>
      <c r="D62" s="30" t="s">
        <v>864</v>
      </c>
      <c r="E62" s="30">
        <v>1312</v>
      </c>
      <c r="F62" s="30">
        <v>1285</v>
      </c>
      <c r="G62" s="30">
        <v>250</v>
      </c>
      <c r="H62" s="30">
        <v>6750</v>
      </c>
    </row>
    <row r="63" spans="2:10" x14ac:dyDescent="0.3">
      <c r="B63" s="43">
        <v>42230</v>
      </c>
      <c r="C63" s="30" t="s">
        <v>8</v>
      </c>
      <c r="D63" s="30" t="s">
        <v>341</v>
      </c>
      <c r="E63" s="30">
        <v>293.5</v>
      </c>
      <c r="F63" s="30">
        <v>297.5</v>
      </c>
      <c r="G63" s="30">
        <v>1000</v>
      </c>
      <c r="H63" s="30">
        <v>-3000</v>
      </c>
    </row>
    <row r="64" spans="2:10" x14ac:dyDescent="0.3">
      <c r="B64" s="43">
        <v>42233</v>
      </c>
      <c r="C64" s="30" t="s">
        <v>8</v>
      </c>
      <c r="D64" s="30" t="s">
        <v>99</v>
      </c>
      <c r="E64" s="30">
        <v>317</v>
      </c>
      <c r="F64" s="30">
        <v>316</v>
      </c>
      <c r="G64" s="30">
        <v>1000</v>
      </c>
      <c r="H64" s="30">
        <v>1000</v>
      </c>
    </row>
    <row r="65" spans="2:8" x14ac:dyDescent="0.3">
      <c r="B65" s="43">
        <v>42234</v>
      </c>
      <c r="C65" s="30" t="s">
        <v>8</v>
      </c>
      <c r="D65" s="30" t="s">
        <v>31</v>
      </c>
      <c r="E65" s="30">
        <v>953</v>
      </c>
      <c r="F65" s="30">
        <v>944</v>
      </c>
      <c r="G65" s="30">
        <v>250</v>
      </c>
      <c r="H65" s="30">
        <v>2250</v>
      </c>
    </row>
    <row r="66" spans="2:8" x14ac:dyDescent="0.3">
      <c r="B66" s="43">
        <v>42235</v>
      </c>
      <c r="C66" s="30" t="s">
        <v>8</v>
      </c>
      <c r="D66" s="30" t="s">
        <v>107</v>
      </c>
      <c r="E66" s="30">
        <v>2510</v>
      </c>
      <c r="F66" s="30">
        <v>2540</v>
      </c>
      <c r="G66" s="30">
        <v>125</v>
      </c>
      <c r="H66" s="30">
        <v>-3750</v>
      </c>
    </row>
    <row r="67" spans="2:8" x14ac:dyDescent="0.3">
      <c r="B67" s="43">
        <v>42236</v>
      </c>
      <c r="C67" s="30" t="s">
        <v>8</v>
      </c>
      <c r="D67" s="30" t="s">
        <v>13</v>
      </c>
      <c r="E67" s="30">
        <v>356</v>
      </c>
      <c r="F67" s="30">
        <v>352</v>
      </c>
      <c r="G67" s="30">
        <v>500</v>
      </c>
      <c r="H67" s="30">
        <v>2000</v>
      </c>
    </row>
    <row r="68" spans="2:8" x14ac:dyDescent="0.3">
      <c r="B68" s="43">
        <v>42237</v>
      </c>
      <c r="C68" s="30" t="s">
        <v>9</v>
      </c>
      <c r="D68" s="30" t="s">
        <v>341</v>
      </c>
      <c r="E68" s="30">
        <v>299</v>
      </c>
      <c r="F68" s="30">
        <v>301</v>
      </c>
      <c r="G68" s="30">
        <v>1000</v>
      </c>
      <c r="H68" s="30">
        <v>2000</v>
      </c>
    </row>
    <row r="69" spans="2:8" x14ac:dyDescent="0.3">
      <c r="B69" s="43">
        <v>42240</v>
      </c>
      <c r="C69" s="30" t="s">
        <v>8</v>
      </c>
      <c r="D69" s="30" t="s">
        <v>28</v>
      </c>
      <c r="E69" s="30">
        <v>150</v>
      </c>
      <c r="F69" s="30">
        <v>143</v>
      </c>
      <c r="G69" s="30">
        <v>2000</v>
      </c>
      <c r="H69" s="30">
        <v>14000</v>
      </c>
    </row>
    <row r="70" spans="2:8" x14ac:dyDescent="0.3">
      <c r="B70" s="43">
        <v>42241</v>
      </c>
      <c r="C70" s="30" t="s">
        <v>8</v>
      </c>
      <c r="D70" s="30" t="s">
        <v>117</v>
      </c>
      <c r="E70" s="30">
        <v>208</v>
      </c>
      <c r="F70" s="30">
        <v>204</v>
      </c>
      <c r="G70" s="30">
        <v>1000</v>
      </c>
      <c r="H70" s="30">
        <v>4000</v>
      </c>
    </row>
    <row r="71" spans="2:8" x14ac:dyDescent="0.3">
      <c r="B71" s="43">
        <v>42242</v>
      </c>
      <c r="C71" s="30" t="s">
        <v>8</v>
      </c>
      <c r="D71" s="30" t="s">
        <v>163</v>
      </c>
      <c r="E71" s="30">
        <v>178</v>
      </c>
      <c r="F71" s="30">
        <v>175.5</v>
      </c>
      <c r="G71" s="30">
        <v>2000</v>
      </c>
      <c r="H71" s="30">
        <v>5000</v>
      </c>
    </row>
    <row r="72" spans="2:8" x14ac:dyDescent="0.3">
      <c r="B72" s="43">
        <v>42243</v>
      </c>
      <c r="C72" s="30" t="s">
        <v>8</v>
      </c>
      <c r="D72" s="30" t="s">
        <v>107</v>
      </c>
      <c r="E72" s="30">
        <v>2205</v>
      </c>
      <c r="F72" s="30">
        <v>2180</v>
      </c>
      <c r="G72" s="30">
        <v>125</v>
      </c>
      <c r="H72" s="30">
        <v>3125</v>
      </c>
    </row>
    <row r="73" spans="2:8" x14ac:dyDescent="0.3">
      <c r="B73" s="43">
        <v>42244</v>
      </c>
      <c r="C73" s="30" t="s">
        <v>8</v>
      </c>
      <c r="D73" s="30" t="s">
        <v>341</v>
      </c>
      <c r="E73" s="30">
        <v>279</v>
      </c>
      <c r="F73" s="30">
        <v>281</v>
      </c>
      <c r="G73" s="30">
        <v>1000</v>
      </c>
      <c r="H73" s="30">
        <v>-2000</v>
      </c>
    </row>
    <row r="74" spans="2:8" x14ac:dyDescent="0.3">
      <c r="B74" s="43">
        <v>42247</v>
      </c>
      <c r="C74" s="30" t="s">
        <v>8</v>
      </c>
      <c r="D74" s="30" t="s">
        <v>137</v>
      </c>
      <c r="E74" s="30">
        <v>855</v>
      </c>
      <c r="F74" s="30">
        <v>865</v>
      </c>
      <c r="G74" s="30">
        <v>250</v>
      </c>
      <c r="H74" s="30">
        <v>-2500</v>
      </c>
    </row>
    <row r="75" spans="2:8" x14ac:dyDescent="0.3">
      <c r="B75" s="43">
        <v>42247</v>
      </c>
      <c r="C75" s="30" t="s">
        <v>8</v>
      </c>
      <c r="D75" s="30" t="s">
        <v>862</v>
      </c>
      <c r="E75" s="30">
        <v>511</v>
      </c>
      <c r="F75" s="30">
        <v>504</v>
      </c>
      <c r="G75" s="30">
        <v>500</v>
      </c>
      <c r="H75" s="30">
        <v>3500</v>
      </c>
    </row>
    <row r="76" spans="2:8" ht="18" x14ac:dyDescent="0.35">
      <c r="B76" s="43"/>
      <c r="C76" s="30"/>
      <c r="D76" s="30"/>
      <c r="E76" s="30"/>
      <c r="F76" s="30"/>
      <c r="G76" s="30"/>
      <c r="H76" s="72">
        <v>49925</v>
      </c>
    </row>
    <row r="77" spans="2:8" x14ac:dyDescent="0.3">
      <c r="B77" s="43"/>
      <c r="C77" s="30"/>
      <c r="D77" s="30"/>
      <c r="E77" s="30"/>
      <c r="F77" s="30"/>
      <c r="G77" s="30"/>
      <c r="H77" s="30"/>
    </row>
    <row r="78" spans="2:8" x14ac:dyDescent="0.3">
      <c r="B78" s="43"/>
      <c r="C78" s="30"/>
      <c r="D78" s="30"/>
      <c r="E78" s="30"/>
      <c r="F78" s="30"/>
      <c r="G78" s="30"/>
      <c r="H78" s="30"/>
    </row>
    <row r="79" spans="2:8" x14ac:dyDescent="0.3">
      <c r="B79" s="43"/>
      <c r="C79" s="30"/>
      <c r="D79" s="30"/>
      <c r="E79" s="30"/>
      <c r="F79" s="30"/>
      <c r="G79" s="30"/>
      <c r="H79" s="30"/>
    </row>
    <row r="80" spans="2:8" x14ac:dyDescent="0.3">
      <c r="B80" s="43"/>
      <c r="C80" s="30"/>
      <c r="D80" s="30"/>
      <c r="E80" s="30"/>
      <c r="F80" s="30"/>
      <c r="G80" s="30"/>
      <c r="H80" s="30"/>
    </row>
    <row r="81" spans="2:8" x14ac:dyDescent="0.3">
      <c r="B81" s="43"/>
      <c r="C81" s="30"/>
      <c r="D81" s="30"/>
      <c r="E81" s="30"/>
      <c r="F81" s="30"/>
      <c r="G81" s="30"/>
      <c r="H81" s="30"/>
    </row>
    <row r="82" spans="2:8" x14ac:dyDescent="0.3">
      <c r="B82" s="43"/>
      <c r="C82" s="30"/>
      <c r="D82" s="30"/>
      <c r="E82" s="30"/>
      <c r="F82" s="30"/>
      <c r="G82" s="30"/>
      <c r="H82" s="30"/>
    </row>
    <row r="83" spans="2:8" ht="15.6" x14ac:dyDescent="0.3">
      <c r="B83" s="43"/>
      <c r="C83" s="30"/>
      <c r="D83" s="30"/>
      <c r="E83" s="30"/>
      <c r="F83" s="30"/>
      <c r="G83" s="30"/>
      <c r="H83" s="77"/>
    </row>
    <row r="84" spans="2:8" ht="15.6" x14ac:dyDescent="0.3">
      <c r="B84" s="43"/>
      <c r="C84" s="30"/>
      <c r="D84" s="30"/>
      <c r="E84" s="30"/>
      <c r="F84" s="30"/>
      <c r="G84" s="30"/>
      <c r="H84" s="77"/>
    </row>
    <row r="85" spans="2:8" ht="18" x14ac:dyDescent="0.35">
      <c r="B85" s="43"/>
      <c r="C85" s="30"/>
      <c r="D85" s="30"/>
      <c r="E85" s="30"/>
      <c r="F85" s="30"/>
      <c r="G85" s="30"/>
      <c r="H85" s="72"/>
    </row>
    <row r="86" spans="2:8" ht="15.6" x14ac:dyDescent="0.3">
      <c r="B86" s="43"/>
      <c r="C86" s="30"/>
      <c r="D86" s="30"/>
      <c r="E86" s="30"/>
      <c r="F86" s="30"/>
      <c r="G86" s="30"/>
      <c r="H86" s="63"/>
    </row>
    <row r="87" spans="2:8" ht="18" x14ac:dyDescent="0.35">
      <c r="B87" s="43"/>
      <c r="C87" s="30"/>
      <c r="D87" s="30"/>
      <c r="E87" s="30"/>
      <c r="F87" s="30"/>
      <c r="G87" s="30"/>
      <c r="H87" s="76"/>
    </row>
    <row r="88" spans="2:8" ht="15.6" x14ac:dyDescent="0.3">
      <c r="B88" s="43"/>
      <c r="C88" s="30"/>
      <c r="D88" s="30"/>
      <c r="E88" s="30"/>
      <c r="F88" s="30"/>
      <c r="G88" s="30"/>
      <c r="H88" s="33"/>
    </row>
    <row r="89" spans="2:8" ht="15.6" x14ac:dyDescent="0.3">
      <c r="B89" s="48" t="s">
        <v>571</v>
      </c>
      <c r="C89" s="48"/>
      <c r="D89" s="48"/>
      <c r="E89" s="48"/>
      <c r="F89" s="48"/>
      <c r="G89" s="48"/>
      <c r="H89" s="48"/>
    </row>
    <row r="90" spans="2:8" x14ac:dyDescent="0.3">
      <c r="B90" s="43">
        <v>42219</v>
      </c>
      <c r="C90" s="2" t="s">
        <v>9</v>
      </c>
      <c r="D90" s="2" t="s">
        <v>39</v>
      </c>
      <c r="E90" s="41" t="s">
        <v>879</v>
      </c>
      <c r="F90" s="40" t="s">
        <v>880</v>
      </c>
      <c r="G90" s="30">
        <v>100</v>
      </c>
      <c r="H90" s="41" t="s">
        <v>876</v>
      </c>
    </row>
    <row r="91" spans="2:8" x14ac:dyDescent="0.3">
      <c r="B91" s="43">
        <v>42220</v>
      </c>
      <c r="C91" s="30" t="s">
        <v>8</v>
      </c>
      <c r="D91" s="2" t="s">
        <v>39</v>
      </c>
      <c r="E91" s="2">
        <v>8535</v>
      </c>
      <c r="F91" s="30">
        <v>8510</v>
      </c>
      <c r="G91" s="30">
        <v>100</v>
      </c>
      <c r="H91" s="30">
        <v>2500</v>
      </c>
    </row>
    <row r="92" spans="2:8" x14ac:dyDescent="0.3">
      <c r="B92" s="43">
        <v>42221</v>
      </c>
      <c r="C92" s="30" t="s">
        <v>9</v>
      </c>
      <c r="D92" s="2" t="s">
        <v>39</v>
      </c>
      <c r="E92" s="2">
        <v>8595</v>
      </c>
      <c r="F92" s="30">
        <v>8615</v>
      </c>
      <c r="G92" s="30">
        <v>100</v>
      </c>
      <c r="H92" s="30">
        <v>2000</v>
      </c>
    </row>
    <row r="93" spans="2:8" x14ac:dyDescent="0.3">
      <c r="B93" s="43">
        <v>42222</v>
      </c>
      <c r="C93" s="30" t="s">
        <v>8</v>
      </c>
      <c r="D93" s="2" t="s">
        <v>39</v>
      </c>
      <c r="E93" s="30">
        <v>8590</v>
      </c>
      <c r="F93" s="30">
        <v>8575</v>
      </c>
      <c r="G93" s="30">
        <v>100</v>
      </c>
      <c r="H93" s="30">
        <v>2000</v>
      </c>
    </row>
    <row r="94" spans="2:8" x14ac:dyDescent="0.3">
      <c r="B94" s="43">
        <v>42223</v>
      </c>
      <c r="C94" s="30" t="s">
        <v>8</v>
      </c>
      <c r="D94" s="2" t="s">
        <v>39</v>
      </c>
      <c r="E94" s="30">
        <v>8605</v>
      </c>
      <c r="F94" s="30">
        <v>8580</v>
      </c>
      <c r="G94" s="30">
        <v>100</v>
      </c>
      <c r="H94" s="30">
        <v>2500</v>
      </c>
    </row>
    <row r="95" spans="2:8" x14ac:dyDescent="0.3">
      <c r="B95" s="43">
        <v>42224</v>
      </c>
      <c r="C95" s="30" t="s">
        <v>8</v>
      </c>
      <c r="D95" s="2" t="s">
        <v>39</v>
      </c>
      <c r="E95" s="30">
        <v>8630</v>
      </c>
      <c r="F95" s="30">
        <v>8575</v>
      </c>
      <c r="G95" s="30">
        <v>100</v>
      </c>
      <c r="H95" s="30">
        <v>5500</v>
      </c>
    </row>
    <row r="96" spans="2:8" x14ac:dyDescent="0.3">
      <c r="B96" s="43">
        <v>42227</v>
      </c>
      <c r="C96" s="30" t="s">
        <v>8</v>
      </c>
      <c r="D96" s="2" t="s">
        <v>39</v>
      </c>
      <c r="E96" s="30">
        <v>8540</v>
      </c>
      <c r="F96" s="30">
        <v>8480</v>
      </c>
      <c r="G96" s="30">
        <v>100</v>
      </c>
      <c r="H96" s="30">
        <v>6000</v>
      </c>
    </row>
    <row r="97" spans="2:8" x14ac:dyDescent="0.3">
      <c r="B97" s="43">
        <v>42228</v>
      </c>
      <c r="C97" s="30" t="s">
        <v>8</v>
      </c>
      <c r="D97" s="2">
        <v>8420</v>
      </c>
      <c r="E97" s="30">
        <v>8420</v>
      </c>
      <c r="F97" s="30">
        <v>8360</v>
      </c>
      <c r="G97" s="30">
        <v>100</v>
      </c>
      <c r="H97" s="30">
        <v>6000</v>
      </c>
    </row>
    <row r="98" spans="2:8" x14ac:dyDescent="0.3">
      <c r="B98" s="43">
        <v>42229</v>
      </c>
      <c r="C98" s="30" t="s">
        <v>8</v>
      </c>
      <c r="D98" s="2" t="s">
        <v>39</v>
      </c>
      <c r="E98" s="30">
        <v>8410</v>
      </c>
      <c r="F98" s="30">
        <v>8370</v>
      </c>
      <c r="G98" s="30">
        <v>100</v>
      </c>
      <c r="H98" s="30">
        <v>4000</v>
      </c>
    </row>
    <row r="99" spans="2:8" x14ac:dyDescent="0.3">
      <c r="B99" s="43">
        <v>42230</v>
      </c>
      <c r="C99" s="30" t="s">
        <v>8</v>
      </c>
      <c r="D99" s="2" t="s">
        <v>39</v>
      </c>
      <c r="E99" s="30">
        <v>8420</v>
      </c>
      <c r="F99" s="30">
        <v>8455</v>
      </c>
      <c r="G99" s="30">
        <v>100</v>
      </c>
      <c r="H99" s="30">
        <v>-3500</v>
      </c>
    </row>
    <row r="100" spans="2:8" x14ac:dyDescent="0.3">
      <c r="B100" s="43">
        <v>42233</v>
      </c>
      <c r="C100" s="30" t="s">
        <v>8</v>
      </c>
      <c r="D100" s="2" t="s">
        <v>39</v>
      </c>
      <c r="E100" s="30">
        <v>8470</v>
      </c>
      <c r="F100" s="30">
        <v>8445</v>
      </c>
      <c r="G100" s="30">
        <v>100</v>
      </c>
      <c r="H100" s="30">
        <v>2500</v>
      </c>
    </row>
    <row r="101" spans="2:8" x14ac:dyDescent="0.3">
      <c r="B101" s="43">
        <v>42234</v>
      </c>
      <c r="C101" s="30" t="s">
        <v>8</v>
      </c>
      <c r="D101" s="2" t="s">
        <v>39</v>
      </c>
      <c r="E101" s="30">
        <v>8490</v>
      </c>
      <c r="F101" s="30">
        <v>8450</v>
      </c>
      <c r="G101" s="30">
        <v>100</v>
      </c>
      <c r="H101" s="30">
        <v>4000</v>
      </c>
    </row>
    <row r="102" spans="2:8" x14ac:dyDescent="0.3">
      <c r="B102" s="43">
        <v>42235</v>
      </c>
      <c r="C102" s="30" t="s">
        <v>8</v>
      </c>
      <c r="D102" s="2" t="s">
        <v>39</v>
      </c>
      <c r="E102" s="30">
        <v>8525</v>
      </c>
      <c r="F102" s="30">
        <v>8480</v>
      </c>
      <c r="G102" s="30">
        <v>100</v>
      </c>
      <c r="H102" s="30">
        <v>4500</v>
      </c>
    </row>
    <row r="103" spans="2:8" x14ac:dyDescent="0.3">
      <c r="B103" s="43">
        <v>42236</v>
      </c>
      <c r="C103" s="30" t="s">
        <v>8</v>
      </c>
      <c r="D103" s="2" t="s">
        <v>39</v>
      </c>
      <c r="E103" s="30">
        <v>8470</v>
      </c>
      <c r="F103" s="30">
        <v>8405</v>
      </c>
      <c r="G103" s="30">
        <v>100</v>
      </c>
      <c r="H103" s="30">
        <v>6500</v>
      </c>
    </row>
    <row r="104" spans="2:8" x14ac:dyDescent="0.3">
      <c r="B104" s="43">
        <v>42237</v>
      </c>
      <c r="C104" s="30" t="s">
        <v>8</v>
      </c>
      <c r="D104" s="2" t="s">
        <v>39</v>
      </c>
      <c r="E104" s="30">
        <v>8260</v>
      </c>
      <c r="F104" s="30">
        <v>8235</v>
      </c>
      <c r="G104" s="30">
        <v>100</v>
      </c>
      <c r="H104" s="30">
        <v>2500</v>
      </c>
    </row>
    <row r="105" spans="2:8" x14ac:dyDescent="0.3">
      <c r="B105" s="43">
        <v>42240</v>
      </c>
      <c r="C105" s="30" t="s">
        <v>8</v>
      </c>
      <c r="D105" s="2" t="s">
        <v>39</v>
      </c>
      <c r="E105" s="30">
        <v>8030</v>
      </c>
      <c r="F105" s="30">
        <v>7960</v>
      </c>
      <c r="G105" s="30">
        <v>100</v>
      </c>
      <c r="H105" s="30">
        <v>7000</v>
      </c>
    </row>
    <row r="106" spans="2:8" x14ac:dyDescent="0.3">
      <c r="B106" s="43">
        <v>42241</v>
      </c>
      <c r="C106" s="30" t="s">
        <v>8</v>
      </c>
      <c r="D106" s="2" t="s">
        <v>301</v>
      </c>
      <c r="E106" s="30">
        <v>17000</v>
      </c>
      <c r="F106" s="30">
        <v>16700</v>
      </c>
      <c r="G106" s="30">
        <v>50</v>
      </c>
      <c r="H106" s="30">
        <v>15000</v>
      </c>
    </row>
    <row r="107" spans="2:8" ht="15.6" x14ac:dyDescent="0.3">
      <c r="B107" s="43">
        <v>42241</v>
      </c>
      <c r="C107" s="30" t="s">
        <v>8</v>
      </c>
      <c r="D107" s="2" t="s">
        <v>39</v>
      </c>
      <c r="E107" s="30">
        <v>7840</v>
      </c>
      <c r="F107" s="30">
        <v>7770</v>
      </c>
      <c r="G107" s="30">
        <v>100</v>
      </c>
      <c r="H107" s="77">
        <v>7000</v>
      </c>
    </row>
    <row r="108" spans="2:8" ht="15.6" x14ac:dyDescent="0.3">
      <c r="B108" s="43">
        <v>42242</v>
      </c>
      <c r="C108" s="30" t="s">
        <v>8</v>
      </c>
      <c r="D108" s="2" t="s">
        <v>301</v>
      </c>
      <c r="E108" s="30">
        <v>17020</v>
      </c>
      <c r="F108" s="30">
        <v>16920</v>
      </c>
      <c r="G108" s="30">
        <v>50</v>
      </c>
      <c r="H108" s="77">
        <v>5000</v>
      </c>
    </row>
    <row r="109" spans="2:8" ht="15.6" x14ac:dyDescent="0.3">
      <c r="B109" s="43">
        <v>42242</v>
      </c>
      <c r="C109" s="30" t="s">
        <v>8</v>
      </c>
      <c r="D109" s="2" t="s">
        <v>39</v>
      </c>
      <c r="E109" s="30">
        <v>7855</v>
      </c>
      <c r="F109" s="30">
        <v>7790</v>
      </c>
      <c r="G109" s="30">
        <v>100</v>
      </c>
      <c r="H109" s="77">
        <v>6500</v>
      </c>
    </row>
    <row r="110" spans="2:8" x14ac:dyDescent="0.3">
      <c r="B110" s="43">
        <v>42243</v>
      </c>
      <c r="C110" s="30" t="s">
        <v>8</v>
      </c>
      <c r="D110" s="2" t="s">
        <v>39</v>
      </c>
      <c r="E110" s="30">
        <v>7895</v>
      </c>
      <c r="F110" s="30">
        <v>7875</v>
      </c>
      <c r="G110" s="30">
        <v>100</v>
      </c>
      <c r="H110" s="30">
        <v>2000</v>
      </c>
    </row>
    <row r="111" spans="2:8" x14ac:dyDescent="0.3">
      <c r="B111" s="43">
        <v>42244</v>
      </c>
      <c r="C111" s="30" t="s">
        <v>9</v>
      </c>
      <c r="D111" s="2" t="s">
        <v>39</v>
      </c>
      <c r="E111" s="30">
        <v>8080</v>
      </c>
      <c r="F111" s="30">
        <v>8105</v>
      </c>
      <c r="G111" s="30">
        <v>100</v>
      </c>
      <c r="H111" s="30">
        <v>2500</v>
      </c>
    </row>
    <row r="112" spans="2:8" x14ac:dyDescent="0.3">
      <c r="B112" s="43">
        <v>42247</v>
      </c>
      <c r="C112" s="30" t="s">
        <v>8</v>
      </c>
      <c r="D112" s="2" t="s">
        <v>39</v>
      </c>
      <c r="E112" s="30">
        <v>7990</v>
      </c>
      <c r="F112" s="30">
        <v>8025</v>
      </c>
      <c r="G112" s="30">
        <v>100</v>
      </c>
      <c r="H112" s="30">
        <v>-3500</v>
      </c>
    </row>
    <row r="113" spans="2:8" ht="18" x14ac:dyDescent="0.35">
      <c r="B113" s="43"/>
      <c r="C113" s="30"/>
      <c r="D113" s="2"/>
      <c r="E113" s="30"/>
      <c r="F113" s="30"/>
      <c r="G113" s="30"/>
      <c r="H113" s="72">
        <v>90300</v>
      </c>
    </row>
    <row r="114" spans="2:8" x14ac:dyDescent="0.3">
      <c r="B114" s="43"/>
      <c r="C114" s="28"/>
      <c r="D114" s="2"/>
      <c r="E114" s="28"/>
      <c r="F114" s="28"/>
      <c r="G114" s="30"/>
      <c r="H114" s="49"/>
    </row>
    <row r="115" spans="2:8" ht="18" x14ac:dyDescent="0.35">
      <c r="B115" s="43"/>
      <c r="C115" s="28"/>
      <c r="D115" s="30"/>
      <c r="E115" s="28"/>
      <c r="F115" s="28"/>
      <c r="G115" s="28"/>
      <c r="H115" s="72"/>
    </row>
    <row r="116" spans="2:8" x14ac:dyDescent="0.3">
      <c r="B116" s="43"/>
      <c r="C116" s="28"/>
      <c r="D116" s="30"/>
      <c r="E116" s="28"/>
      <c r="F116" s="28"/>
      <c r="G116" s="28"/>
      <c r="H116" s="28"/>
    </row>
    <row r="117" spans="2:8" x14ac:dyDescent="0.3">
      <c r="B117" s="43"/>
      <c r="C117" s="28"/>
      <c r="D117" s="30"/>
      <c r="E117" s="28"/>
      <c r="F117" s="28"/>
      <c r="G117" s="28"/>
      <c r="H117" s="28"/>
    </row>
    <row r="118" spans="2:8" ht="15.6" x14ac:dyDescent="0.3">
      <c r="B118" s="48" t="s">
        <v>572</v>
      </c>
      <c r="C118" s="61"/>
      <c r="D118" s="61"/>
      <c r="E118" s="61"/>
      <c r="F118" s="61"/>
      <c r="G118" s="61"/>
      <c r="H118" s="61"/>
    </row>
    <row r="119" spans="2:8" x14ac:dyDescent="0.3">
      <c r="B119" s="43">
        <v>42219</v>
      </c>
      <c r="C119" s="3" t="s">
        <v>9</v>
      </c>
      <c r="D119" s="3" t="s">
        <v>625</v>
      </c>
      <c r="E119" s="41" t="s">
        <v>513</v>
      </c>
      <c r="F119" s="41" t="s">
        <v>854</v>
      </c>
      <c r="G119" s="30">
        <v>200</v>
      </c>
      <c r="H119" s="8">
        <v>2000</v>
      </c>
    </row>
    <row r="120" spans="2:8" x14ac:dyDescent="0.3">
      <c r="B120" s="43">
        <v>42220</v>
      </c>
      <c r="C120" s="3" t="s">
        <v>9</v>
      </c>
      <c r="D120" s="3" t="s">
        <v>881</v>
      </c>
      <c r="E120" s="30">
        <v>160</v>
      </c>
      <c r="F120" s="30">
        <v>180</v>
      </c>
      <c r="G120" s="30">
        <v>200</v>
      </c>
      <c r="H120" s="30">
        <v>4000</v>
      </c>
    </row>
    <row r="121" spans="2:8" x14ac:dyDescent="0.3">
      <c r="B121" s="43">
        <v>42221</v>
      </c>
      <c r="C121" s="3" t="s">
        <v>9</v>
      </c>
      <c r="D121" s="3" t="s">
        <v>625</v>
      </c>
      <c r="E121" s="30">
        <v>165</v>
      </c>
      <c r="F121" s="30">
        <v>175</v>
      </c>
      <c r="G121" s="30">
        <v>200</v>
      </c>
      <c r="H121" s="30">
        <v>2000</v>
      </c>
    </row>
    <row r="122" spans="2:8" x14ac:dyDescent="0.3">
      <c r="B122" s="43">
        <v>42222</v>
      </c>
      <c r="C122" s="3" t="s">
        <v>9</v>
      </c>
      <c r="D122" s="30" t="s">
        <v>563</v>
      </c>
      <c r="E122" s="30">
        <v>115</v>
      </c>
      <c r="F122" s="30">
        <v>125</v>
      </c>
      <c r="G122" s="30">
        <v>200</v>
      </c>
      <c r="H122" s="30">
        <v>2000</v>
      </c>
    </row>
    <row r="123" spans="2:8" x14ac:dyDescent="0.3">
      <c r="B123" s="43">
        <v>42223</v>
      </c>
      <c r="C123" s="3" t="s">
        <v>9</v>
      </c>
      <c r="D123" s="30" t="s">
        <v>662</v>
      </c>
      <c r="E123" s="30">
        <v>155</v>
      </c>
      <c r="F123" s="30">
        <v>170</v>
      </c>
      <c r="G123" s="30">
        <v>200</v>
      </c>
      <c r="H123" s="30">
        <v>3000</v>
      </c>
    </row>
    <row r="124" spans="2:8" x14ac:dyDescent="0.3">
      <c r="B124" s="43">
        <v>42224</v>
      </c>
      <c r="C124" s="3" t="s">
        <v>9</v>
      </c>
      <c r="D124" s="30" t="s">
        <v>662</v>
      </c>
      <c r="E124" s="30">
        <v>135</v>
      </c>
      <c r="F124" s="30">
        <v>170</v>
      </c>
      <c r="G124" s="30">
        <v>200</v>
      </c>
      <c r="H124" s="30">
        <v>7000</v>
      </c>
    </row>
    <row r="125" spans="2:8" x14ac:dyDescent="0.3">
      <c r="B125" s="43">
        <v>42227</v>
      </c>
      <c r="C125" s="3" t="s">
        <v>9</v>
      </c>
      <c r="D125" s="30" t="s">
        <v>563</v>
      </c>
      <c r="E125" s="30">
        <v>135</v>
      </c>
      <c r="F125" s="30">
        <v>170</v>
      </c>
      <c r="G125" s="30">
        <v>200</v>
      </c>
      <c r="H125" s="30">
        <v>7000</v>
      </c>
    </row>
    <row r="126" spans="2:8" x14ac:dyDescent="0.3">
      <c r="B126" s="43">
        <v>42228</v>
      </c>
      <c r="C126" s="3" t="s">
        <v>9</v>
      </c>
      <c r="D126" s="30" t="s">
        <v>554</v>
      </c>
      <c r="E126" s="30">
        <v>145</v>
      </c>
      <c r="F126" s="30">
        <v>190</v>
      </c>
      <c r="G126" s="30">
        <v>200</v>
      </c>
      <c r="H126" s="30">
        <v>9000</v>
      </c>
    </row>
    <row r="127" spans="2:8" x14ac:dyDescent="0.3">
      <c r="B127" s="43">
        <v>42229</v>
      </c>
      <c r="C127" s="3" t="s">
        <v>9</v>
      </c>
      <c r="D127" s="30" t="s">
        <v>554</v>
      </c>
      <c r="E127" s="30">
        <v>150</v>
      </c>
      <c r="F127" s="30">
        <v>182</v>
      </c>
      <c r="G127" s="30">
        <v>200</v>
      </c>
      <c r="H127" s="30">
        <v>6400</v>
      </c>
    </row>
    <row r="128" spans="2:8" x14ac:dyDescent="0.3">
      <c r="B128" s="43">
        <v>42230</v>
      </c>
      <c r="C128" s="3" t="s">
        <v>9</v>
      </c>
      <c r="D128" s="30" t="s">
        <v>554</v>
      </c>
      <c r="E128" s="30">
        <v>145</v>
      </c>
      <c r="F128" s="30">
        <v>120</v>
      </c>
      <c r="G128" s="30">
        <v>200</v>
      </c>
      <c r="H128" s="30">
        <v>-5000</v>
      </c>
    </row>
    <row r="129" spans="2:8" x14ac:dyDescent="0.3">
      <c r="B129" s="43">
        <v>42233</v>
      </c>
      <c r="C129" s="3" t="s">
        <v>9</v>
      </c>
      <c r="D129" s="30" t="s">
        <v>554</v>
      </c>
      <c r="E129" s="30">
        <v>110</v>
      </c>
      <c r="F129" s="30">
        <v>120</v>
      </c>
      <c r="G129" s="30">
        <v>200</v>
      </c>
      <c r="H129" s="30">
        <v>2000</v>
      </c>
    </row>
    <row r="130" spans="2:8" x14ac:dyDescent="0.3">
      <c r="B130" s="43">
        <v>42234</v>
      </c>
      <c r="C130" s="3" t="s">
        <v>9</v>
      </c>
      <c r="D130" s="30" t="s">
        <v>563</v>
      </c>
      <c r="E130" s="30">
        <v>145</v>
      </c>
      <c r="F130" s="30">
        <v>175</v>
      </c>
      <c r="G130" s="30">
        <v>200</v>
      </c>
      <c r="H130" s="30">
        <v>6000</v>
      </c>
    </row>
    <row r="131" spans="2:8" x14ac:dyDescent="0.3">
      <c r="B131" s="43">
        <v>42235</v>
      </c>
      <c r="C131" s="3" t="s">
        <v>9</v>
      </c>
      <c r="D131" s="30" t="s">
        <v>563</v>
      </c>
      <c r="E131" s="30">
        <v>120</v>
      </c>
      <c r="F131" s="30">
        <v>140</v>
      </c>
      <c r="G131" s="30">
        <v>200</v>
      </c>
      <c r="H131" s="30">
        <v>4000</v>
      </c>
    </row>
    <row r="132" spans="2:8" x14ac:dyDescent="0.3">
      <c r="B132" s="43">
        <v>42236</v>
      </c>
      <c r="C132" s="3" t="s">
        <v>9</v>
      </c>
      <c r="D132" s="30" t="s">
        <v>563</v>
      </c>
      <c r="E132" s="30">
        <v>155</v>
      </c>
      <c r="F132" s="30">
        <v>200</v>
      </c>
      <c r="G132" s="30">
        <v>200</v>
      </c>
      <c r="H132" s="30">
        <v>9000</v>
      </c>
    </row>
    <row r="133" spans="2:8" ht="15.6" x14ac:dyDescent="0.3">
      <c r="B133" s="43">
        <v>42237</v>
      </c>
      <c r="C133" s="3" t="s">
        <v>9</v>
      </c>
      <c r="D133" s="30" t="s">
        <v>589</v>
      </c>
      <c r="E133" s="30">
        <v>95</v>
      </c>
      <c r="F133" s="30">
        <v>110</v>
      </c>
      <c r="G133" s="30">
        <v>200</v>
      </c>
      <c r="H133" s="62" t="s">
        <v>390</v>
      </c>
    </row>
    <row r="134" spans="2:8" ht="15.6" x14ac:dyDescent="0.3">
      <c r="B134" s="43">
        <v>42240</v>
      </c>
      <c r="C134" s="3" t="s">
        <v>9</v>
      </c>
      <c r="D134" s="30" t="s">
        <v>492</v>
      </c>
      <c r="E134" s="30">
        <v>120</v>
      </c>
      <c r="F134" s="30">
        <v>155</v>
      </c>
      <c r="G134" s="30">
        <v>200</v>
      </c>
      <c r="H134" s="62" t="s">
        <v>463</v>
      </c>
    </row>
    <row r="135" spans="2:8" ht="15.6" x14ac:dyDescent="0.3">
      <c r="B135" s="43">
        <v>42241</v>
      </c>
      <c r="C135" s="3" t="s">
        <v>9</v>
      </c>
      <c r="D135" s="28" t="s">
        <v>691</v>
      </c>
      <c r="E135" s="49" t="s">
        <v>612</v>
      </c>
      <c r="F135" s="49" t="s">
        <v>358</v>
      </c>
      <c r="G135" s="30">
        <v>200</v>
      </c>
      <c r="H135" s="62" t="s">
        <v>320</v>
      </c>
    </row>
    <row r="136" spans="2:8" x14ac:dyDescent="0.3">
      <c r="B136" s="43">
        <v>42242</v>
      </c>
      <c r="C136" s="3" t="s">
        <v>9</v>
      </c>
      <c r="D136" s="28" t="s">
        <v>434</v>
      </c>
      <c r="E136" s="49" t="s">
        <v>217</v>
      </c>
      <c r="F136" s="49" t="s">
        <v>228</v>
      </c>
      <c r="G136" s="30">
        <v>200</v>
      </c>
      <c r="H136" s="49" t="s">
        <v>518</v>
      </c>
    </row>
    <row r="137" spans="2:8" x14ac:dyDescent="0.3">
      <c r="B137" s="43">
        <v>42243</v>
      </c>
      <c r="C137" s="3" t="s">
        <v>9</v>
      </c>
      <c r="D137" s="28" t="s">
        <v>472</v>
      </c>
      <c r="E137" s="49" t="s">
        <v>420</v>
      </c>
      <c r="F137" s="49" t="s">
        <v>228</v>
      </c>
      <c r="G137" s="30">
        <v>200</v>
      </c>
      <c r="H137" s="30">
        <v>2000</v>
      </c>
    </row>
    <row r="138" spans="2:8" x14ac:dyDescent="0.3">
      <c r="B138" s="43">
        <v>42244</v>
      </c>
      <c r="C138" s="3" t="s">
        <v>9</v>
      </c>
      <c r="D138" s="28" t="s">
        <v>499</v>
      </c>
      <c r="E138" s="49" t="s">
        <v>229</v>
      </c>
      <c r="F138" s="49" t="s">
        <v>899</v>
      </c>
      <c r="G138" s="30">
        <v>200</v>
      </c>
      <c r="H138" s="49" t="s">
        <v>900</v>
      </c>
    </row>
    <row r="139" spans="2:8" x14ac:dyDescent="0.3">
      <c r="B139" s="43">
        <v>42247</v>
      </c>
      <c r="C139" s="3" t="s">
        <v>9</v>
      </c>
      <c r="D139" s="28" t="s">
        <v>472</v>
      </c>
      <c r="E139" s="28">
        <v>200</v>
      </c>
      <c r="F139" s="28">
        <v>180</v>
      </c>
      <c r="G139" s="30">
        <v>200</v>
      </c>
      <c r="H139" s="49" t="s">
        <v>673</v>
      </c>
    </row>
    <row r="140" spans="2:8" ht="18" x14ac:dyDescent="0.35">
      <c r="B140" s="43"/>
      <c r="C140" s="28"/>
      <c r="D140" s="28"/>
      <c r="E140" s="28"/>
      <c r="F140" s="28"/>
      <c r="G140" s="30"/>
      <c r="H140" s="72">
        <v>60400</v>
      </c>
    </row>
    <row r="141" spans="2:8" x14ac:dyDescent="0.3">
      <c r="B141" s="43"/>
      <c r="C141" s="28"/>
      <c r="D141" s="28"/>
      <c r="E141" s="28"/>
      <c r="F141" s="28"/>
      <c r="G141" s="30"/>
      <c r="H141" s="28"/>
    </row>
    <row r="142" spans="2:8" ht="18" x14ac:dyDescent="0.35">
      <c r="B142" s="1"/>
      <c r="C142" s="28"/>
      <c r="D142" s="28"/>
      <c r="E142" s="28"/>
      <c r="F142" s="28"/>
      <c r="G142" s="28"/>
      <c r="H142" s="72"/>
    </row>
    <row r="143" spans="2:8" x14ac:dyDescent="0.3">
      <c r="B143" s="1"/>
    </row>
    <row r="144" spans="2:8" x14ac:dyDescent="0.3">
      <c r="B144" s="1"/>
    </row>
    <row r="145" spans="2:2" x14ac:dyDescent="0.3">
      <c r="B145" s="1"/>
    </row>
    <row r="146" spans="2:2" x14ac:dyDescent="0.3">
      <c r="B146" s="1"/>
    </row>
    <row r="147" spans="2:2" x14ac:dyDescent="0.3">
      <c r="B147" s="1"/>
    </row>
    <row r="148" spans="2:2" x14ac:dyDescent="0.3">
      <c r="B148" s="1"/>
    </row>
    <row r="149" spans="2:2" x14ac:dyDescent="0.3">
      <c r="B149" s="1"/>
    </row>
    <row r="150" spans="2:2" x14ac:dyDescent="0.3">
      <c r="B150" s="1"/>
    </row>
    <row r="151" spans="2:2" x14ac:dyDescent="0.3">
      <c r="B151" s="1"/>
    </row>
    <row r="152" spans="2:2" x14ac:dyDescent="0.3">
      <c r="B152" s="1"/>
    </row>
    <row r="153" spans="2:2" x14ac:dyDescent="0.3">
      <c r="B153" s="1"/>
    </row>
    <row r="154" spans="2:2" x14ac:dyDescent="0.3">
      <c r="B154" s="1"/>
    </row>
  </sheetData>
  <mergeCells count="3">
    <mergeCell ref="B1:H1"/>
    <mergeCell ref="B2:H2"/>
    <mergeCell ref="B3:H3"/>
  </mergeCells>
  <hyperlinks>
    <hyperlink ref="J2" location="'MASTER '!A1" display="Back" xr:uid="{00000000-0004-0000-1C00-000000000000}"/>
  </hyperlinks>
  <pageMargins left="0.7" right="0.7" top="0.75" bottom="0.75" header="0.3" footer="0.3"/>
  <pageSetup orientation="portrait" r:id="rId1"/>
  <ignoredErrors>
    <ignoredError sqref="E6:F9 H6:H9 E119:F119 E54:F55 E90:F90 E10:H11 H12:H19 H133 E134:H138 H139 H90 H54:H5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2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43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41428</v>
      </c>
      <c r="C6" s="3" t="s">
        <v>11</v>
      </c>
      <c r="D6" s="2" t="s">
        <v>46</v>
      </c>
      <c r="E6" s="4">
        <v>328.6</v>
      </c>
      <c r="F6" s="5">
        <v>322</v>
      </c>
      <c r="G6" s="24">
        <v>912.96409007912348</v>
      </c>
      <c r="H6" s="28">
        <v>-6025</v>
      </c>
      <c r="K6" s="16"/>
    </row>
    <row r="7" spans="1:11" x14ac:dyDescent="0.3">
      <c r="B7" s="1">
        <v>41429</v>
      </c>
      <c r="C7" s="3" t="s">
        <v>11</v>
      </c>
      <c r="D7" s="2" t="s">
        <v>78</v>
      </c>
      <c r="E7" s="4">
        <v>1414.5</v>
      </c>
      <c r="F7" s="3">
        <v>1426</v>
      </c>
      <c r="G7" s="24">
        <v>212.08907741251326</v>
      </c>
      <c r="H7" s="28">
        <v>1219</v>
      </c>
      <c r="K7" s="16"/>
    </row>
    <row r="8" spans="1:11" x14ac:dyDescent="0.3">
      <c r="B8" s="1">
        <v>41430</v>
      </c>
      <c r="C8" s="3" t="s">
        <v>8</v>
      </c>
      <c r="D8" s="2" t="s">
        <v>16</v>
      </c>
      <c r="E8" s="4">
        <v>277</v>
      </c>
      <c r="F8" s="3">
        <v>278</v>
      </c>
      <c r="G8" s="24">
        <v>1083.0324909747292</v>
      </c>
      <c r="H8" s="28">
        <v>-1083</v>
      </c>
      <c r="K8" s="16"/>
    </row>
    <row r="9" spans="1:11" x14ac:dyDescent="0.3">
      <c r="B9" s="1">
        <v>41431</v>
      </c>
      <c r="C9" s="3" t="s">
        <v>9</v>
      </c>
      <c r="D9" s="2" t="s">
        <v>19</v>
      </c>
      <c r="E9" s="4">
        <v>2016</v>
      </c>
      <c r="F9" s="5">
        <v>2040</v>
      </c>
      <c r="G9" s="24">
        <v>148.8095238095238</v>
      </c>
      <c r="H9" s="28">
        <v>3571</v>
      </c>
      <c r="K9" s="16"/>
    </row>
    <row r="10" spans="1:11" x14ac:dyDescent="0.3">
      <c r="B10" s="1">
        <v>41432</v>
      </c>
      <c r="C10" s="3" t="s">
        <v>9</v>
      </c>
      <c r="D10" s="2" t="s">
        <v>79</v>
      </c>
      <c r="E10" s="5">
        <v>294</v>
      </c>
      <c r="F10" s="3">
        <v>296.89999999999998</v>
      </c>
      <c r="G10" s="24">
        <v>1020.4081632653061</v>
      </c>
      <c r="H10" s="28">
        <v>1479</v>
      </c>
      <c r="K10" s="16"/>
    </row>
    <row r="11" spans="1:11" x14ac:dyDescent="0.3">
      <c r="B11" s="1">
        <v>41435</v>
      </c>
      <c r="C11" s="3" t="s">
        <v>8</v>
      </c>
      <c r="D11" s="2" t="s">
        <v>80</v>
      </c>
      <c r="E11" s="4">
        <v>322.5</v>
      </c>
      <c r="F11" s="3">
        <v>319.8</v>
      </c>
      <c r="G11" s="24">
        <v>930.23255813953483</v>
      </c>
      <c r="H11" s="28">
        <v>2511</v>
      </c>
      <c r="K11" s="16"/>
    </row>
    <row r="12" spans="1:11" x14ac:dyDescent="0.3">
      <c r="B12" s="1">
        <v>41436</v>
      </c>
      <c r="C12" s="3" t="s">
        <v>9</v>
      </c>
      <c r="D12" s="2" t="s">
        <v>30</v>
      </c>
      <c r="E12" s="5">
        <v>305</v>
      </c>
      <c r="F12" s="3">
        <v>307.64999999999998</v>
      </c>
      <c r="G12" s="24">
        <v>983.60655737704917</v>
      </c>
      <c r="H12" s="28">
        <v>1303</v>
      </c>
      <c r="K12" s="16"/>
    </row>
    <row r="13" spans="1:11" x14ac:dyDescent="0.3">
      <c r="B13" s="1">
        <v>41437</v>
      </c>
      <c r="C13" s="3" t="s">
        <v>8</v>
      </c>
      <c r="D13" s="2" t="s">
        <v>84</v>
      </c>
      <c r="E13" s="3">
        <v>1475</v>
      </c>
      <c r="F13" s="5">
        <v>1465</v>
      </c>
      <c r="G13" s="5">
        <v>203</v>
      </c>
      <c r="H13" s="28">
        <v>2030</v>
      </c>
      <c r="K13" s="16"/>
    </row>
    <row r="14" spans="1:11" x14ac:dyDescent="0.3">
      <c r="B14" s="1">
        <v>41438</v>
      </c>
      <c r="C14" s="3" t="s">
        <v>9</v>
      </c>
      <c r="D14" s="2" t="s">
        <v>79</v>
      </c>
      <c r="E14" s="4">
        <v>382</v>
      </c>
      <c r="F14" s="3">
        <v>386</v>
      </c>
      <c r="G14" s="5">
        <v>785</v>
      </c>
      <c r="H14" s="28">
        <v>3140</v>
      </c>
      <c r="K14" s="16"/>
    </row>
    <row r="15" spans="1:11" x14ac:dyDescent="0.3">
      <c r="B15" s="1">
        <v>41439</v>
      </c>
      <c r="C15" s="3" t="s">
        <v>9</v>
      </c>
      <c r="D15" s="2" t="s">
        <v>91</v>
      </c>
      <c r="E15" s="4">
        <v>451</v>
      </c>
      <c r="F15" s="3">
        <v>460</v>
      </c>
      <c r="G15" s="5">
        <v>665</v>
      </c>
      <c r="H15" s="28">
        <v>5985</v>
      </c>
      <c r="K15" s="16"/>
    </row>
    <row r="16" spans="1:11" x14ac:dyDescent="0.3">
      <c r="B16" s="1">
        <v>41442</v>
      </c>
      <c r="C16" s="3" t="s">
        <v>9</v>
      </c>
      <c r="D16" s="2" t="s">
        <v>90</v>
      </c>
      <c r="E16" s="3">
        <v>960</v>
      </c>
      <c r="F16" s="5">
        <v>970</v>
      </c>
      <c r="G16" s="5">
        <v>312</v>
      </c>
      <c r="H16" s="28">
        <v>3120</v>
      </c>
      <c r="K16" s="16"/>
    </row>
    <row r="17" spans="2:11" x14ac:dyDescent="0.3">
      <c r="B17" s="1">
        <v>41443</v>
      </c>
      <c r="C17" s="3" t="s">
        <v>9</v>
      </c>
      <c r="D17" s="2" t="s">
        <v>92</v>
      </c>
      <c r="E17" s="5">
        <v>131</v>
      </c>
      <c r="F17" s="7">
        <v>136</v>
      </c>
      <c r="G17" s="5">
        <v>2290</v>
      </c>
      <c r="H17" s="28">
        <v>11450</v>
      </c>
      <c r="K17" s="16"/>
    </row>
    <row r="18" spans="2:11" x14ac:dyDescent="0.3">
      <c r="B18" s="1">
        <v>41444</v>
      </c>
      <c r="C18" s="3" t="s">
        <v>9</v>
      </c>
      <c r="D18" s="7" t="s">
        <v>19</v>
      </c>
      <c r="E18" s="8">
        <v>2032</v>
      </c>
      <c r="F18" s="7">
        <v>2045</v>
      </c>
      <c r="G18" s="5">
        <v>147</v>
      </c>
      <c r="H18" s="28">
        <v>1911</v>
      </c>
      <c r="K18" s="16"/>
    </row>
    <row r="19" spans="2:11" x14ac:dyDescent="0.3">
      <c r="B19" s="1">
        <v>41445</v>
      </c>
      <c r="C19" s="3" t="s">
        <v>9</v>
      </c>
      <c r="D19" s="7" t="s">
        <v>93</v>
      </c>
      <c r="E19" s="6">
        <v>338</v>
      </c>
      <c r="F19" s="7">
        <v>334</v>
      </c>
      <c r="G19" s="5">
        <v>887</v>
      </c>
      <c r="H19" s="28">
        <v>-3548</v>
      </c>
      <c r="K19" s="16"/>
    </row>
    <row r="20" spans="2:11" x14ac:dyDescent="0.3">
      <c r="B20" s="1">
        <v>41446</v>
      </c>
      <c r="C20" s="3" t="s">
        <v>9</v>
      </c>
      <c r="D20" s="2" t="s">
        <v>90</v>
      </c>
      <c r="E20" s="3">
        <v>999</v>
      </c>
      <c r="F20" s="3">
        <v>1008</v>
      </c>
      <c r="G20" s="5">
        <v>300</v>
      </c>
      <c r="H20" s="28">
        <v>2700</v>
      </c>
      <c r="K20" s="16"/>
    </row>
    <row r="21" spans="2:11" x14ac:dyDescent="0.3">
      <c r="B21" s="1">
        <v>41449</v>
      </c>
      <c r="C21" s="3" t="s">
        <v>8</v>
      </c>
      <c r="D21" s="2" t="s">
        <v>91</v>
      </c>
      <c r="E21" s="3">
        <v>450</v>
      </c>
      <c r="F21" s="3">
        <v>444</v>
      </c>
      <c r="G21" s="5">
        <v>666</v>
      </c>
      <c r="H21" s="28">
        <v>3996</v>
      </c>
      <c r="K21" s="16"/>
    </row>
    <row r="22" spans="2:11" x14ac:dyDescent="0.3">
      <c r="B22" s="1">
        <v>41450</v>
      </c>
      <c r="C22" s="3" t="s">
        <v>9</v>
      </c>
      <c r="D22" s="7" t="s">
        <v>28</v>
      </c>
      <c r="E22" s="8">
        <v>644</v>
      </c>
      <c r="F22" s="7">
        <v>662</v>
      </c>
      <c r="G22" s="5">
        <v>465</v>
      </c>
      <c r="H22" s="28">
        <v>8370</v>
      </c>
      <c r="K22" s="16"/>
    </row>
    <row r="23" spans="2:11" x14ac:dyDescent="0.3">
      <c r="B23" s="1">
        <v>41451</v>
      </c>
      <c r="C23" s="3" t="s">
        <v>9</v>
      </c>
      <c r="D23" s="2" t="s">
        <v>90</v>
      </c>
      <c r="E23" s="5">
        <v>1040</v>
      </c>
      <c r="F23" s="5">
        <v>1035</v>
      </c>
      <c r="G23" s="5">
        <v>287</v>
      </c>
      <c r="H23" s="28">
        <v>-1435</v>
      </c>
      <c r="K23" s="16"/>
    </row>
    <row r="24" spans="2:11" x14ac:dyDescent="0.3">
      <c r="B24" s="1">
        <v>41452</v>
      </c>
      <c r="C24" s="3" t="s">
        <v>9</v>
      </c>
      <c r="D24" s="2" t="s">
        <v>31</v>
      </c>
      <c r="E24" s="8">
        <v>824</v>
      </c>
      <c r="F24" s="7">
        <v>833</v>
      </c>
      <c r="G24" s="5">
        <v>364</v>
      </c>
      <c r="H24" s="28">
        <v>2912</v>
      </c>
      <c r="K24" s="16"/>
    </row>
    <row r="25" spans="2:11" x14ac:dyDescent="0.3">
      <c r="B25" s="1">
        <v>41453</v>
      </c>
      <c r="C25" s="30" t="s">
        <v>9</v>
      </c>
      <c r="D25" s="30" t="s">
        <v>49</v>
      </c>
      <c r="E25" s="30">
        <v>1045</v>
      </c>
      <c r="F25" s="30">
        <v>1035</v>
      </c>
      <c r="G25" s="30">
        <v>287</v>
      </c>
      <c r="H25" s="28">
        <v>-2870</v>
      </c>
    </row>
    <row r="26" spans="2:11" ht="15.6" x14ac:dyDescent="0.3">
      <c r="H26" s="33">
        <v>40736</v>
      </c>
    </row>
    <row r="29" spans="2:11" ht="15.6" x14ac:dyDescent="0.3">
      <c r="B29" s="48" t="s">
        <v>62</v>
      </c>
      <c r="C29" s="48"/>
      <c r="D29" s="48"/>
      <c r="E29" s="48"/>
      <c r="F29" s="48"/>
      <c r="G29" s="48"/>
      <c r="H29" s="48"/>
    </row>
    <row r="30" spans="2:11" x14ac:dyDescent="0.3">
      <c r="B30" s="1">
        <v>41428</v>
      </c>
      <c r="C30" s="3" t="s">
        <v>11</v>
      </c>
      <c r="D30" s="2" t="s">
        <v>12</v>
      </c>
      <c r="E30" s="4">
        <v>135.69999999999999</v>
      </c>
      <c r="F30" s="4">
        <v>138</v>
      </c>
      <c r="G30" s="24">
        <v>4000</v>
      </c>
      <c r="H30" s="28">
        <v>9200</v>
      </c>
    </row>
    <row r="31" spans="2:11" x14ac:dyDescent="0.3">
      <c r="B31" s="1">
        <v>41429</v>
      </c>
      <c r="C31" s="3" t="s">
        <v>11</v>
      </c>
      <c r="D31" s="2" t="s">
        <v>25</v>
      </c>
      <c r="E31" s="4">
        <v>298.7</v>
      </c>
      <c r="F31" s="4">
        <v>303.5</v>
      </c>
      <c r="G31" s="24">
        <v>1000</v>
      </c>
      <c r="H31" s="28">
        <v>4800</v>
      </c>
    </row>
    <row r="32" spans="2:11" x14ac:dyDescent="0.3">
      <c r="B32" s="1">
        <v>41430</v>
      </c>
      <c r="C32" s="3" t="s">
        <v>9</v>
      </c>
      <c r="D32" s="2" t="s">
        <v>37</v>
      </c>
      <c r="E32" s="4">
        <v>101.2</v>
      </c>
      <c r="F32" s="4">
        <v>103</v>
      </c>
      <c r="G32" s="24">
        <v>2000</v>
      </c>
      <c r="H32" s="28">
        <v>3600</v>
      </c>
    </row>
    <row r="33" spans="2:8" x14ac:dyDescent="0.3">
      <c r="B33" s="1">
        <v>41431</v>
      </c>
      <c r="C33" s="3" t="s">
        <v>8</v>
      </c>
      <c r="D33" s="2" t="s">
        <v>81</v>
      </c>
      <c r="E33" s="4">
        <v>1136</v>
      </c>
      <c r="F33" s="4">
        <v>1159</v>
      </c>
      <c r="G33" s="24">
        <v>250</v>
      </c>
      <c r="H33" s="28">
        <v>-5750</v>
      </c>
    </row>
    <row r="34" spans="2:8" x14ac:dyDescent="0.3">
      <c r="B34" s="1">
        <v>41432</v>
      </c>
      <c r="C34" s="3" t="s">
        <v>8</v>
      </c>
      <c r="D34" s="2" t="s">
        <v>82</v>
      </c>
      <c r="E34" s="4">
        <v>406</v>
      </c>
      <c r="F34" s="4">
        <v>400</v>
      </c>
      <c r="G34" s="24">
        <v>1000</v>
      </c>
      <c r="H34" s="28">
        <v>6000</v>
      </c>
    </row>
    <row r="35" spans="2:8" x14ac:dyDescent="0.3">
      <c r="B35" s="1">
        <v>41435</v>
      </c>
      <c r="C35" s="3" t="s">
        <v>8</v>
      </c>
      <c r="D35" s="2" t="s">
        <v>83</v>
      </c>
      <c r="E35" s="4">
        <v>763</v>
      </c>
      <c r="F35" s="4">
        <v>750</v>
      </c>
      <c r="G35" s="24">
        <v>500</v>
      </c>
      <c r="H35" s="28">
        <v>6500</v>
      </c>
    </row>
    <row r="36" spans="2:8" x14ac:dyDescent="0.3">
      <c r="B36" s="1">
        <v>41436</v>
      </c>
      <c r="C36" s="3" t="s">
        <v>9</v>
      </c>
      <c r="D36" s="2" t="s">
        <v>28</v>
      </c>
      <c r="E36" s="4">
        <v>725</v>
      </c>
      <c r="F36" s="4">
        <v>735</v>
      </c>
      <c r="G36" s="24">
        <v>500</v>
      </c>
      <c r="H36" s="28">
        <v>5000</v>
      </c>
    </row>
    <row r="37" spans="2:8" x14ac:dyDescent="0.3">
      <c r="B37" s="1">
        <v>41437</v>
      </c>
      <c r="C37" s="3" t="s">
        <v>8</v>
      </c>
      <c r="D37" s="2" t="s">
        <v>84</v>
      </c>
      <c r="E37" s="4">
        <v>1475</v>
      </c>
      <c r="F37" s="4">
        <v>1465</v>
      </c>
      <c r="G37" s="32">
        <v>250</v>
      </c>
      <c r="H37" s="28">
        <v>2500</v>
      </c>
    </row>
    <row r="38" spans="2:8" x14ac:dyDescent="0.3">
      <c r="B38" s="1">
        <v>41438</v>
      </c>
      <c r="C38" s="3" t="s">
        <v>9</v>
      </c>
      <c r="D38" s="2" t="s">
        <v>85</v>
      </c>
      <c r="E38" s="4">
        <v>284</v>
      </c>
      <c r="F38" s="4">
        <v>288</v>
      </c>
      <c r="G38" s="28">
        <v>1000</v>
      </c>
      <c r="H38" s="28">
        <v>4000</v>
      </c>
    </row>
    <row r="39" spans="2:8" x14ac:dyDescent="0.3">
      <c r="B39" s="1">
        <v>41439</v>
      </c>
      <c r="C39" s="3" t="s">
        <v>8</v>
      </c>
      <c r="D39" s="2" t="s">
        <v>94</v>
      </c>
      <c r="E39" s="4">
        <v>665</v>
      </c>
      <c r="F39" s="4">
        <v>670</v>
      </c>
      <c r="G39" s="28">
        <v>500</v>
      </c>
      <c r="H39" s="28">
        <v>-2500</v>
      </c>
    </row>
    <row r="40" spans="2:8" x14ac:dyDescent="0.3">
      <c r="B40" s="1">
        <v>41442</v>
      </c>
      <c r="C40" s="3" t="s">
        <v>9</v>
      </c>
      <c r="D40" s="2" t="s">
        <v>95</v>
      </c>
      <c r="E40" s="4">
        <v>1091</v>
      </c>
      <c r="F40" s="4">
        <v>1005</v>
      </c>
      <c r="G40" s="28">
        <v>250</v>
      </c>
      <c r="H40" s="28">
        <v>3500</v>
      </c>
    </row>
    <row r="41" spans="2:8" x14ac:dyDescent="0.3">
      <c r="B41" s="1">
        <v>41443</v>
      </c>
      <c r="C41" s="3" t="s">
        <v>9</v>
      </c>
      <c r="D41" s="2" t="s">
        <v>90</v>
      </c>
      <c r="E41" s="4">
        <v>977</v>
      </c>
      <c r="F41" s="4">
        <v>985</v>
      </c>
      <c r="G41" s="28">
        <v>250</v>
      </c>
      <c r="H41" s="28">
        <v>2000</v>
      </c>
    </row>
    <row r="42" spans="2:8" x14ac:dyDescent="0.3">
      <c r="B42" s="1">
        <v>41444</v>
      </c>
      <c r="C42" s="3" t="s">
        <v>9</v>
      </c>
      <c r="D42" s="2" t="s">
        <v>56</v>
      </c>
      <c r="E42" s="4">
        <v>125.9</v>
      </c>
      <c r="F42" s="4">
        <v>126.9</v>
      </c>
      <c r="G42" s="28">
        <v>4000</v>
      </c>
      <c r="H42" s="28">
        <v>4000</v>
      </c>
    </row>
    <row r="43" spans="2:8" x14ac:dyDescent="0.3">
      <c r="B43" s="1">
        <v>41445</v>
      </c>
      <c r="C43" s="3" t="s">
        <v>8</v>
      </c>
      <c r="D43" s="2" t="s">
        <v>26</v>
      </c>
      <c r="E43" s="4">
        <v>179</v>
      </c>
      <c r="F43" s="4">
        <v>175</v>
      </c>
      <c r="G43" s="28">
        <v>1000</v>
      </c>
      <c r="H43" s="28">
        <v>4000</v>
      </c>
    </row>
    <row r="44" spans="2:8" x14ac:dyDescent="0.3">
      <c r="B44" s="1">
        <v>41446</v>
      </c>
      <c r="C44" s="3" t="s">
        <v>9</v>
      </c>
      <c r="D44" s="2" t="s">
        <v>90</v>
      </c>
      <c r="E44" s="4">
        <v>1004</v>
      </c>
      <c r="F44" s="4">
        <v>995</v>
      </c>
      <c r="G44" s="28">
        <v>250</v>
      </c>
      <c r="H44" s="28">
        <v>-2250</v>
      </c>
    </row>
    <row r="45" spans="2:8" x14ac:dyDescent="0.3">
      <c r="B45" s="1">
        <v>41449</v>
      </c>
      <c r="C45" s="3" t="s">
        <v>8</v>
      </c>
      <c r="D45" s="7" t="s">
        <v>26</v>
      </c>
      <c r="E45" s="7">
        <v>169</v>
      </c>
      <c r="F45" s="7">
        <v>165</v>
      </c>
      <c r="G45" s="28">
        <v>1000</v>
      </c>
      <c r="H45" s="28">
        <v>4000</v>
      </c>
    </row>
    <row r="46" spans="2:8" x14ac:dyDescent="0.3">
      <c r="B46" s="1">
        <v>41450</v>
      </c>
      <c r="C46" s="3" t="s">
        <v>9</v>
      </c>
      <c r="D46" s="7" t="s">
        <v>98</v>
      </c>
      <c r="E46" s="7">
        <v>1577</v>
      </c>
      <c r="F46" s="7">
        <v>1565</v>
      </c>
      <c r="G46" s="28">
        <v>125</v>
      </c>
      <c r="H46" s="28">
        <v>-1500</v>
      </c>
    </row>
    <row r="47" spans="2:8" x14ac:dyDescent="0.3">
      <c r="B47" s="1">
        <v>41451</v>
      </c>
      <c r="C47" s="3" t="s">
        <v>9</v>
      </c>
      <c r="D47" s="7" t="s">
        <v>98</v>
      </c>
      <c r="E47" s="4">
        <v>1580</v>
      </c>
      <c r="F47" s="4">
        <v>1600</v>
      </c>
      <c r="G47" s="28">
        <v>125</v>
      </c>
      <c r="H47" s="28">
        <v>2500</v>
      </c>
    </row>
    <row r="48" spans="2:8" x14ac:dyDescent="0.3">
      <c r="B48" s="1">
        <v>41452</v>
      </c>
      <c r="C48" s="3" t="s">
        <v>8</v>
      </c>
      <c r="D48" s="2" t="s">
        <v>99</v>
      </c>
      <c r="E48" s="4">
        <v>325</v>
      </c>
      <c r="F48" s="7">
        <v>322</v>
      </c>
      <c r="G48" s="28">
        <v>1000</v>
      </c>
      <c r="H48" s="28">
        <v>3000</v>
      </c>
    </row>
    <row r="49" spans="2:8" x14ac:dyDescent="0.3">
      <c r="B49" s="1">
        <v>41453</v>
      </c>
      <c r="C49" s="3" t="s">
        <v>8</v>
      </c>
      <c r="D49" s="2" t="s">
        <v>97</v>
      </c>
      <c r="E49" s="7">
        <v>565</v>
      </c>
      <c r="F49" s="7">
        <v>558</v>
      </c>
      <c r="G49" s="28">
        <v>500</v>
      </c>
      <c r="H49" s="28">
        <v>3500</v>
      </c>
    </row>
    <row r="50" spans="2:8" ht="15.6" x14ac:dyDescent="0.3">
      <c r="B50" s="17"/>
      <c r="C50" s="17"/>
      <c r="D50" s="17"/>
      <c r="E50" s="4"/>
      <c r="F50" s="4"/>
      <c r="G50" s="28"/>
      <c r="H50" s="34">
        <v>56100</v>
      </c>
    </row>
    <row r="51" spans="2:8" x14ac:dyDescent="0.3">
      <c r="B51" s="17"/>
      <c r="C51" s="17"/>
      <c r="D51" s="17"/>
      <c r="E51" s="17"/>
      <c r="F51" s="17"/>
      <c r="H51" s="30"/>
    </row>
    <row r="53" spans="2:8" ht="15.6" x14ac:dyDescent="0.3">
      <c r="B53" s="48" t="s">
        <v>63</v>
      </c>
      <c r="C53" s="48"/>
      <c r="D53" s="48"/>
      <c r="E53" s="48"/>
      <c r="F53" s="48"/>
      <c r="G53" s="48"/>
      <c r="H53" s="48"/>
    </row>
    <row r="54" spans="2:8" x14ac:dyDescent="0.3">
      <c r="B54" s="1">
        <v>41428</v>
      </c>
      <c r="C54" s="3" t="s">
        <v>11</v>
      </c>
      <c r="D54" s="2" t="s">
        <v>39</v>
      </c>
      <c r="E54" s="4">
        <v>5987</v>
      </c>
      <c r="F54" s="4">
        <v>5950</v>
      </c>
      <c r="G54" s="7">
        <v>100</v>
      </c>
      <c r="H54" s="4">
        <v>-3700</v>
      </c>
    </row>
    <row r="55" spans="2:8" x14ac:dyDescent="0.3">
      <c r="B55" s="1">
        <v>41429</v>
      </c>
      <c r="C55" s="3" t="s">
        <v>11</v>
      </c>
      <c r="D55" s="2" t="s">
        <v>41</v>
      </c>
      <c r="E55" s="4">
        <v>12480</v>
      </c>
      <c r="F55" s="4">
        <v>12520</v>
      </c>
      <c r="G55" s="7">
        <v>50</v>
      </c>
      <c r="H55" s="4">
        <v>1000</v>
      </c>
    </row>
    <row r="56" spans="2:8" x14ac:dyDescent="0.3">
      <c r="B56" s="1">
        <v>41430</v>
      </c>
      <c r="C56" s="3" t="s">
        <v>9</v>
      </c>
      <c r="D56" s="2" t="s">
        <v>39</v>
      </c>
      <c r="E56" s="4">
        <v>5908</v>
      </c>
      <c r="F56" s="4">
        <v>5945</v>
      </c>
      <c r="G56" s="7">
        <v>100</v>
      </c>
      <c r="H56" s="4">
        <v>3700</v>
      </c>
    </row>
    <row r="57" spans="2:8" x14ac:dyDescent="0.3">
      <c r="B57" s="1">
        <v>41431</v>
      </c>
      <c r="C57" s="3" t="s">
        <v>8</v>
      </c>
      <c r="D57" s="2" t="s">
        <v>39</v>
      </c>
      <c r="E57" s="4">
        <v>5938</v>
      </c>
      <c r="F57" s="4">
        <v>5984</v>
      </c>
      <c r="G57" s="7">
        <v>100</v>
      </c>
      <c r="H57" s="4">
        <v>4600</v>
      </c>
    </row>
    <row r="58" spans="2:8" x14ac:dyDescent="0.3">
      <c r="B58" s="1">
        <v>41432</v>
      </c>
      <c r="C58" s="3" t="s">
        <v>9</v>
      </c>
      <c r="D58" s="2" t="s">
        <v>41</v>
      </c>
      <c r="E58" s="4">
        <v>12325</v>
      </c>
      <c r="F58" s="4">
        <v>12428</v>
      </c>
      <c r="G58" s="7">
        <v>50</v>
      </c>
      <c r="H58" s="4">
        <v>5150</v>
      </c>
    </row>
    <row r="59" spans="2:8" x14ac:dyDescent="0.3">
      <c r="B59" s="1">
        <v>41435</v>
      </c>
      <c r="C59" s="3" t="s">
        <v>8</v>
      </c>
      <c r="D59" s="2" t="s">
        <v>39</v>
      </c>
      <c r="E59" s="4">
        <v>5928</v>
      </c>
      <c r="F59" s="4">
        <v>5887</v>
      </c>
      <c r="G59" s="7">
        <v>100</v>
      </c>
      <c r="H59" s="4">
        <v>2875</v>
      </c>
    </row>
    <row r="60" spans="2:8" x14ac:dyDescent="0.3">
      <c r="B60" s="1">
        <v>41436</v>
      </c>
      <c r="C60" s="3" t="s">
        <v>9</v>
      </c>
      <c r="D60" s="2" t="s">
        <v>39</v>
      </c>
      <c r="E60" s="4">
        <v>5820</v>
      </c>
      <c r="F60" s="4">
        <v>5843.5</v>
      </c>
      <c r="G60" s="7">
        <v>100</v>
      </c>
      <c r="H60" s="4">
        <v>1175</v>
      </c>
    </row>
    <row r="61" spans="2:8" x14ac:dyDescent="0.3">
      <c r="B61" s="1">
        <v>41437</v>
      </c>
      <c r="C61" s="3" t="s">
        <v>8</v>
      </c>
      <c r="D61" s="2" t="s">
        <v>39</v>
      </c>
      <c r="E61" s="4">
        <v>5795</v>
      </c>
      <c r="F61" s="4">
        <v>5775</v>
      </c>
      <c r="G61" s="7">
        <v>100</v>
      </c>
      <c r="H61" s="4">
        <v>2000</v>
      </c>
    </row>
    <row r="62" spans="2:8" x14ac:dyDescent="0.3">
      <c r="B62" s="1">
        <v>41438</v>
      </c>
      <c r="C62" s="3" t="s">
        <v>8</v>
      </c>
      <c r="D62" s="2" t="s">
        <v>39</v>
      </c>
      <c r="E62" s="4">
        <v>5710</v>
      </c>
      <c r="F62" s="4">
        <v>5695</v>
      </c>
      <c r="G62" s="7">
        <v>100</v>
      </c>
      <c r="H62" s="4">
        <v>1500</v>
      </c>
    </row>
    <row r="63" spans="2:8" x14ac:dyDescent="0.3">
      <c r="B63" s="1">
        <v>41439</v>
      </c>
      <c r="C63" s="3" t="s">
        <v>9</v>
      </c>
      <c r="D63" s="2" t="s">
        <v>39</v>
      </c>
      <c r="E63" s="4">
        <v>5780</v>
      </c>
      <c r="F63" s="4">
        <v>5760</v>
      </c>
      <c r="G63" s="7">
        <v>100</v>
      </c>
      <c r="H63" s="4">
        <v>-2000</v>
      </c>
    </row>
    <row r="64" spans="2:8" x14ac:dyDescent="0.3">
      <c r="B64" s="1">
        <v>41442</v>
      </c>
      <c r="C64" s="3" t="s">
        <v>8</v>
      </c>
      <c r="D64" s="2" t="s">
        <v>39</v>
      </c>
      <c r="E64" s="4">
        <v>5785</v>
      </c>
      <c r="F64" s="4">
        <v>5765</v>
      </c>
      <c r="G64" s="7">
        <v>100</v>
      </c>
      <c r="H64" s="4">
        <v>-2000</v>
      </c>
    </row>
    <row r="65" spans="2:8" x14ac:dyDescent="0.3">
      <c r="B65" s="1">
        <v>41443</v>
      </c>
      <c r="C65" s="3" t="s">
        <v>9</v>
      </c>
      <c r="D65" s="2" t="s">
        <v>39</v>
      </c>
      <c r="E65" s="4">
        <v>5820</v>
      </c>
      <c r="F65" s="4">
        <v>5850</v>
      </c>
      <c r="G65" s="4">
        <v>100</v>
      </c>
      <c r="H65" s="4">
        <v>3000</v>
      </c>
    </row>
    <row r="66" spans="2:8" x14ac:dyDescent="0.3">
      <c r="B66" s="1">
        <v>41444</v>
      </c>
      <c r="C66" s="3" t="s">
        <v>9</v>
      </c>
      <c r="D66" s="2" t="s">
        <v>39</v>
      </c>
      <c r="E66" s="4">
        <v>5780</v>
      </c>
      <c r="F66" s="4">
        <v>5805</v>
      </c>
      <c r="G66" s="4">
        <v>100</v>
      </c>
      <c r="H66" s="4">
        <v>2500</v>
      </c>
    </row>
    <row r="67" spans="2:8" x14ac:dyDescent="0.3">
      <c r="B67" s="1">
        <v>41445</v>
      </c>
      <c r="C67" s="3" t="s">
        <v>8</v>
      </c>
      <c r="D67" s="2" t="s">
        <v>39</v>
      </c>
      <c r="E67" s="4">
        <v>5690</v>
      </c>
      <c r="F67" s="4">
        <v>5670</v>
      </c>
      <c r="G67" s="4">
        <v>100</v>
      </c>
      <c r="H67" s="4">
        <v>2000</v>
      </c>
    </row>
    <row r="68" spans="2:8" x14ac:dyDescent="0.3">
      <c r="B68" s="1">
        <v>41446</v>
      </c>
      <c r="C68" s="3" t="s">
        <v>9</v>
      </c>
      <c r="D68" s="2" t="s">
        <v>39</v>
      </c>
      <c r="E68" s="4">
        <v>5650</v>
      </c>
      <c r="F68" s="4">
        <v>5680</v>
      </c>
      <c r="G68" s="4">
        <v>100</v>
      </c>
      <c r="H68" s="4">
        <v>3000</v>
      </c>
    </row>
    <row r="69" spans="2:8" x14ac:dyDescent="0.3">
      <c r="B69" s="1">
        <v>41449</v>
      </c>
      <c r="C69" s="3" t="s">
        <v>8</v>
      </c>
      <c r="D69" s="2" t="s">
        <v>39</v>
      </c>
      <c r="E69" s="4">
        <v>5600</v>
      </c>
      <c r="F69" s="4">
        <v>5680</v>
      </c>
      <c r="G69" s="4">
        <v>100</v>
      </c>
      <c r="H69" s="4">
        <v>2000</v>
      </c>
    </row>
    <row r="70" spans="2:8" x14ac:dyDescent="0.3">
      <c r="B70" s="1">
        <v>41450</v>
      </c>
      <c r="C70" s="3" t="s">
        <v>9</v>
      </c>
      <c r="D70" s="2" t="s">
        <v>39</v>
      </c>
      <c r="E70" s="4">
        <v>5580</v>
      </c>
      <c r="F70" s="7">
        <v>5620</v>
      </c>
      <c r="G70" s="4">
        <v>1000</v>
      </c>
      <c r="H70" s="4">
        <v>4000</v>
      </c>
    </row>
    <row r="71" spans="2:8" x14ac:dyDescent="0.3">
      <c r="B71" s="1">
        <v>41451</v>
      </c>
      <c r="C71" s="3" t="s">
        <v>9</v>
      </c>
      <c r="D71" s="2" t="s">
        <v>39</v>
      </c>
      <c r="E71" s="4">
        <v>5610</v>
      </c>
      <c r="F71" s="4">
        <v>5595</v>
      </c>
      <c r="G71" s="4">
        <v>100</v>
      </c>
      <c r="H71" s="4">
        <v>-1500</v>
      </c>
    </row>
    <row r="72" spans="2:8" x14ac:dyDescent="0.3">
      <c r="B72" s="1">
        <v>41452</v>
      </c>
      <c r="C72" s="3" t="s">
        <v>9</v>
      </c>
      <c r="D72" s="2" t="s">
        <v>39</v>
      </c>
      <c r="E72" s="4">
        <v>5650</v>
      </c>
      <c r="F72" s="4">
        <v>5675</v>
      </c>
      <c r="G72" s="4">
        <v>100</v>
      </c>
      <c r="H72" s="4">
        <v>2500</v>
      </c>
    </row>
    <row r="73" spans="2:8" x14ac:dyDescent="0.3">
      <c r="B73" s="1">
        <v>41453</v>
      </c>
      <c r="C73" s="3" t="s">
        <v>9</v>
      </c>
      <c r="D73" s="2" t="s">
        <v>39</v>
      </c>
      <c r="E73" s="4">
        <v>5780</v>
      </c>
      <c r="F73" s="4">
        <v>5820</v>
      </c>
      <c r="G73" s="4">
        <v>100</v>
      </c>
      <c r="H73" s="4">
        <v>4000</v>
      </c>
    </row>
    <row r="74" spans="2:8" ht="15.6" x14ac:dyDescent="0.3">
      <c r="C74" s="31"/>
      <c r="D74" s="31"/>
      <c r="E74" s="4"/>
      <c r="F74" s="4"/>
      <c r="G74" s="4"/>
      <c r="H74" s="35">
        <v>35800</v>
      </c>
    </row>
    <row r="81" spans="2:8" ht="15.6" x14ac:dyDescent="0.3">
      <c r="B81" s="48" t="s">
        <v>64</v>
      </c>
      <c r="C81" s="48"/>
      <c r="D81" s="48"/>
      <c r="E81" s="48"/>
      <c r="F81" s="48"/>
      <c r="G81" s="48"/>
      <c r="H81" s="48"/>
    </row>
    <row r="82" spans="2:8" x14ac:dyDescent="0.3">
      <c r="B82" s="1">
        <v>41428</v>
      </c>
      <c r="C82" s="3" t="s">
        <v>65</v>
      </c>
      <c r="D82" s="3" t="s">
        <v>86</v>
      </c>
      <c r="E82" s="7">
        <v>101</v>
      </c>
      <c r="F82" s="4">
        <v>80</v>
      </c>
      <c r="G82" s="7">
        <v>200</v>
      </c>
      <c r="H82" s="28">
        <v>-4200</v>
      </c>
    </row>
    <row r="83" spans="2:8" x14ac:dyDescent="0.3">
      <c r="B83" s="1">
        <v>41429</v>
      </c>
      <c r="C83" s="3" t="s">
        <v>65</v>
      </c>
      <c r="D83" s="3" t="s">
        <v>87</v>
      </c>
      <c r="E83" s="7">
        <v>149</v>
      </c>
      <c r="F83" s="4">
        <v>129</v>
      </c>
      <c r="G83" s="7">
        <v>200</v>
      </c>
      <c r="H83" s="28">
        <v>-4000</v>
      </c>
    </row>
    <row r="84" spans="2:8" x14ac:dyDescent="0.3">
      <c r="B84" s="1">
        <v>41430</v>
      </c>
      <c r="C84" s="3" t="s">
        <v>69</v>
      </c>
      <c r="D84" s="3" t="s">
        <v>86</v>
      </c>
      <c r="E84" s="7">
        <v>142</v>
      </c>
      <c r="F84" s="4">
        <v>153</v>
      </c>
      <c r="G84" s="7">
        <v>200</v>
      </c>
      <c r="H84" s="28">
        <v>2200</v>
      </c>
    </row>
    <row r="85" spans="2:8" x14ac:dyDescent="0.3">
      <c r="B85" s="1">
        <v>41431</v>
      </c>
      <c r="C85" s="3" t="s">
        <v>69</v>
      </c>
      <c r="D85" s="3" t="s">
        <v>87</v>
      </c>
      <c r="E85" s="7">
        <v>95</v>
      </c>
      <c r="F85" s="4">
        <v>104.9</v>
      </c>
      <c r="G85" s="7">
        <v>200</v>
      </c>
      <c r="H85" s="28">
        <v>990</v>
      </c>
    </row>
    <row r="86" spans="2:8" x14ac:dyDescent="0.3">
      <c r="B86" s="1">
        <v>41432</v>
      </c>
      <c r="C86" s="3" t="s">
        <v>65</v>
      </c>
      <c r="D86" s="3" t="s">
        <v>86</v>
      </c>
      <c r="E86" s="7">
        <v>102</v>
      </c>
      <c r="F86" s="4">
        <v>107</v>
      </c>
      <c r="G86" s="7">
        <v>200</v>
      </c>
      <c r="H86" s="28">
        <v>1000</v>
      </c>
    </row>
    <row r="87" spans="2:8" x14ac:dyDescent="0.3">
      <c r="B87" s="1">
        <v>41435</v>
      </c>
      <c r="C87" s="3" t="s">
        <v>69</v>
      </c>
      <c r="D87" s="3" t="s">
        <v>88</v>
      </c>
      <c r="E87" s="7">
        <v>57</v>
      </c>
      <c r="F87" s="4">
        <v>67.5</v>
      </c>
      <c r="G87" s="7">
        <v>200</v>
      </c>
      <c r="H87" s="28">
        <v>1050</v>
      </c>
    </row>
    <row r="88" spans="2:8" x14ac:dyDescent="0.3">
      <c r="B88" s="1">
        <v>41436</v>
      </c>
      <c r="C88" s="3" t="s">
        <v>69</v>
      </c>
      <c r="D88" s="2" t="s">
        <v>87</v>
      </c>
      <c r="E88" s="7">
        <v>140</v>
      </c>
      <c r="F88" s="7">
        <v>149.5</v>
      </c>
      <c r="G88" s="7">
        <v>200</v>
      </c>
      <c r="H88" s="28">
        <v>1900</v>
      </c>
    </row>
    <row r="89" spans="2:8" x14ac:dyDescent="0.3">
      <c r="B89" s="1">
        <v>41437</v>
      </c>
      <c r="C89" s="30" t="s">
        <v>69</v>
      </c>
      <c r="D89" s="30" t="s">
        <v>88</v>
      </c>
      <c r="E89" s="28">
        <v>100</v>
      </c>
      <c r="F89" s="28">
        <v>117</v>
      </c>
      <c r="G89" s="28">
        <v>200</v>
      </c>
      <c r="H89" s="28">
        <v>3400</v>
      </c>
    </row>
    <row r="90" spans="2:8" x14ac:dyDescent="0.3">
      <c r="B90" s="1">
        <v>41438</v>
      </c>
      <c r="C90" s="30" t="s">
        <v>65</v>
      </c>
      <c r="D90" s="30" t="s">
        <v>89</v>
      </c>
      <c r="E90" s="28">
        <v>80</v>
      </c>
      <c r="F90" s="28">
        <v>90</v>
      </c>
      <c r="G90" s="28">
        <v>200</v>
      </c>
      <c r="H90" s="28">
        <v>2000</v>
      </c>
    </row>
    <row r="91" spans="2:8" x14ac:dyDescent="0.3">
      <c r="B91" s="1">
        <v>41439</v>
      </c>
      <c r="C91" s="30" t="s">
        <v>69</v>
      </c>
      <c r="D91" s="30" t="s">
        <v>88</v>
      </c>
      <c r="E91" s="28">
        <v>60</v>
      </c>
      <c r="F91" s="28">
        <v>50</v>
      </c>
      <c r="G91" s="28">
        <v>200</v>
      </c>
      <c r="H91" s="28">
        <v>-2000</v>
      </c>
    </row>
    <row r="92" spans="2:8" x14ac:dyDescent="0.3">
      <c r="B92" s="1">
        <v>41442</v>
      </c>
      <c r="C92" s="30" t="s">
        <v>69</v>
      </c>
      <c r="D92" s="30" t="s">
        <v>88</v>
      </c>
      <c r="E92" s="28">
        <v>45</v>
      </c>
      <c r="F92" s="28">
        <v>60</v>
      </c>
      <c r="G92" s="28">
        <v>200</v>
      </c>
      <c r="H92" s="28">
        <v>3000</v>
      </c>
    </row>
    <row r="93" spans="2:8" x14ac:dyDescent="0.3">
      <c r="B93" s="1">
        <v>41443</v>
      </c>
      <c r="C93" s="30" t="s">
        <v>69</v>
      </c>
      <c r="D93" s="30" t="s">
        <v>88</v>
      </c>
      <c r="E93" s="28">
        <v>125</v>
      </c>
      <c r="F93" s="28">
        <v>150</v>
      </c>
      <c r="G93" s="28">
        <v>200</v>
      </c>
      <c r="H93" s="28">
        <v>5000</v>
      </c>
    </row>
    <row r="94" spans="2:8" x14ac:dyDescent="0.3">
      <c r="B94" s="1">
        <v>41444</v>
      </c>
      <c r="C94" s="30" t="s">
        <v>65</v>
      </c>
      <c r="D94" s="30" t="s">
        <v>88</v>
      </c>
      <c r="E94" s="28">
        <v>60</v>
      </c>
      <c r="F94" s="28">
        <v>75</v>
      </c>
      <c r="G94" s="28">
        <v>200</v>
      </c>
      <c r="H94" s="28">
        <v>1500</v>
      </c>
    </row>
    <row r="95" spans="2:8" x14ac:dyDescent="0.3">
      <c r="B95" s="1">
        <v>41445</v>
      </c>
      <c r="C95" s="30" t="s">
        <v>69</v>
      </c>
      <c r="D95" s="30" t="s">
        <v>89</v>
      </c>
      <c r="E95" s="28">
        <v>65</v>
      </c>
      <c r="F95" s="28">
        <v>90</v>
      </c>
      <c r="G95" s="28">
        <v>200</v>
      </c>
      <c r="H95" s="28">
        <v>5000</v>
      </c>
    </row>
    <row r="96" spans="2:8" x14ac:dyDescent="0.3">
      <c r="B96" s="1">
        <v>41446</v>
      </c>
      <c r="C96" s="30" t="s">
        <v>65</v>
      </c>
      <c r="D96" s="30" t="s">
        <v>96</v>
      </c>
      <c r="E96" s="28">
        <v>80</v>
      </c>
      <c r="F96" s="28">
        <v>100</v>
      </c>
      <c r="G96" s="28">
        <v>200</v>
      </c>
      <c r="H96" s="28">
        <v>4000</v>
      </c>
    </row>
    <row r="97" spans="2:8" x14ac:dyDescent="0.3">
      <c r="B97" s="1">
        <v>41449</v>
      </c>
      <c r="C97" s="30" t="s">
        <v>69</v>
      </c>
      <c r="D97" s="30" t="s">
        <v>96</v>
      </c>
      <c r="E97" s="28">
        <v>62</v>
      </c>
      <c r="F97" s="28">
        <v>75</v>
      </c>
      <c r="G97" s="28">
        <v>200</v>
      </c>
      <c r="H97" s="28">
        <v>2600</v>
      </c>
    </row>
    <row r="98" spans="2:8" x14ac:dyDescent="0.3">
      <c r="B98" s="1">
        <v>41450</v>
      </c>
      <c r="C98" s="30" t="s">
        <v>65</v>
      </c>
      <c r="D98" s="30" t="s">
        <v>96</v>
      </c>
      <c r="E98" s="28">
        <v>40</v>
      </c>
      <c r="F98" s="28">
        <v>56</v>
      </c>
      <c r="G98" s="28">
        <v>200</v>
      </c>
      <c r="H98" s="28">
        <v>3200</v>
      </c>
    </row>
    <row r="99" spans="2:8" x14ac:dyDescent="0.3">
      <c r="B99" s="1">
        <v>41451</v>
      </c>
      <c r="C99" s="30"/>
      <c r="D99" s="30"/>
      <c r="E99" s="28"/>
      <c r="F99" s="28"/>
      <c r="G99" s="28">
        <v>200</v>
      </c>
      <c r="H99" s="28"/>
    </row>
    <row r="100" spans="2:8" x14ac:dyDescent="0.3">
      <c r="B100" s="1">
        <v>41452</v>
      </c>
      <c r="C100" s="30" t="s">
        <v>65</v>
      </c>
      <c r="D100" s="30" t="s">
        <v>100</v>
      </c>
      <c r="E100" s="28">
        <v>90</v>
      </c>
      <c r="F100" s="28">
        <v>100</v>
      </c>
      <c r="G100" s="28">
        <v>200</v>
      </c>
      <c r="H100" s="28">
        <v>2000</v>
      </c>
    </row>
    <row r="101" spans="2:8" x14ac:dyDescent="0.3">
      <c r="B101" s="1">
        <v>41453</v>
      </c>
      <c r="C101" s="30" t="s">
        <v>69</v>
      </c>
      <c r="D101" s="30" t="s">
        <v>100</v>
      </c>
      <c r="E101" s="28">
        <v>81</v>
      </c>
      <c r="F101" s="28">
        <v>65</v>
      </c>
      <c r="G101" s="28">
        <v>200</v>
      </c>
      <c r="H101" s="28">
        <v>-2800</v>
      </c>
    </row>
    <row r="102" spans="2:8" ht="15.6" x14ac:dyDescent="0.3">
      <c r="C102" s="30"/>
      <c r="D102" s="30"/>
      <c r="E102" s="28"/>
      <c r="F102" s="28"/>
      <c r="G102" s="28"/>
      <c r="H102" s="34">
        <v>25840</v>
      </c>
    </row>
  </sheetData>
  <mergeCells count="3">
    <mergeCell ref="B1:H1"/>
    <mergeCell ref="B2:H2"/>
    <mergeCell ref="B3:H3"/>
  </mergeCells>
  <hyperlinks>
    <hyperlink ref="J2" location="'MASTER '!A1" display="Back" xr:uid="{00000000-0004-0000-0200-000000000000}"/>
  </hyperlinks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56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948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42248</v>
      </c>
      <c r="C6" s="2" t="s">
        <v>11</v>
      </c>
      <c r="D6" s="2" t="s">
        <v>105</v>
      </c>
      <c r="E6" s="41" t="s">
        <v>903</v>
      </c>
      <c r="F6" s="40" t="s">
        <v>904</v>
      </c>
      <c r="G6" s="40" t="s">
        <v>908</v>
      </c>
      <c r="H6" s="5">
        <f>300000/E6</f>
        <v>1185.7707509881423</v>
      </c>
      <c r="I6" s="81">
        <f>G6*H6</f>
        <v>2371.5415019762845</v>
      </c>
      <c r="L6" s="16"/>
    </row>
    <row r="7" spans="1:15" x14ac:dyDescent="0.3">
      <c r="B7" s="43">
        <v>42248</v>
      </c>
      <c r="C7" s="2" t="s">
        <v>8</v>
      </c>
      <c r="D7" s="2" t="s">
        <v>173</v>
      </c>
      <c r="E7" s="41" t="s">
        <v>909</v>
      </c>
      <c r="F7" s="40" t="s">
        <v>910</v>
      </c>
      <c r="G7" s="40" t="s">
        <v>911</v>
      </c>
      <c r="H7" s="5">
        <f t="shared" ref="H7:H44" si="0">300000/E7</f>
        <v>358.85167464114835</v>
      </c>
      <c r="I7" s="81">
        <f t="shared" ref="I7:I30" si="1">G7*H7</f>
        <v>6459.3301435406702</v>
      </c>
      <c r="K7" s="66" t="s">
        <v>453</v>
      </c>
      <c r="L7" s="67" t="s">
        <v>448</v>
      </c>
      <c r="M7" s="67" t="s">
        <v>454</v>
      </c>
      <c r="N7" s="67" t="s">
        <v>455</v>
      </c>
      <c r="O7" s="67" t="s">
        <v>456</v>
      </c>
    </row>
    <row r="8" spans="1:15" x14ac:dyDescent="0.3">
      <c r="B8" s="43">
        <v>42249</v>
      </c>
      <c r="C8" s="2" t="s">
        <v>11</v>
      </c>
      <c r="D8" s="2" t="s">
        <v>334</v>
      </c>
      <c r="E8" s="41" t="s">
        <v>912</v>
      </c>
      <c r="F8" s="40" t="s">
        <v>913</v>
      </c>
      <c r="G8" s="40" t="s">
        <v>914</v>
      </c>
      <c r="H8" s="5">
        <f t="shared" si="0"/>
        <v>349.24330616996508</v>
      </c>
      <c r="I8" s="81">
        <f t="shared" si="1"/>
        <v>-3492.4330616996508</v>
      </c>
      <c r="K8" s="16" t="s">
        <v>449</v>
      </c>
      <c r="L8" s="30">
        <v>39</v>
      </c>
      <c r="M8" s="30">
        <v>31</v>
      </c>
      <c r="N8" s="30">
        <v>7</v>
      </c>
      <c r="O8" s="30">
        <v>1</v>
      </c>
    </row>
    <row r="9" spans="1:15" x14ac:dyDescent="0.3">
      <c r="B9" s="43">
        <v>42249</v>
      </c>
      <c r="C9" s="2" t="s">
        <v>8</v>
      </c>
      <c r="D9" s="2" t="s">
        <v>98</v>
      </c>
      <c r="E9" s="41" t="s">
        <v>915</v>
      </c>
      <c r="F9" s="40" t="s">
        <v>916</v>
      </c>
      <c r="G9" s="40" t="s">
        <v>917</v>
      </c>
      <c r="H9" s="5">
        <f t="shared" si="0"/>
        <v>128.97678417884779</v>
      </c>
      <c r="I9" s="81">
        <f t="shared" si="1"/>
        <v>-2579.5356835769558</v>
      </c>
      <c r="K9" s="16" t="s">
        <v>450</v>
      </c>
      <c r="L9" s="30">
        <v>19</v>
      </c>
      <c r="M9" s="30">
        <v>16</v>
      </c>
      <c r="N9" s="30">
        <v>3</v>
      </c>
      <c r="O9" s="30">
        <v>0</v>
      </c>
    </row>
    <row r="10" spans="1:15" x14ac:dyDescent="0.3">
      <c r="B10" s="43">
        <v>42250</v>
      </c>
      <c r="C10" s="2" t="s">
        <v>11</v>
      </c>
      <c r="D10" s="2" t="s">
        <v>175</v>
      </c>
      <c r="E10" s="41" t="s">
        <v>918</v>
      </c>
      <c r="F10" s="40" t="s">
        <v>919</v>
      </c>
      <c r="G10" s="40" t="s">
        <v>920</v>
      </c>
      <c r="H10" s="5">
        <f t="shared" si="0"/>
        <v>404.85829959514172</v>
      </c>
      <c r="I10" s="81">
        <f t="shared" si="1"/>
        <v>404.85829959514172</v>
      </c>
      <c r="K10" s="16" t="s">
        <v>451</v>
      </c>
      <c r="L10" s="30">
        <v>19</v>
      </c>
      <c r="M10" s="30">
        <v>16</v>
      </c>
      <c r="N10" s="30">
        <v>3</v>
      </c>
      <c r="O10" s="30">
        <v>0</v>
      </c>
    </row>
    <row r="11" spans="1:15" x14ac:dyDescent="0.3">
      <c r="B11" s="43">
        <v>42250</v>
      </c>
      <c r="C11" s="2" t="s">
        <v>8</v>
      </c>
      <c r="D11" s="2" t="s">
        <v>275</v>
      </c>
      <c r="E11" s="41" t="s">
        <v>921</v>
      </c>
      <c r="F11" s="40" t="s">
        <v>909</v>
      </c>
      <c r="G11" s="40" t="s">
        <v>922</v>
      </c>
      <c r="H11" s="5">
        <f t="shared" si="0"/>
        <v>359.28143712574848</v>
      </c>
      <c r="I11" s="81">
        <f t="shared" si="1"/>
        <v>-359.28143712574848</v>
      </c>
      <c r="K11" s="16" t="s">
        <v>41</v>
      </c>
      <c r="L11" s="30">
        <v>19</v>
      </c>
      <c r="M11" s="30">
        <v>17</v>
      </c>
      <c r="N11" s="30">
        <v>0</v>
      </c>
      <c r="O11" s="30">
        <v>2</v>
      </c>
    </row>
    <row r="12" spans="1:15" x14ac:dyDescent="0.3">
      <c r="B12" s="43">
        <v>42251</v>
      </c>
      <c r="C12" s="2" t="s">
        <v>11</v>
      </c>
      <c r="D12" s="28" t="s">
        <v>115</v>
      </c>
      <c r="E12" s="30">
        <v>342</v>
      </c>
      <c r="F12" s="30">
        <v>348</v>
      </c>
      <c r="G12" s="30">
        <v>6</v>
      </c>
      <c r="H12" s="5">
        <f t="shared" si="0"/>
        <v>877.19298245614038</v>
      </c>
      <c r="I12" s="81">
        <f t="shared" si="1"/>
        <v>5263.1578947368425</v>
      </c>
      <c r="K12" s="16" t="s">
        <v>452</v>
      </c>
      <c r="L12" s="30">
        <v>19</v>
      </c>
      <c r="M12" s="30">
        <v>17</v>
      </c>
      <c r="N12" s="30">
        <v>2</v>
      </c>
      <c r="O12" s="30">
        <v>0</v>
      </c>
    </row>
    <row r="13" spans="1:15" x14ac:dyDescent="0.3">
      <c r="B13" s="43">
        <v>42251</v>
      </c>
      <c r="C13" s="2" t="s">
        <v>8</v>
      </c>
      <c r="D13" s="28" t="s">
        <v>108</v>
      </c>
      <c r="E13" s="30">
        <v>1032</v>
      </c>
      <c r="F13" s="30">
        <v>1010</v>
      </c>
      <c r="G13" s="30">
        <v>22</v>
      </c>
      <c r="H13" s="5">
        <f t="shared" si="0"/>
        <v>290.69767441860466</v>
      </c>
      <c r="I13" s="81">
        <f t="shared" si="1"/>
        <v>6395.3488372093025</v>
      </c>
      <c r="K13" s="16" t="s">
        <v>946</v>
      </c>
      <c r="L13" s="21">
        <f>SUM(L8:L12)</f>
        <v>115</v>
      </c>
      <c r="M13" s="21">
        <f>SUM(M8:M12)</f>
        <v>97</v>
      </c>
      <c r="N13" s="21">
        <f>SUM(N8:N12)</f>
        <v>15</v>
      </c>
      <c r="O13" s="21">
        <f>SUM(O8:O12)</f>
        <v>3</v>
      </c>
    </row>
    <row r="14" spans="1:15" x14ac:dyDescent="0.3">
      <c r="B14" s="43">
        <v>42255</v>
      </c>
      <c r="C14" s="2" t="s">
        <v>11</v>
      </c>
      <c r="D14" s="28" t="s">
        <v>19</v>
      </c>
      <c r="E14" s="30">
        <v>223</v>
      </c>
      <c r="F14" s="30">
        <v>226</v>
      </c>
      <c r="G14" s="30">
        <v>3</v>
      </c>
      <c r="H14" s="5">
        <f t="shared" si="0"/>
        <v>1345.2914798206277</v>
      </c>
      <c r="I14" s="81">
        <f t="shared" si="1"/>
        <v>4035.8744394618834</v>
      </c>
      <c r="L14" s="16"/>
    </row>
    <row r="15" spans="1:15" x14ac:dyDescent="0.3">
      <c r="B15" s="43">
        <v>42255</v>
      </c>
      <c r="C15" s="2" t="s">
        <v>8</v>
      </c>
      <c r="D15" s="28" t="s">
        <v>175</v>
      </c>
      <c r="E15" s="30">
        <v>685</v>
      </c>
      <c r="F15" s="30">
        <v>695</v>
      </c>
      <c r="G15" s="30">
        <v>-10</v>
      </c>
      <c r="H15" s="5">
        <f t="shared" si="0"/>
        <v>437.95620437956205</v>
      </c>
      <c r="I15" s="81">
        <f t="shared" si="1"/>
        <v>-4379.5620437956204</v>
      </c>
      <c r="L15" s="28"/>
      <c r="M15" s="30"/>
      <c r="N15" s="30"/>
      <c r="O15" s="30"/>
    </row>
    <row r="16" spans="1:15" x14ac:dyDescent="0.3">
      <c r="B16" s="43">
        <v>42256</v>
      </c>
      <c r="C16" s="2" t="s">
        <v>11</v>
      </c>
      <c r="D16" s="28" t="s">
        <v>107</v>
      </c>
      <c r="E16" s="30">
        <v>2245</v>
      </c>
      <c r="F16" s="30">
        <v>2275</v>
      </c>
      <c r="G16" s="30">
        <v>30</v>
      </c>
      <c r="H16" s="5">
        <f t="shared" si="0"/>
        <v>133.630289532294</v>
      </c>
      <c r="I16" s="81">
        <f t="shared" si="1"/>
        <v>4008.90868596882</v>
      </c>
      <c r="L16" s="68" t="s">
        <v>947</v>
      </c>
      <c r="M16" s="83"/>
      <c r="N16" s="85">
        <f>SUM(M13*100/L13)</f>
        <v>84.347826086956516</v>
      </c>
      <c r="O16" s="30"/>
    </row>
    <row r="17" spans="2:15" x14ac:dyDescent="0.3">
      <c r="B17" s="43">
        <v>42256</v>
      </c>
      <c r="C17" s="2" t="s">
        <v>8</v>
      </c>
      <c r="D17" s="28" t="s">
        <v>371</v>
      </c>
      <c r="E17" s="30">
        <v>246</v>
      </c>
      <c r="F17" s="30">
        <v>244</v>
      </c>
      <c r="G17" s="30">
        <v>2</v>
      </c>
      <c r="H17" s="5">
        <f t="shared" si="0"/>
        <v>1219.5121951219512</v>
      </c>
      <c r="I17" s="81">
        <f t="shared" si="1"/>
        <v>2439.0243902439024</v>
      </c>
      <c r="L17" s="49"/>
      <c r="M17" s="30"/>
      <c r="N17" s="30"/>
      <c r="O17" s="30"/>
    </row>
    <row r="18" spans="2:15" x14ac:dyDescent="0.3">
      <c r="B18" s="43">
        <v>42257</v>
      </c>
      <c r="C18" s="2" t="s">
        <v>11</v>
      </c>
      <c r="D18" s="28" t="s">
        <v>107</v>
      </c>
      <c r="E18" s="30">
        <v>2255</v>
      </c>
      <c r="F18" s="30">
        <v>2300</v>
      </c>
      <c r="G18" s="30">
        <v>45</v>
      </c>
      <c r="H18" s="5">
        <f t="shared" si="0"/>
        <v>133.03769401330376</v>
      </c>
      <c r="I18" s="81">
        <f t="shared" si="1"/>
        <v>5986.696230598669</v>
      </c>
      <c r="L18" s="49"/>
      <c r="M18" s="30"/>
      <c r="N18" s="30"/>
      <c r="O18" s="30"/>
    </row>
    <row r="19" spans="2:15" x14ac:dyDescent="0.3">
      <c r="B19" s="43">
        <v>42257</v>
      </c>
      <c r="C19" s="2" t="s">
        <v>8</v>
      </c>
      <c r="D19" s="28" t="s">
        <v>119</v>
      </c>
      <c r="E19" s="30">
        <v>614</v>
      </c>
      <c r="F19" s="30">
        <v>621</v>
      </c>
      <c r="G19" s="30">
        <v>-7</v>
      </c>
      <c r="H19" s="5">
        <f t="shared" si="0"/>
        <v>488.59934853420197</v>
      </c>
      <c r="I19" s="81">
        <f t="shared" si="1"/>
        <v>-3420.1954397394138</v>
      </c>
      <c r="L19" s="49"/>
      <c r="M19" s="30"/>
      <c r="N19" s="30"/>
      <c r="O19" s="30"/>
    </row>
    <row r="20" spans="2:15" x14ac:dyDescent="0.3">
      <c r="B20" s="43">
        <v>42258</v>
      </c>
      <c r="C20" s="2" t="s">
        <v>11</v>
      </c>
      <c r="D20" s="28" t="s">
        <v>815</v>
      </c>
      <c r="E20" s="30">
        <v>1120</v>
      </c>
      <c r="F20" s="30">
        <v>1105</v>
      </c>
      <c r="G20" s="30">
        <v>-15</v>
      </c>
      <c r="H20" s="5">
        <f t="shared" si="0"/>
        <v>267.85714285714283</v>
      </c>
      <c r="I20" s="81">
        <f t="shared" si="1"/>
        <v>-4017.8571428571427</v>
      </c>
      <c r="L20" s="49"/>
      <c r="M20" s="30"/>
      <c r="N20" s="30"/>
      <c r="O20" s="30"/>
    </row>
    <row r="21" spans="2:15" x14ac:dyDescent="0.3">
      <c r="B21" s="43">
        <v>42258</v>
      </c>
      <c r="C21" s="2" t="s">
        <v>8</v>
      </c>
      <c r="D21" s="28" t="s">
        <v>796</v>
      </c>
      <c r="E21" s="30">
        <v>1390</v>
      </c>
      <c r="F21" s="30">
        <v>1368</v>
      </c>
      <c r="G21" s="30">
        <v>22</v>
      </c>
      <c r="H21" s="5">
        <f t="shared" si="0"/>
        <v>215.82733812949641</v>
      </c>
      <c r="I21" s="81">
        <f t="shared" si="1"/>
        <v>4748.2014388489206</v>
      </c>
      <c r="L21" s="49"/>
      <c r="M21" s="30"/>
      <c r="N21" s="30"/>
      <c r="O21" s="30"/>
    </row>
    <row r="22" spans="2:15" x14ac:dyDescent="0.3">
      <c r="B22" s="43">
        <v>42261</v>
      </c>
      <c r="C22" s="2" t="s">
        <v>11</v>
      </c>
      <c r="D22" s="30" t="s">
        <v>13</v>
      </c>
      <c r="E22" s="30">
        <v>345</v>
      </c>
      <c r="F22" s="30">
        <v>355</v>
      </c>
      <c r="G22" s="30">
        <v>10</v>
      </c>
      <c r="H22" s="5">
        <f t="shared" si="0"/>
        <v>869.56521739130437</v>
      </c>
      <c r="I22" s="81">
        <f t="shared" si="1"/>
        <v>8695.652173913044</v>
      </c>
      <c r="L22" s="16"/>
    </row>
    <row r="23" spans="2:15" x14ac:dyDescent="0.3">
      <c r="B23" s="43">
        <v>42261</v>
      </c>
      <c r="C23" s="2" t="s">
        <v>8</v>
      </c>
      <c r="D23" s="30" t="s">
        <v>107</v>
      </c>
      <c r="E23" s="30">
        <v>2310</v>
      </c>
      <c r="F23" s="30">
        <v>2296</v>
      </c>
      <c r="G23" s="30">
        <v>14</v>
      </c>
      <c r="H23" s="5">
        <f t="shared" si="0"/>
        <v>129.87012987012986</v>
      </c>
      <c r="I23" s="81">
        <f t="shared" si="1"/>
        <v>1818.181818181818</v>
      </c>
      <c r="L23" s="16"/>
    </row>
    <row r="24" spans="2:15" x14ac:dyDescent="0.3">
      <c r="B24" s="43">
        <v>42262</v>
      </c>
      <c r="C24" s="2" t="s">
        <v>11</v>
      </c>
      <c r="D24" s="30" t="s">
        <v>34</v>
      </c>
      <c r="E24" s="30">
        <v>145</v>
      </c>
      <c r="F24" s="30">
        <v>147</v>
      </c>
      <c r="G24" s="30">
        <v>2</v>
      </c>
      <c r="H24" s="5">
        <f t="shared" si="0"/>
        <v>2068.9655172413795</v>
      </c>
      <c r="I24" s="81">
        <f t="shared" si="1"/>
        <v>4137.9310344827591</v>
      </c>
      <c r="L24" s="41"/>
    </row>
    <row r="25" spans="2:15" x14ac:dyDescent="0.3">
      <c r="B25" s="43">
        <v>42262</v>
      </c>
      <c r="C25" s="2" t="s">
        <v>8</v>
      </c>
      <c r="D25" s="30" t="s">
        <v>93</v>
      </c>
      <c r="E25" s="30">
        <v>347</v>
      </c>
      <c r="F25" s="30">
        <v>344</v>
      </c>
      <c r="G25" s="30">
        <v>3</v>
      </c>
      <c r="H25" s="5">
        <f t="shared" si="0"/>
        <v>864.55331412103749</v>
      </c>
      <c r="I25" s="81">
        <f t="shared" si="1"/>
        <v>2593.6599423631123</v>
      </c>
      <c r="L25" s="41"/>
    </row>
    <row r="26" spans="2:15" x14ac:dyDescent="0.3">
      <c r="B26" s="43">
        <v>42262</v>
      </c>
      <c r="C26" s="2" t="s">
        <v>8</v>
      </c>
      <c r="D26" s="30" t="s">
        <v>22</v>
      </c>
      <c r="E26" s="30">
        <v>130</v>
      </c>
      <c r="F26" s="30">
        <v>128</v>
      </c>
      <c r="G26" s="30">
        <v>2</v>
      </c>
      <c r="H26" s="5">
        <f t="shared" si="0"/>
        <v>2307.6923076923076</v>
      </c>
      <c r="I26" s="81">
        <f t="shared" si="1"/>
        <v>4615.3846153846152</v>
      </c>
      <c r="M26" s="30"/>
    </row>
    <row r="27" spans="2:15" x14ac:dyDescent="0.3">
      <c r="B27" s="43">
        <v>42263</v>
      </c>
      <c r="C27" s="2" t="s">
        <v>11</v>
      </c>
      <c r="D27" s="30" t="s">
        <v>107</v>
      </c>
      <c r="E27" s="30">
        <v>2340</v>
      </c>
      <c r="F27" s="30">
        <v>2370</v>
      </c>
      <c r="G27" s="30">
        <v>30</v>
      </c>
      <c r="H27" s="5">
        <f t="shared" si="0"/>
        <v>128.2051282051282</v>
      </c>
      <c r="I27" s="81">
        <f t="shared" si="1"/>
        <v>3846.1538461538462</v>
      </c>
      <c r="M27" s="30"/>
    </row>
    <row r="28" spans="2:15" x14ac:dyDescent="0.3">
      <c r="B28" s="43">
        <v>42263</v>
      </c>
      <c r="C28" s="2" t="s">
        <v>8</v>
      </c>
      <c r="D28" s="30" t="s">
        <v>34</v>
      </c>
      <c r="E28" s="30">
        <v>145</v>
      </c>
      <c r="F28" s="30">
        <v>143</v>
      </c>
      <c r="G28" s="30">
        <v>2</v>
      </c>
      <c r="H28" s="5">
        <f t="shared" si="0"/>
        <v>2068.9655172413795</v>
      </c>
      <c r="I28" s="81">
        <f t="shared" si="1"/>
        <v>4137.9310344827591</v>
      </c>
      <c r="M28" s="30"/>
    </row>
    <row r="29" spans="2:15" x14ac:dyDescent="0.3">
      <c r="B29" s="43">
        <v>42265</v>
      </c>
      <c r="C29" s="2" t="s">
        <v>11</v>
      </c>
      <c r="D29" s="30" t="s">
        <v>19</v>
      </c>
      <c r="E29" s="30">
        <v>243</v>
      </c>
      <c r="F29" s="30">
        <v>246</v>
      </c>
      <c r="G29" s="30">
        <v>3</v>
      </c>
      <c r="H29" s="5">
        <f t="shared" si="0"/>
        <v>1234.5679012345679</v>
      </c>
      <c r="I29" s="81">
        <f t="shared" si="1"/>
        <v>3703.7037037037035</v>
      </c>
      <c r="M29" s="30"/>
    </row>
    <row r="30" spans="2:15" x14ac:dyDescent="0.3">
      <c r="B30" s="43">
        <v>42265</v>
      </c>
      <c r="C30" s="2" t="s">
        <v>8</v>
      </c>
      <c r="D30" s="30" t="s">
        <v>939</v>
      </c>
      <c r="E30" s="30">
        <v>448</v>
      </c>
      <c r="F30" s="30">
        <v>440</v>
      </c>
      <c r="G30" s="30">
        <v>8</v>
      </c>
      <c r="H30" s="5">
        <f t="shared" si="0"/>
        <v>669.64285714285711</v>
      </c>
      <c r="I30" s="81">
        <f t="shared" si="1"/>
        <v>5357.1428571428569</v>
      </c>
      <c r="M30" s="30"/>
    </row>
    <row r="31" spans="2:15" x14ac:dyDescent="0.3">
      <c r="B31" s="43">
        <v>42268</v>
      </c>
      <c r="C31" s="2" t="s">
        <v>11</v>
      </c>
      <c r="D31" s="30" t="s">
        <v>139</v>
      </c>
      <c r="E31" s="30">
        <v>763</v>
      </c>
      <c r="F31" s="30">
        <v>770</v>
      </c>
      <c r="G31" s="30">
        <v>7</v>
      </c>
      <c r="H31" s="5">
        <f t="shared" si="0"/>
        <v>393.18479685452161</v>
      </c>
      <c r="I31" s="81">
        <f>G31*H31</f>
        <v>2752.2935779816512</v>
      </c>
      <c r="M31" s="30"/>
    </row>
    <row r="32" spans="2:15" x14ac:dyDescent="0.3">
      <c r="B32" s="43">
        <v>42268</v>
      </c>
      <c r="C32" s="2" t="s">
        <v>8</v>
      </c>
      <c r="D32" s="28" t="s">
        <v>50</v>
      </c>
      <c r="E32" s="30">
        <v>901</v>
      </c>
      <c r="F32" s="30">
        <v>897</v>
      </c>
      <c r="G32" s="30">
        <v>4</v>
      </c>
      <c r="H32" s="5">
        <f t="shared" si="0"/>
        <v>332.96337402885683</v>
      </c>
      <c r="I32" s="81">
        <f t="shared" ref="I32:I44" si="2">G32*H32</f>
        <v>1331.8534961154273</v>
      </c>
      <c r="M32" s="30"/>
    </row>
    <row r="33" spans="2:13" x14ac:dyDescent="0.3">
      <c r="B33" s="43">
        <v>42269</v>
      </c>
      <c r="C33" s="2" t="s">
        <v>11</v>
      </c>
      <c r="D33" s="28" t="s">
        <v>942</v>
      </c>
      <c r="E33" s="30">
        <v>1400</v>
      </c>
      <c r="F33" s="30">
        <v>1410</v>
      </c>
      <c r="G33" s="30">
        <v>10</v>
      </c>
      <c r="H33" s="5">
        <f t="shared" si="0"/>
        <v>214.28571428571428</v>
      </c>
      <c r="I33" s="81">
        <f t="shared" si="2"/>
        <v>2142.8571428571427</v>
      </c>
      <c r="M33" s="30"/>
    </row>
    <row r="34" spans="2:13" x14ac:dyDescent="0.3">
      <c r="B34" s="43">
        <v>42269</v>
      </c>
      <c r="C34" s="2" t="s">
        <v>8</v>
      </c>
      <c r="D34" s="28" t="s">
        <v>107</v>
      </c>
      <c r="E34" s="30">
        <v>2290</v>
      </c>
      <c r="F34" s="30">
        <v>2250</v>
      </c>
      <c r="G34" s="30">
        <v>40</v>
      </c>
      <c r="H34" s="5">
        <f t="shared" si="0"/>
        <v>131.00436681222706</v>
      </c>
      <c r="I34" s="81">
        <f t="shared" si="2"/>
        <v>5240.1746724890827</v>
      </c>
    </row>
    <row r="35" spans="2:13" x14ac:dyDescent="0.3">
      <c r="B35" s="43">
        <v>42270</v>
      </c>
      <c r="C35" s="2" t="s">
        <v>11</v>
      </c>
      <c r="D35" s="28" t="s">
        <v>99</v>
      </c>
      <c r="E35" s="30">
        <v>312</v>
      </c>
      <c r="F35" s="30">
        <v>319</v>
      </c>
      <c r="G35" s="30">
        <v>7</v>
      </c>
      <c r="H35" s="5">
        <f t="shared" si="0"/>
        <v>961.53846153846155</v>
      </c>
      <c r="I35" s="81">
        <f t="shared" si="2"/>
        <v>6730.7692307692305</v>
      </c>
    </row>
    <row r="36" spans="2:13" x14ac:dyDescent="0.3">
      <c r="B36" s="43">
        <v>42270</v>
      </c>
      <c r="C36" s="2" t="s">
        <v>8</v>
      </c>
      <c r="D36" s="28" t="s">
        <v>112</v>
      </c>
      <c r="E36" s="30">
        <v>381</v>
      </c>
      <c r="F36" s="30">
        <v>379</v>
      </c>
      <c r="G36" s="30">
        <v>2</v>
      </c>
      <c r="H36" s="5">
        <f t="shared" si="0"/>
        <v>787.40157480314963</v>
      </c>
      <c r="I36" s="81">
        <f t="shared" si="2"/>
        <v>1574.8031496062993</v>
      </c>
    </row>
    <row r="37" spans="2:13" x14ac:dyDescent="0.3">
      <c r="B37" s="43">
        <v>42271</v>
      </c>
      <c r="C37" s="2" t="s">
        <v>11</v>
      </c>
      <c r="D37" s="28" t="s">
        <v>107</v>
      </c>
      <c r="E37" s="30">
        <v>2255</v>
      </c>
      <c r="F37" s="30">
        <v>2285</v>
      </c>
      <c r="G37" s="30">
        <v>30</v>
      </c>
      <c r="H37" s="5">
        <f t="shared" si="0"/>
        <v>133.03769401330376</v>
      </c>
      <c r="I37" s="81">
        <f t="shared" si="2"/>
        <v>3991.130820399113</v>
      </c>
    </row>
    <row r="38" spans="2:13" x14ac:dyDescent="0.3">
      <c r="B38" s="43">
        <v>42271</v>
      </c>
      <c r="C38" s="2" t="s">
        <v>8</v>
      </c>
      <c r="D38" s="28" t="s">
        <v>98</v>
      </c>
      <c r="E38" s="30">
        <v>2390</v>
      </c>
      <c r="F38" s="30">
        <v>2415</v>
      </c>
      <c r="G38" s="30">
        <v>-25</v>
      </c>
      <c r="H38" s="5">
        <f t="shared" si="0"/>
        <v>125.52301255230125</v>
      </c>
      <c r="I38" s="81">
        <f t="shared" si="2"/>
        <v>-3138.0753138075315</v>
      </c>
    </row>
    <row r="39" spans="2:13" x14ac:dyDescent="0.3">
      <c r="B39" s="43">
        <v>42275</v>
      </c>
      <c r="C39" s="2" t="s">
        <v>11</v>
      </c>
      <c r="D39" s="28" t="s">
        <v>78</v>
      </c>
      <c r="E39" s="30">
        <v>1460</v>
      </c>
      <c r="F39" s="30">
        <v>1440</v>
      </c>
      <c r="G39" s="30">
        <v>-20</v>
      </c>
      <c r="H39" s="5">
        <f t="shared" si="0"/>
        <v>205.47945205479451</v>
      </c>
      <c r="I39" s="81">
        <f t="shared" si="2"/>
        <v>-4109.58904109589</v>
      </c>
    </row>
    <row r="40" spans="2:13" x14ac:dyDescent="0.3">
      <c r="B40" s="43">
        <v>42275</v>
      </c>
      <c r="C40" s="2" t="s">
        <v>8</v>
      </c>
      <c r="D40" s="28" t="s">
        <v>115</v>
      </c>
      <c r="E40" s="30">
        <v>310</v>
      </c>
      <c r="F40" s="30">
        <v>308</v>
      </c>
      <c r="G40" s="30">
        <v>2</v>
      </c>
      <c r="H40" s="5">
        <f t="shared" si="0"/>
        <v>967.74193548387098</v>
      </c>
      <c r="I40" s="81">
        <f t="shared" si="2"/>
        <v>1935.483870967742</v>
      </c>
      <c r="K40" s="1"/>
    </row>
    <row r="41" spans="2:13" x14ac:dyDescent="0.3">
      <c r="B41" s="43">
        <v>42276</v>
      </c>
      <c r="C41" s="2" t="s">
        <v>11</v>
      </c>
      <c r="D41" s="28" t="s">
        <v>189</v>
      </c>
      <c r="E41" s="30">
        <v>197</v>
      </c>
      <c r="F41" s="30">
        <v>201</v>
      </c>
      <c r="G41" s="30">
        <v>4</v>
      </c>
      <c r="H41" s="5">
        <f t="shared" si="0"/>
        <v>1522.8426395939086</v>
      </c>
      <c r="I41" s="81">
        <f t="shared" si="2"/>
        <v>6091.3705583756346</v>
      </c>
      <c r="K41" s="1"/>
    </row>
    <row r="42" spans="2:13" x14ac:dyDescent="0.3">
      <c r="B42" s="43">
        <v>42276</v>
      </c>
      <c r="C42" s="2" t="s">
        <v>8</v>
      </c>
      <c r="D42" s="28" t="s">
        <v>139</v>
      </c>
      <c r="E42" s="30">
        <v>712</v>
      </c>
      <c r="F42" s="30">
        <v>705</v>
      </c>
      <c r="G42" s="30">
        <v>7</v>
      </c>
      <c r="H42" s="5">
        <f t="shared" si="0"/>
        <v>421.34831460674155</v>
      </c>
      <c r="I42" s="81">
        <f t="shared" si="2"/>
        <v>2949.4382022471909</v>
      </c>
      <c r="K42" s="1"/>
    </row>
    <row r="43" spans="2:13" x14ac:dyDescent="0.3">
      <c r="B43" s="43">
        <v>42277</v>
      </c>
      <c r="C43" s="2" t="s">
        <v>11</v>
      </c>
      <c r="D43" s="28" t="s">
        <v>137</v>
      </c>
      <c r="E43" s="30">
        <v>800</v>
      </c>
      <c r="F43" s="30">
        <v>811</v>
      </c>
      <c r="G43" s="30">
        <v>11</v>
      </c>
      <c r="H43" s="5">
        <f t="shared" si="0"/>
        <v>375</v>
      </c>
      <c r="I43" s="81">
        <f t="shared" si="2"/>
        <v>4125</v>
      </c>
      <c r="K43" s="1"/>
    </row>
    <row r="44" spans="2:13" x14ac:dyDescent="0.3">
      <c r="B44" s="43">
        <v>42277</v>
      </c>
      <c r="C44" s="2" t="s">
        <v>8</v>
      </c>
      <c r="D44" s="28" t="s">
        <v>895</v>
      </c>
      <c r="E44" s="30">
        <v>1153</v>
      </c>
      <c r="F44" s="30">
        <v>1130</v>
      </c>
      <c r="G44" s="30">
        <v>23</v>
      </c>
      <c r="H44" s="5">
        <f t="shared" si="0"/>
        <v>260.19080659150046</v>
      </c>
      <c r="I44" s="81">
        <f t="shared" si="2"/>
        <v>5984.3885516045102</v>
      </c>
      <c r="K44" s="1"/>
    </row>
    <row r="45" spans="2:13" x14ac:dyDescent="0.3">
      <c r="C45" s="2"/>
      <c r="D45" s="28"/>
      <c r="E45" s="30"/>
      <c r="F45" s="30"/>
      <c r="G45" s="30"/>
      <c r="H45" s="30"/>
      <c r="I45" s="81"/>
      <c r="K45" s="46"/>
    </row>
    <row r="46" spans="2:13" ht="18" x14ac:dyDescent="0.35">
      <c r="C46" s="2"/>
      <c r="D46" s="28"/>
      <c r="E46" s="30"/>
      <c r="F46" s="30"/>
      <c r="G46" s="30"/>
      <c r="H46" s="30"/>
      <c r="I46" s="82"/>
      <c r="K46" s="46"/>
    </row>
    <row r="47" spans="2:13" ht="18" x14ac:dyDescent="0.35">
      <c r="C47" s="2"/>
      <c r="D47" s="28"/>
      <c r="E47" s="30"/>
      <c r="F47" s="30"/>
      <c r="G47" s="30"/>
      <c r="H47" s="30"/>
      <c r="I47" s="82">
        <f>SUM(I6:I46)</f>
        <v>100371.71699770402</v>
      </c>
      <c r="K47" s="46"/>
    </row>
    <row r="48" spans="2:13" x14ac:dyDescent="0.3">
      <c r="C48" s="2"/>
      <c r="D48" s="28"/>
      <c r="E48" s="30"/>
      <c r="F48" s="30"/>
      <c r="G48" s="30"/>
      <c r="H48" s="30"/>
      <c r="I48" s="30"/>
      <c r="K48" s="46"/>
    </row>
    <row r="50" spans="2:9" ht="15.6" x14ac:dyDescent="0.3">
      <c r="B50" s="48" t="s">
        <v>62</v>
      </c>
      <c r="C50" s="48"/>
      <c r="D50" s="48"/>
      <c r="E50" s="48"/>
      <c r="F50" s="48"/>
      <c r="G50" s="48"/>
      <c r="H50" s="48"/>
      <c r="I50" s="48"/>
    </row>
    <row r="51" spans="2:9" x14ac:dyDescent="0.3">
      <c r="B51" s="43">
        <v>42248</v>
      </c>
      <c r="C51" s="2" t="s">
        <v>8</v>
      </c>
      <c r="D51" s="2" t="s">
        <v>139</v>
      </c>
      <c r="E51" s="41" t="s">
        <v>893</v>
      </c>
      <c r="F51" s="40" t="s">
        <v>923</v>
      </c>
      <c r="G51" s="40" t="s">
        <v>489</v>
      </c>
      <c r="H51" s="5">
        <v>500</v>
      </c>
      <c r="I51" s="40" t="s">
        <v>938</v>
      </c>
    </row>
    <row r="52" spans="2:9" x14ac:dyDescent="0.3">
      <c r="B52" s="43">
        <v>42249</v>
      </c>
      <c r="C52" s="2" t="s">
        <v>8</v>
      </c>
      <c r="D52" s="2" t="s">
        <v>433</v>
      </c>
      <c r="E52" s="41" t="s">
        <v>609</v>
      </c>
      <c r="F52" s="40" t="s">
        <v>924</v>
      </c>
      <c r="G52" s="40" t="s">
        <v>925</v>
      </c>
      <c r="H52" s="5">
        <v>500</v>
      </c>
      <c r="I52" s="40" t="s">
        <v>728</v>
      </c>
    </row>
    <row r="53" spans="2:9" x14ac:dyDescent="0.3">
      <c r="B53" s="43">
        <v>42250</v>
      </c>
      <c r="C53" s="30" t="s">
        <v>8</v>
      </c>
      <c r="D53" s="30" t="s">
        <v>108</v>
      </c>
      <c r="E53" s="30">
        <v>1065</v>
      </c>
      <c r="F53" s="30">
        <v>1050</v>
      </c>
      <c r="G53" s="30">
        <v>15</v>
      </c>
      <c r="H53" s="30">
        <v>250</v>
      </c>
      <c r="I53" s="30">
        <v>3750</v>
      </c>
    </row>
    <row r="54" spans="2:9" x14ac:dyDescent="0.3">
      <c r="B54" s="43">
        <v>42251</v>
      </c>
      <c r="C54" s="30" t="s">
        <v>8</v>
      </c>
      <c r="D54" s="30" t="s">
        <v>13</v>
      </c>
      <c r="E54" s="30">
        <v>308</v>
      </c>
      <c r="F54" s="30">
        <v>303</v>
      </c>
      <c r="G54" s="30">
        <v>5</v>
      </c>
      <c r="H54" s="30">
        <v>500</v>
      </c>
      <c r="I54" s="30">
        <v>2500</v>
      </c>
    </row>
    <row r="55" spans="2:9" x14ac:dyDescent="0.3">
      <c r="B55" s="43">
        <v>42255</v>
      </c>
      <c r="C55" s="30" t="s">
        <v>8</v>
      </c>
      <c r="D55" s="30" t="s">
        <v>828</v>
      </c>
      <c r="E55" s="30">
        <v>1049</v>
      </c>
      <c r="F55" s="30">
        <v>1025</v>
      </c>
      <c r="G55" s="30">
        <v>24</v>
      </c>
      <c r="H55" s="30">
        <v>250</v>
      </c>
      <c r="I55" s="30">
        <v>6000</v>
      </c>
    </row>
    <row r="56" spans="2:9" x14ac:dyDescent="0.3">
      <c r="B56" s="43">
        <v>42256</v>
      </c>
      <c r="C56" s="30" t="s">
        <v>8</v>
      </c>
      <c r="D56" s="30" t="s">
        <v>334</v>
      </c>
      <c r="E56" s="30">
        <v>808</v>
      </c>
      <c r="F56" s="30">
        <v>803</v>
      </c>
      <c r="G56" s="30">
        <v>5</v>
      </c>
      <c r="H56" s="30">
        <v>250</v>
      </c>
      <c r="I56" s="30">
        <v>1250</v>
      </c>
    </row>
    <row r="57" spans="2:9" x14ac:dyDescent="0.3">
      <c r="B57" s="43">
        <v>42257</v>
      </c>
      <c r="C57" s="30" t="s">
        <v>9</v>
      </c>
      <c r="D57" s="30" t="s">
        <v>139</v>
      </c>
      <c r="E57" s="30">
        <v>698</v>
      </c>
      <c r="F57" s="30">
        <v>715</v>
      </c>
      <c r="G57" s="30">
        <v>17</v>
      </c>
      <c r="H57" s="30">
        <v>500</v>
      </c>
      <c r="I57" s="30">
        <v>8500</v>
      </c>
    </row>
    <row r="58" spans="2:9" x14ac:dyDescent="0.3">
      <c r="B58" s="43">
        <v>42258</v>
      </c>
      <c r="C58" s="30" t="s">
        <v>8</v>
      </c>
      <c r="D58" s="30" t="s">
        <v>34</v>
      </c>
      <c r="E58" s="30">
        <v>150</v>
      </c>
      <c r="F58" s="30">
        <v>145</v>
      </c>
      <c r="G58" s="30">
        <v>5</v>
      </c>
      <c r="H58" s="30">
        <v>2000</v>
      </c>
      <c r="I58" s="30">
        <v>10000</v>
      </c>
    </row>
    <row r="59" spans="2:9" x14ac:dyDescent="0.3">
      <c r="B59" s="43">
        <v>42261</v>
      </c>
      <c r="C59" s="30" t="s">
        <v>9</v>
      </c>
      <c r="D59" s="30" t="s">
        <v>139</v>
      </c>
      <c r="E59" s="30">
        <v>715</v>
      </c>
      <c r="F59" s="30">
        <v>730</v>
      </c>
      <c r="G59" s="30">
        <v>15</v>
      </c>
      <c r="H59" s="30">
        <v>500</v>
      </c>
      <c r="I59" s="30">
        <v>7500</v>
      </c>
    </row>
    <row r="60" spans="2:9" x14ac:dyDescent="0.3">
      <c r="B60" s="43">
        <v>42262</v>
      </c>
      <c r="C60" s="30" t="s">
        <v>8</v>
      </c>
      <c r="D60" s="30" t="s">
        <v>58</v>
      </c>
      <c r="E60" s="30">
        <v>492</v>
      </c>
      <c r="F60" s="30">
        <v>484</v>
      </c>
      <c r="G60" s="30">
        <v>8</v>
      </c>
      <c r="H60" s="30">
        <v>500</v>
      </c>
      <c r="I60" s="30">
        <v>4000</v>
      </c>
    </row>
    <row r="61" spans="2:9" x14ac:dyDescent="0.3">
      <c r="B61" s="43">
        <v>42263</v>
      </c>
      <c r="C61" s="30" t="s">
        <v>8</v>
      </c>
      <c r="D61" s="30" t="s">
        <v>129</v>
      </c>
      <c r="E61" s="30">
        <v>1185</v>
      </c>
      <c r="F61" s="30">
        <v>1195</v>
      </c>
      <c r="G61" s="30">
        <v>-10</v>
      </c>
      <c r="H61" s="30">
        <v>500</v>
      </c>
      <c r="I61" s="30">
        <v>-5000</v>
      </c>
    </row>
    <row r="62" spans="2:9" x14ac:dyDescent="0.3">
      <c r="B62" s="43">
        <v>42265</v>
      </c>
      <c r="C62" s="30" t="s">
        <v>8</v>
      </c>
      <c r="D62" s="30" t="s">
        <v>30</v>
      </c>
      <c r="E62" s="30">
        <v>290</v>
      </c>
      <c r="F62" s="30">
        <v>286</v>
      </c>
      <c r="G62" s="30">
        <v>4</v>
      </c>
      <c r="H62" s="30">
        <v>1000</v>
      </c>
      <c r="I62" s="30">
        <v>4000</v>
      </c>
    </row>
    <row r="63" spans="2:9" x14ac:dyDescent="0.3">
      <c r="B63" s="43">
        <v>42268</v>
      </c>
      <c r="C63" s="30" t="s">
        <v>8</v>
      </c>
      <c r="D63" s="30" t="s">
        <v>13</v>
      </c>
      <c r="E63" s="30">
        <v>337</v>
      </c>
      <c r="F63" s="30">
        <v>339</v>
      </c>
      <c r="G63" s="30">
        <v>2</v>
      </c>
      <c r="H63" s="30">
        <v>500</v>
      </c>
      <c r="I63" s="30">
        <v>-1000</v>
      </c>
    </row>
    <row r="64" spans="2:9" x14ac:dyDescent="0.3">
      <c r="B64" s="43">
        <v>42269</v>
      </c>
      <c r="C64" s="30" t="s">
        <v>9</v>
      </c>
      <c r="D64" s="30" t="s">
        <v>942</v>
      </c>
      <c r="E64" s="30">
        <v>1410</v>
      </c>
      <c r="F64" s="30">
        <v>1390</v>
      </c>
      <c r="G64" s="30">
        <v>-20</v>
      </c>
      <c r="H64" s="30">
        <v>125</v>
      </c>
      <c r="I64" s="30">
        <v>-2500</v>
      </c>
    </row>
    <row r="65" spans="2:9" x14ac:dyDescent="0.3">
      <c r="B65" s="43">
        <v>42270</v>
      </c>
      <c r="C65" s="30" t="s">
        <v>8</v>
      </c>
      <c r="D65" s="30" t="s">
        <v>433</v>
      </c>
      <c r="E65" s="30">
        <v>472</v>
      </c>
      <c r="F65" s="30">
        <v>464</v>
      </c>
      <c r="G65" s="30">
        <v>8</v>
      </c>
      <c r="H65" s="30">
        <v>500</v>
      </c>
      <c r="I65" s="30">
        <v>4000</v>
      </c>
    </row>
    <row r="66" spans="2:9" x14ac:dyDescent="0.3">
      <c r="B66" s="43">
        <v>42271</v>
      </c>
      <c r="C66" s="30" t="s">
        <v>8</v>
      </c>
      <c r="D66" s="30" t="s">
        <v>137</v>
      </c>
      <c r="E66" s="30">
        <v>781</v>
      </c>
      <c r="F66" s="30">
        <v>778</v>
      </c>
      <c r="G66" s="30">
        <v>4</v>
      </c>
      <c r="H66" s="30">
        <v>500</v>
      </c>
      <c r="I66" s="30">
        <v>2000</v>
      </c>
    </row>
    <row r="67" spans="2:9" x14ac:dyDescent="0.3">
      <c r="B67" s="43">
        <v>42275</v>
      </c>
      <c r="C67" s="30" t="s">
        <v>8</v>
      </c>
      <c r="D67" s="30" t="s">
        <v>667</v>
      </c>
      <c r="E67" s="30">
        <v>250</v>
      </c>
      <c r="F67" s="30">
        <v>242</v>
      </c>
      <c r="G67" s="30">
        <v>8</v>
      </c>
      <c r="H67" s="30">
        <v>750</v>
      </c>
      <c r="I67" s="30">
        <v>6000</v>
      </c>
    </row>
    <row r="68" spans="2:9" x14ac:dyDescent="0.3">
      <c r="B68" s="43">
        <v>42276</v>
      </c>
      <c r="C68" s="30" t="s">
        <v>8</v>
      </c>
      <c r="D68" s="30" t="s">
        <v>107</v>
      </c>
      <c r="E68" s="30">
        <v>2230</v>
      </c>
      <c r="F68" s="30">
        <v>2211</v>
      </c>
      <c r="G68" s="30">
        <v>19</v>
      </c>
      <c r="H68" s="30">
        <v>125</v>
      </c>
      <c r="I68" s="30">
        <v>2375</v>
      </c>
    </row>
    <row r="69" spans="2:9" x14ac:dyDescent="0.3">
      <c r="B69" s="43">
        <v>42277</v>
      </c>
      <c r="C69" s="30" t="s">
        <v>8</v>
      </c>
      <c r="D69" s="30" t="s">
        <v>798</v>
      </c>
      <c r="E69" s="30">
        <v>414</v>
      </c>
      <c r="F69" s="30">
        <v>409</v>
      </c>
      <c r="G69" s="30">
        <v>5</v>
      </c>
      <c r="H69" s="30">
        <v>500</v>
      </c>
      <c r="I69" s="30">
        <v>2500</v>
      </c>
    </row>
    <row r="70" spans="2:9" x14ac:dyDescent="0.3">
      <c r="C70" s="30"/>
      <c r="D70" s="30"/>
      <c r="E70" s="30"/>
      <c r="F70" s="30"/>
      <c r="G70" s="30"/>
      <c r="H70" s="30"/>
      <c r="I70" s="30"/>
    </row>
    <row r="71" spans="2:9" ht="18" x14ac:dyDescent="0.35">
      <c r="B71" s="43"/>
      <c r="C71" s="30"/>
      <c r="D71" s="30"/>
      <c r="E71" s="30"/>
      <c r="F71" s="30"/>
      <c r="G71" s="30"/>
      <c r="H71" s="30"/>
      <c r="I71" s="76">
        <f>SUM(I51:I70)</f>
        <v>55875</v>
      </c>
    </row>
    <row r="72" spans="2:9" x14ac:dyDescent="0.3">
      <c r="C72" s="30"/>
      <c r="D72" s="30"/>
      <c r="E72" s="30"/>
      <c r="F72" s="30"/>
      <c r="G72" s="30"/>
      <c r="H72" s="30"/>
      <c r="I72" s="30"/>
    </row>
    <row r="73" spans="2:9" x14ac:dyDescent="0.3">
      <c r="C73" s="30"/>
      <c r="D73" s="30"/>
      <c r="E73" s="30"/>
      <c r="F73" s="30"/>
      <c r="G73" s="30"/>
      <c r="H73" s="30"/>
      <c r="I73" s="30"/>
    </row>
    <row r="74" spans="2:9" x14ac:dyDescent="0.3">
      <c r="C74" s="30"/>
      <c r="D74" s="30"/>
      <c r="E74" s="30"/>
      <c r="F74" s="30"/>
      <c r="G74" s="30"/>
      <c r="H74" s="30"/>
      <c r="I74" s="30"/>
    </row>
    <row r="75" spans="2:9" x14ac:dyDescent="0.3">
      <c r="B75" s="43"/>
      <c r="C75" s="30"/>
      <c r="D75" s="30"/>
      <c r="E75" s="30"/>
      <c r="F75" s="30"/>
      <c r="G75" s="30"/>
      <c r="H75" s="30"/>
      <c r="I75" s="30"/>
    </row>
    <row r="76" spans="2:9" x14ac:dyDescent="0.3">
      <c r="C76" s="30"/>
      <c r="D76" s="30"/>
      <c r="E76" s="30"/>
      <c r="F76" s="30"/>
      <c r="G76" s="30"/>
      <c r="H76" s="30"/>
      <c r="I76" s="30"/>
    </row>
    <row r="77" spans="2:9" x14ac:dyDescent="0.3">
      <c r="C77" s="30"/>
      <c r="D77" s="30"/>
      <c r="E77" s="30"/>
      <c r="F77" s="30"/>
      <c r="G77" s="30"/>
      <c r="H77" s="30"/>
      <c r="I77" s="30"/>
    </row>
    <row r="78" spans="2:9" ht="15.6" x14ac:dyDescent="0.3">
      <c r="C78" s="30"/>
      <c r="D78" s="30"/>
      <c r="E78" s="30"/>
      <c r="F78" s="30"/>
      <c r="G78" s="30"/>
      <c r="H78" s="30"/>
      <c r="I78" s="77"/>
    </row>
    <row r="79" spans="2:9" ht="15.6" x14ac:dyDescent="0.3">
      <c r="C79" s="30"/>
      <c r="D79" s="30"/>
      <c r="E79" s="30"/>
      <c r="F79" s="30"/>
      <c r="G79" s="30"/>
      <c r="H79" s="30"/>
      <c r="I79" s="77"/>
    </row>
    <row r="80" spans="2:9" ht="18" x14ac:dyDescent="0.35">
      <c r="B80" s="43"/>
      <c r="C80" s="30"/>
      <c r="D80" s="30"/>
      <c r="E80" s="30"/>
      <c r="F80" s="30"/>
      <c r="G80" s="30"/>
      <c r="H80" s="30"/>
      <c r="I80" s="72"/>
    </row>
    <row r="81" spans="2:9" ht="15.6" x14ac:dyDescent="0.3">
      <c r="B81" s="43"/>
      <c r="C81" s="30"/>
      <c r="D81" s="30"/>
      <c r="E81" s="30"/>
      <c r="F81" s="30"/>
      <c r="G81" s="30"/>
      <c r="H81" s="30"/>
      <c r="I81" s="63"/>
    </row>
    <row r="82" spans="2:9" ht="18" x14ac:dyDescent="0.35">
      <c r="B82" s="43"/>
      <c r="C82" s="30"/>
      <c r="D82" s="30"/>
      <c r="E82" s="30"/>
      <c r="F82" s="30"/>
      <c r="G82" s="30"/>
      <c r="H82" s="30"/>
      <c r="I82" s="76"/>
    </row>
    <row r="83" spans="2:9" ht="15.6" x14ac:dyDescent="0.3">
      <c r="B83" s="43"/>
      <c r="C83" s="30"/>
      <c r="D83" s="30"/>
      <c r="E83" s="30"/>
      <c r="F83" s="30"/>
      <c r="G83" s="30"/>
      <c r="H83" s="30"/>
      <c r="I83" s="33"/>
    </row>
    <row r="84" spans="2:9" ht="15.6" x14ac:dyDescent="0.3">
      <c r="B84" s="48" t="s">
        <v>571</v>
      </c>
      <c r="C84" s="48"/>
      <c r="D84" s="48"/>
      <c r="E84" s="48"/>
      <c r="F84" s="48"/>
      <c r="G84" s="48"/>
      <c r="H84" s="48"/>
      <c r="I84" s="48"/>
    </row>
    <row r="85" spans="2:9" x14ac:dyDescent="0.3">
      <c r="B85" s="43">
        <v>42248</v>
      </c>
      <c r="C85" s="2" t="s">
        <v>8</v>
      </c>
      <c r="D85" s="2" t="s">
        <v>39</v>
      </c>
      <c r="E85" s="41" t="s">
        <v>927</v>
      </c>
      <c r="F85" s="40" t="s">
        <v>928</v>
      </c>
      <c r="G85" s="40" t="s">
        <v>929</v>
      </c>
      <c r="H85" s="30">
        <v>100</v>
      </c>
      <c r="I85" s="41" t="s">
        <v>930</v>
      </c>
    </row>
    <row r="86" spans="2:9" x14ac:dyDescent="0.3">
      <c r="B86" s="43">
        <v>42249</v>
      </c>
      <c r="C86" s="30" t="s">
        <v>8</v>
      </c>
      <c r="D86" s="2" t="s">
        <v>39</v>
      </c>
      <c r="E86" s="2">
        <v>7830</v>
      </c>
      <c r="F86" s="30">
        <v>7770</v>
      </c>
      <c r="G86" s="30">
        <v>50</v>
      </c>
      <c r="H86" s="30">
        <v>100</v>
      </c>
      <c r="I86" s="30">
        <v>5000</v>
      </c>
    </row>
    <row r="87" spans="2:9" x14ac:dyDescent="0.3">
      <c r="B87" s="43">
        <v>42250</v>
      </c>
      <c r="C87" s="30" t="s">
        <v>8</v>
      </c>
      <c r="D87" s="2" t="s">
        <v>39</v>
      </c>
      <c r="E87" s="2">
        <v>7805</v>
      </c>
      <c r="F87" s="30">
        <v>7780</v>
      </c>
      <c r="G87" s="30">
        <v>25</v>
      </c>
      <c r="H87" s="30">
        <v>100</v>
      </c>
      <c r="I87" s="30">
        <v>2500</v>
      </c>
    </row>
    <row r="88" spans="2:9" x14ac:dyDescent="0.3">
      <c r="B88" s="43">
        <v>42251</v>
      </c>
      <c r="C88" s="30" t="s">
        <v>8</v>
      </c>
      <c r="D88" s="2" t="s">
        <v>39</v>
      </c>
      <c r="E88" s="30">
        <v>7695</v>
      </c>
      <c r="F88" s="30">
        <v>7650</v>
      </c>
      <c r="G88" s="30">
        <v>45</v>
      </c>
      <c r="H88" s="30">
        <v>100</v>
      </c>
      <c r="I88" s="30">
        <v>4500</v>
      </c>
    </row>
    <row r="89" spans="2:9" x14ac:dyDescent="0.3">
      <c r="B89" s="43">
        <v>42255</v>
      </c>
      <c r="C89" s="30" t="s">
        <v>9</v>
      </c>
      <c r="D89" s="2" t="s">
        <v>39</v>
      </c>
      <c r="E89" s="30">
        <v>7600</v>
      </c>
      <c r="F89" s="30">
        <v>7660</v>
      </c>
      <c r="G89" s="30">
        <v>60</v>
      </c>
      <c r="H89" s="30">
        <v>100</v>
      </c>
      <c r="I89" s="30">
        <v>6000</v>
      </c>
    </row>
    <row r="90" spans="2:9" x14ac:dyDescent="0.3">
      <c r="B90" s="43">
        <v>42256</v>
      </c>
      <c r="C90" s="30" t="s">
        <v>8</v>
      </c>
      <c r="D90" s="2" t="s">
        <v>39</v>
      </c>
      <c r="E90" s="30">
        <v>7800</v>
      </c>
      <c r="F90" s="30">
        <v>7835</v>
      </c>
      <c r="G90" s="30">
        <v>-35</v>
      </c>
      <c r="H90" s="30">
        <v>100</v>
      </c>
      <c r="I90" s="30">
        <v>-3500</v>
      </c>
    </row>
    <row r="91" spans="2:9" x14ac:dyDescent="0.3">
      <c r="B91" s="43">
        <v>42257</v>
      </c>
      <c r="C91" s="30" t="s">
        <v>8</v>
      </c>
      <c r="D91" s="2" t="s">
        <v>39</v>
      </c>
      <c r="E91" s="30">
        <v>7720</v>
      </c>
      <c r="F91" s="30">
        <v>7755</v>
      </c>
      <c r="G91" s="30">
        <v>-35</v>
      </c>
      <c r="H91" s="30">
        <v>100</v>
      </c>
      <c r="I91" s="30">
        <v>-3500</v>
      </c>
    </row>
    <row r="92" spans="2:9" x14ac:dyDescent="0.3">
      <c r="B92" s="43">
        <v>42258</v>
      </c>
      <c r="C92" s="30" t="s">
        <v>8</v>
      </c>
      <c r="D92" s="2" t="s">
        <v>39</v>
      </c>
      <c r="E92" s="30">
        <v>7835</v>
      </c>
      <c r="F92" s="30">
        <v>7770</v>
      </c>
      <c r="G92" s="30">
        <v>65</v>
      </c>
      <c r="H92" s="30">
        <v>100</v>
      </c>
      <c r="I92" s="30">
        <v>6500</v>
      </c>
    </row>
    <row r="93" spans="2:9" x14ac:dyDescent="0.3">
      <c r="B93" s="43">
        <v>42261</v>
      </c>
      <c r="C93" s="30" t="s">
        <v>9</v>
      </c>
      <c r="D93" s="2" t="s">
        <v>39</v>
      </c>
      <c r="E93" s="30">
        <v>7825</v>
      </c>
      <c r="F93" s="30">
        <v>7855</v>
      </c>
      <c r="G93" s="30">
        <v>30</v>
      </c>
      <c r="H93" s="30">
        <v>100</v>
      </c>
      <c r="I93" s="30">
        <v>3000</v>
      </c>
    </row>
    <row r="94" spans="2:9" x14ac:dyDescent="0.3">
      <c r="B94" s="43">
        <v>42262</v>
      </c>
      <c r="C94" s="30" t="s">
        <v>8</v>
      </c>
      <c r="D94" s="2" t="s">
        <v>39</v>
      </c>
      <c r="E94" s="30">
        <v>7855</v>
      </c>
      <c r="F94" s="30">
        <v>7815</v>
      </c>
      <c r="G94" s="30">
        <v>40</v>
      </c>
      <c r="H94" s="30">
        <v>100</v>
      </c>
      <c r="I94" s="30">
        <v>4000</v>
      </c>
    </row>
    <row r="95" spans="2:9" x14ac:dyDescent="0.3">
      <c r="B95" s="43">
        <v>42263</v>
      </c>
      <c r="C95" s="30" t="s">
        <v>8</v>
      </c>
      <c r="D95" s="2" t="s">
        <v>39</v>
      </c>
      <c r="E95" s="30">
        <v>7880</v>
      </c>
      <c r="F95" s="30">
        <v>7855</v>
      </c>
      <c r="G95" s="30">
        <v>25</v>
      </c>
      <c r="H95" s="30">
        <v>100</v>
      </c>
      <c r="I95" s="30">
        <v>2500</v>
      </c>
    </row>
    <row r="96" spans="2:9" x14ac:dyDescent="0.3">
      <c r="B96" s="43">
        <v>42265</v>
      </c>
      <c r="C96" s="30" t="s">
        <v>9</v>
      </c>
      <c r="D96" s="2" t="s">
        <v>39</v>
      </c>
      <c r="E96" s="30">
        <v>8025</v>
      </c>
      <c r="F96" s="30">
        <v>8050</v>
      </c>
      <c r="G96" s="30">
        <v>25</v>
      </c>
      <c r="H96" s="30">
        <v>100</v>
      </c>
      <c r="I96" s="30">
        <v>2500</v>
      </c>
    </row>
    <row r="97" spans="2:9" x14ac:dyDescent="0.3">
      <c r="B97" s="43">
        <v>42268</v>
      </c>
      <c r="C97" s="30" t="s">
        <v>9</v>
      </c>
      <c r="D97" s="2" t="s">
        <v>39</v>
      </c>
      <c r="E97" s="30">
        <v>7925</v>
      </c>
      <c r="F97" s="30">
        <v>7990</v>
      </c>
      <c r="G97" s="30">
        <v>65</v>
      </c>
      <c r="H97" s="30">
        <v>100</v>
      </c>
      <c r="I97" s="30">
        <v>6500</v>
      </c>
    </row>
    <row r="98" spans="2:9" x14ac:dyDescent="0.3">
      <c r="B98" s="43">
        <v>42269</v>
      </c>
      <c r="C98" s="30" t="s">
        <v>8</v>
      </c>
      <c r="D98" s="2" t="s">
        <v>39</v>
      </c>
      <c r="E98" s="30">
        <v>7985</v>
      </c>
      <c r="F98" s="30">
        <v>7920</v>
      </c>
      <c r="G98" s="30">
        <v>65</v>
      </c>
      <c r="H98" s="30">
        <v>100</v>
      </c>
      <c r="I98" s="30">
        <v>6500</v>
      </c>
    </row>
    <row r="99" spans="2:9" x14ac:dyDescent="0.3">
      <c r="B99" s="43">
        <v>42270</v>
      </c>
      <c r="C99" s="30" t="s">
        <v>9</v>
      </c>
      <c r="D99" s="2" t="s">
        <v>39</v>
      </c>
      <c r="E99" s="30">
        <v>7770</v>
      </c>
      <c r="F99" s="30">
        <v>7825</v>
      </c>
      <c r="G99" s="30">
        <v>55</v>
      </c>
      <c r="H99" s="30">
        <v>100</v>
      </c>
      <c r="I99" s="30">
        <v>5500</v>
      </c>
    </row>
    <row r="100" spans="2:9" ht="15.6" x14ac:dyDescent="0.3">
      <c r="B100" s="43">
        <v>42271</v>
      </c>
      <c r="C100" s="30" t="s">
        <v>8</v>
      </c>
      <c r="D100" s="2" t="s">
        <v>39</v>
      </c>
      <c r="E100" s="30">
        <v>7820</v>
      </c>
      <c r="F100" s="30">
        <v>7855</v>
      </c>
      <c r="G100" s="30">
        <v>-35</v>
      </c>
      <c r="H100" s="30">
        <v>100</v>
      </c>
      <c r="I100" s="77">
        <v>-3500</v>
      </c>
    </row>
    <row r="101" spans="2:9" ht="15.6" x14ac:dyDescent="0.3">
      <c r="B101" s="43">
        <v>42275</v>
      </c>
      <c r="C101" s="30" t="s">
        <v>9</v>
      </c>
      <c r="D101" s="2" t="s">
        <v>39</v>
      </c>
      <c r="E101" s="30">
        <v>7890</v>
      </c>
      <c r="F101" s="30">
        <v>7925</v>
      </c>
      <c r="G101" s="30">
        <v>35</v>
      </c>
      <c r="H101" s="30">
        <v>100</v>
      </c>
      <c r="I101" s="77">
        <v>3500</v>
      </c>
    </row>
    <row r="102" spans="2:9" ht="15.6" x14ac:dyDescent="0.3">
      <c r="B102" s="43">
        <v>42276</v>
      </c>
      <c r="C102" s="30" t="s">
        <v>8</v>
      </c>
      <c r="D102" s="2" t="s">
        <v>39</v>
      </c>
      <c r="E102" s="30">
        <v>7730</v>
      </c>
      <c r="F102" s="30">
        <v>7705</v>
      </c>
      <c r="G102" s="30">
        <v>25</v>
      </c>
      <c r="H102" s="30">
        <v>100</v>
      </c>
      <c r="I102" s="77">
        <v>2500</v>
      </c>
    </row>
    <row r="103" spans="2:9" x14ac:dyDescent="0.3">
      <c r="B103" s="43">
        <v>42277</v>
      </c>
      <c r="C103" s="30" t="s">
        <v>9</v>
      </c>
      <c r="D103" s="2" t="s">
        <v>39</v>
      </c>
      <c r="E103" s="30">
        <v>7920</v>
      </c>
      <c r="F103" s="30">
        <v>7975</v>
      </c>
      <c r="G103" s="30">
        <v>55</v>
      </c>
      <c r="H103" s="30">
        <v>100</v>
      </c>
      <c r="I103" s="30">
        <v>5500</v>
      </c>
    </row>
    <row r="104" spans="2:9" x14ac:dyDescent="0.3">
      <c r="C104" s="30"/>
      <c r="D104" s="2"/>
      <c r="E104" s="30"/>
      <c r="F104" s="30"/>
      <c r="G104" s="30"/>
      <c r="H104" s="30"/>
      <c r="I104" s="30"/>
    </row>
    <row r="105" spans="2:9" ht="18" x14ac:dyDescent="0.35">
      <c r="B105" s="43"/>
      <c r="C105" s="30"/>
      <c r="D105" s="2"/>
      <c r="E105" s="30"/>
      <c r="F105" s="30"/>
      <c r="G105" s="30"/>
      <c r="H105" s="30"/>
      <c r="I105" s="76">
        <f>SUM(I85:I104)</f>
        <v>56000</v>
      </c>
    </row>
    <row r="106" spans="2:9" ht="18" x14ac:dyDescent="0.35">
      <c r="B106" s="43"/>
      <c r="C106" s="30"/>
      <c r="D106" s="2"/>
      <c r="E106" s="30"/>
      <c r="F106" s="30"/>
      <c r="G106" s="30"/>
      <c r="H106" s="30"/>
      <c r="I106" s="72"/>
    </row>
    <row r="107" spans="2:9" x14ac:dyDescent="0.3">
      <c r="B107" s="43"/>
      <c r="C107" s="28"/>
      <c r="D107" s="2"/>
      <c r="E107" s="28"/>
      <c r="F107" s="28"/>
      <c r="G107" s="28"/>
      <c r="H107" s="30"/>
      <c r="I107" s="49"/>
    </row>
    <row r="108" spans="2:9" ht="18" x14ac:dyDescent="0.35">
      <c r="B108" s="43"/>
      <c r="C108" s="28"/>
      <c r="D108" s="30"/>
      <c r="E108" s="28"/>
      <c r="F108" s="28"/>
      <c r="G108" s="28"/>
      <c r="H108" s="28"/>
      <c r="I108" s="72"/>
    </row>
    <row r="109" spans="2:9" x14ac:dyDescent="0.3">
      <c r="B109" s="43"/>
      <c r="C109" s="28"/>
      <c r="D109" s="30"/>
      <c r="E109" s="28"/>
      <c r="F109" s="28"/>
      <c r="G109" s="28"/>
      <c r="H109" s="28"/>
      <c r="I109" s="28"/>
    </row>
    <row r="110" spans="2:9" x14ac:dyDescent="0.3">
      <c r="B110" s="43"/>
      <c r="C110" s="28"/>
      <c r="D110" s="30"/>
      <c r="E110" s="28"/>
      <c r="F110" s="28"/>
      <c r="G110" s="28"/>
      <c r="H110" s="28"/>
      <c r="I110" s="28"/>
    </row>
    <row r="111" spans="2:9" ht="15.6" x14ac:dyDescent="0.3">
      <c r="B111" s="48" t="s">
        <v>932</v>
      </c>
      <c r="C111" s="61"/>
      <c r="D111" s="61"/>
      <c r="E111" s="61"/>
      <c r="F111" s="61"/>
      <c r="G111" s="61"/>
      <c r="H111" s="61"/>
      <c r="I111" s="61"/>
    </row>
    <row r="112" spans="2:9" x14ac:dyDescent="0.3">
      <c r="B112" s="43">
        <v>42248</v>
      </c>
      <c r="C112" s="3" t="s">
        <v>9</v>
      </c>
      <c r="D112" s="3" t="s">
        <v>931</v>
      </c>
      <c r="E112" s="41" t="s">
        <v>933</v>
      </c>
      <c r="F112" s="41" t="s">
        <v>761</v>
      </c>
      <c r="G112" s="41" t="s">
        <v>934</v>
      </c>
      <c r="H112" s="30">
        <v>200</v>
      </c>
      <c r="I112" s="8">
        <v>10000</v>
      </c>
    </row>
    <row r="113" spans="2:9" x14ac:dyDescent="0.3">
      <c r="B113" s="43">
        <v>42249</v>
      </c>
      <c r="C113" s="3" t="s">
        <v>9</v>
      </c>
      <c r="D113" s="3" t="s">
        <v>935</v>
      </c>
      <c r="E113" s="30">
        <v>205</v>
      </c>
      <c r="F113" s="30">
        <v>245</v>
      </c>
      <c r="G113" s="30">
        <v>40</v>
      </c>
      <c r="H113" s="30">
        <v>200</v>
      </c>
      <c r="I113" s="30">
        <v>8000</v>
      </c>
    </row>
    <row r="114" spans="2:9" x14ac:dyDescent="0.3">
      <c r="B114" s="43">
        <v>42250</v>
      </c>
      <c r="C114" s="3" t="s">
        <v>9</v>
      </c>
      <c r="D114" s="3" t="s">
        <v>935</v>
      </c>
      <c r="E114" s="30">
        <v>185</v>
      </c>
      <c r="F114" s="30">
        <v>200</v>
      </c>
      <c r="G114" s="30">
        <v>15</v>
      </c>
      <c r="H114" s="30">
        <v>200</v>
      </c>
      <c r="I114" s="30">
        <v>3000</v>
      </c>
    </row>
    <row r="115" spans="2:9" x14ac:dyDescent="0.3">
      <c r="B115" s="43">
        <v>42251</v>
      </c>
      <c r="C115" s="3" t="s">
        <v>9</v>
      </c>
      <c r="D115" s="30" t="s">
        <v>936</v>
      </c>
      <c r="E115" s="30">
        <v>155</v>
      </c>
      <c r="F115" s="30">
        <v>180</v>
      </c>
      <c r="G115" s="30">
        <v>25</v>
      </c>
      <c r="H115" s="30">
        <v>200</v>
      </c>
      <c r="I115" s="30">
        <v>5000</v>
      </c>
    </row>
    <row r="116" spans="2:9" x14ac:dyDescent="0.3">
      <c r="B116" s="43">
        <v>42255</v>
      </c>
      <c r="C116" s="3" t="s">
        <v>9</v>
      </c>
      <c r="D116" s="30" t="s">
        <v>936</v>
      </c>
      <c r="E116" s="30">
        <v>180</v>
      </c>
      <c r="F116" s="30">
        <v>150</v>
      </c>
      <c r="G116" s="30">
        <v>-30</v>
      </c>
      <c r="H116" s="30">
        <v>200</v>
      </c>
      <c r="I116" s="30">
        <v>-6000</v>
      </c>
    </row>
    <row r="117" spans="2:9" x14ac:dyDescent="0.3">
      <c r="B117" s="43">
        <v>42256</v>
      </c>
      <c r="C117" s="3" t="s">
        <v>9</v>
      </c>
      <c r="D117" s="30" t="s">
        <v>937</v>
      </c>
      <c r="E117" s="30">
        <v>155</v>
      </c>
      <c r="F117" s="30">
        <v>130</v>
      </c>
      <c r="G117" s="30">
        <v>-25</v>
      </c>
      <c r="H117" s="30">
        <v>200</v>
      </c>
      <c r="I117" s="30">
        <v>-5000</v>
      </c>
    </row>
    <row r="118" spans="2:9" x14ac:dyDescent="0.3">
      <c r="B118" s="43">
        <v>42257</v>
      </c>
      <c r="C118" s="3" t="s">
        <v>9</v>
      </c>
      <c r="D118" s="30" t="s">
        <v>935</v>
      </c>
      <c r="E118" s="30">
        <v>140</v>
      </c>
      <c r="F118" s="30">
        <v>175</v>
      </c>
      <c r="G118" s="30">
        <v>35</v>
      </c>
      <c r="H118" s="30">
        <v>200</v>
      </c>
      <c r="I118" s="30">
        <v>7000</v>
      </c>
    </row>
    <row r="119" spans="2:9" x14ac:dyDescent="0.3">
      <c r="B119" s="43">
        <v>42258</v>
      </c>
      <c r="C119" s="3" t="s">
        <v>9</v>
      </c>
      <c r="D119" s="30" t="s">
        <v>935</v>
      </c>
      <c r="E119" s="30">
        <v>140</v>
      </c>
      <c r="F119" s="30">
        <v>175</v>
      </c>
      <c r="G119" s="30">
        <v>35</v>
      </c>
      <c r="H119" s="30">
        <v>200</v>
      </c>
      <c r="I119" s="30">
        <v>7000</v>
      </c>
    </row>
    <row r="120" spans="2:9" x14ac:dyDescent="0.3">
      <c r="B120" s="43">
        <v>42261</v>
      </c>
      <c r="C120" s="3" t="s">
        <v>9</v>
      </c>
      <c r="D120" s="30" t="s">
        <v>941</v>
      </c>
      <c r="E120" s="30">
        <v>155</v>
      </c>
      <c r="F120" s="30">
        <v>190</v>
      </c>
      <c r="G120" s="30">
        <v>45</v>
      </c>
      <c r="H120" s="30">
        <v>200</v>
      </c>
      <c r="I120" s="30">
        <v>9000</v>
      </c>
    </row>
    <row r="121" spans="2:9" x14ac:dyDescent="0.3">
      <c r="B121" s="43">
        <v>42262</v>
      </c>
      <c r="C121" s="3" t="s">
        <v>9</v>
      </c>
      <c r="D121" s="30" t="s">
        <v>931</v>
      </c>
      <c r="E121" s="30">
        <v>165</v>
      </c>
      <c r="F121" s="30">
        <v>190</v>
      </c>
      <c r="G121" s="30">
        <v>25</v>
      </c>
      <c r="H121" s="30">
        <v>200</v>
      </c>
      <c r="I121" s="30">
        <v>5000</v>
      </c>
    </row>
    <row r="122" spans="2:9" x14ac:dyDescent="0.3">
      <c r="B122" s="43">
        <v>42263</v>
      </c>
      <c r="C122" s="3" t="s">
        <v>9</v>
      </c>
      <c r="D122" s="30" t="s">
        <v>931</v>
      </c>
      <c r="E122" s="30">
        <v>140</v>
      </c>
      <c r="F122" s="30">
        <v>150</v>
      </c>
      <c r="G122" s="30">
        <v>10</v>
      </c>
      <c r="H122" s="30">
        <v>200</v>
      </c>
      <c r="I122" s="30">
        <v>2000</v>
      </c>
    </row>
    <row r="123" spans="2:9" x14ac:dyDescent="0.3">
      <c r="B123" s="43">
        <v>42265</v>
      </c>
      <c r="C123" s="3" t="s">
        <v>9</v>
      </c>
      <c r="D123" s="30" t="s">
        <v>940</v>
      </c>
      <c r="E123" s="30">
        <v>100</v>
      </c>
      <c r="F123" s="30">
        <v>106</v>
      </c>
      <c r="G123" s="30">
        <v>6</v>
      </c>
      <c r="H123" s="30">
        <v>200</v>
      </c>
      <c r="I123" s="30">
        <v>1200</v>
      </c>
    </row>
    <row r="124" spans="2:9" ht="15.6" x14ac:dyDescent="0.3">
      <c r="B124" s="43">
        <v>42268</v>
      </c>
      <c r="C124" s="3" t="s">
        <v>9</v>
      </c>
      <c r="D124" s="30" t="s">
        <v>941</v>
      </c>
      <c r="E124" s="30">
        <v>155</v>
      </c>
      <c r="F124" s="30">
        <v>200</v>
      </c>
      <c r="G124" s="30">
        <v>45</v>
      </c>
      <c r="H124" s="30">
        <v>200</v>
      </c>
      <c r="I124" s="62" t="s">
        <v>320</v>
      </c>
    </row>
    <row r="125" spans="2:9" ht="15.6" x14ac:dyDescent="0.3">
      <c r="B125" s="43">
        <v>42269</v>
      </c>
      <c r="C125" s="3" t="s">
        <v>9</v>
      </c>
      <c r="D125" s="30" t="s">
        <v>943</v>
      </c>
      <c r="E125" s="30">
        <v>130</v>
      </c>
      <c r="F125" s="30">
        <v>170</v>
      </c>
      <c r="G125" s="30">
        <v>40</v>
      </c>
      <c r="H125" s="30">
        <v>200</v>
      </c>
      <c r="I125" s="62" t="s">
        <v>525</v>
      </c>
    </row>
    <row r="126" spans="2:9" ht="15.6" x14ac:dyDescent="0.3">
      <c r="B126" s="43">
        <v>42270</v>
      </c>
      <c r="C126" s="3" t="s">
        <v>9</v>
      </c>
      <c r="D126" s="28" t="s">
        <v>944</v>
      </c>
      <c r="E126" s="49" t="s">
        <v>217</v>
      </c>
      <c r="F126" s="49" t="s">
        <v>582</v>
      </c>
      <c r="G126" s="49" t="s">
        <v>945</v>
      </c>
      <c r="H126" s="30">
        <v>200</v>
      </c>
      <c r="I126" s="62" t="s">
        <v>463</v>
      </c>
    </row>
    <row r="127" spans="2:9" x14ac:dyDescent="0.3">
      <c r="B127" s="43">
        <v>42271</v>
      </c>
      <c r="C127" s="3" t="s">
        <v>9</v>
      </c>
      <c r="D127" s="28" t="s">
        <v>949</v>
      </c>
      <c r="E127" s="49"/>
      <c r="F127" s="49"/>
      <c r="G127" s="49"/>
      <c r="H127" s="30">
        <v>200</v>
      </c>
      <c r="I127" s="49"/>
    </row>
    <row r="128" spans="2:9" x14ac:dyDescent="0.3">
      <c r="B128" s="43">
        <v>42275</v>
      </c>
      <c r="C128" s="3" t="s">
        <v>9</v>
      </c>
      <c r="D128" s="28" t="s">
        <v>950</v>
      </c>
      <c r="E128" s="49" t="s">
        <v>854</v>
      </c>
      <c r="F128" s="49" t="s">
        <v>358</v>
      </c>
      <c r="G128" s="49" t="s">
        <v>951</v>
      </c>
      <c r="H128" s="30">
        <v>200</v>
      </c>
      <c r="I128" s="30">
        <v>3000</v>
      </c>
    </row>
    <row r="129" spans="2:9" x14ac:dyDescent="0.3">
      <c r="B129" s="43">
        <v>42276</v>
      </c>
      <c r="C129" s="3" t="s">
        <v>9</v>
      </c>
      <c r="D129" s="28" t="s">
        <v>937</v>
      </c>
      <c r="E129" s="49" t="s">
        <v>787</v>
      </c>
      <c r="F129" s="49" t="s">
        <v>933</v>
      </c>
      <c r="G129" s="49" t="s">
        <v>952</v>
      </c>
      <c r="H129" s="30">
        <v>200</v>
      </c>
      <c r="I129" s="49" t="s">
        <v>518</v>
      </c>
    </row>
    <row r="130" spans="2:9" x14ac:dyDescent="0.3">
      <c r="B130" s="43">
        <v>42277</v>
      </c>
      <c r="C130" s="3" t="s">
        <v>9</v>
      </c>
      <c r="D130" s="28" t="s">
        <v>950</v>
      </c>
      <c r="E130" s="49">
        <v>180</v>
      </c>
      <c r="F130" s="49">
        <v>205</v>
      </c>
      <c r="G130" s="49">
        <v>25</v>
      </c>
      <c r="H130" s="30">
        <v>200</v>
      </c>
      <c r="I130" s="49" t="s">
        <v>466</v>
      </c>
    </row>
    <row r="131" spans="2:9" ht="18" x14ac:dyDescent="0.35">
      <c r="C131" s="3"/>
      <c r="D131" s="28"/>
      <c r="E131" s="28"/>
      <c r="F131" s="28"/>
      <c r="G131" s="28"/>
      <c r="H131" s="30"/>
      <c r="I131" s="72"/>
    </row>
    <row r="132" spans="2:9" ht="18" x14ac:dyDescent="0.35">
      <c r="B132" s="43"/>
      <c r="C132" s="28"/>
      <c r="D132" s="28"/>
      <c r="E132" s="28"/>
      <c r="F132" s="28"/>
      <c r="G132" s="28"/>
      <c r="H132" s="30"/>
      <c r="I132" s="76">
        <f>SUM(I112:I131)</f>
        <v>49200</v>
      </c>
    </row>
    <row r="133" spans="2:9" ht="18" x14ac:dyDescent="0.35">
      <c r="B133" s="1"/>
      <c r="C133" s="28"/>
      <c r="D133" s="28"/>
      <c r="E133" s="28"/>
      <c r="F133" s="28"/>
      <c r="G133" s="28"/>
      <c r="H133" s="28"/>
      <c r="I133" s="72"/>
    </row>
    <row r="134" spans="2:9" x14ac:dyDescent="0.3">
      <c r="B134" s="1"/>
    </row>
    <row r="135" spans="2:9" ht="15.6" x14ac:dyDescent="0.3">
      <c r="B135" s="48" t="s">
        <v>926</v>
      </c>
      <c r="C135" s="48"/>
      <c r="D135" s="48"/>
      <c r="E135" s="48"/>
      <c r="F135" s="48"/>
      <c r="G135" s="48"/>
      <c r="H135" s="48"/>
      <c r="I135" s="48"/>
    </row>
    <row r="136" spans="2:9" x14ac:dyDescent="0.3">
      <c r="B136" s="43">
        <v>42248</v>
      </c>
      <c r="C136" s="30" t="s">
        <v>8</v>
      </c>
      <c r="D136" s="30" t="s">
        <v>301</v>
      </c>
      <c r="E136" s="30">
        <v>16900</v>
      </c>
      <c r="F136" s="30">
        <v>16600</v>
      </c>
      <c r="G136" s="30">
        <v>300</v>
      </c>
      <c r="H136" s="30">
        <v>100</v>
      </c>
      <c r="I136" s="30">
        <v>30000</v>
      </c>
    </row>
    <row r="137" spans="2:9" x14ac:dyDescent="0.3">
      <c r="B137" s="43">
        <v>42249</v>
      </c>
      <c r="C137" s="30" t="s">
        <v>8</v>
      </c>
      <c r="D137" s="30" t="s">
        <v>301</v>
      </c>
      <c r="E137" s="30">
        <v>16520</v>
      </c>
      <c r="F137" s="30">
        <v>16300</v>
      </c>
      <c r="G137" s="30">
        <v>220</v>
      </c>
      <c r="H137" s="30">
        <v>100</v>
      </c>
      <c r="I137" s="30">
        <v>22000</v>
      </c>
    </row>
    <row r="138" spans="2:9" x14ac:dyDescent="0.3">
      <c r="B138" s="43">
        <v>42250</v>
      </c>
      <c r="C138" s="30" t="s">
        <v>9</v>
      </c>
      <c r="D138" s="30" t="s">
        <v>301</v>
      </c>
      <c r="E138" s="30">
        <v>16500</v>
      </c>
      <c r="F138" s="30">
        <v>16600</v>
      </c>
      <c r="G138" s="30">
        <v>100</v>
      </c>
      <c r="H138" s="30">
        <v>100</v>
      </c>
      <c r="I138" s="30">
        <v>10000</v>
      </c>
    </row>
    <row r="139" spans="2:9" x14ac:dyDescent="0.3">
      <c r="B139" s="43">
        <v>42251</v>
      </c>
      <c r="C139" s="30" t="s">
        <v>8</v>
      </c>
      <c r="D139" s="30" t="s">
        <v>301</v>
      </c>
      <c r="E139" s="30">
        <v>16000</v>
      </c>
      <c r="F139" s="30">
        <v>15900</v>
      </c>
      <c r="G139" s="30">
        <v>100</v>
      </c>
      <c r="H139" s="30">
        <v>100</v>
      </c>
      <c r="I139" s="30">
        <v>10000</v>
      </c>
    </row>
    <row r="140" spans="2:9" x14ac:dyDescent="0.3">
      <c r="B140" s="43">
        <v>42255</v>
      </c>
      <c r="C140" s="30" t="s">
        <v>9</v>
      </c>
      <c r="D140" s="30" t="s">
        <v>301</v>
      </c>
      <c r="E140" s="30">
        <v>16050</v>
      </c>
      <c r="F140" s="30">
        <v>16350</v>
      </c>
      <c r="G140" s="30">
        <v>300</v>
      </c>
      <c r="H140" s="30">
        <v>100</v>
      </c>
      <c r="I140" s="30">
        <v>30000</v>
      </c>
    </row>
    <row r="141" spans="2:9" x14ac:dyDescent="0.3">
      <c r="B141" s="43">
        <v>42256</v>
      </c>
      <c r="C141" s="30" t="s">
        <v>8</v>
      </c>
      <c r="D141" s="30" t="s">
        <v>301</v>
      </c>
      <c r="E141" s="30">
        <v>16620</v>
      </c>
      <c r="F141" s="30">
        <v>16520</v>
      </c>
      <c r="G141" s="30">
        <v>100</v>
      </c>
      <c r="H141" s="30">
        <v>100</v>
      </c>
      <c r="I141" s="30">
        <v>10000</v>
      </c>
    </row>
    <row r="142" spans="2:9" x14ac:dyDescent="0.3">
      <c r="B142" s="43">
        <v>42257</v>
      </c>
      <c r="C142" s="30" t="s">
        <v>8</v>
      </c>
      <c r="D142" s="30" t="s">
        <v>301</v>
      </c>
      <c r="E142" s="30">
        <v>16270</v>
      </c>
      <c r="F142" s="30">
        <v>16440</v>
      </c>
      <c r="G142" s="30">
        <v>-170</v>
      </c>
      <c r="H142" s="30">
        <v>100</v>
      </c>
      <c r="I142" s="30">
        <v>-17000</v>
      </c>
    </row>
    <row r="143" spans="2:9" x14ac:dyDescent="0.3">
      <c r="B143" s="43">
        <v>42258</v>
      </c>
      <c r="C143" s="30" t="s">
        <v>8</v>
      </c>
      <c r="D143" s="30" t="s">
        <v>301</v>
      </c>
      <c r="E143" s="30">
        <v>16700</v>
      </c>
      <c r="F143" s="30">
        <v>16550</v>
      </c>
      <c r="G143" s="30">
        <v>250</v>
      </c>
      <c r="H143" s="30">
        <v>100</v>
      </c>
      <c r="I143" s="30">
        <v>25000</v>
      </c>
    </row>
    <row r="144" spans="2:9" x14ac:dyDescent="0.3">
      <c r="B144" s="43">
        <v>42261</v>
      </c>
      <c r="C144" s="30" t="s">
        <v>9</v>
      </c>
      <c r="D144" s="30" t="s">
        <v>301</v>
      </c>
      <c r="E144" s="30">
        <v>16650</v>
      </c>
      <c r="F144" s="30">
        <v>16950</v>
      </c>
      <c r="G144" s="30">
        <v>300</v>
      </c>
      <c r="H144" s="30">
        <v>100</v>
      </c>
      <c r="I144" s="30">
        <v>30000</v>
      </c>
    </row>
    <row r="145" spans="2:9" x14ac:dyDescent="0.3">
      <c r="B145" s="43">
        <v>42262</v>
      </c>
      <c r="C145" s="30" t="s">
        <v>8</v>
      </c>
      <c r="D145" s="30" t="s">
        <v>301</v>
      </c>
      <c r="E145" s="30">
        <v>16820</v>
      </c>
      <c r="F145" s="30">
        <v>16720</v>
      </c>
      <c r="G145" s="30">
        <v>100</v>
      </c>
      <c r="H145" s="30">
        <v>100</v>
      </c>
      <c r="I145" s="30">
        <v>10000</v>
      </c>
    </row>
    <row r="146" spans="2:9" x14ac:dyDescent="0.3">
      <c r="B146" s="43">
        <v>42263</v>
      </c>
      <c r="C146" s="30" t="s">
        <v>8</v>
      </c>
      <c r="D146" s="30" t="s">
        <v>301</v>
      </c>
      <c r="E146" s="30">
        <v>16850</v>
      </c>
      <c r="F146" s="30">
        <v>16790</v>
      </c>
      <c r="G146" s="30">
        <v>100</v>
      </c>
      <c r="H146" s="30">
        <v>100</v>
      </c>
      <c r="I146" s="30">
        <v>6000</v>
      </c>
    </row>
    <row r="147" spans="2:9" x14ac:dyDescent="0.3">
      <c r="B147" s="43">
        <v>42265</v>
      </c>
      <c r="C147" s="30" t="s">
        <v>9</v>
      </c>
      <c r="D147" s="30" t="s">
        <v>301</v>
      </c>
      <c r="E147" s="30">
        <v>17450</v>
      </c>
      <c r="F147" s="30">
        <v>17620</v>
      </c>
      <c r="G147" s="30">
        <v>170</v>
      </c>
      <c r="H147" s="30">
        <v>100</v>
      </c>
      <c r="I147" s="30">
        <v>17000</v>
      </c>
    </row>
    <row r="148" spans="2:9" x14ac:dyDescent="0.3">
      <c r="B148" s="43">
        <v>42268</v>
      </c>
      <c r="C148" s="30" t="s">
        <v>9</v>
      </c>
      <c r="D148" s="30" t="s">
        <v>301</v>
      </c>
      <c r="E148" s="30">
        <v>17300</v>
      </c>
      <c r="F148" s="30">
        <v>17600</v>
      </c>
      <c r="G148" s="30">
        <v>300</v>
      </c>
      <c r="H148" s="30">
        <v>100</v>
      </c>
      <c r="I148" s="30">
        <v>30000</v>
      </c>
    </row>
    <row r="149" spans="2:9" x14ac:dyDescent="0.3">
      <c r="B149" s="43">
        <v>42269</v>
      </c>
      <c r="C149" s="30" t="s">
        <v>8</v>
      </c>
      <c r="D149" s="30" t="s">
        <v>301</v>
      </c>
      <c r="E149" s="30">
        <v>17520</v>
      </c>
      <c r="F149" s="30">
        <v>17220</v>
      </c>
      <c r="G149" s="30">
        <v>300</v>
      </c>
      <c r="H149" s="30">
        <v>100</v>
      </c>
      <c r="I149" s="30">
        <v>30000</v>
      </c>
    </row>
    <row r="150" spans="2:9" x14ac:dyDescent="0.3">
      <c r="B150" s="43">
        <v>42270</v>
      </c>
      <c r="C150" s="30" t="s">
        <v>9</v>
      </c>
      <c r="D150" s="30" t="s">
        <v>301</v>
      </c>
      <c r="E150" s="30">
        <v>16910</v>
      </c>
      <c r="F150" s="30">
        <v>17210</v>
      </c>
      <c r="G150" s="30">
        <v>300</v>
      </c>
      <c r="H150" s="30">
        <v>100</v>
      </c>
      <c r="I150" s="30">
        <v>30000</v>
      </c>
    </row>
    <row r="151" spans="2:9" x14ac:dyDescent="0.3">
      <c r="B151" s="43">
        <v>42271</v>
      </c>
      <c r="C151" s="30" t="s">
        <v>8</v>
      </c>
      <c r="D151" s="30" t="s">
        <v>301</v>
      </c>
      <c r="E151" s="30">
        <v>17120</v>
      </c>
      <c r="F151" s="30">
        <v>17200</v>
      </c>
      <c r="G151" s="30">
        <v>-80</v>
      </c>
      <c r="H151" s="30">
        <v>100</v>
      </c>
      <c r="I151" s="30">
        <v>-8000</v>
      </c>
    </row>
    <row r="152" spans="2:9" x14ac:dyDescent="0.3">
      <c r="B152" s="43">
        <v>42275</v>
      </c>
      <c r="C152" s="30" t="s">
        <v>9</v>
      </c>
      <c r="D152" s="30" t="s">
        <v>301</v>
      </c>
      <c r="E152" s="30">
        <v>17400</v>
      </c>
      <c r="F152" s="30">
        <v>17480</v>
      </c>
      <c r="G152" s="30">
        <v>80</v>
      </c>
      <c r="H152" s="30">
        <v>100</v>
      </c>
      <c r="I152" s="30">
        <v>8000</v>
      </c>
    </row>
    <row r="153" spans="2:9" x14ac:dyDescent="0.3">
      <c r="B153" s="43">
        <v>42276</v>
      </c>
      <c r="C153" s="30" t="s">
        <v>8</v>
      </c>
      <c r="D153" s="30" t="s">
        <v>301</v>
      </c>
      <c r="E153" s="30">
        <v>16850</v>
      </c>
      <c r="F153" s="30">
        <v>16750</v>
      </c>
      <c r="G153" s="30">
        <v>100</v>
      </c>
      <c r="H153" s="30">
        <v>100</v>
      </c>
      <c r="I153" s="30">
        <v>10000</v>
      </c>
    </row>
    <row r="154" spans="2:9" x14ac:dyDescent="0.3">
      <c r="B154" s="43">
        <v>42277</v>
      </c>
      <c r="C154" s="30" t="s">
        <v>8</v>
      </c>
      <c r="D154" s="30" t="s">
        <v>301</v>
      </c>
      <c r="E154" s="30">
        <v>17400</v>
      </c>
      <c r="F154" s="30">
        <v>17200</v>
      </c>
      <c r="G154" s="30">
        <v>200</v>
      </c>
      <c r="H154" s="30">
        <v>100</v>
      </c>
      <c r="I154" s="30">
        <v>20000</v>
      </c>
    </row>
    <row r="155" spans="2:9" x14ac:dyDescent="0.3">
      <c r="C155" s="30"/>
      <c r="D155" s="30"/>
      <c r="E155" s="30"/>
      <c r="F155" s="30"/>
      <c r="G155" s="30"/>
      <c r="H155" s="30"/>
      <c r="I155" s="30"/>
    </row>
    <row r="156" spans="2:9" ht="18" x14ac:dyDescent="0.35">
      <c r="I156" s="72">
        <f>SUM(I136:I155)</f>
        <v>303000</v>
      </c>
    </row>
  </sheetData>
  <mergeCells count="3">
    <mergeCell ref="B1:I1"/>
    <mergeCell ref="B2:I2"/>
    <mergeCell ref="B3:I3"/>
  </mergeCells>
  <hyperlinks>
    <hyperlink ref="K2" location="'MASTER '!A1" display="Back" xr:uid="{00000000-0004-0000-1D00-000000000000}"/>
  </hyperlinks>
  <pageMargins left="0.7" right="0.7" top="0.75" bottom="0.75" header="0.3" footer="0.3"/>
  <pageSetup paperSize="9" orientation="portrait" horizontalDpi="300" verticalDpi="300" r:id="rId1"/>
  <ignoredErrors>
    <ignoredError sqref="E6:G11 E112:G112 E85:I85 E51:I52 E124:I127 E128:I130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161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989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42278</v>
      </c>
      <c r="C6" s="2" t="s">
        <v>11</v>
      </c>
      <c r="D6" s="2" t="s">
        <v>98</v>
      </c>
      <c r="E6" s="41" t="s">
        <v>953</v>
      </c>
      <c r="F6" s="40" t="s">
        <v>954</v>
      </c>
      <c r="G6" s="40" t="s">
        <v>955</v>
      </c>
      <c r="H6" s="5">
        <f>300000/E6</f>
        <v>123.96694214876032</v>
      </c>
      <c r="I6" s="81">
        <f>H6*G6</f>
        <v>5578.5123966942147</v>
      </c>
      <c r="L6" s="16"/>
    </row>
    <row r="7" spans="1:15" x14ac:dyDescent="0.3">
      <c r="B7" s="43">
        <v>42278</v>
      </c>
      <c r="C7" s="2" t="s">
        <v>8</v>
      </c>
      <c r="D7" s="2" t="s">
        <v>139</v>
      </c>
      <c r="E7" s="41" t="s">
        <v>956</v>
      </c>
      <c r="F7" s="40" t="s">
        <v>957</v>
      </c>
      <c r="G7" s="40" t="s">
        <v>914</v>
      </c>
      <c r="H7" s="5">
        <f t="shared" ref="H7:H46" si="0">300000/E7</f>
        <v>417.24617524339362</v>
      </c>
      <c r="I7" s="81">
        <f>H7*G7</f>
        <v>-4172.4617524339365</v>
      </c>
      <c r="K7" s="66" t="s">
        <v>453</v>
      </c>
      <c r="L7" s="67" t="s">
        <v>448</v>
      </c>
      <c r="M7" s="67" t="s">
        <v>454</v>
      </c>
      <c r="N7" s="67" t="s">
        <v>455</v>
      </c>
      <c r="O7" s="67" t="s">
        <v>456</v>
      </c>
    </row>
    <row r="8" spans="1:15" x14ac:dyDescent="0.3">
      <c r="B8" s="43">
        <v>42282</v>
      </c>
      <c r="C8" s="2" t="s">
        <v>11</v>
      </c>
      <c r="D8" s="2" t="s">
        <v>98</v>
      </c>
      <c r="E8" s="41" t="s">
        <v>965</v>
      </c>
      <c r="F8" s="40" t="s">
        <v>728</v>
      </c>
      <c r="G8" s="40" t="s">
        <v>964</v>
      </c>
      <c r="H8" s="5">
        <f t="shared" si="0"/>
        <v>121.95121951219512</v>
      </c>
      <c r="I8" s="81">
        <f t="shared" ref="I8:I46" si="1">H8*G8</f>
        <v>4878.0487804878048</v>
      </c>
      <c r="K8" s="16" t="s">
        <v>449</v>
      </c>
      <c r="L8" s="30">
        <v>41</v>
      </c>
      <c r="M8" s="30">
        <v>32</v>
      </c>
      <c r="N8" s="30">
        <v>7</v>
      </c>
      <c r="O8" s="30">
        <v>2</v>
      </c>
    </row>
    <row r="9" spans="1:15" x14ac:dyDescent="0.3">
      <c r="B9" s="43">
        <v>42282</v>
      </c>
      <c r="C9" s="2" t="s">
        <v>8</v>
      </c>
      <c r="D9" s="2" t="s">
        <v>966</v>
      </c>
      <c r="E9" s="41" t="s">
        <v>967</v>
      </c>
      <c r="F9" s="40" t="s">
        <v>968</v>
      </c>
      <c r="G9" s="40" t="s">
        <v>969</v>
      </c>
      <c r="H9" s="5">
        <f t="shared" si="0"/>
        <v>198.4126984126984</v>
      </c>
      <c r="I9" s="81">
        <f t="shared" si="1"/>
        <v>6349.2063492063489</v>
      </c>
      <c r="K9" s="16" t="s">
        <v>450</v>
      </c>
      <c r="L9" s="30">
        <v>20</v>
      </c>
      <c r="M9" s="30">
        <v>17</v>
      </c>
      <c r="N9" s="30">
        <v>2</v>
      </c>
      <c r="O9" s="30">
        <v>1</v>
      </c>
    </row>
    <row r="10" spans="1:15" x14ac:dyDescent="0.3">
      <c r="B10" s="43">
        <v>42283</v>
      </c>
      <c r="C10" s="2" t="s">
        <v>11</v>
      </c>
      <c r="D10" s="2" t="s">
        <v>98</v>
      </c>
      <c r="E10" s="41" t="s">
        <v>971</v>
      </c>
      <c r="F10" s="40" t="s">
        <v>720</v>
      </c>
      <c r="G10" s="40" t="s">
        <v>972</v>
      </c>
      <c r="H10" s="5">
        <f t="shared" si="0"/>
        <v>119.04761904761905</v>
      </c>
      <c r="I10" s="81">
        <f t="shared" si="1"/>
        <v>3571.4285714285716</v>
      </c>
      <c r="K10" s="16" t="s">
        <v>451</v>
      </c>
      <c r="L10" s="30">
        <v>21</v>
      </c>
      <c r="M10" s="30">
        <v>20</v>
      </c>
      <c r="N10" s="30">
        <v>1</v>
      </c>
      <c r="O10" s="30">
        <v>0</v>
      </c>
    </row>
    <row r="11" spans="1:15" x14ac:dyDescent="0.3">
      <c r="B11" s="43">
        <v>42283</v>
      </c>
      <c r="C11" s="2" t="s">
        <v>8</v>
      </c>
      <c r="D11" s="2" t="s">
        <v>112</v>
      </c>
      <c r="E11" s="41" t="s">
        <v>973</v>
      </c>
      <c r="F11" s="40" t="s">
        <v>974</v>
      </c>
      <c r="G11" s="40" t="s">
        <v>920</v>
      </c>
      <c r="H11" s="5">
        <f t="shared" si="0"/>
        <v>751.87969924812035</v>
      </c>
      <c r="I11" s="81">
        <f t="shared" si="1"/>
        <v>751.87969924812035</v>
      </c>
      <c r="K11" s="16" t="s">
        <v>41</v>
      </c>
      <c r="L11" s="30">
        <v>20</v>
      </c>
      <c r="M11" s="30">
        <v>17</v>
      </c>
      <c r="N11" s="30">
        <v>1</v>
      </c>
      <c r="O11" s="30">
        <v>2</v>
      </c>
    </row>
    <row r="12" spans="1:15" x14ac:dyDescent="0.3">
      <c r="B12" s="43">
        <v>42284</v>
      </c>
      <c r="C12" s="2" t="s">
        <v>11</v>
      </c>
      <c r="D12" s="28" t="s">
        <v>688</v>
      </c>
      <c r="E12" s="30">
        <v>542</v>
      </c>
      <c r="F12" s="30">
        <v>535</v>
      </c>
      <c r="G12" s="30">
        <v>-7</v>
      </c>
      <c r="H12" s="5">
        <f t="shared" si="0"/>
        <v>553.50553505535061</v>
      </c>
      <c r="I12" s="81">
        <f t="shared" si="1"/>
        <v>-3874.5387453874541</v>
      </c>
      <c r="K12" s="16" t="s">
        <v>452</v>
      </c>
      <c r="L12" s="30">
        <v>21</v>
      </c>
      <c r="M12" s="30">
        <v>17</v>
      </c>
      <c r="N12" s="30">
        <v>3</v>
      </c>
      <c r="O12" s="30">
        <v>0</v>
      </c>
    </row>
    <row r="13" spans="1:15" x14ac:dyDescent="0.3">
      <c r="B13" s="43">
        <v>42284</v>
      </c>
      <c r="C13" s="2" t="s">
        <v>8</v>
      </c>
      <c r="D13" s="28" t="s">
        <v>630</v>
      </c>
      <c r="E13" s="30">
        <v>358</v>
      </c>
      <c r="F13" s="30">
        <v>356</v>
      </c>
      <c r="G13" s="30">
        <v>2</v>
      </c>
      <c r="H13" s="5">
        <f t="shared" si="0"/>
        <v>837.98882681564248</v>
      </c>
      <c r="I13" s="81">
        <f t="shared" si="1"/>
        <v>1675.977653631285</v>
      </c>
      <c r="K13" s="16" t="s">
        <v>946</v>
      </c>
      <c r="L13" s="21">
        <f>SUM(L8:L12)</f>
        <v>123</v>
      </c>
      <c r="M13" s="21">
        <f>SUM(M8:M12)</f>
        <v>103</v>
      </c>
      <c r="N13" s="21">
        <f>SUM(N8:N12)</f>
        <v>14</v>
      </c>
      <c r="O13" s="21">
        <f>SUM(O8:O12)</f>
        <v>5</v>
      </c>
    </row>
    <row r="14" spans="1:15" x14ac:dyDescent="0.3">
      <c r="B14" s="43">
        <v>42285</v>
      </c>
      <c r="C14" s="2" t="s">
        <v>11</v>
      </c>
      <c r="D14" s="28" t="s">
        <v>137</v>
      </c>
      <c r="E14" s="30">
        <v>830</v>
      </c>
      <c r="F14" s="30">
        <v>832</v>
      </c>
      <c r="G14" s="30">
        <v>2</v>
      </c>
      <c r="H14" s="5">
        <f t="shared" si="0"/>
        <v>361.4457831325301</v>
      </c>
      <c r="I14" s="81">
        <f t="shared" si="1"/>
        <v>722.89156626506019</v>
      </c>
      <c r="L14" s="16"/>
    </row>
    <row r="15" spans="1:15" x14ac:dyDescent="0.3">
      <c r="B15" s="43">
        <v>42285</v>
      </c>
      <c r="C15" s="2" t="s">
        <v>8</v>
      </c>
      <c r="D15" s="28" t="s">
        <v>94</v>
      </c>
      <c r="E15" s="30">
        <v>1080</v>
      </c>
      <c r="F15" s="30">
        <v>1080</v>
      </c>
      <c r="G15" s="30">
        <v>0</v>
      </c>
      <c r="H15" s="5">
        <f t="shared" si="0"/>
        <v>277.77777777777777</v>
      </c>
      <c r="I15" s="81">
        <f t="shared" si="1"/>
        <v>0</v>
      </c>
      <c r="L15" s="28"/>
      <c r="M15" s="30"/>
      <c r="N15" s="30"/>
      <c r="O15" s="30"/>
    </row>
    <row r="16" spans="1:15" x14ac:dyDescent="0.3">
      <c r="B16" s="43">
        <v>42286</v>
      </c>
      <c r="C16" s="2" t="s">
        <v>11</v>
      </c>
      <c r="D16" s="28" t="s">
        <v>157</v>
      </c>
      <c r="E16" s="30">
        <v>948</v>
      </c>
      <c r="F16" s="30">
        <v>948</v>
      </c>
      <c r="G16" s="30">
        <v>0</v>
      </c>
      <c r="H16" s="5">
        <f t="shared" si="0"/>
        <v>316.45569620253167</v>
      </c>
      <c r="I16" s="81">
        <f t="shared" si="1"/>
        <v>0</v>
      </c>
      <c r="L16" s="68" t="s">
        <v>947</v>
      </c>
      <c r="M16" s="83"/>
      <c r="N16" s="85">
        <f>SUM(M13*100/L13)</f>
        <v>83.739837398373979</v>
      </c>
      <c r="O16" s="30"/>
    </row>
    <row r="17" spans="2:15" x14ac:dyDescent="0.3">
      <c r="B17" s="43">
        <v>42286</v>
      </c>
      <c r="C17" s="2" t="s">
        <v>8</v>
      </c>
      <c r="D17" s="28" t="s">
        <v>828</v>
      </c>
      <c r="E17" s="30">
        <v>1265</v>
      </c>
      <c r="F17" s="30">
        <v>1240</v>
      </c>
      <c r="G17" s="30">
        <v>25</v>
      </c>
      <c r="H17" s="5">
        <f t="shared" si="0"/>
        <v>237.15415019762847</v>
      </c>
      <c r="I17" s="81">
        <f t="shared" si="1"/>
        <v>5928.853754940712</v>
      </c>
      <c r="L17" s="49"/>
      <c r="M17" s="30"/>
      <c r="N17" s="30"/>
      <c r="O17" s="30"/>
    </row>
    <row r="18" spans="2:15" x14ac:dyDescent="0.3">
      <c r="B18" s="43">
        <v>42289</v>
      </c>
      <c r="C18" s="2" t="s">
        <v>11</v>
      </c>
      <c r="D18" s="28" t="s">
        <v>124</v>
      </c>
      <c r="E18" s="30">
        <v>361</v>
      </c>
      <c r="F18" s="30">
        <v>367</v>
      </c>
      <c r="G18" s="30">
        <v>7</v>
      </c>
      <c r="H18" s="5">
        <f t="shared" si="0"/>
        <v>831.02493074792244</v>
      </c>
      <c r="I18" s="81">
        <f t="shared" si="1"/>
        <v>5817.174515235457</v>
      </c>
      <c r="L18" s="49"/>
      <c r="M18" s="30"/>
      <c r="N18" s="30"/>
      <c r="O18" s="30"/>
    </row>
    <row r="19" spans="2:15" x14ac:dyDescent="0.3">
      <c r="B19" s="43">
        <v>42289</v>
      </c>
      <c r="C19" s="2" t="s">
        <v>8</v>
      </c>
      <c r="D19" s="28" t="s">
        <v>173</v>
      </c>
      <c r="E19" s="30">
        <v>855</v>
      </c>
      <c r="F19" s="30">
        <v>847</v>
      </c>
      <c r="G19" s="30">
        <v>8</v>
      </c>
      <c r="H19" s="5">
        <f t="shared" si="0"/>
        <v>350.87719298245617</v>
      </c>
      <c r="I19" s="81">
        <f t="shared" si="1"/>
        <v>2807.0175438596493</v>
      </c>
      <c r="L19" s="49"/>
      <c r="M19" s="30"/>
      <c r="N19" s="30"/>
      <c r="O19" s="30"/>
    </row>
    <row r="20" spans="2:15" x14ac:dyDescent="0.3">
      <c r="B20" s="43">
        <v>42289</v>
      </c>
      <c r="C20" s="2" t="s">
        <v>8</v>
      </c>
      <c r="D20" s="28" t="s">
        <v>981</v>
      </c>
      <c r="E20" s="30">
        <v>429</v>
      </c>
      <c r="F20" s="30">
        <v>425</v>
      </c>
      <c r="G20" s="30">
        <v>4</v>
      </c>
      <c r="H20" s="5">
        <f t="shared" si="0"/>
        <v>699.30069930069931</v>
      </c>
      <c r="I20" s="81">
        <f t="shared" si="1"/>
        <v>2797.2027972027972</v>
      </c>
      <c r="L20" s="49"/>
      <c r="M20" s="30"/>
      <c r="N20" s="30"/>
      <c r="O20" s="30"/>
    </row>
    <row r="21" spans="2:15" x14ac:dyDescent="0.3">
      <c r="B21" s="43">
        <v>42290</v>
      </c>
      <c r="C21" s="2" t="s">
        <v>11</v>
      </c>
      <c r="D21" s="28" t="s">
        <v>19</v>
      </c>
      <c r="E21" s="30">
        <v>246</v>
      </c>
      <c r="F21" s="30">
        <v>243</v>
      </c>
      <c r="G21" s="30">
        <v>-3</v>
      </c>
      <c r="H21" s="5">
        <f t="shared" si="0"/>
        <v>1219.5121951219512</v>
      </c>
      <c r="I21" s="81">
        <f t="shared" si="1"/>
        <v>-3658.5365853658536</v>
      </c>
      <c r="L21" s="49"/>
      <c r="M21" s="30"/>
      <c r="N21" s="30"/>
      <c r="O21" s="30"/>
    </row>
    <row r="22" spans="2:15" x14ac:dyDescent="0.3">
      <c r="B22" s="43">
        <v>42290</v>
      </c>
      <c r="C22" s="2" t="s">
        <v>8</v>
      </c>
      <c r="D22" s="28" t="s">
        <v>981</v>
      </c>
      <c r="E22" s="30">
        <v>425</v>
      </c>
      <c r="F22" s="30">
        <v>417</v>
      </c>
      <c r="G22" s="30">
        <v>8</v>
      </c>
      <c r="H22" s="5">
        <f t="shared" si="0"/>
        <v>705.88235294117646</v>
      </c>
      <c r="I22" s="81">
        <f t="shared" si="1"/>
        <v>5647.0588235294117</v>
      </c>
      <c r="L22" s="16"/>
    </row>
    <row r="23" spans="2:15" x14ac:dyDescent="0.3">
      <c r="B23" s="43">
        <v>42291</v>
      </c>
      <c r="C23" s="2" t="s">
        <v>11</v>
      </c>
      <c r="D23" s="30" t="s">
        <v>133</v>
      </c>
      <c r="E23" s="30">
        <v>2035</v>
      </c>
      <c r="F23" s="30">
        <v>2070</v>
      </c>
      <c r="G23" s="30">
        <v>35</v>
      </c>
      <c r="H23" s="5">
        <f t="shared" si="0"/>
        <v>147.42014742014743</v>
      </c>
      <c r="I23" s="81">
        <f t="shared" si="1"/>
        <v>5159.7051597051604</v>
      </c>
      <c r="L23" s="16"/>
    </row>
    <row r="24" spans="2:15" x14ac:dyDescent="0.3">
      <c r="B24" s="43">
        <v>42291</v>
      </c>
      <c r="C24" s="2" t="s">
        <v>8</v>
      </c>
      <c r="D24" s="30" t="s">
        <v>137</v>
      </c>
      <c r="E24" s="30">
        <v>810</v>
      </c>
      <c r="F24" s="30">
        <v>790</v>
      </c>
      <c r="G24" s="30">
        <v>20</v>
      </c>
      <c r="H24" s="5">
        <f t="shared" si="0"/>
        <v>370.37037037037038</v>
      </c>
      <c r="I24" s="81">
        <f t="shared" si="1"/>
        <v>7407.4074074074078</v>
      </c>
      <c r="L24" s="41"/>
    </row>
    <row r="25" spans="2:15" x14ac:dyDescent="0.3">
      <c r="B25" s="43">
        <v>42292</v>
      </c>
      <c r="C25" s="2" t="s">
        <v>11</v>
      </c>
      <c r="D25" s="30" t="s">
        <v>133</v>
      </c>
      <c r="E25" s="30">
        <v>2100</v>
      </c>
      <c r="F25" s="30">
        <v>2110</v>
      </c>
      <c r="G25" s="30">
        <v>10</v>
      </c>
      <c r="H25" s="5">
        <f t="shared" si="0"/>
        <v>142.85714285714286</v>
      </c>
      <c r="I25" s="81">
        <f t="shared" si="1"/>
        <v>1428.5714285714287</v>
      </c>
      <c r="L25" s="41"/>
    </row>
    <row r="26" spans="2:15" x14ac:dyDescent="0.3">
      <c r="B26" s="43">
        <v>42292</v>
      </c>
      <c r="C26" s="2" t="s">
        <v>8</v>
      </c>
      <c r="D26" s="30" t="s">
        <v>371</v>
      </c>
      <c r="E26" s="30">
        <v>235</v>
      </c>
      <c r="F26" s="30">
        <v>232</v>
      </c>
      <c r="G26" s="30">
        <v>3</v>
      </c>
      <c r="H26" s="5">
        <f t="shared" si="0"/>
        <v>1276.5957446808511</v>
      </c>
      <c r="I26" s="81">
        <f t="shared" si="1"/>
        <v>3829.7872340425533</v>
      </c>
      <c r="M26" s="30"/>
    </row>
    <row r="27" spans="2:15" x14ac:dyDescent="0.3">
      <c r="B27" s="43">
        <v>42293</v>
      </c>
      <c r="C27" s="2" t="s">
        <v>11</v>
      </c>
      <c r="D27" s="30" t="s">
        <v>173</v>
      </c>
      <c r="E27" s="30">
        <v>873</v>
      </c>
      <c r="F27" s="30">
        <v>883</v>
      </c>
      <c r="G27" s="30">
        <v>10</v>
      </c>
      <c r="H27" s="5">
        <f t="shared" si="0"/>
        <v>343.64261168384877</v>
      </c>
      <c r="I27" s="81">
        <f t="shared" si="1"/>
        <v>3436.4261168384878</v>
      </c>
      <c r="M27" s="30"/>
    </row>
    <row r="28" spans="2:15" x14ac:dyDescent="0.3">
      <c r="B28" s="43">
        <v>42293</v>
      </c>
      <c r="C28" s="2" t="s">
        <v>8</v>
      </c>
      <c r="D28" s="30" t="s">
        <v>139</v>
      </c>
      <c r="E28" s="30">
        <v>756</v>
      </c>
      <c r="F28" s="30">
        <v>766</v>
      </c>
      <c r="G28" s="30">
        <v>-10</v>
      </c>
      <c r="H28" s="5">
        <f t="shared" si="0"/>
        <v>396.82539682539681</v>
      </c>
      <c r="I28" s="81">
        <f t="shared" si="1"/>
        <v>-3968.2539682539682</v>
      </c>
      <c r="M28" s="30"/>
    </row>
    <row r="29" spans="2:15" x14ac:dyDescent="0.3">
      <c r="B29" s="43">
        <v>42296</v>
      </c>
      <c r="C29" s="2" t="s">
        <v>11</v>
      </c>
      <c r="D29" s="30" t="s">
        <v>137</v>
      </c>
      <c r="E29" s="30">
        <v>788</v>
      </c>
      <c r="F29" s="30">
        <v>795</v>
      </c>
      <c r="G29" s="30">
        <v>7</v>
      </c>
      <c r="H29" s="5">
        <f t="shared" si="0"/>
        <v>380.71065989847716</v>
      </c>
      <c r="I29" s="81">
        <f t="shared" si="1"/>
        <v>2664.9746192893399</v>
      </c>
      <c r="M29" s="30"/>
    </row>
    <row r="30" spans="2:15" x14ac:dyDescent="0.3">
      <c r="B30" s="43">
        <v>42296</v>
      </c>
      <c r="C30" s="2" t="s">
        <v>8</v>
      </c>
      <c r="D30" s="30" t="s">
        <v>126</v>
      </c>
      <c r="E30" s="30">
        <v>2475</v>
      </c>
      <c r="F30" s="30">
        <v>2459</v>
      </c>
      <c r="G30" s="30">
        <v>16</v>
      </c>
      <c r="H30" s="5">
        <f t="shared" si="0"/>
        <v>121.21212121212122</v>
      </c>
      <c r="I30" s="81">
        <f t="shared" si="1"/>
        <v>1939.3939393939395</v>
      </c>
      <c r="M30" s="30"/>
    </row>
    <row r="31" spans="2:15" x14ac:dyDescent="0.3">
      <c r="B31" s="43">
        <v>42297</v>
      </c>
      <c r="C31" s="2" t="s">
        <v>11</v>
      </c>
      <c r="D31" s="30" t="s">
        <v>173</v>
      </c>
      <c r="E31" s="30">
        <v>886</v>
      </c>
      <c r="F31" s="30">
        <v>876</v>
      </c>
      <c r="G31" s="30">
        <v>-10</v>
      </c>
      <c r="H31" s="5">
        <f t="shared" si="0"/>
        <v>338.60045146726861</v>
      </c>
      <c r="I31" s="81">
        <f t="shared" si="1"/>
        <v>-3386.0045146726861</v>
      </c>
      <c r="M31" s="30"/>
    </row>
    <row r="32" spans="2:15" x14ac:dyDescent="0.3">
      <c r="B32" s="43">
        <v>42297</v>
      </c>
      <c r="C32" s="2" t="s">
        <v>8</v>
      </c>
      <c r="D32" s="30" t="s">
        <v>796</v>
      </c>
      <c r="E32" s="30">
        <v>1416</v>
      </c>
      <c r="F32" s="30">
        <v>1406</v>
      </c>
      <c r="G32" s="30">
        <v>10</v>
      </c>
      <c r="H32" s="5">
        <f t="shared" si="0"/>
        <v>211.86440677966101</v>
      </c>
      <c r="I32" s="81">
        <f t="shared" si="1"/>
        <v>2118.6440677966102</v>
      </c>
      <c r="M32" s="30"/>
    </row>
    <row r="33" spans="2:13" x14ac:dyDescent="0.3">
      <c r="B33" s="43">
        <v>42298</v>
      </c>
      <c r="C33" s="2" t="s">
        <v>11</v>
      </c>
      <c r="D33" s="28" t="s">
        <v>139</v>
      </c>
      <c r="E33" s="30">
        <v>770</v>
      </c>
      <c r="F33" s="30">
        <v>762</v>
      </c>
      <c r="G33" s="30">
        <v>-8</v>
      </c>
      <c r="H33" s="5">
        <f t="shared" si="0"/>
        <v>389.61038961038963</v>
      </c>
      <c r="I33" s="81">
        <f t="shared" si="1"/>
        <v>-3116.8831168831171</v>
      </c>
      <c r="M33" s="30"/>
    </row>
    <row r="34" spans="2:13" x14ac:dyDescent="0.3">
      <c r="B34" s="43">
        <v>42298</v>
      </c>
      <c r="C34" s="2" t="s">
        <v>8</v>
      </c>
      <c r="D34" s="28" t="s">
        <v>173</v>
      </c>
      <c r="E34" s="30">
        <v>865</v>
      </c>
      <c r="F34" s="30">
        <v>852</v>
      </c>
      <c r="G34" s="30">
        <v>13</v>
      </c>
      <c r="H34" s="5">
        <f t="shared" si="0"/>
        <v>346.82080924855489</v>
      </c>
      <c r="I34" s="81">
        <f t="shared" si="1"/>
        <v>4508.6705202312132</v>
      </c>
    </row>
    <row r="35" spans="2:13" x14ac:dyDescent="0.3">
      <c r="B35" s="43">
        <v>42300</v>
      </c>
      <c r="C35" s="2" t="s">
        <v>9</v>
      </c>
      <c r="D35" s="28" t="s">
        <v>98</v>
      </c>
      <c r="E35" s="30">
        <v>2620</v>
      </c>
      <c r="F35" s="30">
        <v>2598</v>
      </c>
      <c r="G35" s="30">
        <v>-22</v>
      </c>
      <c r="H35" s="5">
        <f t="shared" si="0"/>
        <v>114.50381679389314</v>
      </c>
      <c r="I35" s="81">
        <f t="shared" si="1"/>
        <v>-2519.0839694656488</v>
      </c>
    </row>
    <row r="36" spans="2:13" x14ac:dyDescent="0.3">
      <c r="B36" s="43">
        <v>42300</v>
      </c>
      <c r="C36" s="2" t="s">
        <v>8</v>
      </c>
      <c r="D36" s="28" t="s">
        <v>173</v>
      </c>
      <c r="E36" s="30">
        <v>858</v>
      </c>
      <c r="F36" s="30">
        <v>851</v>
      </c>
      <c r="G36" s="30">
        <v>7</v>
      </c>
      <c r="H36" s="5">
        <f t="shared" si="0"/>
        <v>349.65034965034965</v>
      </c>
      <c r="I36" s="81">
        <f t="shared" si="1"/>
        <v>2447.5524475524476</v>
      </c>
    </row>
    <row r="37" spans="2:13" x14ac:dyDescent="0.3">
      <c r="B37" s="43">
        <v>42303</v>
      </c>
      <c r="C37" s="2" t="s">
        <v>11</v>
      </c>
      <c r="D37" s="28" t="s">
        <v>864</v>
      </c>
      <c r="E37" s="30">
        <v>1305</v>
      </c>
      <c r="F37" s="30">
        <v>1315</v>
      </c>
      <c r="G37" s="30">
        <v>10</v>
      </c>
      <c r="H37" s="5">
        <f t="shared" si="0"/>
        <v>229.88505747126436</v>
      </c>
      <c r="I37" s="81">
        <f t="shared" si="1"/>
        <v>2298.8505747126437</v>
      </c>
    </row>
    <row r="38" spans="2:13" x14ac:dyDescent="0.3">
      <c r="B38" s="43">
        <v>42303</v>
      </c>
      <c r="C38" s="2" t="s">
        <v>8</v>
      </c>
      <c r="D38" s="28" t="s">
        <v>828</v>
      </c>
      <c r="E38" s="30">
        <v>1212</v>
      </c>
      <c r="F38" s="30">
        <v>1988</v>
      </c>
      <c r="G38" s="30">
        <v>24</v>
      </c>
      <c r="H38" s="5">
        <f t="shared" si="0"/>
        <v>247.52475247524754</v>
      </c>
      <c r="I38" s="81">
        <f t="shared" si="1"/>
        <v>5940.5940594059412</v>
      </c>
    </row>
    <row r="39" spans="2:13" x14ac:dyDescent="0.3">
      <c r="B39" s="43">
        <v>42304</v>
      </c>
      <c r="C39" s="2" t="s">
        <v>11</v>
      </c>
      <c r="D39" s="28" t="s">
        <v>173</v>
      </c>
      <c r="E39" s="30">
        <v>825</v>
      </c>
      <c r="F39" s="30">
        <v>826</v>
      </c>
      <c r="G39" s="30">
        <v>1</v>
      </c>
      <c r="H39" s="5">
        <f t="shared" si="0"/>
        <v>363.63636363636363</v>
      </c>
      <c r="I39" s="81">
        <f t="shared" si="1"/>
        <v>363.63636363636363</v>
      </c>
    </row>
    <row r="40" spans="2:13" x14ac:dyDescent="0.3">
      <c r="B40" s="43">
        <v>42304</v>
      </c>
      <c r="C40" s="2" t="s">
        <v>8</v>
      </c>
      <c r="D40" s="28" t="s">
        <v>98</v>
      </c>
      <c r="E40" s="30">
        <v>2605</v>
      </c>
      <c r="F40" s="30">
        <v>2588</v>
      </c>
      <c r="G40" s="30">
        <v>17</v>
      </c>
      <c r="H40" s="5">
        <f t="shared" si="0"/>
        <v>115.16314779270634</v>
      </c>
      <c r="I40" s="81">
        <f t="shared" si="1"/>
        <v>1957.7735124760077</v>
      </c>
      <c r="K40" s="1"/>
    </row>
    <row r="41" spans="2:13" x14ac:dyDescent="0.3">
      <c r="B41" s="43">
        <v>42305</v>
      </c>
      <c r="C41" s="2" t="s">
        <v>11</v>
      </c>
      <c r="D41" s="28" t="s">
        <v>795</v>
      </c>
      <c r="E41" s="30">
        <v>957</v>
      </c>
      <c r="F41" s="30">
        <v>980</v>
      </c>
      <c r="G41" s="30">
        <v>23</v>
      </c>
      <c r="H41" s="5">
        <f t="shared" si="0"/>
        <v>313.47962382445144</v>
      </c>
      <c r="I41" s="81">
        <f t="shared" si="1"/>
        <v>7210.0313479623828</v>
      </c>
      <c r="K41" s="1"/>
    </row>
    <row r="42" spans="2:13" x14ac:dyDescent="0.3">
      <c r="B42" s="43">
        <v>42305</v>
      </c>
      <c r="C42" s="2" t="s">
        <v>8</v>
      </c>
      <c r="D42" s="28" t="s">
        <v>796</v>
      </c>
      <c r="E42" s="30">
        <v>1355</v>
      </c>
      <c r="F42" s="30">
        <v>1335</v>
      </c>
      <c r="G42" s="30">
        <v>20</v>
      </c>
      <c r="H42" s="5">
        <f t="shared" si="0"/>
        <v>221.40221402214021</v>
      </c>
      <c r="I42" s="81">
        <f t="shared" si="1"/>
        <v>4428.0442804428039</v>
      </c>
      <c r="K42" s="1"/>
    </row>
    <row r="43" spans="2:13" x14ac:dyDescent="0.3">
      <c r="B43" s="43">
        <v>42306</v>
      </c>
      <c r="C43" s="2" t="s">
        <v>11</v>
      </c>
      <c r="D43" s="28" t="s">
        <v>107</v>
      </c>
      <c r="E43" s="30">
        <v>2585</v>
      </c>
      <c r="F43" s="30">
        <v>2597</v>
      </c>
      <c r="G43" s="30">
        <v>12</v>
      </c>
      <c r="H43" s="5">
        <f t="shared" si="0"/>
        <v>116.0541586073501</v>
      </c>
      <c r="I43" s="81">
        <f t="shared" si="1"/>
        <v>1392.6499032882011</v>
      </c>
      <c r="K43" s="1"/>
    </row>
    <row r="44" spans="2:13" x14ac:dyDescent="0.3">
      <c r="B44" s="43">
        <v>42306</v>
      </c>
      <c r="C44" s="2" t="s">
        <v>8</v>
      </c>
      <c r="D44" s="28" t="s">
        <v>137</v>
      </c>
      <c r="E44" s="30">
        <v>810</v>
      </c>
      <c r="F44" s="30">
        <v>802</v>
      </c>
      <c r="G44" s="30">
        <v>8</v>
      </c>
      <c r="H44" s="5">
        <f t="shared" si="0"/>
        <v>370.37037037037038</v>
      </c>
      <c r="I44" s="81">
        <f t="shared" si="1"/>
        <v>2962.962962962963</v>
      </c>
      <c r="K44" s="1"/>
    </row>
    <row r="45" spans="2:13" x14ac:dyDescent="0.3">
      <c r="B45" s="43">
        <v>42307</v>
      </c>
      <c r="C45" s="2" t="s">
        <v>11</v>
      </c>
      <c r="D45" s="28" t="s">
        <v>365</v>
      </c>
      <c r="E45" s="30">
        <v>923</v>
      </c>
      <c r="F45" s="30">
        <v>936</v>
      </c>
      <c r="G45" s="30">
        <v>13</v>
      </c>
      <c r="H45" s="5">
        <f t="shared" si="0"/>
        <v>325.02708559046584</v>
      </c>
      <c r="I45" s="81">
        <f t="shared" si="1"/>
        <v>4225.3521126760561</v>
      </c>
      <c r="K45" s="46"/>
    </row>
    <row r="46" spans="2:13" x14ac:dyDescent="0.3">
      <c r="B46" s="43">
        <v>42307</v>
      </c>
      <c r="C46" s="2" t="s">
        <v>8</v>
      </c>
      <c r="D46" s="28" t="s">
        <v>795</v>
      </c>
      <c r="E46" s="30">
        <v>970</v>
      </c>
      <c r="F46" s="30">
        <v>950</v>
      </c>
      <c r="G46" s="30">
        <v>20</v>
      </c>
      <c r="H46" s="5">
        <f t="shared" si="0"/>
        <v>309.2783505154639</v>
      </c>
      <c r="I46" s="81">
        <f t="shared" si="1"/>
        <v>6185.567010309278</v>
      </c>
      <c r="K46" s="46"/>
    </row>
    <row r="47" spans="2:13" x14ac:dyDescent="0.3">
      <c r="C47" s="2"/>
      <c r="D47" s="28"/>
      <c r="E47" s="30"/>
      <c r="F47" s="30"/>
      <c r="G47" s="30"/>
      <c r="H47" s="5"/>
      <c r="I47" s="81"/>
      <c r="K47" s="46"/>
    </row>
    <row r="48" spans="2:13" x14ac:dyDescent="0.3">
      <c r="C48" s="2"/>
      <c r="D48" s="28"/>
      <c r="E48" s="30"/>
      <c r="F48" s="30"/>
      <c r="G48" s="30"/>
      <c r="H48" s="5"/>
      <c r="I48" s="81"/>
      <c r="K48" s="46"/>
    </row>
    <row r="49" spans="2:9" ht="18" x14ac:dyDescent="0.35">
      <c r="C49" s="2"/>
      <c r="D49" s="28"/>
      <c r="E49" s="30"/>
      <c r="F49" s="30"/>
      <c r="G49" s="30"/>
      <c r="H49" s="30"/>
      <c r="I49" s="82">
        <f>SUM(I6:I48)</f>
        <v>93736.084867967991</v>
      </c>
    </row>
    <row r="50" spans="2:9" x14ac:dyDescent="0.3">
      <c r="C50" s="2"/>
      <c r="D50" s="28"/>
      <c r="E50" s="30"/>
      <c r="F50" s="30"/>
      <c r="G50" s="30"/>
      <c r="H50" s="30"/>
    </row>
    <row r="51" spans="2:9" x14ac:dyDescent="0.3">
      <c r="C51" s="2"/>
      <c r="D51" s="28"/>
      <c r="E51" s="30"/>
      <c r="F51" s="30"/>
      <c r="G51" s="30"/>
      <c r="H51" s="30"/>
      <c r="I51" s="30"/>
    </row>
    <row r="53" spans="2:9" ht="15.6" x14ac:dyDescent="0.3">
      <c r="B53" s="48" t="s">
        <v>62</v>
      </c>
      <c r="C53" s="48"/>
      <c r="D53" s="48"/>
      <c r="E53" s="48"/>
      <c r="F53" s="48"/>
      <c r="G53" s="48"/>
      <c r="H53" s="48"/>
      <c r="I53" s="48"/>
    </row>
    <row r="54" spans="2:9" x14ac:dyDescent="0.3">
      <c r="B54" s="43">
        <v>42278</v>
      </c>
      <c r="C54" s="2" t="s">
        <v>8</v>
      </c>
      <c r="D54" s="2" t="s">
        <v>112</v>
      </c>
      <c r="E54" s="41" t="s">
        <v>698</v>
      </c>
      <c r="F54" s="40" t="s">
        <v>958</v>
      </c>
      <c r="G54" s="40" t="s">
        <v>959</v>
      </c>
      <c r="H54" s="5">
        <v>1000</v>
      </c>
      <c r="I54" s="40" t="s">
        <v>390</v>
      </c>
    </row>
    <row r="55" spans="2:9" x14ac:dyDescent="0.3">
      <c r="B55" s="43">
        <v>42282</v>
      </c>
      <c r="C55" s="2" t="s">
        <v>8</v>
      </c>
      <c r="D55" s="2" t="s">
        <v>117</v>
      </c>
      <c r="E55" s="41" t="s">
        <v>970</v>
      </c>
      <c r="F55" s="40" t="s">
        <v>970</v>
      </c>
      <c r="G55" s="40" t="s">
        <v>756</v>
      </c>
      <c r="H55" s="5">
        <v>1000</v>
      </c>
      <c r="I55" s="40" t="s">
        <v>756</v>
      </c>
    </row>
    <row r="56" spans="2:9" x14ac:dyDescent="0.3">
      <c r="B56" s="43">
        <v>42283</v>
      </c>
      <c r="C56" s="30" t="s">
        <v>8</v>
      </c>
      <c r="D56" s="30" t="s">
        <v>334</v>
      </c>
      <c r="E56" s="30">
        <v>940</v>
      </c>
      <c r="F56" s="30">
        <v>945</v>
      </c>
      <c r="G56" s="30">
        <v>-5</v>
      </c>
      <c r="H56" s="30">
        <v>250</v>
      </c>
      <c r="I56" s="30">
        <f>H56*G56</f>
        <v>-1250</v>
      </c>
    </row>
    <row r="57" spans="2:9" x14ac:dyDescent="0.3">
      <c r="B57" s="43">
        <v>42284</v>
      </c>
      <c r="C57" s="30" t="s">
        <v>8</v>
      </c>
      <c r="D57" s="30" t="s">
        <v>815</v>
      </c>
      <c r="E57" s="30">
        <v>1275</v>
      </c>
      <c r="F57" s="30">
        <v>1260</v>
      </c>
      <c r="G57" s="30">
        <v>15</v>
      </c>
      <c r="H57" s="30">
        <v>250</v>
      </c>
      <c r="I57" s="30">
        <f t="shared" ref="I57:I73" si="2">H57*G57</f>
        <v>3750</v>
      </c>
    </row>
    <row r="58" spans="2:9" x14ac:dyDescent="0.3">
      <c r="B58" s="43">
        <v>42285</v>
      </c>
      <c r="C58" s="30" t="s">
        <v>8</v>
      </c>
      <c r="D58" s="30" t="s">
        <v>552</v>
      </c>
      <c r="E58" s="30">
        <v>944</v>
      </c>
      <c r="F58" s="30">
        <v>940</v>
      </c>
      <c r="G58" s="30">
        <v>4</v>
      </c>
      <c r="H58" s="30">
        <v>250</v>
      </c>
      <c r="I58" s="30">
        <f t="shared" si="2"/>
        <v>1000</v>
      </c>
    </row>
    <row r="59" spans="2:9" x14ac:dyDescent="0.3">
      <c r="B59" s="43">
        <v>42286</v>
      </c>
      <c r="C59" s="30" t="s">
        <v>8</v>
      </c>
      <c r="D59" s="30" t="s">
        <v>975</v>
      </c>
      <c r="E59" s="30">
        <v>577</v>
      </c>
      <c r="F59" s="30">
        <v>574</v>
      </c>
      <c r="G59" s="30">
        <v>3</v>
      </c>
      <c r="H59" s="30">
        <v>500</v>
      </c>
      <c r="I59" s="30">
        <f t="shared" si="2"/>
        <v>1500</v>
      </c>
    </row>
    <row r="60" spans="2:9" x14ac:dyDescent="0.3">
      <c r="B60" s="43">
        <v>42289</v>
      </c>
      <c r="C60" s="30" t="s">
        <v>8</v>
      </c>
      <c r="D60" s="30" t="s">
        <v>133</v>
      </c>
      <c r="E60" s="30">
        <v>2055</v>
      </c>
      <c r="F60" s="30">
        <v>2015</v>
      </c>
      <c r="G60" s="30">
        <v>40</v>
      </c>
      <c r="H60" s="30">
        <v>125</v>
      </c>
      <c r="I60" s="30">
        <f t="shared" si="2"/>
        <v>5000</v>
      </c>
    </row>
    <row r="61" spans="2:9" x14ac:dyDescent="0.3">
      <c r="B61" s="43">
        <v>42290</v>
      </c>
      <c r="C61" s="30" t="s">
        <v>8</v>
      </c>
      <c r="D61" s="30" t="s">
        <v>341</v>
      </c>
      <c r="E61" s="30">
        <v>276</v>
      </c>
      <c r="F61" s="30">
        <v>217.5</v>
      </c>
      <c r="G61" s="30">
        <v>4.5</v>
      </c>
      <c r="H61" s="30">
        <v>1000</v>
      </c>
      <c r="I61" s="30">
        <f t="shared" si="2"/>
        <v>4500</v>
      </c>
    </row>
    <row r="62" spans="2:9" x14ac:dyDescent="0.3">
      <c r="B62" s="43">
        <v>42291</v>
      </c>
      <c r="C62" s="30" t="s">
        <v>8</v>
      </c>
      <c r="D62" s="30" t="s">
        <v>98</v>
      </c>
      <c r="E62" s="30">
        <v>2515</v>
      </c>
      <c r="F62" s="30">
        <v>2505</v>
      </c>
      <c r="G62" s="30">
        <v>10</v>
      </c>
      <c r="H62" s="30">
        <v>125</v>
      </c>
      <c r="I62" s="30">
        <f t="shared" si="2"/>
        <v>1250</v>
      </c>
    </row>
    <row r="63" spans="2:9" x14ac:dyDescent="0.3">
      <c r="B63" s="43">
        <v>42292</v>
      </c>
      <c r="C63" s="30" t="s">
        <v>9</v>
      </c>
      <c r="D63" s="30" t="s">
        <v>13</v>
      </c>
      <c r="E63" s="30">
        <v>375</v>
      </c>
      <c r="F63" s="30">
        <v>378</v>
      </c>
      <c r="G63" s="30">
        <v>3</v>
      </c>
      <c r="H63" s="30">
        <v>500</v>
      </c>
      <c r="I63" s="30">
        <f t="shared" si="2"/>
        <v>1500</v>
      </c>
    </row>
    <row r="64" spans="2:9" x14ac:dyDescent="0.3">
      <c r="B64" s="43">
        <v>42293</v>
      </c>
      <c r="C64" s="30" t="s">
        <v>8</v>
      </c>
      <c r="D64" s="30" t="s">
        <v>371</v>
      </c>
      <c r="E64" s="30">
        <v>232</v>
      </c>
      <c r="F64" s="30">
        <v>229</v>
      </c>
      <c r="G64" s="30">
        <v>3</v>
      </c>
      <c r="H64" s="30">
        <v>1000</v>
      </c>
      <c r="I64" s="30">
        <f t="shared" si="2"/>
        <v>3000</v>
      </c>
    </row>
    <row r="65" spans="2:9" x14ac:dyDescent="0.3">
      <c r="B65" s="43">
        <v>42296</v>
      </c>
      <c r="C65" s="30" t="s">
        <v>8</v>
      </c>
      <c r="D65" s="30" t="s">
        <v>982</v>
      </c>
      <c r="E65" s="30">
        <v>321</v>
      </c>
      <c r="F65" s="30">
        <v>317</v>
      </c>
      <c r="G65" s="30">
        <v>4</v>
      </c>
      <c r="H65" s="30">
        <v>1000</v>
      </c>
      <c r="I65" s="30">
        <f t="shared" si="2"/>
        <v>4000</v>
      </c>
    </row>
    <row r="66" spans="2:9" x14ac:dyDescent="0.3">
      <c r="B66" s="43">
        <v>42297</v>
      </c>
      <c r="C66" s="30" t="s">
        <v>8</v>
      </c>
      <c r="D66" s="30" t="s">
        <v>139</v>
      </c>
      <c r="E66" s="30">
        <v>774</v>
      </c>
      <c r="F66" s="30">
        <v>770</v>
      </c>
      <c r="G66" s="30">
        <v>4</v>
      </c>
      <c r="H66" s="30">
        <v>500</v>
      </c>
      <c r="I66" s="30">
        <f t="shared" si="2"/>
        <v>2000</v>
      </c>
    </row>
    <row r="67" spans="2:9" x14ac:dyDescent="0.3">
      <c r="B67" s="43">
        <v>42298</v>
      </c>
      <c r="C67" s="30" t="s">
        <v>8</v>
      </c>
      <c r="D67" s="30" t="s">
        <v>98</v>
      </c>
      <c r="E67" s="30">
        <v>2635</v>
      </c>
      <c r="F67" s="30">
        <v>2605</v>
      </c>
      <c r="G67" s="30">
        <v>30</v>
      </c>
      <c r="H67" s="30">
        <v>125</v>
      </c>
      <c r="I67" s="30">
        <f t="shared" si="2"/>
        <v>3750</v>
      </c>
    </row>
    <row r="68" spans="2:9" x14ac:dyDescent="0.3">
      <c r="B68" s="43">
        <v>42300</v>
      </c>
      <c r="C68" s="30" t="s">
        <v>8</v>
      </c>
      <c r="D68" s="30" t="s">
        <v>828</v>
      </c>
      <c r="E68" s="30">
        <v>1232</v>
      </c>
      <c r="F68" s="30">
        <v>1222</v>
      </c>
      <c r="G68" s="30">
        <v>10</v>
      </c>
      <c r="H68" s="30">
        <v>250</v>
      </c>
      <c r="I68" s="30">
        <f t="shared" si="2"/>
        <v>2500</v>
      </c>
    </row>
    <row r="69" spans="2:9" x14ac:dyDescent="0.3">
      <c r="B69" s="43">
        <v>42303</v>
      </c>
      <c r="C69" s="30" t="s">
        <v>8</v>
      </c>
      <c r="D69" s="30" t="s">
        <v>112</v>
      </c>
      <c r="E69" s="30">
        <v>432</v>
      </c>
      <c r="F69" s="30">
        <v>426</v>
      </c>
      <c r="G69" s="30">
        <v>6</v>
      </c>
      <c r="H69" s="30">
        <v>1000</v>
      </c>
      <c r="I69" s="30">
        <f t="shared" si="2"/>
        <v>6000</v>
      </c>
    </row>
    <row r="70" spans="2:9" x14ac:dyDescent="0.3">
      <c r="B70" s="43">
        <v>42304</v>
      </c>
      <c r="C70" s="30" t="s">
        <v>9</v>
      </c>
      <c r="D70" s="30" t="s">
        <v>157</v>
      </c>
      <c r="E70" s="30">
        <v>910</v>
      </c>
      <c r="F70" s="30">
        <v>919</v>
      </c>
      <c r="G70" s="30">
        <v>9</v>
      </c>
      <c r="H70" s="30">
        <v>500</v>
      </c>
      <c r="I70" s="30">
        <f t="shared" si="2"/>
        <v>4500</v>
      </c>
    </row>
    <row r="71" spans="2:9" x14ac:dyDescent="0.3">
      <c r="B71" s="43">
        <v>42305</v>
      </c>
      <c r="C71" s="30" t="s">
        <v>8</v>
      </c>
      <c r="D71" s="30" t="s">
        <v>160</v>
      </c>
      <c r="E71" s="30">
        <v>678</v>
      </c>
      <c r="F71" s="30">
        <v>688</v>
      </c>
      <c r="G71" s="30">
        <v>-10</v>
      </c>
      <c r="H71" s="30">
        <v>500</v>
      </c>
      <c r="I71" s="30">
        <f t="shared" si="2"/>
        <v>-5000</v>
      </c>
    </row>
    <row r="72" spans="2:9" x14ac:dyDescent="0.3">
      <c r="B72" s="43">
        <v>42306</v>
      </c>
      <c r="C72" s="30" t="s">
        <v>8</v>
      </c>
      <c r="D72" s="30" t="s">
        <v>828</v>
      </c>
      <c r="E72" s="30">
        <v>1132</v>
      </c>
      <c r="F72" s="30">
        <v>1100</v>
      </c>
      <c r="G72" s="30">
        <v>32</v>
      </c>
      <c r="H72" s="30">
        <v>700</v>
      </c>
      <c r="I72" s="30">
        <f t="shared" si="2"/>
        <v>22400</v>
      </c>
    </row>
    <row r="73" spans="2:9" x14ac:dyDescent="0.3">
      <c r="B73" s="43">
        <v>42307</v>
      </c>
      <c r="C73" s="30" t="s">
        <v>9</v>
      </c>
      <c r="D73" s="30" t="s">
        <v>403</v>
      </c>
      <c r="E73" s="30">
        <v>1150</v>
      </c>
      <c r="F73" s="30">
        <v>1160</v>
      </c>
      <c r="G73" s="30">
        <v>10</v>
      </c>
      <c r="H73" s="30">
        <v>600</v>
      </c>
      <c r="I73" s="30">
        <f t="shared" si="2"/>
        <v>6000</v>
      </c>
    </row>
    <row r="74" spans="2:9" ht="18" x14ac:dyDescent="0.35">
      <c r="C74" s="30"/>
      <c r="D74" s="30"/>
      <c r="E74" s="30"/>
      <c r="F74" s="30"/>
      <c r="G74" s="30"/>
      <c r="H74" s="30"/>
      <c r="I74" s="76" t="s">
        <v>987</v>
      </c>
    </row>
    <row r="75" spans="2:9" x14ac:dyDescent="0.3">
      <c r="C75" s="30"/>
      <c r="D75" s="30"/>
      <c r="E75" s="30"/>
      <c r="F75" s="30"/>
      <c r="G75" s="30"/>
      <c r="H75" s="30"/>
      <c r="I75" s="49"/>
    </row>
    <row r="76" spans="2:9" x14ac:dyDescent="0.3">
      <c r="C76" s="30"/>
      <c r="D76" s="30"/>
      <c r="E76" s="30"/>
      <c r="F76" s="30"/>
      <c r="G76" s="30"/>
      <c r="H76" s="30"/>
      <c r="I76" s="49"/>
    </row>
    <row r="77" spans="2:9" x14ac:dyDescent="0.3">
      <c r="C77" s="30"/>
      <c r="D77" s="30"/>
      <c r="E77" s="30"/>
      <c r="F77" s="30"/>
      <c r="G77" s="30"/>
      <c r="H77" s="30"/>
      <c r="I77" s="30"/>
    </row>
    <row r="78" spans="2:9" x14ac:dyDescent="0.3">
      <c r="B78" s="43"/>
      <c r="C78" s="30"/>
      <c r="D78" s="30"/>
      <c r="E78" s="30"/>
      <c r="F78" s="30"/>
      <c r="G78" s="30"/>
      <c r="H78" s="30"/>
      <c r="I78" s="30"/>
    </row>
    <row r="79" spans="2:9" x14ac:dyDescent="0.3">
      <c r="C79" s="30"/>
      <c r="D79" s="30"/>
      <c r="E79" s="30"/>
      <c r="F79" s="30"/>
      <c r="G79" s="30"/>
      <c r="H79" s="30"/>
      <c r="I79" s="30"/>
    </row>
    <row r="80" spans="2:9" x14ac:dyDescent="0.3">
      <c r="C80" s="30"/>
      <c r="D80" s="30"/>
      <c r="E80" s="30"/>
      <c r="F80" s="30"/>
      <c r="G80" s="30"/>
      <c r="H80" s="30"/>
      <c r="I80" s="30"/>
    </row>
    <row r="81" spans="2:9" ht="15.6" x14ac:dyDescent="0.3">
      <c r="C81" s="30"/>
      <c r="D81" s="30"/>
      <c r="E81" s="30"/>
      <c r="F81" s="30"/>
      <c r="G81" s="30"/>
      <c r="H81" s="30"/>
      <c r="I81" s="77"/>
    </row>
    <row r="82" spans="2:9" ht="15.6" x14ac:dyDescent="0.3">
      <c r="C82" s="30"/>
      <c r="D82" s="30"/>
      <c r="E82" s="30"/>
      <c r="F82" s="30"/>
      <c r="G82" s="30"/>
      <c r="H82" s="30"/>
      <c r="I82" s="77"/>
    </row>
    <row r="83" spans="2:9" ht="18" x14ac:dyDescent="0.35">
      <c r="B83" s="43"/>
      <c r="C83" s="30"/>
      <c r="D83" s="30"/>
      <c r="E83" s="30"/>
      <c r="F83" s="30"/>
      <c r="G83" s="30"/>
      <c r="H83" s="30"/>
      <c r="I83" s="72"/>
    </row>
    <row r="84" spans="2:9" ht="15.6" x14ac:dyDescent="0.3">
      <c r="B84" s="43"/>
      <c r="C84" s="30"/>
      <c r="D84" s="30"/>
      <c r="E84" s="30"/>
      <c r="F84" s="30"/>
      <c r="G84" s="30"/>
      <c r="H84" s="30"/>
      <c r="I84" s="63"/>
    </row>
    <row r="85" spans="2:9" ht="18" x14ac:dyDescent="0.35">
      <c r="B85" s="43"/>
      <c r="C85" s="30"/>
      <c r="D85" s="30"/>
      <c r="E85" s="30"/>
      <c r="F85" s="30"/>
      <c r="G85" s="30"/>
      <c r="H85" s="30"/>
      <c r="I85" s="76"/>
    </row>
    <row r="86" spans="2:9" ht="15.6" x14ac:dyDescent="0.3">
      <c r="B86" s="43"/>
      <c r="C86" s="30"/>
      <c r="D86" s="30"/>
      <c r="E86" s="30"/>
      <c r="F86" s="30"/>
      <c r="G86" s="30"/>
      <c r="H86" s="30"/>
      <c r="I86" s="33"/>
    </row>
    <row r="87" spans="2:9" ht="15.6" x14ac:dyDescent="0.3">
      <c r="B87" s="48" t="s">
        <v>571</v>
      </c>
      <c r="C87" s="48"/>
      <c r="D87" s="48"/>
      <c r="E87" s="48"/>
      <c r="F87" s="48"/>
      <c r="G87" s="48"/>
      <c r="H87" s="48"/>
      <c r="I87" s="48"/>
    </row>
    <row r="88" spans="2:9" x14ac:dyDescent="0.3">
      <c r="B88" s="43">
        <v>42278</v>
      </c>
      <c r="C88" s="2" t="s">
        <v>8</v>
      </c>
      <c r="D88" s="2" t="s">
        <v>39</v>
      </c>
      <c r="E88" s="41" t="s">
        <v>962</v>
      </c>
      <c r="F88" s="40" t="s">
        <v>963</v>
      </c>
      <c r="G88" s="40" t="s">
        <v>964</v>
      </c>
      <c r="H88" s="30">
        <v>100</v>
      </c>
      <c r="I88" s="41" t="s">
        <v>518</v>
      </c>
    </row>
    <row r="89" spans="2:9" x14ac:dyDescent="0.3">
      <c r="B89" s="43">
        <v>42282</v>
      </c>
      <c r="C89" s="30" t="s">
        <v>9</v>
      </c>
      <c r="D89" s="2" t="s">
        <v>39</v>
      </c>
      <c r="E89" s="2">
        <v>8070</v>
      </c>
      <c r="F89" s="30">
        <v>8125</v>
      </c>
      <c r="G89" s="30">
        <v>55</v>
      </c>
      <c r="H89" s="30">
        <v>100</v>
      </c>
      <c r="I89" s="30">
        <v>5500</v>
      </c>
    </row>
    <row r="90" spans="2:9" x14ac:dyDescent="0.3">
      <c r="B90" s="43">
        <v>42283</v>
      </c>
      <c r="C90" s="30" t="s">
        <v>8</v>
      </c>
      <c r="D90" s="2" t="s">
        <v>39</v>
      </c>
      <c r="E90" s="2">
        <v>8155</v>
      </c>
      <c r="F90" s="30">
        <v>8115</v>
      </c>
      <c r="G90" s="30">
        <v>40</v>
      </c>
      <c r="H90" s="30">
        <v>100</v>
      </c>
      <c r="I90" s="30">
        <f>H90*G90</f>
        <v>4000</v>
      </c>
    </row>
    <row r="91" spans="2:9" x14ac:dyDescent="0.3">
      <c r="B91" s="43">
        <v>42284</v>
      </c>
      <c r="C91" s="30" t="s">
        <v>8</v>
      </c>
      <c r="D91" s="2" t="s">
        <v>39</v>
      </c>
      <c r="E91" s="2">
        <v>8165</v>
      </c>
      <c r="F91" s="30">
        <v>8140</v>
      </c>
      <c r="G91" s="30">
        <v>25</v>
      </c>
      <c r="H91" s="30">
        <v>100</v>
      </c>
      <c r="I91" s="30">
        <f>H91*G91</f>
        <v>2500</v>
      </c>
    </row>
    <row r="92" spans="2:9" x14ac:dyDescent="0.3">
      <c r="B92" s="43">
        <v>42284</v>
      </c>
      <c r="C92" s="30" t="s">
        <v>9</v>
      </c>
      <c r="D92" s="2" t="s">
        <v>39</v>
      </c>
      <c r="E92" s="30">
        <v>8180</v>
      </c>
      <c r="F92" s="30">
        <v>8195</v>
      </c>
      <c r="G92" s="30">
        <v>15</v>
      </c>
      <c r="H92" s="30">
        <v>100</v>
      </c>
      <c r="I92" s="30">
        <f t="shared" ref="I92:I108" si="3">H92*G92</f>
        <v>1500</v>
      </c>
    </row>
    <row r="93" spans="2:9" x14ac:dyDescent="0.3">
      <c r="B93" s="43">
        <v>42285</v>
      </c>
      <c r="C93" s="30" t="s">
        <v>8</v>
      </c>
      <c r="D93" s="2" t="s">
        <v>39</v>
      </c>
      <c r="E93" s="30">
        <v>8175</v>
      </c>
      <c r="F93" s="30">
        <v>8135</v>
      </c>
      <c r="G93" s="30">
        <v>40</v>
      </c>
      <c r="H93" s="30">
        <v>100</v>
      </c>
      <c r="I93" s="30">
        <f t="shared" si="3"/>
        <v>4000</v>
      </c>
    </row>
    <row r="94" spans="2:9" x14ac:dyDescent="0.3">
      <c r="B94" s="43">
        <v>42286</v>
      </c>
      <c r="C94" s="30" t="s">
        <v>8</v>
      </c>
      <c r="D94" s="2" t="s">
        <v>39</v>
      </c>
      <c r="E94" s="30">
        <v>8240</v>
      </c>
      <c r="F94" s="30">
        <v>8185</v>
      </c>
      <c r="G94" s="30">
        <v>55</v>
      </c>
      <c r="H94" s="30">
        <v>100</v>
      </c>
      <c r="I94" s="30">
        <f t="shared" si="3"/>
        <v>5500</v>
      </c>
    </row>
    <row r="95" spans="2:9" x14ac:dyDescent="0.3">
      <c r="B95" s="43">
        <v>42289</v>
      </c>
      <c r="C95" s="30" t="s">
        <v>8</v>
      </c>
      <c r="D95" s="2" t="s">
        <v>39</v>
      </c>
      <c r="E95" s="30">
        <v>8220</v>
      </c>
      <c r="F95" s="30">
        <v>8160</v>
      </c>
      <c r="G95" s="30">
        <v>60</v>
      </c>
      <c r="H95" s="30">
        <v>100</v>
      </c>
      <c r="I95" s="30">
        <f t="shared" si="3"/>
        <v>6000</v>
      </c>
    </row>
    <row r="96" spans="2:9" x14ac:dyDescent="0.3">
      <c r="B96" s="43">
        <v>42290</v>
      </c>
      <c r="C96" s="30" t="s">
        <v>8</v>
      </c>
      <c r="D96" s="2" t="s">
        <v>39</v>
      </c>
      <c r="E96" s="30">
        <v>8135</v>
      </c>
      <c r="F96" s="30">
        <v>8110</v>
      </c>
      <c r="G96" s="30">
        <v>25</v>
      </c>
      <c r="H96" s="30">
        <v>100</v>
      </c>
      <c r="I96" s="30">
        <f t="shared" si="3"/>
        <v>2500</v>
      </c>
    </row>
    <row r="97" spans="2:9" x14ac:dyDescent="0.3">
      <c r="B97" s="43">
        <v>42291</v>
      </c>
      <c r="C97" s="30" t="s">
        <v>9</v>
      </c>
      <c r="D97" s="2" t="s">
        <v>39</v>
      </c>
      <c r="E97" s="30">
        <v>8130</v>
      </c>
      <c r="F97" s="30">
        <v>8145</v>
      </c>
      <c r="G97" s="30">
        <v>15</v>
      </c>
      <c r="H97" s="30">
        <v>100</v>
      </c>
      <c r="I97" s="30">
        <f t="shared" si="3"/>
        <v>1500</v>
      </c>
    </row>
    <row r="98" spans="2:9" x14ac:dyDescent="0.3">
      <c r="B98" s="43">
        <v>42292</v>
      </c>
      <c r="C98" s="30" t="s">
        <v>9</v>
      </c>
      <c r="D98" s="2" t="s">
        <v>39</v>
      </c>
      <c r="E98" s="30">
        <v>8185</v>
      </c>
      <c r="F98" s="30">
        <v>8250</v>
      </c>
      <c r="G98" s="30">
        <v>65</v>
      </c>
      <c r="H98" s="30">
        <v>100</v>
      </c>
      <c r="I98" s="30">
        <f t="shared" si="3"/>
        <v>6500</v>
      </c>
    </row>
    <row r="99" spans="2:9" x14ac:dyDescent="0.3">
      <c r="B99" s="43">
        <v>42293</v>
      </c>
      <c r="C99" s="30" t="s">
        <v>9</v>
      </c>
      <c r="D99" s="2" t="s">
        <v>39</v>
      </c>
      <c r="E99" s="30">
        <v>8175</v>
      </c>
      <c r="F99" s="30">
        <v>8235</v>
      </c>
      <c r="G99" s="30">
        <v>65</v>
      </c>
      <c r="H99" s="30">
        <v>100</v>
      </c>
      <c r="I99" s="30">
        <f t="shared" si="3"/>
        <v>6500</v>
      </c>
    </row>
    <row r="100" spans="2:9" x14ac:dyDescent="0.3">
      <c r="B100" s="43">
        <v>42296</v>
      </c>
      <c r="C100" s="30" t="s">
        <v>8</v>
      </c>
      <c r="D100" s="2" t="s">
        <v>39</v>
      </c>
      <c r="E100" s="30">
        <v>8255</v>
      </c>
      <c r="F100" s="30">
        <v>8240</v>
      </c>
      <c r="G100" s="30">
        <v>15</v>
      </c>
      <c r="H100" s="30">
        <v>100</v>
      </c>
      <c r="I100" s="30">
        <f t="shared" si="3"/>
        <v>1500</v>
      </c>
    </row>
    <row r="101" spans="2:9" x14ac:dyDescent="0.3">
      <c r="B101" s="43">
        <v>42297</v>
      </c>
      <c r="C101" s="30" t="s">
        <v>8</v>
      </c>
      <c r="D101" s="2" t="s">
        <v>39</v>
      </c>
      <c r="E101" s="30">
        <v>8265</v>
      </c>
      <c r="F101" s="30">
        <v>8230</v>
      </c>
      <c r="G101" s="30">
        <v>35</v>
      </c>
      <c r="H101" s="30">
        <v>100</v>
      </c>
      <c r="I101" s="30">
        <f t="shared" si="3"/>
        <v>3500</v>
      </c>
    </row>
    <row r="102" spans="2:9" x14ac:dyDescent="0.3">
      <c r="B102" s="43">
        <v>42298</v>
      </c>
      <c r="C102" s="30" t="s">
        <v>9</v>
      </c>
      <c r="D102" s="2" t="s">
        <v>39</v>
      </c>
      <c r="E102" s="30">
        <v>8290</v>
      </c>
      <c r="F102" s="30">
        <v>8255</v>
      </c>
      <c r="G102" s="30">
        <v>-35</v>
      </c>
      <c r="H102" s="30">
        <v>100</v>
      </c>
      <c r="I102" s="30">
        <f t="shared" si="3"/>
        <v>-3500</v>
      </c>
    </row>
    <row r="103" spans="2:9" x14ac:dyDescent="0.3">
      <c r="B103" s="43">
        <v>42300</v>
      </c>
      <c r="C103" s="30" t="s">
        <v>8</v>
      </c>
      <c r="D103" s="2" t="s">
        <v>39</v>
      </c>
      <c r="E103" s="30">
        <v>8315</v>
      </c>
      <c r="F103" s="30">
        <v>8280</v>
      </c>
      <c r="G103" s="30">
        <v>35</v>
      </c>
      <c r="H103" s="30">
        <v>100</v>
      </c>
      <c r="I103" s="30">
        <f t="shared" si="3"/>
        <v>3500</v>
      </c>
    </row>
    <row r="104" spans="2:9" x14ac:dyDescent="0.3">
      <c r="B104" s="43">
        <v>42303</v>
      </c>
      <c r="C104" s="30" t="s">
        <v>8</v>
      </c>
      <c r="D104" s="2" t="s">
        <v>39</v>
      </c>
      <c r="E104" s="30">
        <v>8310</v>
      </c>
      <c r="F104" s="30">
        <v>8260</v>
      </c>
      <c r="G104" s="30">
        <v>50</v>
      </c>
      <c r="H104" s="30">
        <v>100</v>
      </c>
      <c r="I104" s="30">
        <f t="shared" si="3"/>
        <v>5000</v>
      </c>
    </row>
    <row r="105" spans="2:9" x14ac:dyDescent="0.3">
      <c r="B105" s="43">
        <v>42304</v>
      </c>
      <c r="C105" s="30" t="s">
        <v>8</v>
      </c>
      <c r="D105" s="2" t="s">
        <v>39</v>
      </c>
      <c r="E105" s="30">
        <v>8245</v>
      </c>
      <c r="F105" s="30">
        <v>8228</v>
      </c>
      <c r="G105" s="30">
        <v>17</v>
      </c>
      <c r="H105" s="30">
        <v>100</v>
      </c>
      <c r="I105" s="30">
        <f t="shared" si="3"/>
        <v>1700</v>
      </c>
    </row>
    <row r="106" spans="2:9" x14ac:dyDescent="0.3">
      <c r="B106" s="43">
        <v>42305</v>
      </c>
      <c r="C106" s="30" t="s">
        <v>8</v>
      </c>
      <c r="D106" s="2" t="s">
        <v>39</v>
      </c>
      <c r="E106" s="30">
        <v>8215</v>
      </c>
      <c r="F106" s="30">
        <v>8150</v>
      </c>
      <c r="G106" s="30">
        <v>65</v>
      </c>
      <c r="H106" s="30">
        <v>100</v>
      </c>
      <c r="I106" s="30">
        <f t="shared" si="3"/>
        <v>6500</v>
      </c>
    </row>
    <row r="107" spans="2:9" x14ac:dyDescent="0.3">
      <c r="B107" s="43">
        <v>42306</v>
      </c>
      <c r="C107" s="30" t="s">
        <v>8</v>
      </c>
      <c r="D107" s="2" t="s">
        <v>39</v>
      </c>
      <c r="E107" s="30">
        <v>8145</v>
      </c>
      <c r="F107" s="30">
        <v>8110</v>
      </c>
      <c r="G107" s="30">
        <v>35</v>
      </c>
      <c r="H107" s="30">
        <v>100</v>
      </c>
      <c r="I107" s="30">
        <f t="shared" si="3"/>
        <v>3500</v>
      </c>
    </row>
    <row r="108" spans="2:9" x14ac:dyDescent="0.3">
      <c r="B108" s="43">
        <v>42307</v>
      </c>
      <c r="C108" s="30" t="s">
        <v>9</v>
      </c>
      <c r="D108" s="2" t="s">
        <v>39</v>
      </c>
      <c r="E108" s="30">
        <v>8145</v>
      </c>
      <c r="F108" s="30">
        <v>8180</v>
      </c>
      <c r="G108" s="30">
        <v>35</v>
      </c>
      <c r="H108" s="30">
        <v>150</v>
      </c>
      <c r="I108" s="30">
        <f t="shared" si="3"/>
        <v>5250</v>
      </c>
    </row>
    <row r="109" spans="2:9" x14ac:dyDescent="0.3">
      <c r="C109" s="30"/>
      <c r="D109" s="2"/>
      <c r="E109" s="30"/>
      <c r="F109" s="30"/>
      <c r="G109" s="30"/>
      <c r="H109" s="30"/>
      <c r="I109" s="30"/>
    </row>
    <row r="110" spans="2:9" ht="18" x14ac:dyDescent="0.35">
      <c r="B110" s="43"/>
      <c r="C110" s="30"/>
      <c r="D110" s="2"/>
      <c r="E110" s="30"/>
      <c r="F110" s="30"/>
      <c r="G110" s="30"/>
      <c r="H110" s="30"/>
      <c r="I110" s="76" t="s">
        <v>988</v>
      </c>
    </row>
    <row r="111" spans="2:9" x14ac:dyDescent="0.3">
      <c r="B111" s="43"/>
      <c r="C111" s="28"/>
      <c r="D111" s="2"/>
      <c r="E111" s="28"/>
      <c r="F111" s="28"/>
      <c r="G111" s="28"/>
      <c r="H111" s="30"/>
      <c r="I111" s="49"/>
    </row>
    <row r="112" spans="2:9" ht="18" x14ac:dyDescent="0.35">
      <c r="B112" s="43"/>
      <c r="C112" s="28"/>
      <c r="D112" s="30"/>
      <c r="E112" s="28"/>
      <c r="F112" s="28"/>
      <c r="G112" s="28"/>
      <c r="H112" s="28"/>
      <c r="I112" s="72"/>
    </row>
    <row r="113" spans="2:9" x14ac:dyDescent="0.3">
      <c r="B113" s="43"/>
      <c r="C113" s="28"/>
      <c r="D113" s="30"/>
      <c r="E113" s="28"/>
      <c r="F113" s="28"/>
      <c r="G113" s="28"/>
      <c r="H113" s="28"/>
      <c r="I113" s="28"/>
    </row>
    <row r="114" spans="2:9" x14ac:dyDescent="0.3">
      <c r="B114" s="43"/>
      <c r="C114" s="28"/>
      <c r="D114" s="30"/>
      <c r="E114" s="28"/>
      <c r="F114" s="28"/>
      <c r="G114" s="28"/>
      <c r="H114" s="28"/>
      <c r="I114" s="28"/>
    </row>
    <row r="115" spans="2:9" ht="15.6" x14ac:dyDescent="0.3">
      <c r="B115" s="48" t="s">
        <v>932</v>
      </c>
      <c r="C115" s="61"/>
      <c r="D115" s="61"/>
      <c r="E115" s="61"/>
      <c r="F115" s="61"/>
      <c r="G115" s="61"/>
      <c r="H115" s="61"/>
      <c r="I115" s="61"/>
    </row>
    <row r="116" spans="2:9" x14ac:dyDescent="0.3">
      <c r="B116" s="43">
        <v>42278</v>
      </c>
      <c r="C116" s="3" t="s">
        <v>9</v>
      </c>
      <c r="D116" s="3" t="s">
        <v>960</v>
      </c>
      <c r="E116" s="41" t="s">
        <v>626</v>
      </c>
      <c r="F116" s="41" t="s">
        <v>854</v>
      </c>
      <c r="G116" s="41" t="s">
        <v>961</v>
      </c>
      <c r="H116" s="30">
        <v>200</v>
      </c>
      <c r="I116" s="8">
        <f>H116*G116</f>
        <v>5000</v>
      </c>
    </row>
    <row r="117" spans="2:9" x14ac:dyDescent="0.3">
      <c r="B117" s="43">
        <v>42282</v>
      </c>
      <c r="C117" s="3" t="s">
        <v>9</v>
      </c>
      <c r="D117" s="3" t="s">
        <v>940</v>
      </c>
      <c r="E117" s="30">
        <v>185</v>
      </c>
      <c r="F117" s="30">
        <v>225</v>
      </c>
      <c r="G117" s="30">
        <v>40</v>
      </c>
      <c r="H117" s="30">
        <v>200</v>
      </c>
      <c r="I117" s="30">
        <v>8000</v>
      </c>
    </row>
    <row r="118" spans="2:9" x14ac:dyDescent="0.3">
      <c r="B118" s="43">
        <v>42283</v>
      </c>
      <c r="C118" s="3" t="s">
        <v>9</v>
      </c>
      <c r="D118" s="3" t="s">
        <v>980</v>
      </c>
      <c r="E118" s="30">
        <v>125</v>
      </c>
      <c r="F118" s="30">
        <v>140</v>
      </c>
      <c r="G118" s="30">
        <v>15</v>
      </c>
      <c r="H118" s="30">
        <v>200</v>
      </c>
      <c r="I118" s="30">
        <f>H118*G118</f>
        <v>3000</v>
      </c>
    </row>
    <row r="119" spans="2:9" x14ac:dyDescent="0.3">
      <c r="B119" s="43">
        <v>42284</v>
      </c>
      <c r="C119" s="3" t="s">
        <v>9</v>
      </c>
      <c r="D119" s="3" t="s">
        <v>976</v>
      </c>
      <c r="E119" s="30">
        <v>190</v>
      </c>
      <c r="F119" s="30">
        <v>200</v>
      </c>
      <c r="G119" s="30">
        <v>10</v>
      </c>
      <c r="H119" s="30">
        <v>200</v>
      </c>
      <c r="I119" s="30">
        <f t="shared" ref="I119:I126" si="4">H119*G119</f>
        <v>2000</v>
      </c>
    </row>
    <row r="120" spans="2:9" x14ac:dyDescent="0.3">
      <c r="B120" s="43">
        <v>42284</v>
      </c>
      <c r="C120" s="3" t="s">
        <v>9</v>
      </c>
      <c r="D120" s="30" t="s">
        <v>978</v>
      </c>
      <c r="E120" s="30">
        <v>150</v>
      </c>
      <c r="F120" s="30">
        <v>170</v>
      </c>
      <c r="G120" s="30">
        <v>20</v>
      </c>
      <c r="H120" s="30">
        <v>200</v>
      </c>
      <c r="I120" s="30">
        <f t="shared" si="4"/>
        <v>4000</v>
      </c>
    </row>
    <row r="121" spans="2:9" x14ac:dyDescent="0.3">
      <c r="B121" s="43">
        <v>42285</v>
      </c>
      <c r="C121" s="3" t="s">
        <v>9</v>
      </c>
      <c r="D121" s="30" t="s">
        <v>979</v>
      </c>
      <c r="E121" s="30">
        <v>155</v>
      </c>
      <c r="F121" s="30">
        <v>170</v>
      </c>
      <c r="G121" s="30">
        <v>15</v>
      </c>
      <c r="H121" s="30">
        <v>200</v>
      </c>
      <c r="I121" s="30">
        <f t="shared" si="4"/>
        <v>3000</v>
      </c>
    </row>
    <row r="122" spans="2:9" x14ac:dyDescent="0.3">
      <c r="B122" s="43">
        <v>42286</v>
      </c>
      <c r="C122" s="3" t="s">
        <v>9</v>
      </c>
      <c r="D122" s="30" t="s">
        <v>977</v>
      </c>
      <c r="E122" s="30">
        <v>115</v>
      </c>
      <c r="F122" s="30">
        <v>150</v>
      </c>
      <c r="G122" s="30">
        <v>35</v>
      </c>
      <c r="H122" s="30">
        <v>200</v>
      </c>
      <c r="I122" s="30">
        <f t="shared" si="4"/>
        <v>7000</v>
      </c>
    </row>
    <row r="123" spans="2:9" x14ac:dyDescent="0.3">
      <c r="B123" s="43">
        <v>42289</v>
      </c>
      <c r="C123" s="3" t="s">
        <v>9</v>
      </c>
      <c r="D123" s="30" t="s">
        <v>977</v>
      </c>
      <c r="E123" s="30">
        <v>120</v>
      </c>
      <c r="F123" s="30">
        <v>145</v>
      </c>
      <c r="G123" s="30">
        <v>25</v>
      </c>
      <c r="H123" s="30">
        <v>200</v>
      </c>
      <c r="I123" s="30">
        <f t="shared" si="4"/>
        <v>5000</v>
      </c>
    </row>
    <row r="124" spans="2:9" x14ac:dyDescent="0.3">
      <c r="B124" s="43">
        <v>42290</v>
      </c>
      <c r="C124" s="3" t="s">
        <v>9</v>
      </c>
      <c r="D124" s="30" t="s">
        <v>977</v>
      </c>
      <c r="E124" s="30">
        <v>140</v>
      </c>
      <c r="F124" s="30">
        <v>155</v>
      </c>
      <c r="G124" s="30">
        <v>15</v>
      </c>
      <c r="H124" s="30">
        <v>200</v>
      </c>
      <c r="I124" s="30">
        <f t="shared" si="4"/>
        <v>3000</v>
      </c>
    </row>
    <row r="125" spans="2:9" x14ac:dyDescent="0.3">
      <c r="B125" s="43">
        <v>42291</v>
      </c>
      <c r="C125" s="3" t="s">
        <v>9</v>
      </c>
      <c r="D125" s="30" t="s">
        <v>976</v>
      </c>
      <c r="E125" s="30">
        <v>125</v>
      </c>
      <c r="F125" s="30">
        <v>115</v>
      </c>
      <c r="G125" s="30">
        <v>-10</v>
      </c>
      <c r="H125" s="30">
        <v>200</v>
      </c>
      <c r="I125" s="30">
        <f t="shared" si="4"/>
        <v>-2000</v>
      </c>
    </row>
    <row r="126" spans="2:9" x14ac:dyDescent="0.3">
      <c r="B126" s="43">
        <v>42292</v>
      </c>
      <c r="C126" s="3" t="s">
        <v>9</v>
      </c>
      <c r="D126" s="30" t="s">
        <v>976</v>
      </c>
      <c r="E126" s="30">
        <v>150</v>
      </c>
      <c r="F126" s="30">
        <v>170</v>
      </c>
      <c r="G126" s="30">
        <v>20</v>
      </c>
      <c r="H126" s="30">
        <v>200</v>
      </c>
      <c r="I126" s="30">
        <f t="shared" si="4"/>
        <v>4000</v>
      </c>
    </row>
    <row r="127" spans="2:9" x14ac:dyDescent="0.3">
      <c r="B127" s="43">
        <v>42293</v>
      </c>
      <c r="C127" s="3" t="s">
        <v>9</v>
      </c>
      <c r="D127" s="30" t="s">
        <v>976</v>
      </c>
      <c r="E127" s="30">
        <v>130</v>
      </c>
      <c r="F127" s="30">
        <v>170</v>
      </c>
      <c r="G127" s="30">
        <v>40</v>
      </c>
      <c r="H127" s="30">
        <v>200</v>
      </c>
      <c r="I127" s="30">
        <f t="shared" ref="I127:I136" si="5">H127*G127</f>
        <v>8000</v>
      </c>
    </row>
    <row r="128" spans="2:9" x14ac:dyDescent="0.3">
      <c r="B128" s="43">
        <v>42296</v>
      </c>
      <c r="C128" s="3" t="s">
        <v>9</v>
      </c>
      <c r="D128" s="30" t="s">
        <v>983</v>
      </c>
      <c r="E128" s="30">
        <v>105</v>
      </c>
      <c r="F128" s="30">
        <v>80</v>
      </c>
      <c r="G128" s="30">
        <v>-25</v>
      </c>
      <c r="H128" s="30">
        <v>200</v>
      </c>
      <c r="I128" s="30">
        <f t="shared" si="5"/>
        <v>-5000</v>
      </c>
    </row>
    <row r="129" spans="2:9" x14ac:dyDescent="0.3">
      <c r="B129" s="43">
        <v>42297</v>
      </c>
      <c r="C129" s="3" t="s">
        <v>9</v>
      </c>
      <c r="D129" s="30" t="s">
        <v>984</v>
      </c>
      <c r="E129" s="30">
        <v>155</v>
      </c>
      <c r="F129" s="30">
        <v>180</v>
      </c>
      <c r="G129" s="30">
        <v>25</v>
      </c>
      <c r="H129" s="30">
        <v>200</v>
      </c>
      <c r="I129" s="30">
        <f t="shared" si="5"/>
        <v>5000</v>
      </c>
    </row>
    <row r="130" spans="2:9" x14ac:dyDescent="0.3">
      <c r="B130" s="43">
        <v>42298</v>
      </c>
      <c r="C130" s="3" t="s">
        <v>9</v>
      </c>
      <c r="D130" s="30" t="s">
        <v>985</v>
      </c>
      <c r="E130" s="30">
        <v>120</v>
      </c>
      <c r="F130" s="30">
        <v>95</v>
      </c>
      <c r="G130" s="30">
        <v>-25</v>
      </c>
      <c r="H130" s="30">
        <v>200</v>
      </c>
      <c r="I130" s="30">
        <f t="shared" si="5"/>
        <v>-5000</v>
      </c>
    </row>
    <row r="131" spans="2:9" x14ac:dyDescent="0.3">
      <c r="B131" s="43">
        <v>42300</v>
      </c>
      <c r="C131" s="3" t="s">
        <v>9</v>
      </c>
      <c r="D131" s="28" t="s">
        <v>984</v>
      </c>
      <c r="E131" s="49" t="s">
        <v>217</v>
      </c>
      <c r="F131" s="49" t="s">
        <v>523</v>
      </c>
      <c r="G131" s="49" t="s">
        <v>951</v>
      </c>
      <c r="H131" s="30">
        <v>200</v>
      </c>
      <c r="I131" s="30">
        <f t="shared" si="5"/>
        <v>3000</v>
      </c>
    </row>
    <row r="132" spans="2:9" x14ac:dyDescent="0.3">
      <c r="B132" s="43">
        <v>42303</v>
      </c>
      <c r="C132" s="3" t="s">
        <v>9</v>
      </c>
      <c r="D132" s="28" t="s">
        <v>984</v>
      </c>
      <c r="E132" s="49" t="s">
        <v>278</v>
      </c>
      <c r="F132" s="49" t="s">
        <v>232</v>
      </c>
      <c r="G132" s="49" t="s">
        <v>986</v>
      </c>
      <c r="H132" s="30">
        <v>200</v>
      </c>
      <c r="I132" s="30">
        <f t="shared" si="5"/>
        <v>7600</v>
      </c>
    </row>
    <row r="133" spans="2:9" x14ac:dyDescent="0.3">
      <c r="B133" s="43">
        <v>42304</v>
      </c>
      <c r="C133" s="3" t="s">
        <v>9</v>
      </c>
      <c r="D133" s="28" t="s">
        <v>984</v>
      </c>
      <c r="E133" s="49" t="s">
        <v>226</v>
      </c>
      <c r="F133" s="49" t="s">
        <v>528</v>
      </c>
      <c r="G133" s="49" t="s">
        <v>951</v>
      </c>
      <c r="H133" s="30">
        <v>200</v>
      </c>
      <c r="I133" s="30">
        <f t="shared" si="5"/>
        <v>3000</v>
      </c>
    </row>
    <row r="134" spans="2:9" x14ac:dyDescent="0.3">
      <c r="B134" s="43">
        <v>42305</v>
      </c>
      <c r="C134" s="3" t="s">
        <v>9</v>
      </c>
      <c r="D134" s="28" t="s">
        <v>983</v>
      </c>
      <c r="E134" s="49" t="s">
        <v>215</v>
      </c>
      <c r="F134" s="49" t="s">
        <v>228</v>
      </c>
      <c r="G134" s="49" t="s">
        <v>972</v>
      </c>
      <c r="H134" s="30">
        <v>200</v>
      </c>
      <c r="I134" s="30">
        <f t="shared" si="5"/>
        <v>6000</v>
      </c>
    </row>
    <row r="135" spans="2:9" x14ac:dyDescent="0.3">
      <c r="B135" s="43">
        <v>42306</v>
      </c>
      <c r="C135" s="3" t="s">
        <v>9</v>
      </c>
      <c r="D135" s="28" t="s">
        <v>983</v>
      </c>
      <c r="E135" s="49" t="s">
        <v>626</v>
      </c>
      <c r="F135" s="49" t="s">
        <v>854</v>
      </c>
      <c r="G135" s="49" t="s">
        <v>961</v>
      </c>
      <c r="H135" s="30">
        <v>200</v>
      </c>
      <c r="I135" s="30">
        <f t="shared" si="5"/>
        <v>5000</v>
      </c>
    </row>
    <row r="136" spans="2:9" x14ac:dyDescent="0.3">
      <c r="B136" s="43">
        <v>42307</v>
      </c>
      <c r="C136" s="3" t="s">
        <v>9</v>
      </c>
      <c r="D136" s="28" t="s">
        <v>976</v>
      </c>
      <c r="E136" s="49">
        <v>165</v>
      </c>
      <c r="F136" s="49">
        <v>180</v>
      </c>
      <c r="G136" s="49">
        <v>15</v>
      </c>
      <c r="H136" s="30">
        <v>150</v>
      </c>
      <c r="I136" s="30">
        <f t="shared" si="5"/>
        <v>2250</v>
      </c>
    </row>
    <row r="137" spans="2:9" x14ac:dyDescent="0.3">
      <c r="C137" s="3"/>
      <c r="D137" s="28"/>
      <c r="E137" s="28"/>
      <c r="F137" s="28"/>
      <c r="G137" s="28"/>
      <c r="H137" s="30"/>
      <c r="I137" s="30"/>
    </row>
    <row r="138" spans="2:9" ht="18" x14ac:dyDescent="0.35">
      <c r="B138" s="1"/>
      <c r="C138" s="28"/>
      <c r="D138" s="28"/>
      <c r="E138" s="28"/>
      <c r="F138" s="28"/>
      <c r="G138" s="28"/>
      <c r="H138" s="28"/>
      <c r="I138" s="76">
        <f>SUM(I116:I136)</f>
        <v>71850</v>
      </c>
    </row>
    <row r="139" spans="2:9" x14ac:dyDescent="0.3">
      <c r="B139" s="1"/>
    </row>
    <row r="140" spans="2:9" ht="15.6" x14ac:dyDescent="0.3">
      <c r="B140" s="48" t="s">
        <v>926</v>
      </c>
      <c r="C140" s="48"/>
      <c r="D140" s="48"/>
      <c r="E140" s="48"/>
      <c r="F140" s="48"/>
      <c r="G140" s="48"/>
      <c r="H140" s="48"/>
      <c r="I140" s="48"/>
    </row>
    <row r="141" spans="2:9" x14ac:dyDescent="0.3">
      <c r="B141" s="43">
        <v>42278</v>
      </c>
      <c r="C141" s="30" t="s">
        <v>8</v>
      </c>
      <c r="D141" s="30" t="s">
        <v>301</v>
      </c>
      <c r="E141" s="30">
        <v>14700</v>
      </c>
      <c r="F141" s="30">
        <v>17200</v>
      </c>
      <c r="G141" s="30">
        <v>200</v>
      </c>
      <c r="H141" s="30">
        <v>100</v>
      </c>
      <c r="I141" s="30">
        <f>H141*G141</f>
        <v>20000</v>
      </c>
    </row>
    <row r="142" spans="2:9" x14ac:dyDescent="0.3">
      <c r="B142" s="43">
        <v>42282</v>
      </c>
      <c r="C142" s="30" t="s">
        <v>9</v>
      </c>
      <c r="D142" s="30" t="s">
        <v>301</v>
      </c>
      <c r="E142" s="30">
        <v>17550</v>
      </c>
      <c r="F142" s="30">
        <v>17740</v>
      </c>
      <c r="G142" s="30">
        <v>190</v>
      </c>
      <c r="H142" s="30">
        <v>100</v>
      </c>
      <c r="I142" s="30">
        <f t="shared" ref="I142:I160" si="6">H142*G142</f>
        <v>19000</v>
      </c>
    </row>
    <row r="143" spans="2:9" x14ac:dyDescent="0.3">
      <c r="B143" s="43">
        <v>42283</v>
      </c>
      <c r="C143" s="30" t="s">
        <v>8</v>
      </c>
      <c r="D143" s="30" t="s">
        <v>301</v>
      </c>
      <c r="E143" s="30">
        <v>17700</v>
      </c>
      <c r="F143" s="30">
        <v>17600</v>
      </c>
      <c r="G143" s="30">
        <f t="shared" ref="G143:G159" si="7">E143-F143</f>
        <v>100</v>
      </c>
      <c r="H143" s="30">
        <v>100</v>
      </c>
      <c r="I143" s="30">
        <f t="shared" si="6"/>
        <v>10000</v>
      </c>
    </row>
    <row r="144" spans="2:9" x14ac:dyDescent="0.3">
      <c r="B144" s="43">
        <v>42284</v>
      </c>
      <c r="C144" s="30" t="s">
        <v>9</v>
      </c>
      <c r="D144" s="30" t="s">
        <v>301</v>
      </c>
      <c r="E144" s="30">
        <v>17650</v>
      </c>
      <c r="F144" s="30">
        <v>17700</v>
      </c>
      <c r="G144" s="30">
        <v>50</v>
      </c>
      <c r="H144" s="30">
        <v>100</v>
      </c>
      <c r="I144" s="30">
        <f t="shared" si="6"/>
        <v>5000</v>
      </c>
    </row>
    <row r="145" spans="2:9" x14ac:dyDescent="0.3">
      <c r="B145" s="43">
        <v>42285</v>
      </c>
      <c r="C145" s="30" t="s">
        <v>8</v>
      </c>
      <c r="D145" s="30" t="s">
        <v>301</v>
      </c>
      <c r="E145" s="30">
        <v>17550</v>
      </c>
      <c r="F145" s="30">
        <v>17500</v>
      </c>
      <c r="G145" s="30">
        <f t="shared" si="7"/>
        <v>50</v>
      </c>
      <c r="H145" s="30">
        <v>100</v>
      </c>
      <c r="I145" s="30">
        <f t="shared" si="6"/>
        <v>5000</v>
      </c>
    </row>
    <row r="146" spans="2:9" x14ac:dyDescent="0.3">
      <c r="B146" s="43">
        <v>42286</v>
      </c>
      <c r="C146" s="30" t="s">
        <v>8</v>
      </c>
      <c r="D146" s="30" t="s">
        <v>301</v>
      </c>
      <c r="E146" s="30">
        <v>17750</v>
      </c>
      <c r="F146" s="30">
        <v>17600</v>
      </c>
      <c r="G146" s="30">
        <f t="shared" si="7"/>
        <v>150</v>
      </c>
      <c r="H146" s="30">
        <v>100</v>
      </c>
      <c r="I146" s="30">
        <f t="shared" si="6"/>
        <v>15000</v>
      </c>
    </row>
    <row r="147" spans="2:9" x14ac:dyDescent="0.3">
      <c r="B147" s="43">
        <v>42289</v>
      </c>
      <c r="C147" s="30" t="s">
        <v>8</v>
      </c>
      <c r="D147" s="30" t="s">
        <v>301</v>
      </c>
      <c r="E147" s="30">
        <v>17770</v>
      </c>
      <c r="F147" s="30">
        <v>17620</v>
      </c>
      <c r="G147" s="30">
        <f t="shared" si="7"/>
        <v>150</v>
      </c>
      <c r="H147" s="30">
        <v>100</v>
      </c>
      <c r="I147" s="30">
        <f t="shared" si="6"/>
        <v>15000</v>
      </c>
    </row>
    <row r="148" spans="2:9" x14ac:dyDescent="0.3">
      <c r="B148" s="43">
        <v>42290</v>
      </c>
      <c r="C148" s="30" t="s">
        <v>8</v>
      </c>
      <c r="D148" s="30" t="s">
        <v>301</v>
      </c>
      <c r="E148" s="30">
        <v>17630</v>
      </c>
      <c r="F148" s="30">
        <v>17530</v>
      </c>
      <c r="G148" s="30">
        <f t="shared" si="7"/>
        <v>100</v>
      </c>
      <c r="H148" s="30">
        <v>100</v>
      </c>
      <c r="I148" s="30">
        <f t="shared" si="6"/>
        <v>10000</v>
      </c>
    </row>
    <row r="149" spans="2:9" x14ac:dyDescent="0.3">
      <c r="B149" s="43">
        <v>42291</v>
      </c>
      <c r="C149" s="30" t="s">
        <v>9</v>
      </c>
      <c r="D149" s="30" t="s">
        <v>301</v>
      </c>
      <c r="E149" s="30">
        <v>17600</v>
      </c>
      <c r="F149" s="30">
        <v>17580</v>
      </c>
      <c r="G149" s="30">
        <v>-20</v>
      </c>
      <c r="H149" s="30">
        <v>100</v>
      </c>
      <c r="I149" s="30">
        <f t="shared" si="6"/>
        <v>-2000</v>
      </c>
    </row>
    <row r="150" spans="2:9" x14ac:dyDescent="0.3">
      <c r="B150" s="43">
        <v>42292</v>
      </c>
      <c r="C150" s="30" t="s">
        <v>9</v>
      </c>
      <c r="D150" s="30" t="s">
        <v>301</v>
      </c>
      <c r="E150" s="30">
        <v>17780</v>
      </c>
      <c r="F150" s="30">
        <v>17980</v>
      </c>
      <c r="G150" s="30">
        <v>200</v>
      </c>
      <c r="H150" s="30">
        <v>100</v>
      </c>
      <c r="I150" s="30">
        <f t="shared" si="6"/>
        <v>20000</v>
      </c>
    </row>
    <row r="151" spans="2:9" x14ac:dyDescent="0.3">
      <c r="B151" s="43">
        <v>42293</v>
      </c>
      <c r="C151" s="30" t="s">
        <v>9</v>
      </c>
      <c r="D151" s="30" t="s">
        <v>301</v>
      </c>
      <c r="E151" s="30">
        <v>17680</v>
      </c>
      <c r="F151" s="30">
        <v>17980</v>
      </c>
      <c r="G151" s="30">
        <v>300</v>
      </c>
      <c r="H151" s="30">
        <v>100</v>
      </c>
      <c r="I151" s="30">
        <f t="shared" si="6"/>
        <v>30000</v>
      </c>
    </row>
    <row r="152" spans="2:9" x14ac:dyDescent="0.3">
      <c r="B152" s="43">
        <v>42296</v>
      </c>
      <c r="C152" s="30" t="s">
        <v>8</v>
      </c>
      <c r="D152" s="30" t="s">
        <v>301</v>
      </c>
      <c r="E152" s="30">
        <v>17900</v>
      </c>
      <c r="F152" s="30">
        <v>17840</v>
      </c>
      <c r="G152" s="30">
        <f t="shared" si="7"/>
        <v>60</v>
      </c>
      <c r="H152" s="30">
        <v>100</v>
      </c>
      <c r="I152" s="30">
        <f t="shared" si="6"/>
        <v>6000</v>
      </c>
    </row>
    <row r="153" spans="2:9" x14ac:dyDescent="0.3">
      <c r="B153" s="43">
        <v>42297</v>
      </c>
      <c r="C153" s="30" t="s">
        <v>8</v>
      </c>
      <c r="D153" s="30" t="s">
        <v>301</v>
      </c>
      <c r="E153" s="30">
        <v>17880</v>
      </c>
      <c r="F153" s="30">
        <v>17780</v>
      </c>
      <c r="G153" s="30">
        <f t="shared" si="7"/>
        <v>100</v>
      </c>
      <c r="H153" s="30">
        <v>100</v>
      </c>
      <c r="I153" s="30">
        <f t="shared" si="6"/>
        <v>10000</v>
      </c>
    </row>
    <row r="154" spans="2:9" x14ac:dyDescent="0.3">
      <c r="B154" s="43">
        <v>42298</v>
      </c>
      <c r="C154" s="30" t="s">
        <v>9</v>
      </c>
      <c r="D154" s="30" t="s">
        <v>301</v>
      </c>
      <c r="E154" s="30">
        <v>17880</v>
      </c>
      <c r="F154" s="30">
        <v>17680</v>
      </c>
      <c r="G154" s="30">
        <v>-200</v>
      </c>
      <c r="H154" s="30">
        <v>100</v>
      </c>
      <c r="I154" s="30">
        <f t="shared" si="6"/>
        <v>-20000</v>
      </c>
    </row>
    <row r="155" spans="2:9" x14ac:dyDescent="0.3">
      <c r="B155" s="43">
        <v>42300</v>
      </c>
      <c r="C155" s="30" t="s">
        <v>8</v>
      </c>
      <c r="D155" s="30" t="s">
        <v>301</v>
      </c>
      <c r="E155" s="30">
        <v>17900</v>
      </c>
      <c r="F155" s="30">
        <v>17920</v>
      </c>
      <c r="G155" s="30">
        <f t="shared" si="7"/>
        <v>-20</v>
      </c>
      <c r="H155" s="30">
        <v>100</v>
      </c>
      <c r="I155" s="30">
        <f t="shared" si="6"/>
        <v>-2000</v>
      </c>
    </row>
    <row r="156" spans="2:9" x14ac:dyDescent="0.3">
      <c r="B156" s="43">
        <v>42303</v>
      </c>
      <c r="C156" s="30" t="s">
        <v>8</v>
      </c>
      <c r="D156" s="30" t="s">
        <v>301</v>
      </c>
      <c r="E156" s="30">
        <v>17870</v>
      </c>
      <c r="F156" s="30">
        <v>17820</v>
      </c>
      <c r="G156" s="30">
        <f t="shared" si="7"/>
        <v>50</v>
      </c>
      <c r="H156" s="30">
        <v>100</v>
      </c>
      <c r="I156" s="30">
        <f t="shared" si="6"/>
        <v>5000</v>
      </c>
    </row>
    <row r="157" spans="2:9" x14ac:dyDescent="0.3">
      <c r="B157" s="43">
        <v>42304</v>
      </c>
      <c r="C157" s="30" t="s">
        <v>8</v>
      </c>
      <c r="D157" s="30" t="s">
        <v>301</v>
      </c>
      <c r="E157" s="30">
        <v>17800</v>
      </c>
      <c r="F157" s="30">
        <v>17800</v>
      </c>
      <c r="G157" s="30">
        <f t="shared" si="7"/>
        <v>0</v>
      </c>
      <c r="H157" s="30">
        <v>100</v>
      </c>
      <c r="I157" s="30">
        <f t="shared" si="6"/>
        <v>0</v>
      </c>
    </row>
    <row r="158" spans="2:9" x14ac:dyDescent="0.3">
      <c r="B158" s="43">
        <v>42305</v>
      </c>
      <c r="C158" s="30" t="s">
        <v>8</v>
      </c>
      <c r="D158" s="30" t="s">
        <v>301</v>
      </c>
      <c r="E158" s="30">
        <v>17680</v>
      </c>
      <c r="F158" s="30">
        <v>17380</v>
      </c>
      <c r="G158" s="30">
        <f t="shared" si="7"/>
        <v>300</v>
      </c>
      <c r="H158" s="30">
        <v>100</v>
      </c>
      <c r="I158" s="30">
        <f t="shared" si="6"/>
        <v>30000</v>
      </c>
    </row>
    <row r="159" spans="2:9" x14ac:dyDescent="0.3">
      <c r="B159" s="43">
        <v>42306</v>
      </c>
      <c r="C159" s="30" t="s">
        <v>8</v>
      </c>
      <c r="D159" s="30" t="s">
        <v>301</v>
      </c>
      <c r="E159" s="30">
        <v>17300</v>
      </c>
      <c r="F159" s="30">
        <v>17230</v>
      </c>
      <c r="G159" s="30">
        <f t="shared" si="7"/>
        <v>70</v>
      </c>
      <c r="H159" s="30">
        <v>100</v>
      </c>
      <c r="I159" s="30">
        <f t="shared" si="6"/>
        <v>7000</v>
      </c>
    </row>
    <row r="160" spans="2:9" x14ac:dyDescent="0.3">
      <c r="B160" s="43">
        <v>42307</v>
      </c>
      <c r="C160" s="30" t="s">
        <v>9</v>
      </c>
      <c r="D160" s="30" t="s">
        <v>301</v>
      </c>
      <c r="E160" s="30">
        <v>17400</v>
      </c>
      <c r="F160" s="30">
        <v>17470</v>
      </c>
      <c r="G160" s="30">
        <v>70</v>
      </c>
      <c r="H160" s="30">
        <v>120</v>
      </c>
      <c r="I160" s="30">
        <f t="shared" si="6"/>
        <v>8400</v>
      </c>
    </row>
    <row r="161" spans="9:9" ht="18" x14ac:dyDescent="0.35">
      <c r="I161" s="72">
        <f>SUM(I141:I160)</f>
        <v>191400</v>
      </c>
    </row>
  </sheetData>
  <mergeCells count="3">
    <mergeCell ref="B1:I1"/>
    <mergeCell ref="B2:I2"/>
    <mergeCell ref="B3:I3"/>
  </mergeCells>
  <hyperlinks>
    <hyperlink ref="K2" location="'MASTER '!A1" display="Back" xr:uid="{00000000-0004-0000-1E00-000000000000}"/>
  </hyperlinks>
  <pageMargins left="0.7" right="0.7" top="0.75" bottom="0.75" header="0.3" footer="0.3"/>
  <pageSetup paperSize="9" orientation="portrait" horizontalDpi="300" verticalDpi="300" r:id="rId1"/>
  <ignoredErrors>
    <ignoredError sqref="I54:I55 E54:G54 E88:G88 E55:H55 I88 E6:G10 E11 F11:G11 E131:G136 E116:G116 I110 I7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18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990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42310</v>
      </c>
      <c r="C6" s="2" t="s">
        <v>11</v>
      </c>
      <c r="D6" s="2" t="s">
        <v>139</v>
      </c>
      <c r="E6" s="41" t="s">
        <v>992</v>
      </c>
      <c r="F6" s="40" t="s">
        <v>993</v>
      </c>
      <c r="G6" s="40" t="s">
        <v>994</v>
      </c>
      <c r="H6" s="5">
        <f>300000/E6</f>
        <v>393.70078740157481</v>
      </c>
      <c r="I6" s="81">
        <f>H6*G6</f>
        <v>3149.6062992125985</v>
      </c>
      <c r="L6" s="16"/>
    </row>
    <row r="7" spans="1:15" x14ac:dyDescent="0.3">
      <c r="B7" s="43">
        <v>42310</v>
      </c>
      <c r="C7" s="2" t="s">
        <v>8</v>
      </c>
      <c r="D7" s="2" t="s">
        <v>137</v>
      </c>
      <c r="E7" s="41" t="s">
        <v>995</v>
      </c>
      <c r="F7" s="40" t="s">
        <v>996</v>
      </c>
      <c r="G7" s="40" t="s">
        <v>997</v>
      </c>
      <c r="H7" s="5">
        <f t="shared" ref="H7:H35" si="0">300000/E7</f>
        <v>376.88442211055275</v>
      </c>
      <c r="I7" s="81">
        <f t="shared" ref="I7:I35" si="1">H7*G7</f>
        <v>1507.537688442211</v>
      </c>
      <c r="L7" s="16"/>
    </row>
    <row r="8" spans="1:15" x14ac:dyDescent="0.3">
      <c r="B8" s="43">
        <v>42311</v>
      </c>
      <c r="C8" s="2" t="s">
        <v>11</v>
      </c>
      <c r="D8" s="2" t="s">
        <v>192</v>
      </c>
      <c r="E8" s="41" t="s">
        <v>998</v>
      </c>
      <c r="F8" s="40" t="s">
        <v>869</v>
      </c>
      <c r="G8" s="40" t="s">
        <v>999</v>
      </c>
      <c r="H8" s="5">
        <f t="shared" si="0"/>
        <v>1065.7193605683838</v>
      </c>
      <c r="I8" s="81">
        <f t="shared" si="1"/>
        <v>-532.85968028419188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42311</v>
      </c>
      <c r="C9" s="2" t="s">
        <v>8</v>
      </c>
      <c r="D9" s="2" t="s">
        <v>173</v>
      </c>
      <c r="E9" s="41" t="s">
        <v>821</v>
      </c>
      <c r="F9" s="40" t="s">
        <v>1000</v>
      </c>
      <c r="G9" s="40" t="s">
        <v>994</v>
      </c>
      <c r="H9" s="5">
        <f t="shared" si="0"/>
        <v>365.40803897685748</v>
      </c>
      <c r="I9" s="81">
        <f t="shared" si="1"/>
        <v>2923.2643118148599</v>
      </c>
      <c r="K9" s="66"/>
      <c r="L9" s="67"/>
      <c r="M9" s="67"/>
      <c r="N9" s="67"/>
      <c r="O9" s="67"/>
    </row>
    <row r="10" spans="1:15" x14ac:dyDescent="0.3">
      <c r="B10" s="43">
        <v>42312</v>
      </c>
      <c r="C10" s="2" t="s">
        <v>11</v>
      </c>
      <c r="D10" s="2" t="s">
        <v>137</v>
      </c>
      <c r="E10" s="41" t="s">
        <v>1001</v>
      </c>
      <c r="F10" s="40" t="s">
        <v>1002</v>
      </c>
      <c r="G10" s="40" t="s">
        <v>925</v>
      </c>
      <c r="H10" s="5">
        <f t="shared" si="0"/>
        <v>369.91368680641182</v>
      </c>
      <c r="I10" s="81">
        <f t="shared" si="1"/>
        <v>1849.568434032059</v>
      </c>
      <c r="K10" s="16" t="s">
        <v>449</v>
      </c>
      <c r="L10" s="30">
        <v>30</v>
      </c>
      <c r="M10" s="30">
        <v>24</v>
      </c>
      <c r="N10" s="30">
        <v>4</v>
      </c>
      <c r="O10" s="30">
        <v>2</v>
      </c>
    </row>
    <row r="11" spans="1:15" x14ac:dyDescent="0.3">
      <c r="B11" s="43">
        <v>42312</v>
      </c>
      <c r="C11" s="2" t="s">
        <v>8</v>
      </c>
      <c r="D11" s="2" t="s">
        <v>173</v>
      </c>
      <c r="E11" s="41" t="s">
        <v>1003</v>
      </c>
      <c r="F11" s="40" t="s">
        <v>1003</v>
      </c>
      <c r="G11" s="40" t="s">
        <v>756</v>
      </c>
      <c r="H11" s="5">
        <f t="shared" si="0"/>
        <v>373.59900373599004</v>
      </c>
      <c r="I11" s="81">
        <f t="shared" si="1"/>
        <v>0</v>
      </c>
      <c r="K11" s="16"/>
      <c r="L11" s="30"/>
      <c r="M11" s="30"/>
      <c r="N11" s="30"/>
      <c r="O11" s="30"/>
    </row>
    <row r="12" spans="1:15" x14ac:dyDescent="0.3">
      <c r="B12" s="43">
        <v>42313</v>
      </c>
      <c r="C12" s="2" t="s">
        <v>11</v>
      </c>
      <c r="D12" s="2" t="s">
        <v>107</v>
      </c>
      <c r="E12" s="41" t="s">
        <v>1004</v>
      </c>
      <c r="F12" s="40" t="s">
        <v>1005</v>
      </c>
      <c r="G12" s="40" t="s">
        <v>1006</v>
      </c>
      <c r="H12" s="5">
        <f t="shared" si="0"/>
        <v>121.85215272136475</v>
      </c>
      <c r="I12" s="81">
        <f t="shared" si="1"/>
        <v>-2680.7473598700244</v>
      </c>
      <c r="K12" s="16" t="s">
        <v>450</v>
      </c>
      <c r="L12" s="30">
        <v>15</v>
      </c>
      <c r="M12" s="30">
        <v>12</v>
      </c>
      <c r="N12" s="30">
        <v>2</v>
      </c>
      <c r="O12" s="30">
        <v>1</v>
      </c>
    </row>
    <row r="13" spans="1:15" x14ac:dyDescent="0.3">
      <c r="B13" s="43">
        <v>42313</v>
      </c>
      <c r="C13" s="2" t="s">
        <v>8</v>
      </c>
      <c r="D13" s="2" t="s">
        <v>828</v>
      </c>
      <c r="E13" s="41" t="s">
        <v>1007</v>
      </c>
      <c r="F13" s="40" t="s">
        <v>734</v>
      </c>
      <c r="G13" s="40" t="s">
        <v>1008</v>
      </c>
      <c r="H13" s="5">
        <f t="shared" si="0"/>
        <v>286.25954198473283</v>
      </c>
      <c r="I13" s="81">
        <f t="shared" si="1"/>
        <v>7442.7480916030536</v>
      </c>
      <c r="K13" s="16"/>
      <c r="L13" s="30"/>
      <c r="M13" s="30"/>
      <c r="N13" s="30"/>
      <c r="O13" s="30"/>
    </row>
    <row r="14" spans="1:15" x14ac:dyDescent="0.3">
      <c r="B14" s="43">
        <v>42314</v>
      </c>
      <c r="C14" s="2" t="s">
        <v>11</v>
      </c>
      <c r="D14" s="2" t="s">
        <v>19</v>
      </c>
      <c r="E14" s="41" t="s">
        <v>1009</v>
      </c>
      <c r="F14" s="40" t="s">
        <v>1010</v>
      </c>
      <c r="G14" s="40" t="s">
        <v>1011</v>
      </c>
      <c r="H14" s="5">
        <f t="shared" si="0"/>
        <v>1265.8227848101267</v>
      </c>
      <c r="I14" s="81">
        <f t="shared" si="1"/>
        <v>8860.7594936708865</v>
      </c>
      <c r="K14" s="16" t="s">
        <v>451</v>
      </c>
      <c r="L14" s="30">
        <v>15</v>
      </c>
      <c r="M14" s="30">
        <v>11</v>
      </c>
      <c r="N14" s="30">
        <v>4</v>
      </c>
      <c r="O14" s="30">
        <v>0</v>
      </c>
    </row>
    <row r="15" spans="1:15" x14ac:dyDescent="0.3">
      <c r="B15" s="43">
        <v>42314</v>
      </c>
      <c r="C15" s="2" t="s">
        <v>8</v>
      </c>
      <c r="D15" s="2" t="s">
        <v>828</v>
      </c>
      <c r="E15" s="41" t="s">
        <v>252</v>
      </c>
      <c r="F15" s="40" t="s">
        <v>1023</v>
      </c>
      <c r="G15" s="40" t="s">
        <v>951</v>
      </c>
      <c r="H15" s="5">
        <f t="shared" si="0"/>
        <v>294.11764705882354</v>
      </c>
      <c r="I15" s="81">
        <f t="shared" si="1"/>
        <v>4411.7647058823532</v>
      </c>
      <c r="K15" s="16"/>
      <c r="M15" s="30"/>
      <c r="N15" s="30"/>
      <c r="O15" s="30"/>
    </row>
    <row r="16" spans="1:15" x14ac:dyDescent="0.3">
      <c r="B16" s="43">
        <v>42317</v>
      </c>
      <c r="C16" s="2" t="s">
        <v>9</v>
      </c>
      <c r="D16" s="2" t="s">
        <v>1026</v>
      </c>
      <c r="E16" s="41" t="s">
        <v>1027</v>
      </c>
      <c r="F16" s="40" t="s">
        <v>528</v>
      </c>
      <c r="G16" s="40" t="s">
        <v>920</v>
      </c>
      <c r="H16" s="5">
        <f t="shared" si="0"/>
        <v>1775.1479289940828</v>
      </c>
      <c r="I16" s="81">
        <f t="shared" si="1"/>
        <v>1775.1479289940828</v>
      </c>
      <c r="K16" s="16" t="s">
        <v>41</v>
      </c>
      <c r="L16" s="30">
        <v>15</v>
      </c>
      <c r="M16" s="30">
        <v>11</v>
      </c>
      <c r="N16" s="30">
        <v>1</v>
      </c>
      <c r="O16" s="30">
        <v>3</v>
      </c>
    </row>
    <row r="17" spans="2:15" x14ac:dyDescent="0.3">
      <c r="B17" s="43">
        <v>42317</v>
      </c>
      <c r="C17" s="2" t="s">
        <v>8</v>
      </c>
      <c r="D17" s="2" t="s">
        <v>107</v>
      </c>
      <c r="E17" s="41" t="s">
        <v>900</v>
      </c>
      <c r="F17" s="40" t="s">
        <v>1024</v>
      </c>
      <c r="G17" s="40" t="s">
        <v>1025</v>
      </c>
      <c r="H17" s="5">
        <f t="shared" si="0"/>
        <v>125</v>
      </c>
      <c r="I17" s="81">
        <f t="shared" si="1"/>
        <v>1250</v>
      </c>
      <c r="K17" s="16"/>
      <c r="L17" s="30"/>
      <c r="M17" s="30"/>
      <c r="N17" s="30"/>
      <c r="O17" s="30"/>
    </row>
    <row r="18" spans="2:15" x14ac:dyDescent="0.3">
      <c r="B18" s="43">
        <v>42325</v>
      </c>
      <c r="C18" s="2" t="s">
        <v>9</v>
      </c>
      <c r="D18" s="28" t="s">
        <v>29</v>
      </c>
      <c r="E18" s="30">
        <v>852</v>
      </c>
      <c r="F18" s="30">
        <v>859.5</v>
      </c>
      <c r="G18" s="30">
        <v>7.5</v>
      </c>
      <c r="H18" s="5">
        <f t="shared" si="0"/>
        <v>352.11267605633805</v>
      </c>
      <c r="I18" s="81">
        <f t="shared" si="1"/>
        <v>2640.8450704225352</v>
      </c>
      <c r="K18" s="16" t="s">
        <v>452</v>
      </c>
      <c r="L18" s="30">
        <v>15</v>
      </c>
      <c r="M18" s="30">
        <v>11</v>
      </c>
      <c r="N18" s="30">
        <v>4</v>
      </c>
      <c r="O18" s="30">
        <v>0</v>
      </c>
    </row>
    <row r="19" spans="2:15" x14ac:dyDescent="0.3">
      <c r="B19" s="43">
        <v>42325</v>
      </c>
      <c r="C19" s="2" t="s">
        <v>8</v>
      </c>
      <c r="D19" s="28" t="s">
        <v>111</v>
      </c>
      <c r="E19" s="30">
        <v>443</v>
      </c>
      <c r="F19" s="30">
        <v>439</v>
      </c>
      <c r="G19" s="30">
        <v>4</v>
      </c>
      <c r="H19" s="5">
        <f t="shared" si="0"/>
        <v>677.20090293453723</v>
      </c>
      <c r="I19" s="81">
        <f t="shared" si="1"/>
        <v>2708.8036117381489</v>
      </c>
      <c r="K19" s="16"/>
      <c r="L19" s="30"/>
      <c r="M19" s="30"/>
      <c r="N19" s="30"/>
      <c r="O19" s="30"/>
    </row>
    <row r="20" spans="2:15" x14ac:dyDescent="0.3">
      <c r="B20" s="43">
        <v>42326</v>
      </c>
      <c r="C20" s="2" t="s">
        <v>9</v>
      </c>
      <c r="D20" s="28" t="s">
        <v>828</v>
      </c>
      <c r="E20" s="30">
        <v>1068</v>
      </c>
      <c r="F20" s="30">
        <v>1075</v>
      </c>
      <c r="G20" s="30">
        <v>7</v>
      </c>
      <c r="H20" s="5">
        <f t="shared" si="0"/>
        <v>280.89887640449439</v>
      </c>
      <c r="I20" s="81">
        <f t="shared" si="1"/>
        <v>1966.2921348314608</v>
      </c>
      <c r="K20" s="16" t="s">
        <v>946</v>
      </c>
      <c r="L20" s="21">
        <v>90</v>
      </c>
      <c r="M20" s="21">
        <v>69</v>
      </c>
      <c r="N20" s="21">
        <v>15</v>
      </c>
      <c r="O20" s="21">
        <v>6</v>
      </c>
    </row>
    <row r="21" spans="2:15" x14ac:dyDescent="0.3">
      <c r="B21" s="43">
        <v>42326</v>
      </c>
      <c r="C21" s="2" t="s">
        <v>8</v>
      </c>
      <c r="D21" s="28" t="s">
        <v>29</v>
      </c>
      <c r="E21" s="30">
        <v>842</v>
      </c>
      <c r="F21" s="30">
        <v>838</v>
      </c>
      <c r="G21" s="30">
        <v>4</v>
      </c>
      <c r="H21" s="5">
        <f t="shared" si="0"/>
        <v>356.29453681710214</v>
      </c>
      <c r="I21" s="81">
        <f t="shared" si="1"/>
        <v>1425.1781472684086</v>
      </c>
      <c r="L21" s="16"/>
    </row>
    <row r="22" spans="2:15" x14ac:dyDescent="0.3">
      <c r="B22" s="43">
        <v>42327</v>
      </c>
      <c r="C22" s="2" t="s">
        <v>11</v>
      </c>
      <c r="D22" s="28" t="s">
        <v>90</v>
      </c>
      <c r="E22" s="30">
        <v>524</v>
      </c>
      <c r="F22" s="30">
        <v>535</v>
      </c>
      <c r="G22" s="30">
        <v>11</v>
      </c>
      <c r="H22" s="5">
        <f t="shared" si="0"/>
        <v>572.51908396946567</v>
      </c>
      <c r="I22" s="81">
        <f t="shared" si="1"/>
        <v>6297.7099236641225</v>
      </c>
      <c r="L22" s="28"/>
      <c r="M22" s="30"/>
      <c r="N22" s="30"/>
      <c r="O22" s="30"/>
    </row>
    <row r="23" spans="2:15" x14ac:dyDescent="0.3">
      <c r="B23" s="43">
        <v>42327</v>
      </c>
      <c r="C23" s="2" t="s">
        <v>8</v>
      </c>
      <c r="D23" s="28" t="s">
        <v>796</v>
      </c>
      <c r="E23" s="30">
        <v>1295</v>
      </c>
      <c r="F23" s="30">
        <v>1310</v>
      </c>
      <c r="G23" s="30">
        <v>-15</v>
      </c>
      <c r="H23" s="5">
        <f t="shared" si="0"/>
        <v>231.66023166023166</v>
      </c>
      <c r="I23" s="81">
        <f t="shared" si="1"/>
        <v>-3474.9034749034749</v>
      </c>
      <c r="L23" s="68" t="s">
        <v>947</v>
      </c>
      <c r="M23" s="83"/>
      <c r="N23" s="85">
        <f>SUM(M20*100/L20)</f>
        <v>76.666666666666671</v>
      </c>
      <c r="O23" s="30"/>
    </row>
    <row r="24" spans="2:15" x14ac:dyDescent="0.3">
      <c r="B24" s="43">
        <v>42328</v>
      </c>
      <c r="C24" s="2" t="s">
        <v>11</v>
      </c>
      <c r="D24" s="28" t="s">
        <v>111</v>
      </c>
      <c r="E24" s="30">
        <v>457</v>
      </c>
      <c r="F24" s="30">
        <v>454</v>
      </c>
      <c r="G24" s="30">
        <v>-3</v>
      </c>
      <c r="H24" s="5">
        <f t="shared" si="0"/>
        <v>656.45514223194743</v>
      </c>
      <c r="I24" s="81">
        <f t="shared" si="1"/>
        <v>-1969.3654266958424</v>
      </c>
      <c r="L24" s="49"/>
      <c r="M24" s="30"/>
      <c r="N24" s="30"/>
      <c r="O24" s="30"/>
    </row>
    <row r="25" spans="2:15" x14ac:dyDescent="0.3">
      <c r="B25" s="43">
        <v>42328</v>
      </c>
      <c r="C25" s="2" t="s">
        <v>8</v>
      </c>
      <c r="D25" s="28" t="s">
        <v>828</v>
      </c>
      <c r="E25" s="30">
        <v>1045</v>
      </c>
      <c r="F25" s="30">
        <v>1028</v>
      </c>
      <c r="G25" s="30">
        <v>17</v>
      </c>
      <c r="H25" s="5">
        <f t="shared" si="0"/>
        <v>287.08133971291863</v>
      </c>
      <c r="I25" s="81">
        <f t="shared" si="1"/>
        <v>4880.3827751196168</v>
      </c>
      <c r="L25" s="49"/>
      <c r="M25" s="30"/>
      <c r="N25" s="30"/>
      <c r="O25" s="30"/>
    </row>
    <row r="26" spans="2:15" x14ac:dyDescent="0.3">
      <c r="B26" s="43">
        <v>42331</v>
      </c>
      <c r="C26" s="2" t="s">
        <v>11</v>
      </c>
      <c r="D26" s="28" t="s">
        <v>796</v>
      </c>
      <c r="E26" s="30">
        <v>1345</v>
      </c>
      <c r="F26" s="30">
        <v>1355</v>
      </c>
      <c r="G26" s="30">
        <v>10</v>
      </c>
      <c r="H26" s="5">
        <f t="shared" si="0"/>
        <v>223.04832713754647</v>
      </c>
      <c r="I26" s="81">
        <f t="shared" si="1"/>
        <v>2230.4832713754645</v>
      </c>
      <c r="L26" s="49"/>
      <c r="M26" s="30"/>
      <c r="N26" s="30"/>
      <c r="O26" s="30"/>
    </row>
    <row r="27" spans="2:15" x14ac:dyDescent="0.3">
      <c r="B27" s="43">
        <v>42331</v>
      </c>
      <c r="C27" s="2" t="s">
        <v>8</v>
      </c>
      <c r="D27" s="28" t="s">
        <v>111</v>
      </c>
      <c r="E27" s="30">
        <v>454</v>
      </c>
      <c r="F27" s="30">
        <v>459</v>
      </c>
      <c r="G27" s="30">
        <v>-5</v>
      </c>
      <c r="H27" s="5">
        <f t="shared" si="0"/>
        <v>660.79295154185024</v>
      </c>
      <c r="I27" s="81">
        <f t="shared" si="1"/>
        <v>-3303.964757709251</v>
      </c>
      <c r="L27" s="49"/>
      <c r="M27" s="30"/>
      <c r="N27" s="30"/>
      <c r="O27" s="30"/>
    </row>
    <row r="28" spans="2:15" x14ac:dyDescent="0.3">
      <c r="B28" s="43">
        <v>42332</v>
      </c>
      <c r="C28" s="2" t="s">
        <v>11</v>
      </c>
      <c r="D28" s="30" t="s">
        <v>34</v>
      </c>
      <c r="E28" s="30">
        <v>140</v>
      </c>
      <c r="F28" s="30">
        <v>141.19999999999999</v>
      </c>
      <c r="G28" s="30">
        <v>1.2</v>
      </c>
      <c r="H28" s="5">
        <f t="shared" si="0"/>
        <v>2142.8571428571427</v>
      </c>
      <c r="I28" s="81">
        <f t="shared" si="1"/>
        <v>2571.4285714285711</v>
      </c>
      <c r="L28" s="49"/>
      <c r="M28" s="30"/>
      <c r="N28" s="30"/>
      <c r="O28" s="30"/>
    </row>
    <row r="29" spans="2:15" x14ac:dyDescent="0.3">
      <c r="B29" s="43">
        <v>42332</v>
      </c>
      <c r="C29" s="2" t="s">
        <v>8</v>
      </c>
      <c r="D29" s="30" t="s">
        <v>796</v>
      </c>
      <c r="E29" s="30">
        <v>1350</v>
      </c>
      <c r="F29" s="30">
        <v>1325</v>
      </c>
      <c r="G29" s="30">
        <v>25</v>
      </c>
      <c r="H29" s="5">
        <f t="shared" si="0"/>
        <v>222.22222222222223</v>
      </c>
      <c r="I29" s="81">
        <f t="shared" si="1"/>
        <v>5555.5555555555557</v>
      </c>
      <c r="L29" s="16"/>
    </row>
    <row r="30" spans="2:15" x14ac:dyDescent="0.3">
      <c r="B30" s="43">
        <v>42334</v>
      </c>
      <c r="C30" s="2" t="s">
        <v>11</v>
      </c>
      <c r="D30" s="30" t="s">
        <v>13</v>
      </c>
      <c r="E30" s="30">
        <v>424</v>
      </c>
      <c r="F30" s="30">
        <v>433</v>
      </c>
      <c r="G30" s="30">
        <v>9</v>
      </c>
      <c r="H30" s="5">
        <f t="shared" si="0"/>
        <v>707.54716981132071</v>
      </c>
      <c r="I30" s="81">
        <f t="shared" si="1"/>
        <v>6367.9245283018863</v>
      </c>
      <c r="L30" s="16"/>
    </row>
    <row r="31" spans="2:15" x14ac:dyDescent="0.3">
      <c r="B31" s="43">
        <v>42334</v>
      </c>
      <c r="C31" s="2" t="s">
        <v>8</v>
      </c>
      <c r="D31" s="30" t="s">
        <v>828</v>
      </c>
      <c r="E31" s="30">
        <v>1057</v>
      </c>
      <c r="F31" s="30">
        <v>1032</v>
      </c>
      <c r="G31" s="30">
        <v>25</v>
      </c>
      <c r="H31" s="5">
        <f t="shared" si="0"/>
        <v>283.82213812677389</v>
      </c>
      <c r="I31" s="81">
        <f t="shared" si="1"/>
        <v>7095.5534531693474</v>
      </c>
      <c r="L31" s="41"/>
    </row>
    <row r="32" spans="2:15" x14ac:dyDescent="0.3">
      <c r="B32" s="43">
        <v>42335</v>
      </c>
      <c r="C32" s="2" t="s">
        <v>11</v>
      </c>
      <c r="D32" s="30" t="s">
        <v>13</v>
      </c>
      <c r="E32" s="30">
        <v>437</v>
      </c>
      <c r="F32" s="30">
        <v>440.5</v>
      </c>
      <c r="G32" s="30">
        <v>3.5</v>
      </c>
      <c r="H32" s="5">
        <f t="shared" si="0"/>
        <v>686.49885583524031</v>
      </c>
      <c r="I32" s="81">
        <f t="shared" si="1"/>
        <v>2402.7459954233409</v>
      </c>
      <c r="L32" s="41"/>
    </row>
    <row r="33" spans="2:13" x14ac:dyDescent="0.3">
      <c r="B33" s="43">
        <v>42335</v>
      </c>
      <c r="C33" s="2" t="s">
        <v>9</v>
      </c>
      <c r="D33" s="30" t="s">
        <v>19</v>
      </c>
      <c r="E33" s="30">
        <v>244</v>
      </c>
      <c r="F33" s="30">
        <v>247</v>
      </c>
      <c r="G33" s="30">
        <v>3</v>
      </c>
      <c r="H33" s="5">
        <f t="shared" si="0"/>
        <v>1229.5081967213114</v>
      </c>
      <c r="I33" s="81">
        <f t="shared" si="1"/>
        <v>3688.5245901639341</v>
      </c>
      <c r="M33" s="30"/>
    </row>
    <row r="34" spans="2:13" x14ac:dyDescent="0.3">
      <c r="B34" s="43">
        <v>42338</v>
      </c>
      <c r="C34" s="2" t="s">
        <v>9</v>
      </c>
      <c r="D34" s="30" t="s">
        <v>15</v>
      </c>
      <c r="E34" s="30">
        <v>1240</v>
      </c>
      <c r="F34" s="30">
        <v>1250</v>
      </c>
      <c r="G34" s="30">
        <v>10</v>
      </c>
      <c r="H34" s="5">
        <f t="shared" si="0"/>
        <v>241.93548387096774</v>
      </c>
      <c r="I34" s="81">
        <f t="shared" si="1"/>
        <v>2419.3548387096776</v>
      </c>
      <c r="M34" s="30"/>
    </row>
    <row r="35" spans="2:13" x14ac:dyDescent="0.3">
      <c r="B35" s="43">
        <v>42338</v>
      </c>
      <c r="C35" s="2" t="s">
        <v>8</v>
      </c>
      <c r="D35" s="30" t="s">
        <v>939</v>
      </c>
      <c r="E35" s="30">
        <v>425</v>
      </c>
      <c r="F35" s="30">
        <v>419</v>
      </c>
      <c r="G35" s="30">
        <v>6</v>
      </c>
      <c r="H35" s="5">
        <f t="shared" si="0"/>
        <v>705.88235294117646</v>
      </c>
      <c r="I35" s="81">
        <f t="shared" si="1"/>
        <v>4235.2941176470586</v>
      </c>
      <c r="M35" s="30"/>
    </row>
    <row r="36" spans="2:13" ht="18" x14ac:dyDescent="0.35">
      <c r="B36" s="43"/>
      <c r="D36" s="28"/>
      <c r="E36" s="30"/>
      <c r="F36" s="30"/>
      <c r="G36" s="30"/>
      <c r="H36" s="5"/>
      <c r="I36" s="82">
        <v>77696</v>
      </c>
      <c r="M36" s="30"/>
    </row>
    <row r="37" spans="2:13" ht="18" x14ac:dyDescent="0.35">
      <c r="C37" s="2"/>
      <c r="D37" s="28"/>
      <c r="E37" s="30"/>
      <c r="F37" s="30"/>
      <c r="G37" s="30"/>
      <c r="H37" s="30"/>
      <c r="I37" s="82"/>
      <c r="M37" s="30"/>
    </row>
    <row r="38" spans="2:13" x14ac:dyDescent="0.3">
      <c r="C38" s="2"/>
      <c r="D38" s="28"/>
      <c r="E38" s="30"/>
      <c r="F38" s="30"/>
      <c r="G38" s="30"/>
      <c r="H38" s="30"/>
      <c r="M38" s="30"/>
    </row>
    <row r="39" spans="2:13" x14ac:dyDescent="0.3">
      <c r="C39" s="2"/>
      <c r="D39" s="28"/>
      <c r="E39" s="30"/>
      <c r="F39" s="30"/>
      <c r="G39" s="30"/>
      <c r="H39" s="30"/>
      <c r="I39" s="30"/>
      <c r="M39" s="30"/>
    </row>
    <row r="40" spans="2:13" x14ac:dyDescent="0.3">
      <c r="M40" s="30"/>
    </row>
    <row r="41" spans="2:13" ht="15.6" x14ac:dyDescent="0.3">
      <c r="B41" s="48" t="s">
        <v>62</v>
      </c>
      <c r="C41" s="48"/>
      <c r="D41" s="48"/>
      <c r="E41" s="48"/>
      <c r="F41" s="48"/>
      <c r="G41" s="48"/>
      <c r="H41" s="48"/>
      <c r="I41" s="48"/>
    </row>
    <row r="42" spans="2:13" x14ac:dyDescent="0.3">
      <c r="B42" s="43">
        <v>42310</v>
      </c>
      <c r="C42" s="2" t="s">
        <v>8</v>
      </c>
      <c r="D42" s="2" t="s">
        <v>828</v>
      </c>
      <c r="E42" s="41" t="s">
        <v>1012</v>
      </c>
      <c r="F42" s="40" t="s">
        <v>1013</v>
      </c>
      <c r="G42" s="40" t="s">
        <v>997</v>
      </c>
      <c r="H42" s="5">
        <v>700</v>
      </c>
      <c r="I42" s="40" t="s">
        <v>1021</v>
      </c>
    </row>
    <row r="43" spans="2:13" x14ac:dyDescent="0.3">
      <c r="B43" s="43">
        <v>42311</v>
      </c>
      <c r="C43" s="2" t="s">
        <v>8</v>
      </c>
      <c r="D43" s="2" t="s">
        <v>403</v>
      </c>
      <c r="E43" s="41" t="s">
        <v>1014</v>
      </c>
      <c r="F43" s="40" t="s">
        <v>1015</v>
      </c>
      <c r="G43" s="40" t="s">
        <v>1016</v>
      </c>
      <c r="H43" s="5">
        <v>600</v>
      </c>
      <c r="I43" s="40" t="s">
        <v>1022</v>
      </c>
    </row>
    <row r="44" spans="2:13" x14ac:dyDescent="0.3">
      <c r="B44" s="43">
        <v>42312</v>
      </c>
      <c r="C44" s="30" t="s">
        <v>8</v>
      </c>
      <c r="D44" s="30" t="s">
        <v>828</v>
      </c>
      <c r="E44" s="30">
        <v>1105</v>
      </c>
      <c r="F44" s="30">
        <v>1080</v>
      </c>
      <c r="G44" s="30">
        <v>25</v>
      </c>
      <c r="H44" s="30">
        <v>700</v>
      </c>
      <c r="I44" s="30">
        <v>17500</v>
      </c>
    </row>
    <row r="45" spans="2:13" x14ac:dyDescent="0.3">
      <c r="B45" s="43">
        <v>42313</v>
      </c>
      <c r="C45" s="30" t="s">
        <v>8</v>
      </c>
      <c r="D45" s="30" t="s">
        <v>403</v>
      </c>
      <c r="E45" s="30">
        <v>1175</v>
      </c>
      <c r="F45" s="30">
        <v>1160</v>
      </c>
      <c r="G45" s="30">
        <v>15</v>
      </c>
      <c r="H45" s="30">
        <v>600</v>
      </c>
      <c r="I45" s="30">
        <v>9000</v>
      </c>
    </row>
    <row r="46" spans="2:13" x14ac:dyDescent="0.3">
      <c r="B46" s="43">
        <v>42314</v>
      </c>
      <c r="C46" s="30" t="s">
        <v>8</v>
      </c>
      <c r="D46" s="30" t="s">
        <v>1017</v>
      </c>
      <c r="E46" s="30">
        <v>1495</v>
      </c>
      <c r="F46" s="30">
        <v>1470</v>
      </c>
      <c r="G46" s="30">
        <v>25</v>
      </c>
      <c r="H46" s="30">
        <v>400</v>
      </c>
      <c r="I46" s="30">
        <v>10000</v>
      </c>
      <c r="K46" s="86"/>
    </row>
    <row r="47" spans="2:13" x14ac:dyDescent="0.3">
      <c r="B47" s="43">
        <v>42317</v>
      </c>
      <c r="C47" s="30" t="s">
        <v>8</v>
      </c>
      <c r="D47" s="30" t="s">
        <v>796</v>
      </c>
      <c r="E47" s="30">
        <v>1320</v>
      </c>
      <c r="F47" s="30">
        <v>1310</v>
      </c>
      <c r="G47" s="30">
        <v>10</v>
      </c>
      <c r="H47" s="30">
        <v>400</v>
      </c>
      <c r="I47" s="30">
        <v>4000</v>
      </c>
      <c r="K47" s="86"/>
    </row>
    <row r="48" spans="2:13" x14ac:dyDescent="0.3">
      <c r="B48" s="43">
        <v>42325</v>
      </c>
      <c r="C48" s="30" t="s">
        <v>9</v>
      </c>
      <c r="D48" s="30" t="s">
        <v>796</v>
      </c>
      <c r="E48" s="30">
        <v>1305</v>
      </c>
      <c r="F48" s="30">
        <v>1321</v>
      </c>
      <c r="G48" s="30">
        <v>16</v>
      </c>
      <c r="H48" s="30">
        <v>400</v>
      </c>
      <c r="I48" s="30">
        <v>6400</v>
      </c>
      <c r="K48" s="86"/>
    </row>
    <row r="49" spans="2:11" x14ac:dyDescent="0.3">
      <c r="B49" s="43">
        <v>42326</v>
      </c>
      <c r="C49" s="30" t="s">
        <v>9</v>
      </c>
      <c r="D49" s="30" t="s">
        <v>111</v>
      </c>
      <c r="E49" s="30">
        <v>446</v>
      </c>
      <c r="F49" s="30">
        <v>450</v>
      </c>
      <c r="G49" s="30">
        <v>4</v>
      </c>
      <c r="H49" s="30">
        <v>1100</v>
      </c>
      <c r="I49" s="30">
        <v>4400</v>
      </c>
      <c r="K49" s="86"/>
    </row>
    <row r="50" spans="2:11" x14ac:dyDescent="0.3">
      <c r="B50" s="43">
        <v>42327</v>
      </c>
      <c r="C50" s="30" t="s">
        <v>8</v>
      </c>
      <c r="D50" s="30" t="s">
        <v>111</v>
      </c>
      <c r="E50" s="30">
        <v>450</v>
      </c>
      <c r="F50" s="30">
        <v>455</v>
      </c>
      <c r="G50" s="30">
        <v>-5</v>
      </c>
      <c r="H50" s="30">
        <v>1100</v>
      </c>
      <c r="I50" s="30">
        <v>-5500</v>
      </c>
      <c r="K50" s="86"/>
    </row>
    <row r="51" spans="2:11" x14ac:dyDescent="0.3">
      <c r="B51" s="43">
        <v>42328</v>
      </c>
      <c r="C51" s="30" t="s">
        <v>8</v>
      </c>
      <c r="D51" s="30" t="s">
        <v>58</v>
      </c>
      <c r="E51" s="30">
        <v>461</v>
      </c>
      <c r="F51" s="30">
        <v>460</v>
      </c>
      <c r="G51" s="30">
        <v>1</v>
      </c>
      <c r="H51" s="30">
        <v>1000</v>
      </c>
      <c r="I51" s="30">
        <v>1000</v>
      </c>
      <c r="K51" s="86"/>
    </row>
    <row r="52" spans="2:11" x14ac:dyDescent="0.3">
      <c r="B52" s="43">
        <v>42331</v>
      </c>
      <c r="C52" s="30" t="s">
        <v>8</v>
      </c>
      <c r="D52" s="30" t="s">
        <v>864</v>
      </c>
      <c r="E52" s="30">
        <v>1265</v>
      </c>
      <c r="F52" s="30">
        <v>1255</v>
      </c>
      <c r="G52" s="30">
        <v>10</v>
      </c>
      <c r="H52" s="30">
        <v>400</v>
      </c>
      <c r="I52" s="30">
        <v>4000</v>
      </c>
      <c r="K52" s="86"/>
    </row>
    <row r="53" spans="2:11" x14ac:dyDescent="0.3">
      <c r="B53" s="43">
        <v>42332</v>
      </c>
      <c r="C53" s="30" t="s">
        <v>8</v>
      </c>
      <c r="D53" s="30" t="s">
        <v>403</v>
      </c>
      <c r="E53" s="30">
        <v>1165</v>
      </c>
      <c r="F53" s="30">
        <v>1150</v>
      </c>
      <c r="G53" s="30">
        <v>-15</v>
      </c>
      <c r="H53" s="30">
        <v>600</v>
      </c>
      <c r="I53" s="30">
        <v>-9000</v>
      </c>
      <c r="K53" s="86"/>
    </row>
    <row r="54" spans="2:11" x14ac:dyDescent="0.3">
      <c r="B54" s="43">
        <v>42334</v>
      </c>
      <c r="C54" s="30" t="s">
        <v>8</v>
      </c>
      <c r="D54" s="30" t="s">
        <v>796</v>
      </c>
      <c r="E54" s="30">
        <v>1320</v>
      </c>
      <c r="F54" s="30">
        <v>1310</v>
      </c>
      <c r="G54" s="30">
        <v>10</v>
      </c>
      <c r="H54" s="30">
        <v>400</v>
      </c>
      <c r="I54" s="30">
        <v>4000</v>
      </c>
      <c r="K54" s="86"/>
    </row>
    <row r="55" spans="2:11" x14ac:dyDescent="0.3">
      <c r="B55" s="43">
        <v>42335</v>
      </c>
      <c r="C55" s="30" t="s">
        <v>8</v>
      </c>
      <c r="D55" s="30" t="s">
        <v>828</v>
      </c>
      <c r="E55" s="30">
        <v>1030</v>
      </c>
      <c r="F55" s="30">
        <v>1015</v>
      </c>
      <c r="G55" s="30">
        <v>15</v>
      </c>
      <c r="H55" s="30">
        <v>700</v>
      </c>
      <c r="I55" s="30">
        <v>10500</v>
      </c>
      <c r="K55" s="86"/>
    </row>
    <row r="56" spans="2:11" x14ac:dyDescent="0.3">
      <c r="B56" s="43">
        <v>42338</v>
      </c>
      <c r="C56" s="30" t="s">
        <v>9</v>
      </c>
      <c r="D56" s="30" t="s">
        <v>585</v>
      </c>
      <c r="E56" s="30">
        <v>553</v>
      </c>
      <c r="F56" s="30">
        <v>554</v>
      </c>
      <c r="G56" s="30">
        <v>-1</v>
      </c>
      <c r="H56" s="30">
        <v>1000</v>
      </c>
      <c r="I56" s="30">
        <v>-1000</v>
      </c>
      <c r="K56" s="86"/>
    </row>
    <row r="57" spans="2:11" x14ac:dyDescent="0.3">
      <c r="C57" s="30"/>
      <c r="D57" s="30"/>
      <c r="E57" s="30"/>
      <c r="F57" s="30"/>
      <c r="G57" s="30"/>
      <c r="H57" s="30"/>
      <c r="I57" s="30"/>
      <c r="K57" s="86"/>
    </row>
    <row r="58" spans="2:11" x14ac:dyDescent="0.3">
      <c r="C58" s="30"/>
      <c r="D58" s="30"/>
      <c r="E58" s="30"/>
      <c r="F58" s="30"/>
      <c r="G58" s="30"/>
      <c r="H58" s="30"/>
      <c r="I58" s="30"/>
      <c r="K58" s="86"/>
    </row>
    <row r="59" spans="2:11" ht="18" x14ac:dyDescent="0.35">
      <c r="C59" s="30"/>
      <c r="D59" s="30"/>
      <c r="E59" s="30"/>
      <c r="F59" s="30"/>
      <c r="G59" s="30"/>
      <c r="H59" s="30"/>
      <c r="I59" s="72">
        <v>67700</v>
      </c>
      <c r="K59" s="86"/>
    </row>
    <row r="60" spans="2:11" ht="18" x14ac:dyDescent="0.35">
      <c r="C60" s="30"/>
      <c r="D60" s="30"/>
      <c r="E60" s="30"/>
      <c r="F60" s="30"/>
      <c r="G60" s="30"/>
      <c r="H60" s="30"/>
      <c r="I60" s="76"/>
      <c r="K60" s="86"/>
    </row>
    <row r="61" spans="2:11" x14ac:dyDescent="0.3">
      <c r="C61" s="30"/>
      <c r="D61" s="30"/>
      <c r="E61" s="30"/>
      <c r="F61" s="30"/>
      <c r="G61" s="30"/>
      <c r="H61" s="30"/>
      <c r="I61" s="49"/>
      <c r="K61" s="86"/>
    </row>
    <row r="62" spans="2:11" ht="15.6" x14ac:dyDescent="0.3">
      <c r="B62" s="43"/>
      <c r="C62" s="30"/>
      <c r="D62" s="30"/>
      <c r="E62" s="30"/>
      <c r="F62" s="30"/>
      <c r="G62" s="30"/>
      <c r="H62" s="30"/>
      <c r="I62" s="33"/>
      <c r="K62" s="86"/>
    </row>
    <row r="63" spans="2:11" ht="15.6" x14ac:dyDescent="0.3">
      <c r="B63" s="48" t="s">
        <v>63</v>
      </c>
      <c r="C63" s="48"/>
      <c r="D63" s="48"/>
      <c r="E63" s="48"/>
      <c r="F63" s="48"/>
      <c r="G63" s="48"/>
      <c r="H63" s="48"/>
      <c r="I63" s="48"/>
      <c r="K63" s="86"/>
    </row>
    <row r="64" spans="2:11" x14ac:dyDescent="0.3">
      <c r="B64" s="43">
        <v>42310</v>
      </c>
      <c r="C64" s="2" t="s">
        <v>8</v>
      </c>
      <c r="D64" s="2" t="s">
        <v>39</v>
      </c>
      <c r="E64" s="41" t="s">
        <v>1018</v>
      </c>
      <c r="F64" s="40" t="s">
        <v>1019</v>
      </c>
      <c r="G64" s="40" t="s">
        <v>961</v>
      </c>
      <c r="H64" s="30">
        <v>150</v>
      </c>
      <c r="I64" s="41" t="s">
        <v>1020</v>
      </c>
    </row>
    <row r="65" spans="2:11" x14ac:dyDescent="0.3">
      <c r="B65" s="43">
        <v>42311</v>
      </c>
      <c r="C65" s="30" t="s">
        <v>9</v>
      </c>
      <c r="D65" s="2" t="s">
        <v>39</v>
      </c>
      <c r="E65" s="2">
        <v>8105</v>
      </c>
      <c r="F65" s="30">
        <v>8070</v>
      </c>
      <c r="G65" s="30">
        <v>-35</v>
      </c>
      <c r="H65" s="30">
        <v>150</v>
      </c>
      <c r="I65" s="30">
        <v>-5250</v>
      </c>
    </row>
    <row r="66" spans="2:11" x14ac:dyDescent="0.3">
      <c r="B66" s="43">
        <v>42312</v>
      </c>
      <c r="C66" s="30" t="s">
        <v>8</v>
      </c>
      <c r="D66" s="2" t="s">
        <v>39</v>
      </c>
      <c r="E66" s="2">
        <v>8125</v>
      </c>
      <c r="F66" s="30">
        <v>8065</v>
      </c>
      <c r="G66" s="30">
        <v>60</v>
      </c>
      <c r="H66" s="30">
        <v>150</v>
      </c>
      <c r="I66" s="30">
        <v>9000</v>
      </c>
    </row>
    <row r="67" spans="2:11" x14ac:dyDescent="0.3">
      <c r="B67" s="43">
        <v>42313</v>
      </c>
      <c r="C67" s="30" t="s">
        <v>8</v>
      </c>
      <c r="D67" s="2" t="s">
        <v>39</v>
      </c>
      <c r="E67" s="2">
        <v>8045</v>
      </c>
      <c r="F67" s="30">
        <v>7985</v>
      </c>
      <c r="G67" s="30">
        <v>60</v>
      </c>
      <c r="H67" s="30">
        <v>150</v>
      </c>
      <c r="I67" s="30">
        <v>9000</v>
      </c>
    </row>
    <row r="68" spans="2:11" x14ac:dyDescent="0.3">
      <c r="B68" s="43">
        <v>42314</v>
      </c>
      <c r="C68" s="30" t="s">
        <v>8</v>
      </c>
      <c r="D68" s="2" t="s">
        <v>39</v>
      </c>
      <c r="E68" s="30">
        <v>7975</v>
      </c>
      <c r="F68" s="30">
        <v>7950</v>
      </c>
      <c r="G68" s="30">
        <v>25</v>
      </c>
      <c r="H68" s="30">
        <v>150</v>
      </c>
      <c r="I68" s="30">
        <v>3750</v>
      </c>
      <c r="K68" s="86"/>
    </row>
    <row r="69" spans="2:11" x14ac:dyDescent="0.3">
      <c r="B69" s="43">
        <v>42317</v>
      </c>
      <c r="C69" s="30" t="s">
        <v>9</v>
      </c>
      <c r="D69" s="2" t="s">
        <v>39</v>
      </c>
      <c r="E69" s="30">
        <v>7870</v>
      </c>
      <c r="F69" s="30">
        <v>7910</v>
      </c>
      <c r="G69" s="30">
        <v>40</v>
      </c>
      <c r="H69" s="30">
        <v>150</v>
      </c>
      <c r="I69" s="30">
        <v>6000</v>
      </c>
      <c r="K69" s="86"/>
    </row>
    <row r="70" spans="2:11" x14ac:dyDescent="0.3">
      <c r="B70" s="43">
        <v>42325</v>
      </c>
      <c r="C70" s="30" t="s">
        <v>8</v>
      </c>
      <c r="D70" s="2" t="s">
        <v>39</v>
      </c>
      <c r="E70" s="30">
        <v>7835</v>
      </c>
      <c r="F70" s="30">
        <v>7810</v>
      </c>
      <c r="G70" s="30">
        <v>25</v>
      </c>
      <c r="H70" s="30">
        <v>150</v>
      </c>
      <c r="I70" s="30">
        <v>3750</v>
      </c>
      <c r="K70" s="86"/>
    </row>
    <row r="71" spans="2:11" x14ac:dyDescent="0.3">
      <c r="B71" s="43">
        <v>42326</v>
      </c>
      <c r="C71" s="30" t="s">
        <v>8</v>
      </c>
      <c r="D71" s="2" t="s">
        <v>39</v>
      </c>
      <c r="E71" s="30">
        <v>7840</v>
      </c>
      <c r="F71" s="30">
        <v>7780</v>
      </c>
      <c r="G71" s="30">
        <v>60</v>
      </c>
      <c r="H71" s="30">
        <v>150</v>
      </c>
      <c r="I71" s="30">
        <v>9000</v>
      </c>
      <c r="K71" s="86"/>
    </row>
    <row r="72" spans="2:11" x14ac:dyDescent="0.3">
      <c r="B72" s="43">
        <v>42327</v>
      </c>
      <c r="C72" s="30" t="s">
        <v>8</v>
      </c>
      <c r="D72" s="2" t="s">
        <v>39</v>
      </c>
      <c r="E72" s="30">
        <v>7820</v>
      </c>
      <c r="F72" s="30">
        <v>7855</v>
      </c>
      <c r="G72" s="30">
        <v>-35</v>
      </c>
      <c r="H72" s="30">
        <v>150</v>
      </c>
      <c r="I72" s="30">
        <v>-5250</v>
      </c>
      <c r="K72" s="86"/>
    </row>
    <row r="73" spans="2:11" x14ac:dyDescent="0.3">
      <c r="B73" s="43">
        <v>42328</v>
      </c>
      <c r="C73" s="30" t="s">
        <v>8</v>
      </c>
      <c r="D73" s="2" t="s">
        <v>39</v>
      </c>
      <c r="E73" s="30">
        <v>7835</v>
      </c>
      <c r="F73" s="30">
        <v>7870</v>
      </c>
      <c r="G73" s="30">
        <v>-35</v>
      </c>
      <c r="H73" s="30">
        <v>150</v>
      </c>
      <c r="I73" s="30">
        <v>-5250</v>
      </c>
      <c r="K73" s="86"/>
    </row>
    <row r="74" spans="2:11" x14ac:dyDescent="0.3">
      <c r="B74" s="43">
        <v>42331</v>
      </c>
      <c r="C74" s="30" t="s">
        <v>8</v>
      </c>
      <c r="D74" s="2" t="s">
        <v>39</v>
      </c>
      <c r="E74" s="30">
        <v>7865</v>
      </c>
      <c r="F74" s="30">
        <v>7825</v>
      </c>
      <c r="G74" s="30">
        <v>40</v>
      </c>
      <c r="H74" s="30">
        <v>150</v>
      </c>
      <c r="I74" s="30">
        <v>6000</v>
      </c>
      <c r="K74" s="86"/>
    </row>
    <row r="75" spans="2:11" x14ac:dyDescent="0.3">
      <c r="B75" s="43">
        <v>42332</v>
      </c>
      <c r="C75" s="30" t="s">
        <v>9</v>
      </c>
      <c r="D75" s="2" t="s">
        <v>39</v>
      </c>
      <c r="E75" s="30">
        <v>7860</v>
      </c>
      <c r="F75" s="30">
        <v>7825</v>
      </c>
      <c r="G75" s="30">
        <v>-35</v>
      </c>
      <c r="H75" s="30">
        <v>150</v>
      </c>
      <c r="I75" s="30">
        <v>-5250</v>
      </c>
      <c r="K75" s="86"/>
    </row>
    <row r="76" spans="2:11" x14ac:dyDescent="0.3">
      <c r="B76" s="43">
        <v>42334</v>
      </c>
      <c r="C76" s="30" t="s">
        <v>9</v>
      </c>
      <c r="D76" s="2" t="s">
        <v>39</v>
      </c>
      <c r="E76" s="30">
        <v>7870</v>
      </c>
      <c r="F76" s="30">
        <v>7895</v>
      </c>
      <c r="G76" s="30">
        <v>25</v>
      </c>
      <c r="H76" s="30">
        <v>150</v>
      </c>
      <c r="I76" s="30">
        <v>3750</v>
      </c>
      <c r="K76" s="86"/>
    </row>
    <row r="77" spans="2:11" x14ac:dyDescent="0.3">
      <c r="B77" s="43">
        <v>42335</v>
      </c>
      <c r="C77" s="30" t="s">
        <v>9</v>
      </c>
      <c r="D77" s="2" t="s">
        <v>39</v>
      </c>
      <c r="E77" s="30">
        <v>7960</v>
      </c>
      <c r="F77" s="30">
        <v>7985</v>
      </c>
      <c r="G77" s="30">
        <v>25</v>
      </c>
      <c r="H77" s="30">
        <v>150</v>
      </c>
      <c r="I77" s="30">
        <v>3750</v>
      </c>
      <c r="K77" s="86"/>
    </row>
    <row r="78" spans="2:11" x14ac:dyDescent="0.3">
      <c r="B78" s="43">
        <v>42338</v>
      </c>
      <c r="C78" s="30" t="s">
        <v>9</v>
      </c>
      <c r="D78" s="2" t="s">
        <v>39</v>
      </c>
      <c r="E78" s="30">
        <v>7960</v>
      </c>
      <c r="F78" s="30">
        <v>7985</v>
      </c>
      <c r="G78" s="30">
        <v>25</v>
      </c>
      <c r="H78" s="30">
        <v>150</v>
      </c>
      <c r="I78" s="30">
        <v>3750</v>
      </c>
      <c r="K78" s="86"/>
    </row>
    <row r="79" spans="2:11" x14ac:dyDescent="0.3">
      <c r="B79" s="43"/>
      <c r="C79" s="30"/>
      <c r="D79" s="2"/>
      <c r="E79" s="30"/>
      <c r="F79" s="30"/>
      <c r="G79" s="30"/>
      <c r="H79" s="30"/>
      <c r="I79" s="30"/>
      <c r="K79" s="86"/>
    </row>
    <row r="80" spans="2:11" ht="18" x14ac:dyDescent="0.35">
      <c r="B80" s="43"/>
      <c r="C80" s="30"/>
      <c r="D80" s="2"/>
      <c r="E80" s="30"/>
      <c r="F80" s="30"/>
      <c r="G80" s="30"/>
      <c r="H80" s="30"/>
      <c r="I80" s="76" t="s">
        <v>1028</v>
      </c>
      <c r="K80" s="86"/>
    </row>
    <row r="81" spans="2:11" x14ac:dyDescent="0.3">
      <c r="B81" s="43"/>
      <c r="C81" s="28"/>
      <c r="D81" s="30"/>
      <c r="E81" s="28"/>
      <c r="F81" s="28"/>
      <c r="G81" s="28"/>
      <c r="H81" s="28"/>
      <c r="I81" s="28"/>
      <c r="K81" s="86"/>
    </row>
    <row r="82" spans="2:11" ht="15.6" x14ac:dyDescent="0.3">
      <c r="B82" s="48" t="s">
        <v>991</v>
      </c>
      <c r="C82" s="61"/>
      <c r="D82" s="61"/>
      <c r="E82" s="61"/>
      <c r="F82" s="61"/>
      <c r="G82" s="61"/>
      <c r="H82" s="61"/>
      <c r="I82" s="61"/>
      <c r="K82" s="86"/>
    </row>
    <row r="83" spans="2:11" x14ac:dyDescent="0.3">
      <c r="B83" s="43">
        <v>42310</v>
      </c>
      <c r="C83" s="3" t="s">
        <v>9</v>
      </c>
      <c r="D83" s="3" t="s">
        <v>980</v>
      </c>
      <c r="E83" s="41" t="s">
        <v>229</v>
      </c>
      <c r="F83" s="41" t="s">
        <v>854</v>
      </c>
      <c r="G83" s="41" t="s">
        <v>951</v>
      </c>
      <c r="H83" s="30">
        <v>300</v>
      </c>
      <c r="I83" s="8">
        <f>H83*G83</f>
        <v>4500</v>
      </c>
    </row>
    <row r="84" spans="2:11" x14ac:dyDescent="0.3">
      <c r="B84" s="43">
        <v>42311</v>
      </c>
      <c r="C84" s="3" t="s">
        <v>9</v>
      </c>
      <c r="D84" s="3" t="s">
        <v>976</v>
      </c>
      <c r="E84" s="30">
        <v>145</v>
      </c>
      <c r="F84" s="30">
        <v>130</v>
      </c>
      <c r="G84" s="30">
        <v>-15</v>
      </c>
      <c r="H84" s="30">
        <v>300</v>
      </c>
      <c r="I84" s="8">
        <f t="shared" ref="I84:I97" si="2">H84*G84</f>
        <v>-4500</v>
      </c>
    </row>
    <row r="85" spans="2:11" x14ac:dyDescent="0.3">
      <c r="B85" s="43">
        <v>42312</v>
      </c>
      <c r="C85" s="3" t="s">
        <v>9</v>
      </c>
      <c r="D85" s="3" t="s">
        <v>980</v>
      </c>
      <c r="E85" s="30">
        <v>130</v>
      </c>
      <c r="F85" s="30">
        <v>155</v>
      </c>
      <c r="G85" s="30">
        <v>25</v>
      </c>
      <c r="H85" s="30">
        <v>300</v>
      </c>
      <c r="I85" s="8">
        <f t="shared" si="2"/>
        <v>7500</v>
      </c>
    </row>
    <row r="86" spans="2:11" x14ac:dyDescent="0.3">
      <c r="B86" s="43">
        <v>42313</v>
      </c>
      <c r="C86" s="3" t="s">
        <v>9</v>
      </c>
      <c r="D86" s="3" t="s">
        <v>980</v>
      </c>
      <c r="E86" s="30">
        <v>170</v>
      </c>
      <c r="F86" s="30">
        <v>200</v>
      </c>
      <c r="G86" s="30">
        <v>30</v>
      </c>
      <c r="H86" s="30">
        <v>300</v>
      </c>
      <c r="I86" s="8">
        <f t="shared" si="2"/>
        <v>9000</v>
      </c>
    </row>
    <row r="87" spans="2:11" x14ac:dyDescent="0.3">
      <c r="B87" s="43">
        <v>42314</v>
      </c>
      <c r="C87" s="3" t="s">
        <v>9</v>
      </c>
      <c r="D87" s="30" t="s">
        <v>960</v>
      </c>
      <c r="E87" s="30">
        <v>155</v>
      </c>
      <c r="F87" s="30">
        <v>130</v>
      </c>
      <c r="G87" s="30">
        <v>-25</v>
      </c>
      <c r="H87" s="30">
        <v>300</v>
      </c>
      <c r="I87" s="8">
        <f t="shared" si="2"/>
        <v>-7500</v>
      </c>
    </row>
    <row r="88" spans="2:11" x14ac:dyDescent="0.3">
      <c r="B88" s="43">
        <v>42317</v>
      </c>
      <c r="C88" s="3" t="s">
        <v>9</v>
      </c>
      <c r="D88" s="30" t="s">
        <v>941</v>
      </c>
      <c r="E88" s="30">
        <v>145</v>
      </c>
      <c r="F88" s="30">
        <v>160</v>
      </c>
      <c r="G88" s="30">
        <v>15</v>
      </c>
      <c r="H88" s="30">
        <v>300</v>
      </c>
      <c r="I88" s="8">
        <f t="shared" si="2"/>
        <v>4500</v>
      </c>
    </row>
    <row r="89" spans="2:11" x14ac:dyDescent="0.3">
      <c r="B89" s="43">
        <v>42325</v>
      </c>
      <c r="C89" s="3" t="s">
        <v>9</v>
      </c>
      <c r="D89" s="30" t="s">
        <v>931</v>
      </c>
      <c r="E89" s="30">
        <v>112</v>
      </c>
      <c r="F89" s="30">
        <v>130</v>
      </c>
      <c r="G89" s="30">
        <v>18</v>
      </c>
      <c r="H89" s="30">
        <v>300</v>
      </c>
      <c r="I89" s="8">
        <f t="shared" si="2"/>
        <v>5400</v>
      </c>
    </row>
    <row r="90" spans="2:11" x14ac:dyDescent="0.3">
      <c r="B90" s="43">
        <v>42326</v>
      </c>
      <c r="C90" s="3" t="s">
        <v>9</v>
      </c>
      <c r="D90" s="30" t="s">
        <v>931</v>
      </c>
      <c r="E90" s="30">
        <v>100</v>
      </c>
      <c r="F90" s="30">
        <v>140</v>
      </c>
      <c r="G90" s="30">
        <v>40</v>
      </c>
      <c r="H90" s="30">
        <v>300</v>
      </c>
      <c r="I90" s="8">
        <f t="shared" si="2"/>
        <v>12000</v>
      </c>
    </row>
    <row r="91" spans="2:11" x14ac:dyDescent="0.3">
      <c r="B91" s="43">
        <v>42327</v>
      </c>
      <c r="C91" s="3" t="s">
        <v>9</v>
      </c>
      <c r="D91" s="30" t="s">
        <v>931</v>
      </c>
      <c r="E91" s="30">
        <v>105</v>
      </c>
      <c r="F91" s="30">
        <v>85</v>
      </c>
      <c r="G91" s="30">
        <v>-20</v>
      </c>
      <c r="H91" s="30">
        <v>300</v>
      </c>
      <c r="I91" s="8">
        <f t="shared" si="2"/>
        <v>-6000</v>
      </c>
    </row>
    <row r="92" spans="2:11" x14ac:dyDescent="0.3">
      <c r="B92" s="43">
        <v>42328</v>
      </c>
      <c r="C92" s="3" t="s">
        <v>9</v>
      </c>
      <c r="D92" s="30" t="s">
        <v>931</v>
      </c>
      <c r="E92" s="30">
        <v>90</v>
      </c>
      <c r="F92" s="30">
        <v>70</v>
      </c>
      <c r="G92" s="30">
        <v>-20</v>
      </c>
      <c r="H92" s="30">
        <v>300</v>
      </c>
      <c r="I92" s="8">
        <f t="shared" si="2"/>
        <v>-6000</v>
      </c>
    </row>
    <row r="93" spans="2:11" x14ac:dyDescent="0.3">
      <c r="B93" s="43">
        <v>42331</v>
      </c>
      <c r="C93" s="3" t="s">
        <v>9</v>
      </c>
      <c r="D93" s="30" t="s">
        <v>931</v>
      </c>
      <c r="E93" s="30">
        <v>65</v>
      </c>
      <c r="F93" s="30">
        <v>90</v>
      </c>
      <c r="G93" s="30">
        <v>25</v>
      </c>
      <c r="H93" s="30">
        <v>300</v>
      </c>
      <c r="I93" s="8">
        <f t="shared" si="2"/>
        <v>7500</v>
      </c>
    </row>
    <row r="94" spans="2:11" x14ac:dyDescent="0.3">
      <c r="B94" s="43">
        <v>42332</v>
      </c>
      <c r="C94" s="3" t="s">
        <v>9</v>
      </c>
      <c r="D94" s="30" t="s">
        <v>941</v>
      </c>
      <c r="E94" s="30">
        <v>73</v>
      </c>
      <c r="F94" s="30">
        <v>53</v>
      </c>
      <c r="G94" s="30">
        <v>-20</v>
      </c>
      <c r="H94" s="30">
        <v>300</v>
      </c>
      <c r="I94" s="8">
        <f t="shared" si="2"/>
        <v>-6000</v>
      </c>
    </row>
    <row r="95" spans="2:11" x14ac:dyDescent="0.3">
      <c r="B95" s="43">
        <v>42334</v>
      </c>
      <c r="C95" s="3" t="s">
        <v>9</v>
      </c>
      <c r="D95" s="30" t="s">
        <v>941</v>
      </c>
      <c r="E95" s="30">
        <v>72</v>
      </c>
      <c r="F95" s="30">
        <v>85</v>
      </c>
      <c r="G95" s="30">
        <v>13</v>
      </c>
      <c r="H95" s="30">
        <v>300</v>
      </c>
      <c r="I95" s="8">
        <f t="shared" si="2"/>
        <v>3900</v>
      </c>
    </row>
    <row r="96" spans="2:11" x14ac:dyDescent="0.3">
      <c r="B96" s="43">
        <v>42335</v>
      </c>
      <c r="C96" s="3" t="s">
        <v>9</v>
      </c>
      <c r="D96" s="28" t="s">
        <v>950</v>
      </c>
      <c r="E96" s="49" t="s">
        <v>854</v>
      </c>
      <c r="F96" s="49" t="s">
        <v>358</v>
      </c>
      <c r="G96" s="49" t="s">
        <v>951</v>
      </c>
      <c r="H96" s="30">
        <v>300</v>
      </c>
      <c r="I96" s="8">
        <f t="shared" si="2"/>
        <v>4500</v>
      </c>
    </row>
    <row r="97" spans="2:9" x14ac:dyDescent="0.3">
      <c r="B97" s="43">
        <v>42338</v>
      </c>
      <c r="C97" s="3" t="s">
        <v>9</v>
      </c>
      <c r="D97" s="28" t="s">
        <v>950</v>
      </c>
      <c r="E97" s="49" t="s">
        <v>787</v>
      </c>
      <c r="F97" s="49" t="s">
        <v>358</v>
      </c>
      <c r="G97" s="49" t="s">
        <v>1025</v>
      </c>
      <c r="H97" s="30">
        <v>300</v>
      </c>
      <c r="I97" s="8">
        <f t="shared" si="2"/>
        <v>3000</v>
      </c>
    </row>
    <row r="98" spans="2:9" x14ac:dyDescent="0.3">
      <c r="B98" s="43"/>
      <c r="C98" s="3"/>
      <c r="D98" s="28"/>
      <c r="E98" s="49"/>
      <c r="F98" s="49"/>
      <c r="G98" s="49"/>
      <c r="H98" s="30"/>
      <c r="I98" s="30"/>
    </row>
    <row r="99" spans="2:9" x14ac:dyDescent="0.3">
      <c r="C99" s="3"/>
      <c r="D99" s="28"/>
      <c r="E99" s="28"/>
      <c r="F99" s="28"/>
      <c r="G99" s="28"/>
      <c r="H99" s="30"/>
      <c r="I99" s="30"/>
    </row>
    <row r="100" spans="2:9" ht="18" x14ac:dyDescent="0.35">
      <c r="B100" s="1"/>
      <c r="C100" s="28"/>
      <c r="D100" s="28"/>
      <c r="E100" s="28"/>
      <c r="F100" s="28"/>
      <c r="G100" s="28"/>
      <c r="H100" s="28"/>
      <c r="I100" s="76" t="s">
        <v>1029</v>
      </c>
    </row>
    <row r="101" spans="2:9" x14ac:dyDescent="0.3">
      <c r="B101" s="1"/>
    </row>
    <row r="102" spans="2:9" ht="15.6" x14ac:dyDescent="0.3">
      <c r="B102" s="48" t="s">
        <v>926</v>
      </c>
      <c r="C102" s="48"/>
      <c r="D102" s="48"/>
      <c r="E102" s="48"/>
      <c r="F102" s="48"/>
      <c r="G102" s="48"/>
      <c r="H102" s="48"/>
      <c r="I102" s="48"/>
    </row>
    <row r="103" spans="2:9" x14ac:dyDescent="0.3">
      <c r="B103" s="43">
        <v>42310</v>
      </c>
      <c r="C103" s="30" t="s">
        <v>8</v>
      </c>
      <c r="D103" s="30" t="s">
        <v>301</v>
      </c>
      <c r="E103" s="30">
        <v>17400</v>
      </c>
      <c r="F103" s="30">
        <v>17300</v>
      </c>
      <c r="G103" s="30">
        <v>100</v>
      </c>
      <c r="H103" s="30">
        <v>120</v>
      </c>
      <c r="I103" s="30">
        <f>H103*G103</f>
        <v>12000</v>
      </c>
    </row>
    <row r="104" spans="2:9" x14ac:dyDescent="0.3">
      <c r="B104" s="43">
        <v>42311</v>
      </c>
      <c r="C104" s="30" t="s">
        <v>9</v>
      </c>
      <c r="D104" s="30" t="s">
        <v>301</v>
      </c>
      <c r="E104" s="30">
        <v>17480</v>
      </c>
      <c r="F104" s="30">
        <v>17420</v>
      </c>
      <c r="G104" s="30">
        <v>-60</v>
      </c>
      <c r="H104" s="30">
        <v>120</v>
      </c>
      <c r="I104" s="30">
        <f t="shared" ref="I104:I117" si="3">H104*G104</f>
        <v>-7200</v>
      </c>
    </row>
    <row r="105" spans="2:9" x14ac:dyDescent="0.3">
      <c r="B105" s="43">
        <v>42312</v>
      </c>
      <c r="C105" s="30" t="s">
        <v>8</v>
      </c>
      <c r="D105" s="30" t="s">
        <v>301</v>
      </c>
      <c r="E105" s="30">
        <v>17470</v>
      </c>
      <c r="F105" s="30">
        <v>17270</v>
      </c>
      <c r="G105" s="30">
        <v>200</v>
      </c>
      <c r="H105" s="30">
        <v>120</v>
      </c>
      <c r="I105" s="30">
        <f t="shared" si="3"/>
        <v>24000</v>
      </c>
    </row>
    <row r="106" spans="2:9" x14ac:dyDescent="0.3">
      <c r="B106" s="43">
        <v>42313</v>
      </c>
      <c r="C106" s="30" t="s">
        <v>8</v>
      </c>
      <c r="D106" s="30" t="s">
        <v>301</v>
      </c>
      <c r="E106" s="30">
        <v>17180</v>
      </c>
      <c r="F106" s="30">
        <v>17020</v>
      </c>
      <c r="G106" s="30">
        <v>160</v>
      </c>
      <c r="H106" s="30">
        <v>120</v>
      </c>
      <c r="I106" s="30">
        <f t="shared" si="3"/>
        <v>19200</v>
      </c>
    </row>
    <row r="107" spans="2:9" x14ac:dyDescent="0.3">
      <c r="B107" s="43">
        <v>42314</v>
      </c>
      <c r="C107" s="30" t="s">
        <v>8</v>
      </c>
      <c r="D107" s="30" t="s">
        <v>301</v>
      </c>
      <c r="E107" s="30">
        <v>17050</v>
      </c>
      <c r="F107" s="30">
        <v>17050</v>
      </c>
      <c r="G107" s="30">
        <v>0</v>
      </c>
      <c r="H107" s="30">
        <v>120</v>
      </c>
      <c r="I107" s="30">
        <f t="shared" si="3"/>
        <v>0</v>
      </c>
    </row>
    <row r="108" spans="2:9" x14ac:dyDescent="0.3">
      <c r="B108" s="43">
        <v>42317</v>
      </c>
      <c r="C108" s="30" t="s">
        <v>9</v>
      </c>
      <c r="D108" s="30" t="s">
        <v>301</v>
      </c>
      <c r="E108" s="30">
        <v>16950</v>
      </c>
      <c r="F108" s="30">
        <v>17050</v>
      </c>
      <c r="G108" s="30">
        <v>100</v>
      </c>
      <c r="H108" s="30">
        <v>120</v>
      </c>
      <c r="I108" s="30">
        <f t="shared" si="3"/>
        <v>12000</v>
      </c>
    </row>
    <row r="109" spans="2:9" x14ac:dyDescent="0.3">
      <c r="B109" s="43">
        <v>42325</v>
      </c>
      <c r="C109" s="30" t="s">
        <v>8</v>
      </c>
      <c r="D109" s="30" t="s">
        <v>301</v>
      </c>
      <c r="E109" s="30">
        <v>17200</v>
      </c>
      <c r="F109" s="30">
        <v>17100</v>
      </c>
      <c r="G109" s="30">
        <v>100</v>
      </c>
      <c r="H109" s="30">
        <v>120</v>
      </c>
      <c r="I109" s="30">
        <f t="shared" si="3"/>
        <v>12000</v>
      </c>
    </row>
    <row r="110" spans="2:9" x14ac:dyDescent="0.3">
      <c r="B110" s="43">
        <v>42326</v>
      </c>
      <c r="C110" s="30" t="s">
        <v>8</v>
      </c>
      <c r="D110" s="30" t="s">
        <v>301</v>
      </c>
      <c r="E110" s="30">
        <v>17190</v>
      </c>
      <c r="F110" s="30">
        <v>16890</v>
      </c>
      <c r="G110" s="30">
        <v>300</v>
      </c>
      <c r="H110" s="30">
        <v>120</v>
      </c>
      <c r="I110" s="30">
        <f t="shared" si="3"/>
        <v>36000</v>
      </c>
    </row>
    <row r="111" spans="2:9" x14ac:dyDescent="0.3">
      <c r="B111" s="43">
        <v>42327</v>
      </c>
      <c r="C111" s="30" t="s">
        <v>9</v>
      </c>
      <c r="D111" s="30" t="s">
        <v>301</v>
      </c>
      <c r="E111" s="30">
        <v>16950</v>
      </c>
      <c r="F111" s="30">
        <v>17120</v>
      </c>
      <c r="G111" s="30">
        <v>170</v>
      </c>
      <c r="H111" s="30">
        <v>120</v>
      </c>
      <c r="I111" s="30">
        <f t="shared" si="3"/>
        <v>20400</v>
      </c>
    </row>
    <row r="112" spans="2:9" x14ac:dyDescent="0.3">
      <c r="B112" s="43">
        <v>42328</v>
      </c>
      <c r="C112" s="30" t="s">
        <v>8</v>
      </c>
      <c r="D112" s="30" t="s">
        <v>301</v>
      </c>
      <c r="E112" s="30">
        <v>17000</v>
      </c>
      <c r="F112" s="30">
        <v>17200</v>
      </c>
      <c r="G112" s="30">
        <v>-200</v>
      </c>
      <c r="H112" s="30">
        <v>120</v>
      </c>
      <c r="I112" s="30">
        <f t="shared" si="3"/>
        <v>-24000</v>
      </c>
    </row>
    <row r="113" spans="2:9" x14ac:dyDescent="0.3">
      <c r="B113" s="43">
        <v>42331</v>
      </c>
      <c r="C113" s="30" t="s">
        <v>8</v>
      </c>
      <c r="D113" s="30" t="s">
        <v>301</v>
      </c>
      <c r="E113" s="30">
        <v>17070</v>
      </c>
      <c r="F113" s="30">
        <v>16970</v>
      </c>
      <c r="G113" s="30">
        <v>100</v>
      </c>
      <c r="H113" s="30">
        <v>120</v>
      </c>
      <c r="I113" s="30">
        <f t="shared" si="3"/>
        <v>12000</v>
      </c>
    </row>
    <row r="114" spans="2:9" x14ac:dyDescent="0.3">
      <c r="B114" s="43">
        <v>42332</v>
      </c>
      <c r="C114" s="30" t="s">
        <v>9</v>
      </c>
      <c r="D114" s="30" t="s">
        <v>301</v>
      </c>
      <c r="E114" s="30">
        <v>17060</v>
      </c>
      <c r="F114" s="30">
        <v>17020</v>
      </c>
      <c r="G114" s="30">
        <v>-40</v>
      </c>
      <c r="H114" s="30">
        <v>120</v>
      </c>
      <c r="I114" s="30">
        <f t="shared" si="3"/>
        <v>-4800</v>
      </c>
    </row>
    <row r="115" spans="2:9" x14ac:dyDescent="0.3">
      <c r="B115" s="43">
        <v>42334</v>
      </c>
      <c r="C115" s="30" t="s">
        <v>9</v>
      </c>
      <c r="D115" s="30" t="s">
        <v>301</v>
      </c>
      <c r="E115" s="30">
        <v>17060</v>
      </c>
      <c r="F115" s="30">
        <v>17060</v>
      </c>
      <c r="G115" s="30">
        <v>0</v>
      </c>
      <c r="H115" s="30">
        <v>120</v>
      </c>
      <c r="I115" s="30">
        <f t="shared" si="3"/>
        <v>0</v>
      </c>
    </row>
    <row r="116" spans="2:9" x14ac:dyDescent="0.3">
      <c r="B116" s="43">
        <v>42335</v>
      </c>
      <c r="C116" s="30" t="s">
        <v>9</v>
      </c>
      <c r="D116" s="30" t="s">
        <v>301</v>
      </c>
      <c r="E116" s="30">
        <v>17280</v>
      </c>
      <c r="F116" s="30">
        <v>17450</v>
      </c>
      <c r="G116" s="30">
        <v>170</v>
      </c>
      <c r="H116" s="30">
        <v>120</v>
      </c>
      <c r="I116" s="30">
        <f t="shared" si="3"/>
        <v>20400</v>
      </c>
    </row>
    <row r="117" spans="2:9" x14ac:dyDescent="0.3">
      <c r="B117" s="43">
        <v>42338</v>
      </c>
      <c r="C117" s="30" t="s">
        <v>9</v>
      </c>
      <c r="D117" s="30" t="s">
        <v>301</v>
      </c>
      <c r="E117" s="30">
        <v>17450</v>
      </c>
      <c r="F117" s="30">
        <v>17510</v>
      </c>
      <c r="G117" s="30">
        <v>60</v>
      </c>
      <c r="H117" s="30">
        <v>120</v>
      </c>
      <c r="I117" s="30">
        <f t="shared" si="3"/>
        <v>7200</v>
      </c>
    </row>
    <row r="118" spans="2:9" ht="18" x14ac:dyDescent="0.35">
      <c r="I118" s="72">
        <f>SUM(I103:I117)</f>
        <v>139200</v>
      </c>
    </row>
  </sheetData>
  <mergeCells count="3">
    <mergeCell ref="B1:I1"/>
    <mergeCell ref="B2:I2"/>
    <mergeCell ref="B3:I3"/>
  </mergeCells>
  <hyperlinks>
    <hyperlink ref="K2" location="'MASTER '!A1" display="Back" xr:uid="{00000000-0004-0000-1F00-000000000000}"/>
  </hyperlinks>
  <pageMargins left="0.7" right="0.7" top="0.75" bottom="0.75" header="0.3" footer="0.3"/>
  <pageSetup paperSize="9" orientation="portrait" horizontalDpi="300" verticalDpi="300" r:id="rId1"/>
  <ignoredErrors>
    <ignoredError sqref="E42:I43 E6:G16 E17:G18 E96:G97 E83:G83 I80 E64:I6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174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3" width="13" style="10" customWidth="1"/>
    <col min="4" max="4" width="26.886718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1030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42339</v>
      </c>
      <c r="C6" s="2" t="s">
        <v>11</v>
      </c>
      <c r="D6" s="2" t="s">
        <v>828</v>
      </c>
      <c r="E6" s="41" t="s">
        <v>1031</v>
      </c>
      <c r="F6" s="40" t="s">
        <v>1007</v>
      </c>
      <c r="G6" s="40" t="s">
        <v>1025</v>
      </c>
      <c r="H6" s="5">
        <f>300000/E6</f>
        <v>289.01734104046244</v>
      </c>
      <c r="I6" s="49" t="s">
        <v>1073</v>
      </c>
      <c r="L6" s="16"/>
    </row>
    <row r="7" spans="1:15" x14ac:dyDescent="0.3">
      <c r="B7" s="43">
        <v>42339</v>
      </c>
      <c r="C7" s="2" t="s">
        <v>8</v>
      </c>
      <c r="D7" s="2" t="s">
        <v>106</v>
      </c>
      <c r="E7" s="41" t="s">
        <v>1032</v>
      </c>
      <c r="F7" s="40" t="s">
        <v>1033</v>
      </c>
      <c r="G7" s="40" t="s">
        <v>959</v>
      </c>
      <c r="H7" s="5">
        <f t="shared" ref="H7:H17" si="0">300000/E7</f>
        <v>686.49885583524031</v>
      </c>
      <c r="I7" s="49" t="s">
        <v>1074</v>
      </c>
      <c r="L7" s="16"/>
    </row>
    <row r="8" spans="1:15" x14ac:dyDescent="0.3">
      <c r="B8" s="43">
        <v>42340</v>
      </c>
      <c r="C8" s="2" t="s">
        <v>9</v>
      </c>
      <c r="D8" s="2" t="s">
        <v>1034</v>
      </c>
      <c r="E8" s="41" t="s">
        <v>1035</v>
      </c>
      <c r="F8" s="40" t="s">
        <v>1036</v>
      </c>
      <c r="G8" s="40" t="s">
        <v>1037</v>
      </c>
      <c r="H8" s="5">
        <f t="shared" si="0"/>
        <v>216.91973969631238</v>
      </c>
      <c r="I8" s="49">
        <v>-1302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42340</v>
      </c>
      <c r="C9" s="2" t="s">
        <v>8</v>
      </c>
      <c r="D9" s="2" t="s">
        <v>78</v>
      </c>
      <c r="E9" s="41" t="s">
        <v>1038</v>
      </c>
      <c r="F9" s="40" t="s">
        <v>1039</v>
      </c>
      <c r="G9" s="40" t="s">
        <v>1040</v>
      </c>
      <c r="H9" s="5">
        <f t="shared" si="0"/>
        <v>220.26431718061673</v>
      </c>
      <c r="I9" s="49">
        <v>2090</v>
      </c>
      <c r="K9" s="66"/>
      <c r="L9" s="67"/>
      <c r="M9" s="67"/>
      <c r="N9" s="67"/>
      <c r="O9" s="67"/>
    </row>
    <row r="10" spans="1:15" x14ac:dyDescent="0.3">
      <c r="B10" s="43">
        <v>42341</v>
      </c>
      <c r="C10" s="2" t="s">
        <v>9</v>
      </c>
      <c r="D10" s="2" t="s">
        <v>78</v>
      </c>
      <c r="E10" s="41" t="s">
        <v>1041</v>
      </c>
      <c r="F10" s="40" t="s">
        <v>1042</v>
      </c>
      <c r="G10" s="40" t="s">
        <v>1043</v>
      </c>
      <c r="H10" s="5">
        <f t="shared" si="0"/>
        <v>220.58823529411765</v>
      </c>
      <c r="I10" s="49">
        <v>-1105</v>
      </c>
      <c r="K10" s="16" t="s">
        <v>449</v>
      </c>
      <c r="L10" s="30">
        <v>44</v>
      </c>
      <c r="M10" s="30">
        <v>35</v>
      </c>
      <c r="N10" s="30">
        <v>7</v>
      </c>
      <c r="O10" s="30">
        <v>2</v>
      </c>
    </row>
    <row r="11" spans="1:15" x14ac:dyDescent="0.3">
      <c r="B11" s="43">
        <v>42341</v>
      </c>
      <c r="C11" s="2" t="s">
        <v>8</v>
      </c>
      <c r="D11" s="2" t="s">
        <v>1034</v>
      </c>
      <c r="E11" s="41" t="s">
        <v>1044</v>
      </c>
      <c r="F11" s="40" t="s">
        <v>1045</v>
      </c>
      <c r="G11" s="40" t="s">
        <v>490</v>
      </c>
      <c r="H11" s="5">
        <f t="shared" si="0"/>
        <v>215.82733812949641</v>
      </c>
      <c r="I11" s="49">
        <v>4968</v>
      </c>
      <c r="K11" s="16"/>
      <c r="L11" s="30"/>
      <c r="M11" s="30"/>
      <c r="N11" s="30"/>
      <c r="O11" s="30"/>
    </row>
    <row r="12" spans="1:15" x14ac:dyDescent="0.3">
      <c r="B12" s="43">
        <v>42342</v>
      </c>
      <c r="C12" s="2" t="s">
        <v>9</v>
      </c>
      <c r="D12" s="2" t="s">
        <v>139</v>
      </c>
      <c r="E12" s="41" t="s">
        <v>1046</v>
      </c>
      <c r="F12" s="40" t="s">
        <v>1046</v>
      </c>
      <c r="G12" s="40" t="s">
        <v>756</v>
      </c>
      <c r="H12" s="5">
        <f t="shared" si="0"/>
        <v>401.60642570281124</v>
      </c>
      <c r="I12" s="49">
        <v>0</v>
      </c>
      <c r="K12" s="16" t="s">
        <v>450</v>
      </c>
      <c r="L12" s="30">
        <v>22</v>
      </c>
      <c r="M12" s="30">
        <v>19</v>
      </c>
      <c r="N12" s="30">
        <v>3</v>
      </c>
      <c r="O12" s="30">
        <v>0</v>
      </c>
    </row>
    <row r="13" spans="1:15" x14ac:dyDescent="0.3">
      <c r="B13" s="43">
        <v>42342</v>
      </c>
      <c r="C13" s="2" t="s">
        <v>8</v>
      </c>
      <c r="D13" s="2" t="s">
        <v>109</v>
      </c>
      <c r="E13" s="41" t="s">
        <v>1047</v>
      </c>
      <c r="F13" s="40" t="s">
        <v>1048</v>
      </c>
      <c r="G13" s="40" t="s">
        <v>1025</v>
      </c>
      <c r="H13" s="5">
        <f t="shared" si="0"/>
        <v>226.41509433962264</v>
      </c>
      <c r="I13" s="49">
        <v>2260</v>
      </c>
      <c r="K13" s="16"/>
      <c r="L13" s="30"/>
      <c r="M13" s="30"/>
      <c r="N13" s="30"/>
      <c r="O13" s="30"/>
    </row>
    <row r="14" spans="1:15" x14ac:dyDescent="0.3">
      <c r="B14" s="43">
        <v>42345</v>
      </c>
      <c r="C14" s="2" t="s">
        <v>9</v>
      </c>
      <c r="D14" s="2" t="s">
        <v>122</v>
      </c>
      <c r="E14" s="41" t="s">
        <v>1049</v>
      </c>
      <c r="F14" s="40" t="s">
        <v>386</v>
      </c>
      <c r="G14" s="40" t="s">
        <v>997</v>
      </c>
      <c r="H14" s="5">
        <f t="shared" si="0"/>
        <v>613.49693251533745</v>
      </c>
      <c r="I14" s="49">
        <v>2452</v>
      </c>
      <c r="K14" s="16" t="s">
        <v>451</v>
      </c>
      <c r="L14" s="30">
        <v>22</v>
      </c>
      <c r="M14" s="30">
        <v>20</v>
      </c>
      <c r="N14" s="30">
        <v>2</v>
      </c>
      <c r="O14" s="30">
        <v>0</v>
      </c>
    </row>
    <row r="15" spans="1:15" x14ac:dyDescent="0.3">
      <c r="B15" s="43">
        <v>42345</v>
      </c>
      <c r="C15" s="2" t="s">
        <v>8</v>
      </c>
      <c r="D15" s="2" t="s">
        <v>99</v>
      </c>
      <c r="E15" s="41" t="s">
        <v>594</v>
      </c>
      <c r="F15" s="40" t="s">
        <v>1050</v>
      </c>
      <c r="G15" s="40" t="s">
        <v>959</v>
      </c>
      <c r="H15" s="5">
        <f t="shared" si="0"/>
        <v>920.24539877300617</v>
      </c>
      <c r="I15" s="49">
        <v>2760</v>
      </c>
      <c r="K15" s="16"/>
      <c r="M15" s="30"/>
      <c r="N15" s="30"/>
      <c r="O15" s="30"/>
    </row>
    <row r="16" spans="1:15" x14ac:dyDescent="0.3">
      <c r="B16" s="43">
        <v>42346</v>
      </c>
      <c r="C16" s="2" t="s">
        <v>9</v>
      </c>
      <c r="D16" s="2" t="s">
        <v>800</v>
      </c>
      <c r="E16" s="41" t="s">
        <v>1051</v>
      </c>
      <c r="F16" s="40" t="s">
        <v>1052</v>
      </c>
      <c r="G16" s="40" t="s">
        <v>925</v>
      </c>
      <c r="H16" s="5">
        <f t="shared" si="0"/>
        <v>322.58064516129031</v>
      </c>
      <c r="I16" s="49">
        <v>1615</v>
      </c>
      <c r="K16" s="16" t="s">
        <v>41</v>
      </c>
      <c r="L16" s="30">
        <v>22</v>
      </c>
      <c r="M16" s="30">
        <v>18</v>
      </c>
      <c r="N16" s="30">
        <v>4</v>
      </c>
      <c r="O16" s="30">
        <v>0</v>
      </c>
    </row>
    <row r="17" spans="2:15" x14ac:dyDescent="0.3">
      <c r="B17" s="43">
        <v>42346</v>
      </c>
      <c r="C17" s="2" t="s">
        <v>8</v>
      </c>
      <c r="D17" s="2" t="s">
        <v>46</v>
      </c>
      <c r="E17" s="41" t="s">
        <v>1053</v>
      </c>
      <c r="F17" s="40" t="s">
        <v>1054</v>
      </c>
      <c r="G17" s="40" t="s">
        <v>925</v>
      </c>
      <c r="H17" s="5">
        <f t="shared" si="0"/>
        <v>1363.6363636363637</v>
      </c>
      <c r="I17" s="49">
        <v>6820</v>
      </c>
      <c r="K17" s="16"/>
      <c r="L17" s="30"/>
      <c r="M17" s="30"/>
      <c r="N17" s="30"/>
      <c r="O17" s="30"/>
    </row>
    <row r="18" spans="2:15" x14ac:dyDescent="0.3">
      <c r="B18" s="43">
        <v>42347</v>
      </c>
      <c r="C18" s="2" t="s">
        <v>9</v>
      </c>
      <c r="D18" s="28" t="s">
        <v>1055</v>
      </c>
      <c r="E18" s="30">
        <v>214</v>
      </c>
      <c r="F18" s="30">
        <v>217</v>
      </c>
      <c r="G18" s="30">
        <v>3</v>
      </c>
      <c r="H18" s="5">
        <v>1401</v>
      </c>
      <c r="I18" s="49">
        <v>4203</v>
      </c>
      <c r="K18" s="16" t="s">
        <v>452</v>
      </c>
      <c r="L18" s="30">
        <v>22</v>
      </c>
      <c r="M18" s="30">
        <v>18</v>
      </c>
      <c r="N18" s="30">
        <v>4</v>
      </c>
      <c r="O18" s="30">
        <v>0</v>
      </c>
    </row>
    <row r="19" spans="2:15" x14ac:dyDescent="0.3">
      <c r="B19" s="43">
        <v>42347</v>
      </c>
      <c r="C19" s="2" t="s">
        <v>8</v>
      </c>
      <c r="D19" s="28" t="s">
        <v>800</v>
      </c>
      <c r="E19" s="30">
        <v>913</v>
      </c>
      <c r="F19" s="30">
        <v>898</v>
      </c>
      <c r="G19" s="30">
        <v>15</v>
      </c>
      <c r="H19" s="5">
        <f>300000/E19</f>
        <v>328.58707557502737</v>
      </c>
      <c r="I19" s="49">
        <v>4935</v>
      </c>
      <c r="K19" s="16"/>
      <c r="L19" s="30"/>
      <c r="M19" s="30"/>
      <c r="N19" s="30"/>
      <c r="O19" s="30"/>
    </row>
    <row r="20" spans="2:15" x14ac:dyDescent="0.3">
      <c r="B20" s="43">
        <v>42348</v>
      </c>
      <c r="C20" s="2" t="s">
        <v>9</v>
      </c>
      <c r="D20" s="28" t="s">
        <v>46</v>
      </c>
      <c r="E20" s="30">
        <v>218</v>
      </c>
      <c r="F20" s="30">
        <v>219.5</v>
      </c>
      <c r="G20" s="30">
        <v>1.5</v>
      </c>
      <c r="H20" s="5">
        <f>300000/E20</f>
        <v>1376.1467889908256</v>
      </c>
      <c r="I20" s="49">
        <v>2064</v>
      </c>
      <c r="K20" s="16" t="s">
        <v>1090</v>
      </c>
      <c r="L20" s="30">
        <v>12</v>
      </c>
      <c r="M20" s="30">
        <v>9</v>
      </c>
      <c r="N20" s="30">
        <v>3</v>
      </c>
      <c r="O20" s="30">
        <v>0</v>
      </c>
    </row>
    <row r="21" spans="2:15" x14ac:dyDescent="0.3">
      <c r="B21" s="43">
        <v>42348</v>
      </c>
      <c r="C21" s="2" t="s">
        <v>8</v>
      </c>
      <c r="D21" s="28" t="s">
        <v>1034</v>
      </c>
      <c r="E21" s="30">
        <v>1230</v>
      </c>
      <c r="F21" s="30">
        <v>1215</v>
      </c>
      <c r="G21" s="30">
        <v>15</v>
      </c>
      <c r="H21" s="5">
        <v>244</v>
      </c>
      <c r="I21" s="49">
        <v>3660</v>
      </c>
      <c r="K21" s="16"/>
      <c r="L21" s="30"/>
      <c r="M21" s="30"/>
      <c r="N21" s="30"/>
      <c r="O21" s="30"/>
    </row>
    <row r="22" spans="2:15" x14ac:dyDescent="0.3">
      <c r="B22" s="43">
        <v>42349</v>
      </c>
      <c r="C22" s="2" t="s">
        <v>9</v>
      </c>
      <c r="D22" s="28" t="s">
        <v>688</v>
      </c>
      <c r="E22" s="30">
        <v>549</v>
      </c>
      <c r="F22" s="30">
        <v>543</v>
      </c>
      <c r="G22" s="30">
        <v>6</v>
      </c>
      <c r="H22" s="5">
        <f>300000/E22</f>
        <v>546.44808743169403</v>
      </c>
      <c r="I22" s="49">
        <v>3276</v>
      </c>
      <c r="K22" s="16" t="s">
        <v>946</v>
      </c>
      <c r="L22" s="21">
        <v>144</v>
      </c>
      <c r="M22" s="21">
        <v>119</v>
      </c>
      <c r="N22" s="21">
        <v>23</v>
      </c>
      <c r="O22" s="21">
        <v>2</v>
      </c>
    </row>
    <row r="23" spans="2:15" x14ac:dyDescent="0.3">
      <c r="B23" s="43">
        <v>42349</v>
      </c>
      <c r="C23" s="2" t="s">
        <v>8</v>
      </c>
      <c r="D23" s="28" t="s">
        <v>99</v>
      </c>
      <c r="E23" s="30">
        <v>316</v>
      </c>
      <c r="F23" s="30">
        <v>318</v>
      </c>
      <c r="G23" s="30">
        <v>-2</v>
      </c>
      <c r="H23" s="5">
        <v>949</v>
      </c>
      <c r="I23" s="49">
        <v>-1898</v>
      </c>
      <c r="L23" s="16"/>
    </row>
    <row r="24" spans="2:15" x14ac:dyDescent="0.3">
      <c r="B24" s="43">
        <v>42352</v>
      </c>
      <c r="C24" s="2" t="s">
        <v>9</v>
      </c>
      <c r="D24" s="28" t="s">
        <v>105</v>
      </c>
      <c r="E24" s="30">
        <v>215</v>
      </c>
      <c r="F24" s="30">
        <v>218</v>
      </c>
      <c r="G24" s="30">
        <v>3</v>
      </c>
      <c r="H24" s="5">
        <v>1395</v>
      </c>
      <c r="I24" s="49">
        <v>4185</v>
      </c>
      <c r="L24" s="28"/>
      <c r="M24" s="30"/>
      <c r="N24" s="30"/>
      <c r="O24" s="30"/>
    </row>
    <row r="25" spans="2:15" x14ac:dyDescent="0.3">
      <c r="B25" s="43">
        <v>42352</v>
      </c>
      <c r="C25" s="2" t="s">
        <v>8</v>
      </c>
      <c r="D25" s="28" t="s">
        <v>1034</v>
      </c>
      <c r="E25" s="30">
        <v>1233</v>
      </c>
      <c r="F25" s="30">
        <v>1250</v>
      </c>
      <c r="G25" s="30">
        <v>-17</v>
      </c>
      <c r="H25" s="5">
        <v>243</v>
      </c>
      <c r="I25" s="49">
        <v>-4131</v>
      </c>
      <c r="L25" s="68" t="s">
        <v>947</v>
      </c>
      <c r="M25" s="83"/>
      <c r="N25" s="85">
        <f>SUM(M22*100/L22)</f>
        <v>82.638888888888886</v>
      </c>
      <c r="O25" s="30"/>
    </row>
    <row r="26" spans="2:15" x14ac:dyDescent="0.3">
      <c r="B26" s="43">
        <v>42353</v>
      </c>
      <c r="C26" s="2" t="s">
        <v>9</v>
      </c>
      <c r="D26" s="28" t="s">
        <v>795</v>
      </c>
      <c r="E26" s="30">
        <v>988</v>
      </c>
      <c r="F26" s="30">
        <v>1000</v>
      </c>
      <c r="G26" s="30">
        <v>12</v>
      </c>
      <c r="H26" s="5">
        <v>304</v>
      </c>
      <c r="I26" s="49">
        <v>3648</v>
      </c>
      <c r="L26" s="49"/>
      <c r="M26" s="30"/>
      <c r="N26" s="30"/>
      <c r="O26" s="30"/>
    </row>
    <row r="27" spans="2:15" x14ac:dyDescent="0.3">
      <c r="B27" s="43">
        <v>42353</v>
      </c>
      <c r="C27" s="2" t="s">
        <v>8</v>
      </c>
      <c r="D27" s="28" t="s">
        <v>105</v>
      </c>
      <c r="E27" s="30">
        <v>215</v>
      </c>
      <c r="F27" s="30">
        <v>213.5</v>
      </c>
      <c r="G27" s="30">
        <v>1.5</v>
      </c>
      <c r="H27" s="5">
        <v>1395</v>
      </c>
      <c r="I27" s="49" t="s">
        <v>1072</v>
      </c>
      <c r="L27" s="49"/>
      <c r="M27" s="30"/>
      <c r="N27" s="30"/>
      <c r="O27" s="30"/>
    </row>
    <row r="28" spans="2:15" x14ac:dyDescent="0.3">
      <c r="B28" s="43">
        <v>42354</v>
      </c>
      <c r="C28" s="2" t="s">
        <v>9</v>
      </c>
      <c r="D28" s="30" t="s">
        <v>98</v>
      </c>
      <c r="E28" s="30">
        <v>2590</v>
      </c>
      <c r="F28" s="30">
        <v>2610</v>
      </c>
      <c r="G28" s="30">
        <v>20</v>
      </c>
      <c r="H28" s="5">
        <v>116</v>
      </c>
      <c r="I28" s="49">
        <v>2320</v>
      </c>
      <c r="L28" s="49"/>
      <c r="M28" s="30"/>
      <c r="N28" s="30"/>
      <c r="O28" s="30"/>
    </row>
    <row r="29" spans="2:15" x14ac:dyDescent="0.3">
      <c r="B29" s="43">
        <v>42354</v>
      </c>
      <c r="C29" s="2" t="s">
        <v>8</v>
      </c>
      <c r="D29" s="30" t="s">
        <v>341</v>
      </c>
      <c r="E29" s="30">
        <v>268</v>
      </c>
      <c r="F29" s="30">
        <v>266</v>
      </c>
      <c r="G29" s="30">
        <v>2</v>
      </c>
      <c r="H29" s="5">
        <v>1119</v>
      </c>
      <c r="I29" s="49">
        <v>2238</v>
      </c>
      <c r="L29" s="49"/>
      <c r="M29" s="30"/>
      <c r="N29" s="30"/>
      <c r="O29" s="30"/>
    </row>
    <row r="30" spans="2:15" x14ac:dyDescent="0.3">
      <c r="B30" s="43">
        <v>42355</v>
      </c>
      <c r="C30" s="2" t="s">
        <v>9</v>
      </c>
      <c r="D30" s="30" t="s">
        <v>139</v>
      </c>
      <c r="E30" s="30">
        <v>714</v>
      </c>
      <c r="F30" s="30">
        <v>724</v>
      </c>
      <c r="G30" s="30">
        <v>10</v>
      </c>
      <c r="H30" s="5">
        <v>421</v>
      </c>
      <c r="I30" s="49">
        <v>4210</v>
      </c>
      <c r="L30" s="49"/>
      <c r="M30" s="30"/>
      <c r="N30" s="30"/>
      <c r="O30" s="30"/>
    </row>
    <row r="31" spans="2:15" x14ac:dyDescent="0.3">
      <c r="B31" s="43">
        <v>42355</v>
      </c>
      <c r="C31" s="2" t="s">
        <v>8</v>
      </c>
      <c r="D31" s="30" t="s">
        <v>112</v>
      </c>
      <c r="E31" s="30">
        <v>405</v>
      </c>
      <c r="F31" s="30">
        <v>410</v>
      </c>
      <c r="G31" s="30">
        <v>-5</v>
      </c>
      <c r="H31" s="5">
        <v>741</v>
      </c>
      <c r="I31" s="49">
        <v>-3704</v>
      </c>
      <c r="L31" s="16"/>
    </row>
    <row r="32" spans="2:15" x14ac:dyDescent="0.3">
      <c r="B32" s="43">
        <v>42356</v>
      </c>
      <c r="C32" s="2" t="s">
        <v>9</v>
      </c>
      <c r="D32" s="30" t="s">
        <v>139</v>
      </c>
      <c r="E32" s="30">
        <v>722</v>
      </c>
      <c r="F32" s="30">
        <v>714</v>
      </c>
      <c r="G32" s="30">
        <v>-8</v>
      </c>
      <c r="H32" s="5">
        <v>416</v>
      </c>
      <c r="I32" s="49">
        <v>-3324</v>
      </c>
      <c r="L32" s="16"/>
    </row>
    <row r="33" spans="2:13" x14ac:dyDescent="0.3">
      <c r="B33" s="43">
        <v>42356</v>
      </c>
      <c r="C33" s="2" t="s">
        <v>8</v>
      </c>
      <c r="D33" s="30" t="s">
        <v>173</v>
      </c>
      <c r="E33" s="30">
        <v>870</v>
      </c>
      <c r="F33" s="30">
        <v>873</v>
      </c>
      <c r="G33" s="30">
        <v>-3</v>
      </c>
      <c r="H33" s="5">
        <v>345</v>
      </c>
      <c r="I33" s="49">
        <v>-1035</v>
      </c>
      <c r="L33" s="41"/>
    </row>
    <row r="34" spans="2:13" x14ac:dyDescent="0.3">
      <c r="B34" s="87">
        <v>42359</v>
      </c>
      <c r="C34" s="2" t="s">
        <v>9</v>
      </c>
      <c r="D34" s="30" t="s">
        <v>129</v>
      </c>
      <c r="E34" s="30">
        <v>1230</v>
      </c>
      <c r="F34" s="30">
        <v>1240</v>
      </c>
      <c r="G34" s="30">
        <v>10</v>
      </c>
      <c r="H34" s="5">
        <v>244</v>
      </c>
      <c r="I34" s="49">
        <v>2440</v>
      </c>
      <c r="L34" s="41"/>
    </row>
    <row r="35" spans="2:13" x14ac:dyDescent="0.3">
      <c r="B35" s="43">
        <v>42359</v>
      </c>
      <c r="C35" s="2" t="s">
        <v>8</v>
      </c>
      <c r="D35" s="30" t="s">
        <v>796</v>
      </c>
      <c r="E35" s="30">
        <v>1440</v>
      </c>
      <c r="F35" s="30">
        <v>1433</v>
      </c>
      <c r="G35" s="30">
        <v>7</v>
      </c>
      <c r="H35" s="5">
        <v>208</v>
      </c>
      <c r="I35" s="49">
        <v>1456</v>
      </c>
      <c r="M35" s="30"/>
    </row>
    <row r="36" spans="2:13" x14ac:dyDescent="0.3">
      <c r="B36" s="43">
        <v>42360</v>
      </c>
      <c r="C36" s="2" t="s">
        <v>9</v>
      </c>
      <c r="D36" s="30" t="s">
        <v>129</v>
      </c>
      <c r="E36" s="30">
        <v>1232</v>
      </c>
      <c r="F36" s="30">
        <v>1235</v>
      </c>
      <c r="G36" s="30">
        <v>3</v>
      </c>
      <c r="H36" s="5">
        <v>244</v>
      </c>
      <c r="I36" s="49">
        <v>732</v>
      </c>
      <c r="M36" s="30"/>
    </row>
    <row r="37" spans="2:13" x14ac:dyDescent="0.3">
      <c r="B37" s="43">
        <v>42360</v>
      </c>
      <c r="C37" s="30" t="s">
        <v>8</v>
      </c>
      <c r="D37" s="28" t="s">
        <v>78</v>
      </c>
      <c r="E37" s="30">
        <v>1290</v>
      </c>
      <c r="F37" s="30">
        <v>1275</v>
      </c>
      <c r="G37" s="30">
        <v>15</v>
      </c>
      <c r="H37" s="5">
        <v>233</v>
      </c>
      <c r="I37" s="49">
        <v>3495</v>
      </c>
      <c r="M37" s="30"/>
    </row>
    <row r="38" spans="2:13" x14ac:dyDescent="0.3">
      <c r="B38" s="87">
        <v>42361</v>
      </c>
      <c r="C38" s="2" t="s">
        <v>9</v>
      </c>
      <c r="D38" s="28" t="s">
        <v>25</v>
      </c>
      <c r="E38" s="30">
        <v>265</v>
      </c>
      <c r="F38" s="30">
        <v>265</v>
      </c>
      <c r="G38" s="30">
        <v>0</v>
      </c>
      <c r="H38" s="30">
        <v>0</v>
      </c>
      <c r="I38" s="49">
        <v>0</v>
      </c>
      <c r="M38" s="30"/>
    </row>
    <row r="39" spans="2:13" x14ac:dyDescent="0.3">
      <c r="B39" s="87">
        <v>42361</v>
      </c>
      <c r="C39" s="2" t="s">
        <v>8</v>
      </c>
      <c r="D39" s="28" t="s">
        <v>1034</v>
      </c>
      <c r="E39" s="30">
        <v>1295</v>
      </c>
      <c r="F39" s="30">
        <v>1285</v>
      </c>
      <c r="G39" s="30">
        <v>10</v>
      </c>
      <c r="H39" s="30">
        <v>232</v>
      </c>
      <c r="I39" s="89">
        <v>2320</v>
      </c>
      <c r="M39" s="30"/>
    </row>
    <row r="40" spans="2:13" x14ac:dyDescent="0.3">
      <c r="B40" s="87">
        <v>42362</v>
      </c>
      <c r="C40" s="2" t="s">
        <v>9</v>
      </c>
      <c r="D40" s="28" t="s">
        <v>98</v>
      </c>
      <c r="E40" s="30">
        <v>2685</v>
      </c>
      <c r="F40" s="30">
        <v>2695</v>
      </c>
      <c r="G40" s="30">
        <v>10</v>
      </c>
      <c r="H40" s="30">
        <v>112</v>
      </c>
      <c r="I40" s="49">
        <v>1120</v>
      </c>
      <c r="M40" s="30"/>
    </row>
    <row r="41" spans="2:13" x14ac:dyDescent="0.3">
      <c r="B41" s="43">
        <v>42362</v>
      </c>
      <c r="C41" s="2" t="s">
        <v>8</v>
      </c>
      <c r="D41" s="28" t="s">
        <v>795</v>
      </c>
      <c r="E41" s="30">
        <v>987</v>
      </c>
      <c r="F41" s="30">
        <v>982</v>
      </c>
      <c r="G41" s="30">
        <v>5</v>
      </c>
      <c r="H41" s="30">
        <v>304</v>
      </c>
      <c r="I41" s="49">
        <v>1520</v>
      </c>
      <c r="M41" s="30"/>
    </row>
    <row r="42" spans="2:13" x14ac:dyDescent="0.3">
      <c r="B42" s="43">
        <v>42366</v>
      </c>
      <c r="C42" s="2" t="s">
        <v>9</v>
      </c>
      <c r="D42" s="28" t="s">
        <v>99</v>
      </c>
      <c r="E42" s="30">
        <v>325</v>
      </c>
      <c r="F42" s="30">
        <v>326.5</v>
      </c>
      <c r="G42" s="30">
        <v>1.5</v>
      </c>
      <c r="H42" s="30">
        <v>923</v>
      </c>
      <c r="I42" s="49" t="s">
        <v>1071</v>
      </c>
      <c r="M42" s="30"/>
    </row>
    <row r="43" spans="2:13" x14ac:dyDescent="0.3">
      <c r="B43" s="43">
        <v>42366</v>
      </c>
      <c r="C43" s="2" t="s">
        <v>8</v>
      </c>
      <c r="D43" s="28" t="s">
        <v>25</v>
      </c>
      <c r="E43" s="30">
        <v>260</v>
      </c>
      <c r="F43" s="30">
        <v>253.5</v>
      </c>
      <c r="G43" s="30">
        <v>6.5</v>
      </c>
      <c r="H43" s="30">
        <v>1154</v>
      </c>
      <c r="I43" s="49">
        <v>7501</v>
      </c>
      <c r="M43" s="30"/>
    </row>
    <row r="44" spans="2:13" x14ac:dyDescent="0.3">
      <c r="B44" s="43">
        <v>42367</v>
      </c>
      <c r="C44" s="2" t="s">
        <v>9</v>
      </c>
      <c r="D44" s="28" t="s">
        <v>98</v>
      </c>
      <c r="E44" s="30">
        <v>2720</v>
      </c>
      <c r="F44" s="30">
        <v>2738</v>
      </c>
      <c r="G44" s="30">
        <v>18</v>
      </c>
      <c r="H44" s="30">
        <v>110</v>
      </c>
      <c r="I44" s="49">
        <v>1980</v>
      </c>
      <c r="M44" s="30"/>
    </row>
    <row r="45" spans="2:13" x14ac:dyDescent="0.3">
      <c r="B45" s="43">
        <v>42367</v>
      </c>
      <c r="C45" s="2" t="s">
        <v>8</v>
      </c>
      <c r="D45" s="28" t="s">
        <v>1064</v>
      </c>
      <c r="E45" s="30">
        <v>550</v>
      </c>
      <c r="F45" s="30">
        <v>548</v>
      </c>
      <c r="G45" s="30">
        <v>2</v>
      </c>
      <c r="H45" s="30">
        <v>545</v>
      </c>
      <c r="I45" s="49">
        <v>1090</v>
      </c>
      <c r="M45" s="30"/>
    </row>
    <row r="46" spans="2:13" x14ac:dyDescent="0.3">
      <c r="B46" s="43">
        <v>42368</v>
      </c>
      <c r="C46" s="2" t="s">
        <v>9</v>
      </c>
      <c r="D46" s="28" t="s">
        <v>422</v>
      </c>
      <c r="E46" s="30">
        <v>435</v>
      </c>
      <c r="F46" s="30">
        <v>436.5</v>
      </c>
      <c r="G46" s="30">
        <v>1.5</v>
      </c>
      <c r="H46" s="30">
        <v>690</v>
      </c>
      <c r="I46" s="49">
        <v>1035</v>
      </c>
      <c r="M46" s="30"/>
    </row>
    <row r="47" spans="2:13" x14ac:dyDescent="0.3">
      <c r="B47" s="43">
        <v>42368</v>
      </c>
      <c r="C47" s="2" t="s">
        <v>8</v>
      </c>
      <c r="D47" s="28" t="s">
        <v>433</v>
      </c>
      <c r="E47" s="30">
        <v>527</v>
      </c>
      <c r="F47" s="30">
        <v>523</v>
      </c>
      <c r="G47" s="30">
        <v>4</v>
      </c>
      <c r="H47" s="30">
        <v>569</v>
      </c>
      <c r="I47" s="49">
        <v>2276</v>
      </c>
      <c r="M47" s="30"/>
    </row>
    <row r="48" spans="2:13" x14ac:dyDescent="0.3">
      <c r="B48" s="43">
        <v>42369</v>
      </c>
      <c r="C48" s="2" t="s">
        <v>9</v>
      </c>
      <c r="D48" s="28" t="s">
        <v>94</v>
      </c>
      <c r="E48" s="30">
        <v>1078</v>
      </c>
      <c r="F48" s="30">
        <v>1084</v>
      </c>
      <c r="G48" s="30">
        <v>6</v>
      </c>
      <c r="H48" s="30">
        <v>278</v>
      </c>
      <c r="I48" s="49">
        <v>1668</v>
      </c>
      <c r="M48" s="30"/>
    </row>
    <row r="49" spans="2:13" x14ac:dyDescent="0.3">
      <c r="B49" s="43">
        <v>42369</v>
      </c>
      <c r="C49" s="2" t="s">
        <v>8</v>
      </c>
      <c r="D49" s="28" t="s">
        <v>575</v>
      </c>
      <c r="E49" s="30">
        <v>147</v>
      </c>
      <c r="F49" s="30">
        <v>145.6</v>
      </c>
      <c r="G49" s="30">
        <v>1.4</v>
      </c>
      <c r="H49" s="30">
        <v>2041</v>
      </c>
      <c r="I49" s="49" t="s">
        <v>1070</v>
      </c>
      <c r="M49" s="30"/>
    </row>
    <row r="50" spans="2:13" x14ac:dyDescent="0.3">
      <c r="B50" s="87"/>
      <c r="C50" s="2"/>
      <c r="D50" s="28"/>
      <c r="E50" s="30"/>
      <c r="F50" s="30"/>
      <c r="G50" s="30"/>
      <c r="H50" s="30"/>
      <c r="I50" s="88"/>
      <c r="M50" s="30"/>
    </row>
    <row r="51" spans="2:13" ht="18" x14ac:dyDescent="0.35">
      <c r="B51" s="87"/>
      <c r="C51" s="2"/>
      <c r="D51" s="28"/>
      <c r="E51" s="30"/>
      <c r="F51" s="30"/>
      <c r="G51" s="30"/>
      <c r="H51" s="30"/>
      <c r="I51" s="76" t="s">
        <v>1075</v>
      </c>
      <c r="M51" s="30"/>
    </row>
    <row r="52" spans="2:13" x14ac:dyDescent="0.3">
      <c r="B52" s="87"/>
      <c r="C52" s="2"/>
      <c r="D52" s="28"/>
      <c r="E52" s="30"/>
      <c r="F52" s="30"/>
      <c r="G52" s="30"/>
      <c r="H52" s="30"/>
      <c r="I52" s="88"/>
      <c r="M52" s="30"/>
    </row>
    <row r="53" spans="2:13" x14ac:dyDescent="0.3">
      <c r="M53" s="30"/>
    </row>
    <row r="54" spans="2:13" ht="15.6" x14ac:dyDescent="0.3">
      <c r="B54" s="48" t="s">
        <v>62</v>
      </c>
      <c r="C54" s="48"/>
      <c r="D54" s="48"/>
      <c r="E54" s="48"/>
      <c r="F54" s="48"/>
      <c r="G54" s="48"/>
      <c r="H54" s="48"/>
      <c r="I54" s="48"/>
      <c r="M54" s="30"/>
    </row>
    <row r="55" spans="2:13" x14ac:dyDescent="0.3">
      <c r="B55" s="43">
        <v>42339</v>
      </c>
      <c r="C55" s="2" t="s">
        <v>8</v>
      </c>
      <c r="D55" s="2" t="s">
        <v>939</v>
      </c>
      <c r="E55" s="41" t="s">
        <v>1056</v>
      </c>
      <c r="F55" s="40" t="s">
        <v>461</v>
      </c>
      <c r="G55" s="40" t="s">
        <v>994</v>
      </c>
      <c r="H55" s="5">
        <v>750</v>
      </c>
      <c r="I55" s="40" t="s">
        <v>280</v>
      </c>
      <c r="M55" s="30"/>
    </row>
    <row r="56" spans="2:13" x14ac:dyDescent="0.3">
      <c r="B56" s="43">
        <v>42340</v>
      </c>
      <c r="C56" s="2" t="s">
        <v>8</v>
      </c>
      <c r="D56" s="2" t="s">
        <v>1057</v>
      </c>
      <c r="E56" s="41" t="s">
        <v>700</v>
      </c>
      <c r="F56" s="40" t="s">
        <v>1058</v>
      </c>
      <c r="G56" s="40" t="s">
        <v>994</v>
      </c>
      <c r="H56" s="5">
        <v>1500</v>
      </c>
      <c r="I56" s="40" t="s">
        <v>1059</v>
      </c>
    </row>
    <row r="57" spans="2:13" x14ac:dyDescent="0.3">
      <c r="B57" s="43">
        <v>42341</v>
      </c>
      <c r="C57" s="30" t="s">
        <v>8</v>
      </c>
      <c r="D57" s="30" t="s">
        <v>133</v>
      </c>
      <c r="E57" s="30">
        <v>1850</v>
      </c>
      <c r="F57" s="30">
        <v>1830</v>
      </c>
      <c r="G57" s="30">
        <v>20</v>
      </c>
      <c r="H57" s="30">
        <v>300</v>
      </c>
      <c r="I57" s="30">
        <v>6000</v>
      </c>
    </row>
    <row r="58" spans="2:13" x14ac:dyDescent="0.3">
      <c r="B58" s="43">
        <v>42342</v>
      </c>
      <c r="C58" s="30" t="s">
        <v>8</v>
      </c>
      <c r="D58" s="30" t="s">
        <v>112</v>
      </c>
      <c r="E58" s="30">
        <v>401</v>
      </c>
      <c r="F58" s="30">
        <v>397</v>
      </c>
      <c r="G58" s="30">
        <v>4</v>
      </c>
      <c r="H58" s="30">
        <v>1300</v>
      </c>
      <c r="I58" s="30">
        <v>5200</v>
      </c>
    </row>
    <row r="59" spans="2:13" x14ac:dyDescent="0.3">
      <c r="B59" s="43">
        <v>42345</v>
      </c>
      <c r="C59" s="30" t="s">
        <v>8</v>
      </c>
      <c r="D59" s="30" t="s">
        <v>15</v>
      </c>
      <c r="E59" s="30">
        <v>1167</v>
      </c>
      <c r="F59" s="30">
        <v>1160</v>
      </c>
      <c r="G59" s="30">
        <v>7</v>
      </c>
      <c r="H59" s="30">
        <v>400</v>
      </c>
      <c r="I59" s="30">
        <v>1200</v>
      </c>
    </row>
    <row r="60" spans="2:13" x14ac:dyDescent="0.3">
      <c r="B60" s="43">
        <v>42346</v>
      </c>
      <c r="C60" s="30" t="s">
        <v>8</v>
      </c>
      <c r="D60" s="30" t="s">
        <v>114</v>
      </c>
      <c r="E60" s="30">
        <v>2040</v>
      </c>
      <c r="F60" s="30">
        <v>2005</v>
      </c>
      <c r="G60" s="30">
        <v>35</v>
      </c>
      <c r="H60" s="30">
        <v>250</v>
      </c>
      <c r="I60" s="30">
        <v>8750</v>
      </c>
    </row>
    <row r="61" spans="2:13" x14ac:dyDescent="0.3">
      <c r="B61" s="43">
        <v>42347</v>
      </c>
      <c r="C61" s="30" t="s">
        <v>8</v>
      </c>
      <c r="D61" s="30" t="s">
        <v>114</v>
      </c>
      <c r="E61" s="30">
        <v>1980</v>
      </c>
      <c r="F61" s="30">
        <v>1945</v>
      </c>
      <c r="G61" s="30">
        <v>35</v>
      </c>
      <c r="H61" s="30">
        <v>250</v>
      </c>
      <c r="I61" s="30">
        <v>8750</v>
      </c>
      <c r="K61" s="86"/>
    </row>
    <row r="62" spans="2:13" x14ac:dyDescent="0.3">
      <c r="B62" s="43">
        <v>42348</v>
      </c>
      <c r="C62" s="30" t="s">
        <v>8</v>
      </c>
      <c r="D62" s="30" t="s">
        <v>133</v>
      </c>
      <c r="E62" s="30">
        <v>1725</v>
      </c>
      <c r="F62" s="30">
        <v>1715</v>
      </c>
      <c r="G62" s="30">
        <v>10</v>
      </c>
      <c r="H62" s="30">
        <v>300</v>
      </c>
      <c r="I62" s="30">
        <v>3000</v>
      </c>
      <c r="K62" s="86"/>
    </row>
    <row r="63" spans="2:13" x14ac:dyDescent="0.3">
      <c r="B63" s="43">
        <v>42349</v>
      </c>
      <c r="C63" s="30" t="s">
        <v>8</v>
      </c>
      <c r="D63" s="30" t="s">
        <v>114</v>
      </c>
      <c r="E63" s="30">
        <v>1980</v>
      </c>
      <c r="F63" s="30">
        <v>1940</v>
      </c>
      <c r="G63" s="30">
        <v>40</v>
      </c>
      <c r="H63" s="30">
        <v>250</v>
      </c>
      <c r="I63" s="30">
        <v>10000</v>
      </c>
      <c r="K63" s="86"/>
    </row>
    <row r="64" spans="2:13" x14ac:dyDescent="0.3">
      <c r="B64" s="43">
        <v>42352</v>
      </c>
      <c r="C64" s="30" t="s">
        <v>8</v>
      </c>
      <c r="D64" s="30" t="s">
        <v>46</v>
      </c>
      <c r="E64" s="30">
        <v>215</v>
      </c>
      <c r="F64" s="30">
        <v>212.3</v>
      </c>
      <c r="G64" s="30">
        <v>2.7</v>
      </c>
      <c r="H64" s="30">
        <v>2000</v>
      </c>
      <c r="I64" s="30">
        <v>5400</v>
      </c>
      <c r="K64" s="86"/>
    </row>
    <row r="65" spans="2:11" x14ac:dyDescent="0.3">
      <c r="B65" s="43">
        <v>42353</v>
      </c>
      <c r="C65" s="30" t="s">
        <v>8</v>
      </c>
      <c r="D65" s="30" t="s">
        <v>663</v>
      </c>
      <c r="E65" s="30">
        <v>172</v>
      </c>
      <c r="F65" s="30">
        <v>173</v>
      </c>
      <c r="G65" s="30">
        <v>-1</v>
      </c>
      <c r="H65" s="30">
        <v>2200</v>
      </c>
      <c r="I65" s="30">
        <v>-2200</v>
      </c>
      <c r="K65" s="86"/>
    </row>
    <row r="66" spans="2:11" x14ac:dyDescent="0.3">
      <c r="B66" s="43">
        <v>42354</v>
      </c>
      <c r="C66" s="30" t="s">
        <v>8</v>
      </c>
      <c r="D66" s="30" t="s">
        <v>173</v>
      </c>
      <c r="E66" s="30">
        <v>878</v>
      </c>
      <c r="F66" s="30">
        <v>864</v>
      </c>
      <c r="G66" s="30">
        <v>14</v>
      </c>
      <c r="H66" s="30">
        <v>500</v>
      </c>
      <c r="I66" s="30">
        <v>7000</v>
      </c>
      <c r="K66" s="86"/>
    </row>
    <row r="67" spans="2:11" x14ac:dyDescent="0.3">
      <c r="B67" s="43">
        <v>42355</v>
      </c>
      <c r="C67" s="30" t="s">
        <v>8</v>
      </c>
      <c r="D67" s="30" t="s">
        <v>173</v>
      </c>
      <c r="E67" s="30">
        <v>872</v>
      </c>
      <c r="F67" s="30">
        <v>882</v>
      </c>
      <c r="G67" s="30">
        <v>-10</v>
      </c>
      <c r="H67" s="30">
        <v>500</v>
      </c>
      <c r="I67" s="30">
        <v>-5000</v>
      </c>
      <c r="K67" s="86"/>
    </row>
    <row r="68" spans="2:11" x14ac:dyDescent="0.3">
      <c r="B68" s="43">
        <v>42356</v>
      </c>
      <c r="C68" s="30" t="s">
        <v>8</v>
      </c>
      <c r="D68" s="30" t="s">
        <v>129</v>
      </c>
      <c r="E68" s="30">
        <v>1235</v>
      </c>
      <c r="F68" s="30">
        <v>1228</v>
      </c>
      <c r="G68" s="30">
        <v>7</v>
      </c>
      <c r="H68" s="30">
        <v>400</v>
      </c>
      <c r="I68" s="30">
        <v>2800</v>
      </c>
      <c r="K68" s="86"/>
    </row>
    <row r="69" spans="2:11" x14ac:dyDescent="0.3">
      <c r="B69" s="43">
        <v>42359</v>
      </c>
      <c r="C69" s="30" t="s">
        <v>8</v>
      </c>
      <c r="D69" s="30" t="s">
        <v>814</v>
      </c>
      <c r="E69" s="30">
        <v>855</v>
      </c>
      <c r="F69" s="30">
        <v>858</v>
      </c>
      <c r="G69" s="30">
        <v>-3</v>
      </c>
      <c r="H69" s="30">
        <v>600</v>
      </c>
      <c r="I69" s="30">
        <v>-1800</v>
      </c>
      <c r="K69" s="86"/>
    </row>
    <row r="70" spans="2:11" x14ac:dyDescent="0.3">
      <c r="B70" s="43">
        <v>42360</v>
      </c>
      <c r="C70" s="30" t="s">
        <v>9</v>
      </c>
      <c r="D70" s="30" t="s">
        <v>98</v>
      </c>
      <c r="E70" s="30">
        <v>2690</v>
      </c>
      <c r="F70" s="30">
        <v>2704</v>
      </c>
      <c r="G70" s="30">
        <v>14</v>
      </c>
      <c r="H70" s="30">
        <v>200</v>
      </c>
      <c r="I70" s="30">
        <v>2800</v>
      </c>
      <c r="K70" s="86"/>
    </row>
    <row r="71" spans="2:11" x14ac:dyDescent="0.3">
      <c r="B71" s="43">
        <v>42361</v>
      </c>
      <c r="C71" s="30" t="s">
        <v>8</v>
      </c>
      <c r="D71" s="30" t="s">
        <v>19</v>
      </c>
      <c r="E71" s="30">
        <v>230</v>
      </c>
      <c r="F71" s="30">
        <v>230</v>
      </c>
      <c r="G71" s="30">
        <v>0</v>
      </c>
      <c r="H71" s="30">
        <v>2000</v>
      </c>
      <c r="I71" s="30">
        <v>0</v>
      </c>
      <c r="K71" s="86"/>
    </row>
    <row r="72" spans="2:11" x14ac:dyDescent="0.3">
      <c r="B72" s="87">
        <v>42362</v>
      </c>
      <c r="C72" s="30" t="s">
        <v>8</v>
      </c>
      <c r="D72" s="30" t="s">
        <v>815</v>
      </c>
      <c r="E72" s="30">
        <v>1290</v>
      </c>
      <c r="F72" s="30">
        <v>1291</v>
      </c>
      <c r="G72" s="30">
        <v>-1</v>
      </c>
      <c r="H72" s="30">
        <v>400</v>
      </c>
      <c r="I72" s="30">
        <v>-400</v>
      </c>
      <c r="K72" s="86"/>
    </row>
    <row r="73" spans="2:11" x14ac:dyDescent="0.3">
      <c r="B73" s="87">
        <v>42366</v>
      </c>
      <c r="C73" s="30" t="s">
        <v>8</v>
      </c>
      <c r="D73" s="30" t="s">
        <v>592</v>
      </c>
      <c r="E73" s="30">
        <v>433</v>
      </c>
      <c r="F73" s="30">
        <v>431</v>
      </c>
      <c r="G73" s="30">
        <v>2</v>
      </c>
      <c r="H73" s="30">
        <v>1200</v>
      </c>
      <c r="I73" s="49" t="s">
        <v>900</v>
      </c>
      <c r="K73" s="86"/>
    </row>
    <row r="74" spans="2:11" x14ac:dyDescent="0.3">
      <c r="B74" s="87">
        <v>42367</v>
      </c>
      <c r="C74" s="30" t="s">
        <v>8</v>
      </c>
      <c r="D74" s="30" t="s">
        <v>371</v>
      </c>
      <c r="E74" s="30">
        <v>242.5</v>
      </c>
      <c r="F74" s="30">
        <v>242</v>
      </c>
      <c r="G74" s="30">
        <v>0.5</v>
      </c>
      <c r="H74" s="30">
        <v>2000</v>
      </c>
      <c r="I74" s="30">
        <v>1000</v>
      </c>
      <c r="K74" s="86"/>
    </row>
    <row r="75" spans="2:11" x14ac:dyDescent="0.3">
      <c r="B75" s="87">
        <v>42368</v>
      </c>
      <c r="C75" s="30" t="s">
        <v>8</v>
      </c>
      <c r="D75" s="30" t="s">
        <v>98</v>
      </c>
      <c r="E75" s="30">
        <v>2720</v>
      </c>
      <c r="F75" s="30">
        <v>2715</v>
      </c>
      <c r="G75" s="30">
        <v>5</v>
      </c>
      <c r="H75" s="30">
        <v>200</v>
      </c>
      <c r="I75" s="49" t="s">
        <v>273</v>
      </c>
      <c r="K75" s="86"/>
    </row>
    <row r="76" spans="2:11" x14ac:dyDescent="0.3">
      <c r="B76" s="87">
        <v>42369</v>
      </c>
      <c r="C76" s="30" t="s">
        <v>8</v>
      </c>
      <c r="D76" s="30" t="s">
        <v>98</v>
      </c>
      <c r="E76" s="30">
        <v>2712</v>
      </c>
      <c r="F76" s="30">
        <v>2685</v>
      </c>
      <c r="G76" s="30">
        <v>27</v>
      </c>
      <c r="H76" s="30">
        <v>200</v>
      </c>
      <c r="I76" s="49" t="s">
        <v>1065</v>
      </c>
      <c r="K76" s="86"/>
    </row>
    <row r="77" spans="2:11" x14ac:dyDescent="0.3">
      <c r="B77" s="43"/>
      <c r="C77" s="30"/>
      <c r="D77" s="30"/>
      <c r="E77" s="30"/>
      <c r="F77" s="30"/>
      <c r="G77" s="30"/>
      <c r="H77" s="30"/>
      <c r="I77" s="30"/>
      <c r="K77" s="86"/>
    </row>
    <row r="78" spans="2:11" ht="18" x14ac:dyDescent="0.35">
      <c r="C78" s="30"/>
      <c r="D78" s="30"/>
      <c r="E78" s="30"/>
      <c r="F78" s="30"/>
      <c r="G78" s="30"/>
      <c r="H78" s="30"/>
      <c r="I78" s="76" t="s">
        <v>1069</v>
      </c>
      <c r="K78" s="86"/>
    </row>
    <row r="79" spans="2:11" ht="15.6" x14ac:dyDescent="0.3">
      <c r="B79" s="43"/>
      <c r="C79" s="30"/>
      <c r="D79" s="30"/>
      <c r="E79" s="30"/>
      <c r="F79" s="30"/>
      <c r="G79" s="30"/>
      <c r="H79" s="30"/>
      <c r="I79" s="33"/>
      <c r="K79" s="86"/>
    </row>
    <row r="80" spans="2:11" ht="15.6" x14ac:dyDescent="0.3">
      <c r="B80" s="48" t="s">
        <v>63</v>
      </c>
      <c r="C80" s="48"/>
      <c r="D80" s="48"/>
      <c r="E80" s="48"/>
      <c r="F80" s="48"/>
      <c r="G80" s="48"/>
      <c r="H80" s="48"/>
      <c r="I80" s="48"/>
      <c r="K80" s="86"/>
    </row>
    <row r="81" spans="2:11" x14ac:dyDescent="0.3">
      <c r="B81" s="43">
        <v>42339</v>
      </c>
      <c r="C81" s="2" t="s">
        <v>8</v>
      </c>
      <c r="D81" s="2" t="s">
        <v>39</v>
      </c>
      <c r="E81" s="41" t="s">
        <v>1060</v>
      </c>
      <c r="F81" s="40" t="s">
        <v>1061</v>
      </c>
      <c r="G81" s="40" t="s">
        <v>961</v>
      </c>
      <c r="H81" s="30">
        <v>150</v>
      </c>
      <c r="I81" s="41" t="s">
        <v>1020</v>
      </c>
      <c r="K81" s="86"/>
    </row>
    <row r="82" spans="2:11" x14ac:dyDescent="0.3">
      <c r="B82" s="43">
        <v>42340</v>
      </c>
      <c r="C82" s="30" t="s">
        <v>8</v>
      </c>
      <c r="D82" s="2" t="s">
        <v>39</v>
      </c>
      <c r="E82" s="2">
        <v>7980</v>
      </c>
      <c r="F82" s="30">
        <v>7955</v>
      </c>
      <c r="G82" s="30">
        <v>25</v>
      </c>
      <c r="H82" s="30">
        <v>150</v>
      </c>
      <c r="I82" s="30">
        <v>3750</v>
      </c>
      <c r="K82" s="86"/>
    </row>
    <row r="83" spans="2:11" x14ac:dyDescent="0.3">
      <c r="B83" s="43">
        <v>42341</v>
      </c>
      <c r="C83" s="30" t="s">
        <v>8</v>
      </c>
      <c r="D83" s="2" t="s">
        <v>39</v>
      </c>
      <c r="E83" s="2">
        <v>7915</v>
      </c>
      <c r="F83" s="30">
        <v>7890</v>
      </c>
      <c r="G83" s="30">
        <v>25</v>
      </c>
      <c r="H83" s="30">
        <v>150</v>
      </c>
      <c r="I83" s="30">
        <v>3750</v>
      </c>
    </row>
    <row r="84" spans="2:11" x14ac:dyDescent="0.3">
      <c r="B84" s="43">
        <v>42342</v>
      </c>
      <c r="C84" s="30" t="s">
        <v>8</v>
      </c>
      <c r="D84" s="2" t="s">
        <v>39</v>
      </c>
      <c r="E84" s="2">
        <v>7835</v>
      </c>
      <c r="F84" s="30">
        <v>7815</v>
      </c>
      <c r="G84" s="30">
        <v>20</v>
      </c>
      <c r="H84" s="30">
        <v>150</v>
      </c>
      <c r="I84" s="30">
        <v>3000</v>
      </c>
    </row>
    <row r="85" spans="2:11" x14ac:dyDescent="0.3">
      <c r="B85" s="43">
        <v>42345</v>
      </c>
      <c r="C85" s="30" t="s">
        <v>8</v>
      </c>
      <c r="D85" s="2" t="s">
        <v>39</v>
      </c>
      <c r="E85" s="30">
        <v>7835</v>
      </c>
      <c r="F85" s="30">
        <v>7800</v>
      </c>
      <c r="G85" s="30">
        <v>35</v>
      </c>
      <c r="H85" s="30">
        <v>150</v>
      </c>
      <c r="I85" s="30">
        <v>5250</v>
      </c>
    </row>
    <row r="86" spans="2:11" x14ac:dyDescent="0.3">
      <c r="B86" s="43">
        <v>42346</v>
      </c>
      <c r="C86" s="30" t="s">
        <v>8</v>
      </c>
      <c r="D86" s="2" t="s">
        <v>39</v>
      </c>
      <c r="E86" s="30">
        <v>7790</v>
      </c>
      <c r="F86" s="30">
        <v>7730</v>
      </c>
      <c r="G86" s="30">
        <v>60</v>
      </c>
      <c r="H86" s="30">
        <v>150</v>
      </c>
      <c r="I86" s="30">
        <v>9000</v>
      </c>
    </row>
    <row r="87" spans="2:11" x14ac:dyDescent="0.3">
      <c r="B87" s="43">
        <v>42347</v>
      </c>
      <c r="C87" s="30" t="s">
        <v>8</v>
      </c>
      <c r="D87" s="2" t="s">
        <v>39</v>
      </c>
      <c r="E87" s="30">
        <v>7710</v>
      </c>
      <c r="F87" s="30">
        <v>7650</v>
      </c>
      <c r="G87" s="30">
        <v>60</v>
      </c>
      <c r="H87" s="30">
        <v>150</v>
      </c>
      <c r="I87" s="30">
        <v>9000</v>
      </c>
      <c r="K87" s="86"/>
    </row>
    <row r="88" spans="2:11" x14ac:dyDescent="0.3">
      <c r="B88" s="43">
        <v>42348</v>
      </c>
      <c r="C88" s="30" t="s">
        <v>8</v>
      </c>
      <c r="D88" s="2" t="s">
        <v>39</v>
      </c>
      <c r="E88" s="30">
        <v>7670</v>
      </c>
      <c r="F88" s="30">
        <v>7645</v>
      </c>
      <c r="G88" s="30">
        <v>25</v>
      </c>
      <c r="H88" s="30">
        <v>150</v>
      </c>
      <c r="I88" s="30">
        <v>3750</v>
      </c>
      <c r="K88" s="86"/>
    </row>
    <row r="89" spans="2:11" x14ac:dyDescent="0.3">
      <c r="B89" s="43">
        <v>42349</v>
      </c>
      <c r="C89" s="30" t="s">
        <v>8</v>
      </c>
      <c r="D89" s="2" t="s">
        <v>39</v>
      </c>
      <c r="E89" s="30">
        <v>7690</v>
      </c>
      <c r="F89" s="30">
        <v>7630</v>
      </c>
      <c r="G89" s="30">
        <v>60</v>
      </c>
      <c r="H89" s="30">
        <v>150</v>
      </c>
      <c r="I89" s="30">
        <v>9000</v>
      </c>
      <c r="K89" s="86"/>
    </row>
    <row r="90" spans="2:11" x14ac:dyDescent="0.3">
      <c r="B90" s="43">
        <v>42352</v>
      </c>
      <c r="C90" s="30" t="s">
        <v>8</v>
      </c>
      <c r="D90" s="2" t="s">
        <v>39</v>
      </c>
      <c r="E90" s="30">
        <v>7665</v>
      </c>
      <c r="F90" s="30">
        <v>7625</v>
      </c>
      <c r="G90" s="30">
        <v>40</v>
      </c>
      <c r="H90" s="30">
        <v>150</v>
      </c>
      <c r="I90" s="30">
        <v>6000</v>
      </c>
      <c r="K90" s="86"/>
    </row>
    <row r="91" spans="2:11" x14ac:dyDescent="0.3">
      <c r="B91" s="43">
        <v>42353</v>
      </c>
      <c r="C91" s="30" t="s">
        <v>8</v>
      </c>
      <c r="D91" s="2" t="s">
        <v>39</v>
      </c>
      <c r="E91" s="30">
        <v>7650</v>
      </c>
      <c r="F91" s="30">
        <v>7635</v>
      </c>
      <c r="G91" s="30">
        <v>15</v>
      </c>
      <c r="H91" s="30">
        <v>150</v>
      </c>
      <c r="I91" s="30">
        <v>2250</v>
      </c>
      <c r="K91" s="86"/>
    </row>
    <row r="92" spans="2:11" x14ac:dyDescent="0.3">
      <c r="B92" s="43">
        <v>42354</v>
      </c>
      <c r="C92" s="30" t="s">
        <v>9</v>
      </c>
      <c r="D92" s="2" t="s">
        <v>39</v>
      </c>
      <c r="E92" s="30">
        <v>7775</v>
      </c>
      <c r="F92" s="30">
        <v>7750</v>
      </c>
      <c r="G92" s="30">
        <v>-25</v>
      </c>
      <c r="H92" s="30">
        <v>150</v>
      </c>
      <c r="I92" s="30">
        <v>-3750</v>
      </c>
      <c r="K92" s="86"/>
    </row>
    <row r="93" spans="2:11" x14ac:dyDescent="0.3">
      <c r="B93" s="43">
        <v>42355</v>
      </c>
      <c r="C93" s="30" t="s">
        <v>8</v>
      </c>
      <c r="D93" s="2" t="s">
        <v>39</v>
      </c>
      <c r="E93" s="30">
        <v>7770</v>
      </c>
      <c r="F93" s="30">
        <v>7755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42356</v>
      </c>
      <c r="C94" s="30" t="s">
        <v>8</v>
      </c>
      <c r="D94" s="2" t="s">
        <v>39</v>
      </c>
      <c r="E94" s="30">
        <v>7840</v>
      </c>
      <c r="F94" s="30">
        <v>7780</v>
      </c>
      <c r="G94" s="30">
        <v>60</v>
      </c>
      <c r="H94" s="30">
        <v>150</v>
      </c>
      <c r="I94" s="30">
        <v>9000</v>
      </c>
      <c r="K94" s="86"/>
    </row>
    <row r="95" spans="2:11" x14ac:dyDescent="0.3">
      <c r="B95" s="43">
        <v>42359</v>
      </c>
      <c r="C95" s="30" t="s">
        <v>9</v>
      </c>
      <c r="D95" s="2" t="s">
        <v>39</v>
      </c>
      <c r="E95" s="30">
        <v>7810</v>
      </c>
      <c r="F95" s="30">
        <v>7850</v>
      </c>
      <c r="G95" s="30">
        <v>40</v>
      </c>
      <c r="H95" s="30">
        <v>150</v>
      </c>
      <c r="I95" s="30">
        <v>6000</v>
      </c>
      <c r="K95" s="86"/>
    </row>
    <row r="96" spans="2:11" x14ac:dyDescent="0.3">
      <c r="B96" s="43">
        <v>42360</v>
      </c>
      <c r="C96" s="30" t="s">
        <v>9</v>
      </c>
      <c r="D96" s="2" t="s">
        <v>39</v>
      </c>
      <c r="E96" s="30">
        <v>7820</v>
      </c>
      <c r="F96" s="30">
        <v>7845</v>
      </c>
      <c r="G96" s="30">
        <v>25</v>
      </c>
      <c r="H96" s="30">
        <v>150</v>
      </c>
      <c r="I96" s="30">
        <v>3750</v>
      </c>
      <c r="K96" s="86"/>
    </row>
    <row r="97" spans="2:11" x14ac:dyDescent="0.3">
      <c r="B97" s="43">
        <v>42361</v>
      </c>
      <c r="C97" s="30" t="s">
        <v>9</v>
      </c>
      <c r="D97" s="2" t="s">
        <v>39</v>
      </c>
      <c r="E97" s="30">
        <v>7860</v>
      </c>
      <c r="F97" s="30">
        <v>7875</v>
      </c>
      <c r="G97" s="30">
        <v>15</v>
      </c>
      <c r="H97" s="30">
        <v>150</v>
      </c>
      <c r="I97" s="30">
        <v>2250</v>
      </c>
      <c r="K97" s="86"/>
    </row>
    <row r="98" spans="2:11" x14ac:dyDescent="0.3">
      <c r="B98" s="87">
        <v>42362</v>
      </c>
      <c r="C98" s="30" t="s">
        <v>8</v>
      </c>
      <c r="D98" s="2" t="s">
        <v>39</v>
      </c>
      <c r="E98" s="30">
        <v>7865</v>
      </c>
      <c r="F98" s="30">
        <v>7840</v>
      </c>
      <c r="G98" s="30">
        <v>25</v>
      </c>
      <c r="H98" s="30">
        <v>150</v>
      </c>
      <c r="I98" s="30">
        <v>3750</v>
      </c>
      <c r="K98" s="86"/>
    </row>
    <row r="99" spans="2:11" x14ac:dyDescent="0.3">
      <c r="B99" s="87">
        <v>42366</v>
      </c>
      <c r="C99" s="30" t="s">
        <v>8</v>
      </c>
      <c r="D99" s="2" t="s">
        <v>39</v>
      </c>
      <c r="E99" s="30">
        <v>7900</v>
      </c>
      <c r="F99" s="30">
        <v>7908</v>
      </c>
      <c r="G99" s="30">
        <v>-8</v>
      </c>
      <c r="H99" s="30">
        <v>150</v>
      </c>
      <c r="I99" s="30">
        <v>-1200</v>
      </c>
      <c r="K99" s="86"/>
    </row>
    <row r="100" spans="2:11" x14ac:dyDescent="0.3">
      <c r="B100" s="87">
        <v>42367</v>
      </c>
      <c r="C100" s="30" t="s">
        <v>9</v>
      </c>
      <c r="D100" s="2" t="s">
        <v>39</v>
      </c>
      <c r="E100" s="30">
        <v>7920</v>
      </c>
      <c r="F100" s="30">
        <v>7935</v>
      </c>
      <c r="G100" s="30">
        <v>15</v>
      </c>
      <c r="H100" s="30">
        <v>150</v>
      </c>
      <c r="I100" s="30">
        <v>2250</v>
      </c>
      <c r="K100" s="86"/>
    </row>
    <row r="101" spans="2:11" x14ac:dyDescent="0.3">
      <c r="B101" s="87">
        <v>42368</v>
      </c>
      <c r="C101" s="30" t="s">
        <v>8</v>
      </c>
      <c r="D101" s="2" t="s">
        <v>39</v>
      </c>
      <c r="E101" s="30">
        <v>7930</v>
      </c>
      <c r="F101" s="30">
        <v>7895</v>
      </c>
      <c r="G101" s="30">
        <v>35</v>
      </c>
      <c r="H101" s="30">
        <v>150</v>
      </c>
      <c r="I101" s="30">
        <v>5250</v>
      </c>
      <c r="K101" s="86"/>
    </row>
    <row r="102" spans="2:11" x14ac:dyDescent="0.3">
      <c r="B102" s="87">
        <v>42369</v>
      </c>
      <c r="C102" s="30" t="s">
        <v>9</v>
      </c>
      <c r="D102" s="2" t="s">
        <v>39</v>
      </c>
      <c r="E102" s="30">
        <v>7900</v>
      </c>
      <c r="F102" s="30">
        <v>7945</v>
      </c>
      <c r="G102" s="30">
        <v>45</v>
      </c>
      <c r="H102" s="30">
        <v>150</v>
      </c>
      <c r="I102" s="30">
        <v>6750</v>
      </c>
      <c r="K102" s="86"/>
    </row>
    <row r="103" spans="2:11" x14ac:dyDescent="0.3">
      <c r="B103" s="43"/>
      <c r="C103" s="30"/>
      <c r="D103" s="2"/>
      <c r="E103" s="30"/>
      <c r="F103" s="30"/>
      <c r="G103" s="30"/>
      <c r="H103" s="30"/>
      <c r="I103" s="30"/>
      <c r="K103" s="86"/>
    </row>
    <row r="104" spans="2:11" ht="18" x14ac:dyDescent="0.35">
      <c r="B104" s="43"/>
      <c r="C104" s="30"/>
      <c r="D104" s="2"/>
      <c r="E104" s="30"/>
      <c r="F104" s="30"/>
      <c r="G104" s="30"/>
      <c r="H104" s="30"/>
      <c r="I104" s="76" t="s">
        <v>1068</v>
      </c>
      <c r="K104" s="86"/>
    </row>
    <row r="105" spans="2:11" x14ac:dyDescent="0.3">
      <c r="B105" s="43"/>
      <c r="C105" s="28"/>
      <c r="D105" s="30"/>
      <c r="E105" s="28"/>
      <c r="F105" s="28"/>
      <c r="G105" s="28"/>
      <c r="H105" s="28"/>
      <c r="I105" s="28"/>
      <c r="K105" s="86"/>
    </row>
    <row r="106" spans="2:11" ht="15.6" x14ac:dyDescent="0.3">
      <c r="B106" s="48" t="s">
        <v>991</v>
      </c>
      <c r="C106" s="61"/>
      <c r="D106" s="61"/>
      <c r="E106" s="61"/>
      <c r="F106" s="61"/>
      <c r="G106" s="61"/>
      <c r="H106" s="61"/>
      <c r="I106" s="61"/>
      <c r="K106" s="86"/>
    </row>
    <row r="107" spans="2:11" x14ac:dyDescent="0.3">
      <c r="B107" s="43">
        <v>42339</v>
      </c>
      <c r="C107" s="3" t="s">
        <v>9</v>
      </c>
      <c r="D107" s="3" t="s">
        <v>960</v>
      </c>
      <c r="E107" s="41" t="s">
        <v>582</v>
      </c>
      <c r="F107" s="41" t="s">
        <v>626</v>
      </c>
      <c r="G107" s="41" t="s">
        <v>951</v>
      </c>
      <c r="H107" s="30">
        <v>300</v>
      </c>
      <c r="I107" s="8">
        <f>H107*G107</f>
        <v>4500</v>
      </c>
      <c r="K107" s="86"/>
    </row>
    <row r="108" spans="2:11" x14ac:dyDescent="0.3">
      <c r="B108" s="43">
        <v>42340</v>
      </c>
      <c r="C108" s="3" t="s">
        <v>9</v>
      </c>
      <c r="D108" s="3" t="s">
        <v>960</v>
      </c>
      <c r="E108" s="30">
        <v>135</v>
      </c>
      <c r="F108" s="30">
        <v>160</v>
      </c>
      <c r="G108" s="30">
        <v>25</v>
      </c>
      <c r="H108" s="30">
        <v>300</v>
      </c>
      <c r="I108" s="8">
        <v>7500</v>
      </c>
      <c r="K108" s="86"/>
    </row>
    <row r="109" spans="2:11" x14ac:dyDescent="0.3">
      <c r="B109" s="43">
        <v>42341</v>
      </c>
      <c r="C109" s="3" t="s">
        <v>9</v>
      </c>
      <c r="D109" s="3" t="s">
        <v>960</v>
      </c>
      <c r="E109" s="30">
        <v>170</v>
      </c>
      <c r="F109" s="30">
        <v>190</v>
      </c>
      <c r="G109" s="30">
        <v>20</v>
      </c>
      <c r="H109" s="30">
        <v>300</v>
      </c>
      <c r="I109" s="8">
        <v>6000</v>
      </c>
    </row>
    <row r="110" spans="2:11" x14ac:dyDescent="0.3">
      <c r="B110" s="43">
        <v>42342</v>
      </c>
      <c r="C110" s="3" t="s">
        <v>9</v>
      </c>
      <c r="D110" s="3" t="s">
        <v>931</v>
      </c>
      <c r="E110" s="30">
        <v>165</v>
      </c>
      <c r="F110" s="30">
        <v>178</v>
      </c>
      <c r="G110" s="30">
        <v>13</v>
      </c>
      <c r="H110" s="30">
        <v>300</v>
      </c>
      <c r="I110" s="8">
        <v>3900</v>
      </c>
    </row>
    <row r="111" spans="2:11" x14ac:dyDescent="0.3">
      <c r="B111" s="43">
        <v>42345</v>
      </c>
      <c r="C111" s="3" t="s">
        <v>9</v>
      </c>
      <c r="D111" s="30" t="s">
        <v>931</v>
      </c>
      <c r="E111" s="30">
        <v>155</v>
      </c>
      <c r="F111" s="30">
        <v>180</v>
      </c>
      <c r="G111" s="30">
        <v>25</v>
      </c>
      <c r="H111" s="30">
        <v>300</v>
      </c>
      <c r="I111" s="8">
        <v>7500</v>
      </c>
    </row>
    <row r="112" spans="2:11" x14ac:dyDescent="0.3">
      <c r="B112" s="43">
        <v>42346</v>
      </c>
      <c r="C112" s="3" t="s">
        <v>9</v>
      </c>
      <c r="D112" s="30" t="s">
        <v>931</v>
      </c>
      <c r="E112" s="30">
        <v>172</v>
      </c>
      <c r="F112" s="30">
        <v>219</v>
      </c>
      <c r="G112" s="30">
        <v>47</v>
      </c>
      <c r="H112" s="30">
        <v>300</v>
      </c>
      <c r="I112" s="8">
        <v>14100</v>
      </c>
    </row>
    <row r="113" spans="2:9" x14ac:dyDescent="0.3">
      <c r="B113" s="43">
        <v>42347</v>
      </c>
      <c r="C113" s="3" t="s">
        <v>9</v>
      </c>
      <c r="D113" s="30" t="s">
        <v>935</v>
      </c>
      <c r="E113" s="30">
        <v>163</v>
      </c>
      <c r="F113" s="30">
        <v>198</v>
      </c>
      <c r="G113" s="30">
        <v>35</v>
      </c>
      <c r="H113" s="30">
        <v>300</v>
      </c>
      <c r="I113" s="8">
        <v>10500</v>
      </c>
    </row>
    <row r="114" spans="2:9" x14ac:dyDescent="0.3">
      <c r="B114" s="43">
        <v>42348</v>
      </c>
      <c r="C114" s="3" t="s">
        <v>9</v>
      </c>
      <c r="D114" s="30" t="s">
        <v>1062</v>
      </c>
      <c r="E114" s="30">
        <v>130</v>
      </c>
      <c r="F114" s="30">
        <v>105</v>
      </c>
      <c r="G114" s="30">
        <v>-25</v>
      </c>
      <c r="H114" s="30">
        <v>300</v>
      </c>
      <c r="I114" s="8">
        <v>-7500</v>
      </c>
    </row>
    <row r="115" spans="2:9" x14ac:dyDescent="0.3">
      <c r="B115" s="43">
        <v>42349</v>
      </c>
      <c r="C115" s="3" t="s">
        <v>9</v>
      </c>
      <c r="D115" s="30" t="s">
        <v>935</v>
      </c>
      <c r="E115" s="30">
        <v>165</v>
      </c>
      <c r="F115" s="30">
        <v>210</v>
      </c>
      <c r="G115" s="30">
        <v>45</v>
      </c>
      <c r="H115" s="30">
        <v>300</v>
      </c>
      <c r="I115" s="8">
        <v>13500</v>
      </c>
    </row>
    <row r="116" spans="2:9" x14ac:dyDescent="0.3">
      <c r="B116" s="43">
        <v>42352</v>
      </c>
      <c r="C116" s="3" t="s">
        <v>9</v>
      </c>
      <c r="D116" s="30" t="s">
        <v>1062</v>
      </c>
      <c r="E116" s="30">
        <v>135</v>
      </c>
      <c r="F116" s="30">
        <v>160</v>
      </c>
      <c r="G116" s="30">
        <v>25</v>
      </c>
      <c r="H116" s="30">
        <v>300</v>
      </c>
      <c r="I116" s="8">
        <v>7500</v>
      </c>
    </row>
    <row r="117" spans="2:9" x14ac:dyDescent="0.3">
      <c r="B117" s="43">
        <v>42353</v>
      </c>
      <c r="C117" s="3" t="s">
        <v>9</v>
      </c>
      <c r="D117" s="30" t="s">
        <v>1062</v>
      </c>
      <c r="E117" s="30">
        <v>145</v>
      </c>
      <c r="F117" s="30">
        <v>120</v>
      </c>
      <c r="G117" s="30">
        <v>-25</v>
      </c>
      <c r="H117" s="30">
        <v>300</v>
      </c>
      <c r="I117" s="8">
        <v>-7500</v>
      </c>
    </row>
    <row r="118" spans="2:9" x14ac:dyDescent="0.3">
      <c r="B118" s="43">
        <v>42354</v>
      </c>
      <c r="C118" s="3" t="s">
        <v>9</v>
      </c>
      <c r="D118" s="30" t="s">
        <v>944</v>
      </c>
      <c r="E118" s="30">
        <v>150</v>
      </c>
      <c r="F118" s="30">
        <v>140</v>
      </c>
      <c r="G118" s="30">
        <v>-10</v>
      </c>
      <c r="H118" s="30">
        <v>300</v>
      </c>
      <c r="I118" s="8">
        <v>-3000</v>
      </c>
    </row>
    <row r="119" spans="2:9" x14ac:dyDescent="0.3">
      <c r="B119" s="43">
        <v>42355</v>
      </c>
      <c r="C119" s="3" t="s">
        <v>9</v>
      </c>
      <c r="D119" s="30" t="s">
        <v>935</v>
      </c>
      <c r="E119" s="30">
        <v>100</v>
      </c>
      <c r="F119" s="30">
        <v>110</v>
      </c>
      <c r="G119" s="30">
        <v>10</v>
      </c>
      <c r="H119" s="30">
        <v>300</v>
      </c>
      <c r="I119" s="8">
        <v>3000</v>
      </c>
    </row>
    <row r="120" spans="2:9" x14ac:dyDescent="0.3">
      <c r="B120" s="43">
        <v>42356</v>
      </c>
      <c r="C120" s="3" t="s">
        <v>9</v>
      </c>
      <c r="D120" s="28" t="s">
        <v>931</v>
      </c>
      <c r="E120" s="49" t="s">
        <v>420</v>
      </c>
      <c r="F120" s="49" t="s">
        <v>232</v>
      </c>
      <c r="G120" s="49" t="s">
        <v>972</v>
      </c>
      <c r="H120" s="30">
        <v>300</v>
      </c>
      <c r="I120" s="8">
        <v>9000</v>
      </c>
    </row>
    <row r="121" spans="2:9" x14ac:dyDescent="0.3">
      <c r="B121" s="43">
        <v>42359</v>
      </c>
      <c r="C121" s="3" t="s">
        <v>9</v>
      </c>
      <c r="D121" s="28" t="s">
        <v>944</v>
      </c>
      <c r="E121" s="49" t="s">
        <v>612</v>
      </c>
      <c r="F121" s="49" t="s">
        <v>528</v>
      </c>
      <c r="G121" s="49" t="s">
        <v>961</v>
      </c>
      <c r="H121" s="30">
        <v>300</v>
      </c>
      <c r="I121" s="8">
        <v>7500</v>
      </c>
    </row>
    <row r="122" spans="2:9" x14ac:dyDescent="0.3">
      <c r="B122" s="43">
        <v>42360</v>
      </c>
      <c r="C122" s="3" t="s">
        <v>9</v>
      </c>
      <c r="D122" s="28" t="s">
        <v>944</v>
      </c>
      <c r="E122" s="49" t="s">
        <v>612</v>
      </c>
      <c r="F122" s="49" t="s">
        <v>528</v>
      </c>
      <c r="G122" s="49" t="s">
        <v>961</v>
      </c>
      <c r="H122" s="30">
        <v>300</v>
      </c>
      <c r="I122" s="8">
        <v>7500</v>
      </c>
    </row>
    <row r="123" spans="2:9" x14ac:dyDescent="0.3">
      <c r="B123" s="43">
        <v>42361</v>
      </c>
      <c r="C123" s="3" t="s">
        <v>9</v>
      </c>
      <c r="D123" s="28" t="s">
        <v>944</v>
      </c>
      <c r="E123" s="49" t="s">
        <v>854</v>
      </c>
      <c r="F123" s="49" t="s">
        <v>1063</v>
      </c>
      <c r="G123" s="49" t="s">
        <v>1025</v>
      </c>
      <c r="H123" s="30">
        <v>300</v>
      </c>
      <c r="I123" s="8">
        <v>3000</v>
      </c>
    </row>
    <row r="124" spans="2:9" x14ac:dyDescent="0.3">
      <c r="B124" s="87">
        <v>42362</v>
      </c>
      <c r="C124" s="3" t="s">
        <v>9</v>
      </c>
      <c r="D124" s="28" t="s">
        <v>960</v>
      </c>
      <c r="E124" s="49" t="s">
        <v>612</v>
      </c>
      <c r="F124" s="49" t="s">
        <v>229</v>
      </c>
      <c r="G124" s="49" t="s">
        <v>951</v>
      </c>
      <c r="H124" s="30">
        <v>300</v>
      </c>
      <c r="I124" s="8">
        <v>4500</v>
      </c>
    </row>
    <row r="125" spans="2:9" x14ac:dyDescent="0.3">
      <c r="B125" s="87">
        <v>42366</v>
      </c>
      <c r="C125" s="3" t="s">
        <v>9</v>
      </c>
      <c r="D125" s="28" t="s">
        <v>960</v>
      </c>
      <c r="E125" s="49" t="s">
        <v>1066</v>
      </c>
      <c r="F125" s="49" t="s">
        <v>217</v>
      </c>
      <c r="G125" s="49" t="s">
        <v>1037</v>
      </c>
      <c r="H125" s="30">
        <v>300</v>
      </c>
      <c r="I125" s="8">
        <v>-1800</v>
      </c>
    </row>
    <row r="126" spans="2:9" x14ac:dyDescent="0.3">
      <c r="B126" s="87">
        <v>42367</v>
      </c>
      <c r="C126" s="3" t="s">
        <v>9</v>
      </c>
      <c r="D126" s="28" t="s">
        <v>941</v>
      </c>
      <c r="E126" s="49" t="s">
        <v>524</v>
      </c>
      <c r="F126" s="49" t="s">
        <v>582</v>
      </c>
      <c r="G126" s="49" t="s">
        <v>1025</v>
      </c>
      <c r="H126" s="30">
        <v>300</v>
      </c>
      <c r="I126" s="8">
        <v>3000</v>
      </c>
    </row>
    <row r="127" spans="2:9" x14ac:dyDescent="0.3">
      <c r="B127" s="87">
        <v>42368</v>
      </c>
      <c r="C127" s="3" t="s">
        <v>9</v>
      </c>
      <c r="D127" s="28" t="s">
        <v>980</v>
      </c>
      <c r="E127" s="49" t="s">
        <v>528</v>
      </c>
      <c r="F127" s="49" t="s">
        <v>933</v>
      </c>
      <c r="G127" s="49" t="s">
        <v>972</v>
      </c>
      <c r="H127" s="30">
        <v>300</v>
      </c>
      <c r="I127" s="8">
        <v>9000</v>
      </c>
    </row>
    <row r="128" spans="2:9" x14ac:dyDescent="0.3">
      <c r="B128" s="87">
        <v>42369</v>
      </c>
      <c r="C128" s="3" t="s">
        <v>9</v>
      </c>
      <c r="D128" s="28" t="s">
        <v>941</v>
      </c>
      <c r="E128" s="49" t="s">
        <v>288</v>
      </c>
      <c r="F128" s="49" t="s">
        <v>232</v>
      </c>
      <c r="G128" s="49" t="s">
        <v>945</v>
      </c>
      <c r="H128" s="30">
        <v>300</v>
      </c>
      <c r="I128" s="30">
        <v>10500</v>
      </c>
    </row>
    <row r="129" spans="2:9" x14ac:dyDescent="0.3">
      <c r="B129" s="43"/>
      <c r="C129" s="3"/>
      <c r="D129" s="28"/>
      <c r="E129" s="49"/>
      <c r="F129" s="49"/>
      <c r="G129" s="49"/>
      <c r="H129" s="30"/>
      <c r="I129" s="30"/>
    </row>
    <row r="130" spans="2:9" ht="18" x14ac:dyDescent="0.35">
      <c r="B130" s="1"/>
      <c r="C130" s="28"/>
      <c r="D130" s="28"/>
      <c r="E130" s="28"/>
      <c r="F130" s="28"/>
      <c r="G130" s="28"/>
      <c r="H130" s="28"/>
      <c r="I130" s="76" t="s">
        <v>1067</v>
      </c>
    </row>
    <row r="131" spans="2:9" ht="18" x14ac:dyDescent="0.35">
      <c r="B131" s="1"/>
      <c r="C131" s="28"/>
      <c r="D131" s="28"/>
      <c r="E131" s="28"/>
      <c r="F131" s="28"/>
      <c r="G131" s="28"/>
      <c r="H131" s="28"/>
      <c r="I131" s="76"/>
    </row>
    <row r="132" spans="2:9" x14ac:dyDescent="0.3">
      <c r="B132" s="1"/>
    </row>
    <row r="133" spans="2:9" ht="15.6" x14ac:dyDescent="0.3">
      <c r="B133" s="48" t="s">
        <v>926</v>
      </c>
      <c r="C133" s="48"/>
      <c r="D133" s="48"/>
      <c r="E133" s="48"/>
      <c r="F133" s="48"/>
      <c r="G133" s="48"/>
      <c r="H133" s="48"/>
      <c r="I133" s="48"/>
    </row>
    <row r="134" spans="2:9" x14ac:dyDescent="0.3">
      <c r="B134" s="43">
        <v>42339</v>
      </c>
      <c r="C134" s="30" t="s">
        <v>8</v>
      </c>
      <c r="D134" s="30" t="s">
        <v>301</v>
      </c>
      <c r="E134" s="30">
        <v>17500</v>
      </c>
      <c r="F134" s="30">
        <v>17440</v>
      </c>
      <c r="G134" s="30">
        <v>60</v>
      </c>
      <c r="H134" s="30">
        <v>120</v>
      </c>
      <c r="I134" s="30">
        <f>H134*G134</f>
        <v>7200</v>
      </c>
    </row>
    <row r="135" spans="2:9" x14ac:dyDescent="0.3">
      <c r="B135" s="43">
        <v>42340</v>
      </c>
      <c r="C135" s="30" t="s">
        <v>8</v>
      </c>
      <c r="D135" s="30" t="s">
        <v>301</v>
      </c>
      <c r="E135" s="30">
        <v>17450</v>
      </c>
      <c r="F135" s="30">
        <v>17280</v>
      </c>
      <c r="G135" s="30">
        <v>170</v>
      </c>
      <c r="H135" s="30">
        <v>120</v>
      </c>
      <c r="I135" s="30">
        <f>H135*G135</f>
        <v>20400</v>
      </c>
    </row>
    <row r="136" spans="2:9" x14ac:dyDescent="0.3">
      <c r="B136" s="43">
        <v>42341</v>
      </c>
      <c r="C136" s="30" t="s">
        <v>8</v>
      </c>
      <c r="D136" s="30" t="s">
        <v>301</v>
      </c>
      <c r="E136" s="30">
        <v>17200</v>
      </c>
      <c r="F136" s="30">
        <v>17210</v>
      </c>
      <c r="G136" s="30">
        <v>-10</v>
      </c>
      <c r="H136" s="30">
        <v>120</v>
      </c>
      <c r="I136" s="30">
        <v>-1200</v>
      </c>
    </row>
    <row r="137" spans="2:9" x14ac:dyDescent="0.3">
      <c r="B137" s="43">
        <v>42342</v>
      </c>
      <c r="C137" s="30" t="s">
        <v>8</v>
      </c>
      <c r="D137" s="30" t="s">
        <v>301</v>
      </c>
      <c r="E137" s="30">
        <v>17040</v>
      </c>
      <c r="F137" s="30">
        <v>16940</v>
      </c>
      <c r="G137" s="30">
        <v>100</v>
      </c>
      <c r="H137" s="30">
        <v>120</v>
      </c>
      <c r="I137" s="30">
        <v>12000</v>
      </c>
    </row>
    <row r="138" spans="2:9" x14ac:dyDescent="0.3">
      <c r="B138" s="43">
        <v>42345</v>
      </c>
      <c r="C138" s="30" t="s">
        <v>8</v>
      </c>
      <c r="D138" s="30" t="s">
        <v>301</v>
      </c>
      <c r="E138" s="30">
        <v>17050</v>
      </c>
      <c r="F138" s="30">
        <v>17000</v>
      </c>
      <c r="G138" s="30">
        <v>50</v>
      </c>
      <c r="H138" s="30">
        <v>120</v>
      </c>
      <c r="I138" s="30">
        <v>6000</v>
      </c>
    </row>
    <row r="139" spans="2:9" x14ac:dyDescent="0.3">
      <c r="B139" s="43">
        <v>42346</v>
      </c>
      <c r="C139" s="30" t="s">
        <v>8</v>
      </c>
      <c r="D139" s="30" t="s">
        <v>301</v>
      </c>
      <c r="E139" s="30">
        <v>17000</v>
      </c>
      <c r="F139" s="30">
        <v>16850</v>
      </c>
      <c r="G139" s="30">
        <v>150</v>
      </c>
      <c r="H139" s="30">
        <v>120</v>
      </c>
      <c r="I139" s="30">
        <v>18000</v>
      </c>
    </row>
    <row r="140" spans="2:9" x14ac:dyDescent="0.3">
      <c r="B140" s="43">
        <v>42347</v>
      </c>
      <c r="C140" s="30" t="s">
        <v>8</v>
      </c>
      <c r="D140" s="30" t="s">
        <v>301</v>
      </c>
      <c r="E140" s="30">
        <v>16920</v>
      </c>
      <c r="F140" s="30">
        <v>16700</v>
      </c>
      <c r="G140" s="30">
        <v>220</v>
      </c>
      <c r="H140" s="30">
        <v>120</v>
      </c>
      <c r="I140" s="30">
        <v>26400</v>
      </c>
    </row>
    <row r="141" spans="2:9" x14ac:dyDescent="0.3">
      <c r="B141" s="43">
        <v>42348</v>
      </c>
      <c r="C141" s="30" t="s">
        <v>8</v>
      </c>
      <c r="D141" s="30" t="s">
        <v>301</v>
      </c>
      <c r="E141" s="30">
        <v>16750</v>
      </c>
      <c r="F141" s="30">
        <v>16660</v>
      </c>
      <c r="G141" s="30">
        <v>90</v>
      </c>
      <c r="H141" s="30">
        <v>120</v>
      </c>
      <c r="I141" s="30">
        <v>10800</v>
      </c>
    </row>
    <row r="142" spans="2:9" x14ac:dyDescent="0.3">
      <c r="B142" s="43">
        <v>42349</v>
      </c>
      <c r="C142" s="30" t="s">
        <v>8</v>
      </c>
      <c r="D142" s="30" t="s">
        <v>301</v>
      </c>
      <c r="E142" s="30">
        <v>16730</v>
      </c>
      <c r="F142" s="30">
        <v>16430</v>
      </c>
      <c r="G142" s="30">
        <v>300</v>
      </c>
      <c r="H142" s="30">
        <v>120</v>
      </c>
      <c r="I142" s="30">
        <v>36000</v>
      </c>
    </row>
    <row r="143" spans="2:9" x14ac:dyDescent="0.3">
      <c r="B143" s="43">
        <v>42352</v>
      </c>
      <c r="C143" s="30" t="s">
        <v>8</v>
      </c>
      <c r="D143" s="30" t="s">
        <v>301</v>
      </c>
      <c r="E143" s="30">
        <v>16470</v>
      </c>
      <c r="F143" s="30">
        <v>16300</v>
      </c>
      <c r="G143" s="30">
        <v>170</v>
      </c>
      <c r="H143" s="30">
        <v>120</v>
      </c>
      <c r="I143" s="30">
        <v>20400</v>
      </c>
    </row>
    <row r="144" spans="2:9" x14ac:dyDescent="0.3">
      <c r="B144" s="43">
        <v>42353</v>
      </c>
      <c r="C144" s="30" t="s">
        <v>8</v>
      </c>
      <c r="D144" s="30" t="s">
        <v>301</v>
      </c>
      <c r="E144" s="30">
        <v>16250</v>
      </c>
      <c r="F144" s="30">
        <v>16400</v>
      </c>
      <c r="G144" s="30">
        <v>-150</v>
      </c>
      <c r="H144" s="30">
        <v>120</v>
      </c>
      <c r="I144" s="30">
        <v>-18000</v>
      </c>
    </row>
    <row r="145" spans="2:9" x14ac:dyDescent="0.3">
      <c r="B145" s="43">
        <v>42354</v>
      </c>
      <c r="C145" s="30" t="s">
        <v>9</v>
      </c>
      <c r="D145" s="30" t="s">
        <v>301</v>
      </c>
      <c r="E145" s="30">
        <v>16600</v>
      </c>
      <c r="F145" s="30">
        <v>16660</v>
      </c>
      <c r="G145" s="30">
        <v>60</v>
      </c>
      <c r="H145" s="30">
        <v>120</v>
      </c>
      <c r="I145" s="30">
        <v>7200</v>
      </c>
    </row>
    <row r="146" spans="2:9" x14ac:dyDescent="0.3">
      <c r="B146" s="43">
        <v>42355</v>
      </c>
      <c r="C146" s="30" t="s">
        <v>8</v>
      </c>
      <c r="D146" s="30" t="s">
        <v>301</v>
      </c>
      <c r="E146" s="30">
        <v>16650</v>
      </c>
      <c r="F146" s="30">
        <v>16550</v>
      </c>
      <c r="G146" s="30">
        <v>100</v>
      </c>
      <c r="H146" s="30">
        <v>120</v>
      </c>
      <c r="I146" s="30">
        <v>12000</v>
      </c>
    </row>
    <row r="147" spans="2:9" x14ac:dyDescent="0.3">
      <c r="B147" s="43">
        <v>42356</v>
      </c>
      <c r="C147" s="30" t="s">
        <v>8</v>
      </c>
      <c r="D147" s="30" t="s">
        <v>301</v>
      </c>
      <c r="E147" s="30">
        <v>16720</v>
      </c>
      <c r="F147" s="30">
        <v>16620</v>
      </c>
      <c r="G147" s="30">
        <v>100</v>
      </c>
      <c r="H147" s="30">
        <v>120</v>
      </c>
      <c r="I147" s="30">
        <v>12000</v>
      </c>
    </row>
    <row r="148" spans="2:9" x14ac:dyDescent="0.3">
      <c r="B148" s="43">
        <v>42359</v>
      </c>
      <c r="C148" s="30" t="s">
        <v>9</v>
      </c>
      <c r="D148" s="30" t="s">
        <v>301</v>
      </c>
      <c r="E148" s="30">
        <v>16710</v>
      </c>
      <c r="F148" s="30">
        <v>16860</v>
      </c>
      <c r="G148" s="30">
        <v>150</v>
      </c>
      <c r="H148" s="30">
        <v>120</v>
      </c>
      <c r="I148" s="30">
        <v>18000</v>
      </c>
    </row>
    <row r="149" spans="2:9" x14ac:dyDescent="0.3">
      <c r="B149" s="43">
        <v>42360</v>
      </c>
      <c r="C149" s="30" t="s">
        <v>9</v>
      </c>
      <c r="D149" s="30" t="s">
        <v>301</v>
      </c>
      <c r="E149" s="30">
        <v>16820</v>
      </c>
      <c r="F149" s="30">
        <v>16910</v>
      </c>
      <c r="G149" s="30">
        <v>90</v>
      </c>
      <c r="H149" s="30">
        <v>120</v>
      </c>
      <c r="I149" s="30">
        <v>10800</v>
      </c>
    </row>
    <row r="150" spans="2:9" x14ac:dyDescent="0.3">
      <c r="B150" s="43">
        <v>42361</v>
      </c>
      <c r="C150" s="30" t="s">
        <v>9</v>
      </c>
      <c r="D150" s="30" t="s">
        <v>301</v>
      </c>
      <c r="E150" s="88">
        <v>16860</v>
      </c>
      <c r="F150" s="88">
        <v>16850</v>
      </c>
      <c r="G150" s="88">
        <v>-10</v>
      </c>
      <c r="H150" s="88">
        <v>120</v>
      </c>
      <c r="I150" s="88">
        <v>-1200</v>
      </c>
    </row>
    <row r="151" spans="2:9" x14ac:dyDescent="0.3">
      <c r="B151" s="87">
        <v>42362</v>
      </c>
      <c r="C151" s="30" t="s">
        <v>8</v>
      </c>
      <c r="D151" s="30" t="s">
        <v>301</v>
      </c>
      <c r="E151" s="30">
        <v>16790</v>
      </c>
      <c r="F151" s="30">
        <v>16750</v>
      </c>
      <c r="G151" s="30">
        <v>40</v>
      </c>
      <c r="H151" s="30">
        <v>120</v>
      </c>
      <c r="I151" s="30">
        <v>4800</v>
      </c>
    </row>
    <row r="152" spans="2:9" x14ac:dyDescent="0.3">
      <c r="B152" s="87">
        <v>42366</v>
      </c>
      <c r="C152" s="30" t="s">
        <v>8</v>
      </c>
      <c r="D152" s="30" t="s">
        <v>301</v>
      </c>
      <c r="E152" s="30">
        <v>16900</v>
      </c>
      <c r="F152" s="30">
        <v>16920</v>
      </c>
      <c r="G152" s="30">
        <v>-20</v>
      </c>
      <c r="H152" s="30">
        <v>120</v>
      </c>
      <c r="I152" s="30">
        <v>-2400</v>
      </c>
    </row>
    <row r="153" spans="2:9" x14ac:dyDescent="0.3">
      <c r="B153" s="87">
        <v>42367</v>
      </c>
      <c r="C153" s="30" t="s">
        <v>8</v>
      </c>
      <c r="D153" s="30" t="s">
        <v>301</v>
      </c>
      <c r="E153" s="30">
        <v>16930</v>
      </c>
      <c r="F153" s="30">
        <v>17000</v>
      </c>
      <c r="G153" s="30">
        <v>-70</v>
      </c>
      <c r="H153" s="30">
        <v>120</v>
      </c>
      <c r="I153" s="30">
        <v>-8400</v>
      </c>
    </row>
    <row r="154" spans="2:9" x14ac:dyDescent="0.3">
      <c r="B154" s="87">
        <v>42368</v>
      </c>
      <c r="C154" s="30" t="s">
        <v>8</v>
      </c>
      <c r="D154" s="30" t="s">
        <v>301</v>
      </c>
      <c r="E154" s="30">
        <v>16980</v>
      </c>
      <c r="F154" s="30">
        <v>16890</v>
      </c>
      <c r="G154" s="30">
        <v>90</v>
      </c>
      <c r="H154" s="30">
        <v>120</v>
      </c>
      <c r="I154" s="30">
        <v>10800</v>
      </c>
    </row>
    <row r="155" spans="2:9" x14ac:dyDescent="0.3">
      <c r="B155" s="87">
        <v>42369</v>
      </c>
      <c r="C155" s="30" t="s">
        <v>9</v>
      </c>
      <c r="D155" s="30" t="s">
        <v>301</v>
      </c>
      <c r="E155" s="30">
        <v>16920</v>
      </c>
      <c r="F155" s="30">
        <v>16930</v>
      </c>
      <c r="G155" s="30">
        <v>10</v>
      </c>
      <c r="H155" s="30">
        <v>120</v>
      </c>
      <c r="I155" s="30">
        <v>1200</v>
      </c>
    </row>
    <row r="157" spans="2:9" ht="18" x14ac:dyDescent="0.35">
      <c r="I157" s="76">
        <v>202800</v>
      </c>
    </row>
    <row r="159" spans="2:9" ht="18" x14ac:dyDescent="0.35">
      <c r="B159" s="285" t="s">
        <v>1076</v>
      </c>
      <c r="C159" s="286"/>
      <c r="D159" s="286"/>
      <c r="E159" s="286"/>
      <c r="F159" s="286"/>
      <c r="G159" s="286"/>
      <c r="H159" s="286"/>
      <c r="I159" s="287"/>
    </row>
    <row r="160" spans="2:9" x14ac:dyDescent="0.3">
      <c r="B160" s="43">
        <v>42342</v>
      </c>
      <c r="C160" s="30" t="s">
        <v>9</v>
      </c>
      <c r="D160" s="30" t="s">
        <v>1077</v>
      </c>
      <c r="E160" s="30">
        <v>8</v>
      </c>
      <c r="F160" s="30">
        <v>13</v>
      </c>
      <c r="G160" s="30">
        <v>5</v>
      </c>
      <c r="H160" s="30">
        <v>1600</v>
      </c>
      <c r="I160" s="30">
        <v>8000</v>
      </c>
    </row>
    <row r="161" spans="2:9" x14ac:dyDescent="0.3">
      <c r="B161" s="43">
        <v>42347</v>
      </c>
      <c r="C161" s="30" t="s">
        <v>11</v>
      </c>
      <c r="D161" s="30" t="s">
        <v>1078</v>
      </c>
      <c r="E161" s="30">
        <v>39</v>
      </c>
      <c r="F161" s="30">
        <v>60</v>
      </c>
      <c r="G161" s="30">
        <v>21</v>
      </c>
      <c r="H161" s="30">
        <v>250</v>
      </c>
      <c r="I161" s="30">
        <v>5250</v>
      </c>
    </row>
    <row r="162" spans="2:9" x14ac:dyDescent="0.3">
      <c r="B162" s="43">
        <v>42349</v>
      </c>
      <c r="C162" s="30" t="s">
        <v>11</v>
      </c>
      <c r="D162" s="30" t="s">
        <v>1079</v>
      </c>
      <c r="E162" s="30">
        <v>8</v>
      </c>
      <c r="F162" s="30">
        <v>5</v>
      </c>
      <c r="G162" s="30">
        <v>-3</v>
      </c>
      <c r="H162" s="30">
        <v>2000</v>
      </c>
      <c r="I162" s="30">
        <v>-6000</v>
      </c>
    </row>
    <row r="163" spans="2:9" x14ac:dyDescent="0.3">
      <c r="B163" s="43">
        <v>42354</v>
      </c>
      <c r="C163" s="30" t="s">
        <v>1080</v>
      </c>
      <c r="D163" s="30" t="s">
        <v>1081</v>
      </c>
      <c r="E163" s="30">
        <v>23</v>
      </c>
      <c r="F163" s="30">
        <v>20.5</v>
      </c>
      <c r="G163" s="30">
        <v>2.5</v>
      </c>
      <c r="H163" s="30">
        <v>600</v>
      </c>
      <c r="I163" s="30">
        <v>-1500</v>
      </c>
    </row>
    <row r="164" spans="2:9" x14ac:dyDescent="0.3">
      <c r="B164" s="43">
        <v>42355</v>
      </c>
      <c r="C164" s="30" t="s">
        <v>11</v>
      </c>
      <c r="D164" s="30" t="s">
        <v>1089</v>
      </c>
      <c r="E164" s="30">
        <v>78</v>
      </c>
      <c r="F164" s="30">
        <v>85</v>
      </c>
      <c r="G164" s="30">
        <v>7</v>
      </c>
      <c r="H164" s="30">
        <v>125</v>
      </c>
      <c r="I164" s="30">
        <v>875</v>
      </c>
    </row>
    <row r="165" spans="2:9" x14ac:dyDescent="0.3">
      <c r="B165" s="43">
        <v>42356</v>
      </c>
      <c r="C165" s="30" t="s">
        <v>11</v>
      </c>
      <c r="D165" s="30" t="s">
        <v>1082</v>
      </c>
      <c r="E165" s="30">
        <v>62</v>
      </c>
      <c r="F165" s="30">
        <v>72</v>
      </c>
      <c r="G165" s="30">
        <v>10</v>
      </c>
      <c r="H165" s="30">
        <v>200</v>
      </c>
      <c r="I165" s="30">
        <v>2000</v>
      </c>
    </row>
    <row r="166" spans="2:9" x14ac:dyDescent="0.3">
      <c r="B166" s="43">
        <v>42360</v>
      </c>
      <c r="C166" s="30" t="s">
        <v>9</v>
      </c>
      <c r="D166" s="30" t="s">
        <v>1083</v>
      </c>
      <c r="E166" s="30">
        <v>24</v>
      </c>
      <c r="F166" s="30">
        <v>31</v>
      </c>
      <c r="G166" s="30">
        <v>7</v>
      </c>
      <c r="H166" s="30">
        <v>300</v>
      </c>
      <c r="I166" s="30">
        <v>2100</v>
      </c>
    </row>
    <row r="167" spans="2:9" x14ac:dyDescent="0.3">
      <c r="B167" s="43">
        <v>42362</v>
      </c>
      <c r="C167" s="30" t="s">
        <v>9</v>
      </c>
      <c r="D167" s="30" t="s">
        <v>1084</v>
      </c>
      <c r="E167" s="30">
        <v>45</v>
      </c>
      <c r="F167" s="30">
        <v>55</v>
      </c>
      <c r="G167" s="30">
        <v>10</v>
      </c>
      <c r="H167" s="30">
        <v>200</v>
      </c>
      <c r="I167" s="30">
        <v>2000</v>
      </c>
    </row>
    <row r="168" spans="2:9" x14ac:dyDescent="0.3">
      <c r="B168" s="43">
        <v>42366</v>
      </c>
      <c r="C168" s="30" t="s">
        <v>11</v>
      </c>
      <c r="D168" s="30" t="s">
        <v>1085</v>
      </c>
      <c r="E168" s="30">
        <v>16</v>
      </c>
      <c r="F168" s="30">
        <v>25</v>
      </c>
      <c r="G168" s="30">
        <v>9</v>
      </c>
      <c r="H168" s="30">
        <v>600</v>
      </c>
      <c r="I168" s="30">
        <v>5400</v>
      </c>
    </row>
    <row r="169" spans="2:9" x14ac:dyDescent="0.3">
      <c r="B169" s="43">
        <v>42367</v>
      </c>
      <c r="C169" s="30" t="s">
        <v>1080</v>
      </c>
      <c r="D169" s="30" t="s">
        <v>1086</v>
      </c>
      <c r="E169" s="30">
        <v>31</v>
      </c>
      <c r="F169" s="30">
        <v>43</v>
      </c>
      <c r="G169" s="30">
        <v>12</v>
      </c>
      <c r="H169" s="30">
        <v>200</v>
      </c>
      <c r="I169" s="30">
        <v>2400</v>
      </c>
    </row>
    <row r="170" spans="2:9" x14ac:dyDescent="0.3">
      <c r="B170" s="43">
        <v>42368</v>
      </c>
      <c r="C170" s="30" t="s">
        <v>11</v>
      </c>
      <c r="D170" s="30" t="s">
        <v>1087</v>
      </c>
      <c r="E170" s="30">
        <v>13</v>
      </c>
      <c r="F170" s="30">
        <v>17</v>
      </c>
      <c r="G170" s="30">
        <v>4</v>
      </c>
      <c r="H170" s="30">
        <v>700</v>
      </c>
      <c r="I170" s="30">
        <v>2800</v>
      </c>
    </row>
    <row r="171" spans="2:9" x14ac:dyDescent="0.3">
      <c r="B171" s="43">
        <v>42369</v>
      </c>
      <c r="C171" s="30" t="s">
        <v>11</v>
      </c>
      <c r="D171" s="30" t="s">
        <v>1088</v>
      </c>
      <c r="E171" s="30">
        <v>105</v>
      </c>
      <c r="F171" s="30">
        <v>90</v>
      </c>
      <c r="G171" s="30">
        <v>-15</v>
      </c>
      <c r="H171" s="30">
        <v>125</v>
      </c>
      <c r="I171" s="30">
        <v>-1875</v>
      </c>
    </row>
    <row r="172" spans="2:9" x14ac:dyDescent="0.3">
      <c r="H172" s="30"/>
      <c r="I172" s="30"/>
    </row>
    <row r="174" spans="2:9" ht="18" x14ac:dyDescent="0.35">
      <c r="I174" s="72">
        <v>21450</v>
      </c>
    </row>
  </sheetData>
  <mergeCells count="4">
    <mergeCell ref="B1:I1"/>
    <mergeCell ref="B2:I2"/>
    <mergeCell ref="B3:I3"/>
    <mergeCell ref="B159:I159"/>
  </mergeCells>
  <hyperlinks>
    <hyperlink ref="K2" location="'MASTER '!A1" display="Back" xr:uid="{00000000-0004-0000-2000-000000000000}"/>
  </hyperlinks>
  <pageMargins left="0.7" right="0.7" top="0.75" bottom="0.75" header="0.3" footer="0.3"/>
  <pageSetup paperSize="9" orientation="portrait" horizontalDpi="300" verticalDpi="300" r:id="rId1"/>
  <ignoredErrors>
    <ignoredError sqref="E6:G17 E55:I56 E81:I81 E120:G123 E107:G107 I51 I42 I49 I6:I7 I73:I80 E124:G128 I130 I2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J193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1091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42370</v>
      </c>
      <c r="C6" s="2" t="s">
        <v>11</v>
      </c>
      <c r="D6" s="2" t="s">
        <v>828</v>
      </c>
      <c r="E6" s="90" t="s">
        <v>1092</v>
      </c>
      <c r="F6" s="91" t="s">
        <v>1093</v>
      </c>
      <c r="G6" s="91" t="s">
        <v>951</v>
      </c>
      <c r="H6" s="92">
        <v>282</v>
      </c>
      <c r="I6" s="93">
        <v>4230</v>
      </c>
      <c r="L6" s="16"/>
    </row>
    <row r="7" spans="1:15" x14ac:dyDescent="0.3">
      <c r="B7" s="43">
        <v>42370</v>
      </c>
      <c r="C7" s="2" t="s">
        <v>8</v>
      </c>
      <c r="D7" s="2" t="s">
        <v>107</v>
      </c>
      <c r="E7" s="41" t="s">
        <v>1094</v>
      </c>
      <c r="F7" s="40" t="s">
        <v>844</v>
      </c>
      <c r="G7" s="40" t="s">
        <v>1095</v>
      </c>
      <c r="H7" s="5">
        <v>119</v>
      </c>
      <c r="I7" s="81">
        <v>-238</v>
      </c>
      <c r="L7" s="16"/>
    </row>
    <row r="8" spans="1:15" x14ac:dyDescent="0.3">
      <c r="B8" s="43">
        <v>42461</v>
      </c>
      <c r="C8" s="2" t="s">
        <v>9</v>
      </c>
      <c r="D8" s="2" t="s">
        <v>98</v>
      </c>
      <c r="E8" s="41" t="s">
        <v>1096</v>
      </c>
      <c r="F8" s="40" t="s">
        <v>1097</v>
      </c>
      <c r="G8" s="40" t="s">
        <v>1098</v>
      </c>
      <c r="H8" s="5">
        <v>113</v>
      </c>
      <c r="I8" s="81">
        <v>-3390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42461</v>
      </c>
      <c r="C9" s="2" t="s">
        <v>8</v>
      </c>
      <c r="D9" s="2" t="s">
        <v>139</v>
      </c>
      <c r="E9" s="41" t="s">
        <v>1099</v>
      </c>
      <c r="F9" s="40" t="s">
        <v>1100</v>
      </c>
      <c r="G9" s="40" t="s">
        <v>1101</v>
      </c>
      <c r="H9" s="5">
        <v>415</v>
      </c>
      <c r="I9" s="81">
        <v>7885</v>
      </c>
      <c r="K9" s="66"/>
      <c r="L9" s="67"/>
      <c r="M9" s="67"/>
      <c r="N9" s="67"/>
      <c r="O9" s="67"/>
    </row>
    <row r="10" spans="1:15" x14ac:dyDescent="0.3">
      <c r="B10" s="43">
        <v>42491</v>
      </c>
      <c r="C10" s="2" t="s">
        <v>9</v>
      </c>
      <c r="D10" s="2" t="s">
        <v>496</v>
      </c>
      <c r="E10" s="41" t="s">
        <v>1102</v>
      </c>
      <c r="F10" s="40" t="s">
        <v>1103</v>
      </c>
      <c r="G10" s="40" t="s">
        <v>1104</v>
      </c>
      <c r="H10" s="5">
        <v>605</v>
      </c>
      <c r="I10" s="81">
        <v>5142.5</v>
      </c>
      <c r="K10" s="16" t="s">
        <v>449</v>
      </c>
      <c r="L10" s="30">
        <v>41</v>
      </c>
      <c r="M10" s="30">
        <v>27</v>
      </c>
      <c r="N10" s="30">
        <v>13</v>
      </c>
      <c r="O10" s="30">
        <v>1</v>
      </c>
    </row>
    <row r="11" spans="1:15" x14ac:dyDescent="0.3">
      <c r="B11" s="43">
        <v>42491</v>
      </c>
      <c r="C11" s="2" t="s">
        <v>8</v>
      </c>
      <c r="D11" s="2" t="s">
        <v>137</v>
      </c>
      <c r="E11" s="41" t="s">
        <v>1105</v>
      </c>
      <c r="F11" s="40" t="s">
        <v>656</v>
      </c>
      <c r="G11" s="40" t="s">
        <v>925</v>
      </c>
      <c r="H11" s="5">
        <v>353</v>
      </c>
      <c r="I11" s="81">
        <v>1765</v>
      </c>
      <c r="K11" s="16"/>
      <c r="L11" s="30"/>
      <c r="M11" s="30"/>
      <c r="N11" s="30"/>
      <c r="O11" s="30"/>
    </row>
    <row r="12" spans="1:15" x14ac:dyDescent="0.3">
      <c r="B12" s="43">
        <v>42522</v>
      </c>
      <c r="C12" s="2" t="s">
        <v>9</v>
      </c>
      <c r="D12" s="2" t="s">
        <v>1106</v>
      </c>
      <c r="E12" s="41" t="s">
        <v>1107</v>
      </c>
      <c r="F12" s="40" t="s">
        <v>1108</v>
      </c>
      <c r="G12" s="40" t="s">
        <v>959</v>
      </c>
      <c r="H12" s="5">
        <v>2970</v>
      </c>
      <c r="I12" s="81">
        <v>8910</v>
      </c>
      <c r="K12" s="16" t="s">
        <v>450</v>
      </c>
      <c r="L12" s="30">
        <v>20</v>
      </c>
      <c r="M12" s="30">
        <v>16</v>
      </c>
      <c r="N12" s="30">
        <v>4</v>
      </c>
      <c r="O12" s="30">
        <v>0</v>
      </c>
    </row>
    <row r="13" spans="1:15" x14ac:dyDescent="0.3">
      <c r="B13" s="43">
        <v>42522</v>
      </c>
      <c r="C13" s="2" t="s">
        <v>8</v>
      </c>
      <c r="D13" s="2" t="s">
        <v>1109</v>
      </c>
      <c r="E13" s="41" t="s">
        <v>1110</v>
      </c>
      <c r="F13" s="40" t="s">
        <v>1111</v>
      </c>
      <c r="G13" s="40" t="s">
        <v>1112</v>
      </c>
      <c r="H13" s="5">
        <v>237</v>
      </c>
      <c r="I13" s="81">
        <v>-2844</v>
      </c>
      <c r="K13" s="16"/>
      <c r="L13" s="30"/>
      <c r="M13" s="30"/>
      <c r="N13" s="30"/>
      <c r="O13" s="30"/>
    </row>
    <row r="14" spans="1:15" x14ac:dyDescent="0.3">
      <c r="B14" s="43">
        <v>42552</v>
      </c>
      <c r="C14" s="2" t="s">
        <v>9</v>
      </c>
      <c r="D14" s="2" t="s">
        <v>133</v>
      </c>
      <c r="E14" s="41" t="s">
        <v>1113</v>
      </c>
      <c r="F14" s="40" t="s">
        <v>1114</v>
      </c>
      <c r="G14" s="40" t="s">
        <v>1115</v>
      </c>
      <c r="H14" s="5">
        <v>170</v>
      </c>
      <c r="I14" s="81">
        <v>-2550</v>
      </c>
      <c r="K14" s="16" t="s">
        <v>451</v>
      </c>
      <c r="L14" s="30">
        <v>20</v>
      </c>
      <c r="M14" s="30">
        <v>15</v>
      </c>
      <c r="N14" s="30">
        <v>5</v>
      </c>
      <c r="O14" s="30">
        <v>0</v>
      </c>
    </row>
    <row r="15" spans="1:15" x14ac:dyDescent="0.3">
      <c r="B15" s="43">
        <v>42552</v>
      </c>
      <c r="C15" s="2" t="s">
        <v>8</v>
      </c>
      <c r="D15" s="2" t="s">
        <v>139</v>
      </c>
      <c r="E15" s="41" t="s">
        <v>1116</v>
      </c>
      <c r="F15" s="40" t="s">
        <v>1117</v>
      </c>
      <c r="G15" s="40" t="s">
        <v>1011</v>
      </c>
      <c r="H15" s="5">
        <v>438</v>
      </c>
      <c r="I15" s="81">
        <v>3066</v>
      </c>
      <c r="K15" s="16"/>
      <c r="M15" s="30"/>
      <c r="N15" s="30"/>
      <c r="O15" s="30"/>
    </row>
    <row r="16" spans="1:15" x14ac:dyDescent="0.3">
      <c r="B16" s="43">
        <v>42583</v>
      </c>
      <c r="C16" s="2" t="s">
        <v>9</v>
      </c>
      <c r="D16" s="2" t="s">
        <v>99</v>
      </c>
      <c r="E16" s="41" t="s">
        <v>1118</v>
      </c>
      <c r="F16" s="40" t="s">
        <v>1119</v>
      </c>
      <c r="G16" s="40" t="s">
        <v>1120</v>
      </c>
      <c r="H16" s="5">
        <v>952</v>
      </c>
      <c r="I16" s="81">
        <v>1428</v>
      </c>
      <c r="K16" s="16" t="s">
        <v>1176</v>
      </c>
      <c r="L16" s="30">
        <v>20</v>
      </c>
      <c r="M16" s="30">
        <v>13</v>
      </c>
      <c r="N16" s="30">
        <v>6</v>
      </c>
      <c r="O16" s="30">
        <v>1</v>
      </c>
    </row>
    <row r="17" spans="2:15" x14ac:dyDescent="0.3">
      <c r="B17" s="43">
        <v>42583</v>
      </c>
      <c r="C17" s="2" t="s">
        <v>8</v>
      </c>
      <c r="D17" s="2" t="s">
        <v>98</v>
      </c>
      <c r="E17" s="41" t="s">
        <v>728</v>
      </c>
      <c r="F17" s="40" t="s">
        <v>1121</v>
      </c>
      <c r="G17" s="40" t="s">
        <v>1122</v>
      </c>
      <c r="H17" s="5">
        <v>120</v>
      </c>
      <c r="I17" s="81">
        <v>1440</v>
      </c>
      <c r="L17" s="30"/>
      <c r="M17" s="30"/>
      <c r="N17" s="30"/>
      <c r="O17" s="30"/>
    </row>
    <row r="18" spans="2:15" x14ac:dyDescent="0.3">
      <c r="B18" s="43">
        <v>42675</v>
      </c>
      <c r="C18" s="2" t="s">
        <v>9</v>
      </c>
      <c r="D18" s="28" t="s">
        <v>13</v>
      </c>
      <c r="E18" s="30">
        <v>589</v>
      </c>
      <c r="F18" s="30">
        <v>583</v>
      </c>
      <c r="G18" s="30">
        <v>-6</v>
      </c>
      <c r="H18" s="5">
        <v>509</v>
      </c>
      <c r="I18" s="81">
        <v>-3054</v>
      </c>
      <c r="K18" s="16" t="s">
        <v>41</v>
      </c>
      <c r="L18" s="30">
        <v>20</v>
      </c>
      <c r="M18" s="30">
        <v>17</v>
      </c>
      <c r="N18" s="30">
        <v>2</v>
      </c>
      <c r="O18" s="30">
        <v>1</v>
      </c>
    </row>
    <row r="19" spans="2:15" x14ac:dyDescent="0.3">
      <c r="B19" s="43">
        <v>42675</v>
      </c>
      <c r="C19" s="2" t="s">
        <v>8</v>
      </c>
      <c r="D19" s="28" t="s">
        <v>173</v>
      </c>
      <c r="E19" s="30">
        <v>865</v>
      </c>
      <c r="F19" s="30">
        <v>875</v>
      </c>
      <c r="G19" s="30">
        <v>-10</v>
      </c>
      <c r="H19" s="5">
        <v>347</v>
      </c>
      <c r="I19" s="81">
        <v>-3470</v>
      </c>
      <c r="K19" s="16"/>
      <c r="L19" s="30"/>
      <c r="M19" s="30"/>
      <c r="N19" s="30"/>
      <c r="O19" s="30"/>
    </row>
    <row r="20" spans="2:15" x14ac:dyDescent="0.3">
      <c r="B20" s="43">
        <v>42705</v>
      </c>
      <c r="C20" s="2" t="s">
        <v>9</v>
      </c>
      <c r="D20" s="28" t="s">
        <v>78</v>
      </c>
      <c r="E20" s="30">
        <v>1195</v>
      </c>
      <c r="F20" s="30">
        <v>1180</v>
      </c>
      <c r="G20" s="30">
        <v>-15</v>
      </c>
      <c r="H20" s="5">
        <v>251</v>
      </c>
      <c r="I20" s="81">
        <v>-3765</v>
      </c>
      <c r="K20" s="16" t="s">
        <v>1090</v>
      </c>
      <c r="L20" s="30">
        <v>21</v>
      </c>
      <c r="M20" s="30">
        <v>16</v>
      </c>
      <c r="N20" s="30">
        <v>4</v>
      </c>
      <c r="O20" s="30">
        <v>1</v>
      </c>
    </row>
    <row r="21" spans="2:15" x14ac:dyDescent="0.3">
      <c r="B21" s="43">
        <v>42705</v>
      </c>
      <c r="C21" s="2" t="s">
        <v>8</v>
      </c>
      <c r="D21" s="28" t="s">
        <v>98</v>
      </c>
      <c r="E21" s="30">
        <v>2470</v>
      </c>
      <c r="F21" s="30">
        <v>2462</v>
      </c>
      <c r="G21" s="30">
        <v>8</v>
      </c>
      <c r="H21" s="5">
        <v>122</v>
      </c>
      <c r="I21" s="81">
        <v>976</v>
      </c>
      <c r="K21" s="16"/>
      <c r="L21" s="30"/>
      <c r="M21" s="30"/>
      <c r="N21" s="30"/>
      <c r="O21" s="30"/>
    </row>
    <row r="22" spans="2:15" x14ac:dyDescent="0.3">
      <c r="B22" s="43" t="s">
        <v>1138</v>
      </c>
      <c r="C22" s="2" t="s">
        <v>9</v>
      </c>
      <c r="D22" s="28" t="s">
        <v>99</v>
      </c>
      <c r="E22" s="30">
        <v>319.5</v>
      </c>
      <c r="F22" s="30">
        <v>315.5</v>
      </c>
      <c r="G22" s="30">
        <v>-4</v>
      </c>
      <c r="H22" s="5">
        <v>939</v>
      </c>
      <c r="I22" s="81">
        <v>-3756</v>
      </c>
      <c r="K22" s="16" t="s">
        <v>1175</v>
      </c>
      <c r="L22" s="30">
        <v>14</v>
      </c>
      <c r="M22" s="30">
        <v>10</v>
      </c>
      <c r="N22" s="30">
        <v>4</v>
      </c>
      <c r="O22" s="30">
        <v>0</v>
      </c>
    </row>
    <row r="23" spans="2:15" x14ac:dyDescent="0.3">
      <c r="B23" s="43" t="s">
        <v>1138</v>
      </c>
      <c r="C23" s="2" t="s">
        <v>8</v>
      </c>
      <c r="D23" s="28" t="s">
        <v>365</v>
      </c>
      <c r="E23" s="30">
        <v>1010</v>
      </c>
      <c r="F23" s="30">
        <v>990</v>
      </c>
      <c r="G23" s="30">
        <v>20</v>
      </c>
      <c r="H23" s="5">
        <v>297</v>
      </c>
      <c r="I23" s="81">
        <v>5940</v>
      </c>
      <c r="K23" s="16"/>
      <c r="L23" s="30"/>
      <c r="M23" s="30"/>
      <c r="N23" s="30"/>
      <c r="O23" s="30"/>
    </row>
    <row r="24" spans="2:15" x14ac:dyDescent="0.3">
      <c r="B24" s="43" t="s">
        <v>1139</v>
      </c>
      <c r="C24" s="2" t="s">
        <v>9</v>
      </c>
      <c r="D24" s="28" t="s">
        <v>173</v>
      </c>
      <c r="E24" s="30">
        <v>868</v>
      </c>
      <c r="F24" s="30">
        <v>888</v>
      </c>
      <c r="G24" s="30">
        <v>20</v>
      </c>
      <c r="H24" s="5">
        <v>346</v>
      </c>
      <c r="I24" s="81">
        <v>6920</v>
      </c>
      <c r="K24" s="16" t="s">
        <v>946</v>
      </c>
      <c r="L24" s="21">
        <v>156</v>
      </c>
      <c r="M24" s="21">
        <v>114</v>
      </c>
      <c r="N24" s="21">
        <v>38</v>
      </c>
      <c r="O24" s="21">
        <v>4</v>
      </c>
    </row>
    <row r="25" spans="2:15" x14ac:dyDescent="0.3">
      <c r="B25" s="43" t="s">
        <v>1139</v>
      </c>
      <c r="C25" s="2" t="s">
        <v>8</v>
      </c>
      <c r="D25" s="28" t="s">
        <v>98</v>
      </c>
      <c r="E25" s="30">
        <v>2435</v>
      </c>
      <c r="F25" s="30">
        <v>2420</v>
      </c>
      <c r="G25" s="30">
        <v>15</v>
      </c>
      <c r="H25" s="5">
        <v>123</v>
      </c>
      <c r="I25" s="81">
        <v>1845</v>
      </c>
      <c r="L25" s="16"/>
    </row>
    <row r="26" spans="2:15" x14ac:dyDescent="0.3">
      <c r="B26" s="43" t="s">
        <v>1140</v>
      </c>
      <c r="C26" s="2" t="s">
        <v>9</v>
      </c>
      <c r="D26" s="28" t="s">
        <v>139</v>
      </c>
      <c r="E26" s="30">
        <v>677</v>
      </c>
      <c r="F26" s="30">
        <v>681</v>
      </c>
      <c r="G26" s="30">
        <v>4</v>
      </c>
      <c r="H26" s="5">
        <v>443</v>
      </c>
      <c r="I26" s="81">
        <v>1772</v>
      </c>
      <c r="L26" s="28"/>
      <c r="M26" s="30"/>
      <c r="N26" s="30"/>
      <c r="O26" s="30"/>
    </row>
    <row r="27" spans="2:15" x14ac:dyDescent="0.3">
      <c r="B27" s="43" t="s">
        <v>1140</v>
      </c>
      <c r="C27" s="2" t="s">
        <v>8</v>
      </c>
      <c r="D27" s="28" t="s">
        <v>78</v>
      </c>
      <c r="E27" s="30">
        <v>1126</v>
      </c>
      <c r="F27" s="30">
        <v>1106</v>
      </c>
      <c r="G27" s="30">
        <v>20</v>
      </c>
      <c r="H27" s="5">
        <v>266</v>
      </c>
      <c r="I27" s="81">
        <v>5320</v>
      </c>
      <c r="L27" s="68" t="s">
        <v>947</v>
      </c>
      <c r="M27" s="83"/>
      <c r="N27" s="85">
        <f>SUM(M24*100/L24)</f>
        <v>73.07692307692308</v>
      </c>
      <c r="O27" s="30"/>
    </row>
    <row r="28" spans="2:15" x14ac:dyDescent="0.3">
      <c r="B28" s="43" t="s">
        <v>1140</v>
      </c>
      <c r="C28" s="2" t="s">
        <v>8</v>
      </c>
      <c r="D28" s="28" t="s">
        <v>365</v>
      </c>
      <c r="E28" s="30">
        <v>999</v>
      </c>
      <c r="F28" s="30">
        <v>980</v>
      </c>
      <c r="G28" s="30">
        <v>19</v>
      </c>
      <c r="H28" s="5">
        <v>300</v>
      </c>
      <c r="I28" s="81">
        <v>5700</v>
      </c>
      <c r="L28" s="49"/>
      <c r="M28" s="30"/>
      <c r="N28" s="30"/>
      <c r="O28" s="30"/>
    </row>
    <row r="29" spans="2:15" x14ac:dyDescent="0.3">
      <c r="B29" s="43" t="s">
        <v>1141</v>
      </c>
      <c r="C29" s="2" t="s">
        <v>9</v>
      </c>
      <c r="D29" s="28" t="s">
        <v>99</v>
      </c>
      <c r="E29" s="30">
        <v>316</v>
      </c>
      <c r="F29" s="30">
        <v>316</v>
      </c>
      <c r="G29" s="30">
        <v>0</v>
      </c>
      <c r="H29" s="5">
        <v>0</v>
      </c>
      <c r="I29" s="81">
        <v>0</v>
      </c>
      <c r="L29" s="49"/>
      <c r="M29" s="30"/>
      <c r="N29" s="30"/>
      <c r="O29" s="30"/>
    </row>
    <row r="30" spans="2:15" x14ac:dyDescent="0.3">
      <c r="B30" s="43" t="s">
        <v>1141</v>
      </c>
      <c r="C30" s="2" t="s">
        <v>8</v>
      </c>
      <c r="D30" s="28" t="s">
        <v>78</v>
      </c>
      <c r="E30" s="30">
        <v>1078</v>
      </c>
      <c r="F30" s="30">
        <v>1092</v>
      </c>
      <c r="G30" s="30">
        <v>-14</v>
      </c>
      <c r="H30" s="5">
        <v>278</v>
      </c>
      <c r="I30" s="81">
        <v>-3892</v>
      </c>
      <c r="L30" s="49"/>
      <c r="M30" s="30"/>
      <c r="N30" s="30"/>
      <c r="O30" s="30"/>
    </row>
    <row r="31" spans="2:15" x14ac:dyDescent="0.3">
      <c r="B31" s="43" t="s">
        <v>1156</v>
      </c>
      <c r="C31" s="2" t="s">
        <v>9</v>
      </c>
      <c r="D31" s="28" t="s">
        <v>78</v>
      </c>
      <c r="E31" s="30">
        <v>1088</v>
      </c>
      <c r="F31" s="30">
        <v>1115</v>
      </c>
      <c r="G31" s="30">
        <v>27</v>
      </c>
      <c r="H31" s="5">
        <v>276</v>
      </c>
      <c r="I31" s="81">
        <v>7452</v>
      </c>
      <c r="L31" s="16"/>
    </row>
    <row r="32" spans="2:15" x14ac:dyDescent="0.3">
      <c r="B32" s="43" t="s">
        <v>1156</v>
      </c>
      <c r="C32" s="2" t="s">
        <v>8</v>
      </c>
      <c r="D32" s="28" t="s">
        <v>403</v>
      </c>
      <c r="E32" s="30">
        <v>1044</v>
      </c>
      <c r="F32" s="30">
        <v>1059</v>
      </c>
      <c r="G32" s="30">
        <v>-15</v>
      </c>
      <c r="H32" s="5">
        <v>287</v>
      </c>
      <c r="I32" s="81">
        <v>-4305</v>
      </c>
      <c r="L32" s="16"/>
    </row>
    <row r="33" spans="2:13" x14ac:dyDescent="0.3">
      <c r="B33" s="43" t="s">
        <v>1157</v>
      </c>
      <c r="C33" s="2" t="s">
        <v>9</v>
      </c>
      <c r="D33" s="30" t="s">
        <v>106</v>
      </c>
      <c r="E33" s="30">
        <v>360</v>
      </c>
      <c r="F33" s="30">
        <v>355</v>
      </c>
      <c r="G33" s="30">
        <v>-5</v>
      </c>
      <c r="H33" s="5">
        <v>833</v>
      </c>
      <c r="I33" s="81">
        <v>-4165</v>
      </c>
      <c r="L33" s="41"/>
    </row>
    <row r="34" spans="2:13" x14ac:dyDescent="0.3">
      <c r="B34" s="43" t="s">
        <v>1157</v>
      </c>
      <c r="C34" s="2" t="s">
        <v>8</v>
      </c>
      <c r="D34" s="30" t="s">
        <v>422</v>
      </c>
      <c r="E34" s="30">
        <v>388</v>
      </c>
      <c r="F34" s="30">
        <v>380</v>
      </c>
      <c r="G34" s="30">
        <v>8</v>
      </c>
      <c r="H34" s="5">
        <v>773</v>
      </c>
      <c r="I34" s="81">
        <v>6184</v>
      </c>
      <c r="L34" s="41"/>
    </row>
    <row r="35" spans="2:13" x14ac:dyDescent="0.3">
      <c r="B35" s="43" t="s">
        <v>1158</v>
      </c>
      <c r="C35" s="2" t="s">
        <v>9</v>
      </c>
      <c r="D35" s="30" t="s">
        <v>51</v>
      </c>
      <c r="E35" s="30">
        <v>275</v>
      </c>
      <c r="F35" s="30">
        <v>277</v>
      </c>
      <c r="G35" s="30">
        <v>2</v>
      </c>
      <c r="H35" s="5">
        <v>1091</v>
      </c>
      <c r="I35" s="81">
        <v>2182</v>
      </c>
      <c r="M35" s="30"/>
    </row>
    <row r="36" spans="2:13" x14ac:dyDescent="0.3">
      <c r="B36" s="43" t="s">
        <v>1158</v>
      </c>
      <c r="C36" s="2" t="s">
        <v>8</v>
      </c>
      <c r="D36" s="30" t="s">
        <v>78</v>
      </c>
      <c r="E36" s="30">
        <v>1116</v>
      </c>
      <c r="F36" s="30">
        <v>1092</v>
      </c>
      <c r="G36" s="30">
        <v>24</v>
      </c>
      <c r="H36" s="5">
        <v>269</v>
      </c>
      <c r="I36" s="81">
        <v>6456</v>
      </c>
      <c r="M36" s="30"/>
    </row>
    <row r="37" spans="2:13" x14ac:dyDescent="0.3">
      <c r="B37" s="43" t="s">
        <v>1159</v>
      </c>
      <c r="C37" s="2" t="s">
        <v>9</v>
      </c>
      <c r="D37" s="30" t="s">
        <v>250</v>
      </c>
      <c r="E37" s="30">
        <v>1250</v>
      </c>
      <c r="F37" s="30">
        <v>1242</v>
      </c>
      <c r="G37" s="30">
        <v>-8</v>
      </c>
      <c r="H37" s="5">
        <v>240</v>
      </c>
      <c r="I37" s="81">
        <v>-1920</v>
      </c>
      <c r="M37" s="30"/>
    </row>
    <row r="38" spans="2:13" x14ac:dyDescent="0.3">
      <c r="B38" s="43" t="s">
        <v>1159</v>
      </c>
      <c r="C38" s="2" t="s">
        <v>8</v>
      </c>
      <c r="D38" s="30" t="s">
        <v>114</v>
      </c>
      <c r="E38" s="30">
        <v>902</v>
      </c>
      <c r="F38" s="30">
        <v>880</v>
      </c>
      <c r="G38" s="30">
        <v>22</v>
      </c>
      <c r="H38" s="5">
        <v>333</v>
      </c>
      <c r="I38" s="81">
        <v>7326</v>
      </c>
      <c r="M38" s="30"/>
    </row>
    <row r="39" spans="2:13" x14ac:dyDescent="0.3">
      <c r="B39" s="87" t="s">
        <v>1167</v>
      </c>
      <c r="C39" s="2" t="s">
        <v>9</v>
      </c>
      <c r="D39" s="30" t="s">
        <v>34</v>
      </c>
      <c r="E39" s="30">
        <v>116.5</v>
      </c>
      <c r="F39" s="30">
        <v>120</v>
      </c>
      <c r="G39" s="30">
        <v>3.5</v>
      </c>
      <c r="H39" s="5">
        <v>2575</v>
      </c>
      <c r="I39" s="81">
        <v>9012.5</v>
      </c>
      <c r="M39" s="30"/>
    </row>
    <row r="40" spans="2:13" x14ac:dyDescent="0.3">
      <c r="B40" s="43" t="s">
        <v>1167</v>
      </c>
      <c r="C40" s="2" t="s">
        <v>8</v>
      </c>
      <c r="D40" s="30" t="s">
        <v>78</v>
      </c>
      <c r="E40" s="30">
        <v>1140</v>
      </c>
      <c r="F40" s="30">
        <v>1115</v>
      </c>
      <c r="G40" s="30">
        <v>25</v>
      </c>
      <c r="H40" s="5">
        <v>263</v>
      </c>
      <c r="I40" s="81">
        <v>6575</v>
      </c>
      <c r="M40" s="30"/>
    </row>
    <row r="41" spans="2:13" x14ac:dyDescent="0.3">
      <c r="B41" s="43" t="s">
        <v>1168</v>
      </c>
      <c r="C41" s="2" t="s">
        <v>9</v>
      </c>
      <c r="D41" s="30" t="s">
        <v>122</v>
      </c>
      <c r="E41" s="30">
        <v>486</v>
      </c>
      <c r="F41" s="30">
        <v>481</v>
      </c>
      <c r="G41" s="30">
        <v>-5</v>
      </c>
      <c r="H41" s="5">
        <v>617</v>
      </c>
      <c r="I41" s="81">
        <v>-3085</v>
      </c>
      <c r="M41" s="30"/>
    </row>
    <row r="42" spans="2:13" x14ac:dyDescent="0.3">
      <c r="B42" s="43" t="s">
        <v>1168</v>
      </c>
      <c r="C42" s="30" t="s">
        <v>8</v>
      </c>
      <c r="D42" s="28" t="s">
        <v>58</v>
      </c>
      <c r="E42" s="30">
        <v>419</v>
      </c>
      <c r="F42" s="30">
        <v>413</v>
      </c>
      <c r="G42" s="30">
        <v>6</v>
      </c>
      <c r="H42" s="5">
        <v>716</v>
      </c>
      <c r="I42" s="81">
        <v>4296</v>
      </c>
      <c r="M42" s="30"/>
    </row>
    <row r="43" spans="2:13" x14ac:dyDescent="0.3">
      <c r="B43" s="87" t="s">
        <v>1169</v>
      </c>
      <c r="C43" s="2" t="s">
        <v>9</v>
      </c>
      <c r="D43" s="28" t="s">
        <v>29</v>
      </c>
      <c r="E43" s="30">
        <v>838</v>
      </c>
      <c r="F43" s="30">
        <v>848</v>
      </c>
      <c r="G43" s="30">
        <v>10</v>
      </c>
      <c r="H43" s="30">
        <v>358</v>
      </c>
      <c r="I43" s="81">
        <v>3580</v>
      </c>
      <c r="M43" s="30"/>
    </row>
    <row r="44" spans="2:13" x14ac:dyDescent="0.3">
      <c r="B44" s="87" t="s">
        <v>1169</v>
      </c>
      <c r="C44" s="2" t="s">
        <v>8</v>
      </c>
      <c r="D44" s="28" t="s">
        <v>403</v>
      </c>
      <c r="E44" s="30">
        <v>1115</v>
      </c>
      <c r="F44" s="30">
        <v>1130</v>
      </c>
      <c r="G44" s="30">
        <v>-15</v>
      </c>
      <c r="H44" s="30">
        <v>269</v>
      </c>
      <c r="I44" s="88">
        <v>-4035</v>
      </c>
      <c r="M44" s="30"/>
    </row>
    <row r="45" spans="2:13" x14ac:dyDescent="0.3">
      <c r="B45" s="87" t="s">
        <v>1170</v>
      </c>
      <c r="C45" s="2" t="s">
        <v>9</v>
      </c>
      <c r="D45" s="28" t="s">
        <v>250</v>
      </c>
      <c r="E45" s="30">
        <v>1232</v>
      </c>
      <c r="F45" s="30">
        <v>1252</v>
      </c>
      <c r="G45" s="30">
        <v>20</v>
      </c>
      <c r="H45" s="30">
        <v>244</v>
      </c>
      <c r="I45" s="30">
        <v>4880</v>
      </c>
      <c r="M45" s="30"/>
    </row>
    <row r="46" spans="2:13" x14ac:dyDescent="0.3">
      <c r="B46" s="43" t="s">
        <v>1170</v>
      </c>
      <c r="C46" s="2" t="s">
        <v>8</v>
      </c>
      <c r="D46" s="28" t="s">
        <v>111</v>
      </c>
      <c r="E46" s="30">
        <v>491</v>
      </c>
      <c r="F46" s="30">
        <v>484</v>
      </c>
      <c r="G46" s="30">
        <v>7</v>
      </c>
      <c r="H46" s="30">
        <v>611</v>
      </c>
      <c r="I46" s="94">
        <v>4277</v>
      </c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x14ac:dyDescent="0.3">
      <c r="C49" s="2"/>
      <c r="D49" s="28"/>
      <c r="E49" s="30"/>
      <c r="F49" s="30"/>
      <c r="G49" s="30"/>
      <c r="H49" s="30"/>
      <c r="I49" s="95"/>
      <c r="M49" s="30"/>
    </row>
    <row r="50" spans="2:13" x14ac:dyDescent="0.3">
      <c r="C50" s="2"/>
      <c r="D50" s="28"/>
      <c r="E50" s="30"/>
      <c r="F50" s="30"/>
      <c r="G50" s="30"/>
      <c r="H50" s="30"/>
      <c r="I50" s="95">
        <v>80091</v>
      </c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42370</v>
      </c>
      <c r="C53" s="2" t="s">
        <v>8</v>
      </c>
      <c r="D53" s="2" t="s">
        <v>798</v>
      </c>
      <c r="E53" s="41" t="s">
        <v>1123</v>
      </c>
      <c r="F53" s="40" t="s">
        <v>1124</v>
      </c>
      <c r="G53" s="40" t="s">
        <v>1095</v>
      </c>
      <c r="H53" s="5">
        <v>1200</v>
      </c>
      <c r="I53" s="40" t="s">
        <v>1125</v>
      </c>
      <c r="M53" s="30"/>
    </row>
    <row r="54" spans="2:13" x14ac:dyDescent="0.3">
      <c r="B54" s="43">
        <v>42461</v>
      </c>
      <c r="C54" s="2" t="s">
        <v>9</v>
      </c>
      <c r="D54" s="2" t="s">
        <v>828</v>
      </c>
      <c r="E54" s="41" t="s">
        <v>1126</v>
      </c>
      <c r="F54" s="40" t="s">
        <v>1127</v>
      </c>
      <c r="G54" s="40" t="s">
        <v>1112</v>
      </c>
      <c r="H54" s="5">
        <v>700</v>
      </c>
      <c r="I54" s="40" t="s">
        <v>1128</v>
      </c>
    </row>
    <row r="55" spans="2:13" x14ac:dyDescent="0.3">
      <c r="B55" s="43">
        <v>42491</v>
      </c>
      <c r="C55" s="30" t="s">
        <v>8</v>
      </c>
      <c r="D55" s="30" t="s">
        <v>1017</v>
      </c>
      <c r="E55" s="30">
        <v>1305</v>
      </c>
      <c r="F55" s="30">
        <v>1290</v>
      </c>
      <c r="G55" s="30">
        <v>15</v>
      </c>
      <c r="H55" s="30">
        <v>400</v>
      </c>
      <c r="I55" s="30">
        <v>6000</v>
      </c>
    </row>
    <row r="56" spans="2:13" x14ac:dyDescent="0.3">
      <c r="B56" s="43">
        <v>42522</v>
      </c>
      <c r="C56" s="30" t="s">
        <v>8</v>
      </c>
      <c r="D56" s="30" t="s">
        <v>95</v>
      </c>
      <c r="E56" s="30">
        <v>252.5</v>
      </c>
      <c r="F56" s="30">
        <v>249.5</v>
      </c>
      <c r="G56" s="30">
        <v>3</v>
      </c>
      <c r="H56" s="30">
        <v>1700</v>
      </c>
      <c r="I56" s="30">
        <v>5100</v>
      </c>
    </row>
    <row r="57" spans="2:13" x14ac:dyDescent="0.3">
      <c r="B57" s="43">
        <v>42552</v>
      </c>
      <c r="C57" s="30" t="s">
        <v>8</v>
      </c>
      <c r="D57" s="30" t="s">
        <v>19</v>
      </c>
      <c r="E57" s="30">
        <v>211.5</v>
      </c>
      <c r="F57" s="30">
        <v>209.5</v>
      </c>
      <c r="G57" s="30">
        <v>2</v>
      </c>
      <c r="H57" s="30">
        <v>2000</v>
      </c>
      <c r="I57" s="30">
        <v>4000</v>
      </c>
    </row>
    <row r="58" spans="2:13" x14ac:dyDescent="0.3">
      <c r="B58" s="43">
        <v>42583</v>
      </c>
      <c r="C58" s="30" t="s">
        <v>8</v>
      </c>
      <c r="D58" s="30" t="s">
        <v>814</v>
      </c>
      <c r="E58" s="30">
        <v>832</v>
      </c>
      <c r="F58" s="30">
        <v>826.5</v>
      </c>
      <c r="G58" s="30">
        <v>5.5</v>
      </c>
      <c r="H58" s="30">
        <v>600</v>
      </c>
      <c r="I58" s="30">
        <v>3300</v>
      </c>
    </row>
    <row r="59" spans="2:13" x14ac:dyDescent="0.3">
      <c r="B59" s="43">
        <v>42675</v>
      </c>
      <c r="C59" s="30" t="s">
        <v>8</v>
      </c>
      <c r="D59" s="30" t="s">
        <v>98</v>
      </c>
      <c r="E59" s="30">
        <v>2480</v>
      </c>
      <c r="F59" s="30">
        <v>2505</v>
      </c>
      <c r="G59" s="30">
        <v>-25</v>
      </c>
      <c r="H59" s="30">
        <v>200</v>
      </c>
      <c r="I59" s="30">
        <v>-5000</v>
      </c>
      <c r="K59" s="86"/>
    </row>
    <row r="60" spans="2:13" x14ac:dyDescent="0.3">
      <c r="B60" s="43">
        <v>42705</v>
      </c>
      <c r="C60" s="30" t="s">
        <v>8</v>
      </c>
      <c r="D60" s="30" t="s">
        <v>1142</v>
      </c>
      <c r="E60" s="30">
        <v>930</v>
      </c>
      <c r="F60" s="30">
        <v>916</v>
      </c>
      <c r="G60" s="30">
        <v>14</v>
      </c>
      <c r="H60" s="30">
        <v>600</v>
      </c>
      <c r="I60" s="30">
        <v>8400</v>
      </c>
      <c r="K60" s="86"/>
    </row>
    <row r="61" spans="2:13" x14ac:dyDescent="0.3">
      <c r="B61" s="43" t="s">
        <v>1149</v>
      </c>
      <c r="C61" s="30" t="s">
        <v>8</v>
      </c>
      <c r="D61" s="30" t="s">
        <v>58</v>
      </c>
      <c r="E61" s="30">
        <v>406</v>
      </c>
      <c r="F61" s="30">
        <v>396</v>
      </c>
      <c r="G61" s="30">
        <v>10</v>
      </c>
      <c r="H61" s="30">
        <v>1000</v>
      </c>
      <c r="I61" s="30">
        <v>10000</v>
      </c>
      <c r="K61" s="86"/>
    </row>
    <row r="62" spans="2:13" x14ac:dyDescent="0.3">
      <c r="B62" s="43" t="s">
        <v>1148</v>
      </c>
      <c r="C62" s="30" t="s">
        <v>8</v>
      </c>
      <c r="D62" s="30" t="s">
        <v>78</v>
      </c>
      <c r="E62" s="30">
        <v>1120</v>
      </c>
      <c r="F62" s="30">
        <v>1135</v>
      </c>
      <c r="G62" s="30">
        <v>-15</v>
      </c>
      <c r="H62" s="30">
        <v>300</v>
      </c>
      <c r="I62" s="30">
        <v>-4500</v>
      </c>
      <c r="K62" s="86"/>
    </row>
    <row r="63" spans="2:13" x14ac:dyDescent="0.3">
      <c r="B63" s="43" t="s">
        <v>1150</v>
      </c>
      <c r="C63" s="30" t="s">
        <v>8</v>
      </c>
      <c r="D63" s="30" t="s">
        <v>173</v>
      </c>
      <c r="E63" s="30">
        <v>886</v>
      </c>
      <c r="F63" s="30">
        <v>878</v>
      </c>
      <c r="G63" s="30">
        <v>8</v>
      </c>
      <c r="H63" s="30">
        <v>500</v>
      </c>
      <c r="I63" s="30">
        <v>4000</v>
      </c>
      <c r="K63" s="86"/>
    </row>
    <row r="64" spans="2:13" x14ac:dyDescent="0.3">
      <c r="B64" s="43" t="s">
        <v>1151</v>
      </c>
      <c r="C64" s="30" t="s">
        <v>8</v>
      </c>
      <c r="D64" s="30" t="s">
        <v>98</v>
      </c>
      <c r="E64" s="30">
        <v>2405</v>
      </c>
      <c r="F64" s="30">
        <v>2385</v>
      </c>
      <c r="G64" s="30">
        <v>20</v>
      </c>
      <c r="H64" s="30">
        <v>200</v>
      </c>
      <c r="I64" s="30">
        <v>4000</v>
      </c>
      <c r="K64" s="86"/>
    </row>
    <row r="65" spans="2:11" x14ac:dyDescent="0.3">
      <c r="B65" s="43" t="s">
        <v>1156</v>
      </c>
      <c r="C65" s="30" t="s">
        <v>8</v>
      </c>
      <c r="D65" s="30" t="s">
        <v>98</v>
      </c>
      <c r="E65" s="30">
        <v>2475</v>
      </c>
      <c r="F65" s="30">
        <v>2460</v>
      </c>
      <c r="G65" s="30">
        <v>15</v>
      </c>
      <c r="H65" s="30">
        <v>200</v>
      </c>
      <c r="I65" s="30">
        <v>3000</v>
      </c>
      <c r="K65" s="86"/>
    </row>
    <row r="66" spans="2:11" x14ac:dyDescent="0.3">
      <c r="B66" s="43" t="s">
        <v>1157</v>
      </c>
      <c r="C66" s="30" t="s">
        <v>8</v>
      </c>
      <c r="D66" s="30" t="s">
        <v>1160</v>
      </c>
      <c r="E66" s="30">
        <v>299</v>
      </c>
      <c r="F66" s="30">
        <v>292</v>
      </c>
      <c r="G66" s="30">
        <v>7</v>
      </c>
      <c r="H66" s="30">
        <v>1200</v>
      </c>
      <c r="I66" s="30">
        <v>8400</v>
      </c>
      <c r="K66" s="86"/>
    </row>
    <row r="67" spans="2:11" x14ac:dyDescent="0.3">
      <c r="B67" s="43" t="s">
        <v>1158</v>
      </c>
      <c r="C67" s="30" t="s">
        <v>8</v>
      </c>
      <c r="D67" s="30" t="s">
        <v>139</v>
      </c>
      <c r="E67" s="30">
        <v>661</v>
      </c>
      <c r="F67" s="30">
        <v>651</v>
      </c>
      <c r="G67" s="30">
        <v>10</v>
      </c>
      <c r="H67" s="30">
        <v>700</v>
      </c>
      <c r="I67" s="30">
        <v>7000</v>
      </c>
      <c r="K67" s="86"/>
    </row>
    <row r="68" spans="2:11" x14ac:dyDescent="0.3">
      <c r="B68" s="43" t="s">
        <v>1159</v>
      </c>
      <c r="C68" s="30" t="s">
        <v>8</v>
      </c>
      <c r="D68" s="30" t="s">
        <v>114</v>
      </c>
      <c r="E68" s="30">
        <v>911</v>
      </c>
      <c r="F68" s="30">
        <v>890</v>
      </c>
      <c r="G68" s="30">
        <v>21</v>
      </c>
      <c r="H68" s="30">
        <v>250</v>
      </c>
      <c r="I68" s="30">
        <v>5250</v>
      </c>
      <c r="K68" s="86"/>
    </row>
    <row r="69" spans="2:11" x14ac:dyDescent="0.3">
      <c r="B69" s="43" t="s">
        <v>1167</v>
      </c>
      <c r="C69" s="30" t="s">
        <v>8</v>
      </c>
      <c r="D69" s="30" t="s">
        <v>98</v>
      </c>
      <c r="E69" s="30">
        <v>2562</v>
      </c>
      <c r="F69" s="30">
        <v>2512</v>
      </c>
      <c r="G69" s="30">
        <v>50</v>
      </c>
      <c r="H69" s="30">
        <v>200</v>
      </c>
      <c r="I69" s="30">
        <v>10000</v>
      </c>
      <c r="K69" s="86"/>
    </row>
    <row r="70" spans="2:11" x14ac:dyDescent="0.3">
      <c r="B70" s="43" t="s">
        <v>1168</v>
      </c>
      <c r="C70" s="30" t="s">
        <v>8</v>
      </c>
      <c r="D70" s="30" t="s">
        <v>114</v>
      </c>
      <c r="E70" s="30">
        <v>865</v>
      </c>
      <c r="F70" s="30">
        <v>855</v>
      </c>
      <c r="G70" s="30">
        <v>10</v>
      </c>
      <c r="H70" s="30">
        <v>250</v>
      </c>
      <c r="I70" s="30">
        <v>2500</v>
      </c>
      <c r="K70" s="86"/>
    </row>
    <row r="71" spans="2:11" x14ac:dyDescent="0.3">
      <c r="B71" s="87" t="s">
        <v>1169</v>
      </c>
      <c r="C71" s="30" t="s">
        <v>8</v>
      </c>
      <c r="D71" s="30" t="s">
        <v>78</v>
      </c>
      <c r="E71" s="30">
        <v>1095</v>
      </c>
      <c r="F71" s="30">
        <v>1075</v>
      </c>
      <c r="G71" s="30">
        <v>20</v>
      </c>
      <c r="H71" s="30">
        <v>300</v>
      </c>
      <c r="I71" s="30">
        <v>6000</v>
      </c>
      <c r="K71" s="86"/>
    </row>
    <row r="72" spans="2:11" x14ac:dyDescent="0.3">
      <c r="B72" s="43" t="s">
        <v>1170</v>
      </c>
      <c r="C72" s="30" t="s">
        <v>8</v>
      </c>
      <c r="D72" s="30" t="s">
        <v>365</v>
      </c>
      <c r="E72" s="30">
        <v>1077</v>
      </c>
      <c r="F72" s="30">
        <v>1057</v>
      </c>
      <c r="G72" s="30">
        <v>20</v>
      </c>
      <c r="H72" s="30">
        <v>600</v>
      </c>
      <c r="I72" s="30">
        <v>12000</v>
      </c>
      <c r="K72" s="86"/>
    </row>
    <row r="73" spans="2:11" x14ac:dyDescent="0.3">
      <c r="B73" s="87"/>
      <c r="C73" s="30"/>
      <c r="D73" s="30"/>
      <c r="E73" s="30"/>
      <c r="F73" s="30"/>
      <c r="G73" s="30"/>
      <c r="H73" s="30"/>
      <c r="I73" s="30"/>
      <c r="K73" s="86"/>
    </row>
    <row r="74" spans="2:11" x14ac:dyDescent="0.3">
      <c r="B74" s="43"/>
      <c r="C74" s="30"/>
      <c r="D74" s="30"/>
      <c r="E74" s="30"/>
      <c r="F74" s="30"/>
      <c r="G74" s="30"/>
      <c r="H74" s="30"/>
      <c r="I74" s="30"/>
      <c r="K74" s="86"/>
    </row>
    <row r="75" spans="2:11" x14ac:dyDescent="0.3">
      <c r="B75" s="45"/>
      <c r="C75" s="30"/>
      <c r="D75" s="30"/>
      <c r="E75" s="30"/>
      <c r="F75" s="30"/>
      <c r="G75" s="30"/>
      <c r="H75" s="30"/>
      <c r="I75" s="97"/>
      <c r="K75" s="86"/>
    </row>
    <row r="76" spans="2:11" ht="15.6" x14ac:dyDescent="0.3">
      <c r="B76" s="43"/>
      <c r="C76" s="30"/>
      <c r="D76" s="30"/>
      <c r="E76" s="30"/>
      <c r="F76" s="30"/>
      <c r="G76" s="30"/>
      <c r="H76" s="30"/>
      <c r="I76" s="33">
        <v>79050</v>
      </c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42370</v>
      </c>
      <c r="C78" s="2" t="s">
        <v>8</v>
      </c>
      <c r="D78" s="2" t="s">
        <v>39</v>
      </c>
      <c r="E78" s="41" t="s">
        <v>1129</v>
      </c>
      <c r="F78" s="40" t="s">
        <v>1130</v>
      </c>
      <c r="G78" s="40" t="s">
        <v>951</v>
      </c>
      <c r="H78" s="30">
        <v>150</v>
      </c>
      <c r="I78" s="41" t="s">
        <v>1131</v>
      </c>
      <c r="K78" s="86"/>
    </row>
    <row r="79" spans="2:11" x14ac:dyDescent="0.3">
      <c r="B79" s="43">
        <v>42461</v>
      </c>
      <c r="C79" s="30" t="s">
        <v>8</v>
      </c>
      <c r="D79" s="2" t="s">
        <v>39</v>
      </c>
      <c r="E79" s="2">
        <v>7910</v>
      </c>
      <c r="F79" s="30">
        <v>7850</v>
      </c>
      <c r="G79" s="30">
        <v>60</v>
      </c>
      <c r="H79" s="30">
        <v>150</v>
      </c>
      <c r="I79" s="30">
        <v>9000</v>
      </c>
      <c r="K79" s="86"/>
    </row>
    <row r="80" spans="2:11" x14ac:dyDescent="0.3">
      <c r="B80" s="43">
        <v>42491</v>
      </c>
      <c r="C80" s="30" t="s">
        <v>8</v>
      </c>
      <c r="D80" s="2" t="s">
        <v>39</v>
      </c>
      <c r="E80" s="2">
        <v>7820</v>
      </c>
      <c r="F80" s="30">
        <v>7795</v>
      </c>
      <c r="G80" s="30">
        <v>25</v>
      </c>
      <c r="H80" s="30">
        <v>150</v>
      </c>
      <c r="I80" s="30">
        <v>3750</v>
      </c>
    </row>
    <row r="81" spans="2:11" x14ac:dyDescent="0.3">
      <c r="B81" s="43">
        <v>42522</v>
      </c>
      <c r="C81" s="30" t="s">
        <v>8</v>
      </c>
      <c r="D81" s="2" t="s">
        <v>39</v>
      </c>
      <c r="E81" s="2">
        <v>7780</v>
      </c>
      <c r="F81" s="30">
        <v>7815</v>
      </c>
      <c r="G81" s="30">
        <v>-35</v>
      </c>
      <c r="H81" s="30">
        <v>150</v>
      </c>
      <c r="I81" s="30">
        <v>-5250</v>
      </c>
    </row>
    <row r="82" spans="2:11" x14ac:dyDescent="0.3">
      <c r="B82" s="43">
        <v>42552</v>
      </c>
      <c r="C82" s="30" t="s">
        <v>8</v>
      </c>
      <c r="D82" s="2" t="s">
        <v>39</v>
      </c>
      <c r="E82" s="30">
        <v>7645</v>
      </c>
      <c r="F82" s="30">
        <v>7580</v>
      </c>
      <c r="G82" s="30">
        <v>65</v>
      </c>
      <c r="H82" s="30">
        <v>150</v>
      </c>
      <c r="I82" s="30">
        <v>9750</v>
      </c>
    </row>
    <row r="83" spans="2:11" x14ac:dyDescent="0.3">
      <c r="B83" s="43">
        <v>42583</v>
      </c>
      <c r="C83" s="30" t="s">
        <v>8</v>
      </c>
      <c r="D83" s="2" t="s">
        <v>39</v>
      </c>
      <c r="E83" s="30">
        <v>7615</v>
      </c>
      <c r="F83" s="30">
        <v>7600</v>
      </c>
      <c r="G83" s="30">
        <v>15</v>
      </c>
      <c r="H83" s="30">
        <v>150</v>
      </c>
      <c r="I83" s="30">
        <v>2250</v>
      </c>
    </row>
    <row r="84" spans="2:11" x14ac:dyDescent="0.3">
      <c r="B84" s="43">
        <v>42675</v>
      </c>
      <c r="C84" s="30" t="s">
        <v>8</v>
      </c>
      <c r="D84" s="2" t="s">
        <v>39</v>
      </c>
      <c r="E84" s="30">
        <v>7520</v>
      </c>
      <c r="F84" s="30">
        <v>7555</v>
      </c>
      <c r="G84" s="30">
        <v>-35</v>
      </c>
      <c r="H84" s="30">
        <v>150</v>
      </c>
      <c r="I84" s="30">
        <v>-5250</v>
      </c>
      <c r="K84" s="86"/>
    </row>
    <row r="85" spans="2:11" x14ac:dyDescent="0.3">
      <c r="B85" s="43">
        <v>42705</v>
      </c>
      <c r="C85" s="30" t="s">
        <v>8</v>
      </c>
      <c r="D85" s="2" t="s">
        <v>39</v>
      </c>
      <c r="E85" s="30">
        <v>7545</v>
      </c>
      <c r="F85" s="30">
        <v>7500</v>
      </c>
      <c r="G85" s="30">
        <v>45</v>
      </c>
      <c r="H85" s="30">
        <v>150</v>
      </c>
      <c r="I85" s="30">
        <v>6750</v>
      </c>
      <c r="K85" s="86"/>
    </row>
    <row r="86" spans="2:11" x14ac:dyDescent="0.3">
      <c r="B86" s="43" t="s">
        <v>1149</v>
      </c>
      <c r="C86" s="30" t="s">
        <v>8</v>
      </c>
      <c r="D86" s="2" t="s">
        <v>39</v>
      </c>
      <c r="E86" s="30">
        <v>7595</v>
      </c>
      <c r="F86" s="30">
        <v>7530</v>
      </c>
      <c r="G86" s="30">
        <v>65</v>
      </c>
      <c r="H86" s="30">
        <v>150</v>
      </c>
      <c r="I86" s="30">
        <v>9750</v>
      </c>
      <c r="K86" s="86"/>
    </row>
    <row r="87" spans="2:11" x14ac:dyDescent="0.3">
      <c r="B87" s="43" t="s">
        <v>1148</v>
      </c>
      <c r="C87" s="30" t="s">
        <v>8</v>
      </c>
      <c r="D87" s="2" t="s">
        <v>39</v>
      </c>
      <c r="E87" s="30">
        <v>7480</v>
      </c>
      <c r="F87" s="30">
        <v>7460</v>
      </c>
      <c r="G87" s="30">
        <v>20</v>
      </c>
      <c r="H87" s="30">
        <v>150</v>
      </c>
      <c r="I87" s="30">
        <v>3000</v>
      </c>
      <c r="K87" s="86"/>
    </row>
    <row r="88" spans="2:11" x14ac:dyDescent="0.3">
      <c r="B88" s="43" t="s">
        <v>1150</v>
      </c>
      <c r="C88" s="30" t="s">
        <v>8</v>
      </c>
      <c r="D88" s="2" t="s">
        <v>39</v>
      </c>
      <c r="E88" s="30">
        <v>7530</v>
      </c>
      <c r="F88" s="30">
        <v>7465</v>
      </c>
      <c r="G88" s="30">
        <v>65</v>
      </c>
      <c r="H88" s="30">
        <v>150</v>
      </c>
      <c r="I88" s="30">
        <v>9750</v>
      </c>
      <c r="K88" s="86"/>
    </row>
    <row r="89" spans="2:11" x14ac:dyDescent="0.3">
      <c r="B89" s="43" t="s">
        <v>1151</v>
      </c>
      <c r="C89" s="30" t="s">
        <v>8</v>
      </c>
      <c r="D89" s="2" t="s">
        <v>39</v>
      </c>
      <c r="E89" s="30">
        <v>7410</v>
      </c>
      <c r="F89" s="30">
        <v>7445</v>
      </c>
      <c r="G89" s="30">
        <v>-35</v>
      </c>
      <c r="H89" s="30">
        <v>150</v>
      </c>
      <c r="I89" s="30">
        <v>-5250</v>
      </c>
      <c r="K89" s="86"/>
    </row>
    <row r="90" spans="2:11" x14ac:dyDescent="0.3">
      <c r="B90" s="43" t="s">
        <v>1156</v>
      </c>
      <c r="C90" s="30" t="s">
        <v>8</v>
      </c>
      <c r="D90" s="2" t="s">
        <v>39</v>
      </c>
      <c r="E90" s="30">
        <v>7450</v>
      </c>
      <c r="F90" s="30">
        <v>7420</v>
      </c>
      <c r="G90" s="30">
        <v>30</v>
      </c>
      <c r="H90" s="30">
        <v>150</v>
      </c>
      <c r="I90" s="30">
        <v>4500</v>
      </c>
      <c r="K90" s="86"/>
    </row>
    <row r="91" spans="2:11" x14ac:dyDescent="0.3">
      <c r="B91" s="43" t="s">
        <v>1157</v>
      </c>
      <c r="C91" s="30" t="s">
        <v>8</v>
      </c>
      <c r="D91" s="2" t="s">
        <v>39</v>
      </c>
      <c r="E91" s="30">
        <v>7315</v>
      </c>
      <c r="F91" s="30">
        <v>7250</v>
      </c>
      <c r="G91" s="30">
        <v>65</v>
      </c>
      <c r="H91" s="30">
        <v>150</v>
      </c>
      <c r="I91" s="30">
        <v>9750</v>
      </c>
      <c r="K91" s="86"/>
    </row>
    <row r="92" spans="2:11" x14ac:dyDescent="0.3">
      <c r="B92" s="43" t="s">
        <v>1158</v>
      </c>
      <c r="C92" s="30" t="s">
        <v>8</v>
      </c>
      <c r="D92" s="2" t="s">
        <v>39</v>
      </c>
      <c r="E92" s="30">
        <v>7355</v>
      </c>
      <c r="F92" s="30">
        <v>7290</v>
      </c>
      <c r="G92" s="30">
        <v>65</v>
      </c>
      <c r="H92" s="30">
        <v>150</v>
      </c>
      <c r="I92" s="30">
        <v>9750</v>
      </c>
      <c r="K92" s="86"/>
    </row>
    <row r="93" spans="2:11" x14ac:dyDescent="0.3">
      <c r="B93" s="43" t="s">
        <v>1159</v>
      </c>
      <c r="C93" s="30" t="s">
        <v>8</v>
      </c>
      <c r="D93" s="2" t="s">
        <v>39</v>
      </c>
      <c r="E93" s="30">
        <v>7405</v>
      </c>
      <c r="F93" s="30">
        <v>7430</v>
      </c>
      <c r="G93" s="30">
        <v>-25</v>
      </c>
      <c r="H93" s="30">
        <v>150</v>
      </c>
      <c r="I93" s="30">
        <v>-3750</v>
      </c>
      <c r="K93" s="86"/>
    </row>
    <row r="94" spans="2:11" x14ac:dyDescent="0.3">
      <c r="B94" s="43" t="s">
        <v>1167</v>
      </c>
      <c r="C94" s="30" t="s">
        <v>8</v>
      </c>
      <c r="D94" s="2" t="s">
        <v>39</v>
      </c>
      <c r="E94" s="30">
        <v>7472</v>
      </c>
      <c r="F94" s="30">
        <v>7430</v>
      </c>
      <c r="G94" s="30">
        <v>42</v>
      </c>
      <c r="H94" s="30">
        <v>150</v>
      </c>
      <c r="I94" s="30">
        <v>6300</v>
      </c>
      <c r="K94" s="86"/>
    </row>
    <row r="95" spans="2:11" x14ac:dyDescent="0.3">
      <c r="B95" s="43" t="s">
        <v>1168</v>
      </c>
      <c r="C95" s="30" t="s">
        <v>8</v>
      </c>
      <c r="D95" s="2" t="s">
        <v>39</v>
      </c>
      <c r="E95" s="30">
        <v>7440</v>
      </c>
      <c r="F95" s="30">
        <v>7420</v>
      </c>
      <c r="G95" s="30">
        <v>20</v>
      </c>
      <c r="H95" s="30">
        <v>150</v>
      </c>
      <c r="I95" s="30">
        <v>3000</v>
      </c>
      <c r="K95" s="86"/>
    </row>
    <row r="96" spans="2:11" x14ac:dyDescent="0.3">
      <c r="B96" s="87" t="s">
        <v>1169</v>
      </c>
      <c r="C96" s="30" t="s">
        <v>8</v>
      </c>
      <c r="D96" s="2" t="s">
        <v>39</v>
      </c>
      <c r="E96" s="30">
        <v>7435</v>
      </c>
      <c r="F96" s="30">
        <v>7415</v>
      </c>
      <c r="G96" s="30">
        <v>20</v>
      </c>
      <c r="H96" s="30">
        <v>150</v>
      </c>
      <c r="I96" s="30">
        <v>3000</v>
      </c>
      <c r="K96" s="86"/>
    </row>
    <row r="97" spans="2:11" x14ac:dyDescent="0.3">
      <c r="B97" s="43" t="s">
        <v>1170</v>
      </c>
      <c r="C97" s="30" t="s">
        <v>8</v>
      </c>
      <c r="D97" s="2" t="s">
        <v>39</v>
      </c>
      <c r="E97" s="30">
        <v>7465</v>
      </c>
      <c r="F97" s="30">
        <v>7500</v>
      </c>
      <c r="G97" s="30">
        <v>-35</v>
      </c>
      <c r="H97" s="30">
        <v>150</v>
      </c>
      <c r="I97" s="30">
        <v>-5250</v>
      </c>
      <c r="K97" s="86"/>
    </row>
    <row r="98" spans="2:11" x14ac:dyDescent="0.3">
      <c r="B98" s="43"/>
      <c r="C98" s="30"/>
      <c r="D98" s="2"/>
      <c r="E98" s="30"/>
      <c r="F98" s="30"/>
      <c r="G98" s="30"/>
      <c r="H98" s="30"/>
      <c r="I98" s="30"/>
      <c r="K98" s="86"/>
    </row>
    <row r="99" spans="2:11" ht="18" x14ac:dyDescent="0.35">
      <c r="B99" s="43"/>
      <c r="C99" s="30"/>
      <c r="D99" s="2"/>
      <c r="E99" s="30"/>
      <c r="F99" s="30"/>
      <c r="G99" s="30"/>
      <c r="H99" s="30"/>
      <c r="I99" s="76"/>
      <c r="K99" s="86"/>
    </row>
    <row r="100" spans="2:11" ht="18" x14ac:dyDescent="0.35">
      <c r="B100" s="43"/>
      <c r="C100" s="28"/>
      <c r="D100" s="30"/>
      <c r="E100" s="28"/>
      <c r="F100" s="28"/>
      <c r="G100" s="28"/>
      <c r="H100" s="28"/>
      <c r="I100" s="75">
        <v>67800</v>
      </c>
      <c r="K100" s="86"/>
    </row>
    <row r="101" spans="2:11" ht="15.6" x14ac:dyDescent="0.3">
      <c r="B101" s="48" t="s">
        <v>991</v>
      </c>
      <c r="C101" s="61"/>
      <c r="D101" s="61"/>
      <c r="E101" s="61"/>
      <c r="F101" s="61"/>
      <c r="G101" s="61"/>
      <c r="H101" s="61"/>
      <c r="I101" s="61"/>
      <c r="K101" s="86"/>
    </row>
    <row r="102" spans="2:11" x14ac:dyDescent="0.3">
      <c r="B102" s="43">
        <v>42370</v>
      </c>
      <c r="C102" s="3" t="s">
        <v>9</v>
      </c>
      <c r="D102" s="3" t="s">
        <v>960</v>
      </c>
      <c r="E102" s="41" t="s">
        <v>1132</v>
      </c>
      <c r="F102" s="41" t="s">
        <v>555</v>
      </c>
      <c r="G102" s="41" t="s">
        <v>1025</v>
      </c>
      <c r="H102" s="30">
        <v>300</v>
      </c>
      <c r="I102" s="8">
        <v>3000</v>
      </c>
      <c r="K102" s="86"/>
    </row>
    <row r="103" spans="2:11" x14ac:dyDescent="0.3">
      <c r="B103" s="43">
        <v>42461</v>
      </c>
      <c r="C103" s="3" t="s">
        <v>9</v>
      </c>
      <c r="D103" s="3" t="s">
        <v>931</v>
      </c>
      <c r="E103" s="30">
        <v>125</v>
      </c>
      <c r="F103" s="30">
        <v>170</v>
      </c>
      <c r="G103" s="30">
        <v>45</v>
      </c>
      <c r="H103" s="30">
        <v>300</v>
      </c>
      <c r="I103" s="8">
        <v>13500</v>
      </c>
      <c r="K103" s="86"/>
    </row>
    <row r="104" spans="2:11" x14ac:dyDescent="0.3">
      <c r="B104" s="43">
        <v>42491</v>
      </c>
      <c r="C104" s="3" t="s">
        <v>9</v>
      </c>
      <c r="D104" s="3" t="s">
        <v>931</v>
      </c>
      <c r="E104" s="30">
        <v>168</v>
      </c>
      <c r="F104" s="30">
        <v>185</v>
      </c>
      <c r="G104" s="30">
        <v>17</v>
      </c>
      <c r="H104" s="30">
        <v>300</v>
      </c>
      <c r="I104" s="8">
        <v>5100</v>
      </c>
    </row>
    <row r="105" spans="2:11" x14ac:dyDescent="0.3">
      <c r="B105" s="43">
        <v>42522</v>
      </c>
      <c r="C105" s="3" t="s">
        <v>9</v>
      </c>
      <c r="D105" s="3" t="s">
        <v>935</v>
      </c>
      <c r="E105" s="30">
        <v>135</v>
      </c>
      <c r="F105" s="30">
        <v>110</v>
      </c>
      <c r="G105" s="30">
        <v>-25</v>
      </c>
      <c r="H105" s="30">
        <v>300</v>
      </c>
      <c r="I105" s="8">
        <v>-7500</v>
      </c>
    </row>
    <row r="106" spans="2:11" x14ac:dyDescent="0.3">
      <c r="B106" s="43">
        <v>42552</v>
      </c>
      <c r="C106" s="3" t="s">
        <v>9</v>
      </c>
      <c r="D106" s="30" t="s">
        <v>937</v>
      </c>
      <c r="E106" s="30">
        <v>155</v>
      </c>
      <c r="F106" s="30">
        <v>180</v>
      </c>
      <c r="G106" s="30">
        <v>25</v>
      </c>
      <c r="H106" s="30">
        <v>300</v>
      </c>
      <c r="I106" s="8">
        <v>7500</v>
      </c>
    </row>
    <row r="107" spans="2:11" x14ac:dyDescent="0.3">
      <c r="B107" s="43">
        <v>42583</v>
      </c>
      <c r="C107" s="3" t="s">
        <v>9</v>
      </c>
      <c r="D107" s="30" t="s">
        <v>937</v>
      </c>
      <c r="E107" s="30">
        <v>170</v>
      </c>
      <c r="F107" s="30">
        <v>170</v>
      </c>
      <c r="G107" s="30">
        <v>0</v>
      </c>
      <c r="H107" s="30">
        <v>300</v>
      </c>
      <c r="I107" s="8">
        <v>0</v>
      </c>
    </row>
    <row r="108" spans="2:11" x14ac:dyDescent="0.3">
      <c r="B108" s="43">
        <v>42675</v>
      </c>
      <c r="C108" s="3" t="s">
        <v>9</v>
      </c>
      <c r="D108" s="30" t="s">
        <v>936</v>
      </c>
      <c r="E108" s="30">
        <v>145</v>
      </c>
      <c r="F108" s="30">
        <v>120</v>
      </c>
      <c r="G108" s="30">
        <v>-25</v>
      </c>
      <c r="H108" s="30">
        <v>300</v>
      </c>
      <c r="I108" s="8">
        <v>-7500</v>
      </c>
    </row>
    <row r="109" spans="2:11" x14ac:dyDescent="0.3">
      <c r="B109" s="43">
        <v>42705</v>
      </c>
      <c r="C109" s="3" t="s">
        <v>9</v>
      </c>
      <c r="D109" s="30" t="s">
        <v>936</v>
      </c>
      <c r="E109" s="30">
        <v>135</v>
      </c>
      <c r="F109" s="30">
        <v>160</v>
      </c>
      <c r="G109" s="30">
        <v>25</v>
      </c>
      <c r="H109" s="30">
        <v>300</v>
      </c>
      <c r="I109" s="8">
        <v>7500</v>
      </c>
    </row>
    <row r="110" spans="2:11" x14ac:dyDescent="0.3">
      <c r="B110" s="43" t="s">
        <v>1149</v>
      </c>
      <c r="C110" s="3" t="s">
        <v>9</v>
      </c>
      <c r="D110" s="30" t="s">
        <v>937</v>
      </c>
      <c r="E110" s="30">
        <v>165</v>
      </c>
      <c r="F110" s="30">
        <v>210</v>
      </c>
      <c r="G110" s="30">
        <v>45</v>
      </c>
      <c r="H110" s="30">
        <v>300</v>
      </c>
      <c r="I110" s="8">
        <v>13500</v>
      </c>
    </row>
    <row r="111" spans="2:11" x14ac:dyDescent="0.3">
      <c r="B111" s="43" t="s">
        <v>1148</v>
      </c>
      <c r="C111" s="3" t="s">
        <v>9</v>
      </c>
      <c r="D111" s="30" t="s">
        <v>936</v>
      </c>
      <c r="E111" s="30">
        <v>175</v>
      </c>
      <c r="F111" s="30">
        <v>190</v>
      </c>
      <c r="G111" s="30">
        <v>15</v>
      </c>
      <c r="H111" s="30">
        <v>300</v>
      </c>
      <c r="I111" s="8">
        <v>4500</v>
      </c>
    </row>
    <row r="112" spans="2:11" x14ac:dyDescent="0.3">
      <c r="B112" s="43" t="s">
        <v>1150</v>
      </c>
      <c r="C112" s="3" t="s">
        <v>9</v>
      </c>
      <c r="D112" s="30" t="s">
        <v>936</v>
      </c>
      <c r="E112" s="30">
        <v>140</v>
      </c>
      <c r="F112" s="30">
        <v>185</v>
      </c>
      <c r="G112" s="30">
        <v>45</v>
      </c>
      <c r="H112" s="30">
        <v>300</v>
      </c>
      <c r="I112" s="8">
        <v>13500</v>
      </c>
    </row>
    <row r="113" spans="2:9" x14ac:dyDescent="0.3">
      <c r="B113" s="43" t="s">
        <v>1151</v>
      </c>
      <c r="C113" s="3" t="s">
        <v>9</v>
      </c>
      <c r="D113" s="30" t="s">
        <v>1143</v>
      </c>
      <c r="E113" s="30">
        <v>145</v>
      </c>
      <c r="F113" s="30">
        <v>120</v>
      </c>
      <c r="G113" s="30">
        <v>-25</v>
      </c>
      <c r="H113" s="30">
        <v>300</v>
      </c>
      <c r="I113" s="8">
        <v>-7500</v>
      </c>
    </row>
    <row r="114" spans="2:9" x14ac:dyDescent="0.3">
      <c r="B114" s="43" t="s">
        <v>1156</v>
      </c>
      <c r="C114" s="3" t="s">
        <v>9</v>
      </c>
      <c r="D114" s="30" t="s">
        <v>1143</v>
      </c>
      <c r="E114" s="30">
        <v>105</v>
      </c>
      <c r="F114" s="30">
        <v>120</v>
      </c>
      <c r="G114" s="30">
        <v>15</v>
      </c>
      <c r="H114" s="30">
        <v>300</v>
      </c>
      <c r="I114" s="8">
        <v>4500</v>
      </c>
    </row>
    <row r="115" spans="2:9" x14ac:dyDescent="0.3">
      <c r="B115" s="43" t="s">
        <v>1157</v>
      </c>
      <c r="C115" s="3" t="s">
        <v>9</v>
      </c>
      <c r="D115" s="30" t="s">
        <v>1161</v>
      </c>
      <c r="E115" s="30">
        <v>125</v>
      </c>
      <c r="F115" s="30">
        <v>170</v>
      </c>
      <c r="G115" s="30">
        <v>45</v>
      </c>
      <c r="H115" s="30">
        <v>300</v>
      </c>
      <c r="I115" s="8">
        <v>13500</v>
      </c>
    </row>
    <row r="116" spans="2:9" x14ac:dyDescent="0.3">
      <c r="B116" s="43" t="s">
        <v>1158</v>
      </c>
      <c r="C116" s="3" t="s">
        <v>9</v>
      </c>
      <c r="D116" s="30" t="s">
        <v>1143</v>
      </c>
      <c r="E116" s="30">
        <v>170</v>
      </c>
      <c r="F116" s="30">
        <v>220</v>
      </c>
      <c r="G116" s="30">
        <v>50</v>
      </c>
      <c r="H116" s="30">
        <v>300</v>
      </c>
      <c r="I116" s="8">
        <v>15000</v>
      </c>
    </row>
    <row r="117" spans="2:9" x14ac:dyDescent="0.3">
      <c r="B117" s="43" t="s">
        <v>1159</v>
      </c>
      <c r="C117" s="3" t="s">
        <v>9</v>
      </c>
      <c r="D117" s="28" t="s">
        <v>1143</v>
      </c>
      <c r="E117" s="49" t="s">
        <v>228</v>
      </c>
      <c r="F117" s="49" t="s">
        <v>217</v>
      </c>
      <c r="G117" s="49" t="s">
        <v>917</v>
      </c>
      <c r="H117" s="30">
        <v>300</v>
      </c>
      <c r="I117" s="8">
        <v>-6000</v>
      </c>
    </row>
    <row r="118" spans="2:9" x14ac:dyDescent="0.3">
      <c r="B118" s="43" t="s">
        <v>1167</v>
      </c>
      <c r="C118" s="3" t="s">
        <v>9</v>
      </c>
      <c r="D118" s="28" t="s">
        <v>936</v>
      </c>
      <c r="E118" s="49" t="s">
        <v>232</v>
      </c>
      <c r="F118" s="49" t="s">
        <v>1063</v>
      </c>
      <c r="G118" s="49" t="s">
        <v>955</v>
      </c>
      <c r="H118" s="30">
        <v>300</v>
      </c>
      <c r="I118" s="8">
        <v>13500</v>
      </c>
    </row>
    <row r="119" spans="2:9" x14ac:dyDescent="0.3">
      <c r="B119" s="43" t="s">
        <v>1168</v>
      </c>
      <c r="C119" s="3" t="s">
        <v>9</v>
      </c>
      <c r="D119" s="28" t="s">
        <v>936</v>
      </c>
      <c r="E119" s="49" t="s">
        <v>513</v>
      </c>
      <c r="F119" s="49" t="s">
        <v>232</v>
      </c>
      <c r="G119" s="49" t="s">
        <v>1171</v>
      </c>
      <c r="H119" s="30">
        <v>300</v>
      </c>
      <c r="I119" s="8">
        <v>-7500</v>
      </c>
    </row>
    <row r="120" spans="2:9" x14ac:dyDescent="0.3">
      <c r="B120" s="87" t="s">
        <v>1169</v>
      </c>
      <c r="C120" s="3" t="s">
        <v>9</v>
      </c>
      <c r="D120" s="28" t="s">
        <v>936</v>
      </c>
      <c r="E120" s="49" t="s">
        <v>513</v>
      </c>
      <c r="F120" s="49" t="s">
        <v>394</v>
      </c>
      <c r="G120" s="49" t="s">
        <v>994</v>
      </c>
      <c r="H120" s="30">
        <v>300</v>
      </c>
      <c r="I120" s="8">
        <v>2400</v>
      </c>
    </row>
    <row r="121" spans="2:9" x14ac:dyDescent="0.3">
      <c r="B121" s="43" t="s">
        <v>1170</v>
      </c>
      <c r="C121" s="3" t="s">
        <v>9</v>
      </c>
      <c r="D121" s="28" t="s">
        <v>1143</v>
      </c>
      <c r="E121" s="49" t="s">
        <v>626</v>
      </c>
      <c r="F121" s="49" t="s">
        <v>524</v>
      </c>
      <c r="G121" s="49" t="s">
        <v>1171</v>
      </c>
      <c r="H121" s="30">
        <v>300</v>
      </c>
      <c r="I121" s="8">
        <v>-7500</v>
      </c>
    </row>
    <row r="122" spans="2:9" ht="18" x14ac:dyDescent="0.35">
      <c r="B122" s="1"/>
      <c r="C122" s="28"/>
      <c r="D122" s="28"/>
      <c r="E122" s="28"/>
      <c r="F122" s="28"/>
      <c r="G122" s="28"/>
      <c r="H122" s="28"/>
      <c r="I122" s="76"/>
    </row>
    <row r="123" spans="2:9" ht="18" x14ac:dyDescent="0.35">
      <c r="B123" s="1"/>
      <c r="I123" s="72">
        <v>73500</v>
      </c>
    </row>
    <row r="124" spans="2:9" ht="15.6" x14ac:dyDescent="0.3">
      <c r="B124" s="48" t="s">
        <v>926</v>
      </c>
      <c r="C124" s="48"/>
      <c r="D124" s="48"/>
      <c r="E124" s="48"/>
      <c r="F124" s="48"/>
      <c r="G124" s="48"/>
      <c r="H124" s="48"/>
      <c r="I124" s="48"/>
    </row>
    <row r="125" spans="2:9" x14ac:dyDescent="0.3">
      <c r="B125" s="43">
        <v>42370</v>
      </c>
      <c r="C125" s="30" t="s">
        <v>8</v>
      </c>
      <c r="D125" s="30" t="s">
        <v>301</v>
      </c>
      <c r="E125" s="30">
        <v>16900</v>
      </c>
      <c r="F125" s="30">
        <v>17100</v>
      </c>
      <c r="G125" s="30">
        <v>200</v>
      </c>
      <c r="H125" s="30">
        <v>120</v>
      </c>
      <c r="I125" s="30">
        <v>24000</v>
      </c>
    </row>
    <row r="126" spans="2:9" x14ac:dyDescent="0.3">
      <c r="B126" s="43">
        <v>42461</v>
      </c>
      <c r="C126" s="30" t="s">
        <v>8</v>
      </c>
      <c r="D126" s="30" t="s">
        <v>301</v>
      </c>
      <c r="E126" s="30">
        <v>16880</v>
      </c>
      <c r="F126" s="30">
        <v>16650</v>
      </c>
      <c r="G126" s="30">
        <v>230</v>
      </c>
      <c r="H126" s="30">
        <v>120</v>
      </c>
      <c r="I126" s="30">
        <v>27600</v>
      </c>
    </row>
    <row r="127" spans="2:9" x14ac:dyDescent="0.3">
      <c r="B127" s="43">
        <v>42491</v>
      </c>
      <c r="C127" s="30" t="s">
        <v>8</v>
      </c>
      <c r="D127" s="30" t="s">
        <v>301</v>
      </c>
      <c r="E127" s="30">
        <v>16610</v>
      </c>
      <c r="F127" s="30">
        <v>16530</v>
      </c>
      <c r="G127" s="30">
        <v>80</v>
      </c>
      <c r="H127" s="30">
        <v>120</v>
      </c>
      <c r="I127" s="30">
        <v>9600</v>
      </c>
    </row>
    <row r="128" spans="2:9" x14ac:dyDescent="0.3">
      <c r="B128" s="43">
        <v>42522</v>
      </c>
      <c r="C128" s="30" t="s">
        <v>8</v>
      </c>
      <c r="D128" s="30" t="s">
        <v>301</v>
      </c>
      <c r="E128" s="30">
        <v>16510</v>
      </c>
      <c r="F128" s="30">
        <v>16410</v>
      </c>
      <c r="G128" s="30">
        <v>100</v>
      </c>
      <c r="H128" s="30">
        <v>120</v>
      </c>
      <c r="I128" s="30">
        <v>12000</v>
      </c>
    </row>
    <row r="129" spans="2:9" x14ac:dyDescent="0.3">
      <c r="B129" s="43">
        <v>42552</v>
      </c>
      <c r="C129" s="30" t="s">
        <v>8</v>
      </c>
      <c r="D129" s="30" t="s">
        <v>301</v>
      </c>
      <c r="E129" s="30">
        <v>16200</v>
      </c>
      <c r="F129" s="30">
        <v>16060</v>
      </c>
      <c r="G129" s="30">
        <v>140</v>
      </c>
      <c r="H129" s="30">
        <v>120</v>
      </c>
      <c r="I129" s="30">
        <v>16800</v>
      </c>
    </row>
    <row r="130" spans="2:9" x14ac:dyDescent="0.3">
      <c r="B130" s="43">
        <v>42583</v>
      </c>
      <c r="C130" s="30" t="s">
        <v>8</v>
      </c>
      <c r="D130" s="30" t="s">
        <v>301</v>
      </c>
      <c r="E130" s="30">
        <v>16180</v>
      </c>
      <c r="F130" s="30">
        <v>16140</v>
      </c>
      <c r="G130" s="30">
        <v>40</v>
      </c>
      <c r="H130" s="30">
        <v>120</v>
      </c>
      <c r="I130" s="30">
        <v>4800</v>
      </c>
    </row>
    <row r="131" spans="2:9" x14ac:dyDescent="0.3">
      <c r="B131" s="43">
        <v>42675</v>
      </c>
      <c r="C131" s="30" t="s">
        <v>8</v>
      </c>
      <c r="D131" s="30" t="s">
        <v>301</v>
      </c>
      <c r="E131" s="30">
        <v>15900</v>
      </c>
      <c r="F131" s="30">
        <v>16100</v>
      </c>
      <c r="G131" s="30">
        <v>-200</v>
      </c>
      <c r="H131" s="30">
        <v>120</v>
      </c>
      <c r="I131" s="30">
        <v>-24000</v>
      </c>
    </row>
    <row r="132" spans="2:9" x14ac:dyDescent="0.3">
      <c r="B132" s="43">
        <v>42705</v>
      </c>
      <c r="C132" s="30" t="s">
        <v>8</v>
      </c>
      <c r="D132" s="30" t="s">
        <v>301</v>
      </c>
      <c r="E132" s="30">
        <v>15980</v>
      </c>
      <c r="F132" s="30">
        <v>15750</v>
      </c>
      <c r="G132" s="30">
        <v>230</v>
      </c>
      <c r="H132" s="30">
        <v>120</v>
      </c>
      <c r="I132" s="30">
        <v>27600</v>
      </c>
    </row>
    <row r="133" spans="2:9" x14ac:dyDescent="0.3">
      <c r="B133" s="43" t="s">
        <v>1149</v>
      </c>
      <c r="C133" s="30" t="s">
        <v>8</v>
      </c>
      <c r="D133" s="30" t="s">
        <v>301</v>
      </c>
      <c r="E133" s="30">
        <v>15930</v>
      </c>
      <c r="F133" s="30">
        <v>15630</v>
      </c>
      <c r="G133" s="30">
        <v>300</v>
      </c>
      <c r="H133" s="30">
        <v>120</v>
      </c>
      <c r="I133" s="30">
        <v>36000</v>
      </c>
    </row>
    <row r="134" spans="2:9" x14ac:dyDescent="0.3">
      <c r="B134" s="43" t="s">
        <v>1148</v>
      </c>
      <c r="C134" s="30" t="s">
        <v>8</v>
      </c>
      <c r="D134" s="30" t="s">
        <v>301</v>
      </c>
      <c r="E134" s="30">
        <v>15600</v>
      </c>
      <c r="F134" s="30">
        <v>15500</v>
      </c>
      <c r="G134" s="30">
        <v>100</v>
      </c>
      <c r="H134" s="30">
        <v>120</v>
      </c>
      <c r="I134" s="30">
        <v>12000</v>
      </c>
    </row>
    <row r="135" spans="2:9" x14ac:dyDescent="0.3">
      <c r="B135" s="43" t="s">
        <v>1150</v>
      </c>
      <c r="C135" s="30" t="s">
        <v>8</v>
      </c>
      <c r="D135" s="30" t="s">
        <v>301</v>
      </c>
      <c r="E135" s="30">
        <v>15600</v>
      </c>
      <c r="F135" s="30">
        <v>15300</v>
      </c>
      <c r="G135" s="30">
        <v>300</v>
      </c>
      <c r="H135" s="30">
        <v>120</v>
      </c>
      <c r="I135" s="30">
        <v>36000</v>
      </c>
    </row>
    <row r="136" spans="2:9" x14ac:dyDescent="0.3">
      <c r="B136" s="43" t="s">
        <v>1151</v>
      </c>
      <c r="C136" s="30" t="s">
        <v>8</v>
      </c>
      <c r="D136" s="30" t="s">
        <v>301</v>
      </c>
      <c r="E136" s="30">
        <v>15130</v>
      </c>
      <c r="F136" s="30">
        <v>15030</v>
      </c>
      <c r="G136" s="30">
        <v>100</v>
      </c>
      <c r="H136" s="30">
        <v>120</v>
      </c>
      <c r="I136" s="30">
        <v>12000</v>
      </c>
    </row>
    <row r="137" spans="2:9" x14ac:dyDescent="0.3">
      <c r="B137" s="43" t="s">
        <v>1156</v>
      </c>
      <c r="C137" s="30" t="s">
        <v>8</v>
      </c>
      <c r="D137" s="30" t="s">
        <v>301</v>
      </c>
      <c r="E137" s="30">
        <v>15260</v>
      </c>
      <c r="F137" s="30">
        <v>15220</v>
      </c>
      <c r="G137" s="30">
        <v>40</v>
      </c>
      <c r="H137" s="30">
        <v>120</v>
      </c>
      <c r="I137" s="30">
        <v>4800</v>
      </c>
    </row>
    <row r="138" spans="2:9" x14ac:dyDescent="0.3">
      <c r="B138" s="43" t="s">
        <v>1157</v>
      </c>
      <c r="C138" s="30" t="s">
        <v>8</v>
      </c>
      <c r="D138" s="30" t="s">
        <v>301</v>
      </c>
      <c r="E138" s="30">
        <v>14920</v>
      </c>
      <c r="F138" s="30">
        <v>14760</v>
      </c>
      <c r="G138" s="30">
        <v>160</v>
      </c>
      <c r="H138" s="30">
        <v>120</v>
      </c>
      <c r="I138" s="30">
        <v>19200</v>
      </c>
    </row>
    <row r="139" spans="2:9" x14ac:dyDescent="0.3">
      <c r="B139" s="43" t="s">
        <v>1158</v>
      </c>
      <c r="C139" s="30" t="s">
        <v>8</v>
      </c>
      <c r="D139" s="30" t="s">
        <v>301</v>
      </c>
      <c r="E139" s="30">
        <v>15220</v>
      </c>
      <c r="F139" s="30">
        <v>14920</v>
      </c>
      <c r="G139" s="30">
        <v>300</v>
      </c>
      <c r="H139" s="30">
        <v>120</v>
      </c>
      <c r="I139" s="30">
        <v>36000</v>
      </c>
    </row>
    <row r="140" spans="2:9" x14ac:dyDescent="0.3">
      <c r="B140" s="43" t="s">
        <v>1159</v>
      </c>
      <c r="C140" s="30" t="s">
        <v>8</v>
      </c>
      <c r="D140" s="30" t="s">
        <v>301</v>
      </c>
      <c r="E140" s="30">
        <v>15530</v>
      </c>
      <c r="F140" s="30">
        <v>15460</v>
      </c>
      <c r="G140" s="30">
        <v>70</v>
      </c>
      <c r="H140" s="30">
        <v>120</v>
      </c>
      <c r="I140" s="30">
        <v>8400</v>
      </c>
    </row>
    <row r="141" spans="2:9" x14ac:dyDescent="0.3">
      <c r="B141" s="43" t="s">
        <v>1167</v>
      </c>
      <c r="C141" s="30" t="s">
        <v>8</v>
      </c>
      <c r="D141" s="30" t="s">
        <v>301</v>
      </c>
      <c r="E141" s="30">
        <v>15570</v>
      </c>
      <c r="F141" s="30">
        <v>15470</v>
      </c>
      <c r="G141" s="30">
        <v>100</v>
      </c>
      <c r="H141" s="30">
        <v>120</v>
      </c>
      <c r="I141" s="30">
        <v>12000</v>
      </c>
    </row>
    <row r="142" spans="2:9" x14ac:dyDescent="0.3">
      <c r="B142" s="43" t="s">
        <v>1168</v>
      </c>
      <c r="C142" s="30" t="s">
        <v>8</v>
      </c>
      <c r="D142" s="30" t="s">
        <v>301</v>
      </c>
      <c r="E142" s="30">
        <v>15450</v>
      </c>
      <c r="F142" s="30">
        <v>15510</v>
      </c>
      <c r="G142" s="30">
        <v>-60</v>
      </c>
      <c r="H142" s="30">
        <v>120</v>
      </c>
      <c r="I142" s="94">
        <v>-7200</v>
      </c>
    </row>
    <row r="143" spans="2:9" x14ac:dyDescent="0.3">
      <c r="B143" s="87" t="s">
        <v>1169</v>
      </c>
      <c r="C143" s="30" t="s">
        <v>8</v>
      </c>
      <c r="D143" s="30" t="s">
        <v>301</v>
      </c>
      <c r="E143" s="88">
        <v>15500</v>
      </c>
      <c r="F143" s="88">
        <v>15000</v>
      </c>
      <c r="G143" s="88">
        <v>0</v>
      </c>
      <c r="H143" s="88">
        <v>120</v>
      </c>
      <c r="I143" s="88">
        <v>0</v>
      </c>
    </row>
    <row r="144" spans="2:9" x14ac:dyDescent="0.3">
      <c r="B144" s="43" t="s">
        <v>1170</v>
      </c>
      <c r="C144" s="30" t="s">
        <v>8</v>
      </c>
      <c r="D144" s="30" t="s">
        <v>301</v>
      </c>
      <c r="E144" s="30">
        <v>15280</v>
      </c>
      <c r="F144" s="30">
        <v>15180</v>
      </c>
      <c r="G144" s="30">
        <v>100</v>
      </c>
      <c r="H144" s="30">
        <v>120</v>
      </c>
      <c r="I144" s="30">
        <v>12000</v>
      </c>
    </row>
    <row r="145" spans="2:36" x14ac:dyDescent="0.3">
      <c r="B145" s="43"/>
      <c r="C145" s="30"/>
      <c r="D145" s="30"/>
      <c r="E145" s="30"/>
      <c r="F145" s="30"/>
      <c r="G145" s="30"/>
      <c r="H145" s="30"/>
      <c r="I145" s="30"/>
    </row>
    <row r="147" spans="2:36" ht="18" x14ac:dyDescent="0.35">
      <c r="I147" s="98">
        <v>279600</v>
      </c>
    </row>
    <row r="149" spans="2:36" s="99" customFormat="1" ht="18" x14ac:dyDescent="0.35">
      <c r="B149" s="285" t="s">
        <v>1076</v>
      </c>
      <c r="C149" s="286"/>
      <c r="D149" s="286"/>
      <c r="E149" s="286"/>
      <c r="F149" s="286"/>
      <c r="G149" s="286"/>
      <c r="H149" s="286"/>
      <c r="I149" s="287"/>
      <c r="K149" s="10"/>
      <c r="L149" s="10"/>
      <c r="M149" s="10"/>
      <c r="N149" s="10"/>
      <c r="O149" s="1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</row>
    <row r="150" spans="2:36" x14ac:dyDescent="0.3">
      <c r="B150" s="43">
        <v>42370</v>
      </c>
      <c r="C150" s="30" t="s">
        <v>9</v>
      </c>
      <c r="D150" s="30" t="s">
        <v>1133</v>
      </c>
      <c r="E150" s="30">
        <v>15</v>
      </c>
      <c r="F150" s="30">
        <v>14</v>
      </c>
      <c r="G150" s="30">
        <v>-1</v>
      </c>
      <c r="H150" s="30">
        <v>500</v>
      </c>
      <c r="I150" s="30">
        <v>-500</v>
      </c>
    </row>
    <row r="151" spans="2:36" ht="18" x14ac:dyDescent="0.35">
      <c r="B151" s="43">
        <v>42461</v>
      </c>
      <c r="C151" s="30" t="s">
        <v>9</v>
      </c>
      <c r="D151" s="30" t="s">
        <v>1086</v>
      </c>
      <c r="E151" s="30">
        <v>52</v>
      </c>
      <c r="F151" s="30">
        <v>40</v>
      </c>
      <c r="G151" s="30">
        <v>-12</v>
      </c>
      <c r="H151" s="30">
        <v>200</v>
      </c>
      <c r="I151" s="30">
        <v>-2400</v>
      </c>
      <c r="K151" s="100"/>
      <c r="L151" s="100"/>
      <c r="M151" s="100"/>
      <c r="N151" s="100"/>
      <c r="O151" s="100"/>
    </row>
    <row r="152" spans="2:36" x14ac:dyDescent="0.3">
      <c r="B152" s="43">
        <v>42491</v>
      </c>
      <c r="C152" s="30" t="s">
        <v>9</v>
      </c>
      <c r="D152" s="30" t="s">
        <v>1134</v>
      </c>
      <c r="E152" s="30">
        <v>22</v>
      </c>
      <c r="F152" s="30">
        <v>30</v>
      </c>
      <c r="G152" s="30">
        <v>8</v>
      </c>
      <c r="H152" s="30">
        <v>700</v>
      </c>
      <c r="I152" s="30">
        <v>5600</v>
      </c>
      <c r="L152" s="30"/>
    </row>
    <row r="153" spans="2:36" x14ac:dyDescent="0.3">
      <c r="B153" s="43">
        <v>42522</v>
      </c>
      <c r="C153" s="30" t="s">
        <v>9</v>
      </c>
      <c r="D153" s="30" t="s">
        <v>1135</v>
      </c>
      <c r="E153" s="30">
        <v>23</v>
      </c>
      <c r="F153" s="30">
        <v>29</v>
      </c>
      <c r="G153" s="30">
        <v>6</v>
      </c>
      <c r="H153" s="30">
        <v>500</v>
      </c>
      <c r="I153" s="30">
        <v>3000</v>
      </c>
      <c r="L153" s="30"/>
    </row>
    <row r="154" spans="2:36" x14ac:dyDescent="0.3">
      <c r="B154" s="43">
        <v>42552</v>
      </c>
      <c r="C154" s="30" t="s">
        <v>9</v>
      </c>
      <c r="D154" s="30" t="s">
        <v>1136</v>
      </c>
      <c r="E154" s="30">
        <v>52</v>
      </c>
      <c r="F154" s="30">
        <v>70</v>
      </c>
      <c r="G154" s="30">
        <v>18</v>
      </c>
      <c r="H154" s="30">
        <v>200</v>
      </c>
      <c r="I154" s="30">
        <v>3600</v>
      </c>
      <c r="L154" s="30"/>
    </row>
    <row r="155" spans="2:36" x14ac:dyDescent="0.3">
      <c r="B155" s="43">
        <v>42583</v>
      </c>
      <c r="C155" s="30" t="s">
        <v>9</v>
      </c>
      <c r="D155" s="30" t="s">
        <v>1137</v>
      </c>
      <c r="E155" s="30">
        <v>58</v>
      </c>
      <c r="F155" s="30">
        <v>74</v>
      </c>
      <c r="G155" s="30">
        <v>16</v>
      </c>
      <c r="H155" s="30">
        <v>200</v>
      </c>
      <c r="I155" s="30">
        <v>3200</v>
      </c>
      <c r="L155" s="30"/>
    </row>
    <row r="156" spans="2:36" x14ac:dyDescent="0.3">
      <c r="B156" s="43">
        <v>42675</v>
      </c>
      <c r="C156" s="30" t="s">
        <v>9</v>
      </c>
      <c r="D156" s="30" t="s">
        <v>1137</v>
      </c>
      <c r="E156" s="30">
        <v>70</v>
      </c>
      <c r="F156" s="30">
        <v>55</v>
      </c>
      <c r="G156" s="30">
        <v>-15</v>
      </c>
      <c r="H156" s="30">
        <v>200</v>
      </c>
      <c r="I156" s="30">
        <v>-3000</v>
      </c>
      <c r="L156" s="30"/>
    </row>
    <row r="157" spans="2:36" x14ac:dyDescent="0.3">
      <c r="B157" s="43">
        <v>42705</v>
      </c>
      <c r="C157" s="30" t="s">
        <v>9</v>
      </c>
      <c r="D157" s="30" t="s">
        <v>1134</v>
      </c>
      <c r="E157" s="30">
        <v>25</v>
      </c>
      <c r="F157" s="30">
        <v>40</v>
      </c>
      <c r="G157" s="30">
        <v>15</v>
      </c>
      <c r="H157" s="30">
        <v>700</v>
      </c>
      <c r="I157" s="30">
        <v>10500</v>
      </c>
      <c r="L157" s="30"/>
    </row>
    <row r="158" spans="2:36" x14ac:dyDescent="0.3">
      <c r="B158" s="43" t="s">
        <v>1149</v>
      </c>
      <c r="C158" s="30" t="s">
        <v>9</v>
      </c>
      <c r="D158" s="30" t="s">
        <v>1144</v>
      </c>
      <c r="E158" s="30">
        <v>28</v>
      </c>
      <c r="F158" s="30">
        <v>50</v>
      </c>
      <c r="G158" s="30">
        <v>22</v>
      </c>
      <c r="H158" s="30">
        <v>300</v>
      </c>
      <c r="I158" s="30">
        <v>6600</v>
      </c>
    </row>
    <row r="159" spans="2:36" x14ac:dyDescent="0.3">
      <c r="B159" s="43" t="s">
        <v>1148</v>
      </c>
      <c r="C159" s="30" t="s">
        <v>9</v>
      </c>
      <c r="D159" s="30" t="s">
        <v>1145</v>
      </c>
      <c r="E159" s="30">
        <v>36</v>
      </c>
      <c r="F159" s="30">
        <v>44</v>
      </c>
      <c r="G159" s="30">
        <v>8</v>
      </c>
      <c r="H159" s="30">
        <v>300</v>
      </c>
      <c r="I159" s="30">
        <v>2400</v>
      </c>
    </row>
    <row r="160" spans="2:36" x14ac:dyDescent="0.3">
      <c r="B160" s="43" t="s">
        <v>1150</v>
      </c>
      <c r="C160" s="30" t="s">
        <v>9</v>
      </c>
      <c r="D160" s="30" t="s">
        <v>1146</v>
      </c>
      <c r="E160" s="30">
        <v>22</v>
      </c>
      <c r="F160" s="30">
        <v>30</v>
      </c>
      <c r="G160" s="30">
        <v>8</v>
      </c>
      <c r="H160" s="30">
        <v>700</v>
      </c>
      <c r="I160" s="30">
        <v>5600</v>
      </c>
    </row>
    <row r="161" spans="2:9" x14ac:dyDescent="0.3">
      <c r="B161" s="43" t="s">
        <v>1151</v>
      </c>
      <c r="C161" s="30" t="s">
        <v>9</v>
      </c>
      <c r="D161" s="30" t="s">
        <v>1147</v>
      </c>
      <c r="E161" s="30">
        <v>22</v>
      </c>
      <c r="F161" s="30">
        <v>14</v>
      </c>
      <c r="G161" s="30">
        <v>-8</v>
      </c>
      <c r="H161" s="30">
        <v>700</v>
      </c>
      <c r="I161" s="30">
        <v>-5600</v>
      </c>
    </row>
    <row r="162" spans="2:9" x14ac:dyDescent="0.3">
      <c r="B162" s="43" t="s">
        <v>1156</v>
      </c>
      <c r="C162" s="30" t="s">
        <v>9</v>
      </c>
      <c r="D162" s="30" t="s">
        <v>1162</v>
      </c>
      <c r="E162" s="30">
        <v>31</v>
      </c>
      <c r="F162" s="30">
        <v>37</v>
      </c>
      <c r="G162" s="30">
        <v>6</v>
      </c>
      <c r="H162" s="30">
        <v>2000</v>
      </c>
      <c r="I162" s="30">
        <v>12000</v>
      </c>
    </row>
    <row r="163" spans="2:9" x14ac:dyDescent="0.3">
      <c r="B163" s="43" t="s">
        <v>1157</v>
      </c>
      <c r="C163" s="30" t="s">
        <v>9</v>
      </c>
      <c r="D163" s="30" t="s">
        <v>1147</v>
      </c>
      <c r="E163" s="30">
        <v>18</v>
      </c>
      <c r="F163" s="30">
        <v>34</v>
      </c>
      <c r="G163" s="30">
        <v>16</v>
      </c>
      <c r="H163" s="30">
        <v>700</v>
      </c>
      <c r="I163" s="30">
        <v>11200</v>
      </c>
    </row>
    <row r="164" spans="2:9" x14ac:dyDescent="0.3">
      <c r="B164" s="43" t="s">
        <v>1158</v>
      </c>
      <c r="C164" s="30" t="s">
        <v>9</v>
      </c>
      <c r="D164" s="30" t="s">
        <v>1147</v>
      </c>
      <c r="E164" s="30">
        <v>17</v>
      </c>
      <c r="F164" s="30">
        <v>24</v>
      </c>
      <c r="G164" s="30">
        <v>7</v>
      </c>
      <c r="H164" s="30">
        <v>700</v>
      </c>
      <c r="I164" s="30">
        <v>4900</v>
      </c>
    </row>
    <row r="165" spans="2:9" x14ac:dyDescent="0.3">
      <c r="B165" s="43" t="s">
        <v>1159</v>
      </c>
      <c r="C165" s="30" t="s">
        <v>9</v>
      </c>
      <c r="D165" s="30" t="s">
        <v>1163</v>
      </c>
      <c r="E165" s="30">
        <v>25</v>
      </c>
      <c r="F165" s="30">
        <v>42</v>
      </c>
      <c r="G165" s="30">
        <v>17</v>
      </c>
      <c r="H165" s="30">
        <v>900</v>
      </c>
      <c r="I165" s="30">
        <v>15300</v>
      </c>
    </row>
    <row r="166" spans="2:9" x14ac:dyDescent="0.3">
      <c r="B166" s="30" t="s">
        <v>1159</v>
      </c>
      <c r="C166" s="30" t="s">
        <v>9</v>
      </c>
      <c r="D166" s="30" t="s">
        <v>1164</v>
      </c>
      <c r="E166" s="30">
        <v>23</v>
      </c>
      <c r="F166" s="30">
        <v>30</v>
      </c>
      <c r="G166" s="30">
        <v>7</v>
      </c>
      <c r="H166" s="30">
        <v>600</v>
      </c>
      <c r="I166" s="30">
        <v>4200</v>
      </c>
    </row>
    <row r="167" spans="2:9" x14ac:dyDescent="0.3">
      <c r="B167" s="43" t="s">
        <v>1167</v>
      </c>
      <c r="C167" s="30" t="s">
        <v>9</v>
      </c>
      <c r="D167" s="30" t="s">
        <v>1134</v>
      </c>
      <c r="E167" s="30">
        <v>18</v>
      </c>
      <c r="F167" s="30">
        <v>28</v>
      </c>
      <c r="G167" s="30">
        <v>10</v>
      </c>
      <c r="H167" s="30">
        <v>700</v>
      </c>
      <c r="I167" s="30">
        <v>7000</v>
      </c>
    </row>
    <row r="168" spans="2:9" x14ac:dyDescent="0.3">
      <c r="B168" s="43" t="s">
        <v>1168</v>
      </c>
      <c r="C168" s="30" t="s">
        <v>9</v>
      </c>
      <c r="D168" s="30" t="s">
        <v>1146</v>
      </c>
      <c r="E168" s="30">
        <v>16</v>
      </c>
      <c r="F168" s="30">
        <v>8</v>
      </c>
      <c r="G168" s="30">
        <v>-8</v>
      </c>
      <c r="H168" s="30">
        <v>700</v>
      </c>
      <c r="I168" s="30">
        <v>-5600</v>
      </c>
    </row>
    <row r="169" spans="2:9" x14ac:dyDescent="0.3">
      <c r="B169" s="87" t="s">
        <v>1169</v>
      </c>
      <c r="C169" s="30" t="s">
        <v>9</v>
      </c>
      <c r="D169" s="30" t="s">
        <v>1172</v>
      </c>
      <c r="E169" s="30">
        <v>14</v>
      </c>
      <c r="F169" s="30">
        <v>25</v>
      </c>
      <c r="G169" s="30">
        <v>11</v>
      </c>
      <c r="H169" s="30">
        <v>600</v>
      </c>
      <c r="I169" s="30">
        <v>6600</v>
      </c>
    </row>
    <row r="170" spans="2:9" x14ac:dyDescent="0.3">
      <c r="B170" s="43" t="s">
        <v>1170</v>
      </c>
      <c r="C170" s="30" t="s">
        <v>9</v>
      </c>
      <c r="D170" s="30" t="s">
        <v>1173</v>
      </c>
      <c r="E170" s="30">
        <v>8.5</v>
      </c>
      <c r="F170" s="30">
        <v>9.5</v>
      </c>
      <c r="G170" s="30">
        <v>1000</v>
      </c>
      <c r="H170" s="30">
        <v>2000</v>
      </c>
      <c r="I170" s="30">
        <v>1000</v>
      </c>
    </row>
    <row r="172" spans="2:9" ht="18" x14ac:dyDescent="0.35">
      <c r="I172" s="72">
        <v>85600</v>
      </c>
    </row>
    <row r="175" spans="2:9" ht="18" x14ac:dyDescent="0.35">
      <c r="B175" s="285" t="s">
        <v>1152</v>
      </c>
      <c r="C175" s="286"/>
      <c r="D175" s="286"/>
      <c r="E175" s="286"/>
      <c r="F175" s="286"/>
      <c r="G175" s="286"/>
      <c r="H175" s="286"/>
      <c r="I175" s="287"/>
    </row>
    <row r="176" spans="2:9" x14ac:dyDescent="0.3">
      <c r="B176" s="43">
        <v>42401</v>
      </c>
      <c r="C176" s="30" t="s">
        <v>9</v>
      </c>
      <c r="D176" s="30" t="s">
        <v>1177</v>
      </c>
      <c r="E176" s="30">
        <v>340</v>
      </c>
      <c r="F176" s="30">
        <v>500</v>
      </c>
      <c r="G176" s="30">
        <v>160</v>
      </c>
      <c r="H176" s="30">
        <v>120</v>
      </c>
      <c r="I176" s="30">
        <v>19200</v>
      </c>
    </row>
    <row r="177" spans="2:9" x14ac:dyDescent="0.3">
      <c r="B177" s="43">
        <v>42705</v>
      </c>
      <c r="C177" s="30" t="s">
        <v>9</v>
      </c>
      <c r="D177" s="30" t="s">
        <v>1153</v>
      </c>
      <c r="E177" s="30">
        <v>260</v>
      </c>
      <c r="F177" s="30">
        <v>350</v>
      </c>
      <c r="G177" s="30">
        <v>90</v>
      </c>
      <c r="H177" s="30">
        <v>120</v>
      </c>
      <c r="I177" s="30">
        <v>10800</v>
      </c>
    </row>
    <row r="178" spans="2:9" x14ac:dyDescent="0.3">
      <c r="B178" s="43" t="s">
        <v>1149</v>
      </c>
      <c r="C178" s="30" t="s">
        <v>9</v>
      </c>
      <c r="D178" s="30" t="s">
        <v>1153</v>
      </c>
      <c r="E178" s="30">
        <v>270</v>
      </c>
      <c r="F178" s="30">
        <v>400</v>
      </c>
      <c r="G178" s="30">
        <v>130</v>
      </c>
      <c r="H178" s="30">
        <v>120</v>
      </c>
      <c r="I178" s="30">
        <v>15600</v>
      </c>
    </row>
    <row r="179" spans="2:9" x14ac:dyDescent="0.3">
      <c r="B179" s="43" t="s">
        <v>1148</v>
      </c>
      <c r="C179" s="30" t="s">
        <v>9</v>
      </c>
      <c r="D179" s="30" t="s">
        <v>1154</v>
      </c>
      <c r="E179" s="30">
        <v>290</v>
      </c>
      <c r="F179" s="30">
        <v>350</v>
      </c>
      <c r="G179" s="30">
        <v>60</v>
      </c>
      <c r="H179" s="30">
        <v>120</v>
      </c>
      <c r="I179" s="30">
        <v>7200</v>
      </c>
    </row>
    <row r="180" spans="2:9" x14ac:dyDescent="0.3">
      <c r="B180" s="43" t="s">
        <v>1150</v>
      </c>
      <c r="C180" s="30" t="s">
        <v>9</v>
      </c>
      <c r="D180" s="30" t="s">
        <v>1154</v>
      </c>
      <c r="E180" s="30">
        <v>270</v>
      </c>
      <c r="F180" s="30">
        <v>420</v>
      </c>
      <c r="G180" s="30">
        <v>150</v>
      </c>
      <c r="H180" s="30">
        <v>120</v>
      </c>
      <c r="I180" s="30">
        <v>18000</v>
      </c>
    </row>
    <row r="181" spans="2:9" x14ac:dyDescent="0.3">
      <c r="B181" s="43" t="s">
        <v>1151</v>
      </c>
      <c r="C181" s="30" t="s">
        <v>9</v>
      </c>
      <c r="D181" s="30" t="s">
        <v>1155</v>
      </c>
      <c r="E181" s="30">
        <v>310</v>
      </c>
      <c r="F181" s="30">
        <v>240</v>
      </c>
      <c r="G181" s="30">
        <v>-70</v>
      </c>
      <c r="H181" s="30">
        <v>120</v>
      </c>
      <c r="I181" s="30">
        <v>-8400</v>
      </c>
    </row>
    <row r="182" spans="2:9" x14ac:dyDescent="0.3">
      <c r="B182" s="43" t="s">
        <v>1156</v>
      </c>
      <c r="C182" s="30" t="s">
        <v>9</v>
      </c>
      <c r="D182" s="30" t="s">
        <v>1165</v>
      </c>
      <c r="E182" s="30">
        <v>240</v>
      </c>
      <c r="F182" s="30">
        <v>220</v>
      </c>
      <c r="G182" s="30">
        <v>-20</v>
      </c>
      <c r="H182" s="30">
        <v>120</v>
      </c>
      <c r="I182" s="30">
        <v>-2400</v>
      </c>
    </row>
    <row r="183" spans="2:9" x14ac:dyDescent="0.3">
      <c r="B183" s="43" t="s">
        <v>1157</v>
      </c>
      <c r="C183" s="30" t="s">
        <v>9</v>
      </c>
      <c r="D183" s="30" t="s">
        <v>1166</v>
      </c>
      <c r="E183" s="30">
        <v>240</v>
      </c>
      <c r="F183" s="30">
        <v>335</v>
      </c>
      <c r="G183" s="30">
        <v>95</v>
      </c>
      <c r="H183" s="30">
        <v>120</v>
      </c>
      <c r="I183" s="30">
        <v>11400</v>
      </c>
    </row>
    <row r="184" spans="2:9" x14ac:dyDescent="0.3">
      <c r="B184" s="43" t="s">
        <v>1158</v>
      </c>
      <c r="C184" s="30" t="s">
        <v>9</v>
      </c>
      <c r="D184" s="30" t="s">
        <v>1165</v>
      </c>
      <c r="E184" s="30">
        <v>250</v>
      </c>
      <c r="F184" s="30">
        <v>420</v>
      </c>
      <c r="G184" s="30">
        <v>170</v>
      </c>
      <c r="H184" s="30">
        <v>120</v>
      </c>
      <c r="I184" s="30">
        <v>20400</v>
      </c>
    </row>
    <row r="185" spans="2:9" x14ac:dyDescent="0.3">
      <c r="B185" s="43" t="s">
        <v>1159</v>
      </c>
      <c r="C185" s="30" t="s">
        <v>11</v>
      </c>
      <c r="D185" s="30" t="s">
        <v>1174</v>
      </c>
      <c r="E185" s="30">
        <v>170</v>
      </c>
      <c r="F185" s="30">
        <v>200</v>
      </c>
      <c r="G185" s="30">
        <v>30</v>
      </c>
      <c r="H185" s="30">
        <v>120</v>
      </c>
      <c r="I185" s="30">
        <v>3600</v>
      </c>
    </row>
    <row r="186" spans="2:9" x14ac:dyDescent="0.3">
      <c r="B186" s="43" t="s">
        <v>1167</v>
      </c>
      <c r="C186" s="30" t="s">
        <v>9</v>
      </c>
      <c r="D186" s="30" t="s">
        <v>1154</v>
      </c>
      <c r="E186" s="30">
        <v>165</v>
      </c>
      <c r="F186" s="30">
        <v>180</v>
      </c>
      <c r="G186" s="30">
        <v>15</v>
      </c>
      <c r="H186" s="30">
        <v>120</v>
      </c>
      <c r="I186" s="30">
        <v>1800</v>
      </c>
    </row>
    <row r="187" spans="2:9" x14ac:dyDescent="0.3">
      <c r="B187" s="43" t="s">
        <v>1168</v>
      </c>
      <c r="C187" s="30" t="s">
        <v>9</v>
      </c>
      <c r="D187" s="30" t="s">
        <v>1154</v>
      </c>
      <c r="E187" s="30">
        <v>170</v>
      </c>
      <c r="F187" s="30">
        <v>110</v>
      </c>
      <c r="G187" s="30">
        <v>-60</v>
      </c>
      <c r="H187" s="30">
        <v>120</v>
      </c>
      <c r="I187" s="30">
        <v>-7200</v>
      </c>
    </row>
    <row r="188" spans="2:9" x14ac:dyDescent="0.3">
      <c r="B188" s="87" t="s">
        <v>1169</v>
      </c>
      <c r="C188" s="30" t="s">
        <v>9</v>
      </c>
      <c r="D188" s="30" t="s">
        <v>1154</v>
      </c>
      <c r="E188" s="30">
        <v>120</v>
      </c>
      <c r="F188" s="30">
        <v>60</v>
      </c>
      <c r="G188" s="30">
        <v>-60</v>
      </c>
      <c r="H188" s="30">
        <v>120</v>
      </c>
      <c r="I188" s="30">
        <v>-7200</v>
      </c>
    </row>
    <row r="189" spans="2:9" x14ac:dyDescent="0.3">
      <c r="B189" s="43" t="s">
        <v>1170</v>
      </c>
      <c r="C189" s="30" t="s">
        <v>9</v>
      </c>
      <c r="D189" s="30" t="s">
        <v>1155</v>
      </c>
      <c r="E189" s="30">
        <v>330</v>
      </c>
      <c r="F189" s="30">
        <v>360</v>
      </c>
      <c r="G189" s="30">
        <v>30</v>
      </c>
      <c r="H189" s="30">
        <v>120</v>
      </c>
      <c r="I189" s="30">
        <v>3600</v>
      </c>
    </row>
    <row r="193" spans="9:9" ht="18" x14ac:dyDescent="0.35">
      <c r="I193" s="72">
        <v>84600</v>
      </c>
    </row>
  </sheetData>
  <mergeCells count="5">
    <mergeCell ref="B1:I1"/>
    <mergeCell ref="B2:I2"/>
    <mergeCell ref="B3:I3"/>
    <mergeCell ref="B149:I149"/>
    <mergeCell ref="B175:I175"/>
  </mergeCells>
  <hyperlinks>
    <hyperlink ref="K2" location="'MASTER '!A1" display="Back" xr:uid="{00000000-0004-0000-2100-000000000000}"/>
  </hyperlinks>
  <pageMargins left="0.7" right="0.7" top="0.75" bottom="0.75" header="0.3" footer="0.3"/>
  <ignoredErrors>
    <ignoredError sqref="E6:G17 E53:I54 E78:I78 E102:G102 E117:G121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198"/>
  <sheetViews>
    <sheetView topLeftCell="B1" workbookViewId="0">
      <selection activeCell="K2" sqref="K2"/>
    </sheetView>
  </sheetViews>
  <sheetFormatPr defaultColWidth="9.109375" defaultRowHeight="14.4" x14ac:dyDescent="0.3"/>
  <cols>
    <col min="2" max="2" width="14.44140625" customWidth="1"/>
    <col min="3" max="3" width="13.6640625" customWidth="1"/>
    <col min="4" max="4" width="23" customWidth="1"/>
    <col min="5" max="5" width="13.5546875" bestFit="1" customWidth="1"/>
    <col min="6" max="6" width="12.5546875" customWidth="1"/>
    <col min="7" max="7" width="13.109375" customWidth="1"/>
    <col min="8" max="8" width="13.33203125" customWidth="1"/>
    <col min="9" max="9" width="12.5546875" customWidth="1"/>
    <col min="11" max="11" width="18.44140625" customWidth="1"/>
    <col min="12" max="12" width="13.44140625" customWidth="1"/>
    <col min="13" max="13" width="13.109375" customWidth="1"/>
    <col min="14" max="14" width="13.44140625" customWidth="1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10"/>
      <c r="L1" s="10"/>
      <c r="M1" s="10"/>
      <c r="N1" s="10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  <c r="L2" s="10"/>
      <c r="M2" s="10"/>
      <c r="N2" s="10"/>
    </row>
    <row r="3" spans="1:15" ht="15.6" x14ac:dyDescent="0.3">
      <c r="A3" s="11"/>
      <c r="B3" s="284" t="s">
        <v>1178</v>
      </c>
      <c r="C3" s="284"/>
      <c r="D3" s="284"/>
      <c r="E3" s="284"/>
      <c r="F3" s="284"/>
      <c r="G3" s="284"/>
      <c r="H3" s="284"/>
      <c r="I3" s="284"/>
      <c r="J3" s="11"/>
      <c r="K3" s="66" t="s">
        <v>453</v>
      </c>
      <c r="L3" s="67" t="s">
        <v>448</v>
      </c>
      <c r="M3" s="67" t="s">
        <v>454</v>
      </c>
      <c r="N3" s="67" t="s">
        <v>455</v>
      </c>
      <c r="O3" s="67" t="s">
        <v>456</v>
      </c>
    </row>
    <row r="4" spans="1:15" ht="15.6" x14ac:dyDescent="0.3">
      <c r="A4" s="12"/>
      <c r="B4" s="48" t="s">
        <v>33</v>
      </c>
      <c r="C4" s="48"/>
      <c r="D4" s="48"/>
      <c r="E4" s="48"/>
      <c r="F4" s="48"/>
      <c r="G4" s="48"/>
      <c r="H4" s="48"/>
      <c r="I4" s="48"/>
      <c r="J4" s="12"/>
      <c r="K4" s="66"/>
      <c r="L4" s="67"/>
      <c r="M4" s="67"/>
      <c r="N4" s="67"/>
      <c r="O4" s="67"/>
    </row>
    <row r="5" spans="1:15" x14ac:dyDescent="0.3">
      <c r="A5" s="12"/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J5" s="12"/>
      <c r="K5" s="16" t="s">
        <v>449</v>
      </c>
      <c r="L5" s="30">
        <v>42</v>
      </c>
      <c r="M5" s="30">
        <v>33</v>
      </c>
      <c r="N5" s="30">
        <v>9</v>
      </c>
      <c r="O5" s="30">
        <v>0</v>
      </c>
    </row>
    <row r="6" spans="1:15" x14ac:dyDescent="0.3">
      <c r="A6" s="12"/>
      <c r="B6" s="43">
        <v>42371</v>
      </c>
      <c r="C6" s="2" t="s">
        <v>11</v>
      </c>
      <c r="D6" s="2" t="s">
        <v>250</v>
      </c>
      <c r="E6" s="90" t="s">
        <v>658</v>
      </c>
      <c r="F6" s="91" t="s">
        <v>1111</v>
      </c>
      <c r="G6" s="91" t="s">
        <v>490</v>
      </c>
      <c r="H6" s="92">
        <v>239</v>
      </c>
      <c r="I6" s="93">
        <v>5397</v>
      </c>
      <c r="J6" s="12"/>
      <c r="K6" s="16"/>
      <c r="L6" s="30"/>
      <c r="M6" s="30"/>
      <c r="N6" s="30"/>
      <c r="O6" s="30"/>
    </row>
    <row r="7" spans="1:15" x14ac:dyDescent="0.3">
      <c r="A7" s="12"/>
      <c r="B7" s="43">
        <v>42371</v>
      </c>
      <c r="C7" s="2" t="s">
        <v>8</v>
      </c>
      <c r="D7" s="2" t="s">
        <v>109</v>
      </c>
      <c r="E7" s="41" t="s">
        <v>1179</v>
      </c>
      <c r="F7" s="40" t="s">
        <v>1180</v>
      </c>
      <c r="G7" s="40" t="s">
        <v>1181</v>
      </c>
      <c r="H7" s="5">
        <v>244</v>
      </c>
      <c r="I7" s="81">
        <v>5368</v>
      </c>
      <c r="J7" s="12"/>
      <c r="K7" s="16" t="s">
        <v>450</v>
      </c>
      <c r="L7" s="30">
        <v>21</v>
      </c>
      <c r="M7" s="30">
        <v>19</v>
      </c>
      <c r="N7" s="30">
        <v>2</v>
      </c>
      <c r="O7" s="30">
        <v>0</v>
      </c>
    </row>
    <row r="8" spans="1:15" x14ac:dyDescent="0.3">
      <c r="A8" s="12"/>
      <c r="B8" s="43">
        <v>42402</v>
      </c>
      <c r="C8" s="2" t="s">
        <v>9</v>
      </c>
      <c r="D8" s="2" t="s">
        <v>250</v>
      </c>
      <c r="E8" s="41" t="s">
        <v>1182</v>
      </c>
      <c r="F8" s="40" t="s">
        <v>1183</v>
      </c>
      <c r="G8" s="40" t="s">
        <v>997</v>
      </c>
      <c r="H8" s="5">
        <v>235</v>
      </c>
      <c r="I8" s="81">
        <v>940</v>
      </c>
      <c r="J8" s="12"/>
      <c r="K8" s="16"/>
      <c r="L8" s="30"/>
      <c r="M8" s="30"/>
      <c r="N8" s="30"/>
      <c r="O8" s="30"/>
    </row>
    <row r="9" spans="1:15" x14ac:dyDescent="0.3">
      <c r="A9" s="12"/>
      <c r="B9" s="43">
        <v>42402</v>
      </c>
      <c r="C9" s="2" t="s">
        <v>8</v>
      </c>
      <c r="D9" s="2" t="s">
        <v>139</v>
      </c>
      <c r="E9" s="41" t="s">
        <v>993</v>
      </c>
      <c r="F9" s="40" t="s">
        <v>1184</v>
      </c>
      <c r="G9" s="40" t="s">
        <v>925</v>
      </c>
      <c r="H9" s="5">
        <v>391</v>
      </c>
      <c r="I9" s="81">
        <v>1955</v>
      </c>
      <c r="J9" s="12"/>
      <c r="K9" s="16" t="s">
        <v>451</v>
      </c>
      <c r="L9" s="30">
        <v>21</v>
      </c>
      <c r="M9" s="30">
        <v>19</v>
      </c>
      <c r="N9" s="30">
        <v>2</v>
      </c>
      <c r="O9" s="30">
        <v>0</v>
      </c>
    </row>
    <row r="10" spans="1:15" x14ac:dyDescent="0.3">
      <c r="A10" s="12"/>
      <c r="B10" s="43">
        <v>42431</v>
      </c>
      <c r="C10" s="2" t="s">
        <v>9</v>
      </c>
      <c r="D10" s="2" t="s">
        <v>139</v>
      </c>
      <c r="E10" s="41" t="s">
        <v>1185</v>
      </c>
      <c r="F10" s="40" t="s">
        <v>1186</v>
      </c>
      <c r="G10" s="40" t="s">
        <v>489</v>
      </c>
      <c r="H10" s="5">
        <v>396</v>
      </c>
      <c r="I10" s="81">
        <v>6732</v>
      </c>
      <c r="J10" s="12"/>
      <c r="K10" s="16"/>
      <c r="L10" s="10"/>
      <c r="M10" s="30"/>
      <c r="N10" s="30"/>
      <c r="O10" s="30"/>
    </row>
    <row r="11" spans="1:15" x14ac:dyDescent="0.3">
      <c r="A11" s="12"/>
      <c r="B11" s="43">
        <v>42431</v>
      </c>
      <c r="C11" s="2" t="s">
        <v>8</v>
      </c>
      <c r="D11" s="2" t="s">
        <v>1109</v>
      </c>
      <c r="E11" s="41" t="s">
        <v>1187</v>
      </c>
      <c r="F11" s="40" t="s">
        <v>1188</v>
      </c>
      <c r="G11" s="40" t="s">
        <v>1011</v>
      </c>
      <c r="H11" s="5">
        <v>301</v>
      </c>
      <c r="I11" s="81">
        <v>2107</v>
      </c>
      <c r="J11" s="12"/>
      <c r="K11" s="16" t="s">
        <v>1176</v>
      </c>
      <c r="L11" s="30">
        <v>21</v>
      </c>
      <c r="M11" s="30">
        <v>18</v>
      </c>
      <c r="N11" s="30">
        <v>3</v>
      </c>
      <c r="O11" s="30">
        <v>0</v>
      </c>
    </row>
    <row r="12" spans="1:15" x14ac:dyDescent="0.3">
      <c r="A12" s="12"/>
      <c r="B12" s="43">
        <v>42462</v>
      </c>
      <c r="C12" s="2" t="s">
        <v>9</v>
      </c>
      <c r="D12" s="2" t="s">
        <v>250</v>
      </c>
      <c r="E12" s="41" t="s">
        <v>599</v>
      </c>
      <c r="F12" s="40" t="s">
        <v>1189</v>
      </c>
      <c r="G12" s="40" t="s">
        <v>1025</v>
      </c>
      <c r="H12" s="5">
        <v>237</v>
      </c>
      <c r="I12" s="81">
        <v>2370</v>
      </c>
      <c r="J12" s="12"/>
      <c r="K12" s="10"/>
      <c r="L12" s="30"/>
      <c r="M12" s="30"/>
      <c r="N12" s="30"/>
      <c r="O12" s="30"/>
    </row>
    <row r="13" spans="1:15" x14ac:dyDescent="0.3">
      <c r="A13" s="12"/>
      <c r="B13" s="43">
        <v>42462</v>
      </c>
      <c r="C13" s="2" t="s">
        <v>8</v>
      </c>
      <c r="D13" s="2" t="s">
        <v>814</v>
      </c>
      <c r="E13" s="41" t="s">
        <v>1190</v>
      </c>
      <c r="F13" s="40" t="s">
        <v>1191</v>
      </c>
      <c r="G13" s="40" t="s">
        <v>1192</v>
      </c>
      <c r="H13" s="5">
        <v>349</v>
      </c>
      <c r="I13" s="81">
        <v>4537</v>
      </c>
      <c r="J13" s="12"/>
      <c r="K13" s="16" t="s">
        <v>41</v>
      </c>
      <c r="L13" s="30">
        <v>21</v>
      </c>
      <c r="M13" s="30">
        <v>19</v>
      </c>
      <c r="N13" s="30">
        <v>1</v>
      </c>
      <c r="O13" s="30">
        <v>1</v>
      </c>
    </row>
    <row r="14" spans="1:15" x14ac:dyDescent="0.3">
      <c r="A14" s="12"/>
      <c r="B14" s="43">
        <v>42492</v>
      </c>
      <c r="C14" s="2" t="s">
        <v>9</v>
      </c>
      <c r="D14" s="2" t="s">
        <v>250</v>
      </c>
      <c r="E14" s="41" t="s">
        <v>1193</v>
      </c>
      <c r="F14" s="40" t="s">
        <v>1194</v>
      </c>
      <c r="G14" s="40" t="s">
        <v>997</v>
      </c>
      <c r="H14" s="5">
        <v>236</v>
      </c>
      <c r="I14" s="81">
        <v>944</v>
      </c>
      <c r="J14" s="12"/>
      <c r="K14" s="16"/>
      <c r="L14" s="30"/>
      <c r="M14" s="30"/>
      <c r="N14" s="30"/>
      <c r="O14" s="30"/>
    </row>
    <row r="15" spans="1:15" x14ac:dyDescent="0.3">
      <c r="A15" s="12"/>
      <c r="B15" s="43">
        <v>42492</v>
      </c>
      <c r="C15" s="2" t="s">
        <v>8</v>
      </c>
      <c r="D15" s="2" t="s">
        <v>1195</v>
      </c>
      <c r="E15" s="41" t="s">
        <v>1196</v>
      </c>
      <c r="F15" s="40" t="s">
        <v>1197</v>
      </c>
      <c r="G15" s="40" t="s">
        <v>489</v>
      </c>
      <c r="H15" s="5">
        <v>381</v>
      </c>
      <c r="I15" s="81">
        <v>6477</v>
      </c>
      <c r="J15" s="12"/>
      <c r="K15" s="16" t="s">
        <v>1090</v>
      </c>
      <c r="L15" s="30">
        <v>20</v>
      </c>
      <c r="M15" s="30">
        <v>19</v>
      </c>
      <c r="N15" s="30">
        <v>1</v>
      </c>
      <c r="O15" s="30">
        <v>0</v>
      </c>
    </row>
    <row r="16" spans="1:15" x14ac:dyDescent="0.3">
      <c r="A16" s="12"/>
      <c r="B16" s="43">
        <v>42584</v>
      </c>
      <c r="C16" s="2" t="s">
        <v>9</v>
      </c>
      <c r="D16" s="2" t="s">
        <v>250</v>
      </c>
      <c r="E16" s="41" t="s">
        <v>633</v>
      </c>
      <c r="F16" s="40" t="s">
        <v>1214</v>
      </c>
      <c r="G16" s="40" t="s">
        <v>961</v>
      </c>
      <c r="H16" s="5">
        <v>234</v>
      </c>
      <c r="I16" s="81">
        <v>5850</v>
      </c>
      <c r="J16" s="12"/>
      <c r="K16" s="16"/>
      <c r="L16" s="30"/>
      <c r="M16" s="30"/>
      <c r="N16" s="30"/>
      <c r="O16" s="30"/>
    </row>
    <row r="17" spans="1:15" x14ac:dyDescent="0.3">
      <c r="A17" s="12"/>
      <c r="B17" s="43">
        <v>42584</v>
      </c>
      <c r="C17" s="2" t="s">
        <v>8</v>
      </c>
      <c r="D17" s="2" t="s">
        <v>109</v>
      </c>
      <c r="E17" s="41" t="s">
        <v>816</v>
      </c>
      <c r="F17" s="40" t="s">
        <v>1215</v>
      </c>
      <c r="G17" s="40" t="s">
        <v>961</v>
      </c>
      <c r="H17" s="5">
        <v>244</v>
      </c>
      <c r="I17" s="81">
        <v>6100</v>
      </c>
      <c r="J17" s="12"/>
      <c r="K17" s="16" t="s">
        <v>1175</v>
      </c>
      <c r="L17" s="30">
        <v>21</v>
      </c>
      <c r="M17" s="30">
        <v>17</v>
      </c>
      <c r="N17" s="30">
        <v>3</v>
      </c>
      <c r="O17" s="30">
        <v>1</v>
      </c>
    </row>
    <row r="18" spans="1:15" x14ac:dyDescent="0.3">
      <c r="A18" s="12"/>
      <c r="B18" s="43">
        <v>42615</v>
      </c>
      <c r="C18" s="2" t="s">
        <v>9</v>
      </c>
      <c r="D18" s="28" t="s">
        <v>19</v>
      </c>
      <c r="E18" s="30">
        <v>170</v>
      </c>
      <c r="F18" s="30">
        <v>172</v>
      </c>
      <c r="G18" s="30">
        <v>2</v>
      </c>
      <c r="H18" s="5">
        <v>1765</v>
      </c>
      <c r="I18" s="81">
        <v>3530</v>
      </c>
      <c r="J18" s="12"/>
      <c r="K18" s="16"/>
      <c r="L18" s="30"/>
      <c r="M18" s="30"/>
      <c r="N18" s="30"/>
      <c r="O18" s="30"/>
    </row>
    <row r="19" spans="1:15" x14ac:dyDescent="0.3">
      <c r="A19" s="12"/>
      <c r="B19" s="43">
        <v>42615</v>
      </c>
      <c r="C19" s="2" t="s">
        <v>8</v>
      </c>
      <c r="D19" s="28" t="s">
        <v>129</v>
      </c>
      <c r="E19" s="30">
        <v>1148</v>
      </c>
      <c r="F19" s="30">
        <v>1141</v>
      </c>
      <c r="G19" s="30">
        <v>7</v>
      </c>
      <c r="H19" s="5">
        <v>261</v>
      </c>
      <c r="I19" s="81">
        <v>1827</v>
      </c>
      <c r="J19" s="12"/>
      <c r="K19" s="16" t="s">
        <v>946</v>
      </c>
      <c r="L19" s="21">
        <v>167</v>
      </c>
      <c r="M19" s="21">
        <v>144</v>
      </c>
      <c r="N19" s="21">
        <v>21</v>
      </c>
      <c r="O19" s="21">
        <v>2</v>
      </c>
    </row>
    <row r="20" spans="1:15" x14ac:dyDescent="0.3">
      <c r="A20" s="12"/>
      <c r="B20" s="43">
        <v>42645</v>
      </c>
      <c r="C20" s="2" t="s">
        <v>9</v>
      </c>
      <c r="D20" s="28" t="s">
        <v>290</v>
      </c>
      <c r="E20" s="30">
        <v>286</v>
      </c>
      <c r="F20" s="30">
        <v>282</v>
      </c>
      <c r="G20" s="30">
        <v>-4</v>
      </c>
      <c r="H20" s="5">
        <v>1049</v>
      </c>
      <c r="I20" s="81">
        <v>-4196</v>
      </c>
      <c r="J20" s="12"/>
      <c r="K20" s="10"/>
      <c r="L20" s="16"/>
      <c r="M20" s="10"/>
      <c r="N20" s="10"/>
    </row>
    <row r="21" spans="1:15" x14ac:dyDescent="0.3">
      <c r="A21" s="12"/>
      <c r="B21" s="43">
        <v>42645</v>
      </c>
      <c r="C21" s="2" t="s">
        <v>8</v>
      </c>
      <c r="D21" s="28" t="s">
        <v>139</v>
      </c>
      <c r="E21" s="30">
        <v>737</v>
      </c>
      <c r="F21" s="30">
        <v>730</v>
      </c>
      <c r="G21" s="30">
        <v>7</v>
      </c>
      <c r="H21" s="5">
        <v>407</v>
      </c>
      <c r="I21" s="81">
        <v>2849</v>
      </c>
      <c r="J21" s="12"/>
      <c r="K21" s="10"/>
      <c r="L21" s="28"/>
      <c r="M21" s="30"/>
      <c r="N21" s="30"/>
    </row>
    <row r="22" spans="1:15" x14ac:dyDescent="0.3">
      <c r="A22" s="12"/>
      <c r="B22" s="43">
        <v>42676</v>
      </c>
      <c r="C22" s="2" t="s">
        <v>9</v>
      </c>
      <c r="D22" s="28" t="s">
        <v>106</v>
      </c>
      <c r="E22" s="30">
        <v>338</v>
      </c>
      <c r="F22" s="30">
        <v>334</v>
      </c>
      <c r="G22" s="30">
        <v>-4</v>
      </c>
      <c r="H22" s="5">
        <v>888</v>
      </c>
      <c r="I22" s="81">
        <v>-3552</v>
      </c>
      <c r="J22" s="12"/>
      <c r="K22" s="10"/>
      <c r="L22" s="68" t="s">
        <v>947</v>
      </c>
      <c r="M22" s="83"/>
      <c r="N22" s="85">
        <f>M19*100/L19</f>
        <v>86.227544910179645</v>
      </c>
    </row>
    <row r="23" spans="1:15" x14ac:dyDescent="0.3">
      <c r="A23" s="12"/>
      <c r="B23" s="43">
        <v>42676</v>
      </c>
      <c r="C23" s="2" t="s">
        <v>8</v>
      </c>
      <c r="D23" s="28" t="s">
        <v>129</v>
      </c>
      <c r="E23" s="30">
        <v>1105</v>
      </c>
      <c r="F23" s="30">
        <v>1080</v>
      </c>
      <c r="G23" s="30">
        <v>25</v>
      </c>
      <c r="H23" s="5">
        <v>271</v>
      </c>
      <c r="I23" s="81">
        <v>6775</v>
      </c>
      <c r="J23" s="12"/>
      <c r="K23" s="10"/>
      <c r="L23" s="49"/>
      <c r="M23" s="30"/>
      <c r="N23" s="30"/>
    </row>
    <row r="24" spans="1:15" x14ac:dyDescent="0.3">
      <c r="A24" s="12"/>
      <c r="B24" s="43">
        <v>42706</v>
      </c>
      <c r="C24" s="2" t="s">
        <v>9</v>
      </c>
      <c r="D24" s="28" t="s">
        <v>129</v>
      </c>
      <c r="E24" s="30">
        <v>1092</v>
      </c>
      <c r="F24" s="30">
        <v>1080</v>
      </c>
      <c r="G24" s="30">
        <v>-12</v>
      </c>
      <c r="H24" s="5">
        <v>275</v>
      </c>
      <c r="I24" s="81">
        <v>-3300</v>
      </c>
      <c r="J24" s="12"/>
    </row>
    <row r="25" spans="1:15" x14ac:dyDescent="0.3">
      <c r="A25" s="12"/>
      <c r="B25" s="43">
        <v>42706</v>
      </c>
      <c r="C25" s="2" t="s">
        <v>8</v>
      </c>
      <c r="D25" s="28" t="s">
        <v>139</v>
      </c>
      <c r="E25" s="30">
        <v>695</v>
      </c>
      <c r="F25" s="30">
        <v>705</v>
      </c>
      <c r="G25" s="30">
        <v>-10</v>
      </c>
      <c r="H25" s="5">
        <v>432</v>
      </c>
      <c r="I25" s="81">
        <v>-4320</v>
      </c>
      <c r="J25" s="12"/>
    </row>
    <row r="26" spans="1:15" x14ac:dyDescent="0.3">
      <c r="A26" s="12"/>
      <c r="B26" s="43" t="s">
        <v>1225</v>
      </c>
      <c r="C26" s="2" t="s">
        <v>9</v>
      </c>
      <c r="D26" s="28" t="s">
        <v>139</v>
      </c>
      <c r="E26" s="30">
        <v>750</v>
      </c>
      <c r="F26" s="30">
        <v>761</v>
      </c>
      <c r="G26" s="30">
        <v>11</v>
      </c>
      <c r="H26" s="5">
        <v>400</v>
      </c>
      <c r="I26" s="81">
        <v>4400</v>
      </c>
      <c r="J26" s="12"/>
    </row>
    <row r="27" spans="1:15" x14ac:dyDescent="0.3">
      <c r="A27" s="12"/>
      <c r="B27" s="43" t="s">
        <v>1225</v>
      </c>
      <c r="C27" s="2" t="s">
        <v>8</v>
      </c>
      <c r="D27" s="28" t="s">
        <v>129</v>
      </c>
      <c r="E27" s="30">
        <v>984</v>
      </c>
      <c r="F27" s="30">
        <v>971</v>
      </c>
      <c r="G27" s="30">
        <v>13</v>
      </c>
      <c r="H27" s="5">
        <v>305</v>
      </c>
      <c r="I27" s="81">
        <v>3965</v>
      </c>
      <c r="J27" s="12"/>
    </row>
    <row r="28" spans="1:15" x14ac:dyDescent="0.3">
      <c r="A28" s="12"/>
      <c r="B28" s="43" t="s">
        <v>1226</v>
      </c>
      <c r="C28" s="2" t="s">
        <v>9</v>
      </c>
      <c r="D28" s="28" t="s">
        <v>31</v>
      </c>
      <c r="E28" s="30">
        <v>955</v>
      </c>
      <c r="F28" s="30">
        <v>945</v>
      </c>
      <c r="G28" s="30">
        <v>-10</v>
      </c>
      <c r="H28" s="5">
        <v>314</v>
      </c>
      <c r="I28" s="81">
        <v>-3140</v>
      </c>
      <c r="J28" s="12"/>
    </row>
    <row r="29" spans="1:15" x14ac:dyDescent="0.3">
      <c r="A29" s="12"/>
      <c r="B29" s="43" t="s">
        <v>1226</v>
      </c>
      <c r="C29" s="2" t="s">
        <v>8</v>
      </c>
      <c r="D29" s="28" t="s">
        <v>60</v>
      </c>
      <c r="E29" s="30">
        <v>968</v>
      </c>
      <c r="F29" s="30">
        <v>963</v>
      </c>
      <c r="G29" s="30">
        <v>5</v>
      </c>
      <c r="H29" s="5">
        <v>310</v>
      </c>
      <c r="I29" s="81">
        <v>1550</v>
      </c>
      <c r="J29" s="12"/>
      <c r="K29" s="10"/>
      <c r="L29" s="49"/>
      <c r="M29" s="30"/>
      <c r="N29" s="30"/>
    </row>
    <row r="30" spans="1:15" x14ac:dyDescent="0.3">
      <c r="A30" s="12"/>
      <c r="B30" s="43" t="s">
        <v>1227</v>
      </c>
      <c r="C30" s="2" t="s">
        <v>9</v>
      </c>
      <c r="D30" s="102" t="s">
        <v>192</v>
      </c>
      <c r="E30" s="103">
        <v>167</v>
      </c>
      <c r="F30" s="103">
        <v>172</v>
      </c>
      <c r="G30" s="103">
        <v>5</v>
      </c>
      <c r="H30" s="104">
        <v>1796</v>
      </c>
      <c r="I30" s="105">
        <v>8980</v>
      </c>
      <c r="J30" s="12"/>
      <c r="K30" s="10"/>
      <c r="L30" s="49"/>
      <c r="M30" s="30"/>
      <c r="N30" s="30"/>
    </row>
    <row r="31" spans="1:15" x14ac:dyDescent="0.3">
      <c r="A31" s="12"/>
      <c r="B31" s="43" t="s">
        <v>1227</v>
      </c>
      <c r="C31" s="2" t="s">
        <v>8</v>
      </c>
      <c r="D31" s="28" t="s">
        <v>109</v>
      </c>
      <c r="E31" s="30">
        <v>1190</v>
      </c>
      <c r="F31" s="30">
        <v>1205</v>
      </c>
      <c r="G31" s="30">
        <v>-15</v>
      </c>
      <c r="H31" s="5">
        <v>252</v>
      </c>
      <c r="I31" s="81">
        <v>-3780</v>
      </c>
      <c r="J31" s="12"/>
      <c r="K31" s="10"/>
      <c r="L31" s="16"/>
      <c r="M31" s="10"/>
      <c r="N31" s="10"/>
    </row>
    <row r="32" spans="1:15" x14ac:dyDescent="0.3">
      <c r="A32" s="12"/>
      <c r="B32" s="43" t="s">
        <v>1228</v>
      </c>
      <c r="C32" s="2" t="s">
        <v>9</v>
      </c>
      <c r="D32" s="28" t="s">
        <v>250</v>
      </c>
      <c r="E32" s="30">
        <v>1248</v>
      </c>
      <c r="F32" s="30">
        <v>1258</v>
      </c>
      <c r="G32" s="30">
        <v>10</v>
      </c>
      <c r="H32" s="5">
        <v>240</v>
      </c>
      <c r="I32" s="81">
        <v>2400</v>
      </c>
      <c r="J32" s="12"/>
      <c r="K32" s="10"/>
      <c r="L32" s="16"/>
      <c r="M32" s="10"/>
      <c r="N32" s="10"/>
    </row>
    <row r="33" spans="1:14" x14ac:dyDescent="0.3">
      <c r="A33" s="12"/>
      <c r="B33" s="43" t="s">
        <v>1228</v>
      </c>
      <c r="C33" s="2" t="s">
        <v>8</v>
      </c>
      <c r="D33" s="30" t="s">
        <v>192</v>
      </c>
      <c r="E33" s="30">
        <v>174</v>
      </c>
      <c r="F33" s="30">
        <v>169</v>
      </c>
      <c r="G33" s="30">
        <v>5</v>
      </c>
      <c r="H33" s="5">
        <v>1724</v>
      </c>
      <c r="I33" s="81">
        <v>8620</v>
      </c>
      <c r="J33" s="12"/>
      <c r="K33" s="10"/>
      <c r="L33" s="41"/>
      <c r="M33" s="10"/>
      <c r="N33" s="10"/>
    </row>
    <row r="34" spans="1:14" x14ac:dyDescent="0.3">
      <c r="A34" s="12"/>
      <c r="B34" s="43" t="s">
        <v>1229</v>
      </c>
      <c r="C34" s="2" t="s">
        <v>9</v>
      </c>
      <c r="D34" s="30" t="s">
        <v>109</v>
      </c>
      <c r="E34" s="30">
        <v>1238</v>
      </c>
      <c r="F34" s="30">
        <v>1246</v>
      </c>
      <c r="G34" s="30">
        <v>8</v>
      </c>
      <c r="H34" s="5">
        <v>242</v>
      </c>
      <c r="I34" s="81">
        <v>1936</v>
      </c>
      <c r="J34" s="12"/>
      <c r="K34" s="10"/>
      <c r="L34" s="41"/>
      <c r="M34" s="10"/>
      <c r="N34" s="10"/>
    </row>
    <row r="35" spans="1:14" x14ac:dyDescent="0.3">
      <c r="A35" s="12"/>
      <c r="B35" s="43" t="s">
        <v>1229</v>
      </c>
      <c r="C35" s="2" t="s">
        <v>8</v>
      </c>
      <c r="D35" s="30" t="s">
        <v>139</v>
      </c>
      <c r="E35" s="30">
        <v>718</v>
      </c>
      <c r="F35" s="30">
        <v>710</v>
      </c>
      <c r="G35" s="30">
        <v>8</v>
      </c>
      <c r="H35" s="5">
        <v>418</v>
      </c>
      <c r="I35" s="81">
        <v>3344</v>
      </c>
      <c r="J35" s="12"/>
      <c r="K35" s="10"/>
      <c r="L35" s="10"/>
      <c r="M35" s="30"/>
      <c r="N35" s="10"/>
    </row>
    <row r="36" spans="1:14" x14ac:dyDescent="0.3">
      <c r="A36" s="12"/>
      <c r="B36" s="43" t="s">
        <v>1244</v>
      </c>
      <c r="C36" s="2" t="s">
        <v>9</v>
      </c>
      <c r="D36" s="30" t="s">
        <v>137</v>
      </c>
      <c r="E36" s="30">
        <v>845</v>
      </c>
      <c r="F36" s="30">
        <v>865</v>
      </c>
      <c r="G36" s="30">
        <v>20</v>
      </c>
      <c r="H36" s="5">
        <v>355</v>
      </c>
      <c r="I36" s="81">
        <v>7100</v>
      </c>
      <c r="J36" s="12"/>
      <c r="K36" s="10"/>
      <c r="L36" s="10"/>
      <c r="M36" s="30"/>
      <c r="N36" s="10"/>
    </row>
    <row r="37" spans="1:14" x14ac:dyDescent="0.3">
      <c r="A37" s="12"/>
      <c r="B37" s="43" t="s">
        <v>1244</v>
      </c>
      <c r="C37" s="2" t="s">
        <v>8</v>
      </c>
      <c r="D37" s="30" t="s">
        <v>192</v>
      </c>
      <c r="E37" s="30">
        <v>170.5</v>
      </c>
      <c r="F37" s="30">
        <v>167.5</v>
      </c>
      <c r="G37" s="30">
        <v>3</v>
      </c>
      <c r="H37" s="5">
        <v>1760</v>
      </c>
      <c r="I37" s="81">
        <v>5280</v>
      </c>
      <c r="J37" s="12"/>
      <c r="K37" s="10"/>
      <c r="L37" s="10"/>
      <c r="M37" s="30"/>
      <c r="N37" s="10"/>
    </row>
    <row r="38" spans="1:14" x14ac:dyDescent="0.3">
      <c r="A38" s="12"/>
      <c r="B38" s="43" t="s">
        <v>1245</v>
      </c>
      <c r="C38" s="2" t="s">
        <v>9</v>
      </c>
      <c r="D38" s="30" t="s">
        <v>25</v>
      </c>
      <c r="E38" s="30">
        <v>259</v>
      </c>
      <c r="F38" s="30">
        <v>255</v>
      </c>
      <c r="G38" s="30">
        <v>-4</v>
      </c>
      <c r="H38" s="5">
        <v>1158</v>
      </c>
      <c r="I38" s="81">
        <v>-4632</v>
      </c>
      <c r="J38" s="12"/>
      <c r="K38" s="10"/>
      <c r="L38" s="10"/>
      <c r="M38" s="30"/>
      <c r="N38" s="10"/>
    </row>
    <row r="39" spans="1:14" x14ac:dyDescent="0.3">
      <c r="A39" s="12"/>
      <c r="B39" s="87" t="s">
        <v>1245</v>
      </c>
      <c r="C39" s="2" t="s">
        <v>8</v>
      </c>
      <c r="D39" s="30" t="s">
        <v>137</v>
      </c>
      <c r="E39" s="30">
        <v>845</v>
      </c>
      <c r="F39" s="30">
        <v>836</v>
      </c>
      <c r="G39" s="30">
        <v>9</v>
      </c>
      <c r="H39" s="5">
        <v>355</v>
      </c>
      <c r="I39" s="81">
        <v>3195</v>
      </c>
      <c r="J39" s="12"/>
      <c r="K39" s="10"/>
      <c r="L39" s="10"/>
      <c r="M39" s="30"/>
      <c r="N39" s="10"/>
    </row>
    <row r="40" spans="1:14" x14ac:dyDescent="0.3">
      <c r="A40" s="12"/>
      <c r="B40" s="43" t="s">
        <v>1246</v>
      </c>
      <c r="C40" s="2" t="s">
        <v>9</v>
      </c>
      <c r="D40" s="30" t="s">
        <v>192</v>
      </c>
      <c r="E40" s="30">
        <v>164</v>
      </c>
      <c r="F40" s="30">
        <v>167</v>
      </c>
      <c r="G40" s="30">
        <v>3</v>
      </c>
      <c r="H40" s="5">
        <v>1829</v>
      </c>
      <c r="I40" s="81">
        <v>5487</v>
      </c>
      <c r="J40" s="12"/>
      <c r="K40" s="10"/>
      <c r="L40" s="10"/>
      <c r="M40" s="30"/>
      <c r="N40" s="10"/>
    </row>
    <row r="41" spans="1:14" x14ac:dyDescent="0.3">
      <c r="A41" s="12"/>
      <c r="B41" s="43" t="s">
        <v>1246</v>
      </c>
      <c r="C41" s="2" t="s">
        <v>8</v>
      </c>
      <c r="D41" s="30" t="s">
        <v>129</v>
      </c>
      <c r="E41" s="30">
        <v>1040</v>
      </c>
      <c r="F41" s="30">
        <v>1019</v>
      </c>
      <c r="G41" s="30">
        <v>21</v>
      </c>
      <c r="H41" s="5">
        <v>288</v>
      </c>
      <c r="I41" s="81">
        <v>6048</v>
      </c>
      <c r="J41" s="12"/>
      <c r="K41" s="10"/>
      <c r="L41" s="10"/>
      <c r="M41" s="30"/>
      <c r="N41" s="10"/>
    </row>
    <row r="42" spans="1:14" x14ac:dyDescent="0.3">
      <c r="A42" s="12"/>
      <c r="B42" s="43" t="s">
        <v>1247</v>
      </c>
      <c r="C42" s="30" t="s">
        <v>9</v>
      </c>
      <c r="D42" s="103" t="s">
        <v>192</v>
      </c>
      <c r="E42" s="103">
        <v>165</v>
      </c>
      <c r="F42" s="103">
        <v>162</v>
      </c>
      <c r="G42" s="103">
        <v>-3</v>
      </c>
      <c r="H42" s="104">
        <v>1818</v>
      </c>
      <c r="I42" s="105">
        <v>-5454</v>
      </c>
      <c r="J42" s="12"/>
      <c r="K42" s="10"/>
      <c r="L42" s="10"/>
      <c r="M42" s="30"/>
      <c r="N42" s="10"/>
    </row>
    <row r="43" spans="1:14" x14ac:dyDescent="0.3">
      <c r="A43" s="12"/>
      <c r="B43" s="87" t="s">
        <v>1247</v>
      </c>
      <c r="C43" s="2" t="s">
        <v>8</v>
      </c>
      <c r="D43" s="28" t="s">
        <v>139</v>
      </c>
      <c r="E43" s="30">
        <v>682</v>
      </c>
      <c r="F43" s="30">
        <v>667</v>
      </c>
      <c r="G43" s="30">
        <v>15</v>
      </c>
      <c r="H43" s="5">
        <v>440</v>
      </c>
      <c r="I43" s="81">
        <v>6600</v>
      </c>
      <c r="J43" s="12"/>
      <c r="K43" s="10"/>
      <c r="L43" s="10"/>
      <c r="M43" s="30"/>
      <c r="N43" s="10"/>
    </row>
    <row r="44" spans="1:14" x14ac:dyDescent="0.3">
      <c r="A44" s="12"/>
      <c r="B44" s="87" t="s">
        <v>1249</v>
      </c>
      <c r="C44" s="2" t="s">
        <v>9</v>
      </c>
      <c r="D44" s="28" t="s">
        <v>58</v>
      </c>
      <c r="E44" s="30">
        <v>386</v>
      </c>
      <c r="F44" s="30">
        <v>390</v>
      </c>
      <c r="G44" s="30">
        <v>4</v>
      </c>
      <c r="H44" s="30">
        <v>777</v>
      </c>
      <c r="I44" s="88">
        <v>3108</v>
      </c>
      <c r="J44" s="12"/>
      <c r="K44" s="10"/>
      <c r="L44" s="10"/>
      <c r="M44" s="30"/>
      <c r="N44" s="10"/>
    </row>
    <row r="45" spans="1:14" x14ac:dyDescent="0.3">
      <c r="A45" s="12"/>
      <c r="B45" s="87" t="s">
        <v>1249</v>
      </c>
      <c r="C45" s="2" t="s">
        <v>8</v>
      </c>
      <c r="D45" s="28" t="s">
        <v>98</v>
      </c>
      <c r="E45" s="30">
        <v>2250</v>
      </c>
      <c r="F45" s="30">
        <v>2232</v>
      </c>
      <c r="G45" s="30">
        <v>18</v>
      </c>
      <c r="H45" s="30">
        <v>133</v>
      </c>
      <c r="I45" s="30">
        <v>2394</v>
      </c>
      <c r="J45" s="12"/>
      <c r="K45" s="10"/>
      <c r="L45" s="10"/>
      <c r="M45" s="30"/>
      <c r="N45" s="10"/>
    </row>
    <row r="46" spans="1:14" x14ac:dyDescent="0.3">
      <c r="A46" s="12"/>
      <c r="B46" s="43" t="s">
        <v>1250</v>
      </c>
      <c r="C46" s="2" t="s">
        <v>9</v>
      </c>
      <c r="D46" s="28" t="s">
        <v>19</v>
      </c>
      <c r="E46" s="30">
        <v>160</v>
      </c>
      <c r="F46" s="30">
        <v>163</v>
      </c>
      <c r="G46" s="30">
        <v>3</v>
      </c>
      <c r="H46" s="30">
        <v>1875</v>
      </c>
      <c r="I46" s="94">
        <v>5625</v>
      </c>
      <c r="J46" s="12"/>
      <c r="K46" s="10"/>
      <c r="L46" s="10"/>
      <c r="M46" s="30"/>
      <c r="N46" s="10"/>
    </row>
    <row r="47" spans="1:14" x14ac:dyDescent="0.3">
      <c r="A47" s="12"/>
      <c r="B47" s="43" t="s">
        <v>1250</v>
      </c>
      <c r="C47" s="2" t="s">
        <v>8</v>
      </c>
      <c r="D47" s="30" t="s">
        <v>98</v>
      </c>
      <c r="E47" s="30">
        <v>2500</v>
      </c>
      <c r="F47" s="30">
        <v>2530</v>
      </c>
      <c r="G47" s="30">
        <v>-30</v>
      </c>
      <c r="H47" s="5">
        <v>120</v>
      </c>
      <c r="I47" s="81">
        <v>-3600</v>
      </c>
      <c r="J47" s="12"/>
      <c r="K47" s="10"/>
      <c r="L47" s="10"/>
      <c r="M47" s="30"/>
      <c r="N47" s="10"/>
    </row>
    <row r="48" spans="1:14" x14ac:dyDescent="0.3">
      <c r="A48" s="12"/>
      <c r="B48" s="43"/>
      <c r="C48" s="2"/>
      <c r="D48" s="30"/>
      <c r="E48" s="30"/>
      <c r="F48" s="30"/>
      <c r="G48" s="30"/>
      <c r="H48" s="5"/>
      <c r="I48" s="81"/>
      <c r="J48" s="12"/>
      <c r="K48" s="10"/>
      <c r="L48" s="10"/>
      <c r="M48" s="30"/>
      <c r="N48" s="10"/>
    </row>
    <row r="49" spans="1:14" x14ac:dyDescent="0.3">
      <c r="A49" s="12"/>
      <c r="B49" s="10"/>
      <c r="C49" s="2"/>
      <c r="D49" s="28"/>
      <c r="E49" s="30"/>
      <c r="F49" s="30"/>
      <c r="G49" s="30"/>
      <c r="H49" s="30"/>
      <c r="I49" s="95"/>
      <c r="J49" s="12"/>
      <c r="K49" s="10"/>
      <c r="L49" s="10"/>
      <c r="M49" s="30"/>
      <c r="N49" s="10"/>
    </row>
    <row r="50" spans="1:14" x14ac:dyDescent="0.3">
      <c r="A50" s="12"/>
      <c r="B50" s="10"/>
      <c r="C50" s="2"/>
      <c r="D50" s="28"/>
      <c r="E50" s="30"/>
      <c r="F50" s="30"/>
      <c r="G50" s="30"/>
      <c r="H50" s="30"/>
      <c r="I50" s="95">
        <v>107816</v>
      </c>
      <c r="J50" s="12"/>
      <c r="K50" s="10"/>
      <c r="L50" s="10"/>
      <c r="M50" s="30"/>
      <c r="N50" s="10"/>
    </row>
    <row r="51" spans="1:14" x14ac:dyDescent="0.3">
      <c r="A51" s="12"/>
      <c r="B51" s="10"/>
      <c r="C51" s="10"/>
      <c r="D51" s="10"/>
      <c r="E51" s="10"/>
      <c r="F51" s="10"/>
      <c r="G51" s="10"/>
      <c r="H51" s="10"/>
      <c r="I51" s="96"/>
      <c r="J51" s="12"/>
      <c r="K51" s="10"/>
      <c r="L51" s="10"/>
      <c r="M51" s="30"/>
      <c r="N51" s="10"/>
    </row>
    <row r="52" spans="1:14" ht="15.6" x14ac:dyDescent="0.3">
      <c r="A52" s="12"/>
      <c r="B52" s="48" t="s">
        <v>62</v>
      </c>
      <c r="C52" s="48"/>
      <c r="D52" s="48"/>
      <c r="E52" s="48"/>
      <c r="F52" s="48"/>
      <c r="G52" s="48"/>
      <c r="H52" s="48"/>
      <c r="I52" s="48"/>
      <c r="J52" s="12"/>
      <c r="K52" s="10"/>
      <c r="L52" s="10"/>
      <c r="M52" s="30"/>
      <c r="N52" s="10"/>
    </row>
    <row r="53" spans="1:14" x14ac:dyDescent="0.3">
      <c r="A53" s="12"/>
      <c r="B53" s="43">
        <v>42371</v>
      </c>
      <c r="C53" s="2" t="s">
        <v>8</v>
      </c>
      <c r="D53" s="2" t="s">
        <v>502</v>
      </c>
      <c r="E53" s="41" t="s">
        <v>1198</v>
      </c>
      <c r="F53" s="40" t="s">
        <v>1003</v>
      </c>
      <c r="G53" s="40" t="s">
        <v>1181</v>
      </c>
      <c r="H53" s="5">
        <v>600</v>
      </c>
      <c r="I53" s="40" t="s">
        <v>1199</v>
      </c>
      <c r="J53" s="12"/>
      <c r="K53" s="10"/>
      <c r="L53" s="10"/>
      <c r="M53" s="30"/>
      <c r="N53" s="10"/>
    </row>
    <row r="54" spans="1:14" x14ac:dyDescent="0.3">
      <c r="A54" s="12"/>
      <c r="B54" s="43">
        <v>42402</v>
      </c>
      <c r="C54" s="2" t="s">
        <v>8</v>
      </c>
      <c r="D54" s="2" t="s">
        <v>365</v>
      </c>
      <c r="E54" s="41" t="s">
        <v>1200</v>
      </c>
      <c r="F54" s="40" t="s">
        <v>1023</v>
      </c>
      <c r="G54" s="40" t="s">
        <v>961</v>
      </c>
      <c r="H54" s="5">
        <v>600</v>
      </c>
      <c r="I54" s="40" t="s">
        <v>1201</v>
      </c>
      <c r="J54" s="12"/>
      <c r="K54" s="10"/>
      <c r="L54" s="10"/>
      <c r="M54" s="10"/>
      <c r="N54" s="10"/>
    </row>
    <row r="55" spans="1:14" x14ac:dyDescent="0.3">
      <c r="A55" s="12"/>
      <c r="B55" s="43">
        <v>42431</v>
      </c>
      <c r="C55" s="30" t="s">
        <v>8</v>
      </c>
      <c r="D55" s="30" t="s">
        <v>78</v>
      </c>
      <c r="E55" s="30">
        <v>1100</v>
      </c>
      <c r="F55" s="30">
        <v>1115</v>
      </c>
      <c r="G55" s="30">
        <v>-15</v>
      </c>
      <c r="H55" s="30">
        <v>300</v>
      </c>
      <c r="I55" s="30">
        <v>-4500</v>
      </c>
      <c r="J55" s="12"/>
      <c r="K55" s="10"/>
      <c r="L55" s="10"/>
      <c r="M55" s="10"/>
      <c r="N55" s="10"/>
    </row>
    <row r="56" spans="1:14" x14ac:dyDescent="0.3">
      <c r="A56" s="12"/>
      <c r="B56" s="43">
        <v>42462</v>
      </c>
      <c r="C56" s="30" t="s">
        <v>8</v>
      </c>
      <c r="D56" s="30" t="s">
        <v>828</v>
      </c>
      <c r="E56" s="30">
        <v>895</v>
      </c>
      <c r="F56" s="30">
        <v>885</v>
      </c>
      <c r="G56" s="30">
        <v>10</v>
      </c>
      <c r="H56" s="30">
        <v>700</v>
      </c>
      <c r="I56" s="30">
        <v>7000</v>
      </c>
      <c r="J56" s="12"/>
      <c r="K56" s="10"/>
      <c r="L56" s="10"/>
      <c r="M56" s="10"/>
      <c r="N56" s="10"/>
    </row>
    <row r="57" spans="1:14" x14ac:dyDescent="0.3">
      <c r="A57" s="12"/>
      <c r="B57" s="43">
        <v>42492</v>
      </c>
      <c r="C57" s="30" t="s">
        <v>8</v>
      </c>
      <c r="D57" s="30" t="s">
        <v>175</v>
      </c>
      <c r="E57" s="30">
        <v>725</v>
      </c>
      <c r="F57" s="30">
        <v>735</v>
      </c>
      <c r="G57" s="30">
        <v>-10</v>
      </c>
      <c r="H57" s="30">
        <v>700</v>
      </c>
      <c r="I57" s="30">
        <v>-7000</v>
      </c>
      <c r="J57" s="12"/>
      <c r="K57" s="10"/>
      <c r="L57" s="10"/>
      <c r="M57" s="10"/>
      <c r="N57" s="10"/>
    </row>
    <row r="58" spans="1:14" x14ac:dyDescent="0.3">
      <c r="A58" s="12"/>
      <c r="B58" s="43">
        <v>42584</v>
      </c>
      <c r="C58" s="30" t="s">
        <v>8</v>
      </c>
      <c r="D58" s="30" t="s">
        <v>129</v>
      </c>
      <c r="E58" s="30">
        <v>1180</v>
      </c>
      <c r="F58" s="30">
        <v>1166</v>
      </c>
      <c r="G58" s="30">
        <v>14</v>
      </c>
      <c r="H58" s="30">
        <v>400</v>
      </c>
      <c r="I58" s="30">
        <v>5600</v>
      </c>
      <c r="J58" s="12"/>
      <c r="K58" s="10"/>
      <c r="L58" s="10"/>
      <c r="M58" s="10"/>
      <c r="N58" s="10"/>
    </row>
    <row r="59" spans="1:14" x14ac:dyDescent="0.3">
      <c r="A59" s="12"/>
      <c r="B59" s="43">
        <v>42615</v>
      </c>
      <c r="C59" s="30" t="s">
        <v>8</v>
      </c>
      <c r="D59" s="30" t="s">
        <v>250</v>
      </c>
      <c r="E59" s="30">
        <v>1282</v>
      </c>
      <c r="F59" s="30">
        <v>1288</v>
      </c>
      <c r="G59" s="30">
        <v>6</v>
      </c>
      <c r="H59" s="30">
        <v>375</v>
      </c>
      <c r="I59" s="30">
        <v>2250</v>
      </c>
      <c r="J59" s="12"/>
      <c r="K59" s="86"/>
      <c r="L59" s="10"/>
      <c r="M59" s="10"/>
      <c r="N59" s="10"/>
    </row>
    <row r="60" spans="1:14" x14ac:dyDescent="0.3">
      <c r="A60" s="12"/>
      <c r="B60" s="43">
        <v>42645</v>
      </c>
      <c r="C60" s="30" t="s">
        <v>8</v>
      </c>
      <c r="D60" s="30" t="s">
        <v>1216</v>
      </c>
      <c r="E60" s="30">
        <v>860</v>
      </c>
      <c r="F60" s="30">
        <v>840</v>
      </c>
      <c r="G60" s="30">
        <v>20</v>
      </c>
      <c r="H60" s="30">
        <v>600</v>
      </c>
      <c r="I60" s="30">
        <v>12000</v>
      </c>
      <c r="J60" s="12"/>
      <c r="K60" s="86"/>
      <c r="L60" s="10"/>
      <c r="M60" s="10"/>
      <c r="N60" s="10"/>
    </row>
    <row r="61" spans="1:14" x14ac:dyDescent="0.3">
      <c r="A61" s="12"/>
      <c r="B61" s="43">
        <v>42676</v>
      </c>
      <c r="C61" s="30" t="s">
        <v>8</v>
      </c>
      <c r="D61" s="30" t="s">
        <v>109</v>
      </c>
      <c r="E61" s="30">
        <v>1170</v>
      </c>
      <c r="F61" s="30">
        <v>1147</v>
      </c>
      <c r="G61" s="30">
        <v>23</v>
      </c>
      <c r="H61" s="30">
        <v>400</v>
      </c>
      <c r="I61" s="30">
        <v>9200</v>
      </c>
      <c r="J61" s="12"/>
      <c r="K61" s="86"/>
      <c r="L61" s="10"/>
      <c r="M61" s="10"/>
      <c r="N61" s="10"/>
    </row>
    <row r="62" spans="1:14" x14ac:dyDescent="0.3">
      <c r="A62" s="12"/>
      <c r="B62" s="43">
        <v>42706</v>
      </c>
      <c r="C62" s="30" t="s">
        <v>8</v>
      </c>
      <c r="D62" s="30" t="s">
        <v>95</v>
      </c>
      <c r="E62" s="30">
        <v>192</v>
      </c>
      <c r="F62" s="30">
        <v>190</v>
      </c>
      <c r="G62" s="30">
        <v>2</v>
      </c>
      <c r="H62" s="30">
        <v>1700</v>
      </c>
      <c r="I62" s="30">
        <v>3400</v>
      </c>
      <c r="J62" s="12"/>
      <c r="K62" s="86"/>
      <c r="L62" s="10"/>
      <c r="M62" s="10"/>
      <c r="N62" s="10"/>
    </row>
    <row r="63" spans="1:14" x14ac:dyDescent="0.3">
      <c r="A63" s="12"/>
      <c r="B63" s="43" t="s">
        <v>1225</v>
      </c>
      <c r="C63" s="30" t="s">
        <v>8</v>
      </c>
      <c r="D63" s="30" t="s">
        <v>109</v>
      </c>
      <c r="E63" s="30">
        <v>1205</v>
      </c>
      <c r="F63" s="30">
        <v>1225</v>
      </c>
      <c r="G63" s="30">
        <v>20</v>
      </c>
      <c r="H63" s="30">
        <v>400</v>
      </c>
      <c r="I63" s="30">
        <v>8000</v>
      </c>
      <c r="J63" s="12"/>
      <c r="K63" s="86"/>
      <c r="L63" s="10"/>
      <c r="M63" s="10"/>
      <c r="N63" s="10"/>
    </row>
    <row r="64" spans="1:14" x14ac:dyDescent="0.3">
      <c r="A64" s="12"/>
      <c r="B64" s="43" t="s">
        <v>1226</v>
      </c>
      <c r="C64" s="30" t="s">
        <v>8</v>
      </c>
      <c r="D64" s="30" t="s">
        <v>139</v>
      </c>
      <c r="E64" s="30">
        <v>749</v>
      </c>
      <c r="F64" s="30">
        <v>735</v>
      </c>
      <c r="G64" s="30">
        <v>14</v>
      </c>
      <c r="H64" s="30">
        <v>700</v>
      </c>
      <c r="I64" s="30">
        <v>9800</v>
      </c>
      <c r="J64" s="12"/>
      <c r="K64" s="86"/>
      <c r="L64" s="10"/>
      <c r="M64" s="10"/>
      <c r="N64" s="10"/>
    </row>
    <row r="65" spans="1:14" x14ac:dyDescent="0.3">
      <c r="A65" s="12"/>
      <c r="B65" s="43" t="s">
        <v>1227</v>
      </c>
      <c r="C65" s="30" t="s">
        <v>8</v>
      </c>
      <c r="D65" s="30" t="s">
        <v>139</v>
      </c>
      <c r="E65" s="30">
        <v>708</v>
      </c>
      <c r="F65" s="30">
        <v>703</v>
      </c>
      <c r="G65" s="30">
        <v>5</v>
      </c>
      <c r="H65" s="30">
        <v>700</v>
      </c>
      <c r="I65" s="30">
        <v>3500</v>
      </c>
      <c r="J65" s="12"/>
      <c r="K65" s="86"/>
      <c r="L65" s="10"/>
      <c r="M65" s="10"/>
      <c r="N65" s="10"/>
    </row>
    <row r="66" spans="1:14" x14ac:dyDescent="0.3">
      <c r="A66" s="12"/>
      <c r="B66" s="43" t="s">
        <v>1228</v>
      </c>
      <c r="C66" s="30" t="s">
        <v>8</v>
      </c>
      <c r="D66" s="30" t="s">
        <v>173</v>
      </c>
      <c r="E66" s="30">
        <v>846</v>
      </c>
      <c r="F66" s="30">
        <v>830</v>
      </c>
      <c r="G66" s="30">
        <v>16</v>
      </c>
      <c r="H66" s="30">
        <v>500</v>
      </c>
      <c r="I66" s="30">
        <v>8000</v>
      </c>
      <c r="J66" s="12"/>
      <c r="K66" s="86"/>
      <c r="L66" s="10"/>
      <c r="M66" s="10"/>
      <c r="N66" s="10"/>
    </row>
    <row r="67" spans="1:14" x14ac:dyDescent="0.3">
      <c r="A67" s="12"/>
      <c r="B67" s="43" t="s">
        <v>1229</v>
      </c>
      <c r="C67" s="30" t="s">
        <v>8</v>
      </c>
      <c r="D67" s="30" t="s">
        <v>60</v>
      </c>
      <c r="E67" s="30">
        <v>979</v>
      </c>
      <c r="F67" s="30">
        <v>975</v>
      </c>
      <c r="G67" s="30">
        <v>4</v>
      </c>
      <c r="H67" s="30">
        <v>500</v>
      </c>
      <c r="I67" s="30">
        <v>2000</v>
      </c>
      <c r="J67" s="12"/>
      <c r="K67" s="86"/>
      <c r="L67" s="10"/>
      <c r="M67" s="10"/>
      <c r="N67" s="10"/>
    </row>
    <row r="68" spans="1:14" x14ac:dyDescent="0.3">
      <c r="A68" s="12"/>
      <c r="B68" s="43" t="s">
        <v>1244</v>
      </c>
      <c r="C68" s="30" t="s">
        <v>8</v>
      </c>
      <c r="D68" s="30" t="s">
        <v>30</v>
      </c>
      <c r="E68" s="30">
        <v>325</v>
      </c>
      <c r="F68" s="30">
        <v>318.7</v>
      </c>
      <c r="G68" s="30">
        <v>6.3</v>
      </c>
      <c r="H68" s="30">
        <v>1400</v>
      </c>
      <c r="I68" s="30">
        <v>8820</v>
      </c>
      <c r="J68" s="12"/>
      <c r="K68" s="86"/>
      <c r="L68" s="10"/>
      <c r="M68" s="10"/>
      <c r="N68" s="10"/>
    </row>
    <row r="69" spans="1:14" x14ac:dyDescent="0.3">
      <c r="A69" s="12"/>
      <c r="B69" s="43" t="s">
        <v>1245</v>
      </c>
      <c r="C69" s="30" t="s">
        <v>8</v>
      </c>
      <c r="D69" s="30" t="s">
        <v>109</v>
      </c>
      <c r="E69" s="30">
        <v>1230</v>
      </c>
      <c r="F69" s="30">
        <v>1210</v>
      </c>
      <c r="G69" s="30">
        <v>20</v>
      </c>
      <c r="H69" s="30">
        <v>400</v>
      </c>
      <c r="I69" s="30">
        <v>8000</v>
      </c>
      <c r="J69" s="12"/>
      <c r="K69" s="86"/>
      <c r="L69" s="10"/>
      <c r="M69" s="10"/>
      <c r="N69" s="10"/>
    </row>
    <row r="70" spans="1:14" x14ac:dyDescent="0.3">
      <c r="A70" s="12"/>
      <c r="B70" s="43" t="s">
        <v>1246</v>
      </c>
      <c r="C70" s="30" t="s">
        <v>8</v>
      </c>
      <c r="D70" s="30" t="s">
        <v>175</v>
      </c>
      <c r="E70" s="30">
        <v>645</v>
      </c>
      <c r="F70" s="30">
        <v>630</v>
      </c>
      <c r="G70" s="30">
        <v>15</v>
      </c>
      <c r="H70" s="30">
        <v>700</v>
      </c>
      <c r="I70" s="30">
        <v>10500</v>
      </c>
      <c r="J70" s="12"/>
      <c r="K70" s="86"/>
      <c r="L70" s="10"/>
      <c r="M70" s="10"/>
      <c r="N70" s="10"/>
    </row>
    <row r="71" spans="1:14" x14ac:dyDescent="0.3">
      <c r="A71" s="12"/>
      <c r="B71" s="87" t="s">
        <v>1247</v>
      </c>
      <c r="C71" s="30" t="s">
        <v>8</v>
      </c>
      <c r="D71" s="30" t="s">
        <v>175</v>
      </c>
      <c r="E71" s="30">
        <v>598</v>
      </c>
      <c r="F71" s="30">
        <v>585</v>
      </c>
      <c r="G71" s="30">
        <v>13</v>
      </c>
      <c r="H71" s="30">
        <v>700</v>
      </c>
      <c r="I71" s="30">
        <v>9100</v>
      </c>
      <c r="J71" s="12"/>
      <c r="K71" s="86"/>
      <c r="L71" s="10"/>
      <c r="M71" s="10"/>
      <c r="N71" s="10"/>
    </row>
    <row r="72" spans="1:14" x14ac:dyDescent="0.3">
      <c r="A72" s="12"/>
      <c r="B72" s="87" t="s">
        <v>1249</v>
      </c>
      <c r="C72" s="30" t="s">
        <v>8</v>
      </c>
      <c r="D72" s="30" t="s">
        <v>175</v>
      </c>
      <c r="E72" s="30">
        <v>600</v>
      </c>
      <c r="F72" s="30">
        <v>596</v>
      </c>
      <c r="G72" s="30">
        <v>4</v>
      </c>
      <c r="H72" s="30">
        <v>700</v>
      </c>
      <c r="I72" s="30">
        <v>2800</v>
      </c>
      <c r="J72" s="12"/>
      <c r="K72" s="86"/>
      <c r="L72" s="10"/>
      <c r="M72" s="10"/>
      <c r="N72" s="10"/>
    </row>
    <row r="73" spans="1:14" x14ac:dyDescent="0.3">
      <c r="A73" s="12"/>
      <c r="B73" s="87" t="s">
        <v>1250</v>
      </c>
      <c r="C73" s="30" t="s">
        <v>9</v>
      </c>
      <c r="D73" s="30" t="s">
        <v>192</v>
      </c>
      <c r="E73" s="30">
        <v>163.5</v>
      </c>
      <c r="F73" s="30">
        <v>165.5</v>
      </c>
      <c r="G73" s="30">
        <v>2</v>
      </c>
      <c r="H73" s="30">
        <v>2000</v>
      </c>
      <c r="I73" s="30">
        <v>4000</v>
      </c>
      <c r="J73" s="12"/>
      <c r="K73" s="86"/>
      <c r="L73" s="10"/>
      <c r="M73" s="10"/>
      <c r="N73" s="10"/>
    </row>
    <row r="74" spans="1:14" x14ac:dyDescent="0.3">
      <c r="A74" s="12"/>
      <c r="B74" s="45"/>
      <c r="C74" s="30"/>
      <c r="D74" s="30"/>
      <c r="E74" s="30"/>
      <c r="F74" s="30"/>
      <c r="G74" s="30"/>
      <c r="H74" s="30"/>
      <c r="I74" s="97"/>
      <c r="J74" s="12"/>
      <c r="K74" s="86"/>
      <c r="L74" s="10"/>
      <c r="M74" s="10"/>
      <c r="N74" s="10"/>
    </row>
    <row r="75" spans="1:14" ht="15.6" x14ac:dyDescent="0.3">
      <c r="A75" s="12"/>
      <c r="B75" s="43"/>
      <c r="C75" s="30"/>
      <c r="D75" s="30"/>
      <c r="E75" s="30"/>
      <c r="F75" s="30"/>
      <c r="G75" s="30"/>
      <c r="H75" s="30"/>
      <c r="I75" s="33">
        <v>102470</v>
      </c>
      <c r="J75" s="12"/>
      <c r="K75" s="86"/>
      <c r="L75" s="10"/>
      <c r="M75" s="10"/>
      <c r="N75" s="10"/>
    </row>
    <row r="76" spans="1:14" ht="15.6" x14ac:dyDescent="0.3">
      <c r="A76" s="12"/>
      <c r="B76" s="48" t="s">
        <v>63</v>
      </c>
      <c r="C76" s="48"/>
      <c r="D76" s="48"/>
      <c r="E76" s="48"/>
      <c r="F76" s="48"/>
      <c r="G76" s="48"/>
      <c r="H76" s="48"/>
      <c r="I76" s="48"/>
      <c r="J76" s="12"/>
      <c r="K76" s="86"/>
      <c r="L76" s="10"/>
      <c r="M76" s="10"/>
      <c r="N76" s="10"/>
    </row>
    <row r="77" spans="1:14" x14ac:dyDescent="0.3">
      <c r="A77" s="12"/>
      <c r="B77" s="43">
        <v>42371</v>
      </c>
      <c r="C77" s="2" t="s">
        <v>9</v>
      </c>
      <c r="D77" s="2" t="s">
        <v>39</v>
      </c>
      <c r="E77" s="41" t="s">
        <v>1202</v>
      </c>
      <c r="F77" s="40" t="s">
        <v>1203</v>
      </c>
      <c r="G77" s="40" t="s">
        <v>1204</v>
      </c>
      <c r="H77" s="30">
        <v>150</v>
      </c>
      <c r="I77" s="41" t="s">
        <v>1205</v>
      </c>
      <c r="J77" s="12"/>
      <c r="K77" s="86"/>
      <c r="L77" s="10"/>
      <c r="M77" s="10"/>
      <c r="N77" s="10"/>
    </row>
    <row r="78" spans="1:14" x14ac:dyDescent="0.3">
      <c r="A78" s="12"/>
      <c r="B78" s="43">
        <v>42402</v>
      </c>
      <c r="C78" s="30" t="s">
        <v>8</v>
      </c>
      <c r="D78" s="2" t="s">
        <v>39</v>
      </c>
      <c r="E78" s="2">
        <v>7550</v>
      </c>
      <c r="F78" s="30">
        <v>7490</v>
      </c>
      <c r="G78" s="30">
        <v>60</v>
      </c>
      <c r="H78" s="30">
        <v>150</v>
      </c>
      <c r="I78" s="30">
        <v>9000</v>
      </c>
      <c r="J78" s="12"/>
      <c r="K78" s="86"/>
      <c r="L78" s="10"/>
      <c r="M78" s="10"/>
      <c r="N78" s="10"/>
    </row>
    <row r="79" spans="1:14" x14ac:dyDescent="0.3">
      <c r="A79" s="12"/>
      <c r="B79" s="43">
        <v>42431</v>
      </c>
      <c r="C79" s="30" t="s">
        <v>8</v>
      </c>
      <c r="D79" s="2" t="s">
        <v>39</v>
      </c>
      <c r="E79" s="2">
        <v>7395</v>
      </c>
      <c r="F79" s="30">
        <v>7430</v>
      </c>
      <c r="G79" s="30">
        <v>-35</v>
      </c>
      <c r="H79" s="30">
        <v>150</v>
      </c>
      <c r="I79" s="30">
        <v>-5250</v>
      </c>
      <c r="J79" s="12"/>
      <c r="K79" s="10"/>
      <c r="L79" s="10"/>
      <c r="M79" s="10"/>
      <c r="N79" s="10"/>
    </row>
    <row r="80" spans="1:14" x14ac:dyDescent="0.3">
      <c r="A80" s="12"/>
      <c r="B80" s="43">
        <v>42462</v>
      </c>
      <c r="C80" s="30" t="s">
        <v>8</v>
      </c>
      <c r="D80" s="2" t="s">
        <v>39</v>
      </c>
      <c r="E80" s="2">
        <v>7430</v>
      </c>
      <c r="F80" s="30">
        <v>7410</v>
      </c>
      <c r="G80" s="30">
        <v>20</v>
      </c>
      <c r="H80" s="30">
        <v>150</v>
      </c>
      <c r="I80" s="30">
        <v>3000</v>
      </c>
      <c r="J80" s="12"/>
      <c r="K80" s="10"/>
      <c r="L80" s="10"/>
      <c r="M80" s="10"/>
      <c r="N80" s="10"/>
    </row>
    <row r="81" spans="1:14" x14ac:dyDescent="0.3">
      <c r="A81" s="12"/>
      <c r="B81" s="43">
        <v>42492</v>
      </c>
      <c r="C81" s="30" t="s">
        <v>9</v>
      </c>
      <c r="D81" s="2" t="s">
        <v>39</v>
      </c>
      <c r="E81" s="30">
        <v>7490</v>
      </c>
      <c r="F81" s="30">
        <v>7525</v>
      </c>
      <c r="G81" s="30">
        <v>35</v>
      </c>
      <c r="H81" s="30">
        <v>150</v>
      </c>
      <c r="I81" s="30">
        <v>5250</v>
      </c>
      <c r="J81" s="12"/>
      <c r="K81" s="10"/>
      <c r="L81" s="10"/>
      <c r="M81" s="10"/>
      <c r="N81" s="10"/>
    </row>
    <row r="82" spans="1:14" x14ac:dyDescent="0.3">
      <c r="A82" s="12"/>
      <c r="B82" s="43">
        <v>42584</v>
      </c>
      <c r="C82" s="30" t="s">
        <v>9</v>
      </c>
      <c r="D82" s="2" t="s">
        <v>39</v>
      </c>
      <c r="E82" s="30">
        <v>7515</v>
      </c>
      <c r="F82" s="30">
        <v>7530</v>
      </c>
      <c r="G82" s="30">
        <v>15</v>
      </c>
      <c r="H82" s="30">
        <v>150</v>
      </c>
      <c r="I82" s="30">
        <v>2250</v>
      </c>
      <c r="J82" s="12"/>
      <c r="K82" s="10"/>
      <c r="L82" s="10"/>
      <c r="M82" s="10"/>
      <c r="N82" s="10"/>
    </row>
    <row r="83" spans="1:14" x14ac:dyDescent="0.3">
      <c r="A83" s="12"/>
      <c r="B83" s="43">
        <v>42615</v>
      </c>
      <c r="C83" s="30" t="s">
        <v>8</v>
      </c>
      <c r="D83" s="2" t="s">
        <v>39</v>
      </c>
      <c r="E83" s="30">
        <v>7330</v>
      </c>
      <c r="F83" s="30">
        <v>7305</v>
      </c>
      <c r="G83" s="30">
        <v>25</v>
      </c>
      <c r="H83" s="30">
        <v>150</v>
      </c>
      <c r="I83" s="30">
        <v>3750</v>
      </c>
      <c r="J83" s="12"/>
      <c r="K83" s="86"/>
      <c r="L83" s="10"/>
      <c r="M83" s="10"/>
      <c r="N83" s="10"/>
    </row>
    <row r="84" spans="1:14" x14ac:dyDescent="0.3">
      <c r="A84" s="12"/>
      <c r="B84" s="43">
        <v>42645</v>
      </c>
      <c r="C84" s="30" t="s">
        <v>8</v>
      </c>
      <c r="D84" s="2" t="s">
        <v>39</v>
      </c>
      <c r="E84" s="30">
        <v>7265</v>
      </c>
      <c r="F84" s="30">
        <v>7200</v>
      </c>
      <c r="G84" s="30">
        <v>65</v>
      </c>
      <c r="H84" s="30">
        <v>150</v>
      </c>
      <c r="I84" s="30">
        <v>9750</v>
      </c>
      <c r="J84" s="12"/>
      <c r="K84" s="86"/>
      <c r="L84" s="10"/>
      <c r="M84" s="10"/>
      <c r="N84" s="10"/>
    </row>
    <row r="85" spans="1:14" x14ac:dyDescent="0.3">
      <c r="A85" s="12"/>
      <c r="B85" s="43">
        <v>42676</v>
      </c>
      <c r="C85" s="30" t="s">
        <v>8</v>
      </c>
      <c r="D85" s="2" t="s">
        <v>39</v>
      </c>
      <c r="E85" s="30">
        <v>7190</v>
      </c>
      <c r="F85" s="30">
        <v>7125</v>
      </c>
      <c r="G85" s="30">
        <v>65</v>
      </c>
      <c r="H85" s="30">
        <v>150</v>
      </c>
      <c r="I85" s="30">
        <v>9750</v>
      </c>
      <c r="J85" s="12"/>
      <c r="K85" s="86"/>
      <c r="L85" s="10"/>
      <c r="M85" s="10"/>
      <c r="N85" s="10"/>
    </row>
    <row r="86" spans="1:14" x14ac:dyDescent="0.3">
      <c r="A86" s="12"/>
      <c r="B86" s="43">
        <v>42706</v>
      </c>
      <c r="C86" s="30" t="s">
        <v>8</v>
      </c>
      <c r="D86" s="2" t="s">
        <v>39</v>
      </c>
      <c r="E86" s="30">
        <v>6990</v>
      </c>
      <c r="F86" s="30">
        <v>6925</v>
      </c>
      <c r="G86" s="30">
        <v>65</v>
      </c>
      <c r="H86" s="30">
        <v>150</v>
      </c>
      <c r="I86" s="30">
        <v>9750</v>
      </c>
      <c r="J86" s="12"/>
      <c r="K86" s="86"/>
      <c r="L86" s="10"/>
      <c r="M86" s="10"/>
      <c r="N86" s="10"/>
    </row>
    <row r="87" spans="1:14" x14ac:dyDescent="0.3">
      <c r="A87" s="12"/>
      <c r="B87" s="43" t="s">
        <v>1225</v>
      </c>
      <c r="C87" s="30" t="s">
        <v>9</v>
      </c>
      <c r="D87" s="2" t="s">
        <v>39</v>
      </c>
      <c r="E87" s="30">
        <v>7125</v>
      </c>
      <c r="F87" s="30">
        <v>7190</v>
      </c>
      <c r="G87" s="30">
        <v>65</v>
      </c>
      <c r="H87" s="30">
        <v>150</v>
      </c>
      <c r="I87" s="30">
        <v>9750</v>
      </c>
      <c r="J87" s="12"/>
      <c r="K87" s="86"/>
      <c r="L87" s="10"/>
      <c r="M87" s="10"/>
      <c r="N87" s="10"/>
    </row>
    <row r="88" spans="1:14" x14ac:dyDescent="0.3">
      <c r="A88" s="12"/>
      <c r="B88" s="43" t="s">
        <v>1226</v>
      </c>
      <c r="C88" s="30" t="s">
        <v>8</v>
      </c>
      <c r="D88" s="2" t="s">
        <v>39</v>
      </c>
      <c r="E88" s="30">
        <v>7155</v>
      </c>
      <c r="F88" s="30">
        <v>7090</v>
      </c>
      <c r="G88" s="30">
        <v>65</v>
      </c>
      <c r="H88" s="30">
        <v>150</v>
      </c>
      <c r="I88" s="30">
        <v>9750</v>
      </c>
      <c r="J88" s="12"/>
      <c r="K88" s="86"/>
      <c r="L88" s="10"/>
      <c r="M88" s="10"/>
      <c r="N88" s="10"/>
    </row>
    <row r="89" spans="1:14" x14ac:dyDescent="0.3">
      <c r="A89" s="12"/>
      <c r="B89" s="43" t="s">
        <v>1227</v>
      </c>
      <c r="C89" s="30" t="s">
        <v>8</v>
      </c>
      <c r="D89" s="2" t="s">
        <v>39</v>
      </c>
      <c r="E89" s="30">
        <v>7005</v>
      </c>
      <c r="F89" s="30">
        <v>6980</v>
      </c>
      <c r="G89" s="30">
        <v>25</v>
      </c>
      <c r="H89" s="30">
        <v>150</v>
      </c>
      <c r="I89" s="30">
        <v>3750</v>
      </c>
      <c r="J89" s="12"/>
      <c r="K89" s="86"/>
      <c r="L89" s="10"/>
      <c r="M89" s="10"/>
      <c r="N89" s="10"/>
    </row>
    <row r="90" spans="1:14" x14ac:dyDescent="0.3">
      <c r="A90" s="12"/>
      <c r="B90" s="43" t="s">
        <v>1228</v>
      </c>
      <c r="C90" s="30" t="s">
        <v>8</v>
      </c>
      <c r="D90" s="2" t="s">
        <v>39</v>
      </c>
      <c r="E90" s="30">
        <v>7195</v>
      </c>
      <c r="F90" s="30">
        <v>7135</v>
      </c>
      <c r="G90" s="30">
        <v>60</v>
      </c>
      <c r="H90" s="30">
        <v>150</v>
      </c>
      <c r="I90" s="30">
        <v>9000</v>
      </c>
      <c r="J90" s="12"/>
      <c r="K90" s="86"/>
      <c r="L90" s="10"/>
      <c r="M90" s="10"/>
      <c r="N90" s="10"/>
    </row>
    <row r="91" spans="1:14" x14ac:dyDescent="0.3">
      <c r="A91" s="12"/>
      <c r="B91" s="43" t="s">
        <v>1229</v>
      </c>
      <c r="C91" s="30" t="s">
        <v>8</v>
      </c>
      <c r="D91" s="2" t="s">
        <v>39</v>
      </c>
      <c r="E91" s="30">
        <v>7180</v>
      </c>
      <c r="F91" s="30">
        <v>7155</v>
      </c>
      <c r="G91" s="30">
        <v>25</v>
      </c>
      <c r="H91" s="30">
        <v>150</v>
      </c>
      <c r="I91" s="30">
        <v>3750</v>
      </c>
      <c r="J91" s="12"/>
      <c r="K91" s="86"/>
      <c r="L91" s="10"/>
      <c r="M91" s="10"/>
      <c r="N91" s="10"/>
    </row>
    <row r="92" spans="1:14" x14ac:dyDescent="0.3">
      <c r="A92" s="12"/>
      <c r="B92" s="43" t="s">
        <v>1244</v>
      </c>
      <c r="C92" s="30" t="s">
        <v>9</v>
      </c>
      <c r="D92" s="2" t="s">
        <v>39</v>
      </c>
      <c r="E92" s="30">
        <v>7230</v>
      </c>
      <c r="F92" s="30">
        <v>7255</v>
      </c>
      <c r="G92" s="30">
        <v>25</v>
      </c>
      <c r="H92" s="30">
        <v>150</v>
      </c>
      <c r="I92" s="30">
        <v>3750</v>
      </c>
      <c r="J92" s="12"/>
      <c r="K92" s="86"/>
      <c r="L92" s="10"/>
      <c r="M92" s="10"/>
      <c r="N92" s="10"/>
    </row>
    <row r="93" spans="1:14" x14ac:dyDescent="0.3">
      <c r="A93" s="12"/>
      <c r="B93" s="43" t="s">
        <v>1245</v>
      </c>
      <c r="C93" s="30" t="s">
        <v>8</v>
      </c>
      <c r="D93" s="2" t="s">
        <v>39</v>
      </c>
      <c r="E93" s="30">
        <v>7190</v>
      </c>
      <c r="F93" s="30">
        <v>7125</v>
      </c>
      <c r="G93" s="30">
        <v>65</v>
      </c>
      <c r="H93" s="30">
        <v>150</v>
      </c>
      <c r="I93" s="30">
        <v>9750</v>
      </c>
      <c r="J93" s="12"/>
      <c r="K93" s="86"/>
      <c r="L93" s="10"/>
      <c r="M93" s="10"/>
      <c r="N93" s="10"/>
    </row>
    <row r="94" spans="1:14" x14ac:dyDescent="0.3">
      <c r="A94" s="12"/>
      <c r="B94" s="43" t="s">
        <v>1246</v>
      </c>
      <c r="C94" s="30" t="s">
        <v>8</v>
      </c>
      <c r="D94" s="2" t="s">
        <v>39</v>
      </c>
      <c r="E94" s="30">
        <v>7075</v>
      </c>
      <c r="F94" s="30">
        <v>7010</v>
      </c>
      <c r="G94" s="30">
        <v>65</v>
      </c>
      <c r="H94" s="30">
        <v>150</v>
      </c>
      <c r="I94" s="30">
        <v>9750</v>
      </c>
      <c r="J94" s="12"/>
      <c r="K94" s="86"/>
      <c r="L94" s="10"/>
      <c r="M94" s="10"/>
      <c r="N94" s="10"/>
    </row>
    <row r="95" spans="1:14" x14ac:dyDescent="0.3">
      <c r="A95" s="12"/>
      <c r="B95" s="87" t="s">
        <v>1247</v>
      </c>
      <c r="C95" s="30" t="s">
        <v>8</v>
      </c>
      <c r="D95" s="2" t="s">
        <v>39</v>
      </c>
      <c r="E95" s="30">
        <v>7015</v>
      </c>
      <c r="F95" s="30">
        <v>6970</v>
      </c>
      <c r="G95" s="30">
        <v>45</v>
      </c>
      <c r="H95" s="30">
        <v>150</v>
      </c>
      <c r="I95" s="30">
        <v>6750</v>
      </c>
      <c r="J95" s="12"/>
      <c r="K95" s="86"/>
      <c r="L95" s="10"/>
      <c r="M95" s="10"/>
      <c r="N95" s="10"/>
    </row>
    <row r="96" spans="1:14" x14ac:dyDescent="0.3">
      <c r="A96" s="12"/>
      <c r="B96" s="87" t="s">
        <v>1249</v>
      </c>
      <c r="C96" s="30" t="s">
        <v>8</v>
      </c>
      <c r="D96" s="2" t="s">
        <v>39</v>
      </c>
      <c r="E96" s="30">
        <v>7035</v>
      </c>
      <c r="F96" s="30">
        <v>7010</v>
      </c>
      <c r="G96" s="30">
        <v>25</v>
      </c>
      <c r="H96" s="30">
        <v>150</v>
      </c>
      <c r="I96" s="30">
        <v>3750</v>
      </c>
      <c r="J96" s="12"/>
      <c r="K96" s="86"/>
      <c r="L96" s="10"/>
      <c r="M96" s="10"/>
      <c r="N96" s="10"/>
    </row>
    <row r="97" spans="1:14" x14ac:dyDescent="0.3">
      <c r="A97" s="12"/>
      <c r="B97" s="87" t="s">
        <v>1250</v>
      </c>
      <c r="C97" s="30" t="s">
        <v>8</v>
      </c>
      <c r="D97" s="2" t="s">
        <v>39</v>
      </c>
      <c r="E97" s="30">
        <v>7035</v>
      </c>
      <c r="F97" s="30">
        <v>6970</v>
      </c>
      <c r="G97" s="30">
        <v>65</v>
      </c>
      <c r="H97" s="30">
        <v>150</v>
      </c>
      <c r="I97" s="30">
        <v>9750</v>
      </c>
      <c r="J97" s="12"/>
      <c r="K97" s="86"/>
      <c r="L97" s="10"/>
      <c r="M97" s="10"/>
      <c r="N97" s="10"/>
    </row>
    <row r="98" spans="1:14" ht="18" x14ac:dyDescent="0.35">
      <c r="A98" s="12"/>
      <c r="B98" s="43"/>
      <c r="C98" s="30"/>
      <c r="D98" s="2"/>
      <c r="E98" s="30"/>
      <c r="F98" s="30"/>
      <c r="G98" s="30"/>
      <c r="H98" s="30"/>
      <c r="I98" s="76"/>
      <c r="J98" s="12"/>
      <c r="K98" s="86"/>
      <c r="L98" s="10"/>
      <c r="M98" s="10"/>
      <c r="N98" s="10"/>
    </row>
    <row r="99" spans="1:14" ht="18" x14ac:dyDescent="0.35">
      <c r="A99" s="12"/>
      <c r="B99" s="43"/>
      <c r="C99" s="28"/>
      <c r="D99" s="30"/>
      <c r="E99" s="28"/>
      <c r="F99" s="28"/>
      <c r="G99" s="28"/>
      <c r="H99" s="28"/>
      <c r="I99" s="82">
        <v>120000</v>
      </c>
      <c r="J99" s="12"/>
      <c r="K99" s="86" t="s">
        <v>908</v>
      </c>
      <c r="L99" s="10"/>
      <c r="M99" s="10"/>
      <c r="N99" s="10"/>
    </row>
    <row r="100" spans="1:14" ht="15.6" x14ac:dyDescent="0.3">
      <c r="A100" s="12"/>
      <c r="B100" s="48" t="s">
        <v>991</v>
      </c>
      <c r="C100" s="61"/>
      <c r="D100" s="61"/>
      <c r="E100" s="61"/>
      <c r="F100" s="61"/>
      <c r="G100" s="61"/>
      <c r="H100" s="61"/>
      <c r="I100" s="61"/>
      <c r="J100" s="12"/>
      <c r="K100" s="86"/>
      <c r="L100" s="10"/>
      <c r="M100" s="10"/>
      <c r="N100" s="10"/>
    </row>
    <row r="101" spans="1:14" x14ac:dyDescent="0.3">
      <c r="A101" s="12"/>
      <c r="B101" s="43">
        <v>42371</v>
      </c>
      <c r="C101" s="3" t="s">
        <v>9</v>
      </c>
      <c r="D101" s="3" t="s">
        <v>1206</v>
      </c>
      <c r="E101" s="41" t="s">
        <v>854</v>
      </c>
      <c r="F101" s="41" t="s">
        <v>513</v>
      </c>
      <c r="G101" s="41" t="s">
        <v>914</v>
      </c>
      <c r="H101" s="30">
        <v>150</v>
      </c>
      <c r="I101" s="8">
        <v>-1500</v>
      </c>
      <c r="J101" s="12"/>
      <c r="K101" s="86"/>
      <c r="L101" s="10"/>
      <c r="M101" s="10"/>
      <c r="N101" s="10"/>
    </row>
    <row r="102" spans="1:14" x14ac:dyDescent="0.3">
      <c r="A102" s="12"/>
      <c r="B102" s="43">
        <v>42402</v>
      </c>
      <c r="C102" s="3" t="s">
        <v>9</v>
      </c>
      <c r="D102" s="3" t="s">
        <v>936</v>
      </c>
      <c r="E102" s="30">
        <v>140</v>
      </c>
      <c r="F102" s="30">
        <v>185</v>
      </c>
      <c r="G102" s="30">
        <v>45</v>
      </c>
      <c r="H102" s="30">
        <v>150</v>
      </c>
      <c r="I102" s="8">
        <v>6750</v>
      </c>
      <c r="J102" s="12"/>
      <c r="K102" s="86"/>
      <c r="L102" s="10"/>
      <c r="M102" s="10"/>
      <c r="N102" s="10"/>
    </row>
    <row r="103" spans="1:14" x14ac:dyDescent="0.3">
      <c r="A103" s="12"/>
      <c r="B103" s="43">
        <v>42431</v>
      </c>
      <c r="C103" s="3" t="s">
        <v>9</v>
      </c>
      <c r="D103" s="3" t="s">
        <v>1143</v>
      </c>
      <c r="E103" s="30">
        <v>170</v>
      </c>
      <c r="F103" s="30">
        <v>190</v>
      </c>
      <c r="G103" s="30">
        <v>20</v>
      </c>
      <c r="H103" s="30">
        <v>150</v>
      </c>
      <c r="I103" s="8">
        <v>3000</v>
      </c>
      <c r="J103" s="12"/>
      <c r="K103" s="10"/>
      <c r="L103" s="10"/>
      <c r="M103" s="10"/>
      <c r="N103" s="10"/>
    </row>
    <row r="104" spans="1:14" x14ac:dyDescent="0.3">
      <c r="A104" s="12"/>
      <c r="B104" s="43">
        <v>42462</v>
      </c>
      <c r="C104" s="3" t="s">
        <v>9</v>
      </c>
      <c r="D104" s="3" t="s">
        <v>1143</v>
      </c>
      <c r="E104" s="30">
        <v>150</v>
      </c>
      <c r="F104" s="30">
        <v>165</v>
      </c>
      <c r="G104" s="30">
        <v>15</v>
      </c>
      <c r="H104" s="30">
        <v>150</v>
      </c>
      <c r="I104" s="8">
        <v>2250</v>
      </c>
      <c r="J104" s="12"/>
      <c r="K104" s="10"/>
      <c r="L104" s="10"/>
      <c r="M104" s="10"/>
      <c r="N104" s="10"/>
    </row>
    <row r="105" spans="1:14" x14ac:dyDescent="0.3">
      <c r="A105" s="12"/>
      <c r="B105" s="43">
        <v>42492</v>
      </c>
      <c r="C105" s="3" t="s">
        <v>9</v>
      </c>
      <c r="D105" s="30" t="s">
        <v>1207</v>
      </c>
      <c r="E105" s="30">
        <v>165</v>
      </c>
      <c r="F105" s="30">
        <v>190</v>
      </c>
      <c r="G105" s="30">
        <v>25</v>
      </c>
      <c r="H105" s="30">
        <v>150</v>
      </c>
      <c r="I105" s="8">
        <v>3750</v>
      </c>
      <c r="J105" s="12"/>
      <c r="K105" s="10"/>
      <c r="L105" s="10"/>
      <c r="M105" s="10"/>
      <c r="N105" s="10"/>
    </row>
    <row r="106" spans="1:14" x14ac:dyDescent="0.3">
      <c r="A106" s="12"/>
      <c r="B106" s="43">
        <v>42584</v>
      </c>
      <c r="C106" s="3" t="s">
        <v>9</v>
      </c>
      <c r="D106" s="30" t="s">
        <v>1206</v>
      </c>
      <c r="E106" s="30">
        <v>120</v>
      </c>
      <c r="F106" s="30">
        <v>100</v>
      </c>
      <c r="G106" s="30">
        <v>-20</v>
      </c>
      <c r="H106" s="30">
        <v>150</v>
      </c>
      <c r="I106" s="8">
        <v>-3000</v>
      </c>
      <c r="J106" s="12"/>
      <c r="K106" s="10"/>
      <c r="L106" s="10"/>
      <c r="M106" s="10"/>
      <c r="N106" s="10"/>
    </row>
    <row r="107" spans="1:14" x14ac:dyDescent="0.3">
      <c r="A107" s="12"/>
      <c r="B107" s="43">
        <v>42615</v>
      </c>
      <c r="C107" s="3" t="s">
        <v>9</v>
      </c>
      <c r="D107" s="30" t="s">
        <v>1161</v>
      </c>
      <c r="E107" s="30">
        <v>160</v>
      </c>
      <c r="F107" s="30">
        <v>180</v>
      </c>
      <c r="G107" s="30">
        <v>20</v>
      </c>
      <c r="H107" s="30">
        <v>150</v>
      </c>
      <c r="I107" s="8">
        <v>3000</v>
      </c>
      <c r="J107" s="12"/>
      <c r="K107" s="10"/>
      <c r="L107" s="10"/>
      <c r="M107" s="10"/>
      <c r="N107" s="10"/>
    </row>
    <row r="108" spans="1:14" x14ac:dyDescent="0.3">
      <c r="A108" s="12"/>
      <c r="B108" s="43">
        <v>42645</v>
      </c>
      <c r="C108" s="3" t="s">
        <v>9</v>
      </c>
      <c r="D108" s="30" t="s">
        <v>1217</v>
      </c>
      <c r="E108" s="30">
        <v>145</v>
      </c>
      <c r="F108" s="30">
        <v>175</v>
      </c>
      <c r="G108" s="30">
        <v>30</v>
      </c>
      <c r="H108" s="30">
        <v>150</v>
      </c>
      <c r="I108" s="8">
        <v>4500</v>
      </c>
      <c r="J108" s="12"/>
      <c r="K108" s="10"/>
      <c r="L108" s="10"/>
      <c r="M108" s="10"/>
      <c r="N108" s="10"/>
    </row>
    <row r="109" spans="1:14" x14ac:dyDescent="0.3">
      <c r="A109" s="12"/>
      <c r="B109" s="43">
        <v>42676</v>
      </c>
      <c r="C109" s="3" t="s">
        <v>9</v>
      </c>
      <c r="D109" s="30" t="s">
        <v>1218</v>
      </c>
      <c r="E109" s="30">
        <v>130</v>
      </c>
      <c r="F109" s="30">
        <v>180</v>
      </c>
      <c r="G109" s="30">
        <v>50</v>
      </c>
      <c r="H109" s="30">
        <v>150</v>
      </c>
      <c r="I109" s="8">
        <v>7500</v>
      </c>
      <c r="J109" s="12"/>
      <c r="K109" s="10"/>
      <c r="L109" s="10"/>
      <c r="M109" s="10"/>
      <c r="N109" s="10"/>
    </row>
    <row r="110" spans="1:14" x14ac:dyDescent="0.3">
      <c r="A110" s="12"/>
      <c r="B110" s="43">
        <v>42706</v>
      </c>
      <c r="C110" s="3" t="s">
        <v>9</v>
      </c>
      <c r="D110" s="30" t="s">
        <v>1219</v>
      </c>
      <c r="E110" s="30">
        <v>135</v>
      </c>
      <c r="F110" s="30">
        <v>185</v>
      </c>
      <c r="G110" s="30">
        <v>50</v>
      </c>
      <c r="H110" s="30">
        <v>150</v>
      </c>
      <c r="I110" s="8">
        <v>7500</v>
      </c>
      <c r="J110" s="12"/>
      <c r="K110" s="10"/>
      <c r="L110" s="10"/>
      <c r="M110" s="10"/>
      <c r="N110" s="10"/>
    </row>
    <row r="111" spans="1:14" x14ac:dyDescent="0.3">
      <c r="A111" s="12"/>
      <c r="B111" s="43" t="s">
        <v>1225</v>
      </c>
      <c r="C111" s="3" t="s">
        <v>9</v>
      </c>
      <c r="D111" s="30" t="s">
        <v>1230</v>
      </c>
      <c r="E111" s="30">
        <v>105</v>
      </c>
      <c r="F111" s="30">
        <v>130</v>
      </c>
      <c r="G111" s="30">
        <v>25</v>
      </c>
      <c r="H111" s="30">
        <v>150</v>
      </c>
      <c r="I111" s="8">
        <v>3750</v>
      </c>
      <c r="J111" s="12"/>
      <c r="K111" s="10"/>
      <c r="L111" s="10"/>
      <c r="M111" s="10"/>
      <c r="N111" s="10"/>
    </row>
    <row r="112" spans="1:14" x14ac:dyDescent="0.3">
      <c r="A112" s="12"/>
      <c r="B112" s="43" t="s">
        <v>1226</v>
      </c>
      <c r="C112" s="3" t="s">
        <v>9</v>
      </c>
      <c r="D112" s="30" t="s">
        <v>1218</v>
      </c>
      <c r="E112" s="30">
        <v>115</v>
      </c>
      <c r="F112" s="30">
        <v>160</v>
      </c>
      <c r="G112" s="30">
        <v>45</v>
      </c>
      <c r="H112" s="30">
        <v>150</v>
      </c>
      <c r="I112" s="8">
        <v>6750</v>
      </c>
      <c r="J112" s="12"/>
      <c r="K112" s="10"/>
      <c r="L112" s="10"/>
      <c r="M112" s="10"/>
      <c r="N112" s="10"/>
    </row>
    <row r="113" spans="1:14" x14ac:dyDescent="0.3">
      <c r="A113" s="12"/>
      <c r="B113" s="43" t="s">
        <v>1227</v>
      </c>
      <c r="C113" s="3" t="s">
        <v>9</v>
      </c>
      <c r="D113" s="30" t="s">
        <v>1231</v>
      </c>
      <c r="E113" s="30">
        <v>145</v>
      </c>
      <c r="F113" s="30">
        <v>165</v>
      </c>
      <c r="G113" s="30">
        <v>20</v>
      </c>
      <c r="H113" s="30">
        <v>150</v>
      </c>
      <c r="I113" s="8">
        <v>3000</v>
      </c>
      <c r="J113" s="12"/>
      <c r="K113" s="10"/>
      <c r="L113" s="10"/>
      <c r="M113" s="10"/>
      <c r="N113" s="10"/>
    </row>
    <row r="114" spans="1:14" x14ac:dyDescent="0.3">
      <c r="A114" s="12"/>
      <c r="B114" s="43" t="s">
        <v>1228</v>
      </c>
      <c r="C114" s="3" t="s">
        <v>9</v>
      </c>
      <c r="D114" s="30" t="s">
        <v>1217</v>
      </c>
      <c r="E114" s="30">
        <v>135</v>
      </c>
      <c r="F114" s="30">
        <v>180</v>
      </c>
      <c r="G114" s="30">
        <v>45</v>
      </c>
      <c r="H114" s="30">
        <v>150</v>
      </c>
      <c r="I114" s="8">
        <v>6750</v>
      </c>
      <c r="J114" s="12"/>
      <c r="K114" s="10"/>
      <c r="L114" s="10"/>
      <c r="M114" s="10"/>
      <c r="N114" s="10"/>
    </row>
    <row r="115" spans="1:14" x14ac:dyDescent="0.3">
      <c r="A115" s="12"/>
      <c r="B115" s="43" t="s">
        <v>1229</v>
      </c>
      <c r="C115" s="3" t="s">
        <v>9</v>
      </c>
      <c r="D115" s="30" t="s">
        <v>1217</v>
      </c>
      <c r="E115" s="30">
        <v>135</v>
      </c>
      <c r="F115" s="30">
        <v>150</v>
      </c>
      <c r="G115" s="30">
        <v>15</v>
      </c>
      <c r="H115" s="30">
        <v>150</v>
      </c>
      <c r="I115" s="8">
        <v>2250</v>
      </c>
      <c r="J115" s="12"/>
      <c r="K115" s="10"/>
      <c r="L115" s="10"/>
      <c r="M115" s="10"/>
      <c r="N115" s="10"/>
    </row>
    <row r="116" spans="1:14" x14ac:dyDescent="0.3">
      <c r="A116" s="12"/>
      <c r="B116" s="43" t="s">
        <v>1244</v>
      </c>
      <c r="C116" s="3" t="s">
        <v>9</v>
      </c>
      <c r="D116" s="28" t="s">
        <v>1230</v>
      </c>
      <c r="E116" s="49" t="s">
        <v>232</v>
      </c>
      <c r="F116" s="49" t="s">
        <v>229</v>
      </c>
      <c r="G116" s="49" t="s">
        <v>952</v>
      </c>
      <c r="H116" s="30">
        <v>150</v>
      </c>
      <c r="I116" s="8">
        <v>3000</v>
      </c>
      <c r="J116" s="12"/>
      <c r="K116" s="10"/>
      <c r="L116" s="10"/>
      <c r="M116" s="10"/>
      <c r="N116" s="10"/>
    </row>
    <row r="117" spans="1:14" x14ac:dyDescent="0.3">
      <c r="A117" s="12"/>
      <c r="B117" s="43" t="s">
        <v>1245</v>
      </c>
      <c r="C117" s="3" t="s">
        <v>9</v>
      </c>
      <c r="D117" s="28" t="s">
        <v>1217</v>
      </c>
      <c r="E117" s="49" t="s">
        <v>420</v>
      </c>
      <c r="F117" s="49" t="s">
        <v>229</v>
      </c>
      <c r="G117" s="49" t="s">
        <v>934</v>
      </c>
      <c r="H117" s="30">
        <v>150</v>
      </c>
      <c r="I117" s="8">
        <v>7500</v>
      </c>
      <c r="J117" s="12"/>
      <c r="K117" s="10"/>
      <c r="L117" s="10"/>
      <c r="M117" s="10"/>
      <c r="N117" s="10"/>
    </row>
    <row r="118" spans="1:14" x14ac:dyDescent="0.3">
      <c r="A118" s="12"/>
      <c r="B118" s="43" t="s">
        <v>1246</v>
      </c>
      <c r="C118" s="3" t="s">
        <v>9</v>
      </c>
      <c r="D118" s="28" t="s">
        <v>1218</v>
      </c>
      <c r="E118" s="49" t="s">
        <v>214</v>
      </c>
      <c r="F118" s="49" t="s">
        <v>787</v>
      </c>
      <c r="G118" s="49" t="s">
        <v>934</v>
      </c>
      <c r="H118" s="30">
        <v>150</v>
      </c>
      <c r="I118" s="8">
        <v>7500</v>
      </c>
      <c r="J118" s="12"/>
      <c r="K118" s="10"/>
      <c r="L118" s="10"/>
      <c r="M118" s="10"/>
      <c r="N118" s="10"/>
    </row>
    <row r="119" spans="1:14" x14ac:dyDescent="0.3">
      <c r="A119" s="12"/>
      <c r="B119" s="87" t="s">
        <v>1247</v>
      </c>
      <c r="C119" s="3" t="s">
        <v>9</v>
      </c>
      <c r="D119" s="28" t="s">
        <v>1218</v>
      </c>
      <c r="E119" s="49" t="s">
        <v>1063</v>
      </c>
      <c r="F119" s="49" t="s">
        <v>1248</v>
      </c>
      <c r="G119" s="49" t="s">
        <v>964</v>
      </c>
      <c r="H119" s="30">
        <v>150</v>
      </c>
      <c r="I119" s="8">
        <v>6000</v>
      </c>
      <c r="J119" s="12"/>
      <c r="K119" s="10"/>
      <c r="L119" s="10"/>
      <c r="M119" s="10"/>
      <c r="N119" s="10"/>
    </row>
    <row r="120" spans="1:14" x14ac:dyDescent="0.3">
      <c r="A120" s="12"/>
      <c r="B120" s="87" t="s">
        <v>1249</v>
      </c>
      <c r="C120" s="3" t="s">
        <v>9</v>
      </c>
      <c r="D120" s="28" t="s">
        <v>1219</v>
      </c>
      <c r="E120" s="49" t="s">
        <v>528</v>
      </c>
      <c r="F120" s="49" t="s">
        <v>232</v>
      </c>
      <c r="G120" s="49" t="s">
        <v>1098</v>
      </c>
      <c r="H120" s="30">
        <v>150</v>
      </c>
      <c r="I120" s="8">
        <v>-4500</v>
      </c>
      <c r="J120" s="12"/>
      <c r="K120" s="10"/>
      <c r="L120" s="10"/>
      <c r="M120" s="10"/>
      <c r="N120" s="10"/>
    </row>
    <row r="121" spans="1:14" x14ac:dyDescent="0.3">
      <c r="A121" s="12"/>
      <c r="B121" s="87" t="s">
        <v>1250</v>
      </c>
      <c r="C121" s="3" t="s">
        <v>9</v>
      </c>
      <c r="D121" s="28" t="s">
        <v>1219</v>
      </c>
      <c r="E121" s="49" t="s">
        <v>226</v>
      </c>
      <c r="F121" s="49" t="s">
        <v>706</v>
      </c>
      <c r="G121" s="49" t="s">
        <v>1251</v>
      </c>
      <c r="H121" s="30">
        <v>150</v>
      </c>
      <c r="I121" s="8">
        <v>8250</v>
      </c>
      <c r="J121" s="12"/>
      <c r="K121" s="10"/>
      <c r="L121" s="10"/>
      <c r="M121" s="10"/>
      <c r="N121" s="10"/>
    </row>
    <row r="122" spans="1:14" x14ac:dyDescent="0.3">
      <c r="A122" s="12"/>
      <c r="B122" s="87"/>
      <c r="C122" s="3"/>
      <c r="D122" s="28"/>
      <c r="E122" s="49"/>
      <c r="F122" s="49"/>
      <c r="G122" s="49"/>
      <c r="H122" s="30"/>
      <c r="I122" s="8"/>
      <c r="J122" s="12"/>
      <c r="K122" s="10"/>
      <c r="L122" s="10"/>
      <c r="M122" s="10"/>
      <c r="N122" s="10"/>
    </row>
    <row r="123" spans="1:14" ht="18" x14ac:dyDescent="0.35">
      <c r="A123" s="12"/>
      <c r="B123" s="43"/>
      <c r="C123" s="10"/>
      <c r="D123" s="10"/>
      <c r="E123" s="10"/>
      <c r="F123" s="10"/>
      <c r="G123" s="10"/>
      <c r="H123" s="10"/>
      <c r="I123" s="72">
        <v>84000</v>
      </c>
      <c r="J123" s="12"/>
      <c r="K123" s="10"/>
      <c r="L123" s="10"/>
      <c r="M123" s="10"/>
      <c r="N123" s="10"/>
    </row>
    <row r="124" spans="1:14" ht="18" x14ac:dyDescent="0.35">
      <c r="A124" s="12"/>
      <c r="B124" s="43"/>
      <c r="C124" s="10"/>
      <c r="D124" s="10"/>
      <c r="E124" s="10"/>
      <c r="F124" s="10"/>
      <c r="G124" s="10"/>
      <c r="H124" s="10"/>
      <c r="I124" s="72"/>
      <c r="J124" s="12"/>
      <c r="K124" s="10"/>
      <c r="L124" s="10"/>
      <c r="M124" s="10"/>
      <c r="N124" s="10"/>
    </row>
    <row r="125" spans="1:14" ht="15.6" x14ac:dyDescent="0.3">
      <c r="A125" s="12"/>
      <c r="B125" s="48" t="s">
        <v>926</v>
      </c>
      <c r="C125" s="48"/>
      <c r="D125" s="48"/>
      <c r="E125" s="48"/>
      <c r="F125" s="48"/>
      <c r="G125" s="48"/>
      <c r="H125" s="48"/>
      <c r="I125" s="48"/>
      <c r="J125" s="12"/>
      <c r="K125" s="10"/>
      <c r="L125" s="10"/>
      <c r="M125" s="10"/>
      <c r="N125" s="10"/>
    </row>
    <row r="126" spans="1:14" x14ac:dyDescent="0.3">
      <c r="A126" s="12"/>
      <c r="B126" s="43">
        <v>42371</v>
      </c>
      <c r="C126" s="30" t="s">
        <v>8</v>
      </c>
      <c r="D126" s="30" t="s">
        <v>301</v>
      </c>
      <c r="E126" s="30">
        <v>15450</v>
      </c>
      <c r="F126" s="30">
        <v>15350</v>
      </c>
      <c r="G126" s="30">
        <v>100</v>
      </c>
      <c r="H126" s="30">
        <v>120</v>
      </c>
      <c r="I126" s="30">
        <v>12000</v>
      </c>
      <c r="J126" s="12"/>
      <c r="K126" s="10"/>
      <c r="L126" s="10"/>
      <c r="M126" s="10"/>
      <c r="N126" s="10"/>
    </row>
    <row r="127" spans="1:14" x14ac:dyDescent="0.3">
      <c r="A127" s="12"/>
      <c r="B127" s="43">
        <v>42402</v>
      </c>
      <c r="C127" s="30" t="s">
        <v>8</v>
      </c>
      <c r="D127" s="30" t="s">
        <v>301</v>
      </c>
      <c r="E127" s="30">
        <v>15400</v>
      </c>
      <c r="F127" s="30">
        <v>15100</v>
      </c>
      <c r="G127" s="30">
        <v>300</v>
      </c>
      <c r="H127" s="30">
        <v>120</v>
      </c>
      <c r="I127" s="30">
        <v>36000</v>
      </c>
      <c r="J127" s="12"/>
      <c r="K127" s="10"/>
      <c r="L127" s="10"/>
      <c r="M127" s="10"/>
      <c r="N127" s="10"/>
    </row>
    <row r="128" spans="1:14" x14ac:dyDescent="0.3">
      <c r="A128" s="12"/>
      <c r="B128" s="43">
        <v>42431</v>
      </c>
      <c r="C128" s="30" t="s">
        <v>8</v>
      </c>
      <c r="D128" s="30" t="s">
        <v>301</v>
      </c>
      <c r="E128" s="30">
        <v>14900</v>
      </c>
      <c r="F128" s="30">
        <v>14870</v>
      </c>
      <c r="G128" s="30">
        <v>30</v>
      </c>
      <c r="H128" s="30">
        <v>120</v>
      </c>
      <c r="I128" s="30">
        <v>3600</v>
      </c>
      <c r="J128" s="12"/>
      <c r="K128" s="10"/>
      <c r="L128" s="10"/>
      <c r="M128" s="10"/>
      <c r="N128" s="10"/>
    </row>
    <row r="129" spans="1:14" x14ac:dyDescent="0.3">
      <c r="A129" s="12"/>
      <c r="B129" s="43">
        <v>42462</v>
      </c>
      <c r="C129" s="30" t="s">
        <v>8</v>
      </c>
      <c r="D129" s="30" t="s">
        <v>301</v>
      </c>
      <c r="E129" s="30">
        <v>14980</v>
      </c>
      <c r="F129" s="30">
        <v>14830</v>
      </c>
      <c r="G129" s="30">
        <v>150</v>
      </c>
      <c r="H129" s="30">
        <v>120</v>
      </c>
      <c r="I129" s="30">
        <v>18000</v>
      </c>
      <c r="J129" s="12"/>
      <c r="K129" s="10"/>
      <c r="L129" s="10"/>
      <c r="M129" s="10"/>
      <c r="N129" s="10"/>
    </row>
    <row r="130" spans="1:14" x14ac:dyDescent="0.3">
      <c r="A130" s="12"/>
      <c r="B130" s="43">
        <v>42492</v>
      </c>
      <c r="C130" s="30" t="s">
        <v>9</v>
      </c>
      <c r="D130" s="30" t="s">
        <v>301</v>
      </c>
      <c r="E130" s="30">
        <v>15100</v>
      </c>
      <c r="F130" s="30">
        <v>15250</v>
      </c>
      <c r="G130" s="30">
        <v>150</v>
      </c>
      <c r="H130" s="30">
        <v>120</v>
      </c>
      <c r="I130" s="30">
        <v>18000</v>
      </c>
      <c r="J130" s="12"/>
      <c r="K130" s="10"/>
      <c r="L130" s="10"/>
      <c r="M130" s="10"/>
      <c r="N130" s="10"/>
    </row>
    <row r="131" spans="1:14" x14ac:dyDescent="0.3">
      <c r="A131" s="12"/>
      <c r="B131" s="43">
        <v>42584</v>
      </c>
      <c r="C131" s="30" t="s">
        <v>8</v>
      </c>
      <c r="D131" s="30" t="s">
        <v>301</v>
      </c>
      <c r="E131" s="30">
        <v>15300</v>
      </c>
      <c r="F131" s="30">
        <v>15060</v>
      </c>
      <c r="G131" s="30">
        <v>240</v>
      </c>
      <c r="H131" s="30">
        <v>120</v>
      </c>
      <c r="I131" s="30">
        <v>28800</v>
      </c>
      <c r="J131" s="12"/>
      <c r="K131" s="10"/>
      <c r="L131" s="10"/>
      <c r="M131" s="10"/>
      <c r="N131" s="10"/>
    </row>
    <row r="132" spans="1:14" x14ac:dyDescent="0.3">
      <c r="A132" s="12"/>
      <c r="B132" s="43">
        <v>42615</v>
      </c>
      <c r="C132" s="30" t="s">
        <v>8</v>
      </c>
      <c r="D132" s="30" t="s">
        <v>301</v>
      </c>
      <c r="E132" s="30">
        <v>14920</v>
      </c>
      <c r="F132" s="30">
        <v>14870</v>
      </c>
      <c r="G132" s="30">
        <v>50</v>
      </c>
      <c r="H132" s="30">
        <v>120</v>
      </c>
      <c r="I132" s="30">
        <v>6000</v>
      </c>
      <c r="J132" s="12"/>
      <c r="K132" s="10"/>
      <c r="L132" s="10"/>
      <c r="M132" s="10"/>
      <c r="N132" s="10"/>
    </row>
    <row r="133" spans="1:14" x14ac:dyDescent="0.3">
      <c r="A133" s="12"/>
      <c r="B133" s="43">
        <v>42645</v>
      </c>
      <c r="C133" s="30" t="s">
        <v>8</v>
      </c>
      <c r="D133" s="30" t="s">
        <v>301</v>
      </c>
      <c r="E133" s="30">
        <v>14700</v>
      </c>
      <c r="F133" s="30">
        <v>14550</v>
      </c>
      <c r="G133" s="30">
        <v>150</v>
      </c>
      <c r="H133" s="30">
        <v>120</v>
      </c>
      <c r="I133" s="30">
        <v>18000</v>
      </c>
      <c r="J133" s="12"/>
      <c r="K133" s="10"/>
      <c r="L133" s="10"/>
      <c r="M133" s="10"/>
      <c r="N133" s="10"/>
    </row>
    <row r="134" spans="1:14" x14ac:dyDescent="0.3">
      <c r="A134" s="12"/>
      <c r="B134" s="43">
        <v>42676</v>
      </c>
      <c r="C134" s="30" t="s">
        <v>8</v>
      </c>
      <c r="D134" s="30" t="s">
        <v>301</v>
      </c>
      <c r="E134" s="30">
        <v>14550</v>
      </c>
      <c r="F134" s="30">
        <v>14260</v>
      </c>
      <c r="G134" s="30">
        <v>290</v>
      </c>
      <c r="H134" s="30">
        <v>120</v>
      </c>
      <c r="I134" s="30">
        <v>34800</v>
      </c>
      <c r="J134" s="12"/>
      <c r="K134" s="10"/>
      <c r="L134" s="10"/>
      <c r="M134" s="10"/>
      <c r="N134" s="10"/>
    </row>
    <row r="135" spans="1:14" x14ac:dyDescent="0.3">
      <c r="A135" s="12"/>
      <c r="B135" s="43">
        <v>42706</v>
      </c>
      <c r="C135" s="30" t="s">
        <v>8</v>
      </c>
      <c r="D135" s="30" t="s">
        <v>301</v>
      </c>
      <c r="E135" s="30">
        <v>13950</v>
      </c>
      <c r="F135" s="30">
        <v>13850</v>
      </c>
      <c r="G135" s="30">
        <v>100</v>
      </c>
      <c r="H135" s="30">
        <v>120</v>
      </c>
      <c r="I135" s="30">
        <v>12000</v>
      </c>
      <c r="J135" s="12"/>
      <c r="K135" s="10"/>
      <c r="L135" s="10"/>
      <c r="M135" s="10"/>
      <c r="N135" s="10"/>
    </row>
    <row r="136" spans="1:14" x14ac:dyDescent="0.3">
      <c r="A136" s="12"/>
      <c r="B136" s="43" t="s">
        <v>1225</v>
      </c>
      <c r="C136" s="30" t="s">
        <v>9</v>
      </c>
      <c r="D136" s="30" t="s">
        <v>301</v>
      </c>
      <c r="E136" s="30">
        <v>14300</v>
      </c>
      <c r="F136" s="30">
        <v>14500</v>
      </c>
      <c r="G136" s="30">
        <v>200</v>
      </c>
      <c r="H136" s="30">
        <v>120</v>
      </c>
      <c r="I136" s="30">
        <v>24000</v>
      </c>
      <c r="J136" s="12"/>
      <c r="K136" s="10"/>
      <c r="L136" s="10"/>
      <c r="M136" s="10"/>
      <c r="N136" s="10"/>
    </row>
    <row r="137" spans="1:14" x14ac:dyDescent="0.3">
      <c r="A137" s="12"/>
      <c r="B137" s="43" t="s">
        <v>1226</v>
      </c>
      <c r="C137" s="30" t="s">
        <v>8</v>
      </c>
      <c r="D137" s="30" t="s">
        <v>301</v>
      </c>
      <c r="E137" s="30">
        <v>14400</v>
      </c>
      <c r="F137" s="30">
        <v>14170</v>
      </c>
      <c r="G137" s="30">
        <v>230</v>
      </c>
      <c r="H137" s="30">
        <v>120</v>
      </c>
      <c r="I137" s="30">
        <v>27600</v>
      </c>
      <c r="J137" s="12"/>
      <c r="K137" s="10"/>
      <c r="L137" s="10"/>
      <c r="M137" s="10"/>
      <c r="N137" s="10"/>
    </row>
    <row r="138" spans="1:14" x14ac:dyDescent="0.3">
      <c r="A138" s="12"/>
      <c r="B138" s="43" t="s">
        <v>1227</v>
      </c>
      <c r="C138" s="30" t="s">
        <v>8</v>
      </c>
      <c r="D138" s="30" t="s">
        <v>301</v>
      </c>
      <c r="E138" s="30">
        <v>14000</v>
      </c>
      <c r="F138" s="30">
        <v>13900</v>
      </c>
      <c r="G138" s="30">
        <v>100</v>
      </c>
      <c r="H138" s="30">
        <v>120</v>
      </c>
      <c r="I138" s="30">
        <v>12000</v>
      </c>
      <c r="J138" s="12"/>
      <c r="K138" s="10"/>
      <c r="L138" s="10"/>
      <c r="M138" s="10"/>
      <c r="N138" s="10"/>
    </row>
    <row r="139" spans="1:14" x14ac:dyDescent="0.3">
      <c r="A139" s="12"/>
      <c r="B139" s="43" t="s">
        <v>1228</v>
      </c>
      <c r="C139" s="30" t="s">
        <v>9</v>
      </c>
      <c r="D139" s="30" t="s">
        <v>301</v>
      </c>
      <c r="E139" s="30">
        <v>14320</v>
      </c>
      <c r="F139" s="30">
        <v>14300</v>
      </c>
      <c r="G139" s="30">
        <v>-20</v>
      </c>
      <c r="H139" s="30">
        <v>120</v>
      </c>
      <c r="I139" s="30">
        <v>-2400</v>
      </c>
      <c r="J139" s="12"/>
      <c r="K139" s="10"/>
      <c r="L139" s="10"/>
      <c r="M139" s="10"/>
      <c r="N139" s="10"/>
    </row>
    <row r="140" spans="1:14" x14ac:dyDescent="0.3">
      <c r="A140" s="12"/>
      <c r="B140" s="43" t="s">
        <v>1229</v>
      </c>
      <c r="C140" s="30" t="s">
        <v>9</v>
      </c>
      <c r="D140" s="30" t="s">
        <v>301</v>
      </c>
      <c r="E140" s="30">
        <v>14290</v>
      </c>
      <c r="F140" s="30">
        <v>14410</v>
      </c>
      <c r="G140" s="30">
        <v>120</v>
      </c>
      <c r="H140" s="30">
        <v>120</v>
      </c>
      <c r="I140" s="30">
        <v>14400</v>
      </c>
      <c r="J140" s="12"/>
      <c r="K140" s="10"/>
      <c r="L140" s="10"/>
      <c r="M140" s="10"/>
      <c r="N140" s="10"/>
    </row>
    <row r="141" spans="1:14" x14ac:dyDescent="0.3">
      <c r="A141" s="12"/>
      <c r="B141" s="43" t="s">
        <v>1244</v>
      </c>
      <c r="C141" s="30" t="s">
        <v>9</v>
      </c>
      <c r="D141" s="30" t="s">
        <v>301</v>
      </c>
      <c r="E141" s="30">
        <v>14420</v>
      </c>
      <c r="F141" s="30">
        <v>14390</v>
      </c>
      <c r="G141" s="30">
        <v>-30</v>
      </c>
      <c r="H141" s="30">
        <v>120</v>
      </c>
      <c r="I141" s="30">
        <v>-3600</v>
      </c>
      <c r="J141" s="12"/>
      <c r="K141" s="10"/>
      <c r="L141" s="10"/>
      <c r="M141" s="10"/>
      <c r="N141" s="10"/>
    </row>
    <row r="142" spans="1:14" x14ac:dyDescent="0.3">
      <c r="A142" s="12"/>
      <c r="B142" s="43" t="s">
        <v>1245</v>
      </c>
      <c r="C142" s="30" t="s">
        <v>8</v>
      </c>
      <c r="D142" s="30" t="s">
        <v>301</v>
      </c>
      <c r="E142" s="30">
        <v>14250</v>
      </c>
      <c r="F142" s="30">
        <v>13950</v>
      </c>
      <c r="G142" s="30">
        <v>300</v>
      </c>
      <c r="H142" s="30">
        <v>120</v>
      </c>
      <c r="I142" s="30">
        <v>36000</v>
      </c>
      <c r="J142" s="12"/>
      <c r="K142" s="10"/>
      <c r="L142" s="10"/>
      <c r="M142" s="10"/>
      <c r="N142" s="10"/>
    </row>
    <row r="143" spans="1:14" x14ac:dyDescent="0.3">
      <c r="A143" s="12"/>
      <c r="B143" s="43" t="s">
        <v>1246</v>
      </c>
      <c r="C143" s="30" t="s">
        <v>8</v>
      </c>
      <c r="D143" s="30" t="s">
        <v>301</v>
      </c>
      <c r="E143" s="30">
        <v>13840</v>
      </c>
      <c r="F143" s="30">
        <v>13760</v>
      </c>
      <c r="G143" s="30">
        <v>80</v>
      </c>
      <c r="H143" s="30">
        <v>120</v>
      </c>
      <c r="I143" s="94">
        <v>9600</v>
      </c>
      <c r="J143" s="12"/>
      <c r="K143" s="10"/>
      <c r="L143" s="10"/>
      <c r="M143" s="10"/>
      <c r="N143" s="10"/>
    </row>
    <row r="144" spans="1:14" x14ac:dyDescent="0.3">
      <c r="A144" s="12"/>
      <c r="B144" s="87" t="s">
        <v>1247</v>
      </c>
      <c r="C144" s="30" t="s">
        <v>8</v>
      </c>
      <c r="D144" s="30" t="s">
        <v>301</v>
      </c>
      <c r="E144" s="88">
        <v>13800</v>
      </c>
      <c r="F144" s="88">
        <v>13570</v>
      </c>
      <c r="G144" s="88">
        <v>230</v>
      </c>
      <c r="H144" s="88">
        <v>120</v>
      </c>
      <c r="I144" s="88">
        <v>27600</v>
      </c>
      <c r="J144" s="12"/>
      <c r="K144" s="10"/>
      <c r="L144" s="10"/>
      <c r="M144" s="10"/>
      <c r="N144" s="10"/>
    </row>
    <row r="145" spans="1:14" x14ac:dyDescent="0.3">
      <c r="A145" s="12"/>
      <c r="B145" s="87" t="s">
        <v>1249</v>
      </c>
      <c r="C145" s="30" t="s">
        <v>8</v>
      </c>
      <c r="D145" s="30" t="s">
        <v>301</v>
      </c>
      <c r="E145" s="88">
        <v>13680</v>
      </c>
      <c r="F145" s="88">
        <v>13880</v>
      </c>
      <c r="G145" s="88">
        <v>-200</v>
      </c>
      <c r="H145" s="88">
        <v>120</v>
      </c>
      <c r="I145" s="88">
        <v>-24000</v>
      </c>
      <c r="J145" s="12"/>
      <c r="K145" s="10"/>
      <c r="L145" s="10"/>
      <c r="M145" s="10"/>
      <c r="N145" s="10"/>
    </row>
    <row r="146" spans="1:14" x14ac:dyDescent="0.3">
      <c r="A146" s="12"/>
      <c r="B146" s="87" t="s">
        <v>1250</v>
      </c>
      <c r="C146" s="30" t="s">
        <v>9</v>
      </c>
      <c r="D146" s="30" t="s">
        <v>301</v>
      </c>
      <c r="E146" s="88">
        <v>13900</v>
      </c>
      <c r="F146" s="88">
        <v>14000</v>
      </c>
      <c r="G146" s="88">
        <v>100</v>
      </c>
      <c r="H146" s="88">
        <v>120</v>
      </c>
      <c r="I146" s="88">
        <v>12000</v>
      </c>
      <c r="J146" s="12"/>
      <c r="K146" s="10"/>
      <c r="L146" s="10"/>
      <c r="M146" s="10"/>
      <c r="N146" s="10"/>
    </row>
    <row r="147" spans="1:14" x14ac:dyDescent="0.3">
      <c r="A147" s="12"/>
      <c r="B147" s="87"/>
      <c r="C147" s="30"/>
      <c r="D147" s="30"/>
      <c r="E147" s="88"/>
      <c r="F147" s="88"/>
      <c r="G147" s="88"/>
      <c r="H147" s="88"/>
      <c r="I147" s="88"/>
      <c r="J147" s="12"/>
      <c r="K147" s="10"/>
      <c r="L147" s="10"/>
      <c r="M147" s="10"/>
      <c r="N147" s="10"/>
    </row>
    <row r="148" spans="1:14" ht="21" x14ac:dyDescent="0.4">
      <c r="A148" s="12"/>
      <c r="B148" s="10"/>
      <c r="C148" s="10"/>
      <c r="D148" s="10"/>
      <c r="E148" s="10"/>
      <c r="F148" s="10"/>
      <c r="G148" s="10"/>
      <c r="H148" s="10"/>
      <c r="I148" s="101">
        <v>320400</v>
      </c>
      <c r="J148" s="12"/>
      <c r="K148" s="10"/>
      <c r="L148" s="10"/>
      <c r="M148" s="10"/>
      <c r="N148" s="10"/>
    </row>
    <row r="149" spans="1:14" x14ac:dyDescent="0.3">
      <c r="A149" s="12"/>
      <c r="B149" s="10"/>
      <c r="C149" s="10"/>
      <c r="D149" s="10"/>
      <c r="E149" s="10"/>
      <c r="F149" s="10"/>
      <c r="G149" s="10"/>
      <c r="H149" s="10"/>
      <c r="I149" s="10"/>
      <c r="J149" s="12"/>
      <c r="K149" s="10"/>
      <c r="L149" s="10"/>
      <c r="M149" s="10"/>
      <c r="N149" s="10"/>
    </row>
    <row r="150" spans="1:14" ht="18" x14ac:dyDescent="0.35">
      <c r="A150" s="99"/>
      <c r="B150" s="285" t="s">
        <v>1076</v>
      </c>
      <c r="C150" s="286"/>
      <c r="D150" s="286"/>
      <c r="E150" s="286"/>
      <c r="F150" s="286"/>
      <c r="G150" s="286"/>
      <c r="H150" s="286"/>
      <c r="I150" s="287"/>
      <c r="J150" s="99"/>
      <c r="K150" s="10"/>
      <c r="L150" s="10"/>
      <c r="M150" s="10"/>
      <c r="N150" s="10"/>
    </row>
    <row r="151" spans="1:14" x14ac:dyDescent="0.3">
      <c r="A151" s="12"/>
      <c r="B151" s="43">
        <v>42371</v>
      </c>
      <c r="C151" s="30" t="s">
        <v>9</v>
      </c>
      <c r="D151" s="30" t="s">
        <v>1173</v>
      </c>
      <c r="E151" s="30">
        <v>9.5</v>
      </c>
      <c r="F151" s="30">
        <v>13</v>
      </c>
      <c r="G151" s="30">
        <v>3.5</v>
      </c>
      <c r="H151" s="30">
        <v>2000</v>
      </c>
      <c r="I151" s="30">
        <v>7000</v>
      </c>
      <c r="J151" s="12"/>
      <c r="K151" s="10"/>
      <c r="L151" s="10"/>
      <c r="M151" s="10"/>
      <c r="N151" s="10"/>
    </row>
    <row r="152" spans="1:14" ht="18" x14ac:dyDescent="0.35">
      <c r="A152" s="12"/>
      <c r="B152" s="43">
        <v>42402</v>
      </c>
      <c r="C152" s="30" t="s">
        <v>9</v>
      </c>
      <c r="D152" s="30" t="s">
        <v>1208</v>
      </c>
      <c r="E152" s="30">
        <v>38</v>
      </c>
      <c r="F152" s="30">
        <v>45</v>
      </c>
      <c r="G152" s="30">
        <v>7</v>
      </c>
      <c r="H152" s="30">
        <v>600</v>
      </c>
      <c r="I152" s="30">
        <v>4200</v>
      </c>
      <c r="J152" s="12"/>
      <c r="K152" s="100"/>
      <c r="L152" s="100"/>
      <c r="M152" s="100"/>
      <c r="N152" s="100"/>
    </row>
    <row r="153" spans="1:14" x14ac:dyDescent="0.3">
      <c r="A153" s="12"/>
      <c r="B153" s="43">
        <v>42431</v>
      </c>
      <c r="C153" s="30" t="s">
        <v>9</v>
      </c>
      <c r="D153" s="30" t="s">
        <v>1209</v>
      </c>
      <c r="E153" s="30">
        <v>9.5</v>
      </c>
      <c r="F153" s="30">
        <v>12</v>
      </c>
      <c r="G153" s="30">
        <v>2.5</v>
      </c>
      <c r="H153" s="30">
        <v>2000</v>
      </c>
      <c r="I153" s="30">
        <v>5000</v>
      </c>
      <c r="J153" s="12"/>
      <c r="K153" s="10"/>
      <c r="L153" s="30"/>
      <c r="M153" s="10"/>
      <c r="N153" s="10"/>
    </row>
    <row r="154" spans="1:14" x14ac:dyDescent="0.3">
      <c r="A154" s="12"/>
      <c r="B154" s="43">
        <v>42462</v>
      </c>
      <c r="C154" s="30" t="s">
        <v>9</v>
      </c>
      <c r="D154" s="30" t="s">
        <v>1210</v>
      </c>
      <c r="E154" s="30">
        <v>28</v>
      </c>
      <c r="F154" s="30">
        <v>38</v>
      </c>
      <c r="G154" s="30">
        <v>10</v>
      </c>
      <c r="H154" s="30">
        <v>700</v>
      </c>
      <c r="I154" s="30">
        <v>7000</v>
      </c>
      <c r="J154" s="12"/>
      <c r="K154" s="10"/>
      <c r="L154" s="30"/>
      <c r="M154" s="10"/>
      <c r="N154" s="10"/>
    </row>
    <row r="155" spans="1:14" x14ac:dyDescent="0.3">
      <c r="A155" s="12"/>
      <c r="B155" s="43">
        <v>42492</v>
      </c>
      <c r="C155" s="30" t="s">
        <v>9</v>
      </c>
      <c r="D155" s="30" t="s">
        <v>1211</v>
      </c>
      <c r="E155" s="30">
        <v>90</v>
      </c>
      <c r="F155" s="30">
        <v>110</v>
      </c>
      <c r="G155" s="30">
        <v>20</v>
      </c>
      <c r="H155" s="30">
        <v>125</v>
      </c>
      <c r="I155" s="30">
        <v>2500</v>
      </c>
      <c r="J155" s="12"/>
      <c r="K155" s="10"/>
      <c r="L155" s="30"/>
      <c r="M155" s="10"/>
      <c r="N155" s="10"/>
    </row>
    <row r="156" spans="1:14" x14ac:dyDescent="0.3">
      <c r="A156" s="12"/>
      <c r="B156" s="43">
        <v>42584</v>
      </c>
      <c r="C156" s="30" t="s">
        <v>9</v>
      </c>
      <c r="D156" s="30" t="s">
        <v>1232</v>
      </c>
      <c r="E156" s="30">
        <v>22</v>
      </c>
      <c r="F156" s="30">
        <v>34</v>
      </c>
      <c r="G156" s="30">
        <v>12</v>
      </c>
      <c r="H156" s="30">
        <v>400</v>
      </c>
      <c r="I156" s="30">
        <v>4800</v>
      </c>
      <c r="J156" s="12"/>
      <c r="K156" s="10"/>
      <c r="L156" s="30"/>
      <c r="M156" s="10"/>
      <c r="N156" s="10"/>
    </row>
    <row r="157" spans="1:14" x14ac:dyDescent="0.3">
      <c r="A157" s="12"/>
      <c r="B157" s="43">
        <v>42615</v>
      </c>
      <c r="C157" s="30" t="s">
        <v>9</v>
      </c>
      <c r="D157" s="30" t="s">
        <v>1233</v>
      </c>
      <c r="E157" s="30">
        <v>22</v>
      </c>
      <c r="F157" s="30">
        <v>28</v>
      </c>
      <c r="G157" s="30">
        <v>6</v>
      </c>
      <c r="H157" s="30">
        <v>700</v>
      </c>
      <c r="I157" s="30">
        <v>4200</v>
      </c>
      <c r="J157" s="12"/>
      <c r="K157" s="10"/>
      <c r="L157" s="30"/>
      <c r="M157" s="10"/>
      <c r="N157" s="10"/>
    </row>
    <row r="158" spans="1:14" x14ac:dyDescent="0.3">
      <c r="A158" s="12"/>
      <c r="B158" s="43">
        <v>42645</v>
      </c>
      <c r="C158" s="30" t="s">
        <v>9</v>
      </c>
      <c r="D158" s="30" t="s">
        <v>1234</v>
      </c>
      <c r="E158" s="30">
        <v>23</v>
      </c>
      <c r="F158" s="30">
        <v>27</v>
      </c>
      <c r="G158" s="30">
        <v>4</v>
      </c>
      <c r="H158" s="30">
        <v>700</v>
      </c>
      <c r="I158" s="30">
        <v>2800</v>
      </c>
      <c r="J158" s="12"/>
      <c r="K158" s="10"/>
      <c r="L158" s="30"/>
      <c r="M158" s="10"/>
      <c r="N158" s="10"/>
    </row>
    <row r="159" spans="1:14" x14ac:dyDescent="0.3">
      <c r="A159" s="12"/>
      <c r="B159" s="43">
        <v>42676</v>
      </c>
      <c r="C159" s="30" t="s">
        <v>9</v>
      </c>
      <c r="D159" s="30" t="s">
        <v>1235</v>
      </c>
      <c r="E159" s="30">
        <v>33</v>
      </c>
      <c r="F159" s="30">
        <v>38</v>
      </c>
      <c r="G159" s="30">
        <v>5</v>
      </c>
      <c r="H159" s="30">
        <v>375</v>
      </c>
      <c r="I159" s="30">
        <v>1875</v>
      </c>
      <c r="J159" s="12"/>
      <c r="K159" s="10"/>
      <c r="L159" s="10"/>
      <c r="M159" s="10"/>
      <c r="N159" s="10"/>
    </row>
    <row r="160" spans="1:14" x14ac:dyDescent="0.3">
      <c r="A160" s="12"/>
      <c r="B160" s="43">
        <v>42706</v>
      </c>
      <c r="C160" s="30" t="s">
        <v>9</v>
      </c>
      <c r="D160" s="30" t="s">
        <v>1236</v>
      </c>
      <c r="E160" s="30">
        <v>34</v>
      </c>
      <c r="F160" s="30">
        <v>24</v>
      </c>
      <c r="G160" s="30">
        <v>-10</v>
      </c>
      <c r="H160" s="30">
        <v>700</v>
      </c>
      <c r="I160" s="30">
        <v>-7000</v>
      </c>
      <c r="J160" s="12"/>
      <c r="K160" s="10"/>
      <c r="L160" s="10"/>
      <c r="M160" s="10"/>
      <c r="N160" s="10"/>
    </row>
    <row r="161" spans="1:14" x14ac:dyDescent="0.3">
      <c r="A161" s="12"/>
      <c r="B161" s="43" t="s">
        <v>1225</v>
      </c>
      <c r="C161" s="30" t="s">
        <v>9</v>
      </c>
      <c r="D161" s="30" t="s">
        <v>1237</v>
      </c>
      <c r="E161" s="30">
        <v>25</v>
      </c>
      <c r="F161" s="30">
        <v>32</v>
      </c>
      <c r="G161" s="30">
        <v>7</v>
      </c>
      <c r="H161" s="30">
        <v>400</v>
      </c>
      <c r="I161" s="30">
        <v>2800</v>
      </c>
      <c r="J161" s="12"/>
      <c r="K161" s="10"/>
      <c r="L161" s="10"/>
      <c r="M161" s="10"/>
      <c r="N161" s="10"/>
    </row>
    <row r="162" spans="1:14" x14ac:dyDescent="0.3">
      <c r="A162" s="12"/>
      <c r="B162" s="43" t="s">
        <v>1226</v>
      </c>
      <c r="C162" s="30" t="s">
        <v>9</v>
      </c>
      <c r="D162" s="30" t="s">
        <v>473</v>
      </c>
      <c r="E162" s="30">
        <v>22</v>
      </c>
      <c r="F162" s="30">
        <v>26</v>
      </c>
      <c r="G162" s="30">
        <v>4</v>
      </c>
      <c r="H162" s="30">
        <v>400</v>
      </c>
      <c r="I162" s="30">
        <v>1600</v>
      </c>
      <c r="J162" s="12"/>
      <c r="K162" s="10"/>
      <c r="L162" s="10"/>
      <c r="M162" s="10"/>
      <c r="N162" s="10"/>
    </row>
    <row r="163" spans="1:14" x14ac:dyDescent="0.3">
      <c r="A163" s="12"/>
      <c r="B163" s="43" t="s">
        <v>1227</v>
      </c>
      <c r="C163" s="30" t="s">
        <v>9</v>
      </c>
      <c r="D163" s="30" t="s">
        <v>1238</v>
      </c>
      <c r="E163" s="30">
        <v>27</v>
      </c>
      <c r="F163" s="30">
        <v>32</v>
      </c>
      <c r="G163" s="30">
        <v>5</v>
      </c>
      <c r="H163" s="30">
        <v>400</v>
      </c>
      <c r="I163" s="30">
        <v>2000</v>
      </c>
      <c r="J163" s="12"/>
      <c r="K163" s="10"/>
      <c r="L163" s="10"/>
      <c r="M163" s="10"/>
      <c r="N163" s="10"/>
    </row>
    <row r="164" spans="1:14" x14ac:dyDescent="0.3">
      <c r="A164" s="12"/>
      <c r="B164" s="43" t="s">
        <v>1228</v>
      </c>
      <c r="C164" s="30" t="s">
        <v>9</v>
      </c>
      <c r="D164" s="30" t="s">
        <v>1236</v>
      </c>
      <c r="E164" s="30">
        <v>14</v>
      </c>
      <c r="F164" s="30">
        <v>23</v>
      </c>
      <c r="G164" s="30">
        <v>9</v>
      </c>
      <c r="H164" s="30">
        <v>700</v>
      </c>
      <c r="I164" s="30">
        <v>6300</v>
      </c>
      <c r="J164" s="12"/>
      <c r="K164" s="10"/>
      <c r="L164" s="10"/>
      <c r="M164" s="10"/>
      <c r="N164" s="10"/>
    </row>
    <row r="165" spans="1:14" x14ac:dyDescent="0.3">
      <c r="A165" s="12"/>
      <c r="B165" s="43" t="s">
        <v>1229</v>
      </c>
      <c r="C165" s="30" t="s">
        <v>9</v>
      </c>
      <c r="D165" s="30" t="s">
        <v>1239</v>
      </c>
      <c r="E165" s="30">
        <v>20</v>
      </c>
      <c r="F165" s="30">
        <v>27</v>
      </c>
      <c r="G165" s="30">
        <v>7</v>
      </c>
      <c r="H165" s="30">
        <v>500</v>
      </c>
      <c r="I165" s="30">
        <v>3500</v>
      </c>
      <c r="J165" s="12"/>
      <c r="K165" s="10"/>
      <c r="L165" s="10"/>
      <c r="M165" s="10"/>
      <c r="N165" s="10"/>
    </row>
    <row r="166" spans="1:14" x14ac:dyDescent="0.3">
      <c r="A166" s="12"/>
      <c r="B166" s="43" t="s">
        <v>1244</v>
      </c>
      <c r="C166" s="30" t="s">
        <v>9</v>
      </c>
      <c r="D166" s="30" t="s">
        <v>1236</v>
      </c>
      <c r="E166" s="30">
        <v>11</v>
      </c>
      <c r="F166" s="30">
        <v>15</v>
      </c>
      <c r="G166" s="30">
        <v>4</v>
      </c>
      <c r="H166" s="30">
        <v>700</v>
      </c>
      <c r="I166" s="30">
        <v>2800</v>
      </c>
      <c r="J166" s="12"/>
      <c r="K166" s="10"/>
      <c r="L166" s="10"/>
      <c r="M166" s="10"/>
      <c r="N166" s="10"/>
    </row>
    <row r="167" spans="1:14" x14ac:dyDescent="0.3">
      <c r="A167" s="12"/>
      <c r="B167" s="43" t="s">
        <v>1245</v>
      </c>
      <c r="C167" s="30" t="s">
        <v>9</v>
      </c>
      <c r="D167" s="30" t="s">
        <v>1236</v>
      </c>
      <c r="E167" s="30">
        <v>13</v>
      </c>
      <c r="F167" s="30">
        <v>25</v>
      </c>
      <c r="G167" s="30">
        <v>12</v>
      </c>
      <c r="H167" s="30">
        <v>700</v>
      </c>
      <c r="I167" s="30">
        <v>8400</v>
      </c>
      <c r="J167" s="12"/>
      <c r="K167" s="10"/>
      <c r="L167" s="10"/>
      <c r="M167" s="10"/>
      <c r="N167" s="10"/>
    </row>
    <row r="168" spans="1:14" x14ac:dyDescent="0.3">
      <c r="A168" s="12"/>
      <c r="B168" s="43" t="s">
        <v>1246</v>
      </c>
      <c r="C168" s="30" t="s">
        <v>9</v>
      </c>
      <c r="D168" s="30" t="s">
        <v>1134</v>
      </c>
      <c r="E168" s="30">
        <v>22</v>
      </c>
      <c r="F168" s="288" t="s">
        <v>376</v>
      </c>
      <c r="G168" s="289"/>
      <c r="H168" s="289"/>
      <c r="I168" s="290"/>
      <c r="J168" s="12"/>
      <c r="K168" s="10"/>
      <c r="L168" s="10"/>
      <c r="M168" s="10"/>
      <c r="N168" s="10"/>
    </row>
    <row r="169" spans="1:14" x14ac:dyDescent="0.3">
      <c r="A169" s="12"/>
      <c r="B169" s="87" t="s">
        <v>1247</v>
      </c>
      <c r="C169" s="30" t="s">
        <v>9</v>
      </c>
      <c r="D169" s="30" t="s">
        <v>1134</v>
      </c>
      <c r="E169" s="30">
        <v>17</v>
      </c>
      <c r="F169" s="30">
        <v>28</v>
      </c>
      <c r="G169" s="30">
        <v>11</v>
      </c>
      <c r="H169" s="30">
        <v>700</v>
      </c>
      <c r="I169" s="30">
        <v>7700</v>
      </c>
      <c r="J169" s="12"/>
      <c r="K169" s="10"/>
      <c r="L169" s="10"/>
      <c r="M169" s="10"/>
      <c r="N169" s="10"/>
    </row>
    <row r="170" spans="1:14" x14ac:dyDescent="0.3">
      <c r="A170" s="12"/>
      <c r="B170" s="87" t="s">
        <v>1249</v>
      </c>
      <c r="C170" s="30" t="s">
        <v>9</v>
      </c>
      <c r="D170" s="30" t="s">
        <v>1252</v>
      </c>
      <c r="E170" s="30">
        <v>90</v>
      </c>
      <c r="F170" s="30">
        <v>97</v>
      </c>
      <c r="G170" s="30">
        <v>7</v>
      </c>
      <c r="H170" s="30">
        <v>125</v>
      </c>
      <c r="I170" s="30">
        <v>875</v>
      </c>
      <c r="J170" s="12"/>
      <c r="K170" s="10"/>
      <c r="L170" s="10"/>
      <c r="M170" s="10"/>
      <c r="N170" s="10"/>
    </row>
    <row r="171" spans="1:14" x14ac:dyDescent="0.3">
      <c r="A171" s="12"/>
      <c r="B171" s="87" t="s">
        <v>1250</v>
      </c>
      <c r="C171" s="30" t="s">
        <v>9</v>
      </c>
      <c r="D171" s="30" t="s">
        <v>1146</v>
      </c>
      <c r="E171" s="30">
        <v>33</v>
      </c>
      <c r="F171" s="30">
        <v>36</v>
      </c>
      <c r="G171" s="30">
        <v>3</v>
      </c>
      <c r="H171" s="30">
        <v>700</v>
      </c>
      <c r="I171" s="30">
        <v>2100</v>
      </c>
      <c r="J171" s="12"/>
      <c r="K171" s="10"/>
      <c r="L171" s="10"/>
      <c r="M171" s="10"/>
      <c r="N171" s="10"/>
    </row>
    <row r="172" spans="1:14" ht="18" x14ac:dyDescent="0.35">
      <c r="A172" s="12"/>
      <c r="B172" s="10"/>
      <c r="C172" s="10"/>
      <c r="D172" s="10"/>
      <c r="E172" s="10"/>
      <c r="F172" s="10"/>
      <c r="G172" s="10"/>
      <c r="H172" s="10"/>
      <c r="I172" s="72"/>
      <c r="J172" s="12"/>
      <c r="K172" s="10"/>
      <c r="L172" s="10"/>
      <c r="M172" s="10"/>
      <c r="N172" s="10"/>
    </row>
    <row r="173" spans="1:14" ht="21" x14ac:dyDescent="0.4">
      <c r="A173" s="12"/>
      <c r="B173" s="10"/>
      <c r="C173" s="10"/>
      <c r="D173" s="10"/>
      <c r="E173" s="10"/>
      <c r="F173" s="10"/>
      <c r="G173" s="10"/>
      <c r="H173" s="10"/>
      <c r="I173" s="101">
        <v>70450</v>
      </c>
      <c r="J173" s="12"/>
      <c r="K173" s="10"/>
      <c r="L173" s="10"/>
      <c r="M173" s="10"/>
      <c r="N173" s="10"/>
    </row>
    <row r="174" spans="1:14" x14ac:dyDescent="0.3">
      <c r="A174" s="12"/>
      <c r="B174" s="10"/>
      <c r="C174" s="10"/>
      <c r="D174" s="10"/>
      <c r="E174" s="10"/>
      <c r="F174" s="10"/>
      <c r="G174" s="10"/>
      <c r="H174" s="10"/>
      <c r="I174" s="10"/>
      <c r="J174" s="12"/>
      <c r="K174" s="10"/>
      <c r="L174" s="10"/>
      <c r="M174" s="10"/>
      <c r="N174" s="10"/>
    </row>
    <row r="175" spans="1:14" ht="18" x14ac:dyDescent="0.35">
      <c r="A175" s="12"/>
      <c r="B175" s="285" t="s">
        <v>1152</v>
      </c>
      <c r="C175" s="286"/>
      <c r="D175" s="286"/>
      <c r="E175" s="286"/>
      <c r="F175" s="286"/>
      <c r="G175" s="286"/>
      <c r="H175" s="286"/>
      <c r="I175" s="287"/>
      <c r="J175" s="12"/>
      <c r="K175" s="10"/>
      <c r="L175" s="10"/>
      <c r="M175" s="10"/>
      <c r="N175" s="10"/>
    </row>
    <row r="176" spans="1:14" x14ac:dyDescent="0.3">
      <c r="A176" s="12"/>
      <c r="B176" s="43">
        <v>42371</v>
      </c>
      <c r="C176" s="30" t="s">
        <v>9</v>
      </c>
      <c r="D176" s="30" t="s">
        <v>1155</v>
      </c>
      <c r="E176" s="30">
        <v>230</v>
      </c>
      <c r="F176" s="30">
        <v>280</v>
      </c>
      <c r="G176" s="30">
        <v>50</v>
      </c>
      <c r="H176" s="30">
        <v>120</v>
      </c>
      <c r="I176" s="30">
        <v>6000</v>
      </c>
      <c r="J176" s="12"/>
      <c r="K176" s="10"/>
      <c r="L176" s="10"/>
      <c r="M176" s="10"/>
      <c r="N176" s="10"/>
    </row>
    <row r="177" spans="1:14" x14ac:dyDescent="0.3">
      <c r="A177" s="12"/>
      <c r="B177" s="43">
        <v>42402</v>
      </c>
      <c r="C177" s="30" t="s">
        <v>9</v>
      </c>
      <c r="D177" s="30" t="s">
        <v>1155</v>
      </c>
      <c r="E177" s="30">
        <v>230</v>
      </c>
      <c r="F177" s="30">
        <v>350</v>
      </c>
      <c r="G177" s="30">
        <v>120</v>
      </c>
      <c r="H177" s="30">
        <v>120</v>
      </c>
      <c r="I177" s="30">
        <v>14400</v>
      </c>
      <c r="J177" s="12"/>
      <c r="K177" s="10"/>
      <c r="L177" s="10"/>
      <c r="M177" s="10"/>
      <c r="N177" s="10"/>
    </row>
    <row r="178" spans="1:14" x14ac:dyDescent="0.3">
      <c r="A178" s="12"/>
      <c r="B178" s="43">
        <v>42431</v>
      </c>
      <c r="C178" s="30" t="s">
        <v>9</v>
      </c>
      <c r="D178" s="30" t="s">
        <v>1212</v>
      </c>
      <c r="E178" s="30">
        <v>290</v>
      </c>
      <c r="F178" s="30">
        <v>280</v>
      </c>
      <c r="G178" s="30">
        <v>-10</v>
      </c>
      <c r="H178" s="30">
        <v>120</v>
      </c>
      <c r="I178" s="30">
        <v>-1200</v>
      </c>
      <c r="J178" s="12"/>
      <c r="K178" s="10"/>
      <c r="L178" s="10"/>
      <c r="M178" s="10"/>
      <c r="N178" s="10"/>
    </row>
    <row r="179" spans="1:14" x14ac:dyDescent="0.3">
      <c r="A179" s="12"/>
      <c r="B179" s="43">
        <v>42462</v>
      </c>
      <c r="C179" s="30" t="s">
        <v>9</v>
      </c>
      <c r="D179" s="30" t="s">
        <v>1212</v>
      </c>
      <c r="E179" s="30">
        <v>250</v>
      </c>
      <c r="F179" s="30">
        <v>320</v>
      </c>
      <c r="G179" s="30">
        <v>70</v>
      </c>
      <c r="H179" s="30">
        <v>120</v>
      </c>
      <c r="I179" s="30">
        <v>8400</v>
      </c>
      <c r="J179" s="12"/>
      <c r="K179" s="10"/>
      <c r="L179" s="10"/>
      <c r="M179" s="10"/>
      <c r="N179" s="10"/>
    </row>
    <row r="180" spans="1:14" x14ac:dyDescent="0.3">
      <c r="A180" s="12"/>
      <c r="B180" s="43">
        <v>42492</v>
      </c>
      <c r="C180" s="30" t="s">
        <v>9</v>
      </c>
      <c r="D180" s="30" t="s">
        <v>1213</v>
      </c>
      <c r="E180" s="30">
        <v>310</v>
      </c>
      <c r="F180" s="30">
        <v>400</v>
      </c>
      <c r="G180" s="30">
        <v>90</v>
      </c>
      <c r="H180" s="30">
        <v>120</v>
      </c>
      <c r="I180" s="30">
        <v>10800</v>
      </c>
      <c r="J180" s="12"/>
      <c r="K180" s="10"/>
      <c r="L180" s="10"/>
      <c r="M180" s="10"/>
      <c r="N180" s="10"/>
    </row>
    <row r="181" spans="1:14" x14ac:dyDescent="0.3">
      <c r="A181" s="12"/>
      <c r="B181" s="43">
        <v>42584</v>
      </c>
      <c r="C181" s="30" t="s">
        <v>9</v>
      </c>
      <c r="D181" s="30" t="s">
        <v>1220</v>
      </c>
      <c r="E181" s="30">
        <v>320</v>
      </c>
      <c r="F181" s="30">
        <v>480</v>
      </c>
      <c r="G181" s="30">
        <v>160</v>
      </c>
      <c r="H181" s="30">
        <v>120</v>
      </c>
      <c r="I181" s="30">
        <v>19200</v>
      </c>
      <c r="J181" s="12"/>
      <c r="K181" s="10"/>
      <c r="L181" s="10"/>
      <c r="M181" s="10"/>
      <c r="N181" s="10"/>
    </row>
    <row r="182" spans="1:14" x14ac:dyDescent="0.3">
      <c r="A182" s="12"/>
      <c r="B182" s="43">
        <v>42615</v>
      </c>
      <c r="C182" s="30" t="s">
        <v>9</v>
      </c>
      <c r="D182" s="30" t="s">
        <v>1221</v>
      </c>
      <c r="E182" s="30">
        <v>370</v>
      </c>
      <c r="F182" s="30">
        <v>400</v>
      </c>
      <c r="G182" s="30">
        <v>30</v>
      </c>
      <c r="H182" s="30">
        <v>120</v>
      </c>
      <c r="I182" s="30">
        <v>3600</v>
      </c>
      <c r="J182" s="12"/>
      <c r="K182" s="10"/>
      <c r="L182" s="10"/>
      <c r="M182" s="10"/>
      <c r="N182" s="10"/>
    </row>
    <row r="183" spans="1:14" x14ac:dyDescent="0.3">
      <c r="A183" s="12"/>
      <c r="B183" s="43">
        <v>42645</v>
      </c>
      <c r="C183" s="30" t="s">
        <v>9</v>
      </c>
      <c r="D183" s="30" t="s">
        <v>1222</v>
      </c>
      <c r="E183" s="30">
        <v>360</v>
      </c>
      <c r="F183" s="30">
        <v>410</v>
      </c>
      <c r="G183" s="30">
        <v>50</v>
      </c>
      <c r="H183" s="30">
        <v>120</v>
      </c>
      <c r="I183" s="30">
        <v>6000</v>
      </c>
      <c r="J183" s="12"/>
      <c r="K183" s="10"/>
      <c r="L183" s="10"/>
      <c r="M183" s="10"/>
      <c r="N183" s="10"/>
    </row>
    <row r="184" spans="1:14" x14ac:dyDescent="0.3">
      <c r="A184" s="12"/>
      <c r="B184" s="43">
        <v>42676</v>
      </c>
      <c r="C184" s="30" t="s">
        <v>9</v>
      </c>
      <c r="D184" s="30" t="s">
        <v>1223</v>
      </c>
      <c r="E184" s="30">
        <v>370</v>
      </c>
      <c r="F184" s="30">
        <v>530</v>
      </c>
      <c r="G184" s="30">
        <v>160</v>
      </c>
      <c r="H184" s="30">
        <v>120</v>
      </c>
      <c r="I184" s="30">
        <v>19200</v>
      </c>
      <c r="J184" s="12"/>
      <c r="K184" s="10"/>
      <c r="L184" s="10"/>
      <c r="M184" s="10"/>
      <c r="N184" s="10"/>
    </row>
    <row r="185" spans="1:14" x14ac:dyDescent="0.3">
      <c r="A185" s="12"/>
      <c r="B185" s="43">
        <v>42706</v>
      </c>
      <c r="C185" s="30" t="s">
        <v>11</v>
      </c>
      <c r="D185" s="30" t="s">
        <v>1224</v>
      </c>
      <c r="E185" s="30">
        <v>360</v>
      </c>
      <c r="F185" s="30">
        <v>410</v>
      </c>
      <c r="G185" s="30">
        <v>50</v>
      </c>
      <c r="H185" s="30">
        <v>120</v>
      </c>
      <c r="I185" s="30">
        <v>6000</v>
      </c>
      <c r="J185" s="12"/>
      <c r="K185" s="10"/>
      <c r="L185" s="10"/>
      <c r="M185" s="10"/>
      <c r="N185" s="10"/>
    </row>
    <row r="186" spans="1:14" x14ac:dyDescent="0.3">
      <c r="A186" s="12"/>
      <c r="B186" s="43" t="s">
        <v>1225</v>
      </c>
      <c r="C186" s="30" t="s">
        <v>9</v>
      </c>
      <c r="D186" s="30" t="s">
        <v>1240</v>
      </c>
      <c r="E186" s="30">
        <v>270</v>
      </c>
      <c r="F186" s="30">
        <v>350</v>
      </c>
      <c r="G186" s="30">
        <v>80</v>
      </c>
      <c r="H186" s="30">
        <v>120</v>
      </c>
      <c r="I186" s="30">
        <v>9600</v>
      </c>
      <c r="J186" s="12"/>
      <c r="K186" s="10"/>
      <c r="L186" s="10"/>
      <c r="M186" s="10"/>
      <c r="N186" s="10"/>
    </row>
    <row r="187" spans="1:14" x14ac:dyDescent="0.3">
      <c r="A187" s="12"/>
      <c r="B187" s="43" t="s">
        <v>1226</v>
      </c>
      <c r="C187" s="30" t="s">
        <v>9</v>
      </c>
      <c r="D187" s="30" t="s">
        <v>1241</v>
      </c>
      <c r="E187" s="30">
        <v>240</v>
      </c>
      <c r="F187" s="30">
        <v>360</v>
      </c>
      <c r="G187" s="30">
        <v>120</v>
      </c>
      <c r="H187" s="30">
        <v>120</v>
      </c>
      <c r="I187" s="30">
        <v>14400</v>
      </c>
      <c r="J187" s="12"/>
      <c r="K187" s="10"/>
      <c r="L187" s="10"/>
      <c r="M187" s="10"/>
      <c r="N187" s="10"/>
    </row>
    <row r="188" spans="1:14" x14ac:dyDescent="0.3">
      <c r="A188" s="12"/>
      <c r="B188" s="43" t="s">
        <v>1227</v>
      </c>
      <c r="C188" s="30" t="s">
        <v>9</v>
      </c>
      <c r="D188" s="30" t="s">
        <v>1242</v>
      </c>
      <c r="E188" s="30">
        <v>280</v>
      </c>
      <c r="F188" s="30">
        <v>310</v>
      </c>
      <c r="G188" s="30">
        <v>30</v>
      </c>
      <c r="H188" s="30">
        <v>120</v>
      </c>
      <c r="I188" s="30">
        <v>3600</v>
      </c>
      <c r="J188" s="12"/>
      <c r="K188" s="10"/>
      <c r="L188" s="10"/>
      <c r="M188" s="10"/>
      <c r="N188" s="10"/>
    </row>
    <row r="189" spans="1:14" x14ac:dyDescent="0.3">
      <c r="A189" s="12"/>
      <c r="B189" s="43" t="s">
        <v>1228</v>
      </c>
      <c r="C189" s="30" t="s">
        <v>9</v>
      </c>
      <c r="D189" s="30" t="s">
        <v>1243</v>
      </c>
      <c r="E189" s="30">
        <v>270</v>
      </c>
      <c r="F189" s="30">
        <v>200</v>
      </c>
      <c r="G189" s="30">
        <v>-70</v>
      </c>
      <c r="H189" s="30">
        <v>120</v>
      </c>
      <c r="I189" s="30">
        <v>-8400</v>
      </c>
      <c r="J189" s="12"/>
      <c r="K189" s="10"/>
      <c r="L189" s="10"/>
      <c r="M189" s="10"/>
      <c r="N189" s="10"/>
    </row>
    <row r="190" spans="1:14" x14ac:dyDescent="0.3">
      <c r="A190" s="12"/>
      <c r="B190" s="43" t="s">
        <v>1229</v>
      </c>
      <c r="C190" s="30" t="s">
        <v>9</v>
      </c>
      <c r="D190" s="30" t="s">
        <v>1243</v>
      </c>
      <c r="E190" s="30">
        <v>230</v>
      </c>
      <c r="F190" s="30">
        <v>255</v>
      </c>
      <c r="G190" s="30">
        <v>25</v>
      </c>
      <c r="H190" s="30">
        <v>120</v>
      </c>
      <c r="I190" s="30">
        <v>3000</v>
      </c>
      <c r="J190" s="12"/>
      <c r="K190" s="10"/>
      <c r="L190" s="10"/>
      <c r="M190" s="10"/>
      <c r="N190" s="10"/>
    </row>
    <row r="191" spans="1:14" x14ac:dyDescent="0.3">
      <c r="A191" s="12"/>
      <c r="B191" s="43" t="s">
        <v>1244</v>
      </c>
      <c r="C191" s="30" t="s">
        <v>9</v>
      </c>
      <c r="D191" s="30" t="s">
        <v>1243</v>
      </c>
      <c r="E191" s="30">
        <v>290</v>
      </c>
      <c r="F191" s="30">
        <v>210</v>
      </c>
      <c r="G191" s="30">
        <v>-80</v>
      </c>
      <c r="H191" s="30">
        <v>120</v>
      </c>
      <c r="I191" s="30">
        <v>-9600</v>
      </c>
      <c r="J191" s="12"/>
      <c r="K191" s="10"/>
      <c r="L191" s="10"/>
      <c r="M191" s="10"/>
      <c r="N191" s="10"/>
    </row>
    <row r="192" spans="1:14" x14ac:dyDescent="0.3">
      <c r="A192" s="12"/>
      <c r="B192" s="43" t="s">
        <v>1245</v>
      </c>
      <c r="C192" s="30" t="s">
        <v>9</v>
      </c>
      <c r="D192" s="30" t="s">
        <v>1241</v>
      </c>
      <c r="E192" s="30">
        <v>190</v>
      </c>
      <c r="F192" s="30">
        <v>340</v>
      </c>
      <c r="G192" s="30">
        <v>150</v>
      </c>
      <c r="H192" s="30">
        <v>120</v>
      </c>
      <c r="I192" s="30">
        <v>18000</v>
      </c>
      <c r="J192" s="12"/>
      <c r="K192" s="10"/>
      <c r="L192" s="10"/>
      <c r="M192" s="10"/>
      <c r="N192" s="10"/>
    </row>
    <row r="193" spans="1:14" x14ac:dyDescent="0.3">
      <c r="A193" s="12"/>
      <c r="B193" s="43" t="s">
        <v>1246</v>
      </c>
      <c r="C193" s="30" t="s">
        <v>9</v>
      </c>
      <c r="D193" s="30" t="s">
        <v>1224</v>
      </c>
      <c r="E193" s="30">
        <v>210</v>
      </c>
      <c r="F193" s="30">
        <v>150</v>
      </c>
      <c r="G193" s="30">
        <v>-60</v>
      </c>
      <c r="H193" s="30">
        <v>120</v>
      </c>
      <c r="I193" s="30">
        <v>-7200</v>
      </c>
      <c r="J193" s="12"/>
      <c r="K193" s="10"/>
      <c r="L193" s="10"/>
      <c r="M193" s="10"/>
      <c r="N193" s="10"/>
    </row>
    <row r="194" spans="1:14" x14ac:dyDescent="0.3">
      <c r="A194" s="12"/>
      <c r="B194" s="87" t="s">
        <v>1247</v>
      </c>
      <c r="C194" s="30" t="s">
        <v>9</v>
      </c>
      <c r="D194" s="30" t="s">
        <v>1224</v>
      </c>
      <c r="E194" s="30">
        <v>200</v>
      </c>
      <c r="F194" s="30">
        <v>350</v>
      </c>
      <c r="G194" s="30">
        <v>150</v>
      </c>
      <c r="H194" s="30">
        <v>120</v>
      </c>
      <c r="I194" s="30">
        <v>18000</v>
      </c>
      <c r="J194" s="12"/>
    </row>
    <row r="195" spans="1:14" x14ac:dyDescent="0.3">
      <c r="A195" s="12"/>
      <c r="B195" s="87" t="s">
        <v>1249</v>
      </c>
      <c r="C195" s="30" t="s">
        <v>9</v>
      </c>
      <c r="D195" s="30" t="s">
        <v>1253</v>
      </c>
      <c r="E195" s="30">
        <v>370</v>
      </c>
      <c r="F195" s="30">
        <v>270</v>
      </c>
      <c r="G195" s="30">
        <v>-100</v>
      </c>
      <c r="H195" s="30">
        <v>120</v>
      </c>
      <c r="I195" s="30">
        <v>-12000</v>
      </c>
      <c r="J195" s="12"/>
    </row>
    <row r="196" spans="1:14" x14ac:dyDescent="0.3">
      <c r="A196" s="12"/>
      <c r="B196" s="87" t="s">
        <v>1250</v>
      </c>
      <c r="C196" s="30" t="s">
        <v>9</v>
      </c>
      <c r="D196" s="30" t="s">
        <v>1254</v>
      </c>
      <c r="E196" s="30">
        <v>360</v>
      </c>
      <c r="F196" s="30">
        <v>430</v>
      </c>
      <c r="G196" s="30">
        <v>70</v>
      </c>
      <c r="H196" s="30">
        <v>120</v>
      </c>
      <c r="I196" s="30">
        <v>8400</v>
      </c>
      <c r="J196" s="12"/>
    </row>
    <row r="197" spans="1:14" ht="18" x14ac:dyDescent="0.35">
      <c r="A197" s="12"/>
      <c r="B197" s="87"/>
      <c r="C197" s="10"/>
      <c r="D197" s="10"/>
      <c r="E197" s="10"/>
      <c r="F197" s="10"/>
      <c r="G197" s="10"/>
      <c r="H197" s="10"/>
      <c r="I197" s="72"/>
      <c r="J197" s="12"/>
    </row>
    <row r="198" spans="1:14" ht="21" x14ac:dyDescent="0.4">
      <c r="A198" s="12"/>
      <c r="B198" s="43"/>
      <c r="C198" s="10"/>
      <c r="D198" s="10"/>
      <c r="E198" s="10"/>
      <c r="F198" s="10"/>
      <c r="G198" s="10"/>
      <c r="H198" s="10"/>
      <c r="I198" s="101">
        <v>130200</v>
      </c>
      <c r="J198" s="12"/>
    </row>
  </sheetData>
  <mergeCells count="6">
    <mergeCell ref="B175:I175"/>
    <mergeCell ref="B1:I1"/>
    <mergeCell ref="B2:I2"/>
    <mergeCell ref="B3:I3"/>
    <mergeCell ref="B150:I150"/>
    <mergeCell ref="F168:I168"/>
  </mergeCells>
  <hyperlinks>
    <hyperlink ref="K2" location="'MASTER '!A1" display="Back" xr:uid="{00000000-0004-0000-2200-000000000000}"/>
  </hyperlinks>
  <pageMargins left="0.7" right="0.7" top="0.75" bottom="0.75" header="0.3" footer="0.3"/>
  <ignoredErrors>
    <ignoredError sqref="E6:G18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191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294" t="s">
        <v>241</v>
      </c>
      <c r="C2" s="294"/>
      <c r="D2" s="294"/>
      <c r="E2" s="294"/>
      <c r="F2" s="294"/>
      <c r="G2" s="294"/>
      <c r="H2" s="294"/>
      <c r="I2" s="294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295" t="s">
        <v>1293</v>
      </c>
      <c r="C3" s="295"/>
      <c r="D3" s="295"/>
      <c r="E3" s="295"/>
      <c r="F3" s="295"/>
      <c r="G3" s="295"/>
      <c r="H3" s="295"/>
      <c r="I3" s="295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42372</v>
      </c>
      <c r="C6" s="2" t="s">
        <v>11</v>
      </c>
      <c r="D6" s="2" t="s">
        <v>175</v>
      </c>
      <c r="E6" s="41" t="s">
        <v>1255</v>
      </c>
      <c r="F6" s="40" t="s">
        <v>1256</v>
      </c>
      <c r="G6" s="40" t="s">
        <v>951</v>
      </c>
      <c r="H6" s="5">
        <v>451</v>
      </c>
      <c r="I6" s="81">
        <v>6765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42372</v>
      </c>
      <c r="C7" s="2" t="s">
        <v>8</v>
      </c>
      <c r="D7" s="2" t="s">
        <v>109</v>
      </c>
      <c r="E7" s="41" t="s">
        <v>1257</v>
      </c>
      <c r="F7" s="40" t="s">
        <v>1179</v>
      </c>
      <c r="G7" s="40" t="s">
        <v>1258</v>
      </c>
      <c r="H7" s="5">
        <v>246</v>
      </c>
      <c r="I7" s="81">
        <v>-3444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42403</v>
      </c>
      <c r="C8" s="2" t="s">
        <v>9</v>
      </c>
      <c r="D8" s="2" t="s">
        <v>895</v>
      </c>
      <c r="E8" s="41" t="s">
        <v>1092</v>
      </c>
      <c r="F8" s="40" t="s">
        <v>1259</v>
      </c>
      <c r="G8" s="40" t="s">
        <v>1025</v>
      </c>
      <c r="H8" s="5">
        <v>282</v>
      </c>
      <c r="I8" s="81">
        <v>2820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42403</v>
      </c>
      <c r="C9" s="2" t="s">
        <v>8</v>
      </c>
      <c r="D9" s="2" t="s">
        <v>139</v>
      </c>
      <c r="E9" s="41" t="s">
        <v>1260</v>
      </c>
      <c r="F9" s="40" t="s">
        <v>1261</v>
      </c>
      <c r="G9" s="40" t="s">
        <v>1095</v>
      </c>
      <c r="H9" s="5">
        <v>399</v>
      </c>
      <c r="I9" s="81">
        <v>-798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42432</v>
      </c>
      <c r="C10" s="2" t="s">
        <v>9</v>
      </c>
      <c r="D10" s="2" t="s">
        <v>78</v>
      </c>
      <c r="E10" s="41" t="s">
        <v>1262</v>
      </c>
      <c r="F10" s="40" t="s">
        <v>749</v>
      </c>
      <c r="G10" s="40" t="s">
        <v>961</v>
      </c>
      <c r="H10" s="5">
        <v>260</v>
      </c>
      <c r="I10" s="81">
        <v>6500</v>
      </c>
      <c r="J10" s="12"/>
      <c r="K10" s="16" t="s">
        <v>449</v>
      </c>
      <c r="L10" s="30">
        <v>41</v>
      </c>
      <c r="M10" s="30">
        <v>32</v>
      </c>
      <c r="N10" s="30">
        <v>9</v>
      </c>
      <c r="O10" s="30">
        <v>0</v>
      </c>
    </row>
    <row r="11" spans="1:15" x14ac:dyDescent="0.3">
      <c r="A11" s="12"/>
      <c r="B11" s="43">
        <v>42432</v>
      </c>
      <c r="C11" s="2" t="s">
        <v>8</v>
      </c>
      <c r="D11" s="2" t="s">
        <v>133</v>
      </c>
      <c r="E11" s="41" t="s">
        <v>1263</v>
      </c>
      <c r="F11" s="40" t="s">
        <v>1264</v>
      </c>
      <c r="G11" s="40" t="s">
        <v>1265</v>
      </c>
      <c r="H11" s="5">
        <v>168</v>
      </c>
      <c r="I11" s="81">
        <v>2352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42463</v>
      </c>
      <c r="C12" s="2" t="s">
        <v>9</v>
      </c>
      <c r="D12" s="2" t="s">
        <v>192</v>
      </c>
      <c r="E12" s="41" t="s">
        <v>1266</v>
      </c>
      <c r="F12" s="40" t="s">
        <v>1063</v>
      </c>
      <c r="G12" s="40" t="s">
        <v>997</v>
      </c>
      <c r="H12" s="5">
        <v>1657</v>
      </c>
      <c r="I12" s="81">
        <v>6628</v>
      </c>
      <c r="J12" s="12"/>
      <c r="K12" s="16" t="s">
        <v>450</v>
      </c>
      <c r="L12" s="30">
        <v>22</v>
      </c>
      <c r="M12" s="30">
        <v>20</v>
      </c>
      <c r="N12" s="30">
        <v>2</v>
      </c>
      <c r="O12" s="30">
        <v>0</v>
      </c>
    </row>
    <row r="13" spans="1:15" x14ac:dyDescent="0.3">
      <c r="A13" s="12"/>
      <c r="B13" s="43">
        <v>42463</v>
      </c>
      <c r="C13" s="2" t="s">
        <v>8</v>
      </c>
      <c r="D13" s="2" t="s">
        <v>173</v>
      </c>
      <c r="E13" s="41" t="s">
        <v>1267</v>
      </c>
      <c r="F13" s="40" t="s">
        <v>1190</v>
      </c>
      <c r="G13" s="40" t="s">
        <v>1192</v>
      </c>
      <c r="H13" s="5">
        <v>344</v>
      </c>
      <c r="I13" s="81">
        <v>4472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42585</v>
      </c>
      <c r="C14" s="2" t="s">
        <v>9</v>
      </c>
      <c r="D14" s="2" t="s">
        <v>192</v>
      </c>
      <c r="E14" s="41" t="s">
        <v>1268</v>
      </c>
      <c r="F14" s="40" t="s">
        <v>1266</v>
      </c>
      <c r="G14" s="40" t="s">
        <v>1269</v>
      </c>
      <c r="H14" s="5">
        <v>1630</v>
      </c>
      <c r="I14" s="81">
        <v>-4890</v>
      </c>
      <c r="J14" s="12"/>
      <c r="K14" s="16" t="s">
        <v>451</v>
      </c>
      <c r="L14" s="30">
        <v>20</v>
      </c>
      <c r="M14" s="30">
        <v>16</v>
      </c>
      <c r="N14" s="30">
        <v>4</v>
      </c>
      <c r="O14" s="30">
        <v>0</v>
      </c>
    </row>
    <row r="15" spans="1:15" x14ac:dyDescent="0.3">
      <c r="A15" s="12"/>
      <c r="B15" s="43">
        <v>42585</v>
      </c>
      <c r="C15" s="2" t="s">
        <v>8</v>
      </c>
      <c r="D15" s="2" t="s">
        <v>139</v>
      </c>
      <c r="E15" s="41" t="s">
        <v>1270</v>
      </c>
      <c r="F15" s="40" t="s">
        <v>1260</v>
      </c>
      <c r="G15" s="40" t="s">
        <v>994</v>
      </c>
      <c r="H15" s="5">
        <v>395</v>
      </c>
      <c r="I15" s="81">
        <v>3160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42616</v>
      </c>
      <c r="C16" s="2" t="s">
        <v>9</v>
      </c>
      <c r="D16" s="2" t="s">
        <v>117</v>
      </c>
      <c r="E16" s="41" t="s">
        <v>1271</v>
      </c>
      <c r="F16" s="40" t="s">
        <v>1272</v>
      </c>
      <c r="G16" s="40" t="s">
        <v>908</v>
      </c>
      <c r="H16" s="5">
        <v>1478</v>
      </c>
      <c r="I16" s="81">
        <v>2956</v>
      </c>
      <c r="J16" s="12"/>
      <c r="K16" s="16" t="s">
        <v>1176</v>
      </c>
      <c r="L16" s="30">
        <v>20</v>
      </c>
      <c r="M16" s="30">
        <v>14</v>
      </c>
      <c r="N16" s="30">
        <v>6</v>
      </c>
      <c r="O16" s="30">
        <v>0</v>
      </c>
    </row>
    <row r="17" spans="1:15" x14ac:dyDescent="0.3">
      <c r="A17" s="12"/>
      <c r="B17" s="43">
        <v>42616</v>
      </c>
      <c r="C17" s="2" t="s">
        <v>8</v>
      </c>
      <c r="D17" s="2" t="s">
        <v>50</v>
      </c>
      <c r="E17" s="41" t="s">
        <v>1273</v>
      </c>
      <c r="F17" s="40" t="s">
        <v>718</v>
      </c>
      <c r="G17" s="40" t="s">
        <v>994</v>
      </c>
      <c r="H17" s="5">
        <v>354</v>
      </c>
      <c r="I17" s="81">
        <v>2832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42646</v>
      </c>
      <c r="C18" s="2" t="s">
        <v>9</v>
      </c>
      <c r="D18" s="28" t="s">
        <v>173</v>
      </c>
      <c r="E18" s="30">
        <v>880</v>
      </c>
      <c r="F18" s="30">
        <v>892</v>
      </c>
      <c r="G18" s="30">
        <v>12</v>
      </c>
      <c r="H18" s="5">
        <v>341</v>
      </c>
      <c r="I18" s="81">
        <v>4092</v>
      </c>
      <c r="J18" s="12"/>
      <c r="K18" s="16" t="s">
        <v>41</v>
      </c>
      <c r="L18" s="30">
        <v>20</v>
      </c>
      <c r="M18" s="30">
        <v>16</v>
      </c>
      <c r="N18" s="30">
        <v>4</v>
      </c>
      <c r="O18" s="30">
        <v>0</v>
      </c>
    </row>
    <row r="19" spans="1:15" x14ac:dyDescent="0.3">
      <c r="A19" s="12"/>
      <c r="B19" s="43">
        <v>42646</v>
      </c>
      <c r="C19" s="2" t="s">
        <v>8</v>
      </c>
      <c r="D19" s="28" t="s">
        <v>78</v>
      </c>
      <c r="E19" s="30">
        <v>1195</v>
      </c>
      <c r="F19" s="30">
        <v>1185</v>
      </c>
      <c r="G19" s="30">
        <v>10</v>
      </c>
      <c r="H19" s="5">
        <v>251</v>
      </c>
      <c r="I19" s="81">
        <v>2510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42677</v>
      </c>
      <c r="C20" s="2" t="s">
        <v>9</v>
      </c>
      <c r="D20" s="28" t="s">
        <v>275</v>
      </c>
      <c r="E20" s="30">
        <v>810</v>
      </c>
      <c r="F20" s="30">
        <v>815</v>
      </c>
      <c r="G20" s="30">
        <v>5</v>
      </c>
      <c r="H20" s="5">
        <v>370</v>
      </c>
      <c r="I20" s="81">
        <v>1850</v>
      </c>
      <c r="J20" s="12"/>
      <c r="K20" s="16" t="s">
        <v>1090</v>
      </c>
      <c r="L20" s="30">
        <v>20</v>
      </c>
      <c r="M20" s="30">
        <v>14</v>
      </c>
      <c r="N20" s="30">
        <v>4</v>
      </c>
      <c r="O20" s="30">
        <v>2</v>
      </c>
    </row>
    <row r="21" spans="1:15" x14ac:dyDescent="0.3">
      <c r="A21" s="12"/>
      <c r="B21" s="43">
        <v>42677</v>
      </c>
      <c r="C21" s="2" t="s">
        <v>8</v>
      </c>
      <c r="D21" s="28" t="s">
        <v>828</v>
      </c>
      <c r="E21" s="30">
        <v>1050</v>
      </c>
      <c r="F21" s="30">
        <v>1035</v>
      </c>
      <c r="G21" s="30">
        <v>15</v>
      </c>
      <c r="H21" s="5">
        <v>286</v>
      </c>
      <c r="I21" s="81">
        <v>4290</v>
      </c>
      <c r="J21" s="12"/>
      <c r="K21" s="16"/>
      <c r="L21" s="30"/>
      <c r="M21" s="30"/>
      <c r="N21" s="30"/>
      <c r="O21" s="30"/>
    </row>
    <row r="22" spans="1:15" x14ac:dyDescent="0.3">
      <c r="A22" s="12"/>
      <c r="B22" s="43" t="s">
        <v>1294</v>
      </c>
      <c r="C22" s="2" t="s">
        <v>9</v>
      </c>
      <c r="D22" s="28" t="s">
        <v>99</v>
      </c>
      <c r="E22" s="30">
        <v>325</v>
      </c>
      <c r="F22" s="30">
        <v>326</v>
      </c>
      <c r="G22" s="30">
        <v>1</v>
      </c>
      <c r="H22" s="5">
        <v>923</v>
      </c>
      <c r="I22" s="81">
        <v>923</v>
      </c>
      <c r="J22" s="12"/>
      <c r="K22" s="16" t="s">
        <v>1175</v>
      </c>
      <c r="L22" s="30">
        <v>20</v>
      </c>
      <c r="M22" s="30">
        <v>16</v>
      </c>
      <c r="N22" s="30">
        <v>4</v>
      </c>
      <c r="O22" s="30">
        <v>0</v>
      </c>
    </row>
    <row r="23" spans="1:15" x14ac:dyDescent="0.3">
      <c r="A23" s="12"/>
      <c r="B23" s="43" t="s">
        <v>1294</v>
      </c>
      <c r="C23" s="2" t="s">
        <v>8</v>
      </c>
      <c r="D23" s="28" t="s">
        <v>173</v>
      </c>
      <c r="E23" s="30">
        <v>894</v>
      </c>
      <c r="F23" s="30">
        <v>898</v>
      </c>
      <c r="G23" s="30">
        <v>-4</v>
      </c>
      <c r="H23" s="5">
        <v>335</v>
      </c>
      <c r="I23" s="81">
        <v>-1340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1295</v>
      </c>
      <c r="C24" s="2" t="s">
        <v>9</v>
      </c>
      <c r="D24" s="28" t="s">
        <v>139</v>
      </c>
      <c r="E24" s="30">
        <v>808</v>
      </c>
      <c r="F24" s="30">
        <v>816</v>
      </c>
      <c r="G24" s="30">
        <v>8</v>
      </c>
      <c r="H24" s="5">
        <v>371</v>
      </c>
      <c r="I24" s="81">
        <v>2968</v>
      </c>
      <c r="J24" s="12"/>
      <c r="K24" s="16" t="s">
        <v>946</v>
      </c>
      <c r="L24" s="21">
        <v>163</v>
      </c>
      <c r="M24" s="21">
        <v>128</v>
      </c>
      <c r="N24" s="21">
        <v>33</v>
      </c>
      <c r="O24" s="21">
        <v>2</v>
      </c>
    </row>
    <row r="25" spans="1:15" x14ac:dyDescent="0.3">
      <c r="A25" s="12"/>
      <c r="B25" s="43" t="s">
        <v>1295</v>
      </c>
      <c r="C25" s="2" t="s">
        <v>8</v>
      </c>
      <c r="D25" s="28" t="s">
        <v>502</v>
      </c>
      <c r="E25" s="30">
        <v>930</v>
      </c>
      <c r="F25" s="30">
        <v>922</v>
      </c>
      <c r="G25" s="30">
        <v>8</v>
      </c>
      <c r="H25" s="5">
        <v>323</v>
      </c>
      <c r="I25" s="81">
        <v>2584</v>
      </c>
      <c r="J25" s="12"/>
      <c r="K25" s="10"/>
      <c r="L25" s="16"/>
      <c r="M25" s="10"/>
      <c r="N25" s="10"/>
      <c r="O25" s="10"/>
    </row>
    <row r="26" spans="1:15" x14ac:dyDescent="0.3">
      <c r="A26" s="12"/>
      <c r="B26" s="43" t="s">
        <v>1295</v>
      </c>
      <c r="C26" s="2" t="s">
        <v>8</v>
      </c>
      <c r="D26" s="28" t="s">
        <v>403</v>
      </c>
      <c r="E26" s="30">
        <v>980</v>
      </c>
      <c r="F26" s="30">
        <v>955</v>
      </c>
      <c r="G26" s="30">
        <v>25</v>
      </c>
      <c r="H26" s="5">
        <v>306</v>
      </c>
      <c r="I26" s="81">
        <v>7650</v>
      </c>
      <c r="J26" s="12"/>
      <c r="K26" s="10"/>
      <c r="L26" s="28"/>
      <c r="M26" s="30"/>
      <c r="N26" s="30"/>
      <c r="O26" s="30"/>
    </row>
    <row r="27" spans="1:15" x14ac:dyDescent="0.3">
      <c r="A27" s="12"/>
      <c r="B27" s="43" t="s">
        <v>1296</v>
      </c>
      <c r="C27" s="2" t="s">
        <v>9</v>
      </c>
      <c r="D27" s="28" t="s">
        <v>36</v>
      </c>
      <c r="E27" s="30">
        <v>221</v>
      </c>
      <c r="F27" s="30">
        <v>226</v>
      </c>
      <c r="G27" s="30">
        <v>5</v>
      </c>
      <c r="H27" s="5">
        <v>1357</v>
      </c>
      <c r="I27" s="81">
        <v>6785</v>
      </c>
      <c r="J27" s="12"/>
      <c r="K27" s="68" t="s">
        <v>947</v>
      </c>
      <c r="L27" s="83"/>
      <c r="M27" s="85">
        <f>M24*100/L24</f>
        <v>78.527607361963192</v>
      </c>
      <c r="O27" s="30"/>
    </row>
    <row r="28" spans="1:15" x14ac:dyDescent="0.3">
      <c r="A28" s="12"/>
      <c r="B28" s="43" t="s">
        <v>1296</v>
      </c>
      <c r="C28" s="2" t="s">
        <v>8</v>
      </c>
      <c r="D28" s="28" t="s">
        <v>78</v>
      </c>
      <c r="E28" s="30">
        <v>1180</v>
      </c>
      <c r="F28" s="30">
        <v>1164</v>
      </c>
      <c r="G28" s="30">
        <v>16</v>
      </c>
      <c r="H28" s="5">
        <v>254</v>
      </c>
      <c r="I28" s="81">
        <v>4064</v>
      </c>
      <c r="J28" s="12"/>
      <c r="K28" s="10"/>
      <c r="L28" s="49"/>
      <c r="M28" s="30"/>
      <c r="N28" s="30"/>
      <c r="O28" s="30"/>
    </row>
    <row r="29" spans="1:15" x14ac:dyDescent="0.3">
      <c r="A29" s="12"/>
      <c r="B29" s="43" t="s">
        <v>1297</v>
      </c>
      <c r="C29" s="2" t="s">
        <v>9</v>
      </c>
      <c r="D29" s="28" t="s">
        <v>30</v>
      </c>
      <c r="E29" s="30">
        <v>352</v>
      </c>
      <c r="F29" s="30">
        <v>360</v>
      </c>
      <c r="G29" s="30">
        <v>8</v>
      </c>
      <c r="H29" s="5">
        <v>852</v>
      </c>
      <c r="I29" s="81">
        <v>6816</v>
      </c>
      <c r="J29" s="12"/>
      <c r="K29" s="10"/>
      <c r="L29" s="49"/>
      <c r="M29" s="30"/>
      <c r="N29" s="30"/>
      <c r="O29" s="30"/>
    </row>
    <row r="30" spans="1:15" x14ac:dyDescent="0.3">
      <c r="A30" s="12"/>
      <c r="B30" s="43" t="s">
        <v>1297</v>
      </c>
      <c r="C30" s="2" t="s">
        <v>8</v>
      </c>
      <c r="D30" s="28" t="s">
        <v>1109</v>
      </c>
      <c r="E30" s="30">
        <v>1030</v>
      </c>
      <c r="F30" s="30">
        <v>1020</v>
      </c>
      <c r="G30" s="30">
        <v>10</v>
      </c>
      <c r="H30" s="5">
        <v>291</v>
      </c>
      <c r="I30" s="81">
        <v>2910</v>
      </c>
      <c r="J30" s="12"/>
      <c r="K30" s="10"/>
      <c r="L30" s="49"/>
      <c r="M30" s="30"/>
      <c r="N30" s="30"/>
      <c r="O30" s="30"/>
    </row>
    <row r="31" spans="1:15" x14ac:dyDescent="0.3">
      <c r="A31" s="12"/>
      <c r="B31" s="43" t="s">
        <v>1298</v>
      </c>
      <c r="C31" s="2" t="s">
        <v>9</v>
      </c>
      <c r="D31" s="28" t="s">
        <v>60</v>
      </c>
      <c r="E31" s="30">
        <v>1025</v>
      </c>
      <c r="F31" s="30">
        <v>1030</v>
      </c>
      <c r="G31" s="30">
        <v>5</v>
      </c>
      <c r="H31" s="5">
        <v>293</v>
      </c>
      <c r="I31" s="81">
        <v>1465</v>
      </c>
      <c r="J31" s="12"/>
      <c r="K31" s="10"/>
      <c r="L31" s="16"/>
      <c r="M31" s="10"/>
      <c r="N31" s="10"/>
      <c r="O31" s="10"/>
    </row>
    <row r="32" spans="1:15" x14ac:dyDescent="0.3">
      <c r="A32" s="12"/>
      <c r="B32" s="43" t="s">
        <v>1298</v>
      </c>
      <c r="C32" s="2" t="s">
        <v>8</v>
      </c>
      <c r="D32" s="28" t="s">
        <v>111</v>
      </c>
      <c r="E32" s="30">
        <v>456</v>
      </c>
      <c r="F32" s="30">
        <v>455</v>
      </c>
      <c r="G32" s="30">
        <v>1</v>
      </c>
      <c r="H32" s="5">
        <v>658</v>
      </c>
      <c r="I32" s="81">
        <v>658</v>
      </c>
      <c r="J32" s="12"/>
      <c r="K32" s="10"/>
      <c r="L32" s="16"/>
      <c r="M32" s="10"/>
      <c r="N32" s="10"/>
      <c r="O32" s="10"/>
    </row>
    <row r="33" spans="1:15" x14ac:dyDescent="0.3">
      <c r="A33" s="12"/>
      <c r="B33" s="43" t="s">
        <v>1305</v>
      </c>
      <c r="C33" s="2" t="s">
        <v>9</v>
      </c>
      <c r="D33" s="30" t="s">
        <v>308</v>
      </c>
      <c r="E33" s="30">
        <v>762</v>
      </c>
      <c r="F33" s="30">
        <v>766</v>
      </c>
      <c r="G33" s="30">
        <v>4</v>
      </c>
      <c r="H33" s="5">
        <v>394</v>
      </c>
      <c r="I33" s="81">
        <v>1576</v>
      </c>
      <c r="J33" s="12"/>
      <c r="K33" s="10"/>
      <c r="L33" s="41"/>
      <c r="M33" s="10"/>
      <c r="N33" s="10"/>
      <c r="O33" s="10"/>
    </row>
    <row r="34" spans="1:15" x14ac:dyDescent="0.3">
      <c r="A34" s="12"/>
      <c r="B34" s="43" t="s">
        <v>1305</v>
      </c>
      <c r="C34" s="2" t="s">
        <v>8</v>
      </c>
      <c r="D34" s="30" t="s">
        <v>1109</v>
      </c>
      <c r="E34" s="30">
        <v>1023</v>
      </c>
      <c r="F34" s="30">
        <v>1013</v>
      </c>
      <c r="G34" s="30">
        <v>10</v>
      </c>
      <c r="H34" s="5">
        <v>293</v>
      </c>
      <c r="I34" s="81">
        <v>2930</v>
      </c>
      <c r="J34" s="12"/>
      <c r="K34" s="10"/>
      <c r="L34" s="41"/>
      <c r="M34" s="10"/>
      <c r="N34" s="10"/>
      <c r="O34" s="10"/>
    </row>
    <row r="35" spans="1:15" x14ac:dyDescent="0.3">
      <c r="A35" s="12"/>
      <c r="B35" s="43" t="s">
        <v>1306</v>
      </c>
      <c r="C35" s="2" t="s">
        <v>9</v>
      </c>
      <c r="D35" s="30" t="s">
        <v>192</v>
      </c>
      <c r="E35" s="30">
        <v>194</v>
      </c>
      <c r="F35" s="30">
        <v>191</v>
      </c>
      <c r="G35" s="30">
        <v>-3</v>
      </c>
      <c r="H35" s="5">
        <v>1546</v>
      </c>
      <c r="I35" s="81">
        <v>-4638</v>
      </c>
      <c r="J35" s="12"/>
      <c r="K35" s="10"/>
      <c r="L35" s="10"/>
      <c r="M35" s="30"/>
      <c r="N35" s="10"/>
      <c r="O35" s="10"/>
    </row>
    <row r="36" spans="1:15" x14ac:dyDescent="0.3">
      <c r="A36" s="12"/>
      <c r="B36" s="43" t="s">
        <v>1306</v>
      </c>
      <c r="C36" s="2" t="s">
        <v>8</v>
      </c>
      <c r="D36" s="30" t="s">
        <v>982</v>
      </c>
      <c r="E36" s="30">
        <v>238</v>
      </c>
      <c r="F36" s="30">
        <v>239.5</v>
      </c>
      <c r="G36" s="30">
        <v>-1.5</v>
      </c>
      <c r="H36" s="5">
        <v>1261</v>
      </c>
      <c r="I36" s="81">
        <v>-1891.5</v>
      </c>
      <c r="J36" s="12"/>
      <c r="K36" s="10"/>
      <c r="L36" s="10"/>
      <c r="M36" s="30"/>
      <c r="N36" s="10"/>
      <c r="O36" s="10"/>
    </row>
    <row r="37" spans="1:15" x14ac:dyDescent="0.3">
      <c r="A37" s="12"/>
      <c r="B37" s="43" t="s">
        <v>1311</v>
      </c>
      <c r="C37" s="2" t="s">
        <v>9</v>
      </c>
      <c r="D37" s="30" t="s">
        <v>139</v>
      </c>
      <c r="E37" s="30">
        <v>832</v>
      </c>
      <c r="F37" s="30">
        <v>850</v>
      </c>
      <c r="G37" s="30">
        <v>18</v>
      </c>
      <c r="H37" s="5">
        <v>361</v>
      </c>
      <c r="I37" s="81">
        <v>6498</v>
      </c>
      <c r="J37" s="12"/>
      <c r="K37" s="10"/>
      <c r="L37" s="10"/>
      <c r="M37" s="30"/>
      <c r="N37" s="10"/>
      <c r="O37" s="10"/>
    </row>
    <row r="38" spans="1:15" x14ac:dyDescent="0.3">
      <c r="A38" s="12"/>
      <c r="B38" s="30" t="s">
        <v>1311</v>
      </c>
      <c r="C38" s="2" t="s">
        <v>8</v>
      </c>
      <c r="D38" s="28" t="s">
        <v>99</v>
      </c>
      <c r="E38" s="30">
        <v>321</v>
      </c>
      <c r="F38" s="30">
        <v>324</v>
      </c>
      <c r="G38" s="30">
        <v>-3</v>
      </c>
      <c r="H38" s="30">
        <v>935</v>
      </c>
      <c r="I38" s="94">
        <v>-2805</v>
      </c>
      <c r="J38" s="12"/>
      <c r="K38" s="10"/>
      <c r="L38" s="10"/>
      <c r="M38" s="30"/>
      <c r="N38" s="10"/>
      <c r="O38" s="10"/>
    </row>
    <row r="39" spans="1:15" x14ac:dyDescent="0.3">
      <c r="A39" s="12"/>
      <c r="B39" s="30" t="s">
        <v>1312</v>
      </c>
      <c r="C39" s="2" t="s">
        <v>9</v>
      </c>
      <c r="D39" s="28" t="s">
        <v>173</v>
      </c>
      <c r="E39" s="30">
        <v>854</v>
      </c>
      <c r="F39" s="30">
        <v>844</v>
      </c>
      <c r="G39" s="30">
        <v>-10</v>
      </c>
      <c r="H39" s="30">
        <v>351</v>
      </c>
      <c r="I39" s="118">
        <v>-3510</v>
      </c>
      <c r="J39" s="12"/>
      <c r="K39" s="10"/>
      <c r="L39" s="10"/>
      <c r="M39" s="30"/>
      <c r="N39" s="10"/>
      <c r="O39" s="10"/>
    </row>
    <row r="40" spans="1:15" x14ac:dyDescent="0.3">
      <c r="A40" s="12"/>
      <c r="B40" s="30" t="s">
        <v>1312</v>
      </c>
      <c r="C40" s="2" t="s">
        <v>8</v>
      </c>
      <c r="D40" s="28" t="s">
        <v>378</v>
      </c>
      <c r="E40" s="30">
        <v>1150</v>
      </c>
      <c r="F40" s="30">
        <v>1140</v>
      </c>
      <c r="G40" s="30">
        <v>10</v>
      </c>
      <c r="H40" s="30">
        <v>261</v>
      </c>
      <c r="I40" s="118">
        <v>2610</v>
      </c>
      <c r="J40" s="12"/>
      <c r="K40" s="10"/>
      <c r="L40" s="10"/>
      <c r="M40" s="30"/>
      <c r="N40" s="10"/>
      <c r="O40" s="10"/>
    </row>
    <row r="41" spans="1:15" x14ac:dyDescent="0.3">
      <c r="A41" s="12"/>
      <c r="B41" s="30" t="s">
        <v>1313</v>
      </c>
      <c r="C41" s="2" t="s">
        <v>9</v>
      </c>
      <c r="D41" s="28" t="s">
        <v>124</v>
      </c>
      <c r="E41" s="30">
        <v>369</v>
      </c>
      <c r="F41" s="30">
        <v>377</v>
      </c>
      <c r="G41" s="30">
        <v>8</v>
      </c>
      <c r="H41" s="30">
        <v>813</v>
      </c>
      <c r="I41" s="118">
        <v>6504</v>
      </c>
      <c r="J41" s="12"/>
      <c r="K41" s="10"/>
      <c r="L41" s="10"/>
      <c r="M41" s="30"/>
      <c r="N41" s="10"/>
      <c r="O41" s="10"/>
    </row>
    <row r="42" spans="1:15" x14ac:dyDescent="0.3">
      <c r="A42" s="12"/>
      <c r="B42" s="30" t="s">
        <v>1313</v>
      </c>
      <c r="C42" s="2" t="s">
        <v>8</v>
      </c>
      <c r="D42" s="28" t="s">
        <v>796</v>
      </c>
      <c r="E42" s="30">
        <v>1340</v>
      </c>
      <c r="F42" s="30">
        <v>1330</v>
      </c>
      <c r="G42" s="30">
        <v>10</v>
      </c>
      <c r="H42" s="30">
        <v>224</v>
      </c>
      <c r="I42" s="118">
        <v>2240</v>
      </c>
      <c r="J42" s="12"/>
      <c r="K42" s="10"/>
      <c r="L42" s="10"/>
      <c r="M42" s="30"/>
      <c r="N42" s="10"/>
      <c r="O42" s="10"/>
    </row>
    <row r="43" spans="1:15" x14ac:dyDescent="0.3">
      <c r="A43" s="12"/>
      <c r="B43" s="30" t="s">
        <v>1314</v>
      </c>
      <c r="C43" s="2" t="s">
        <v>9</v>
      </c>
      <c r="D43" s="28" t="s">
        <v>95</v>
      </c>
      <c r="E43" s="30">
        <v>229</v>
      </c>
      <c r="F43" s="30">
        <v>234</v>
      </c>
      <c r="G43" s="30">
        <v>5</v>
      </c>
      <c r="H43" s="30">
        <v>1310</v>
      </c>
      <c r="I43" s="118">
        <v>6550</v>
      </c>
      <c r="J43" s="12"/>
      <c r="K43" s="10"/>
      <c r="L43" s="10"/>
      <c r="M43" s="30"/>
      <c r="N43" s="10"/>
      <c r="O43" s="10"/>
    </row>
    <row r="44" spans="1:15" x14ac:dyDescent="0.3">
      <c r="A44" s="12"/>
      <c r="B44" s="30" t="s">
        <v>1314</v>
      </c>
      <c r="C44" s="2" t="s">
        <v>8</v>
      </c>
      <c r="D44" s="28" t="s">
        <v>109</v>
      </c>
      <c r="E44" s="30">
        <v>1228</v>
      </c>
      <c r="F44" s="30">
        <v>1218</v>
      </c>
      <c r="G44" s="30">
        <v>10</v>
      </c>
      <c r="H44" s="30">
        <v>244</v>
      </c>
      <c r="I44" s="118">
        <v>2440</v>
      </c>
      <c r="J44" s="12"/>
      <c r="K44" s="10"/>
      <c r="L44" s="10"/>
      <c r="M44" s="30"/>
      <c r="N44" s="10"/>
      <c r="O44" s="10"/>
    </row>
    <row r="45" spans="1:15" x14ac:dyDescent="0.3">
      <c r="A45" s="12"/>
      <c r="B45" s="30" t="s">
        <v>1315</v>
      </c>
      <c r="C45" s="2" t="s">
        <v>9</v>
      </c>
      <c r="D45" s="28" t="s">
        <v>139</v>
      </c>
      <c r="E45" s="30">
        <v>870</v>
      </c>
      <c r="F45" s="30">
        <v>860</v>
      </c>
      <c r="G45" s="30">
        <v>-10</v>
      </c>
      <c r="H45" s="30">
        <v>345</v>
      </c>
      <c r="I45" s="118">
        <v>-3450</v>
      </c>
      <c r="J45" s="12"/>
      <c r="K45" s="10"/>
      <c r="L45" s="10"/>
      <c r="M45" s="30"/>
      <c r="N45" s="10"/>
      <c r="O45" s="10"/>
    </row>
    <row r="46" spans="1:15" x14ac:dyDescent="0.3">
      <c r="A46" s="12"/>
      <c r="B46" s="30" t="s">
        <v>1315</v>
      </c>
      <c r="C46" s="2" t="s">
        <v>8</v>
      </c>
      <c r="D46" s="28" t="s">
        <v>109</v>
      </c>
      <c r="E46" s="30">
        <v>1210</v>
      </c>
      <c r="F46" s="30">
        <v>1205</v>
      </c>
      <c r="G46" s="30">
        <v>5</v>
      </c>
      <c r="H46" s="30">
        <v>248</v>
      </c>
      <c r="I46" s="118">
        <v>1240</v>
      </c>
      <c r="J46" s="12"/>
      <c r="K46" s="10"/>
      <c r="L46" s="10"/>
      <c r="M46" s="30"/>
      <c r="N46" s="10"/>
      <c r="O46" s="10"/>
    </row>
    <row r="47" spans="1:15" x14ac:dyDescent="0.3">
      <c r="A47" s="12"/>
      <c r="B47" s="10"/>
      <c r="C47" s="2"/>
      <c r="D47" s="28"/>
      <c r="E47" s="30"/>
      <c r="F47" s="30"/>
      <c r="G47" s="30"/>
      <c r="H47" s="30"/>
      <c r="J47" s="12"/>
      <c r="K47" s="10"/>
      <c r="L47" s="10"/>
      <c r="M47" s="30"/>
      <c r="N47" s="10"/>
      <c r="O47" s="10"/>
    </row>
    <row r="48" spans="1:15" x14ac:dyDescent="0.3">
      <c r="A48" s="12"/>
      <c r="B48" s="10"/>
      <c r="C48" s="2"/>
      <c r="D48" s="28"/>
      <c r="E48" s="30"/>
      <c r="F48" s="30"/>
      <c r="G48" s="30"/>
      <c r="H48" s="30"/>
      <c r="I48" s="95">
        <v>93872</v>
      </c>
      <c r="J48" s="12"/>
      <c r="K48" s="10"/>
      <c r="L48" s="10"/>
      <c r="M48" s="30"/>
      <c r="N48" s="10"/>
      <c r="O48" s="10"/>
    </row>
    <row r="49" spans="1:15" x14ac:dyDescent="0.3">
      <c r="A49" s="12"/>
      <c r="B49" s="10"/>
      <c r="C49" s="10"/>
      <c r="D49" s="10"/>
      <c r="E49" s="10"/>
      <c r="F49" s="10"/>
      <c r="G49" s="10"/>
      <c r="H49" s="10"/>
      <c r="I49" s="96"/>
      <c r="J49" s="12"/>
      <c r="K49" s="10"/>
      <c r="L49" s="10"/>
      <c r="M49" s="30"/>
      <c r="N49" s="10"/>
      <c r="O49" s="10"/>
    </row>
    <row r="50" spans="1:15" x14ac:dyDescent="0.3">
      <c r="A50" s="12"/>
      <c r="B50" s="106" t="s">
        <v>62</v>
      </c>
      <c r="C50" s="106"/>
      <c r="D50" s="106"/>
      <c r="E50" s="106"/>
      <c r="F50" s="106"/>
      <c r="G50" s="106"/>
      <c r="H50" s="106"/>
      <c r="I50" s="106"/>
      <c r="J50" s="12"/>
      <c r="K50" s="10"/>
      <c r="L50" s="10"/>
      <c r="M50" s="30"/>
      <c r="N50" s="10"/>
      <c r="O50" s="10"/>
    </row>
    <row r="51" spans="1:15" x14ac:dyDescent="0.3">
      <c r="A51" s="12"/>
      <c r="B51" s="43">
        <v>42372</v>
      </c>
      <c r="C51" s="2" t="s">
        <v>8</v>
      </c>
      <c r="D51" s="2" t="s">
        <v>798</v>
      </c>
      <c r="E51" s="41" t="s">
        <v>1274</v>
      </c>
      <c r="F51" s="40" t="s">
        <v>1275</v>
      </c>
      <c r="G51" s="40" t="s">
        <v>920</v>
      </c>
      <c r="H51" s="5">
        <v>1200</v>
      </c>
      <c r="I51" s="40" t="s">
        <v>727</v>
      </c>
      <c r="J51" s="12"/>
      <c r="K51" s="10"/>
      <c r="L51" s="10"/>
      <c r="M51" s="30"/>
      <c r="N51" s="10"/>
      <c r="O51" s="10"/>
    </row>
    <row r="52" spans="1:15" x14ac:dyDescent="0.3">
      <c r="A52" s="12"/>
      <c r="B52" s="43">
        <v>42403</v>
      </c>
      <c r="C52" s="2" t="s">
        <v>8</v>
      </c>
      <c r="D52" s="2" t="s">
        <v>175</v>
      </c>
      <c r="E52" s="41" t="s">
        <v>1276</v>
      </c>
      <c r="F52" s="40" t="s">
        <v>1277</v>
      </c>
      <c r="G52" s="40" t="s">
        <v>914</v>
      </c>
      <c r="H52" s="5">
        <v>700</v>
      </c>
      <c r="I52" s="40" t="s">
        <v>1278</v>
      </c>
      <c r="J52" s="12"/>
      <c r="K52" s="10"/>
      <c r="L52" s="10"/>
      <c r="M52" s="10"/>
      <c r="N52" s="10"/>
      <c r="O52" s="10"/>
    </row>
    <row r="53" spans="1:15" x14ac:dyDescent="0.3">
      <c r="A53" s="12"/>
      <c r="B53" s="43">
        <v>42432</v>
      </c>
      <c r="C53" s="30" t="s">
        <v>8</v>
      </c>
      <c r="D53" s="30" t="s">
        <v>112</v>
      </c>
      <c r="E53" s="30">
        <v>390</v>
      </c>
      <c r="F53" s="30">
        <v>388</v>
      </c>
      <c r="G53" s="30">
        <v>2</v>
      </c>
      <c r="H53" s="30">
        <v>1300</v>
      </c>
      <c r="I53" s="30">
        <v>2600</v>
      </c>
      <c r="J53" s="12"/>
      <c r="K53" s="10"/>
      <c r="L53" s="10"/>
      <c r="M53" s="10"/>
      <c r="N53" s="10"/>
      <c r="O53" s="10"/>
    </row>
    <row r="54" spans="1:15" x14ac:dyDescent="0.3">
      <c r="A54" s="12"/>
      <c r="B54" s="43">
        <v>42432</v>
      </c>
      <c r="C54" s="30" t="s">
        <v>9</v>
      </c>
      <c r="D54" s="30" t="s">
        <v>98</v>
      </c>
      <c r="E54" s="30">
        <v>2780</v>
      </c>
      <c r="F54" s="30">
        <v>2795</v>
      </c>
      <c r="G54" s="30">
        <v>15</v>
      </c>
      <c r="H54" s="30">
        <v>200</v>
      </c>
      <c r="I54" s="30">
        <v>3000</v>
      </c>
      <c r="J54" s="12"/>
      <c r="K54" s="10"/>
      <c r="L54" s="10"/>
      <c r="M54" s="10"/>
      <c r="N54" s="10"/>
      <c r="O54" s="10"/>
    </row>
    <row r="55" spans="1:15" x14ac:dyDescent="0.3">
      <c r="A55" s="12"/>
      <c r="B55" s="43">
        <v>42463</v>
      </c>
      <c r="C55" s="30" t="s">
        <v>8</v>
      </c>
      <c r="D55" s="30" t="s">
        <v>95</v>
      </c>
      <c r="E55" s="30">
        <v>219</v>
      </c>
      <c r="F55" s="30">
        <v>217</v>
      </c>
      <c r="G55" s="30">
        <v>2</v>
      </c>
      <c r="H55" s="30">
        <v>1700</v>
      </c>
      <c r="I55" s="30">
        <v>3400</v>
      </c>
      <c r="J55" s="12"/>
      <c r="K55" s="10"/>
      <c r="L55" s="10"/>
      <c r="M55" s="10"/>
      <c r="N55" s="10"/>
      <c r="O55" s="10"/>
    </row>
    <row r="56" spans="1:15" x14ac:dyDescent="0.3">
      <c r="A56" s="12"/>
      <c r="B56" s="43">
        <v>42463</v>
      </c>
      <c r="C56" s="30" t="s">
        <v>9</v>
      </c>
      <c r="D56" s="30" t="s">
        <v>403</v>
      </c>
      <c r="E56" s="30">
        <v>998</v>
      </c>
      <c r="F56" s="30">
        <v>1008</v>
      </c>
      <c r="G56" s="30">
        <v>10</v>
      </c>
      <c r="H56" s="30">
        <v>600</v>
      </c>
      <c r="I56" s="30">
        <v>6000</v>
      </c>
      <c r="J56" s="12"/>
      <c r="K56" s="10"/>
      <c r="L56" s="10"/>
      <c r="M56" s="10"/>
      <c r="N56" s="10"/>
      <c r="O56" s="10"/>
    </row>
    <row r="57" spans="1:15" x14ac:dyDescent="0.3">
      <c r="A57" s="12"/>
      <c r="B57" s="43">
        <v>42585</v>
      </c>
      <c r="C57" s="30" t="s">
        <v>8</v>
      </c>
      <c r="D57" s="30" t="s">
        <v>371</v>
      </c>
      <c r="E57" s="30">
        <v>235</v>
      </c>
      <c r="F57" s="30">
        <v>228</v>
      </c>
      <c r="G57" s="30">
        <v>7</v>
      </c>
      <c r="H57" s="30">
        <v>2000</v>
      </c>
      <c r="I57" s="30">
        <v>14000</v>
      </c>
      <c r="J57" s="12"/>
      <c r="K57" s="86"/>
      <c r="L57" s="10"/>
      <c r="M57" s="10"/>
      <c r="N57" s="10"/>
      <c r="O57" s="10"/>
    </row>
    <row r="58" spans="1:15" x14ac:dyDescent="0.3">
      <c r="A58" s="12"/>
      <c r="B58" s="43">
        <v>42616</v>
      </c>
      <c r="C58" s="30" t="s">
        <v>8</v>
      </c>
      <c r="D58" s="30" t="s">
        <v>129</v>
      </c>
      <c r="E58" s="30">
        <v>1130</v>
      </c>
      <c r="F58" s="30">
        <v>1110</v>
      </c>
      <c r="G58" s="30">
        <v>20</v>
      </c>
      <c r="H58" s="30">
        <v>400</v>
      </c>
      <c r="I58" s="30">
        <v>8000</v>
      </c>
      <c r="J58" s="12"/>
      <c r="K58" s="86"/>
      <c r="L58" s="10"/>
      <c r="M58" s="10"/>
      <c r="N58" s="10"/>
      <c r="O58" s="10"/>
    </row>
    <row r="59" spans="1:15" x14ac:dyDescent="0.3">
      <c r="A59" s="12"/>
      <c r="B59" s="43">
        <v>42646</v>
      </c>
      <c r="C59" s="30" t="s">
        <v>8</v>
      </c>
      <c r="D59" s="30" t="s">
        <v>828</v>
      </c>
      <c r="E59" s="30">
        <v>1070</v>
      </c>
      <c r="F59" s="30">
        <v>1060</v>
      </c>
      <c r="G59" s="30">
        <v>10</v>
      </c>
      <c r="H59" s="30">
        <v>700</v>
      </c>
      <c r="I59" s="30">
        <v>7000</v>
      </c>
      <c r="J59" s="12"/>
      <c r="K59" s="86"/>
      <c r="L59" s="10"/>
      <c r="M59" s="10"/>
      <c r="N59" s="10"/>
      <c r="O59" s="10"/>
    </row>
    <row r="60" spans="1:15" x14ac:dyDescent="0.3">
      <c r="A60" s="12"/>
      <c r="B60" s="43">
        <v>42677</v>
      </c>
      <c r="C60" s="30" t="s">
        <v>8</v>
      </c>
      <c r="D60" s="30" t="s">
        <v>939</v>
      </c>
      <c r="E60" s="30">
        <v>398</v>
      </c>
      <c r="F60" s="30">
        <v>392</v>
      </c>
      <c r="G60" s="30">
        <v>6</v>
      </c>
      <c r="H60" s="30">
        <v>750</v>
      </c>
      <c r="I60" s="30">
        <v>4500</v>
      </c>
      <c r="J60" s="12"/>
      <c r="K60" s="86"/>
      <c r="L60" s="10"/>
      <c r="M60" s="10"/>
      <c r="N60" s="10"/>
      <c r="O60" s="10"/>
    </row>
    <row r="61" spans="1:15" x14ac:dyDescent="0.3">
      <c r="A61" s="12"/>
      <c r="B61" s="43" t="s">
        <v>1294</v>
      </c>
      <c r="C61" s="30" t="s">
        <v>8</v>
      </c>
      <c r="D61" s="30" t="s">
        <v>159</v>
      </c>
      <c r="E61" s="30">
        <v>256</v>
      </c>
      <c r="F61" s="30">
        <v>260</v>
      </c>
      <c r="G61" s="30">
        <v>-4</v>
      </c>
      <c r="H61" s="30">
        <v>2000</v>
      </c>
      <c r="I61" s="30">
        <v>-8000</v>
      </c>
      <c r="J61" s="12"/>
      <c r="K61" s="86"/>
      <c r="L61" s="10"/>
      <c r="M61" s="10"/>
      <c r="N61" s="10"/>
      <c r="O61" s="10"/>
    </row>
    <row r="62" spans="1:15" x14ac:dyDescent="0.3">
      <c r="A62" s="12"/>
      <c r="B62" s="43" t="s">
        <v>1295</v>
      </c>
      <c r="C62" s="30" t="s">
        <v>8</v>
      </c>
      <c r="D62" s="30" t="s">
        <v>111</v>
      </c>
      <c r="E62" s="30">
        <v>479</v>
      </c>
      <c r="F62" s="30">
        <v>473</v>
      </c>
      <c r="G62" s="30">
        <v>6</v>
      </c>
      <c r="H62" s="30">
        <v>1100</v>
      </c>
      <c r="I62" s="30">
        <v>6600</v>
      </c>
      <c r="J62" s="12"/>
      <c r="K62" s="86"/>
      <c r="L62" s="10"/>
      <c r="M62" s="10"/>
      <c r="N62" s="10"/>
      <c r="O62" s="10"/>
    </row>
    <row r="63" spans="1:15" x14ac:dyDescent="0.3">
      <c r="A63" s="12"/>
      <c r="B63" s="43" t="s">
        <v>1296</v>
      </c>
      <c r="C63" s="30" t="s">
        <v>8</v>
      </c>
      <c r="D63" s="30" t="s">
        <v>111</v>
      </c>
      <c r="E63" s="30">
        <v>470</v>
      </c>
      <c r="F63" s="30">
        <v>466.25</v>
      </c>
      <c r="G63" s="30">
        <v>3.75</v>
      </c>
      <c r="H63" s="30">
        <v>1100</v>
      </c>
      <c r="I63" s="30">
        <v>4125</v>
      </c>
      <c r="J63" s="12"/>
      <c r="K63" s="86"/>
      <c r="L63" s="10"/>
      <c r="M63" s="10"/>
      <c r="N63" s="10"/>
      <c r="O63" s="10"/>
    </row>
    <row r="64" spans="1:15" x14ac:dyDescent="0.3">
      <c r="A64" s="12"/>
      <c r="B64" s="43" t="s">
        <v>1297</v>
      </c>
      <c r="C64" s="30" t="s">
        <v>8</v>
      </c>
      <c r="D64" s="30" t="s">
        <v>111</v>
      </c>
      <c r="E64" s="30">
        <v>471</v>
      </c>
      <c r="F64" s="30">
        <v>464</v>
      </c>
      <c r="G64" s="30">
        <v>7</v>
      </c>
      <c r="H64" s="30">
        <v>1100</v>
      </c>
      <c r="I64" s="30">
        <v>7700</v>
      </c>
      <c r="J64" s="12"/>
      <c r="K64" s="86"/>
      <c r="L64" s="10"/>
      <c r="M64" s="10"/>
      <c r="N64" s="10"/>
      <c r="O64" s="10"/>
    </row>
    <row r="65" spans="1:15" x14ac:dyDescent="0.3">
      <c r="A65" s="12"/>
      <c r="B65" s="43" t="s">
        <v>1298</v>
      </c>
      <c r="C65" s="30" t="s">
        <v>8</v>
      </c>
      <c r="D65" s="30" t="s">
        <v>133</v>
      </c>
      <c r="E65" s="30">
        <v>1615</v>
      </c>
      <c r="F65" s="30">
        <v>1575</v>
      </c>
      <c r="G65" s="30">
        <v>40</v>
      </c>
      <c r="H65" s="30">
        <v>300</v>
      </c>
      <c r="I65" s="30">
        <v>12000</v>
      </c>
      <c r="J65" s="12"/>
      <c r="K65" s="86"/>
      <c r="L65" s="10"/>
      <c r="M65" s="10"/>
      <c r="N65" s="10"/>
      <c r="O65" s="10"/>
    </row>
    <row r="66" spans="1:15" x14ac:dyDescent="0.3">
      <c r="A66" s="12"/>
      <c r="B66" s="43" t="s">
        <v>1305</v>
      </c>
      <c r="C66" s="30" t="s">
        <v>8</v>
      </c>
      <c r="D66" s="30" t="s">
        <v>78</v>
      </c>
      <c r="E66" s="30">
        <v>1218</v>
      </c>
      <c r="F66" s="30">
        <v>1235</v>
      </c>
      <c r="G66" s="30">
        <v>17</v>
      </c>
      <c r="H66" s="30">
        <v>300</v>
      </c>
      <c r="I66" s="30">
        <v>5100</v>
      </c>
      <c r="J66" s="12"/>
      <c r="K66" s="86"/>
      <c r="L66" s="10"/>
      <c r="M66" s="10"/>
      <c r="N66" s="10"/>
      <c r="O66" s="10"/>
    </row>
    <row r="67" spans="1:15" x14ac:dyDescent="0.3">
      <c r="A67" s="12"/>
      <c r="B67" s="43" t="s">
        <v>1306</v>
      </c>
      <c r="C67" s="30" t="s">
        <v>8</v>
      </c>
      <c r="D67" s="30" t="s">
        <v>137</v>
      </c>
      <c r="E67" s="30">
        <v>871</v>
      </c>
      <c r="F67" s="30">
        <v>866</v>
      </c>
      <c r="G67" s="30">
        <v>5</v>
      </c>
      <c r="H67" s="30">
        <v>600</v>
      </c>
      <c r="I67" s="30">
        <v>3000</v>
      </c>
      <c r="J67" s="12"/>
      <c r="K67" s="86"/>
      <c r="L67" s="10"/>
      <c r="M67" s="10"/>
      <c r="N67" s="10"/>
      <c r="O67" s="10"/>
    </row>
    <row r="68" spans="1:15" x14ac:dyDescent="0.3">
      <c r="A68" s="12"/>
      <c r="B68" s="43" t="s">
        <v>1311</v>
      </c>
      <c r="C68" s="30" t="s">
        <v>9</v>
      </c>
      <c r="D68" s="30" t="s">
        <v>139</v>
      </c>
      <c r="E68" s="30">
        <v>835</v>
      </c>
      <c r="F68" s="30">
        <v>850</v>
      </c>
      <c r="G68" s="30">
        <v>15</v>
      </c>
      <c r="H68" s="30">
        <v>700</v>
      </c>
      <c r="I68" s="30">
        <v>10500</v>
      </c>
      <c r="J68" s="12"/>
      <c r="K68" s="86"/>
      <c r="L68" s="10"/>
      <c r="M68" s="10"/>
      <c r="N68" s="10"/>
      <c r="O68" s="10"/>
    </row>
    <row r="69" spans="1:15" x14ac:dyDescent="0.3">
      <c r="A69" s="12"/>
      <c r="B69" s="43" t="s">
        <v>1312</v>
      </c>
      <c r="C69" s="30" t="s">
        <v>8</v>
      </c>
      <c r="D69" s="30" t="s">
        <v>192</v>
      </c>
      <c r="E69" s="30">
        <v>188.5</v>
      </c>
      <c r="F69" s="30">
        <v>183.5</v>
      </c>
      <c r="G69" s="30">
        <v>5</v>
      </c>
      <c r="H69" s="30">
        <v>2000</v>
      </c>
      <c r="I69" s="30">
        <v>10000</v>
      </c>
      <c r="J69" s="12"/>
      <c r="K69" s="86"/>
      <c r="L69" s="10"/>
      <c r="M69" s="10"/>
      <c r="N69" s="10"/>
      <c r="O69" s="10"/>
    </row>
    <row r="70" spans="1:15" x14ac:dyDescent="0.3">
      <c r="A70" s="12"/>
      <c r="B70" s="43" t="s">
        <v>1313</v>
      </c>
      <c r="C70" s="30" t="s">
        <v>8</v>
      </c>
      <c r="D70" s="30" t="s">
        <v>78</v>
      </c>
      <c r="E70" s="30">
        <v>1210</v>
      </c>
      <c r="F70" s="30">
        <v>1195</v>
      </c>
      <c r="G70" s="30">
        <v>15</v>
      </c>
      <c r="H70" s="30">
        <v>300</v>
      </c>
      <c r="I70" s="30">
        <v>4500</v>
      </c>
      <c r="J70" s="12"/>
      <c r="K70" s="86"/>
      <c r="L70" s="10"/>
      <c r="M70" s="10"/>
      <c r="N70" s="10"/>
      <c r="O70" s="10"/>
    </row>
    <row r="71" spans="1:15" x14ac:dyDescent="0.3">
      <c r="A71" s="12"/>
      <c r="B71" s="43" t="s">
        <v>1314</v>
      </c>
      <c r="C71" s="30" t="s">
        <v>8</v>
      </c>
      <c r="D71" s="30" t="s">
        <v>795</v>
      </c>
      <c r="E71" s="30">
        <v>822</v>
      </c>
      <c r="F71" s="30">
        <v>820</v>
      </c>
      <c r="G71" s="30">
        <v>2</v>
      </c>
      <c r="H71" s="30">
        <v>500</v>
      </c>
      <c r="I71" s="30">
        <v>1000</v>
      </c>
      <c r="J71" s="12"/>
      <c r="K71" s="86"/>
      <c r="L71" s="10"/>
      <c r="M71" s="10"/>
      <c r="N71" s="10"/>
      <c r="O71" s="10"/>
    </row>
    <row r="72" spans="1:15" x14ac:dyDescent="0.3">
      <c r="A72" s="12"/>
      <c r="B72" s="43" t="s">
        <v>1315</v>
      </c>
      <c r="C72" s="30" t="s">
        <v>8</v>
      </c>
      <c r="D72" s="30" t="s">
        <v>34</v>
      </c>
      <c r="E72" s="30">
        <v>153.5</v>
      </c>
      <c r="F72" s="30">
        <v>151.5</v>
      </c>
      <c r="G72" s="30">
        <v>2</v>
      </c>
      <c r="H72" s="30">
        <v>3000</v>
      </c>
      <c r="I72" s="30">
        <v>6000</v>
      </c>
      <c r="J72" s="12"/>
      <c r="K72" s="86"/>
      <c r="L72" s="10"/>
      <c r="M72" s="10"/>
      <c r="N72" s="10"/>
      <c r="O72" s="10"/>
    </row>
    <row r="73" spans="1:15" x14ac:dyDescent="0.3">
      <c r="A73" s="12"/>
      <c r="B73" s="43"/>
      <c r="C73" s="30"/>
      <c r="D73" s="30"/>
      <c r="E73" s="30"/>
      <c r="F73" s="30"/>
      <c r="G73" s="30"/>
      <c r="H73" s="30"/>
      <c r="I73" s="30"/>
      <c r="J73" s="12"/>
      <c r="K73" s="86"/>
      <c r="L73" s="10"/>
      <c r="M73" s="10"/>
      <c r="N73" s="10"/>
      <c r="O73" s="10"/>
    </row>
    <row r="74" spans="1:15" x14ac:dyDescent="0.3">
      <c r="A74" s="12"/>
      <c r="B74" s="45"/>
      <c r="C74" s="30"/>
      <c r="D74" s="30"/>
      <c r="E74" s="30"/>
      <c r="F74" s="30"/>
      <c r="G74" s="30"/>
      <c r="H74" s="30"/>
      <c r="I74" s="97"/>
      <c r="J74" s="12"/>
      <c r="K74" s="86"/>
      <c r="L74" s="10"/>
      <c r="M74" s="10"/>
      <c r="N74" s="10"/>
      <c r="O74" s="10"/>
    </row>
    <row r="75" spans="1:15" x14ac:dyDescent="0.3">
      <c r="A75" s="12"/>
      <c r="B75" s="43"/>
      <c r="C75" s="30"/>
      <c r="D75" s="30"/>
      <c r="E75" s="30"/>
      <c r="F75" s="30"/>
      <c r="G75" s="30"/>
      <c r="H75" s="30"/>
      <c r="I75" s="21">
        <v>111025</v>
      </c>
      <c r="J75" s="12"/>
      <c r="K75" s="86"/>
      <c r="L75" s="10"/>
      <c r="M75" s="10"/>
      <c r="N75" s="10"/>
      <c r="O75" s="10"/>
    </row>
    <row r="76" spans="1:15" x14ac:dyDescent="0.3">
      <c r="A76" s="12"/>
      <c r="B76" s="106" t="s">
        <v>63</v>
      </c>
      <c r="C76" s="106"/>
      <c r="D76" s="106"/>
      <c r="E76" s="106"/>
      <c r="F76" s="106"/>
      <c r="G76" s="106"/>
      <c r="H76" s="106"/>
      <c r="I76" s="106"/>
      <c r="J76" s="12"/>
      <c r="K76" s="86"/>
      <c r="L76" s="10"/>
      <c r="M76" s="10"/>
      <c r="N76" s="10"/>
      <c r="O76" s="10"/>
    </row>
    <row r="77" spans="1:15" x14ac:dyDescent="0.3">
      <c r="A77" s="12"/>
      <c r="B77" s="43">
        <v>42372</v>
      </c>
      <c r="C77" s="2" t="s">
        <v>8</v>
      </c>
      <c r="D77" s="2" t="s">
        <v>39</v>
      </c>
      <c r="E77" s="41" t="s">
        <v>1279</v>
      </c>
      <c r="F77" s="40" t="s">
        <v>1280</v>
      </c>
      <c r="G77" s="40" t="s">
        <v>489</v>
      </c>
      <c r="H77" s="30">
        <v>150</v>
      </c>
      <c r="I77" s="41" t="s">
        <v>1281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>
        <v>42403</v>
      </c>
      <c r="C78" s="30" t="s">
        <v>9</v>
      </c>
      <c r="D78" s="2" t="s">
        <v>39</v>
      </c>
      <c r="E78" s="2">
        <v>7330</v>
      </c>
      <c r="F78" s="30">
        <v>7360</v>
      </c>
      <c r="G78" s="30">
        <v>30</v>
      </c>
      <c r="H78" s="30">
        <v>150</v>
      </c>
      <c r="I78" s="30">
        <v>4500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>
        <v>42432</v>
      </c>
      <c r="C79" s="30" t="s">
        <v>8</v>
      </c>
      <c r="D79" s="2" t="s">
        <v>39</v>
      </c>
      <c r="E79" s="2">
        <v>7405</v>
      </c>
      <c r="F79" s="30">
        <v>7390</v>
      </c>
      <c r="G79" s="30">
        <v>15</v>
      </c>
      <c r="H79" s="30">
        <v>150</v>
      </c>
      <c r="I79" s="30">
        <v>2250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42463</v>
      </c>
      <c r="C80" s="30" t="s">
        <v>8</v>
      </c>
      <c r="D80" s="2" t="s">
        <v>39</v>
      </c>
      <c r="E80" s="2">
        <v>7430</v>
      </c>
      <c r="F80" s="30">
        <v>7410</v>
      </c>
      <c r="G80" s="30">
        <v>20</v>
      </c>
      <c r="H80" s="30">
        <v>150</v>
      </c>
      <c r="I80" s="30">
        <v>3000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42585</v>
      </c>
      <c r="C81" s="30" t="s">
        <v>8</v>
      </c>
      <c r="D81" s="2" t="s">
        <v>39</v>
      </c>
      <c r="E81" s="30">
        <v>7485</v>
      </c>
      <c r="F81" s="30">
        <v>7420</v>
      </c>
      <c r="G81" s="30">
        <v>65</v>
      </c>
      <c r="H81" s="30">
        <v>150</v>
      </c>
      <c r="I81" s="30">
        <v>9750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>
        <v>42616</v>
      </c>
      <c r="C82" s="30" t="s">
        <v>8</v>
      </c>
      <c r="D82" s="2" t="s">
        <v>39</v>
      </c>
      <c r="E82" s="30">
        <v>7440</v>
      </c>
      <c r="F82" s="30">
        <v>7475</v>
      </c>
      <c r="G82" s="30">
        <v>-35</v>
      </c>
      <c r="H82" s="30">
        <v>150</v>
      </c>
      <c r="I82" s="30">
        <v>-5250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42646</v>
      </c>
      <c r="C83" s="30" t="s">
        <v>8</v>
      </c>
      <c r="D83" s="2" t="s">
        <v>39</v>
      </c>
      <c r="E83" s="30">
        <v>7490</v>
      </c>
      <c r="F83" s="30">
        <v>7440</v>
      </c>
      <c r="G83" s="30">
        <v>50</v>
      </c>
      <c r="H83" s="30">
        <v>150</v>
      </c>
      <c r="I83" s="30">
        <v>7500</v>
      </c>
      <c r="J83" s="12"/>
      <c r="K83" s="86"/>
      <c r="L83" s="10"/>
      <c r="M83" s="10"/>
      <c r="N83" s="10"/>
      <c r="O83" s="10"/>
    </row>
    <row r="84" spans="1:15" x14ac:dyDescent="0.3">
      <c r="A84" s="12"/>
      <c r="B84" s="43">
        <v>42677</v>
      </c>
      <c r="C84" s="30" t="s">
        <v>9</v>
      </c>
      <c r="D84" s="2" t="s">
        <v>39</v>
      </c>
      <c r="E84" s="30">
        <v>7530</v>
      </c>
      <c r="F84" s="30">
        <v>7495</v>
      </c>
      <c r="G84" s="30">
        <v>-35</v>
      </c>
      <c r="H84" s="30">
        <v>150</v>
      </c>
      <c r="I84" s="30">
        <v>-5250</v>
      </c>
      <c r="J84" s="12"/>
      <c r="K84" s="86"/>
      <c r="L84" s="10"/>
      <c r="M84" s="10"/>
      <c r="N84" s="10"/>
      <c r="O84" s="10"/>
    </row>
    <row r="85" spans="1:15" x14ac:dyDescent="0.3">
      <c r="A85" s="12"/>
      <c r="B85" s="43" t="s">
        <v>1294</v>
      </c>
      <c r="C85" s="30" t="s">
        <v>8</v>
      </c>
      <c r="D85" s="2" t="s">
        <v>39</v>
      </c>
      <c r="E85" s="30">
        <v>7555</v>
      </c>
      <c r="F85" s="30">
        <v>7530</v>
      </c>
      <c r="G85" s="30">
        <v>25</v>
      </c>
      <c r="H85" s="30">
        <v>150</v>
      </c>
      <c r="I85" s="30">
        <v>3750</v>
      </c>
      <c r="J85" s="12"/>
      <c r="K85" s="86"/>
      <c r="L85" s="10"/>
      <c r="M85" s="10"/>
      <c r="N85" s="10"/>
      <c r="O85" s="10"/>
    </row>
    <row r="86" spans="1:15" x14ac:dyDescent="0.3">
      <c r="A86" s="12"/>
      <c r="B86" s="43" t="s">
        <v>1295</v>
      </c>
      <c r="C86" s="30" t="s">
        <v>8</v>
      </c>
      <c r="D86" s="2" t="s">
        <v>39</v>
      </c>
      <c r="E86" s="30">
        <v>7510</v>
      </c>
      <c r="F86" s="30">
        <v>7470</v>
      </c>
      <c r="G86" s="30">
        <v>40</v>
      </c>
      <c r="H86" s="30">
        <v>150</v>
      </c>
      <c r="I86" s="30">
        <v>6000</v>
      </c>
      <c r="J86" s="12"/>
      <c r="K86" s="86"/>
      <c r="L86" s="10"/>
      <c r="M86" s="10"/>
      <c r="N86" s="10"/>
      <c r="O86" s="10"/>
    </row>
    <row r="87" spans="1:15" x14ac:dyDescent="0.3">
      <c r="A87" s="12"/>
      <c r="B87" s="43" t="s">
        <v>1296</v>
      </c>
      <c r="C87" s="30" t="s">
        <v>8</v>
      </c>
      <c r="D87" s="2" t="s">
        <v>39</v>
      </c>
      <c r="E87" s="30">
        <v>7470</v>
      </c>
      <c r="F87" s="30">
        <v>7430</v>
      </c>
      <c r="G87" s="30">
        <v>40</v>
      </c>
      <c r="H87" s="30">
        <v>150</v>
      </c>
      <c r="I87" s="30">
        <v>6000</v>
      </c>
      <c r="J87" s="12"/>
      <c r="K87" s="86"/>
      <c r="L87" s="10"/>
      <c r="M87" s="10"/>
      <c r="N87" s="10"/>
      <c r="O87" s="10"/>
    </row>
    <row r="88" spans="1:15" x14ac:dyDescent="0.3">
      <c r="A88" s="12"/>
      <c r="B88" s="43" t="s">
        <v>1297</v>
      </c>
      <c r="C88" s="30" t="s">
        <v>8</v>
      </c>
      <c r="D88" s="2" t="s">
        <v>39</v>
      </c>
      <c r="E88" s="30">
        <v>7565</v>
      </c>
      <c r="F88" s="30">
        <v>7500</v>
      </c>
      <c r="G88" s="30">
        <v>65</v>
      </c>
      <c r="H88" s="30">
        <v>150</v>
      </c>
      <c r="I88" s="30">
        <v>9750</v>
      </c>
      <c r="J88" s="12"/>
      <c r="K88" s="86"/>
      <c r="L88" s="10"/>
      <c r="M88" s="10"/>
      <c r="N88" s="10"/>
      <c r="O88" s="10"/>
    </row>
    <row r="89" spans="1:15" x14ac:dyDescent="0.3">
      <c r="A89" s="12"/>
      <c r="B89" s="43" t="s">
        <v>1298</v>
      </c>
      <c r="C89" s="30" t="s">
        <v>9</v>
      </c>
      <c r="D89" s="2" t="s">
        <v>39</v>
      </c>
      <c r="E89" s="30">
        <v>7565</v>
      </c>
      <c r="F89" s="30">
        <v>7615</v>
      </c>
      <c r="G89" s="30">
        <v>50</v>
      </c>
      <c r="H89" s="30">
        <v>150</v>
      </c>
      <c r="I89" s="30">
        <v>7500</v>
      </c>
      <c r="J89" s="12"/>
      <c r="K89" s="86"/>
      <c r="L89" s="10"/>
      <c r="M89" s="10"/>
      <c r="N89" s="10"/>
      <c r="O89" s="10"/>
    </row>
    <row r="90" spans="1:15" x14ac:dyDescent="0.3">
      <c r="A90" s="12"/>
      <c r="B90" s="43" t="s">
        <v>1305</v>
      </c>
      <c r="C90" s="30" t="s">
        <v>9</v>
      </c>
      <c r="D90" s="2" t="s">
        <v>39</v>
      </c>
      <c r="E90" s="30">
        <v>7645</v>
      </c>
      <c r="F90" s="30">
        <v>7710</v>
      </c>
      <c r="G90" s="30">
        <v>65</v>
      </c>
      <c r="H90" s="30">
        <v>150</v>
      </c>
      <c r="I90" s="30">
        <v>9750</v>
      </c>
      <c r="J90" s="12"/>
      <c r="K90" s="86"/>
      <c r="L90" s="10"/>
      <c r="M90" s="10"/>
      <c r="N90" s="10"/>
      <c r="O90" s="10"/>
    </row>
    <row r="91" spans="1:15" x14ac:dyDescent="0.3">
      <c r="A91" s="12"/>
      <c r="B91" s="43" t="s">
        <v>1306</v>
      </c>
      <c r="C91" s="30" t="s">
        <v>9</v>
      </c>
      <c r="D91" s="2" t="s">
        <v>39</v>
      </c>
      <c r="E91" s="30">
        <v>7710</v>
      </c>
      <c r="F91" s="30">
        <v>7675</v>
      </c>
      <c r="G91" s="30">
        <v>-35</v>
      </c>
      <c r="H91" s="30">
        <v>150</v>
      </c>
      <c r="I91" s="30">
        <v>-5250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43" t="s">
        <v>1311</v>
      </c>
      <c r="C92" s="30" t="s">
        <v>8</v>
      </c>
      <c r="D92" s="2" t="s">
        <v>39</v>
      </c>
      <c r="E92" s="30">
        <v>7705</v>
      </c>
      <c r="F92" s="30">
        <v>7680</v>
      </c>
      <c r="G92" s="30">
        <v>25</v>
      </c>
      <c r="H92" s="30">
        <v>150</v>
      </c>
      <c r="I92" s="30">
        <v>3750</v>
      </c>
      <c r="J92" s="12"/>
      <c r="K92" s="86"/>
      <c r="L92" s="10"/>
      <c r="M92" s="10"/>
      <c r="N92" s="10"/>
      <c r="O92" s="10"/>
    </row>
    <row r="93" spans="1:15" x14ac:dyDescent="0.3">
      <c r="A93" s="12"/>
      <c r="B93" s="43" t="s">
        <v>1312</v>
      </c>
      <c r="C93" s="30" t="s">
        <v>8</v>
      </c>
      <c r="D93" s="2" t="s">
        <v>39</v>
      </c>
      <c r="E93" s="30">
        <v>7710</v>
      </c>
      <c r="F93" s="30">
        <v>7645</v>
      </c>
      <c r="G93" s="30">
        <v>65</v>
      </c>
      <c r="H93" s="30">
        <v>150</v>
      </c>
      <c r="I93" s="30">
        <v>9750</v>
      </c>
      <c r="J93" s="12"/>
      <c r="K93" s="86"/>
      <c r="L93" s="10"/>
      <c r="M93" s="10"/>
      <c r="N93" s="10"/>
      <c r="O93" s="10"/>
    </row>
    <row r="94" spans="1:15" x14ac:dyDescent="0.3">
      <c r="A94" s="12"/>
      <c r="B94" s="43" t="s">
        <v>1313</v>
      </c>
      <c r="C94" s="30" t="s">
        <v>8</v>
      </c>
      <c r="D94" s="2" t="s">
        <v>39</v>
      </c>
      <c r="E94" s="30">
        <v>7640</v>
      </c>
      <c r="F94" s="30">
        <v>7600</v>
      </c>
      <c r="G94" s="30">
        <v>40</v>
      </c>
      <c r="H94" s="30">
        <v>150</v>
      </c>
      <c r="I94" s="30">
        <v>6000</v>
      </c>
      <c r="J94" s="12"/>
      <c r="K94" s="86"/>
      <c r="L94" s="10"/>
      <c r="M94" s="10"/>
      <c r="N94" s="10"/>
      <c r="O94" s="10"/>
    </row>
    <row r="95" spans="1:15" x14ac:dyDescent="0.3">
      <c r="A95" s="12"/>
      <c r="B95" s="43" t="s">
        <v>1314</v>
      </c>
      <c r="C95" s="30" t="s">
        <v>8</v>
      </c>
      <c r="D95" s="2" t="s">
        <v>39</v>
      </c>
      <c r="E95" s="30">
        <v>7660</v>
      </c>
      <c r="F95" s="30">
        <v>7695</v>
      </c>
      <c r="G95" s="30">
        <v>-35</v>
      </c>
      <c r="H95" s="30">
        <v>150</v>
      </c>
      <c r="I95" s="30">
        <v>-5250</v>
      </c>
      <c r="J95" s="12"/>
      <c r="K95" s="86"/>
      <c r="L95" s="10"/>
      <c r="M95" s="10"/>
      <c r="N95" s="10"/>
      <c r="O95" s="10"/>
    </row>
    <row r="96" spans="1:15" x14ac:dyDescent="0.3">
      <c r="A96" s="12"/>
      <c r="B96" s="43" t="s">
        <v>1315</v>
      </c>
      <c r="C96" s="30" t="s">
        <v>9</v>
      </c>
      <c r="D96" s="2" t="s">
        <v>39</v>
      </c>
      <c r="E96" s="30">
        <v>7760</v>
      </c>
      <c r="F96" s="30">
        <v>7775</v>
      </c>
      <c r="G96" s="30">
        <v>15</v>
      </c>
      <c r="H96" s="30">
        <v>150</v>
      </c>
      <c r="I96" s="30">
        <v>2250</v>
      </c>
      <c r="J96" s="12"/>
      <c r="K96" s="86"/>
      <c r="L96" s="10"/>
      <c r="M96" s="10"/>
      <c r="N96" s="10"/>
      <c r="O96" s="10"/>
    </row>
    <row r="97" spans="1:15" x14ac:dyDescent="0.3">
      <c r="A97" s="12"/>
      <c r="B97" s="43"/>
      <c r="C97" s="30"/>
      <c r="D97" s="2"/>
      <c r="E97" s="30"/>
      <c r="F97" s="30"/>
      <c r="G97" s="30"/>
      <c r="H97" s="30"/>
      <c r="I97" s="97"/>
      <c r="J97" s="12"/>
      <c r="K97" s="86"/>
      <c r="L97" s="10"/>
      <c r="M97" s="10"/>
      <c r="N97" s="10"/>
      <c r="O97" s="10"/>
    </row>
    <row r="98" spans="1:15" x14ac:dyDescent="0.3">
      <c r="A98" s="12"/>
      <c r="B98" s="43"/>
      <c r="C98" s="28"/>
      <c r="D98" s="30"/>
      <c r="E98" s="28"/>
      <c r="F98" s="28"/>
      <c r="G98" s="28"/>
      <c r="H98" s="28"/>
      <c r="I98" s="29">
        <v>70500</v>
      </c>
      <c r="J98" s="12"/>
      <c r="K98" s="86"/>
      <c r="L98" s="10"/>
      <c r="M98" s="10"/>
      <c r="N98" s="10"/>
      <c r="O98" s="10"/>
    </row>
    <row r="99" spans="1:15" x14ac:dyDescent="0.3">
      <c r="A99" s="12"/>
      <c r="B99" s="106" t="s">
        <v>991</v>
      </c>
      <c r="C99" s="111"/>
      <c r="D99" s="111"/>
      <c r="E99" s="111"/>
      <c r="F99" s="111"/>
      <c r="G99" s="111"/>
      <c r="H99" s="111"/>
      <c r="I99" s="111"/>
      <c r="J99" s="12"/>
      <c r="K99" s="86"/>
      <c r="L99" s="10"/>
      <c r="M99" s="10"/>
      <c r="N99" s="10"/>
      <c r="O99" s="10"/>
    </row>
    <row r="100" spans="1:15" x14ac:dyDescent="0.3">
      <c r="A100" s="12"/>
      <c r="B100" s="43">
        <v>42372</v>
      </c>
      <c r="C100" s="3" t="s">
        <v>9</v>
      </c>
      <c r="D100" s="3" t="s">
        <v>1218</v>
      </c>
      <c r="E100" s="41" t="s">
        <v>513</v>
      </c>
      <c r="F100" s="41" t="s">
        <v>232</v>
      </c>
      <c r="G100" s="41" t="s">
        <v>1171</v>
      </c>
      <c r="H100" s="30">
        <v>300</v>
      </c>
      <c r="I100" s="8">
        <v>-7500</v>
      </c>
      <c r="J100" s="12"/>
      <c r="K100" s="86"/>
      <c r="L100" s="10"/>
      <c r="M100" s="10"/>
      <c r="N100" s="10"/>
      <c r="O100" s="10"/>
    </row>
    <row r="101" spans="1:15" x14ac:dyDescent="0.3">
      <c r="A101" s="12"/>
      <c r="B101" s="43">
        <v>42403</v>
      </c>
      <c r="C101" s="3" t="s">
        <v>9</v>
      </c>
      <c r="D101" s="3" t="s">
        <v>1282</v>
      </c>
      <c r="E101" s="30">
        <v>155</v>
      </c>
      <c r="F101" s="30">
        <v>180</v>
      </c>
      <c r="G101" s="30">
        <v>25</v>
      </c>
      <c r="H101" s="30">
        <v>300</v>
      </c>
      <c r="I101" s="8">
        <v>7500</v>
      </c>
      <c r="J101" s="12"/>
      <c r="K101" s="86"/>
      <c r="L101" s="10"/>
      <c r="M101" s="10"/>
      <c r="N101" s="10"/>
      <c r="O101" s="10"/>
    </row>
    <row r="102" spans="1:15" x14ac:dyDescent="0.3">
      <c r="A102" s="12"/>
      <c r="B102" s="43">
        <v>42432</v>
      </c>
      <c r="C102" s="3" t="s">
        <v>9</v>
      </c>
      <c r="D102" s="3" t="s">
        <v>1161</v>
      </c>
      <c r="E102" s="30">
        <v>135</v>
      </c>
      <c r="F102" s="30">
        <v>110</v>
      </c>
      <c r="G102" s="30">
        <v>-25</v>
      </c>
      <c r="H102" s="30">
        <v>300</v>
      </c>
      <c r="I102" s="8">
        <v>-7500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>
        <v>42463</v>
      </c>
      <c r="C103" s="3" t="s">
        <v>9</v>
      </c>
      <c r="D103" s="3" t="s">
        <v>1161</v>
      </c>
      <c r="E103" s="30">
        <v>120</v>
      </c>
      <c r="F103" s="30">
        <v>95</v>
      </c>
      <c r="G103" s="30">
        <v>-25</v>
      </c>
      <c r="H103" s="30">
        <v>300</v>
      </c>
      <c r="I103" s="8">
        <v>-7500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>
        <v>42585</v>
      </c>
      <c r="C104" s="3" t="s">
        <v>9</v>
      </c>
      <c r="D104" s="30" t="s">
        <v>1143</v>
      </c>
      <c r="E104" s="30">
        <v>134</v>
      </c>
      <c r="F104" s="30">
        <v>160</v>
      </c>
      <c r="G104" s="30">
        <v>26</v>
      </c>
      <c r="H104" s="30">
        <v>300</v>
      </c>
      <c r="I104" s="8">
        <v>7800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42616</v>
      </c>
      <c r="C105" s="3" t="s">
        <v>9</v>
      </c>
      <c r="D105" s="30" t="s">
        <v>1143</v>
      </c>
      <c r="E105" s="30">
        <v>150</v>
      </c>
      <c r="F105" s="30">
        <v>120</v>
      </c>
      <c r="G105" s="30">
        <v>-30</v>
      </c>
      <c r="H105" s="30">
        <v>300</v>
      </c>
      <c r="I105" s="8">
        <v>-9000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42646</v>
      </c>
      <c r="C106" s="3" t="s">
        <v>9</v>
      </c>
      <c r="D106" s="30" t="s">
        <v>1143</v>
      </c>
      <c r="E106" s="30">
        <v>120</v>
      </c>
      <c r="F106" s="30">
        <v>145</v>
      </c>
      <c r="G106" s="30">
        <v>25</v>
      </c>
      <c r="H106" s="30">
        <v>300</v>
      </c>
      <c r="I106" s="8">
        <v>7500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42677</v>
      </c>
      <c r="C107" s="3" t="s">
        <v>9</v>
      </c>
      <c r="D107" s="30" t="s">
        <v>1206</v>
      </c>
      <c r="E107" s="30">
        <v>130</v>
      </c>
      <c r="F107" s="30">
        <v>105</v>
      </c>
      <c r="G107" s="30">
        <v>-25</v>
      </c>
      <c r="H107" s="30">
        <v>300</v>
      </c>
      <c r="I107" s="8">
        <v>-7500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 t="s">
        <v>1294</v>
      </c>
      <c r="C108" s="3" t="s">
        <v>9</v>
      </c>
      <c r="D108" s="30" t="s">
        <v>936</v>
      </c>
      <c r="E108" s="30">
        <v>115</v>
      </c>
      <c r="F108" s="30">
        <v>130</v>
      </c>
      <c r="G108" s="30">
        <v>15</v>
      </c>
      <c r="H108" s="30">
        <v>300</v>
      </c>
      <c r="I108" s="8">
        <v>4500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 t="s">
        <v>1295</v>
      </c>
      <c r="C109" s="3" t="s">
        <v>9</v>
      </c>
      <c r="D109" s="30" t="s">
        <v>936</v>
      </c>
      <c r="E109" s="30">
        <v>135</v>
      </c>
      <c r="F109" s="30">
        <v>172</v>
      </c>
      <c r="G109" s="30">
        <v>37</v>
      </c>
      <c r="H109" s="30">
        <v>300</v>
      </c>
      <c r="I109" s="8">
        <v>11100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 t="s">
        <v>1296</v>
      </c>
      <c r="C110" s="3" t="s">
        <v>9</v>
      </c>
      <c r="D110" s="30" t="s">
        <v>1143</v>
      </c>
      <c r="E110" s="30">
        <v>112</v>
      </c>
      <c r="F110" s="30">
        <v>128</v>
      </c>
      <c r="G110" s="30">
        <v>16</v>
      </c>
      <c r="H110" s="30">
        <v>300</v>
      </c>
      <c r="I110" s="8">
        <v>4800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 t="s">
        <v>1297</v>
      </c>
      <c r="C111" s="3" t="s">
        <v>9</v>
      </c>
      <c r="D111" s="30" t="s">
        <v>936</v>
      </c>
      <c r="E111" s="30">
        <v>135</v>
      </c>
      <c r="F111" s="30">
        <v>172</v>
      </c>
      <c r="G111" s="30">
        <v>37</v>
      </c>
      <c r="H111" s="30">
        <v>300</v>
      </c>
      <c r="I111" s="8">
        <v>11100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 t="s">
        <v>1298</v>
      </c>
      <c r="C112" s="3" t="s">
        <v>9</v>
      </c>
      <c r="D112" s="30" t="s">
        <v>936</v>
      </c>
      <c r="E112" s="30">
        <v>100</v>
      </c>
      <c r="F112" s="30">
        <v>146</v>
      </c>
      <c r="G112" s="30">
        <v>46</v>
      </c>
      <c r="H112" s="30">
        <v>300</v>
      </c>
      <c r="I112" s="8">
        <v>13800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 t="s">
        <v>1305</v>
      </c>
      <c r="C113" s="3" t="s">
        <v>9</v>
      </c>
      <c r="D113" s="30" t="s">
        <v>1206</v>
      </c>
      <c r="E113" s="30">
        <v>165</v>
      </c>
      <c r="F113" s="30">
        <v>225</v>
      </c>
      <c r="G113" s="30">
        <v>60</v>
      </c>
      <c r="H113" s="30">
        <v>300</v>
      </c>
      <c r="I113" s="8">
        <v>18000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 t="s">
        <v>1306</v>
      </c>
      <c r="C114" s="3" t="s">
        <v>9</v>
      </c>
      <c r="D114" s="30" t="s">
        <v>1307</v>
      </c>
      <c r="E114" s="30">
        <v>120</v>
      </c>
      <c r="F114" s="30">
        <v>145</v>
      </c>
      <c r="G114" s="30">
        <v>25</v>
      </c>
      <c r="H114" s="30">
        <v>300</v>
      </c>
      <c r="I114" s="8">
        <v>7500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 t="s">
        <v>1311</v>
      </c>
      <c r="C115" s="3" t="s">
        <v>9</v>
      </c>
      <c r="D115" s="30" t="s">
        <v>935</v>
      </c>
      <c r="E115" s="30">
        <v>115</v>
      </c>
      <c r="F115" s="30">
        <v>130</v>
      </c>
      <c r="G115" s="30">
        <v>15</v>
      </c>
      <c r="H115" s="30">
        <v>300</v>
      </c>
      <c r="I115" s="8">
        <v>4500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 t="s">
        <v>1312</v>
      </c>
      <c r="C116" s="3" t="s">
        <v>9</v>
      </c>
      <c r="D116" s="30" t="s">
        <v>935</v>
      </c>
      <c r="E116" s="30">
        <v>100</v>
      </c>
      <c r="F116" s="30">
        <v>140</v>
      </c>
      <c r="G116" s="30">
        <v>40</v>
      </c>
      <c r="H116" s="30">
        <v>300</v>
      </c>
      <c r="I116" s="8">
        <v>12000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 t="s">
        <v>1313</v>
      </c>
      <c r="C117" s="3" t="s">
        <v>9</v>
      </c>
      <c r="D117" s="30" t="s">
        <v>935</v>
      </c>
      <c r="E117" s="30">
        <v>160</v>
      </c>
      <c r="F117" s="30">
        <v>200</v>
      </c>
      <c r="G117" s="30">
        <v>40</v>
      </c>
      <c r="H117" s="30">
        <v>300</v>
      </c>
      <c r="I117" s="8">
        <v>12000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 t="s">
        <v>1314</v>
      </c>
      <c r="C118" s="3" t="s">
        <v>9</v>
      </c>
      <c r="D118" s="30" t="s">
        <v>935</v>
      </c>
      <c r="E118" s="30">
        <v>137</v>
      </c>
      <c r="F118" s="30">
        <v>115</v>
      </c>
      <c r="G118" s="30">
        <v>-22</v>
      </c>
      <c r="H118" s="30">
        <v>300</v>
      </c>
      <c r="I118" s="8">
        <v>-6600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 t="s">
        <v>1315</v>
      </c>
      <c r="C119" s="3" t="s">
        <v>9</v>
      </c>
      <c r="D119" s="30" t="s">
        <v>1307</v>
      </c>
      <c r="E119" s="30">
        <v>160</v>
      </c>
      <c r="F119" s="30">
        <v>172</v>
      </c>
      <c r="G119" s="30">
        <v>12</v>
      </c>
      <c r="H119" s="30">
        <v>300</v>
      </c>
      <c r="I119" s="8">
        <v>3600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1"/>
      <c r="C120" s="28"/>
      <c r="D120" s="28"/>
      <c r="E120" s="28"/>
      <c r="F120" s="28"/>
      <c r="G120" s="28"/>
      <c r="H120" s="28"/>
      <c r="I120" s="97"/>
      <c r="J120" s="12"/>
      <c r="K120" s="10"/>
      <c r="L120" s="10"/>
      <c r="M120" s="10"/>
      <c r="N120" s="10"/>
      <c r="O120" s="10"/>
    </row>
    <row r="121" spans="1:15" ht="21" x14ac:dyDescent="0.4">
      <c r="A121" s="12"/>
      <c r="B121" s="1"/>
      <c r="C121" s="10"/>
      <c r="D121" s="10"/>
      <c r="E121" s="10"/>
      <c r="F121" s="10"/>
      <c r="G121" s="10"/>
      <c r="H121" s="10"/>
      <c r="I121" s="112">
        <v>80100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106" t="s">
        <v>926</v>
      </c>
      <c r="C122" s="106"/>
      <c r="D122" s="106"/>
      <c r="E122" s="106"/>
      <c r="F122" s="106"/>
      <c r="G122" s="106"/>
      <c r="H122" s="106"/>
      <c r="I122" s="106"/>
      <c r="J122" s="12"/>
      <c r="K122" s="10"/>
      <c r="L122" s="10"/>
      <c r="M122" s="10"/>
      <c r="N122" s="10"/>
      <c r="O122" s="10"/>
    </row>
    <row r="123" spans="1:15" x14ac:dyDescent="0.3">
      <c r="A123" s="12"/>
      <c r="B123" s="43">
        <v>42372</v>
      </c>
      <c r="C123" s="30" t="s">
        <v>8</v>
      </c>
      <c r="D123" s="30" t="s">
        <v>301</v>
      </c>
      <c r="E123" s="30">
        <v>14320</v>
      </c>
      <c r="F123" s="30">
        <v>14260</v>
      </c>
      <c r="G123" s="30">
        <v>60</v>
      </c>
      <c r="H123" s="30">
        <v>120</v>
      </c>
      <c r="I123" s="30">
        <v>7200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>
        <v>42403</v>
      </c>
      <c r="C124" s="30" t="s">
        <v>9</v>
      </c>
      <c r="D124" s="30" t="s">
        <v>301</v>
      </c>
      <c r="E124" s="30">
        <v>14900</v>
      </c>
      <c r="F124" s="30">
        <v>15150</v>
      </c>
      <c r="G124" s="30">
        <v>250</v>
      </c>
      <c r="H124" s="30">
        <v>120</v>
      </c>
      <c r="I124" s="30">
        <v>30000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>
        <v>42432</v>
      </c>
      <c r="C125" s="30" t="s">
        <v>8</v>
      </c>
      <c r="D125" s="30" t="s">
        <v>301</v>
      </c>
      <c r="E125" s="30">
        <v>15020</v>
      </c>
      <c r="F125" s="30">
        <v>15130</v>
      </c>
      <c r="G125" s="30">
        <v>-110</v>
      </c>
      <c r="H125" s="30">
        <v>120</v>
      </c>
      <c r="I125" s="30">
        <v>-13200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>
        <v>42463</v>
      </c>
      <c r="C126" s="30" t="s">
        <v>8</v>
      </c>
      <c r="D126" s="30" t="s">
        <v>301</v>
      </c>
      <c r="E126" s="30">
        <v>15010</v>
      </c>
      <c r="F126" s="30">
        <v>15210</v>
      </c>
      <c r="G126" s="30">
        <v>200</v>
      </c>
      <c r="H126" s="30">
        <v>120</v>
      </c>
      <c r="I126" s="30">
        <v>-24000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42585</v>
      </c>
      <c r="C127" s="30" t="s">
        <v>8</v>
      </c>
      <c r="D127" s="30" t="s">
        <v>301</v>
      </c>
      <c r="E127" s="30">
        <v>15260</v>
      </c>
      <c r="F127" s="30">
        <v>15080</v>
      </c>
      <c r="G127" s="30">
        <v>180</v>
      </c>
      <c r="H127" s="30">
        <v>120</v>
      </c>
      <c r="I127" s="30">
        <v>21600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42616</v>
      </c>
      <c r="C128" s="30" t="s">
        <v>9</v>
      </c>
      <c r="D128" s="30" t="s">
        <v>301</v>
      </c>
      <c r="E128" s="30">
        <v>15050</v>
      </c>
      <c r="F128" s="30">
        <v>15350</v>
      </c>
      <c r="G128" s="30">
        <v>300</v>
      </c>
      <c r="H128" s="30">
        <v>120</v>
      </c>
      <c r="I128" s="30">
        <v>36000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42646</v>
      </c>
      <c r="C129" s="30" t="s">
        <v>8</v>
      </c>
      <c r="D129" s="30" t="s">
        <v>301</v>
      </c>
      <c r="E129" s="30">
        <v>15250</v>
      </c>
      <c r="F129" s="30">
        <v>15150</v>
      </c>
      <c r="G129" s="30">
        <v>100</v>
      </c>
      <c r="H129" s="30">
        <v>120</v>
      </c>
      <c r="I129" s="30">
        <v>12000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42677</v>
      </c>
      <c r="C130" s="30" t="s">
        <v>9</v>
      </c>
      <c r="D130" s="30" t="s">
        <v>301</v>
      </c>
      <c r="E130" s="30">
        <v>15350</v>
      </c>
      <c r="F130" s="30">
        <v>15150</v>
      </c>
      <c r="G130" s="30">
        <v>-200</v>
      </c>
      <c r="H130" s="30">
        <v>120</v>
      </c>
      <c r="I130" s="30">
        <v>-24000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 t="s">
        <v>1294</v>
      </c>
      <c r="C131" s="30" t="s">
        <v>8</v>
      </c>
      <c r="D131" s="30" t="s">
        <v>301</v>
      </c>
      <c r="E131" s="30">
        <v>15350</v>
      </c>
      <c r="F131" s="30">
        <v>15300</v>
      </c>
      <c r="G131" s="30">
        <v>50</v>
      </c>
      <c r="H131" s="30">
        <v>120</v>
      </c>
      <c r="I131" s="30">
        <v>6000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 t="s">
        <v>1295</v>
      </c>
      <c r="C132" s="30" t="s">
        <v>8</v>
      </c>
      <c r="D132" s="30" t="s">
        <v>301</v>
      </c>
      <c r="E132" s="30">
        <v>15400</v>
      </c>
      <c r="F132" s="30">
        <v>15350</v>
      </c>
      <c r="G132" s="30">
        <v>50</v>
      </c>
      <c r="H132" s="30">
        <v>120</v>
      </c>
      <c r="I132" s="30">
        <v>6000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 t="s">
        <v>1296</v>
      </c>
      <c r="C133" s="30" t="s">
        <v>8</v>
      </c>
      <c r="D133" s="30" t="s">
        <v>301</v>
      </c>
      <c r="E133" s="30">
        <v>15360</v>
      </c>
      <c r="F133" s="30">
        <v>15260</v>
      </c>
      <c r="G133" s="30">
        <v>100</v>
      </c>
      <c r="H133" s="30">
        <v>120</v>
      </c>
      <c r="I133" s="30">
        <v>12000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 t="s">
        <v>1297</v>
      </c>
      <c r="C134" s="30" t="s">
        <v>8</v>
      </c>
      <c r="D134" s="30" t="s">
        <v>301</v>
      </c>
      <c r="E134" s="30">
        <v>15650</v>
      </c>
      <c r="F134" s="30">
        <v>15350</v>
      </c>
      <c r="G134" s="30">
        <v>300</v>
      </c>
      <c r="H134" s="30">
        <v>120</v>
      </c>
      <c r="I134" s="30">
        <v>36000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 t="s">
        <v>1298</v>
      </c>
      <c r="C135" s="30" t="s">
        <v>9</v>
      </c>
      <c r="D135" s="30" t="s">
        <v>301</v>
      </c>
      <c r="E135" s="30">
        <v>15550</v>
      </c>
      <c r="F135" s="30">
        <v>15700</v>
      </c>
      <c r="G135" s="30">
        <v>150</v>
      </c>
      <c r="H135" s="30">
        <v>120</v>
      </c>
      <c r="I135" s="30">
        <v>18000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 t="s">
        <v>1305</v>
      </c>
      <c r="C136" s="30" t="s">
        <v>9</v>
      </c>
      <c r="D136" s="30" t="s">
        <v>301</v>
      </c>
      <c r="E136" s="30">
        <v>15800</v>
      </c>
      <c r="F136" s="30">
        <v>15950</v>
      </c>
      <c r="G136" s="30">
        <v>150</v>
      </c>
      <c r="H136" s="30">
        <v>120</v>
      </c>
      <c r="I136" s="30">
        <v>18000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 t="s">
        <v>1306</v>
      </c>
      <c r="C137" s="30" t="s">
        <v>9</v>
      </c>
      <c r="D137" s="30" t="s">
        <v>301</v>
      </c>
      <c r="E137" s="30">
        <v>15880</v>
      </c>
      <c r="F137" s="30">
        <v>15980</v>
      </c>
      <c r="G137" s="30">
        <v>100</v>
      </c>
      <c r="H137" s="30">
        <v>120</v>
      </c>
      <c r="I137" s="30">
        <v>12000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 t="s">
        <v>1311</v>
      </c>
      <c r="C138" s="30" t="s">
        <v>8</v>
      </c>
      <c r="D138" s="30" t="s">
        <v>301</v>
      </c>
      <c r="E138" s="30">
        <v>15880</v>
      </c>
      <c r="F138" s="30">
        <v>15830</v>
      </c>
      <c r="G138" s="30">
        <v>50</v>
      </c>
      <c r="H138" s="30">
        <v>120</v>
      </c>
      <c r="I138" s="30">
        <v>6000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 t="s">
        <v>1312</v>
      </c>
      <c r="C139" s="30" t="s">
        <v>8</v>
      </c>
      <c r="D139" s="30" t="s">
        <v>301</v>
      </c>
      <c r="E139" s="30">
        <v>15870</v>
      </c>
      <c r="F139" s="30">
        <v>15570</v>
      </c>
      <c r="G139" s="30">
        <v>300</v>
      </c>
      <c r="H139" s="30">
        <v>120</v>
      </c>
      <c r="I139" s="30">
        <v>36000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 t="s">
        <v>1313</v>
      </c>
      <c r="C140" s="30" t="s">
        <v>8</v>
      </c>
      <c r="D140" s="30" t="s">
        <v>301</v>
      </c>
      <c r="E140" s="30">
        <v>15730</v>
      </c>
      <c r="F140" s="30">
        <v>15670</v>
      </c>
      <c r="G140" s="30">
        <v>60</v>
      </c>
      <c r="H140" s="30">
        <v>120</v>
      </c>
      <c r="I140" s="30">
        <v>7200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 t="s">
        <v>1314</v>
      </c>
      <c r="C141" s="30" t="s">
        <v>8</v>
      </c>
      <c r="D141" s="30" t="s">
        <v>301</v>
      </c>
      <c r="E141" s="30">
        <v>15830</v>
      </c>
      <c r="F141" s="30">
        <v>16030</v>
      </c>
      <c r="G141" s="30">
        <v>-200</v>
      </c>
      <c r="H141" s="30">
        <v>120</v>
      </c>
      <c r="I141" s="30">
        <v>-24000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 t="s">
        <v>1315</v>
      </c>
      <c r="C142" s="30" t="s">
        <v>9</v>
      </c>
      <c r="D142" s="30" t="s">
        <v>301</v>
      </c>
      <c r="E142" s="30">
        <v>16150</v>
      </c>
      <c r="F142" s="30">
        <v>16250</v>
      </c>
      <c r="G142" s="30">
        <v>100</v>
      </c>
      <c r="H142" s="30">
        <v>120</v>
      </c>
      <c r="I142" s="30">
        <v>12000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10"/>
      <c r="C143" s="10"/>
      <c r="D143" s="10"/>
      <c r="E143" s="10"/>
      <c r="F143" s="10"/>
      <c r="G143" s="10"/>
      <c r="H143" s="10"/>
      <c r="I143" s="95"/>
      <c r="J143" s="12"/>
      <c r="K143" s="10"/>
      <c r="L143" s="10"/>
      <c r="M143" s="10"/>
      <c r="N143" s="10"/>
      <c r="O143" s="10"/>
    </row>
    <row r="144" spans="1:15" ht="21" x14ac:dyDescent="0.4">
      <c r="A144" s="12"/>
      <c r="B144" s="10"/>
      <c r="C144" s="10"/>
      <c r="D144" s="10"/>
      <c r="E144" s="10"/>
      <c r="F144" s="10"/>
      <c r="G144" s="10"/>
      <c r="H144" s="10"/>
      <c r="I144" s="112">
        <v>190800</v>
      </c>
      <c r="J144" s="12"/>
      <c r="K144" s="10"/>
      <c r="L144" s="10"/>
      <c r="M144" s="10"/>
      <c r="N144" s="10"/>
      <c r="O144" s="10"/>
    </row>
    <row r="145" spans="1:15" x14ac:dyDescent="0.3">
      <c r="A145" s="113"/>
      <c r="B145" s="291" t="s">
        <v>1076</v>
      </c>
      <c r="C145" s="292"/>
      <c r="D145" s="292"/>
      <c r="E145" s="292"/>
      <c r="F145" s="292"/>
      <c r="G145" s="292"/>
      <c r="H145" s="292"/>
      <c r="I145" s="293"/>
      <c r="J145" s="113"/>
      <c r="K145" s="10"/>
      <c r="L145" s="10"/>
      <c r="M145" s="10"/>
      <c r="N145" s="10"/>
      <c r="O145" s="10"/>
    </row>
    <row r="146" spans="1:15" x14ac:dyDescent="0.3">
      <c r="A146" s="12"/>
      <c r="B146" s="43">
        <v>42372</v>
      </c>
      <c r="C146" s="30" t="s">
        <v>9</v>
      </c>
      <c r="D146" s="30" t="s">
        <v>474</v>
      </c>
      <c r="E146" s="30">
        <v>30</v>
      </c>
      <c r="F146" s="30">
        <v>33</v>
      </c>
      <c r="G146" s="30">
        <v>3</v>
      </c>
      <c r="H146" s="30">
        <v>400</v>
      </c>
      <c r="I146" s="30">
        <v>1200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42403</v>
      </c>
      <c r="C147" s="30" t="s">
        <v>9</v>
      </c>
      <c r="D147" s="30" t="s">
        <v>1283</v>
      </c>
      <c r="E147" s="30">
        <v>38</v>
      </c>
      <c r="F147" s="30">
        <v>53</v>
      </c>
      <c r="G147" s="30">
        <v>15</v>
      </c>
      <c r="H147" s="30">
        <v>400</v>
      </c>
      <c r="I147" s="30">
        <v>6000</v>
      </c>
      <c r="J147" s="12"/>
      <c r="K147" s="17"/>
      <c r="L147" s="17"/>
      <c r="M147" s="17"/>
      <c r="N147" s="17"/>
      <c r="O147" s="17"/>
    </row>
    <row r="148" spans="1:15" x14ac:dyDescent="0.3">
      <c r="A148" s="12"/>
      <c r="B148" s="43">
        <v>42432</v>
      </c>
      <c r="C148" s="30" t="s">
        <v>9</v>
      </c>
      <c r="D148" s="30" t="s">
        <v>1284</v>
      </c>
      <c r="E148" s="30">
        <v>120</v>
      </c>
      <c r="F148" s="30">
        <v>130</v>
      </c>
      <c r="G148" s="30">
        <v>10</v>
      </c>
      <c r="H148" s="30">
        <v>125</v>
      </c>
      <c r="I148" s="30">
        <v>1250</v>
      </c>
      <c r="J148" s="12"/>
      <c r="K148" s="10"/>
      <c r="L148" s="30"/>
      <c r="M148" s="10"/>
      <c r="N148" s="10"/>
      <c r="O148" s="10"/>
    </row>
    <row r="149" spans="1:15" x14ac:dyDescent="0.3">
      <c r="A149" s="12"/>
      <c r="B149" s="43">
        <v>42463</v>
      </c>
      <c r="C149" s="30" t="s">
        <v>9</v>
      </c>
      <c r="D149" s="30" t="s">
        <v>1234</v>
      </c>
      <c r="E149" s="30">
        <v>24</v>
      </c>
      <c r="F149" s="30">
        <v>27</v>
      </c>
      <c r="G149" s="30">
        <v>3</v>
      </c>
      <c r="H149" s="30">
        <v>700</v>
      </c>
      <c r="I149" s="30">
        <v>2100</v>
      </c>
      <c r="J149" s="12"/>
      <c r="K149" s="10"/>
      <c r="L149" s="30"/>
      <c r="M149" s="10"/>
      <c r="N149" s="10"/>
      <c r="O149" s="10"/>
    </row>
    <row r="150" spans="1:15" x14ac:dyDescent="0.3">
      <c r="A150" s="12"/>
      <c r="B150" s="43">
        <v>42585</v>
      </c>
      <c r="C150" s="30" t="s">
        <v>9</v>
      </c>
      <c r="D150" s="30" t="s">
        <v>1285</v>
      </c>
      <c r="E150" s="30">
        <v>85</v>
      </c>
      <c r="F150" s="30">
        <v>97</v>
      </c>
      <c r="G150" s="30">
        <v>12</v>
      </c>
      <c r="H150" s="30">
        <v>200</v>
      </c>
      <c r="I150" s="30">
        <v>2400</v>
      </c>
      <c r="J150" s="12"/>
      <c r="K150" s="10"/>
      <c r="L150" s="30"/>
      <c r="M150" s="10"/>
      <c r="N150" s="10"/>
      <c r="O150" s="10"/>
    </row>
    <row r="151" spans="1:15" x14ac:dyDescent="0.3">
      <c r="A151" s="12"/>
      <c r="B151" s="43">
        <v>42616</v>
      </c>
      <c r="C151" s="30" t="s">
        <v>9</v>
      </c>
      <c r="D151" s="30" t="s">
        <v>1286</v>
      </c>
      <c r="E151" s="30">
        <v>33</v>
      </c>
      <c r="F151" s="30">
        <v>45</v>
      </c>
      <c r="G151" s="30">
        <v>12</v>
      </c>
      <c r="H151" s="30">
        <v>400</v>
      </c>
      <c r="I151" s="30">
        <v>4800</v>
      </c>
      <c r="J151" s="12"/>
      <c r="K151" s="10"/>
      <c r="L151" s="30"/>
      <c r="M151" s="10"/>
      <c r="N151" s="10"/>
      <c r="O151" s="10"/>
    </row>
    <row r="152" spans="1:15" x14ac:dyDescent="0.3">
      <c r="A152" s="12"/>
      <c r="B152" s="43">
        <v>42646</v>
      </c>
      <c r="C152" s="30" t="s">
        <v>9</v>
      </c>
      <c r="D152" s="30" t="s">
        <v>1287</v>
      </c>
      <c r="E152" s="30">
        <v>42</v>
      </c>
      <c r="F152" s="30">
        <v>55</v>
      </c>
      <c r="G152" s="30">
        <v>13</v>
      </c>
      <c r="H152" s="30">
        <v>300</v>
      </c>
      <c r="I152" s="30">
        <v>3900</v>
      </c>
      <c r="J152" s="12"/>
      <c r="K152" s="10"/>
      <c r="L152" s="30"/>
      <c r="M152" s="10"/>
      <c r="N152" s="10"/>
      <c r="O152" s="10"/>
    </row>
    <row r="153" spans="1:15" x14ac:dyDescent="0.3">
      <c r="A153" s="12"/>
      <c r="B153" s="43">
        <v>42677</v>
      </c>
      <c r="C153" s="30" t="s">
        <v>9</v>
      </c>
      <c r="D153" s="30" t="s">
        <v>1288</v>
      </c>
      <c r="E153" s="30">
        <v>26</v>
      </c>
      <c r="F153" s="30">
        <v>23</v>
      </c>
      <c r="G153" s="30">
        <v>-3</v>
      </c>
      <c r="H153" s="30">
        <v>700</v>
      </c>
      <c r="I153" s="30">
        <v>-2100</v>
      </c>
      <c r="J153" s="12"/>
      <c r="K153" s="10"/>
      <c r="L153" s="30"/>
      <c r="M153" s="10"/>
      <c r="N153" s="10"/>
      <c r="O153" s="10"/>
    </row>
    <row r="154" spans="1:15" x14ac:dyDescent="0.3">
      <c r="A154" s="12"/>
      <c r="B154" s="43" t="s">
        <v>1294</v>
      </c>
      <c r="C154" s="30" t="s">
        <v>9</v>
      </c>
      <c r="D154" s="30" t="s">
        <v>1173</v>
      </c>
      <c r="E154" s="30">
        <v>5.5</v>
      </c>
      <c r="F154" s="30">
        <v>5.5</v>
      </c>
      <c r="G154" s="288" t="s">
        <v>1299</v>
      </c>
      <c r="H154" s="289"/>
      <c r="I154" s="290"/>
      <c r="J154" s="12"/>
      <c r="K154" s="10"/>
      <c r="L154" s="10"/>
      <c r="M154" s="10"/>
      <c r="N154" s="10"/>
      <c r="O154" s="10"/>
    </row>
    <row r="155" spans="1:15" x14ac:dyDescent="0.3">
      <c r="A155" s="12"/>
      <c r="B155" s="43" t="s">
        <v>1295</v>
      </c>
      <c r="C155" s="30" t="s">
        <v>9</v>
      </c>
      <c r="D155" s="30" t="s">
        <v>1300</v>
      </c>
      <c r="E155" s="30">
        <v>31</v>
      </c>
      <c r="F155" s="30">
        <v>25</v>
      </c>
      <c r="G155" s="30">
        <v>-6</v>
      </c>
      <c r="H155" s="30">
        <v>300</v>
      </c>
      <c r="I155" s="30">
        <v>-1800</v>
      </c>
      <c r="J155" s="12"/>
      <c r="K155" s="10"/>
      <c r="L155" s="10"/>
      <c r="M155" s="10"/>
      <c r="N155" s="10"/>
      <c r="O155" s="10"/>
    </row>
    <row r="156" spans="1:15" x14ac:dyDescent="0.3">
      <c r="A156" s="12"/>
      <c r="B156" s="43" t="s">
        <v>1296</v>
      </c>
      <c r="C156" s="30" t="s">
        <v>9</v>
      </c>
      <c r="D156" s="30" t="s">
        <v>1301</v>
      </c>
      <c r="E156" s="30">
        <v>20</v>
      </c>
      <c r="F156" s="30">
        <v>24</v>
      </c>
      <c r="G156" s="30">
        <v>4</v>
      </c>
      <c r="H156" s="30">
        <v>700</v>
      </c>
      <c r="I156" s="30">
        <v>2800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 t="s">
        <v>1297</v>
      </c>
      <c r="C157" s="30" t="s">
        <v>9</v>
      </c>
      <c r="D157" s="30" t="s">
        <v>1302</v>
      </c>
      <c r="E157" s="30">
        <v>18</v>
      </c>
      <c r="F157" s="30">
        <v>19.5</v>
      </c>
      <c r="G157" s="30">
        <v>1.5</v>
      </c>
      <c r="H157" s="30">
        <v>600</v>
      </c>
      <c r="I157" s="30">
        <v>900</v>
      </c>
      <c r="J157" s="12"/>
      <c r="K157" s="10"/>
      <c r="L157" s="10"/>
      <c r="M157" s="10"/>
      <c r="N157" s="10"/>
      <c r="O157" s="10"/>
    </row>
    <row r="158" spans="1:15" x14ac:dyDescent="0.3">
      <c r="A158" s="12"/>
      <c r="B158" s="43" t="s">
        <v>1298</v>
      </c>
      <c r="C158" s="30" t="s">
        <v>9</v>
      </c>
      <c r="D158" s="30" t="s">
        <v>1303</v>
      </c>
      <c r="E158" s="30">
        <v>60</v>
      </c>
      <c r="F158" s="30">
        <v>100</v>
      </c>
      <c r="G158" s="30">
        <v>40</v>
      </c>
      <c r="H158" s="30">
        <v>300</v>
      </c>
      <c r="I158" s="30">
        <v>12000</v>
      </c>
      <c r="J158" s="12"/>
      <c r="K158" s="10"/>
      <c r="L158" s="10"/>
      <c r="M158" s="10"/>
      <c r="N158" s="10"/>
      <c r="O158" s="10"/>
    </row>
    <row r="159" spans="1:15" x14ac:dyDescent="0.3">
      <c r="A159" s="12"/>
      <c r="B159" s="43" t="s">
        <v>1305</v>
      </c>
      <c r="C159" s="30" t="s">
        <v>9</v>
      </c>
      <c r="D159" s="30" t="s">
        <v>1308</v>
      </c>
      <c r="E159" s="30">
        <v>60</v>
      </c>
      <c r="F159" s="30">
        <v>50</v>
      </c>
      <c r="G159" s="30">
        <v>-10</v>
      </c>
      <c r="H159" s="30">
        <v>300</v>
      </c>
      <c r="I159" s="30">
        <v>-3000</v>
      </c>
      <c r="J159" s="12"/>
      <c r="K159" s="10"/>
      <c r="L159" s="10"/>
      <c r="M159" s="10"/>
      <c r="N159" s="10"/>
      <c r="O159" s="10"/>
    </row>
    <row r="160" spans="1:15" x14ac:dyDescent="0.3">
      <c r="A160" s="12"/>
      <c r="B160" s="43" t="s">
        <v>1306</v>
      </c>
      <c r="C160" s="30" t="s">
        <v>9</v>
      </c>
      <c r="D160" s="30" t="s">
        <v>1309</v>
      </c>
      <c r="E160" s="30">
        <v>33</v>
      </c>
      <c r="F160" s="30">
        <v>37</v>
      </c>
      <c r="G160" s="30">
        <v>4</v>
      </c>
      <c r="H160" s="30">
        <v>300</v>
      </c>
      <c r="I160" s="30">
        <v>1200</v>
      </c>
      <c r="J160" s="12"/>
      <c r="K160" s="10"/>
      <c r="L160" s="10"/>
      <c r="M160" s="10"/>
      <c r="N160" s="10"/>
      <c r="O160" s="10"/>
    </row>
    <row r="161" spans="1:15" x14ac:dyDescent="0.3">
      <c r="A161" s="12"/>
      <c r="B161" s="43" t="s">
        <v>1311</v>
      </c>
      <c r="C161" s="30" t="s">
        <v>9</v>
      </c>
      <c r="D161" s="30" t="s">
        <v>1316</v>
      </c>
      <c r="E161" s="30">
        <v>8</v>
      </c>
      <c r="F161" s="30">
        <v>8</v>
      </c>
      <c r="G161" s="288" t="s">
        <v>1299</v>
      </c>
      <c r="H161" s="289"/>
      <c r="I161" s="290"/>
      <c r="J161" s="12"/>
      <c r="K161" s="10"/>
      <c r="L161" s="10"/>
      <c r="M161" s="10"/>
      <c r="N161" s="10"/>
      <c r="O161" s="10"/>
    </row>
    <row r="162" spans="1:15" x14ac:dyDescent="0.3">
      <c r="A162" s="12"/>
      <c r="B162" s="43" t="s">
        <v>1312</v>
      </c>
      <c r="C162" s="30" t="s">
        <v>9</v>
      </c>
      <c r="D162" s="30" t="s">
        <v>1317</v>
      </c>
      <c r="E162" s="30">
        <v>3.5</v>
      </c>
      <c r="F162" s="30">
        <v>7</v>
      </c>
      <c r="G162" s="115">
        <v>3.5</v>
      </c>
      <c r="H162" s="116">
        <v>2000</v>
      </c>
      <c r="I162" s="117">
        <v>7000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 t="s">
        <v>1313</v>
      </c>
      <c r="C163" s="30" t="s">
        <v>9</v>
      </c>
      <c r="D163" s="30" t="s">
        <v>1318</v>
      </c>
      <c r="E163" s="30">
        <v>40</v>
      </c>
      <c r="F163" s="30">
        <v>35</v>
      </c>
      <c r="G163" s="115">
        <v>-5</v>
      </c>
      <c r="H163" s="116">
        <v>150</v>
      </c>
      <c r="I163" s="117">
        <v>-750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 t="s">
        <v>1314</v>
      </c>
      <c r="C164" s="30" t="s">
        <v>9</v>
      </c>
      <c r="D164" s="30" t="s">
        <v>1300</v>
      </c>
      <c r="E164" s="30">
        <v>15</v>
      </c>
      <c r="F164" s="30">
        <v>29</v>
      </c>
      <c r="G164" s="115">
        <v>14</v>
      </c>
      <c r="H164" s="116">
        <v>300</v>
      </c>
      <c r="I164" s="117">
        <v>4200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 t="s">
        <v>1315</v>
      </c>
      <c r="C165" s="30" t="s">
        <v>9</v>
      </c>
      <c r="D165" s="30" t="s">
        <v>1319</v>
      </c>
      <c r="E165" s="30">
        <v>3</v>
      </c>
      <c r="F165" s="30">
        <v>6</v>
      </c>
      <c r="G165" s="115">
        <v>3</v>
      </c>
      <c r="H165" s="116">
        <v>2000</v>
      </c>
      <c r="I165" s="117">
        <v>6000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10"/>
      <c r="C166" s="10"/>
      <c r="D166" s="10"/>
      <c r="E166" s="10"/>
      <c r="F166" s="10"/>
      <c r="G166" s="10"/>
      <c r="H166" s="10"/>
      <c r="I166" s="10"/>
      <c r="J166" s="12"/>
      <c r="K166" s="10"/>
      <c r="L166" s="10"/>
      <c r="M166" s="10"/>
      <c r="N166" s="10"/>
      <c r="O166" s="10"/>
    </row>
    <row r="167" spans="1:15" ht="18" x14ac:dyDescent="0.35">
      <c r="A167" s="12"/>
      <c r="B167" s="10"/>
      <c r="C167" s="10"/>
      <c r="D167" s="10"/>
      <c r="E167" s="10"/>
      <c r="F167" s="10"/>
      <c r="G167" s="10"/>
      <c r="H167" s="10"/>
      <c r="I167" s="72">
        <v>48100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291" t="s">
        <v>1152</v>
      </c>
      <c r="C168" s="292"/>
      <c r="D168" s="292"/>
      <c r="E168" s="292"/>
      <c r="F168" s="292"/>
      <c r="G168" s="292"/>
      <c r="H168" s="292"/>
      <c r="I168" s="293"/>
      <c r="J168" s="12"/>
      <c r="K168" s="10"/>
      <c r="L168" s="10"/>
      <c r="M168" s="10"/>
      <c r="N168" s="10"/>
      <c r="O168" s="10"/>
    </row>
    <row r="169" spans="1:15" x14ac:dyDescent="0.3">
      <c r="A169" s="12"/>
      <c r="B169" s="43">
        <v>42372</v>
      </c>
      <c r="C169" s="30" t="s">
        <v>9</v>
      </c>
      <c r="D169" s="30" t="s">
        <v>1289</v>
      </c>
      <c r="E169" s="30">
        <v>330</v>
      </c>
      <c r="F169" s="30">
        <v>300</v>
      </c>
      <c r="G169" s="30">
        <v>30</v>
      </c>
      <c r="H169" s="30">
        <v>120</v>
      </c>
      <c r="I169" s="30">
        <v>3600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43">
        <v>42403</v>
      </c>
      <c r="C170" s="30" t="s">
        <v>9</v>
      </c>
      <c r="D170" s="30" t="s">
        <v>1290</v>
      </c>
      <c r="E170" s="30">
        <v>360</v>
      </c>
      <c r="F170" s="30">
        <v>530</v>
      </c>
      <c r="G170" s="30">
        <v>170</v>
      </c>
      <c r="H170" s="30">
        <v>120</v>
      </c>
      <c r="I170" s="30">
        <v>20400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43">
        <v>42432</v>
      </c>
      <c r="C171" s="30" t="s">
        <v>9</v>
      </c>
      <c r="D171" s="30" t="s">
        <v>1221</v>
      </c>
      <c r="E171" s="30">
        <v>405</v>
      </c>
      <c r="F171" s="30">
        <v>305</v>
      </c>
      <c r="G171" s="30">
        <v>-100</v>
      </c>
      <c r="H171" s="30">
        <v>120</v>
      </c>
      <c r="I171" s="30">
        <v>-12000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43">
        <v>42463</v>
      </c>
      <c r="C172" s="30" t="s">
        <v>9</v>
      </c>
      <c r="D172" s="30" t="s">
        <v>1221</v>
      </c>
      <c r="E172" s="30">
        <v>380</v>
      </c>
      <c r="F172" s="30">
        <v>280</v>
      </c>
      <c r="G172" s="30">
        <v>-100</v>
      </c>
      <c r="H172" s="30">
        <v>120</v>
      </c>
      <c r="I172" s="30">
        <v>-12000</v>
      </c>
      <c r="J172" s="12"/>
      <c r="K172" s="10"/>
      <c r="L172" s="10"/>
      <c r="M172" s="10"/>
      <c r="N172" s="10"/>
      <c r="O172" s="10"/>
    </row>
    <row r="173" spans="1:15" x14ac:dyDescent="0.3">
      <c r="A173" s="12"/>
      <c r="B173" s="43">
        <v>42585</v>
      </c>
      <c r="C173" s="30" t="s">
        <v>9</v>
      </c>
      <c r="D173" s="30" t="s">
        <v>1221</v>
      </c>
      <c r="E173" s="30">
        <v>280</v>
      </c>
      <c r="F173" s="30">
        <v>340</v>
      </c>
      <c r="G173" s="30">
        <v>60</v>
      </c>
      <c r="H173" s="30">
        <v>120</v>
      </c>
      <c r="I173" s="30">
        <v>7200</v>
      </c>
      <c r="J173" s="12"/>
      <c r="K173" s="10"/>
      <c r="L173" s="10"/>
      <c r="M173" s="10"/>
      <c r="N173" s="10"/>
      <c r="O173" s="10"/>
    </row>
    <row r="174" spans="1:15" x14ac:dyDescent="0.3">
      <c r="A174" s="12"/>
      <c r="B174" s="43">
        <v>42616</v>
      </c>
      <c r="C174" s="30" t="s">
        <v>9</v>
      </c>
      <c r="D174" s="30" t="s">
        <v>1291</v>
      </c>
      <c r="E174" s="30">
        <v>400</v>
      </c>
      <c r="F174" s="30">
        <v>540</v>
      </c>
      <c r="G174" s="30">
        <v>140</v>
      </c>
      <c r="H174" s="30">
        <v>120</v>
      </c>
      <c r="I174" s="30">
        <v>16800</v>
      </c>
      <c r="J174" s="12"/>
      <c r="K174" s="10"/>
      <c r="L174" s="10"/>
      <c r="M174" s="10"/>
      <c r="N174" s="10"/>
      <c r="O174" s="10"/>
    </row>
    <row r="175" spans="1:15" x14ac:dyDescent="0.3">
      <c r="A175" s="12"/>
      <c r="B175" s="43">
        <v>42646</v>
      </c>
      <c r="C175" s="30" t="s">
        <v>9</v>
      </c>
      <c r="D175" s="30" t="s">
        <v>1165</v>
      </c>
      <c r="E175" s="30">
        <v>330</v>
      </c>
      <c r="F175" s="30">
        <v>390</v>
      </c>
      <c r="G175" s="30">
        <v>60</v>
      </c>
      <c r="H175" s="30">
        <v>120</v>
      </c>
      <c r="I175" s="30">
        <v>7200</v>
      </c>
      <c r="J175" s="12"/>
      <c r="K175" s="10"/>
      <c r="L175" s="10"/>
      <c r="M175" s="10"/>
      <c r="N175" s="10"/>
      <c r="O175" s="10"/>
    </row>
    <row r="176" spans="1:15" x14ac:dyDescent="0.3">
      <c r="A176" s="12"/>
      <c r="B176" s="43">
        <v>42677</v>
      </c>
      <c r="C176" s="30" t="s">
        <v>9</v>
      </c>
      <c r="D176" s="30" t="s">
        <v>1292</v>
      </c>
      <c r="E176" s="30">
        <v>370</v>
      </c>
      <c r="F176" s="30">
        <v>270</v>
      </c>
      <c r="G176" s="30">
        <v>-100</v>
      </c>
      <c r="H176" s="30">
        <v>120</v>
      </c>
      <c r="I176" s="30">
        <v>-12000</v>
      </c>
      <c r="J176" s="12"/>
      <c r="K176" s="10"/>
      <c r="L176" s="10"/>
      <c r="M176" s="10"/>
      <c r="N176" s="10"/>
      <c r="O176" s="10"/>
    </row>
    <row r="177" spans="1:15" x14ac:dyDescent="0.3">
      <c r="A177" s="12"/>
      <c r="B177" s="43" t="s">
        <v>1294</v>
      </c>
      <c r="C177" s="30" t="s">
        <v>9</v>
      </c>
      <c r="D177" s="30" t="s">
        <v>1220</v>
      </c>
      <c r="E177" s="30">
        <v>280</v>
      </c>
      <c r="F177" s="30">
        <v>310</v>
      </c>
      <c r="G177" s="30">
        <v>30</v>
      </c>
      <c r="H177" s="30">
        <v>120</v>
      </c>
      <c r="I177" s="30">
        <v>3600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 t="s">
        <v>1295</v>
      </c>
      <c r="C178" s="30" t="s">
        <v>11</v>
      </c>
      <c r="D178" s="30" t="s">
        <v>1220</v>
      </c>
      <c r="E178" s="30">
        <v>260</v>
      </c>
      <c r="F178" s="30">
        <v>255</v>
      </c>
      <c r="G178" s="30">
        <v>-5</v>
      </c>
      <c r="H178" s="30">
        <v>120</v>
      </c>
      <c r="I178" s="30">
        <v>-600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 t="s">
        <v>1296</v>
      </c>
      <c r="C179" s="30" t="s">
        <v>9</v>
      </c>
      <c r="D179" s="30" t="s">
        <v>1220</v>
      </c>
      <c r="E179" s="30">
        <v>260</v>
      </c>
      <c r="F179" s="30">
        <v>320</v>
      </c>
      <c r="G179" s="30">
        <v>60</v>
      </c>
      <c r="H179" s="30">
        <v>120</v>
      </c>
      <c r="I179" s="30">
        <v>7200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 t="s">
        <v>1297</v>
      </c>
      <c r="C180" s="30" t="s">
        <v>9</v>
      </c>
      <c r="D180" s="30" t="s">
        <v>1154</v>
      </c>
      <c r="E180" s="30">
        <v>240</v>
      </c>
      <c r="F180" s="30">
        <v>400</v>
      </c>
      <c r="G180" s="30">
        <v>160</v>
      </c>
      <c r="H180" s="30">
        <v>120</v>
      </c>
      <c r="I180" s="30">
        <v>19200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87" t="s">
        <v>1298</v>
      </c>
      <c r="C181" s="30" t="s">
        <v>9</v>
      </c>
      <c r="D181" s="30" t="s">
        <v>1304</v>
      </c>
      <c r="E181" s="30">
        <v>280</v>
      </c>
      <c r="F181" s="30">
        <v>340</v>
      </c>
      <c r="G181" s="30">
        <v>60</v>
      </c>
      <c r="H181" s="30">
        <v>120</v>
      </c>
      <c r="I181" s="30">
        <v>7200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 t="s">
        <v>1305</v>
      </c>
      <c r="C182" s="30" t="s">
        <v>9</v>
      </c>
      <c r="D182" s="30" t="s">
        <v>1310</v>
      </c>
      <c r="E182" s="30">
        <v>250</v>
      </c>
      <c r="F182" s="30">
        <v>345</v>
      </c>
      <c r="G182" s="30">
        <v>95</v>
      </c>
      <c r="H182" s="30">
        <v>120</v>
      </c>
      <c r="I182" s="30">
        <v>11400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30" t="s">
        <v>1306</v>
      </c>
      <c r="C183" s="30" t="s">
        <v>9</v>
      </c>
      <c r="D183" s="30" t="s">
        <v>1310</v>
      </c>
      <c r="E183" s="30">
        <v>270</v>
      </c>
      <c r="F183" s="30">
        <v>330</v>
      </c>
      <c r="G183" s="30">
        <v>60</v>
      </c>
      <c r="H183" s="30">
        <v>120</v>
      </c>
      <c r="I183" s="30">
        <v>7200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30" t="s">
        <v>1311</v>
      </c>
      <c r="C184" s="30" t="s">
        <v>9</v>
      </c>
      <c r="D184" s="30" t="s">
        <v>1153</v>
      </c>
      <c r="E184" s="30">
        <v>160</v>
      </c>
      <c r="F184" s="30">
        <v>185</v>
      </c>
      <c r="G184" s="30">
        <v>25</v>
      </c>
      <c r="H184" s="30">
        <v>120</v>
      </c>
      <c r="I184" s="30">
        <v>3000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30" t="s">
        <v>1312</v>
      </c>
      <c r="C185" s="30" t="s">
        <v>9</v>
      </c>
      <c r="D185" s="30" t="s">
        <v>1320</v>
      </c>
      <c r="E185" s="30">
        <v>200</v>
      </c>
      <c r="F185" s="30">
        <v>350</v>
      </c>
      <c r="G185" s="30">
        <v>150</v>
      </c>
      <c r="H185" s="30">
        <v>120</v>
      </c>
      <c r="I185" s="30">
        <v>18000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30" t="s">
        <v>1313</v>
      </c>
      <c r="C186" s="30" t="s">
        <v>9</v>
      </c>
      <c r="D186" s="30" t="s">
        <v>1320</v>
      </c>
      <c r="E186" s="30">
        <v>290</v>
      </c>
      <c r="F186" s="30">
        <v>350</v>
      </c>
      <c r="G186" s="30">
        <v>60</v>
      </c>
      <c r="H186" s="30">
        <v>120</v>
      </c>
      <c r="I186" s="30">
        <v>7200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30" t="s">
        <v>1314</v>
      </c>
      <c r="C187" s="30" t="s">
        <v>9</v>
      </c>
      <c r="D187" s="30" t="s">
        <v>1320</v>
      </c>
      <c r="E187" s="30">
        <v>180</v>
      </c>
      <c r="F187" s="30">
        <v>215</v>
      </c>
      <c r="G187" s="30">
        <v>35</v>
      </c>
      <c r="H187" s="30">
        <v>120</v>
      </c>
      <c r="I187" s="30">
        <v>4200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30" t="s">
        <v>1315</v>
      </c>
      <c r="C188" s="30" t="s">
        <v>9</v>
      </c>
      <c r="D188" s="30" t="s">
        <v>1321</v>
      </c>
      <c r="E188" s="30">
        <v>160</v>
      </c>
      <c r="F188" s="30">
        <v>260</v>
      </c>
      <c r="G188" s="30">
        <v>100</v>
      </c>
      <c r="H188" s="30">
        <v>120</v>
      </c>
      <c r="I188" s="30">
        <v>12000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10"/>
      <c r="C189" s="10"/>
      <c r="D189" s="10"/>
      <c r="E189" s="10"/>
      <c r="F189" s="10"/>
      <c r="G189" s="10"/>
      <c r="H189" s="10"/>
      <c r="I189" s="10"/>
      <c r="J189" s="12"/>
      <c r="K189" s="10"/>
      <c r="L189" s="10"/>
      <c r="M189" s="10"/>
      <c r="N189" s="10"/>
      <c r="O189" s="10"/>
    </row>
    <row r="190" spans="1:15" x14ac:dyDescent="0.3">
      <c r="A190" s="12"/>
      <c r="B190" s="10"/>
      <c r="C190" s="10"/>
      <c r="D190" s="10"/>
      <c r="E190" s="10"/>
      <c r="F190" s="10"/>
      <c r="G190" s="10"/>
      <c r="H190" s="10"/>
      <c r="I190" s="10"/>
      <c r="J190" s="12"/>
      <c r="K190" s="10"/>
      <c r="L190" s="10"/>
      <c r="M190" s="10"/>
      <c r="N190" s="10"/>
      <c r="O190" s="10"/>
    </row>
    <row r="191" spans="1:15" ht="25.8" x14ac:dyDescent="0.5">
      <c r="A191" s="12"/>
      <c r="B191" s="10"/>
      <c r="C191" s="10"/>
      <c r="D191" s="10"/>
      <c r="E191" s="10"/>
      <c r="F191" s="10"/>
      <c r="G191" s="10"/>
      <c r="H191" s="10"/>
      <c r="I191" s="114">
        <v>118800</v>
      </c>
      <c r="J191" s="12"/>
      <c r="K191" s="10"/>
      <c r="L191" s="10"/>
      <c r="M191" s="10"/>
      <c r="N191" s="10"/>
      <c r="O191" s="10"/>
    </row>
  </sheetData>
  <mergeCells count="7">
    <mergeCell ref="B145:I145"/>
    <mergeCell ref="G154:I154"/>
    <mergeCell ref="G161:I161"/>
    <mergeCell ref="B168:I168"/>
    <mergeCell ref="B1:I1"/>
    <mergeCell ref="B2:I2"/>
    <mergeCell ref="B3:I3"/>
  </mergeCells>
  <hyperlinks>
    <hyperlink ref="K2" location="'MASTER '!A1" display="Back" xr:uid="{00000000-0004-0000-23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175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294" t="s">
        <v>241</v>
      </c>
      <c r="C2" s="294"/>
      <c r="D2" s="294"/>
      <c r="E2" s="294"/>
      <c r="F2" s="294"/>
      <c r="G2" s="294"/>
      <c r="H2" s="294"/>
      <c r="I2" s="294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295" t="s">
        <v>1322</v>
      </c>
      <c r="C3" s="295"/>
      <c r="D3" s="295"/>
      <c r="E3" s="295"/>
      <c r="F3" s="295"/>
      <c r="G3" s="295"/>
      <c r="H3" s="295"/>
      <c r="I3" s="295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42373</v>
      </c>
      <c r="C6" s="2" t="s">
        <v>11</v>
      </c>
      <c r="D6" s="2" t="s">
        <v>173</v>
      </c>
      <c r="E6" s="41" t="s">
        <v>1323</v>
      </c>
      <c r="F6" s="40" t="s">
        <v>1324</v>
      </c>
      <c r="G6" s="40" t="s">
        <v>914</v>
      </c>
      <c r="H6" s="5">
        <v>341</v>
      </c>
      <c r="I6" s="81">
        <v>-3410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42373</v>
      </c>
      <c r="C7" s="2" t="s">
        <v>8</v>
      </c>
      <c r="D7" s="2" t="s">
        <v>109</v>
      </c>
      <c r="E7" s="41" t="s">
        <v>1325</v>
      </c>
      <c r="F7" s="40" t="s">
        <v>1326</v>
      </c>
      <c r="G7" s="40" t="s">
        <v>1327</v>
      </c>
      <c r="H7" s="5">
        <v>251</v>
      </c>
      <c r="I7" s="81">
        <v>-3263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42464</v>
      </c>
      <c r="C8" s="2" t="s">
        <v>9</v>
      </c>
      <c r="D8" s="2" t="s">
        <v>192</v>
      </c>
      <c r="E8" s="41" t="s">
        <v>1328</v>
      </c>
      <c r="F8" s="40" t="s">
        <v>257</v>
      </c>
      <c r="G8" s="40" t="s">
        <v>1269</v>
      </c>
      <c r="H8" s="5">
        <v>1493</v>
      </c>
      <c r="I8" s="81">
        <v>-4479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42464</v>
      </c>
      <c r="C9" s="2" t="s">
        <v>8</v>
      </c>
      <c r="D9" s="2" t="s">
        <v>129</v>
      </c>
      <c r="E9" s="41" t="s">
        <v>1329</v>
      </c>
      <c r="F9" s="40" t="s">
        <v>1330</v>
      </c>
      <c r="G9" s="40" t="s">
        <v>1122</v>
      </c>
      <c r="H9" s="5">
        <v>270</v>
      </c>
      <c r="I9" s="81">
        <v>3240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42494</v>
      </c>
      <c r="C10" s="2" t="s">
        <v>9</v>
      </c>
      <c r="D10" s="2" t="s">
        <v>192</v>
      </c>
      <c r="E10" s="41" t="s">
        <v>1331</v>
      </c>
      <c r="F10" s="40" t="s">
        <v>1332</v>
      </c>
      <c r="G10" s="40" t="s">
        <v>1120</v>
      </c>
      <c r="H10" s="5">
        <v>1523</v>
      </c>
      <c r="I10" s="81">
        <v>2284.5</v>
      </c>
      <c r="J10" s="12"/>
      <c r="K10" s="16" t="s">
        <v>449</v>
      </c>
      <c r="L10" s="30">
        <v>36</v>
      </c>
      <c r="M10" s="30">
        <v>24</v>
      </c>
      <c r="N10" s="30">
        <v>12</v>
      </c>
      <c r="O10" s="30">
        <v>0</v>
      </c>
    </row>
    <row r="11" spans="1:15" x14ac:dyDescent="0.3">
      <c r="A11" s="12"/>
      <c r="B11" s="43">
        <v>42494</v>
      </c>
      <c r="C11" s="2" t="s">
        <v>8</v>
      </c>
      <c r="D11" s="2" t="s">
        <v>895</v>
      </c>
      <c r="E11" s="41" t="s">
        <v>749</v>
      </c>
      <c r="F11" s="40" t="s">
        <v>1333</v>
      </c>
      <c r="G11" s="40" t="s">
        <v>1040</v>
      </c>
      <c r="H11" s="5">
        <v>254</v>
      </c>
      <c r="I11" s="81">
        <v>2413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42525</v>
      </c>
      <c r="C12" s="2" t="s">
        <v>9</v>
      </c>
      <c r="D12" s="2" t="s">
        <v>109</v>
      </c>
      <c r="E12" s="41" t="s">
        <v>816</v>
      </c>
      <c r="F12" s="40" t="s">
        <v>873</v>
      </c>
      <c r="G12" s="40" t="s">
        <v>951</v>
      </c>
      <c r="H12" s="5">
        <v>244</v>
      </c>
      <c r="I12" s="81">
        <v>3660</v>
      </c>
      <c r="J12" s="12"/>
      <c r="K12" s="16" t="s">
        <v>450</v>
      </c>
      <c r="L12" s="30">
        <v>18</v>
      </c>
      <c r="M12" s="30">
        <v>15</v>
      </c>
      <c r="N12" s="30">
        <v>3</v>
      </c>
      <c r="O12" s="30">
        <v>0</v>
      </c>
    </row>
    <row r="13" spans="1:15" x14ac:dyDescent="0.3">
      <c r="A13" s="12"/>
      <c r="B13" s="43">
        <v>42525</v>
      </c>
      <c r="C13" s="2" t="s">
        <v>8</v>
      </c>
      <c r="D13" s="2" t="s">
        <v>95</v>
      </c>
      <c r="E13" s="41" t="s">
        <v>1334</v>
      </c>
      <c r="F13" s="40" t="s">
        <v>1335</v>
      </c>
      <c r="G13" s="40" t="s">
        <v>959</v>
      </c>
      <c r="H13" s="5">
        <v>1339</v>
      </c>
      <c r="I13" s="81">
        <v>4017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42555</v>
      </c>
      <c r="C14" s="2" t="s">
        <v>9</v>
      </c>
      <c r="D14" s="2" t="s">
        <v>630</v>
      </c>
      <c r="E14" s="41" t="s">
        <v>1336</v>
      </c>
      <c r="F14" s="40" t="s">
        <v>780</v>
      </c>
      <c r="G14" s="40" t="s">
        <v>1337</v>
      </c>
      <c r="H14" s="5">
        <v>840</v>
      </c>
      <c r="I14" s="81">
        <v>3780</v>
      </c>
      <c r="J14" s="12"/>
      <c r="K14" s="16" t="s">
        <v>451</v>
      </c>
      <c r="L14" s="30">
        <v>18</v>
      </c>
      <c r="M14" s="30">
        <v>16</v>
      </c>
      <c r="N14" s="30">
        <v>2</v>
      </c>
      <c r="O14" s="30">
        <v>0</v>
      </c>
    </row>
    <row r="15" spans="1:15" x14ac:dyDescent="0.3">
      <c r="A15" s="12"/>
      <c r="B15" s="43">
        <v>42555</v>
      </c>
      <c r="C15" s="2" t="s">
        <v>8</v>
      </c>
      <c r="D15" s="2" t="s">
        <v>496</v>
      </c>
      <c r="E15" s="41" t="s">
        <v>1338</v>
      </c>
      <c r="F15" s="40" t="s">
        <v>1339</v>
      </c>
      <c r="G15" s="40" t="s">
        <v>1037</v>
      </c>
      <c r="H15" s="5">
        <v>647</v>
      </c>
      <c r="I15" s="81">
        <v>-3882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42586</v>
      </c>
      <c r="C16" s="2" t="s">
        <v>9</v>
      </c>
      <c r="D16" s="2" t="s">
        <v>139</v>
      </c>
      <c r="E16" s="41" t="s">
        <v>1340</v>
      </c>
      <c r="F16" s="40" t="s">
        <v>704</v>
      </c>
      <c r="G16" s="40" t="s">
        <v>1341</v>
      </c>
      <c r="H16" s="5">
        <v>355</v>
      </c>
      <c r="I16" s="81">
        <v>2130</v>
      </c>
      <c r="J16" s="12"/>
      <c r="K16" s="16" t="s">
        <v>1176</v>
      </c>
      <c r="L16" s="30">
        <v>18</v>
      </c>
      <c r="M16" s="30">
        <v>16</v>
      </c>
      <c r="N16" s="30">
        <v>2</v>
      </c>
      <c r="O16" s="30">
        <v>0</v>
      </c>
    </row>
    <row r="17" spans="1:15" x14ac:dyDescent="0.3">
      <c r="A17" s="12"/>
      <c r="B17" s="43">
        <v>42586</v>
      </c>
      <c r="C17" s="2" t="s">
        <v>8</v>
      </c>
      <c r="D17" s="2" t="s">
        <v>531</v>
      </c>
      <c r="E17" s="41" t="s">
        <v>1255</v>
      </c>
      <c r="F17" s="40" t="s">
        <v>1342</v>
      </c>
      <c r="G17" s="40" t="s">
        <v>925</v>
      </c>
      <c r="H17" s="5">
        <v>451</v>
      </c>
      <c r="I17" s="81">
        <v>2255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42678</v>
      </c>
      <c r="C18" s="2" t="s">
        <v>9</v>
      </c>
      <c r="D18" s="28" t="s">
        <v>794</v>
      </c>
      <c r="E18" s="30">
        <v>222</v>
      </c>
      <c r="F18" s="30">
        <v>227</v>
      </c>
      <c r="G18" s="30">
        <v>5</v>
      </c>
      <c r="H18" s="5">
        <v>1351</v>
      </c>
      <c r="I18" s="81">
        <v>6755</v>
      </c>
      <c r="J18" s="12"/>
      <c r="K18" s="16" t="s">
        <v>41</v>
      </c>
      <c r="L18" s="30">
        <v>18</v>
      </c>
      <c r="M18" s="30">
        <v>15</v>
      </c>
      <c r="N18" s="30">
        <v>2</v>
      </c>
      <c r="O18" s="30">
        <v>1</v>
      </c>
    </row>
    <row r="19" spans="1:15" x14ac:dyDescent="0.3">
      <c r="A19" s="12"/>
      <c r="B19" s="43">
        <v>42678</v>
      </c>
      <c r="C19" s="2" t="s">
        <v>8</v>
      </c>
      <c r="D19" s="28" t="s">
        <v>895</v>
      </c>
      <c r="E19" s="30">
        <v>1155</v>
      </c>
      <c r="F19" s="30">
        <v>1135</v>
      </c>
      <c r="G19" s="30">
        <v>20</v>
      </c>
      <c r="H19" s="5">
        <v>260</v>
      </c>
      <c r="I19" s="81">
        <v>5200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42708</v>
      </c>
      <c r="C20" s="2" t="s">
        <v>9</v>
      </c>
      <c r="D20" s="28" t="s">
        <v>50</v>
      </c>
      <c r="E20" s="30">
        <v>822</v>
      </c>
      <c r="F20" s="30">
        <v>826</v>
      </c>
      <c r="G20" s="30">
        <v>4</v>
      </c>
      <c r="H20" s="5">
        <v>365</v>
      </c>
      <c r="I20" s="81">
        <v>1460</v>
      </c>
      <c r="J20" s="12"/>
      <c r="K20" s="16" t="s">
        <v>1090</v>
      </c>
      <c r="L20" s="30">
        <v>18</v>
      </c>
      <c r="M20" s="30">
        <v>14</v>
      </c>
      <c r="N20" s="30">
        <v>3</v>
      </c>
      <c r="O20" s="30">
        <v>1</v>
      </c>
    </row>
    <row r="21" spans="1:15" x14ac:dyDescent="0.3">
      <c r="A21" s="12"/>
      <c r="B21" s="43">
        <v>42708</v>
      </c>
      <c r="C21" s="2" t="s">
        <v>8</v>
      </c>
      <c r="D21" s="28" t="s">
        <v>630</v>
      </c>
      <c r="E21" s="30">
        <v>363</v>
      </c>
      <c r="F21" s="30">
        <v>362</v>
      </c>
      <c r="G21" s="30">
        <v>1</v>
      </c>
      <c r="H21" s="5">
        <v>826</v>
      </c>
      <c r="I21" s="81">
        <v>826</v>
      </c>
      <c r="J21" s="12"/>
      <c r="K21" s="16"/>
      <c r="L21" s="30"/>
      <c r="M21" s="30"/>
      <c r="N21" s="30"/>
      <c r="O21" s="30"/>
    </row>
    <row r="22" spans="1:15" x14ac:dyDescent="0.3">
      <c r="A22" s="12"/>
      <c r="B22" s="43" t="s">
        <v>1360</v>
      </c>
      <c r="C22" s="2" t="s">
        <v>9</v>
      </c>
      <c r="D22" s="28" t="s">
        <v>95</v>
      </c>
      <c r="E22" s="30">
        <v>239</v>
      </c>
      <c r="F22" s="30">
        <v>244</v>
      </c>
      <c r="G22" s="30">
        <v>5</v>
      </c>
      <c r="H22" s="5">
        <v>1255</v>
      </c>
      <c r="I22" s="81">
        <v>6275</v>
      </c>
      <c r="J22" s="12"/>
      <c r="K22" s="16" t="s">
        <v>1175</v>
      </c>
      <c r="L22" s="30">
        <v>18</v>
      </c>
      <c r="M22" s="30">
        <v>14</v>
      </c>
      <c r="N22" s="30">
        <v>4</v>
      </c>
      <c r="O22" s="30">
        <v>0</v>
      </c>
    </row>
    <row r="23" spans="1:15" x14ac:dyDescent="0.3">
      <c r="A23" s="12"/>
      <c r="B23" s="43" t="s">
        <v>1360</v>
      </c>
      <c r="C23" s="2" t="s">
        <v>8</v>
      </c>
      <c r="D23" s="28" t="s">
        <v>1361</v>
      </c>
      <c r="E23" s="30">
        <v>1350</v>
      </c>
      <c r="F23" s="30">
        <v>1365</v>
      </c>
      <c r="G23" s="30">
        <v>-15</v>
      </c>
      <c r="H23" s="5">
        <v>222</v>
      </c>
      <c r="I23" s="81">
        <v>-3330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1367</v>
      </c>
      <c r="C24" s="2" t="s">
        <v>9</v>
      </c>
      <c r="D24" s="28" t="s">
        <v>139</v>
      </c>
      <c r="E24" s="30">
        <v>868</v>
      </c>
      <c r="F24" s="30">
        <v>885</v>
      </c>
      <c r="G24" s="30">
        <v>17</v>
      </c>
      <c r="H24" s="5">
        <v>346</v>
      </c>
      <c r="I24" s="81">
        <v>5882</v>
      </c>
      <c r="J24" s="12"/>
      <c r="K24" s="16" t="s">
        <v>946</v>
      </c>
      <c r="L24" s="21">
        <v>144</v>
      </c>
      <c r="M24" s="21">
        <v>114</v>
      </c>
      <c r="N24" s="21">
        <v>28</v>
      </c>
      <c r="O24" s="21">
        <v>2</v>
      </c>
    </row>
    <row r="25" spans="1:15" x14ac:dyDescent="0.3">
      <c r="A25" s="12"/>
      <c r="B25" s="43" t="s">
        <v>1367</v>
      </c>
      <c r="C25" s="2" t="s">
        <v>9</v>
      </c>
      <c r="D25" s="28" t="s">
        <v>139</v>
      </c>
      <c r="E25" s="30">
        <v>876</v>
      </c>
      <c r="F25" s="30">
        <v>894</v>
      </c>
      <c r="G25" s="30">
        <v>18</v>
      </c>
      <c r="H25" s="5">
        <v>342</v>
      </c>
      <c r="I25" s="81">
        <v>6156</v>
      </c>
      <c r="J25" s="12"/>
      <c r="K25" s="10"/>
      <c r="L25" s="16"/>
      <c r="M25" s="10"/>
      <c r="N25" s="10"/>
      <c r="O25" s="10"/>
    </row>
    <row r="26" spans="1:15" x14ac:dyDescent="0.3">
      <c r="A26" s="12"/>
      <c r="B26" s="43" t="s">
        <v>1368</v>
      </c>
      <c r="C26" s="2" t="s">
        <v>8</v>
      </c>
      <c r="D26" s="28" t="s">
        <v>91</v>
      </c>
      <c r="E26" s="30">
        <v>633</v>
      </c>
      <c r="F26" s="30">
        <v>622</v>
      </c>
      <c r="G26" s="30">
        <v>11</v>
      </c>
      <c r="H26" s="5">
        <v>474</v>
      </c>
      <c r="I26" s="81">
        <v>5214</v>
      </c>
      <c r="J26" s="12"/>
      <c r="K26" s="10"/>
      <c r="L26" s="28"/>
      <c r="M26" s="30"/>
      <c r="N26" s="30"/>
      <c r="O26" s="30"/>
    </row>
    <row r="27" spans="1:15" x14ac:dyDescent="0.3">
      <c r="A27" s="12"/>
      <c r="B27" s="43" t="s">
        <v>1368</v>
      </c>
      <c r="C27" s="2" t="s">
        <v>9</v>
      </c>
      <c r="D27" s="28" t="s">
        <v>108</v>
      </c>
      <c r="E27" s="30">
        <v>803</v>
      </c>
      <c r="F27" s="30">
        <v>793</v>
      </c>
      <c r="G27" s="30">
        <v>-10</v>
      </c>
      <c r="H27" s="5">
        <v>374</v>
      </c>
      <c r="I27" s="81">
        <v>-3740</v>
      </c>
      <c r="J27" s="12"/>
      <c r="K27" s="68" t="s">
        <v>947</v>
      </c>
      <c r="L27" s="83"/>
      <c r="M27" s="119">
        <v>0.79159999999999997</v>
      </c>
      <c r="O27" s="30"/>
    </row>
    <row r="28" spans="1:15" x14ac:dyDescent="0.3">
      <c r="A28" s="12"/>
      <c r="B28" s="43" t="s">
        <v>1369</v>
      </c>
      <c r="C28" s="2" t="s">
        <v>8</v>
      </c>
      <c r="D28" s="28" t="s">
        <v>1370</v>
      </c>
      <c r="E28" s="30">
        <v>1045</v>
      </c>
      <c r="F28" s="30">
        <v>1025</v>
      </c>
      <c r="G28" s="30">
        <v>20</v>
      </c>
      <c r="H28" s="5">
        <v>287</v>
      </c>
      <c r="I28" s="81">
        <v>5740</v>
      </c>
      <c r="J28" s="12"/>
      <c r="K28" s="10"/>
      <c r="L28" s="49"/>
      <c r="M28" s="30"/>
      <c r="N28" s="30"/>
      <c r="O28" s="30"/>
    </row>
    <row r="29" spans="1:15" x14ac:dyDescent="0.3">
      <c r="A29" s="12"/>
      <c r="B29" s="43" t="s">
        <v>1369</v>
      </c>
      <c r="C29" s="2" t="s">
        <v>9</v>
      </c>
      <c r="D29" s="28" t="s">
        <v>139</v>
      </c>
      <c r="E29" s="30">
        <v>894</v>
      </c>
      <c r="F29" s="30">
        <v>884</v>
      </c>
      <c r="G29" s="30">
        <v>-10</v>
      </c>
      <c r="H29" s="5">
        <v>335</v>
      </c>
      <c r="I29" s="81">
        <v>-3350</v>
      </c>
      <c r="J29" s="12"/>
      <c r="K29" s="10"/>
      <c r="L29" s="49"/>
      <c r="M29" s="30"/>
      <c r="N29" s="30"/>
      <c r="O29" s="30"/>
    </row>
    <row r="30" spans="1:15" x14ac:dyDescent="0.3">
      <c r="A30" s="12"/>
      <c r="B30" s="43" t="s">
        <v>1371</v>
      </c>
      <c r="C30" s="2" t="s">
        <v>9</v>
      </c>
      <c r="D30" s="28" t="s">
        <v>575</v>
      </c>
      <c r="E30" s="30">
        <v>140</v>
      </c>
      <c r="F30" s="30">
        <v>143</v>
      </c>
      <c r="G30" s="30">
        <v>3</v>
      </c>
      <c r="H30" s="5">
        <v>2143</v>
      </c>
      <c r="I30" s="81">
        <v>6429</v>
      </c>
      <c r="J30" s="12"/>
      <c r="K30" s="10"/>
      <c r="L30" s="49"/>
      <c r="M30" s="30"/>
      <c r="N30" s="30"/>
      <c r="O30" s="30"/>
    </row>
    <row r="31" spans="1:15" x14ac:dyDescent="0.3">
      <c r="A31" s="12"/>
      <c r="B31" s="43" t="s">
        <v>1371</v>
      </c>
      <c r="C31" s="2" t="s">
        <v>9</v>
      </c>
      <c r="D31" s="28" t="s">
        <v>371</v>
      </c>
      <c r="E31" s="30">
        <v>269</v>
      </c>
      <c r="F31" s="30">
        <v>276</v>
      </c>
      <c r="G31" s="30">
        <v>7</v>
      </c>
      <c r="H31" s="5">
        <v>1115</v>
      </c>
      <c r="I31" s="81">
        <v>7805</v>
      </c>
      <c r="J31" s="12"/>
      <c r="K31" s="10"/>
      <c r="L31" s="16"/>
      <c r="M31" s="10"/>
      <c r="N31" s="10"/>
      <c r="O31" s="10"/>
    </row>
    <row r="32" spans="1:15" x14ac:dyDescent="0.3">
      <c r="A32" s="12"/>
      <c r="B32" s="43" t="s">
        <v>1377</v>
      </c>
      <c r="C32" s="2" t="s">
        <v>9</v>
      </c>
      <c r="D32" s="28" t="s">
        <v>575</v>
      </c>
      <c r="E32" s="30">
        <v>146</v>
      </c>
      <c r="F32" s="30">
        <v>143</v>
      </c>
      <c r="G32" s="30">
        <v>-3</v>
      </c>
      <c r="H32" s="5">
        <v>2055</v>
      </c>
      <c r="I32" s="81">
        <v>-6165</v>
      </c>
      <c r="J32" s="12"/>
      <c r="K32" s="10"/>
      <c r="L32" s="16"/>
      <c r="M32" s="10"/>
      <c r="N32" s="10"/>
      <c r="O32" s="10"/>
    </row>
    <row r="33" spans="1:15" x14ac:dyDescent="0.3">
      <c r="A33" s="12"/>
      <c r="B33" s="43" t="s">
        <v>1377</v>
      </c>
      <c r="C33" s="2" t="s">
        <v>8</v>
      </c>
      <c r="D33" s="28" t="s">
        <v>815</v>
      </c>
      <c r="E33" s="30">
        <v>1110</v>
      </c>
      <c r="F33" s="30">
        <v>1095</v>
      </c>
      <c r="G33" s="30">
        <v>15</v>
      </c>
      <c r="H33" s="5">
        <v>270</v>
      </c>
      <c r="I33" s="81">
        <v>4050</v>
      </c>
      <c r="J33" s="12"/>
      <c r="K33" s="10"/>
      <c r="L33" s="16"/>
      <c r="M33" s="10"/>
      <c r="N33" s="10"/>
      <c r="O33" s="10"/>
    </row>
    <row r="34" spans="1:15" x14ac:dyDescent="0.3">
      <c r="A34" s="12"/>
      <c r="B34" s="43" t="s">
        <v>1378</v>
      </c>
      <c r="C34" s="2" t="s">
        <v>11</v>
      </c>
      <c r="D34" s="28" t="s">
        <v>124</v>
      </c>
      <c r="E34" s="30">
        <v>410</v>
      </c>
      <c r="F34" s="30">
        <v>420</v>
      </c>
      <c r="G34" s="30">
        <v>10</v>
      </c>
      <c r="H34" s="5">
        <v>732</v>
      </c>
      <c r="I34" s="81">
        <v>7320</v>
      </c>
      <c r="J34" s="12"/>
      <c r="K34" s="10"/>
      <c r="L34" s="16"/>
      <c r="M34" s="10"/>
      <c r="N34" s="10"/>
      <c r="O34" s="10"/>
    </row>
    <row r="35" spans="1:15" x14ac:dyDescent="0.3">
      <c r="A35" s="12"/>
      <c r="B35" s="43" t="s">
        <v>1378</v>
      </c>
      <c r="C35" s="2" t="s">
        <v>8</v>
      </c>
      <c r="D35" s="28" t="s">
        <v>137</v>
      </c>
      <c r="E35" s="30">
        <v>882</v>
      </c>
      <c r="F35" s="30">
        <v>890</v>
      </c>
      <c r="G35" s="30">
        <v>-8</v>
      </c>
      <c r="H35" s="5">
        <v>340</v>
      </c>
      <c r="I35" s="81">
        <v>-2720</v>
      </c>
      <c r="J35" s="12"/>
      <c r="K35" s="10"/>
      <c r="L35" s="16"/>
      <c r="M35" s="10"/>
      <c r="N35" s="10"/>
      <c r="O35" s="10"/>
    </row>
    <row r="36" spans="1:15" x14ac:dyDescent="0.3">
      <c r="A36" s="12"/>
      <c r="B36" s="43" t="s">
        <v>1379</v>
      </c>
      <c r="C36" s="2" t="s">
        <v>9</v>
      </c>
      <c r="D36" s="28" t="s">
        <v>160</v>
      </c>
      <c r="E36" s="30">
        <v>542</v>
      </c>
      <c r="F36" s="30">
        <v>535</v>
      </c>
      <c r="G36" s="30">
        <v>-7</v>
      </c>
      <c r="H36" s="5">
        <v>554</v>
      </c>
      <c r="I36" s="81">
        <v>-3878</v>
      </c>
      <c r="J36" s="12"/>
      <c r="K36" s="10"/>
      <c r="L36" s="16"/>
      <c r="M36" s="10"/>
      <c r="N36" s="10"/>
      <c r="O36" s="10"/>
    </row>
    <row r="37" spans="1:15" x14ac:dyDescent="0.3">
      <c r="A37" s="12"/>
      <c r="B37" s="43" t="s">
        <v>1379</v>
      </c>
      <c r="C37" s="2" t="s">
        <v>8</v>
      </c>
      <c r="D37" s="28" t="s">
        <v>1017</v>
      </c>
      <c r="E37" s="30">
        <v>1522</v>
      </c>
      <c r="F37" s="30">
        <v>1537</v>
      </c>
      <c r="G37" s="30">
        <v>-15</v>
      </c>
      <c r="H37" s="5">
        <v>197</v>
      </c>
      <c r="I37" s="81">
        <v>-2955</v>
      </c>
      <c r="J37" s="12"/>
      <c r="K37" s="10"/>
      <c r="L37" s="16"/>
      <c r="M37" s="10"/>
      <c r="N37" s="10"/>
      <c r="O37" s="10"/>
    </row>
    <row r="38" spans="1:15" x14ac:dyDescent="0.3">
      <c r="A38" s="12"/>
      <c r="B38" s="43" t="s">
        <v>1380</v>
      </c>
      <c r="C38" s="2" t="s">
        <v>9</v>
      </c>
      <c r="D38" s="28" t="s">
        <v>13</v>
      </c>
      <c r="E38" s="30">
        <v>554</v>
      </c>
      <c r="F38" s="30">
        <v>548</v>
      </c>
      <c r="G38" s="30">
        <v>-6</v>
      </c>
      <c r="H38" s="5">
        <v>542</v>
      </c>
      <c r="I38" s="81">
        <v>-3252</v>
      </c>
      <c r="J38" s="12"/>
      <c r="K38" s="10"/>
      <c r="L38" s="16"/>
      <c r="M38" s="10"/>
      <c r="N38" s="10"/>
      <c r="O38" s="10"/>
    </row>
    <row r="39" spans="1:15" x14ac:dyDescent="0.3">
      <c r="A39" s="12"/>
      <c r="B39" s="43" t="s">
        <v>1380</v>
      </c>
      <c r="C39" s="2" t="s">
        <v>8</v>
      </c>
      <c r="D39" s="28" t="s">
        <v>109</v>
      </c>
      <c r="E39" s="30">
        <v>1380</v>
      </c>
      <c r="F39" s="30">
        <v>1355</v>
      </c>
      <c r="G39" s="30">
        <v>25</v>
      </c>
      <c r="H39" s="5">
        <v>217</v>
      </c>
      <c r="I39" s="81">
        <v>5425</v>
      </c>
      <c r="J39" s="12"/>
      <c r="K39" s="10"/>
      <c r="L39" s="16"/>
      <c r="M39" s="10"/>
      <c r="N39" s="10"/>
      <c r="O39" s="10"/>
    </row>
    <row r="40" spans="1:15" x14ac:dyDescent="0.3">
      <c r="A40" s="12"/>
      <c r="B40" s="43" t="s">
        <v>1381</v>
      </c>
      <c r="C40" s="2" t="s">
        <v>9</v>
      </c>
      <c r="D40" s="28" t="s">
        <v>133</v>
      </c>
      <c r="E40" s="30">
        <v>1600</v>
      </c>
      <c r="F40" s="30">
        <v>1615</v>
      </c>
      <c r="G40" s="30">
        <v>15</v>
      </c>
      <c r="H40" s="5">
        <v>187.5</v>
      </c>
      <c r="I40" s="81">
        <v>2820</v>
      </c>
      <c r="J40" s="12"/>
      <c r="K40" s="10"/>
      <c r="L40" s="16"/>
      <c r="M40" s="10"/>
      <c r="N40" s="10"/>
      <c r="O40" s="10"/>
    </row>
    <row r="41" spans="1:15" x14ac:dyDescent="0.3">
      <c r="A41" s="12"/>
      <c r="B41" s="43" t="s">
        <v>1381</v>
      </c>
      <c r="C41" s="2" t="s">
        <v>8</v>
      </c>
      <c r="D41" s="28" t="s">
        <v>109</v>
      </c>
      <c r="E41" s="30">
        <v>1333</v>
      </c>
      <c r="F41" s="30">
        <v>1323</v>
      </c>
      <c r="G41" s="30">
        <v>10</v>
      </c>
      <c r="H41" s="5">
        <v>225</v>
      </c>
      <c r="I41" s="81">
        <v>2250</v>
      </c>
      <c r="J41" s="12"/>
      <c r="K41" s="10"/>
      <c r="L41" s="16"/>
      <c r="M41" s="10"/>
      <c r="N41" s="10"/>
      <c r="O41" s="10"/>
    </row>
    <row r="42" spans="1:15" x14ac:dyDescent="0.3">
      <c r="A42" s="12"/>
      <c r="B42" s="43"/>
      <c r="C42" s="2"/>
      <c r="D42" s="28"/>
      <c r="E42" s="30"/>
      <c r="F42" s="30"/>
      <c r="G42" s="30"/>
      <c r="H42" s="5"/>
      <c r="I42" s="81"/>
      <c r="J42" s="12"/>
      <c r="K42" s="10"/>
      <c r="L42" s="16"/>
      <c r="M42" s="10"/>
      <c r="N42" s="10"/>
      <c r="O42" s="10"/>
    </row>
    <row r="43" spans="1:15" ht="18" x14ac:dyDescent="0.35">
      <c r="A43" s="12"/>
      <c r="B43" s="10"/>
      <c r="C43" s="2"/>
      <c r="D43" s="28"/>
      <c r="E43" s="30"/>
      <c r="F43" s="30"/>
      <c r="G43" s="30"/>
      <c r="H43" s="30"/>
      <c r="I43" s="98">
        <v>58963</v>
      </c>
      <c r="J43" s="12"/>
      <c r="K43" s="10"/>
      <c r="L43" s="10"/>
      <c r="M43" s="30"/>
      <c r="N43" s="10"/>
      <c r="O43" s="10"/>
    </row>
    <row r="44" spans="1:15" x14ac:dyDescent="0.3">
      <c r="A44" s="12"/>
      <c r="B44" s="10"/>
      <c r="C44" s="10"/>
      <c r="D44" s="10"/>
      <c r="E44" s="10"/>
      <c r="F44" s="10"/>
      <c r="G44" s="10"/>
      <c r="H44" s="10"/>
      <c r="I44" s="96"/>
      <c r="J44" s="12"/>
      <c r="K44" s="10"/>
      <c r="L44" s="10"/>
      <c r="M44" s="30"/>
      <c r="N44" s="10"/>
      <c r="O44" s="10"/>
    </row>
    <row r="45" spans="1:15" x14ac:dyDescent="0.3">
      <c r="A45" s="12"/>
      <c r="B45" s="106" t="s">
        <v>62</v>
      </c>
      <c r="C45" s="106"/>
      <c r="D45" s="106"/>
      <c r="E45" s="106"/>
      <c r="F45" s="106"/>
      <c r="G45" s="106"/>
      <c r="H45" s="106"/>
      <c r="I45" s="106"/>
      <c r="J45" s="12"/>
      <c r="K45" s="10"/>
      <c r="L45" s="10"/>
      <c r="M45" s="30"/>
      <c r="N45" s="10"/>
      <c r="O45" s="10"/>
    </row>
    <row r="46" spans="1:15" x14ac:dyDescent="0.3">
      <c r="A46" s="12"/>
      <c r="B46" s="43">
        <v>42373</v>
      </c>
      <c r="C46" s="2" t="s">
        <v>8</v>
      </c>
      <c r="D46" s="2" t="s">
        <v>115</v>
      </c>
      <c r="E46" s="41" t="s">
        <v>1343</v>
      </c>
      <c r="F46" s="40" t="s">
        <v>1344</v>
      </c>
      <c r="G46" s="40" t="s">
        <v>1345</v>
      </c>
      <c r="H46" s="5">
        <v>1200</v>
      </c>
      <c r="I46" s="40" t="s">
        <v>390</v>
      </c>
      <c r="J46" s="12"/>
      <c r="K46" s="10"/>
      <c r="L46" s="10"/>
      <c r="M46" s="30"/>
      <c r="N46" s="10"/>
      <c r="O46" s="10"/>
    </row>
    <row r="47" spans="1:15" x14ac:dyDescent="0.3">
      <c r="A47" s="12"/>
      <c r="B47" s="43">
        <v>42464</v>
      </c>
      <c r="C47" s="2" t="s">
        <v>8</v>
      </c>
      <c r="D47" s="2" t="s">
        <v>828</v>
      </c>
      <c r="E47" s="41" t="s">
        <v>1346</v>
      </c>
      <c r="F47" s="40" t="s">
        <v>1347</v>
      </c>
      <c r="G47" s="40" t="s">
        <v>1341</v>
      </c>
      <c r="H47" s="5">
        <v>700</v>
      </c>
      <c r="I47" s="40" t="s">
        <v>460</v>
      </c>
      <c r="J47" s="12"/>
      <c r="K47" s="10"/>
      <c r="L47" s="10"/>
      <c r="M47" s="10"/>
      <c r="N47" s="10"/>
      <c r="O47" s="10"/>
    </row>
    <row r="48" spans="1:15" x14ac:dyDescent="0.3">
      <c r="A48" s="12"/>
      <c r="B48" s="43">
        <v>42494</v>
      </c>
      <c r="C48" s="30" t="s">
        <v>8</v>
      </c>
      <c r="D48" s="30" t="s">
        <v>496</v>
      </c>
      <c r="E48" s="30">
        <v>481</v>
      </c>
      <c r="F48" s="30">
        <v>472</v>
      </c>
      <c r="G48" s="30">
        <v>9</v>
      </c>
      <c r="H48" s="30">
        <v>1100</v>
      </c>
      <c r="I48" s="30">
        <v>9900</v>
      </c>
      <c r="J48" s="12"/>
      <c r="K48" s="10"/>
      <c r="L48" s="10"/>
      <c r="M48" s="10"/>
      <c r="N48" s="10"/>
      <c r="O48" s="10"/>
    </row>
    <row r="49" spans="1:15" x14ac:dyDescent="0.3">
      <c r="A49" s="12"/>
      <c r="B49" s="43">
        <v>42525</v>
      </c>
      <c r="C49" s="30" t="s">
        <v>8</v>
      </c>
      <c r="D49" s="30" t="s">
        <v>95</v>
      </c>
      <c r="E49" s="30">
        <v>226.5</v>
      </c>
      <c r="F49" s="30">
        <v>221.5</v>
      </c>
      <c r="G49" s="30">
        <v>5</v>
      </c>
      <c r="H49" s="30">
        <v>1700</v>
      </c>
      <c r="I49" s="30">
        <v>8500</v>
      </c>
      <c r="J49" s="12"/>
      <c r="K49" s="10"/>
      <c r="L49" s="10"/>
      <c r="M49" s="10"/>
      <c r="N49" s="10"/>
      <c r="O49" s="10"/>
    </row>
    <row r="50" spans="1:15" x14ac:dyDescent="0.3">
      <c r="A50" s="12"/>
      <c r="B50" s="43">
        <v>42555</v>
      </c>
      <c r="C50" s="30" t="s">
        <v>8</v>
      </c>
      <c r="D50" s="30" t="s">
        <v>95</v>
      </c>
      <c r="E50" s="30">
        <v>221</v>
      </c>
      <c r="F50" s="30">
        <v>224</v>
      </c>
      <c r="G50" s="30">
        <v>-3</v>
      </c>
      <c r="H50" s="30">
        <v>1700</v>
      </c>
      <c r="I50" s="30">
        <v>-5100</v>
      </c>
      <c r="J50" s="12"/>
      <c r="K50" s="10"/>
      <c r="L50" s="10"/>
      <c r="M50" s="10"/>
      <c r="N50" s="10"/>
      <c r="O50" s="10"/>
    </row>
    <row r="51" spans="1:15" x14ac:dyDescent="0.3">
      <c r="A51" s="12"/>
      <c r="B51" s="43">
        <v>42586</v>
      </c>
      <c r="C51" s="30" t="s">
        <v>8</v>
      </c>
      <c r="D51" s="30" t="s">
        <v>173</v>
      </c>
      <c r="E51" s="30">
        <v>860</v>
      </c>
      <c r="F51" s="30">
        <v>854</v>
      </c>
      <c r="G51" s="30">
        <v>6</v>
      </c>
      <c r="H51" s="30">
        <v>600</v>
      </c>
      <c r="I51" s="30">
        <v>3600</v>
      </c>
      <c r="J51" s="12"/>
      <c r="K51" s="10"/>
      <c r="L51" s="10"/>
      <c r="M51" s="10"/>
      <c r="N51" s="10"/>
      <c r="O51" s="10"/>
    </row>
    <row r="52" spans="1:15" x14ac:dyDescent="0.3">
      <c r="A52" s="12"/>
      <c r="B52" s="43">
        <v>42678</v>
      </c>
      <c r="C52" s="30" t="s">
        <v>8</v>
      </c>
      <c r="D52" s="30" t="s">
        <v>95</v>
      </c>
      <c r="E52" s="30">
        <v>221.5</v>
      </c>
      <c r="F52" s="30">
        <v>220.3</v>
      </c>
      <c r="G52" s="30">
        <v>1.2</v>
      </c>
      <c r="H52" s="30">
        <v>1700</v>
      </c>
      <c r="I52" s="30">
        <v>2040</v>
      </c>
      <c r="J52" s="12"/>
      <c r="K52" s="86"/>
      <c r="L52" s="10"/>
      <c r="M52" s="10"/>
      <c r="N52" s="10"/>
      <c r="O52" s="10"/>
    </row>
    <row r="53" spans="1:15" x14ac:dyDescent="0.3">
      <c r="A53" s="12"/>
      <c r="B53" s="43">
        <v>42708</v>
      </c>
      <c r="C53" s="30" t="s">
        <v>8</v>
      </c>
      <c r="D53" s="30" t="s">
        <v>1361</v>
      </c>
      <c r="E53" s="30">
        <v>1350</v>
      </c>
      <c r="F53" s="30">
        <v>1341</v>
      </c>
      <c r="G53" s="30">
        <v>9</v>
      </c>
      <c r="H53" s="30">
        <v>400</v>
      </c>
      <c r="I53" s="30">
        <v>3600</v>
      </c>
      <c r="J53" s="12"/>
      <c r="K53" s="86"/>
      <c r="L53" s="10"/>
      <c r="M53" s="10"/>
      <c r="N53" s="10"/>
      <c r="O53" s="10"/>
    </row>
    <row r="54" spans="1:15" x14ac:dyDescent="0.3">
      <c r="A54" s="12"/>
      <c r="B54" s="43" t="s">
        <v>1360</v>
      </c>
      <c r="C54" s="30" t="s">
        <v>8</v>
      </c>
      <c r="D54" s="30" t="s">
        <v>575</v>
      </c>
      <c r="E54" s="30">
        <v>135.5</v>
      </c>
      <c r="F54" s="30">
        <v>135.5</v>
      </c>
      <c r="G54" s="288" t="s">
        <v>1362</v>
      </c>
      <c r="H54" s="289"/>
      <c r="I54" s="290"/>
      <c r="J54" s="12"/>
      <c r="K54" s="86"/>
      <c r="L54" s="10"/>
      <c r="M54" s="10"/>
      <c r="N54" s="10"/>
      <c r="O54" s="10"/>
    </row>
    <row r="55" spans="1:15" x14ac:dyDescent="0.3">
      <c r="A55" s="12"/>
      <c r="B55" s="43" t="s">
        <v>1367</v>
      </c>
      <c r="C55" s="30" t="s">
        <v>9</v>
      </c>
      <c r="D55" s="30" t="s">
        <v>29</v>
      </c>
      <c r="E55" s="30">
        <v>854</v>
      </c>
      <c r="F55" s="30">
        <v>860</v>
      </c>
      <c r="G55" s="30">
        <v>6</v>
      </c>
      <c r="H55" s="30">
        <v>600</v>
      </c>
      <c r="I55" s="30">
        <v>3600</v>
      </c>
      <c r="J55" s="12"/>
      <c r="K55" s="86"/>
      <c r="L55" s="10"/>
      <c r="M55" s="10"/>
      <c r="N55" s="10"/>
      <c r="O55" s="10"/>
    </row>
    <row r="56" spans="1:15" x14ac:dyDescent="0.3">
      <c r="A56" s="12"/>
      <c r="B56" s="43" t="s">
        <v>1368</v>
      </c>
      <c r="C56" s="30" t="s">
        <v>8</v>
      </c>
      <c r="D56" s="30" t="s">
        <v>341</v>
      </c>
      <c r="E56" s="30">
        <v>270</v>
      </c>
      <c r="F56" s="30">
        <v>267</v>
      </c>
      <c r="G56" s="30">
        <v>3</v>
      </c>
      <c r="H56" s="30">
        <v>2000</v>
      </c>
      <c r="I56" s="30">
        <v>6000</v>
      </c>
      <c r="J56" s="12"/>
      <c r="K56" s="86"/>
      <c r="L56" s="10"/>
      <c r="M56" s="10"/>
      <c r="N56" s="10"/>
      <c r="O56" s="10"/>
    </row>
    <row r="57" spans="1:15" x14ac:dyDescent="0.3">
      <c r="A57" s="12"/>
      <c r="B57" s="43" t="s">
        <v>1369</v>
      </c>
      <c r="C57" s="30" t="s">
        <v>8</v>
      </c>
      <c r="D57" s="30" t="s">
        <v>341</v>
      </c>
      <c r="E57" s="30">
        <v>267</v>
      </c>
      <c r="F57" s="30">
        <v>264</v>
      </c>
      <c r="G57" s="30">
        <v>3</v>
      </c>
      <c r="H57" s="30">
        <v>2000</v>
      </c>
      <c r="I57" s="30">
        <v>6000</v>
      </c>
      <c r="J57" s="12"/>
      <c r="K57" s="86"/>
      <c r="L57" s="10"/>
      <c r="M57" s="10"/>
      <c r="N57" s="10"/>
      <c r="O57" s="10"/>
    </row>
    <row r="58" spans="1:15" x14ac:dyDescent="0.3">
      <c r="A58" s="12"/>
      <c r="B58" s="43" t="s">
        <v>1371</v>
      </c>
      <c r="C58" s="30" t="s">
        <v>8</v>
      </c>
      <c r="D58" s="30" t="s">
        <v>168</v>
      </c>
      <c r="E58" s="30">
        <v>336.5</v>
      </c>
      <c r="F58" s="30">
        <v>334.5</v>
      </c>
      <c r="G58" s="30">
        <v>2</v>
      </c>
      <c r="H58" s="30">
        <v>2000</v>
      </c>
      <c r="I58" s="30">
        <v>4000</v>
      </c>
      <c r="J58" s="12"/>
      <c r="K58" s="86"/>
      <c r="L58" s="10"/>
      <c r="M58" s="10"/>
      <c r="N58" s="10"/>
      <c r="O58" s="10"/>
    </row>
    <row r="59" spans="1:15" x14ac:dyDescent="0.3">
      <c r="A59" s="12"/>
      <c r="B59" s="43" t="s">
        <v>1377</v>
      </c>
      <c r="C59" s="30" t="s">
        <v>8</v>
      </c>
      <c r="D59" s="30" t="s">
        <v>365</v>
      </c>
      <c r="E59" s="30">
        <v>1330</v>
      </c>
      <c r="F59" s="30">
        <v>1345</v>
      </c>
      <c r="G59" s="30">
        <v>-15</v>
      </c>
      <c r="H59" s="30">
        <v>600</v>
      </c>
      <c r="I59" s="30">
        <v>-9000</v>
      </c>
      <c r="J59" s="12"/>
      <c r="K59" s="86"/>
      <c r="L59" s="10"/>
      <c r="M59" s="10"/>
      <c r="N59" s="10"/>
      <c r="O59" s="10"/>
    </row>
    <row r="60" spans="1:15" x14ac:dyDescent="0.3">
      <c r="A60" s="12"/>
      <c r="B60" s="43" t="s">
        <v>1378</v>
      </c>
      <c r="C60" s="30" t="s">
        <v>8</v>
      </c>
      <c r="D60" s="30" t="s">
        <v>95</v>
      </c>
      <c r="E60" s="30">
        <v>247</v>
      </c>
      <c r="F60" s="30">
        <v>249</v>
      </c>
      <c r="G60" s="30">
        <v>-2</v>
      </c>
      <c r="H60" s="30">
        <v>1700</v>
      </c>
      <c r="I60" s="30">
        <v>-3400</v>
      </c>
      <c r="J60" s="12"/>
      <c r="K60" s="86"/>
      <c r="L60" s="10"/>
      <c r="M60" s="10"/>
      <c r="N60" s="10"/>
      <c r="O60" s="10"/>
    </row>
    <row r="61" spans="1:15" x14ac:dyDescent="0.3">
      <c r="A61" s="12"/>
      <c r="B61" s="43" t="s">
        <v>1379</v>
      </c>
      <c r="C61" s="30" t="s">
        <v>9</v>
      </c>
      <c r="D61" s="30" t="s">
        <v>163</v>
      </c>
      <c r="E61" s="30">
        <v>265</v>
      </c>
      <c r="F61" s="30">
        <v>267</v>
      </c>
      <c r="G61" s="30">
        <v>2</v>
      </c>
      <c r="H61" s="30">
        <v>3000</v>
      </c>
      <c r="I61" s="30">
        <v>6000</v>
      </c>
      <c r="J61" s="12"/>
      <c r="K61" s="86"/>
      <c r="L61" s="10"/>
      <c r="M61" s="10"/>
      <c r="N61" s="10"/>
      <c r="O61" s="10"/>
    </row>
    <row r="62" spans="1:15" x14ac:dyDescent="0.3">
      <c r="A62" s="12"/>
      <c r="B62" s="43" t="s">
        <v>1380</v>
      </c>
      <c r="C62" s="30" t="s">
        <v>8</v>
      </c>
      <c r="D62" s="30" t="s">
        <v>371</v>
      </c>
      <c r="E62" s="30">
        <v>302</v>
      </c>
      <c r="F62" s="30">
        <v>298</v>
      </c>
      <c r="G62" s="30">
        <v>4</v>
      </c>
      <c r="H62" s="30">
        <v>2000</v>
      </c>
      <c r="I62" s="30">
        <v>8000</v>
      </c>
      <c r="J62" s="12"/>
      <c r="K62" s="86"/>
      <c r="L62" s="10"/>
      <c r="M62" s="10"/>
      <c r="N62" s="10"/>
      <c r="O62" s="10"/>
    </row>
    <row r="63" spans="1:15" x14ac:dyDescent="0.3">
      <c r="A63" s="12"/>
      <c r="B63" s="43" t="s">
        <v>1381</v>
      </c>
      <c r="C63" s="30" t="s">
        <v>8</v>
      </c>
      <c r="D63" s="30" t="s">
        <v>109</v>
      </c>
      <c r="E63" s="30">
        <v>1335</v>
      </c>
      <c r="F63" s="30">
        <v>1330</v>
      </c>
      <c r="G63" s="30">
        <v>5</v>
      </c>
      <c r="H63" s="30">
        <v>400</v>
      </c>
      <c r="I63" s="30">
        <v>2000</v>
      </c>
      <c r="J63" s="12"/>
      <c r="K63" s="86"/>
      <c r="L63" s="10"/>
      <c r="M63" s="10"/>
      <c r="N63" s="10"/>
      <c r="O63" s="10"/>
    </row>
    <row r="64" spans="1:15" x14ac:dyDescent="0.3">
      <c r="A64" s="12"/>
      <c r="B64" s="43"/>
      <c r="C64" s="30"/>
      <c r="D64" s="30"/>
      <c r="E64" s="30"/>
      <c r="F64" s="30"/>
      <c r="G64" s="30"/>
      <c r="H64" s="30"/>
      <c r="I64" s="30"/>
      <c r="J64" s="12"/>
      <c r="K64" s="86"/>
      <c r="L64" s="10"/>
      <c r="M64" s="10"/>
      <c r="N64" s="10"/>
      <c r="O64" s="10"/>
    </row>
    <row r="65" spans="1:15" ht="18" x14ac:dyDescent="0.35">
      <c r="A65" s="12"/>
      <c r="B65" s="43"/>
      <c r="C65" s="30"/>
      <c r="D65" s="30"/>
      <c r="E65" s="30"/>
      <c r="F65" s="30"/>
      <c r="G65" s="30"/>
      <c r="H65" s="30"/>
      <c r="I65" s="72">
        <v>52940</v>
      </c>
      <c r="J65" s="12"/>
      <c r="K65" s="86"/>
      <c r="L65" s="10"/>
      <c r="M65" s="10"/>
      <c r="N65" s="10"/>
      <c r="O65" s="10"/>
    </row>
    <row r="66" spans="1:15" x14ac:dyDescent="0.3">
      <c r="A66" s="12"/>
      <c r="B66" s="45"/>
      <c r="C66" s="30"/>
      <c r="D66" s="30"/>
      <c r="E66" s="30"/>
      <c r="F66" s="30"/>
      <c r="G66" s="30"/>
      <c r="H66" s="30"/>
      <c r="I66" s="97"/>
      <c r="J66" s="12"/>
      <c r="K66" s="86"/>
      <c r="L66" s="10"/>
      <c r="M66" s="10"/>
      <c r="N66" s="10"/>
      <c r="O66" s="10"/>
    </row>
    <row r="67" spans="1:15" x14ac:dyDescent="0.3">
      <c r="A67" s="12"/>
      <c r="B67" s="43"/>
      <c r="C67" s="30"/>
      <c r="D67" s="30"/>
      <c r="E67" s="30"/>
      <c r="F67" s="30"/>
      <c r="G67" s="30"/>
      <c r="H67" s="30"/>
      <c r="I67" s="21"/>
      <c r="J67" s="12"/>
      <c r="K67" s="86"/>
      <c r="L67" s="10"/>
      <c r="M67" s="10"/>
      <c r="N67" s="10"/>
      <c r="O67" s="10"/>
    </row>
    <row r="68" spans="1:15" x14ac:dyDescent="0.3">
      <c r="A68" s="12"/>
      <c r="B68" s="106" t="s">
        <v>63</v>
      </c>
      <c r="C68" s="106"/>
      <c r="D68" s="106"/>
      <c r="E68" s="106"/>
      <c r="F68" s="106"/>
      <c r="G68" s="106"/>
      <c r="H68" s="106"/>
      <c r="I68" s="106"/>
      <c r="J68" s="12"/>
      <c r="K68" s="86"/>
      <c r="L68" s="10"/>
      <c r="M68" s="10"/>
      <c r="N68" s="10"/>
      <c r="O68" s="10"/>
    </row>
    <row r="69" spans="1:15" x14ac:dyDescent="0.3">
      <c r="A69" s="12"/>
      <c r="B69" s="43">
        <v>42373</v>
      </c>
      <c r="C69" s="2" t="s">
        <v>8</v>
      </c>
      <c r="D69" s="2" t="s">
        <v>39</v>
      </c>
      <c r="E69" s="41" t="s">
        <v>1348</v>
      </c>
      <c r="F69" s="40" t="s">
        <v>1349</v>
      </c>
      <c r="G69" s="40" t="s">
        <v>964</v>
      </c>
      <c r="H69" s="30">
        <v>150</v>
      </c>
      <c r="I69" s="41" t="s">
        <v>280</v>
      </c>
      <c r="J69" s="12"/>
      <c r="K69" s="86"/>
      <c r="L69" s="10"/>
      <c r="M69" s="10"/>
      <c r="N69" s="10"/>
      <c r="O69" s="10"/>
    </row>
    <row r="70" spans="1:15" x14ac:dyDescent="0.3">
      <c r="A70" s="12"/>
      <c r="B70" s="43">
        <v>42464</v>
      </c>
      <c r="C70" s="30" t="s">
        <v>8</v>
      </c>
      <c r="D70" s="2" t="s">
        <v>39</v>
      </c>
      <c r="E70" s="2">
        <v>7775</v>
      </c>
      <c r="F70" s="30">
        <v>7750</v>
      </c>
      <c r="G70" s="30">
        <v>25</v>
      </c>
      <c r="H70" s="30">
        <v>150</v>
      </c>
      <c r="I70" s="30">
        <v>3750</v>
      </c>
      <c r="J70" s="12"/>
      <c r="K70" s="86"/>
      <c r="L70" s="10"/>
      <c r="M70" s="10"/>
      <c r="N70" s="10"/>
      <c r="O70" s="10"/>
    </row>
    <row r="71" spans="1:15" x14ac:dyDescent="0.3">
      <c r="A71" s="12"/>
      <c r="B71" s="43">
        <v>42494</v>
      </c>
      <c r="C71" s="30" t="s">
        <v>8</v>
      </c>
      <c r="D71" s="2" t="s">
        <v>39</v>
      </c>
      <c r="E71" s="2">
        <v>7740</v>
      </c>
      <c r="F71" s="30">
        <v>7675</v>
      </c>
      <c r="G71" s="30">
        <v>65</v>
      </c>
      <c r="H71" s="30">
        <v>150</v>
      </c>
      <c r="I71" s="30">
        <v>9750</v>
      </c>
      <c r="J71" s="12"/>
      <c r="K71" s="10"/>
      <c r="L71" s="10"/>
      <c r="M71" s="10"/>
      <c r="N71" s="10"/>
      <c r="O71" s="10"/>
    </row>
    <row r="72" spans="1:15" x14ac:dyDescent="0.3">
      <c r="A72" s="12"/>
      <c r="B72" s="43">
        <v>42525</v>
      </c>
      <c r="C72" s="30" t="s">
        <v>8</v>
      </c>
      <c r="D72" s="2" t="s">
        <v>39</v>
      </c>
      <c r="E72" s="2">
        <v>7625</v>
      </c>
      <c r="F72" s="30">
        <v>7608</v>
      </c>
      <c r="G72" s="30">
        <v>17</v>
      </c>
      <c r="H72" s="30">
        <v>150</v>
      </c>
      <c r="I72" s="30">
        <v>2550</v>
      </c>
      <c r="J72" s="12"/>
      <c r="K72" s="10"/>
      <c r="L72" s="10"/>
      <c r="M72" s="10"/>
      <c r="N72" s="10"/>
      <c r="O72" s="10"/>
    </row>
    <row r="73" spans="1:15" x14ac:dyDescent="0.3">
      <c r="A73" s="12"/>
      <c r="B73" s="43">
        <v>42555</v>
      </c>
      <c r="C73" s="30" t="s">
        <v>8</v>
      </c>
      <c r="D73" s="2" t="s">
        <v>39</v>
      </c>
      <c r="E73" s="30">
        <v>7585</v>
      </c>
      <c r="F73" s="30">
        <v>7570</v>
      </c>
      <c r="G73" s="30">
        <v>15</v>
      </c>
      <c r="H73" s="30">
        <v>150</v>
      </c>
      <c r="I73" s="30">
        <v>2250</v>
      </c>
      <c r="J73" s="12"/>
      <c r="K73" s="10"/>
      <c r="L73" s="10"/>
      <c r="M73" s="10"/>
      <c r="N73" s="10"/>
      <c r="O73" s="10"/>
    </row>
    <row r="74" spans="1:15" x14ac:dyDescent="0.3">
      <c r="A74" s="12"/>
      <c r="B74" s="43">
        <v>42586</v>
      </c>
      <c r="C74" s="30" t="s">
        <v>8</v>
      </c>
      <c r="D74" s="2" t="s">
        <v>39</v>
      </c>
      <c r="E74" s="30">
        <v>7580</v>
      </c>
      <c r="F74" s="30">
        <v>7570</v>
      </c>
      <c r="G74" s="30">
        <v>10</v>
      </c>
      <c r="H74" s="30">
        <v>150</v>
      </c>
      <c r="I74" s="30">
        <v>1500</v>
      </c>
      <c r="J74" s="12"/>
      <c r="K74" s="10"/>
      <c r="L74" s="10"/>
      <c r="M74" s="10"/>
      <c r="N74" s="10"/>
      <c r="O74" s="10"/>
    </row>
    <row r="75" spans="1:15" x14ac:dyDescent="0.3">
      <c r="A75" s="12"/>
      <c r="B75" s="43">
        <v>42678</v>
      </c>
      <c r="C75" s="30" t="s">
        <v>8</v>
      </c>
      <c r="D75" s="2" t="s">
        <v>39</v>
      </c>
      <c r="E75" s="30">
        <v>7565</v>
      </c>
      <c r="F75" s="30">
        <v>7540</v>
      </c>
      <c r="G75" s="30">
        <v>25</v>
      </c>
      <c r="H75" s="30">
        <v>150</v>
      </c>
      <c r="I75" s="30">
        <v>3750</v>
      </c>
      <c r="J75" s="12"/>
      <c r="K75" s="86"/>
      <c r="L75" s="10"/>
      <c r="M75" s="10"/>
      <c r="N75" s="10"/>
      <c r="O75" s="10"/>
    </row>
    <row r="76" spans="1:15" x14ac:dyDescent="0.3">
      <c r="A76" s="12"/>
      <c r="B76" s="43">
        <v>42708</v>
      </c>
      <c r="C76" s="30" t="s">
        <v>8</v>
      </c>
      <c r="D76" s="2" t="s">
        <v>39</v>
      </c>
      <c r="E76" s="30">
        <v>7715</v>
      </c>
      <c r="F76" s="30">
        <v>7690</v>
      </c>
      <c r="G76" s="30">
        <v>25</v>
      </c>
      <c r="H76" s="30">
        <v>150</v>
      </c>
      <c r="I76" s="30">
        <v>3750</v>
      </c>
      <c r="J76" s="12"/>
      <c r="K76" s="86"/>
      <c r="L76" s="10"/>
      <c r="M76" s="10"/>
      <c r="N76" s="10"/>
      <c r="O76" s="10"/>
    </row>
    <row r="77" spans="1:15" x14ac:dyDescent="0.3">
      <c r="A77" s="12"/>
      <c r="B77" s="43" t="s">
        <v>1360</v>
      </c>
      <c r="C77" s="30" t="s">
        <v>9</v>
      </c>
      <c r="D77" s="2" t="s">
        <v>39</v>
      </c>
      <c r="E77" s="30">
        <v>7855</v>
      </c>
      <c r="F77" s="30">
        <v>7890</v>
      </c>
      <c r="G77" s="30">
        <v>35</v>
      </c>
      <c r="H77" s="30">
        <v>150</v>
      </c>
      <c r="I77" s="30">
        <v>5250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 t="s">
        <v>1367</v>
      </c>
      <c r="C78" s="30" t="s">
        <v>8</v>
      </c>
      <c r="D78" s="2" t="s">
        <v>39</v>
      </c>
      <c r="E78" s="30">
        <v>7895</v>
      </c>
      <c r="F78" s="30">
        <v>7878</v>
      </c>
      <c r="G78" s="30">
        <v>17</v>
      </c>
      <c r="H78" s="30">
        <v>150</v>
      </c>
      <c r="I78" s="30">
        <v>2550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 t="s">
        <v>1368</v>
      </c>
      <c r="C79" s="30" t="s">
        <v>9</v>
      </c>
      <c r="D79" s="2" t="s">
        <v>39</v>
      </c>
      <c r="E79" s="30">
        <v>7900</v>
      </c>
      <c r="F79" s="30">
        <v>7945</v>
      </c>
      <c r="G79" s="30">
        <v>45</v>
      </c>
      <c r="H79" s="30">
        <v>150</v>
      </c>
      <c r="I79" s="30">
        <v>6750</v>
      </c>
      <c r="J79" s="12"/>
      <c r="K79" s="86"/>
      <c r="L79" s="10"/>
      <c r="M79" s="10"/>
      <c r="N79" s="10"/>
      <c r="O79" s="10"/>
    </row>
    <row r="80" spans="1:15" x14ac:dyDescent="0.3">
      <c r="A80" s="12"/>
      <c r="B80" s="43" t="s">
        <v>1369</v>
      </c>
      <c r="C80" s="30" t="s">
        <v>9</v>
      </c>
      <c r="D80" s="2" t="s">
        <v>39</v>
      </c>
      <c r="E80" s="30">
        <v>7945</v>
      </c>
      <c r="F80" s="30">
        <v>7910</v>
      </c>
      <c r="G80" s="30">
        <v>-35</v>
      </c>
      <c r="H80" s="30">
        <v>150</v>
      </c>
      <c r="I80" s="30">
        <v>-5250</v>
      </c>
      <c r="J80" s="12"/>
      <c r="K80" s="86"/>
      <c r="L80" s="10"/>
      <c r="M80" s="10"/>
      <c r="N80" s="10"/>
      <c r="O80" s="10"/>
    </row>
    <row r="81" spans="1:15" x14ac:dyDescent="0.3">
      <c r="A81" s="12"/>
      <c r="B81" s="43" t="s">
        <v>1371</v>
      </c>
      <c r="C81" s="30" t="s">
        <v>9</v>
      </c>
      <c r="D81" s="2" t="s">
        <v>39</v>
      </c>
      <c r="E81" s="30">
        <v>7930</v>
      </c>
      <c r="F81" s="30">
        <v>7895</v>
      </c>
      <c r="G81" s="30">
        <v>-35</v>
      </c>
      <c r="H81" s="30">
        <v>150</v>
      </c>
      <c r="I81" s="30">
        <v>-5250</v>
      </c>
      <c r="J81" s="12"/>
      <c r="K81" s="86"/>
      <c r="L81" s="10"/>
      <c r="M81" s="10"/>
      <c r="N81" s="10"/>
      <c r="O81" s="10"/>
    </row>
    <row r="82" spans="1:15" x14ac:dyDescent="0.3">
      <c r="A82" s="12"/>
      <c r="B82" s="43" t="s">
        <v>1377</v>
      </c>
      <c r="C82" s="30" t="s">
        <v>8</v>
      </c>
      <c r="D82" s="2" t="s">
        <v>39</v>
      </c>
      <c r="E82" s="30">
        <v>7885</v>
      </c>
      <c r="F82" s="30">
        <v>7845</v>
      </c>
      <c r="G82" s="30">
        <v>40</v>
      </c>
      <c r="H82" s="30">
        <v>150</v>
      </c>
      <c r="I82" s="30">
        <v>6000</v>
      </c>
      <c r="J82" s="12"/>
      <c r="K82" s="86"/>
      <c r="L82" s="10"/>
      <c r="M82" s="10"/>
      <c r="N82" s="10"/>
      <c r="O82" s="10"/>
    </row>
    <row r="83" spans="1:15" x14ac:dyDescent="0.3">
      <c r="A83" s="12"/>
      <c r="B83" s="43" t="s">
        <v>1378</v>
      </c>
      <c r="C83" s="30" t="s">
        <v>9</v>
      </c>
      <c r="D83" s="2" t="s">
        <v>39</v>
      </c>
      <c r="E83" s="30">
        <v>7955</v>
      </c>
      <c r="F83" s="30">
        <v>7990</v>
      </c>
      <c r="G83" s="30">
        <v>35</v>
      </c>
      <c r="H83" s="30">
        <v>150</v>
      </c>
      <c r="I83" s="30">
        <v>5250</v>
      </c>
      <c r="J83" s="12"/>
      <c r="K83" s="86"/>
      <c r="L83" s="10"/>
      <c r="M83" s="10"/>
      <c r="N83" s="10"/>
      <c r="O83" s="10"/>
    </row>
    <row r="84" spans="1:15" x14ac:dyDescent="0.3">
      <c r="A84" s="12"/>
      <c r="B84" s="43" t="s">
        <v>1379</v>
      </c>
      <c r="C84" s="30" t="s">
        <v>9</v>
      </c>
      <c r="D84" s="2" t="s">
        <v>39</v>
      </c>
      <c r="E84" s="30">
        <v>7980</v>
      </c>
      <c r="F84" s="30">
        <v>7993</v>
      </c>
      <c r="G84" s="30">
        <v>13</v>
      </c>
      <c r="H84" s="30">
        <v>150</v>
      </c>
      <c r="I84" s="30">
        <v>1950</v>
      </c>
      <c r="J84" s="12"/>
      <c r="K84" s="86"/>
      <c r="L84" s="10"/>
      <c r="M84" s="10"/>
      <c r="N84" s="10"/>
      <c r="O84" s="10"/>
    </row>
    <row r="85" spans="1:15" x14ac:dyDescent="0.3">
      <c r="A85" s="12"/>
      <c r="B85" s="43" t="s">
        <v>1380</v>
      </c>
      <c r="C85" s="30" t="s">
        <v>8</v>
      </c>
      <c r="D85" s="2" t="s">
        <v>39</v>
      </c>
      <c r="E85" s="30">
        <v>7980</v>
      </c>
      <c r="F85" s="30">
        <v>7915</v>
      </c>
      <c r="G85" s="30">
        <v>65</v>
      </c>
      <c r="H85" s="30">
        <v>150</v>
      </c>
      <c r="I85" s="30">
        <v>9750</v>
      </c>
      <c r="J85" s="12"/>
      <c r="K85" s="86"/>
      <c r="L85" s="10"/>
      <c r="M85" s="10"/>
      <c r="N85" s="10"/>
      <c r="O85" s="10"/>
    </row>
    <row r="86" spans="1:15" x14ac:dyDescent="0.3">
      <c r="A86" s="12"/>
      <c r="B86" s="43" t="s">
        <v>1381</v>
      </c>
      <c r="C86" s="30" t="s">
        <v>8</v>
      </c>
      <c r="D86" s="2" t="s">
        <v>39</v>
      </c>
      <c r="E86" s="30">
        <v>7900</v>
      </c>
      <c r="F86" s="30">
        <v>7835</v>
      </c>
      <c r="G86" s="30">
        <v>65</v>
      </c>
      <c r="H86" s="30">
        <v>150</v>
      </c>
      <c r="I86" s="30">
        <v>9750</v>
      </c>
      <c r="J86" s="12"/>
      <c r="K86" s="86"/>
      <c r="L86" s="10"/>
      <c r="M86" s="10"/>
      <c r="N86" s="10"/>
      <c r="O86" s="10"/>
    </row>
    <row r="87" spans="1:15" x14ac:dyDescent="0.3">
      <c r="A87" s="12"/>
      <c r="B87" s="43"/>
      <c r="C87" s="30"/>
      <c r="D87" s="2"/>
      <c r="E87" s="30"/>
      <c r="F87" s="30"/>
      <c r="G87" s="30"/>
      <c r="H87" s="30"/>
      <c r="I87" s="30"/>
      <c r="J87" s="12"/>
      <c r="K87" s="86"/>
      <c r="L87" s="10"/>
      <c r="M87" s="10"/>
      <c r="N87" s="10"/>
      <c r="O87" s="10"/>
    </row>
    <row r="88" spans="1:15" x14ac:dyDescent="0.3">
      <c r="A88" s="12"/>
      <c r="B88" s="43"/>
      <c r="C88" s="30"/>
      <c r="D88" s="2"/>
      <c r="E88" s="30"/>
      <c r="F88" s="30"/>
      <c r="G88" s="30"/>
      <c r="H88" s="30"/>
      <c r="I88" s="97"/>
      <c r="J88" s="12"/>
      <c r="K88" s="86"/>
      <c r="L88" s="10"/>
      <c r="M88" s="10"/>
      <c r="N88" s="10"/>
      <c r="O88" s="10"/>
    </row>
    <row r="89" spans="1:15" ht="18" x14ac:dyDescent="0.35">
      <c r="A89" s="12"/>
      <c r="B89" s="43"/>
      <c r="C89" s="28"/>
      <c r="D89" s="30"/>
      <c r="E89" s="28"/>
      <c r="F89" s="28"/>
      <c r="G89" s="28"/>
      <c r="H89" s="28"/>
      <c r="I89" s="75">
        <v>70050</v>
      </c>
      <c r="J89" s="12"/>
      <c r="K89" s="86"/>
      <c r="L89" s="10"/>
      <c r="M89" s="10"/>
      <c r="N89" s="10"/>
      <c r="O89" s="10"/>
    </row>
    <row r="90" spans="1:15" x14ac:dyDescent="0.3">
      <c r="A90" s="12"/>
      <c r="B90" s="106" t="s">
        <v>991</v>
      </c>
      <c r="C90" s="111"/>
      <c r="D90" s="111"/>
      <c r="E90" s="111"/>
      <c r="F90" s="111"/>
      <c r="G90" s="111"/>
      <c r="H90" s="111"/>
      <c r="I90" s="111"/>
      <c r="J90" s="12"/>
      <c r="K90" s="86"/>
      <c r="L90" s="10"/>
      <c r="M90" s="10"/>
      <c r="N90" s="10"/>
      <c r="O90" s="10"/>
    </row>
    <row r="91" spans="1:15" x14ac:dyDescent="0.3">
      <c r="A91" s="12"/>
      <c r="B91" s="43">
        <v>42373</v>
      </c>
      <c r="C91" s="3" t="s">
        <v>9</v>
      </c>
      <c r="D91" s="3" t="s">
        <v>935</v>
      </c>
      <c r="E91" s="41" t="s">
        <v>1350</v>
      </c>
      <c r="F91" s="41" t="s">
        <v>1063</v>
      </c>
      <c r="G91" s="41" t="s">
        <v>1101</v>
      </c>
      <c r="H91" s="30">
        <v>300</v>
      </c>
      <c r="I91" s="8">
        <v>5700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43">
        <v>42464</v>
      </c>
      <c r="C92" s="3" t="s">
        <v>9</v>
      </c>
      <c r="D92" s="3" t="s">
        <v>935</v>
      </c>
      <c r="E92" s="30">
        <v>145</v>
      </c>
      <c r="F92" s="30">
        <v>160</v>
      </c>
      <c r="G92" s="30">
        <v>15</v>
      </c>
      <c r="H92" s="30">
        <v>300</v>
      </c>
      <c r="I92" s="8">
        <v>4500</v>
      </c>
      <c r="J92" s="12"/>
      <c r="K92" s="86"/>
      <c r="L92" s="10"/>
      <c r="M92" s="10"/>
      <c r="N92" s="10"/>
      <c r="O92" s="10"/>
    </row>
    <row r="93" spans="1:15" x14ac:dyDescent="0.3">
      <c r="A93" s="12"/>
      <c r="B93" s="43">
        <v>42494</v>
      </c>
      <c r="C93" s="3" t="s">
        <v>9</v>
      </c>
      <c r="D93" s="3" t="s">
        <v>935</v>
      </c>
      <c r="E93" s="30">
        <v>155</v>
      </c>
      <c r="F93" s="30">
        <v>200</v>
      </c>
      <c r="G93" s="30">
        <v>45</v>
      </c>
      <c r="H93" s="30">
        <v>300</v>
      </c>
      <c r="I93" s="8">
        <v>13500</v>
      </c>
      <c r="J93" s="12"/>
      <c r="K93" s="10"/>
      <c r="L93" s="10"/>
      <c r="M93" s="10"/>
      <c r="N93" s="10"/>
      <c r="O93" s="10"/>
    </row>
    <row r="94" spans="1:15" x14ac:dyDescent="0.3">
      <c r="A94" s="12"/>
      <c r="B94" s="43">
        <v>42525</v>
      </c>
      <c r="C94" s="3" t="s">
        <v>9</v>
      </c>
      <c r="D94" s="3" t="s">
        <v>937</v>
      </c>
      <c r="E94" s="30">
        <v>160</v>
      </c>
      <c r="F94" s="30">
        <v>170</v>
      </c>
      <c r="G94" s="30">
        <v>10</v>
      </c>
      <c r="H94" s="30">
        <v>300</v>
      </c>
      <c r="I94" s="8">
        <v>3000</v>
      </c>
      <c r="J94" s="12"/>
      <c r="K94" s="10"/>
      <c r="L94" s="10"/>
      <c r="M94" s="10"/>
      <c r="N94" s="10"/>
      <c r="O94" s="10"/>
    </row>
    <row r="95" spans="1:15" x14ac:dyDescent="0.3">
      <c r="A95" s="12"/>
      <c r="B95" s="43">
        <v>42555</v>
      </c>
      <c r="C95" s="3" t="s">
        <v>9</v>
      </c>
      <c r="D95" s="30" t="s">
        <v>936</v>
      </c>
      <c r="E95" s="30">
        <v>120</v>
      </c>
      <c r="F95" s="30">
        <v>130</v>
      </c>
      <c r="G95" s="30">
        <v>10</v>
      </c>
      <c r="H95" s="30">
        <v>300</v>
      </c>
      <c r="I95" s="8">
        <v>3000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42586</v>
      </c>
      <c r="C96" s="3" t="s">
        <v>9</v>
      </c>
      <c r="D96" s="30" t="s">
        <v>937</v>
      </c>
      <c r="E96" s="30">
        <v>165</v>
      </c>
      <c r="F96" s="30">
        <v>180</v>
      </c>
      <c r="G96" s="30">
        <v>15</v>
      </c>
      <c r="H96" s="30">
        <v>300</v>
      </c>
      <c r="I96" s="8">
        <v>4500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42678</v>
      </c>
      <c r="C97" s="3" t="s">
        <v>9</v>
      </c>
      <c r="D97" s="30" t="s">
        <v>937</v>
      </c>
      <c r="E97" s="30">
        <v>170</v>
      </c>
      <c r="F97" s="30">
        <v>190</v>
      </c>
      <c r="G97" s="30">
        <v>20</v>
      </c>
      <c r="H97" s="30">
        <v>300</v>
      </c>
      <c r="I97" s="8">
        <v>6000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>
        <v>42708</v>
      </c>
      <c r="C98" s="3" t="s">
        <v>9</v>
      </c>
      <c r="D98" s="30" t="s">
        <v>935</v>
      </c>
      <c r="E98" s="30">
        <v>145</v>
      </c>
      <c r="F98" s="30">
        <v>120</v>
      </c>
      <c r="G98" s="30">
        <v>-25</v>
      </c>
      <c r="H98" s="30">
        <v>300</v>
      </c>
      <c r="I98" s="8">
        <v>-7500</v>
      </c>
      <c r="J98" s="12"/>
      <c r="K98" s="10"/>
      <c r="L98" s="10"/>
      <c r="M98" s="10"/>
      <c r="N98" s="10"/>
      <c r="O98" s="10"/>
    </row>
    <row r="99" spans="1:15" x14ac:dyDescent="0.3">
      <c r="A99" s="12"/>
      <c r="B99" s="43" t="s">
        <v>1360</v>
      </c>
      <c r="C99" s="3" t="s">
        <v>9</v>
      </c>
      <c r="D99" s="30" t="s">
        <v>1307</v>
      </c>
      <c r="E99" s="30">
        <v>115</v>
      </c>
      <c r="F99" s="30">
        <v>140</v>
      </c>
      <c r="G99" s="30">
        <v>25</v>
      </c>
      <c r="H99" s="30">
        <v>300</v>
      </c>
      <c r="I99" s="8">
        <v>7500</v>
      </c>
      <c r="J99" s="12"/>
      <c r="K99" s="10"/>
      <c r="L99" s="10"/>
      <c r="M99" s="10"/>
      <c r="N99" s="10"/>
      <c r="O99" s="10"/>
    </row>
    <row r="100" spans="1:15" x14ac:dyDescent="0.3">
      <c r="A100" s="12"/>
      <c r="B100" s="43" t="s">
        <v>1367</v>
      </c>
      <c r="C100" s="3" t="s">
        <v>9</v>
      </c>
      <c r="D100" s="30" t="s">
        <v>960</v>
      </c>
      <c r="E100" s="30">
        <v>140</v>
      </c>
      <c r="F100" s="30">
        <v>151</v>
      </c>
      <c r="G100" s="30">
        <v>11</v>
      </c>
      <c r="H100" s="30">
        <v>300</v>
      </c>
      <c r="I100" s="8">
        <v>3300</v>
      </c>
      <c r="J100" s="12"/>
      <c r="K100" s="10"/>
      <c r="L100" s="10"/>
      <c r="M100" s="10"/>
      <c r="N100" s="10"/>
      <c r="O100" s="10"/>
    </row>
    <row r="101" spans="1:15" x14ac:dyDescent="0.3">
      <c r="A101" s="12"/>
      <c r="B101" s="43" t="s">
        <v>1368</v>
      </c>
      <c r="C101" s="3" t="s">
        <v>9</v>
      </c>
      <c r="D101" s="30" t="s">
        <v>950</v>
      </c>
      <c r="E101" s="30">
        <v>105</v>
      </c>
      <c r="F101" s="30">
        <v>90</v>
      </c>
      <c r="G101" s="30">
        <v>-15</v>
      </c>
      <c r="H101" s="30">
        <v>300</v>
      </c>
      <c r="I101" s="8">
        <v>-4500</v>
      </c>
      <c r="J101" s="12"/>
      <c r="K101" s="10"/>
      <c r="L101" s="10"/>
      <c r="M101" s="10"/>
      <c r="N101" s="10"/>
      <c r="O101" s="10"/>
    </row>
    <row r="102" spans="1:15" x14ac:dyDescent="0.3">
      <c r="A102" s="12"/>
      <c r="B102" s="43" t="s">
        <v>1369</v>
      </c>
      <c r="C102" s="3" t="s">
        <v>9</v>
      </c>
      <c r="D102" s="30" t="s">
        <v>980</v>
      </c>
      <c r="E102" s="30">
        <v>155</v>
      </c>
      <c r="F102" s="30">
        <v>200</v>
      </c>
      <c r="G102" s="30">
        <v>45</v>
      </c>
      <c r="H102" s="30">
        <v>300</v>
      </c>
      <c r="I102" s="8">
        <v>13500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 t="s">
        <v>1371</v>
      </c>
      <c r="C103" s="3" t="s">
        <v>9</v>
      </c>
      <c r="D103" s="30" t="s">
        <v>941</v>
      </c>
      <c r="E103" s="30">
        <v>135</v>
      </c>
      <c r="F103" s="30">
        <v>144</v>
      </c>
      <c r="G103" s="30">
        <v>9</v>
      </c>
      <c r="H103" s="30">
        <v>300</v>
      </c>
      <c r="I103" s="8">
        <v>2700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 t="s">
        <v>1377</v>
      </c>
      <c r="C104" s="3" t="s">
        <v>9</v>
      </c>
      <c r="D104" s="30" t="s">
        <v>960</v>
      </c>
      <c r="E104" s="30">
        <v>125</v>
      </c>
      <c r="F104" s="30">
        <v>170</v>
      </c>
      <c r="G104" s="30">
        <v>45</v>
      </c>
      <c r="H104" s="30">
        <v>300</v>
      </c>
      <c r="I104" s="8">
        <v>13500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 t="s">
        <v>1378</v>
      </c>
      <c r="C105" s="3" t="s">
        <v>9</v>
      </c>
      <c r="D105" s="30" t="s">
        <v>941</v>
      </c>
      <c r="E105" s="30">
        <v>160</v>
      </c>
      <c r="F105" s="30">
        <v>190</v>
      </c>
      <c r="G105" s="30">
        <v>30</v>
      </c>
      <c r="H105" s="30">
        <v>300</v>
      </c>
      <c r="I105" s="8">
        <v>9000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 t="s">
        <v>1379</v>
      </c>
      <c r="C106" s="3" t="s">
        <v>9</v>
      </c>
      <c r="D106" s="30" t="s">
        <v>941</v>
      </c>
      <c r="E106" s="30">
        <v>180</v>
      </c>
      <c r="F106" s="30">
        <v>195</v>
      </c>
      <c r="G106" s="30">
        <v>15</v>
      </c>
      <c r="H106" s="30">
        <v>300</v>
      </c>
      <c r="I106" s="8">
        <v>4500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 t="s">
        <v>1380</v>
      </c>
      <c r="C107" s="3" t="s">
        <v>9</v>
      </c>
      <c r="D107" s="30" t="s">
        <v>980</v>
      </c>
      <c r="E107" s="30">
        <v>115</v>
      </c>
      <c r="F107" s="30">
        <v>160</v>
      </c>
      <c r="G107" s="30">
        <v>45</v>
      </c>
      <c r="H107" s="30">
        <v>300</v>
      </c>
      <c r="I107" s="8">
        <v>13500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 t="s">
        <v>1381</v>
      </c>
      <c r="C108" s="3" t="s">
        <v>9</v>
      </c>
      <c r="D108" s="30" t="s">
        <v>931</v>
      </c>
      <c r="E108" s="30">
        <v>130</v>
      </c>
      <c r="F108" s="30">
        <v>160</v>
      </c>
      <c r="G108" s="30">
        <v>30</v>
      </c>
      <c r="H108" s="30">
        <v>300</v>
      </c>
      <c r="I108" s="8">
        <v>9000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1"/>
      <c r="C109" s="28"/>
      <c r="D109" s="28"/>
      <c r="E109" s="28"/>
      <c r="F109" s="28"/>
      <c r="G109" s="28"/>
      <c r="H109" s="28"/>
      <c r="I109" s="97"/>
      <c r="J109" s="12"/>
      <c r="K109" s="10"/>
      <c r="L109" s="10"/>
      <c r="M109" s="10"/>
      <c r="N109" s="10"/>
      <c r="O109" s="10"/>
    </row>
    <row r="110" spans="1:15" ht="18" x14ac:dyDescent="0.35">
      <c r="A110" s="12"/>
      <c r="B110" s="1"/>
      <c r="C110" s="10"/>
      <c r="D110" s="10"/>
      <c r="E110" s="10"/>
      <c r="F110" s="10"/>
      <c r="G110" s="10"/>
      <c r="H110" s="10"/>
      <c r="I110" s="72">
        <v>104700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106" t="s">
        <v>926</v>
      </c>
      <c r="C111" s="106"/>
      <c r="D111" s="106"/>
      <c r="E111" s="106"/>
      <c r="F111" s="106"/>
      <c r="G111" s="106"/>
      <c r="H111" s="106"/>
      <c r="I111" s="106"/>
      <c r="J111" s="12"/>
      <c r="K111" s="10"/>
      <c r="L111" s="10"/>
      <c r="M111" s="10"/>
      <c r="N111" s="10"/>
      <c r="O111" s="10"/>
    </row>
    <row r="112" spans="1:15" x14ac:dyDescent="0.3">
      <c r="A112" s="12"/>
      <c r="B112" s="43">
        <v>42373</v>
      </c>
      <c r="C112" s="30" t="s">
        <v>8</v>
      </c>
      <c r="D112" s="30" t="s">
        <v>301</v>
      </c>
      <c r="E112" s="30">
        <v>16160</v>
      </c>
      <c r="F112" s="30">
        <v>16105</v>
      </c>
      <c r="G112" s="30">
        <v>55</v>
      </c>
      <c r="H112" s="30">
        <v>120</v>
      </c>
      <c r="I112" s="30">
        <v>6600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>
        <v>42464</v>
      </c>
      <c r="C113" s="30" t="s">
        <v>8</v>
      </c>
      <c r="D113" s="30" t="s">
        <v>301</v>
      </c>
      <c r="E113" s="30">
        <v>16280</v>
      </c>
      <c r="F113" s="30">
        <v>16180</v>
      </c>
      <c r="G113" s="30">
        <v>100</v>
      </c>
      <c r="H113" s="30">
        <v>120</v>
      </c>
      <c r="I113" s="30">
        <v>12000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>
        <v>42494</v>
      </c>
      <c r="C114" s="30" t="s">
        <v>8</v>
      </c>
      <c r="D114" s="30" t="s">
        <v>301</v>
      </c>
      <c r="E114" s="30">
        <v>16150</v>
      </c>
      <c r="F114" s="30">
        <v>15850</v>
      </c>
      <c r="G114" s="30">
        <v>300</v>
      </c>
      <c r="H114" s="30">
        <v>120</v>
      </c>
      <c r="I114" s="30">
        <v>36000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>
        <v>42525</v>
      </c>
      <c r="C115" s="30" t="s">
        <v>8</v>
      </c>
      <c r="D115" s="30" t="s">
        <v>301</v>
      </c>
      <c r="E115" s="30">
        <v>15720</v>
      </c>
      <c r="F115" s="30">
        <v>15630</v>
      </c>
      <c r="G115" s="30">
        <v>90</v>
      </c>
      <c r="H115" s="30">
        <v>120</v>
      </c>
      <c r="I115" s="30">
        <v>10800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>
        <v>42555</v>
      </c>
      <c r="C116" s="30" t="s">
        <v>8</v>
      </c>
      <c r="D116" s="30" t="s">
        <v>301</v>
      </c>
      <c r="E116" s="30">
        <v>15600</v>
      </c>
      <c r="F116" s="30">
        <v>15530</v>
      </c>
      <c r="G116" s="30">
        <v>70</v>
      </c>
      <c r="H116" s="30">
        <v>120</v>
      </c>
      <c r="I116" s="30">
        <v>8400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42586</v>
      </c>
      <c r="C117" s="30" t="s">
        <v>8</v>
      </c>
      <c r="D117" s="30" t="s">
        <v>301</v>
      </c>
      <c r="E117" s="30">
        <v>15650</v>
      </c>
      <c r="F117" s="30">
        <v>15660</v>
      </c>
      <c r="G117" s="288" t="s">
        <v>1299</v>
      </c>
      <c r="H117" s="289"/>
      <c r="I117" s="290"/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42678</v>
      </c>
      <c r="C118" s="30" t="s">
        <v>8</v>
      </c>
      <c r="D118" s="30" t="s">
        <v>301</v>
      </c>
      <c r="E118" s="30">
        <v>15650</v>
      </c>
      <c r="F118" s="30">
        <v>15490</v>
      </c>
      <c r="G118" s="30">
        <v>160</v>
      </c>
      <c r="H118" s="30">
        <v>120</v>
      </c>
      <c r="I118" s="30">
        <v>19200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42708</v>
      </c>
      <c r="C119" s="30" t="s">
        <v>8</v>
      </c>
      <c r="D119" s="30" t="s">
        <v>301</v>
      </c>
      <c r="E119" s="30">
        <v>15900</v>
      </c>
      <c r="F119" s="30">
        <v>15840</v>
      </c>
      <c r="G119" s="30">
        <v>60</v>
      </c>
      <c r="H119" s="30">
        <v>120</v>
      </c>
      <c r="I119" s="30">
        <v>7200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 t="s">
        <v>1360</v>
      </c>
      <c r="C120" s="30" t="s">
        <v>9</v>
      </c>
      <c r="D120" s="30" t="s">
        <v>301</v>
      </c>
      <c r="E120" s="30">
        <v>16300</v>
      </c>
      <c r="F120" s="30">
        <v>16400</v>
      </c>
      <c r="G120" s="30">
        <v>100</v>
      </c>
      <c r="H120" s="30">
        <v>120</v>
      </c>
      <c r="I120" s="30">
        <v>12000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 t="s">
        <v>1367</v>
      </c>
      <c r="C121" s="30" t="s">
        <v>8</v>
      </c>
      <c r="D121" s="30" t="s">
        <v>301</v>
      </c>
      <c r="E121" s="30">
        <v>16250</v>
      </c>
      <c r="F121" s="30">
        <v>16200</v>
      </c>
      <c r="G121" s="30">
        <v>50</v>
      </c>
      <c r="H121" s="30">
        <v>120</v>
      </c>
      <c r="I121" s="30">
        <v>6000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 t="s">
        <v>1368</v>
      </c>
      <c r="C122" s="30" t="s">
        <v>9</v>
      </c>
      <c r="D122" s="30" t="s">
        <v>301</v>
      </c>
      <c r="E122" s="30">
        <v>16320</v>
      </c>
      <c r="F122" s="30">
        <v>16400</v>
      </c>
      <c r="G122" s="30">
        <v>80</v>
      </c>
      <c r="H122" s="30">
        <v>120</v>
      </c>
      <c r="I122" s="30">
        <v>9600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 t="s">
        <v>1369</v>
      </c>
      <c r="C123" s="30" t="s">
        <v>9</v>
      </c>
      <c r="D123" s="30" t="s">
        <v>301</v>
      </c>
      <c r="E123" s="30">
        <v>16700</v>
      </c>
      <c r="F123" s="30">
        <v>16750</v>
      </c>
      <c r="G123" s="30">
        <v>50</v>
      </c>
      <c r="H123" s="30">
        <v>120</v>
      </c>
      <c r="I123" s="30">
        <v>6000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 t="s">
        <v>1371</v>
      </c>
      <c r="C124" s="30" t="s">
        <v>9</v>
      </c>
      <c r="D124" s="30" t="s">
        <v>301</v>
      </c>
      <c r="E124" s="30">
        <v>16650</v>
      </c>
      <c r="F124" s="30">
        <v>16750</v>
      </c>
      <c r="G124" s="30">
        <v>100</v>
      </c>
      <c r="H124" s="30">
        <v>120</v>
      </c>
      <c r="I124" s="30">
        <v>12000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 t="s">
        <v>1377</v>
      </c>
      <c r="C125" s="30" t="s">
        <v>8</v>
      </c>
      <c r="D125" s="30" t="s">
        <v>301</v>
      </c>
      <c r="E125" s="30">
        <v>16700</v>
      </c>
      <c r="F125" s="30">
        <v>16600</v>
      </c>
      <c r="G125" s="30">
        <v>100</v>
      </c>
      <c r="H125" s="30">
        <v>120</v>
      </c>
      <c r="I125" s="30">
        <v>12000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 t="s">
        <v>1378</v>
      </c>
      <c r="C126" s="30" t="s">
        <v>8</v>
      </c>
      <c r="D126" s="30" t="s">
        <v>301</v>
      </c>
      <c r="E126" s="30">
        <v>16720</v>
      </c>
      <c r="F126" s="30">
        <v>16920</v>
      </c>
      <c r="G126" s="30">
        <v>-200</v>
      </c>
      <c r="H126" s="30">
        <v>120</v>
      </c>
      <c r="I126" s="30">
        <v>-24000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 t="s">
        <v>1379</v>
      </c>
      <c r="C127" s="30" t="s">
        <v>9</v>
      </c>
      <c r="D127" s="30" t="s">
        <v>301</v>
      </c>
      <c r="E127" s="30">
        <v>16950</v>
      </c>
      <c r="F127" s="30">
        <v>16900</v>
      </c>
      <c r="G127" s="30">
        <v>-50</v>
      </c>
      <c r="H127" s="30">
        <v>120</v>
      </c>
      <c r="I127" s="30">
        <v>-6000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 t="s">
        <v>1380</v>
      </c>
      <c r="C128" s="30" t="s">
        <v>8</v>
      </c>
      <c r="D128" s="30" t="s">
        <v>301</v>
      </c>
      <c r="E128" s="30">
        <v>16950</v>
      </c>
      <c r="F128" s="30">
        <v>16710</v>
      </c>
      <c r="G128" s="30">
        <v>240</v>
      </c>
      <c r="H128" s="30">
        <v>120</v>
      </c>
      <c r="I128" s="30">
        <v>28800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 t="s">
        <v>1381</v>
      </c>
      <c r="C129" s="30" t="s">
        <v>8</v>
      </c>
      <c r="D129" s="30" t="s">
        <v>301</v>
      </c>
      <c r="E129" s="30">
        <v>16800</v>
      </c>
      <c r="F129" s="30">
        <v>16650</v>
      </c>
      <c r="G129" s="30">
        <v>150</v>
      </c>
      <c r="H129" s="30">
        <v>120</v>
      </c>
      <c r="I129" s="30">
        <v>18000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10"/>
      <c r="C130" s="10"/>
      <c r="D130" s="10"/>
      <c r="E130" s="10"/>
      <c r="F130" s="10"/>
      <c r="G130" s="10"/>
      <c r="H130" s="10"/>
      <c r="I130" s="95"/>
      <c r="J130" s="12"/>
      <c r="K130" s="10"/>
      <c r="L130" s="10"/>
      <c r="M130" s="10"/>
      <c r="N130" s="10"/>
      <c r="O130" s="10"/>
    </row>
    <row r="131" spans="1:15" ht="21" x14ac:dyDescent="0.4">
      <c r="A131" s="12"/>
      <c r="B131" s="10"/>
      <c r="C131" s="10"/>
      <c r="D131" s="10"/>
      <c r="E131" s="10"/>
      <c r="F131" s="10"/>
      <c r="G131" s="10"/>
      <c r="H131" s="10"/>
      <c r="I131" s="112">
        <v>174600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291" t="s">
        <v>1076</v>
      </c>
      <c r="C132" s="292"/>
      <c r="D132" s="292"/>
      <c r="E132" s="292"/>
      <c r="F132" s="292"/>
      <c r="G132" s="292"/>
      <c r="H132" s="292"/>
      <c r="I132" s="293"/>
      <c r="J132" s="113"/>
      <c r="K132" s="10"/>
      <c r="L132" s="10"/>
      <c r="M132" s="10"/>
      <c r="N132" s="10"/>
      <c r="O132" s="10"/>
    </row>
    <row r="133" spans="1:15" x14ac:dyDescent="0.3">
      <c r="A133" s="113"/>
      <c r="B133" s="43">
        <v>42373</v>
      </c>
      <c r="C133" s="30" t="s">
        <v>9</v>
      </c>
      <c r="D133" s="30" t="s">
        <v>1351</v>
      </c>
      <c r="E133" s="30">
        <v>9</v>
      </c>
      <c r="F133" s="30">
        <v>13</v>
      </c>
      <c r="G133" s="30">
        <v>4</v>
      </c>
      <c r="H133" s="30">
        <v>2000</v>
      </c>
      <c r="I133" s="30">
        <v>8000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42464</v>
      </c>
      <c r="C134" s="30" t="s">
        <v>9</v>
      </c>
      <c r="D134" s="30" t="s">
        <v>1352</v>
      </c>
      <c r="E134" s="30">
        <v>8</v>
      </c>
      <c r="F134" s="30">
        <v>9</v>
      </c>
      <c r="G134" s="30">
        <v>1</v>
      </c>
      <c r="H134" s="30">
        <v>2000</v>
      </c>
      <c r="I134" s="30">
        <v>2000</v>
      </c>
      <c r="J134" s="12"/>
      <c r="K134" s="17"/>
      <c r="L134" s="17"/>
      <c r="M134" s="17"/>
      <c r="N134" s="17"/>
      <c r="O134" s="17"/>
    </row>
    <row r="135" spans="1:15" x14ac:dyDescent="0.3">
      <c r="A135" s="12"/>
      <c r="B135" s="43">
        <v>42494</v>
      </c>
      <c r="C135" s="30" t="s">
        <v>9</v>
      </c>
      <c r="D135" s="30" t="s">
        <v>1353</v>
      </c>
      <c r="E135" s="30">
        <v>28</v>
      </c>
      <c r="F135" s="30">
        <v>40</v>
      </c>
      <c r="G135" s="30">
        <v>12</v>
      </c>
      <c r="H135" s="30">
        <v>700</v>
      </c>
      <c r="I135" s="30">
        <v>8400</v>
      </c>
      <c r="J135" s="12"/>
      <c r="K135" s="10"/>
      <c r="L135" s="30"/>
      <c r="M135" s="10"/>
      <c r="N135" s="10"/>
      <c r="O135" s="10"/>
    </row>
    <row r="136" spans="1:15" x14ac:dyDescent="0.3">
      <c r="A136" s="12"/>
      <c r="B136" s="43">
        <v>42525</v>
      </c>
      <c r="C136" s="30" t="s">
        <v>9</v>
      </c>
      <c r="D136" s="30" t="s">
        <v>1354</v>
      </c>
      <c r="E136" s="30">
        <v>18</v>
      </c>
      <c r="F136" s="30">
        <v>21.4</v>
      </c>
      <c r="G136" s="30">
        <v>3.4</v>
      </c>
      <c r="H136" s="30">
        <v>1500</v>
      </c>
      <c r="I136" s="30">
        <v>5100</v>
      </c>
      <c r="J136" s="12"/>
      <c r="K136" s="10"/>
      <c r="L136" s="30"/>
      <c r="M136" s="10"/>
      <c r="N136" s="10"/>
      <c r="O136" s="10"/>
    </row>
    <row r="137" spans="1:15" x14ac:dyDescent="0.3">
      <c r="A137" s="12"/>
      <c r="B137" s="43">
        <v>42555</v>
      </c>
      <c r="C137" s="30" t="s">
        <v>9</v>
      </c>
      <c r="D137" s="30" t="s">
        <v>1355</v>
      </c>
      <c r="E137" s="30">
        <v>8</v>
      </c>
      <c r="F137" s="30">
        <v>9.1999999999999993</v>
      </c>
      <c r="G137" s="30">
        <v>1.2</v>
      </c>
      <c r="H137" s="30">
        <v>2000</v>
      </c>
      <c r="I137" s="30">
        <v>2400</v>
      </c>
      <c r="J137" s="12"/>
      <c r="K137" s="10"/>
      <c r="L137" s="30"/>
      <c r="M137" s="10"/>
      <c r="N137" s="10"/>
      <c r="O137" s="10"/>
    </row>
    <row r="138" spans="1:15" x14ac:dyDescent="0.3">
      <c r="A138" s="12"/>
      <c r="B138" s="43">
        <v>42586</v>
      </c>
      <c r="C138" s="30" t="s">
        <v>9</v>
      </c>
      <c r="D138" s="30" t="s">
        <v>1356</v>
      </c>
      <c r="E138" s="30">
        <v>26</v>
      </c>
      <c r="F138" s="30">
        <v>30</v>
      </c>
      <c r="G138" s="30">
        <v>4</v>
      </c>
      <c r="H138" s="30">
        <v>700</v>
      </c>
      <c r="I138" s="30">
        <v>2800</v>
      </c>
      <c r="J138" s="12"/>
      <c r="K138" s="10"/>
      <c r="L138" s="30"/>
      <c r="M138" s="10"/>
      <c r="N138" s="10"/>
      <c r="O138" s="10"/>
    </row>
    <row r="139" spans="1:15" x14ac:dyDescent="0.3">
      <c r="A139" s="12"/>
      <c r="B139" s="43">
        <v>42678</v>
      </c>
      <c r="C139" s="30" t="s">
        <v>9</v>
      </c>
      <c r="D139" s="30" t="s">
        <v>1363</v>
      </c>
      <c r="E139" s="30">
        <v>30</v>
      </c>
      <c r="F139" s="30">
        <v>40</v>
      </c>
      <c r="G139" s="30">
        <v>10</v>
      </c>
      <c r="H139" s="30">
        <v>500</v>
      </c>
      <c r="I139" s="30">
        <v>5000</v>
      </c>
      <c r="J139" s="12"/>
      <c r="K139" s="10"/>
      <c r="L139" s="30"/>
      <c r="M139" s="10"/>
      <c r="N139" s="10"/>
      <c r="O139" s="10"/>
    </row>
    <row r="140" spans="1:15" x14ac:dyDescent="0.3">
      <c r="A140" s="12"/>
      <c r="B140" s="43">
        <v>42708</v>
      </c>
      <c r="C140" s="30" t="s">
        <v>9</v>
      </c>
      <c r="D140" s="30" t="s">
        <v>1364</v>
      </c>
      <c r="E140" s="30">
        <v>5.5</v>
      </c>
      <c r="F140" s="30">
        <v>7</v>
      </c>
      <c r="G140" s="30">
        <v>1.5</v>
      </c>
      <c r="H140" s="30">
        <v>2000</v>
      </c>
      <c r="I140" s="30">
        <v>3000</v>
      </c>
      <c r="J140" s="12"/>
      <c r="K140" s="10"/>
      <c r="L140" s="30"/>
      <c r="M140" s="10"/>
      <c r="N140" s="10"/>
      <c r="O140" s="10"/>
    </row>
    <row r="141" spans="1:15" x14ac:dyDescent="0.3">
      <c r="A141" s="12"/>
      <c r="B141" s="43" t="s">
        <v>1360</v>
      </c>
      <c r="C141" s="30" t="s">
        <v>9</v>
      </c>
      <c r="D141" s="30" t="s">
        <v>1365</v>
      </c>
      <c r="E141" s="30">
        <v>25</v>
      </c>
      <c r="F141" s="30">
        <v>28</v>
      </c>
      <c r="G141" s="115">
        <v>3</v>
      </c>
      <c r="H141" s="116">
        <v>700</v>
      </c>
      <c r="I141" s="117">
        <v>2100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 t="s">
        <v>1367</v>
      </c>
      <c r="C142" s="30" t="s">
        <v>9</v>
      </c>
      <c r="D142" s="30" t="s">
        <v>1365</v>
      </c>
      <c r="E142" s="30">
        <v>27</v>
      </c>
      <c r="F142" s="30">
        <v>40</v>
      </c>
      <c r="G142" s="30">
        <v>13</v>
      </c>
      <c r="H142" s="30">
        <v>700</v>
      </c>
      <c r="I142" s="30">
        <v>9100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 t="s">
        <v>1368</v>
      </c>
      <c r="C143" s="30" t="s">
        <v>9</v>
      </c>
      <c r="D143" s="30" t="s">
        <v>1372</v>
      </c>
      <c r="E143" s="30">
        <v>20</v>
      </c>
      <c r="F143" s="30">
        <v>14</v>
      </c>
      <c r="G143" s="30">
        <v>-6</v>
      </c>
      <c r="H143" s="30">
        <v>500</v>
      </c>
      <c r="I143" s="30">
        <v>-3000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 t="s">
        <v>1369</v>
      </c>
      <c r="C144" s="30" t="s">
        <v>9</v>
      </c>
      <c r="D144" s="30" t="s">
        <v>1373</v>
      </c>
      <c r="E144" s="30">
        <v>11</v>
      </c>
      <c r="F144" s="30">
        <v>22</v>
      </c>
      <c r="G144" s="30">
        <v>11</v>
      </c>
      <c r="H144" s="30">
        <v>1300</v>
      </c>
      <c r="I144" s="30">
        <v>14300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 t="s">
        <v>1371</v>
      </c>
      <c r="C145" s="30" t="s">
        <v>9</v>
      </c>
      <c r="D145" s="30" t="s">
        <v>1374</v>
      </c>
      <c r="E145" s="30">
        <v>8</v>
      </c>
      <c r="F145" s="30">
        <v>10</v>
      </c>
      <c r="G145" s="30">
        <v>2</v>
      </c>
      <c r="H145" s="30">
        <v>800</v>
      </c>
      <c r="I145" s="30">
        <v>1600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 t="s">
        <v>1377</v>
      </c>
      <c r="C146" s="30" t="s">
        <v>9</v>
      </c>
      <c r="D146" s="30" t="s">
        <v>1382</v>
      </c>
      <c r="E146" s="30">
        <v>13</v>
      </c>
      <c r="F146" s="30">
        <v>8</v>
      </c>
      <c r="G146" s="30">
        <v>-5</v>
      </c>
      <c r="H146" s="30">
        <v>600</v>
      </c>
      <c r="I146" s="30">
        <v>-3000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 t="s">
        <v>1378</v>
      </c>
      <c r="C147" s="30" t="s">
        <v>9</v>
      </c>
      <c r="D147" s="30" t="s">
        <v>1383</v>
      </c>
      <c r="E147" s="30">
        <v>15</v>
      </c>
      <c r="F147" s="30">
        <v>26</v>
      </c>
      <c r="G147" s="30">
        <v>11</v>
      </c>
      <c r="H147" s="30">
        <v>700</v>
      </c>
      <c r="I147" s="30">
        <v>7700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 t="s">
        <v>1379</v>
      </c>
      <c r="C148" s="30" t="s">
        <v>9</v>
      </c>
      <c r="D148" s="30" t="s">
        <v>1384</v>
      </c>
      <c r="E148" s="30">
        <v>24</v>
      </c>
      <c r="F148" s="288" t="s">
        <v>376</v>
      </c>
      <c r="G148" s="289"/>
      <c r="H148" s="289"/>
      <c r="I148" s="290"/>
      <c r="J148" s="12"/>
      <c r="K148" s="10"/>
      <c r="L148" s="10"/>
      <c r="M148" s="10"/>
      <c r="N148" s="10"/>
      <c r="O148" s="10"/>
    </row>
    <row r="149" spans="1:15" x14ac:dyDescent="0.3">
      <c r="A149" s="12"/>
      <c r="B149" s="43" t="s">
        <v>1380</v>
      </c>
      <c r="C149" s="30" t="s">
        <v>9</v>
      </c>
      <c r="D149" s="30" t="s">
        <v>1385</v>
      </c>
      <c r="E149" s="30">
        <v>6</v>
      </c>
      <c r="F149" s="115">
        <v>14</v>
      </c>
      <c r="G149" s="116">
        <v>8</v>
      </c>
      <c r="H149" s="116">
        <v>300</v>
      </c>
      <c r="I149" s="117">
        <v>2400</v>
      </c>
      <c r="J149" s="12"/>
      <c r="K149" s="10"/>
      <c r="L149" s="10"/>
      <c r="M149" s="10"/>
      <c r="N149" s="10"/>
      <c r="O149" s="10"/>
    </row>
    <row r="150" spans="1:15" x14ac:dyDescent="0.3">
      <c r="A150" s="12"/>
      <c r="B150" s="43" t="s">
        <v>1381</v>
      </c>
      <c r="C150" s="30" t="s">
        <v>9</v>
      </c>
      <c r="D150" s="30" t="s">
        <v>1386</v>
      </c>
      <c r="E150" s="30">
        <v>45</v>
      </c>
      <c r="F150" s="115">
        <v>42.5</v>
      </c>
      <c r="G150" s="116">
        <v>-2.5</v>
      </c>
      <c r="H150" s="116">
        <v>300</v>
      </c>
      <c r="I150" s="117">
        <v>-750</v>
      </c>
      <c r="J150" s="12"/>
      <c r="K150" s="10"/>
      <c r="L150" s="10"/>
      <c r="M150" s="10"/>
      <c r="N150" s="10"/>
      <c r="O150" s="10"/>
    </row>
    <row r="151" spans="1:15" x14ac:dyDescent="0.3">
      <c r="A151" s="12"/>
      <c r="B151" s="10"/>
      <c r="C151" s="10"/>
      <c r="D151" s="10"/>
      <c r="E151" s="10"/>
      <c r="F151" s="10"/>
      <c r="G151" s="10"/>
      <c r="H151" s="10"/>
      <c r="I151" s="10"/>
      <c r="J151" s="12"/>
      <c r="K151" s="10"/>
      <c r="L151" s="10"/>
      <c r="M151" s="10"/>
      <c r="N151" s="10"/>
      <c r="O151" s="10"/>
    </row>
    <row r="152" spans="1:15" ht="18" x14ac:dyDescent="0.35">
      <c r="A152" s="12"/>
      <c r="B152" s="10"/>
      <c r="C152" s="10"/>
      <c r="D152" s="10"/>
      <c r="E152" s="10"/>
      <c r="F152" s="10"/>
      <c r="G152" s="10"/>
      <c r="H152" s="10"/>
      <c r="I152" s="72">
        <v>67150</v>
      </c>
      <c r="J152" s="12"/>
      <c r="K152" s="10"/>
      <c r="L152" s="10"/>
      <c r="M152" s="10"/>
      <c r="N152" s="10"/>
      <c r="O152" s="10"/>
    </row>
    <row r="153" spans="1:15" x14ac:dyDescent="0.3">
      <c r="A153" s="12"/>
      <c r="B153" s="291" t="s">
        <v>1152</v>
      </c>
      <c r="C153" s="292"/>
      <c r="D153" s="292"/>
      <c r="E153" s="292"/>
      <c r="F153" s="292"/>
      <c r="G153" s="292"/>
      <c r="H153" s="292"/>
      <c r="I153" s="293"/>
      <c r="J153" s="12"/>
      <c r="K153" s="10"/>
      <c r="L153" s="10"/>
      <c r="M153" s="10"/>
      <c r="N153" s="10"/>
      <c r="O153" s="10"/>
    </row>
    <row r="154" spans="1:15" x14ac:dyDescent="0.3">
      <c r="A154" s="12"/>
      <c r="B154" s="43">
        <v>42373</v>
      </c>
      <c r="C154" s="30" t="s">
        <v>9</v>
      </c>
      <c r="D154" s="30" t="s">
        <v>1357</v>
      </c>
      <c r="E154" s="30">
        <v>390</v>
      </c>
      <c r="F154" s="30">
        <v>420</v>
      </c>
      <c r="G154" s="30">
        <v>30</v>
      </c>
      <c r="H154" s="30">
        <v>120</v>
      </c>
      <c r="I154" s="30">
        <v>3600</v>
      </c>
      <c r="J154" s="12"/>
      <c r="K154" s="10"/>
      <c r="L154" s="10"/>
      <c r="M154" s="10"/>
      <c r="N154" s="10"/>
      <c r="O154" s="10"/>
    </row>
    <row r="155" spans="1:15" x14ac:dyDescent="0.3">
      <c r="A155" s="12"/>
      <c r="B155" s="43">
        <v>42464</v>
      </c>
      <c r="C155" s="30" t="s">
        <v>9</v>
      </c>
      <c r="D155" s="30" t="s">
        <v>1358</v>
      </c>
      <c r="E155" s="30">
        <v>360</v>
      </c>
      <c r="F155" s="30">
        <v>420</v>
      </c>
      <c r="G155" s="30">
        <v>60</v>
      </c>
      <c r="H155" s="30">
        <v>120</v>
      </c>
      <c r="I155" s="30">
        <v>7200</v>
      </c>
      <c r="J155" s="12"/>
      <c r="K155" s="10"/>
      <c r="L155" s="10"/>
      <c r="M155" s="10"/>
      <c r="N155" s="10"/>
      <c r="O155" s="10"/>
    </row>
    <row r="156" spans="1:15" x14ac:dyDescent="0.3">
      <c r="A156" s="12"/>
      <c r="B156" s="43">
        <v>42494</v>
      </c>
      <c r="C156" s="30" t="s">
        <v>9</v>
      </c>
      <c r="D156" s="30" t="s">
        <v>1357</v>
      </c>
      <c r="E156" s="30">
        <v>360</v>
      </c>
      <c r="F156" s="30">
        <v>520</v>
      </c>
      <c r="G156" s="30">
        <v>160</v>
      </c>
      <c r="H156" s="30">
        <v>120</v>
      </c>
      <c r="I156" s="30">
        <v>19200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>
        <v>42525</v>
      </c>
      <c r="C157" s="30" t="s">
        <v>9</v>
      </c>
      <c r="D157" s="30" t="s">
        <v>1359</v>
      </c>
      <c r="E157" s="30">
        <v>350</v>
      </c>
      <c r="F157" s="30">
        <v>385</v>
      </c>
      <c r="G157" s="30">
        <v>35</v>
      </c>
      <c r="H157" s="30">
        <v>120</v>
      </c>
      <c r="I157" s="30">
        <v>4200</v>
      </c>
      <c r="J157" s="12"/>
      <c r="K157" s="10"/>
      <c r="L157" s="10"/>
      <c r="M157" s="10"/>
      <c r="N157" s="10"/>
      <c r="O157" s="10"/>
    </row>
    <row r="158" spans="1:15" x14ac:dyDescent="0.3">
      <c r="A158" s="12"/>
      <c r="B158" s="43">
        <v>42555</v>
      </c>
      <c r="C158" s="30" t="s">
        <v>9</v>
      </c>
      <c r="D158" s="30" t="s">
        <v>1154</v>
      </c>
      <c r="E158" s="30">
        <v>340</v>
      </c>
      <c r="F158" s="30">
        <v>370</v>
      </c>
      <c r="G158" s="30">
        <v>30</v>
      </c>
      <c r="H158" s="30">
        <v>120</v>
      </c>
      <c r="I158" s="30">
        <v>3600</v>
      </c>
      <c r="J158" s="12"/>
      <c r="K158" s="10"/>
      <c r="L158" s="10"/>
      <c r="M158" s="10"/>
      <c r="N158" s="10"/>
      <c r="O158" s="10"/>
    </row>
    <row r="159" spans="1:15" x14ac:dyDescent="0.3">
      <c r="A159" s="12"/>
      <c r="B159" s="43">
        <v>42586</v>
      </c>
      <c r="C159" s="30" t="s">
        <v>9</v>
      </c>
      <c r="D159" s="30" t="s">
        <v>1154</v>
      </c>
      <c r="E159" s="30">
        <v>290</v>
      </c>
      <c r="F159" s="30">
        <v>270</v>
      </c>
      <c r="G159" s="30">
        <v>-20</v>
      </c>
      <c r="H159" s="30">
        <v>120</v>
      </c>
      <c r="I159" s="30">
        <v>-2400</v>
      </c>
      <c r="J159" s="12"/>
      <c r="K159" s="10"/>
      <c r="L159" s="10"/>
      <c r="M159" s="10"/>
      <c r="N159" s="10"/>
      <c r="O159" s="10"/>
    </row>
    <row r="160" spans="1:15" x14ac:dyDescent="0.3">
      <c r="A160" s="12"/>
      <c r="B160" s="43">
        <v>42678</v>
      </c>
      <c r="C160" s="30" t="s">
        <v>9</v>
      </c>
      <c r="D160" s="30" t="s">
        <v>1154</v>
      </c>
      <c r="E160" s="30">
        <v>270</v>
      </c>
      <c r="F160" s="30">
        <v>330</v>
      </c>
      <c r="G160" s="30">
        <v>60</v>
      </c>
      <c r="H160" s="30">
        <v>120</v>
      </c>
      <c r="I160" s="30">
        <v>7200</v>
      </c>
      <c r="J160" s="12"/>
      <c r="K160" s="10"/>
      <c r="L160" s="10"/>
      <c r="M160" s="10"/>
      <c r="N160" s="10"/>
      <c r="O160" s="10"/>
    </row>
    <row r="161" spans="1:15" x14ac:dyDescent="0.3">
      <c r="A161" s="12"/>
      <c r="B161" s="43">
        <v>42708</v>
      </c>
      <c r="C161" s="30" t="s">
        <v>9</v>
      </c>
      <c r="D161" s="30" t="s">
        <v>1320</v>
      </c>
      <c r="E161" s="30">
        <v>300</v>
      </c>
      <c r="F161" s="30">
        <v>340</v>
      </c>
      <c r="G161" s="30">
        <v>40</v>
      </c>
      <c r="H161" s="30">
        <v>120</v>
      </c>
      <c r="I161" s="30">
        <v>4800</v>
      </c>
      <c r="J161" s="12"/>
      <c r="K161" s="10"/>
      <c r="L161" s="10"/>
      <c r="M161" s="10"/>
      <c r="N161" s="10"/>
      <c r="O161" s="10"/>
    </row>
    <row r="162" spans="1:15" x14ac:dyDescent="0.3">
      <c r="A162" s="12"/>
      <c r="B162" s="43" t="s">
        <v>1360</v>
      </c>
      <c r="C162" s="30" t="s">
        <v>9</v>
      </c>
      <c r="D162" s="30" t="s">
        <v>1366</v>
      </c>
      <c r="E162" s="30">
        <v>290</v>
      </c>
      <c r="F162" s="30">
        <v>340</v>
      </c>
      <c r="G162" s="30">
        <v>50</v>
      </c>
      <c r="H162" s="30">
        <v>120</v>
      </c>
      <c r="I162" s="30">
        <v>6000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 t="s">
        <v>1367</v>
      </c>
      <c r="C163" s="30" t="s">
        <v>11</v>
      </c>
      <c r="D163" s="30" t="s">
        <v>1358</v>
      </c>
      <c r="E163" s="30">
        <v>270</v>
      </c>
      <c r="F163" s="30">
        <v>220</v>
      </c>
      <c r="G163" s="30">
        <v>-50</v>
      </c>
      <c r="H163" s="30">
        <v>120</v>
      </c>
      <c r="I163" s="30">
        <v>-6000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 t="s">
        <v>1368</v>
      </c>
      <c r="C164" s="30" t="s">
        <v>9</v>
      </c>
      <c r="D164" s="30" t="s">
        <v>1375</v>
      </c>
      <c r="E164" s="30">
        <v>230</v>
      </c>
      <c r="F164" s="30">
        <v>265</v>
      </c>
      <c r="G164" s="30">
        <v>35</v>
      </c>
      <c r="H164" s="30">
        <v>120</v>
      </c>
      <c r="I164" s="30">
        <v>4200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 t="s">
        <v>1369</v>
      </c>
      <c r="C165" s="30" t="s">
        <v>9</v>
      </c>
      <c r="D165" s="30" t="s">
        <v>1376</v>
      </c>
      <c r="E165" s="30">
        <v>270</v>
      </c>
      <c r="F165" s="30">
        <v>170</v>
      </c>
      <c r="G165" s="30">
        <v>-100</v>
      </c>
      <c r="H165" s="30">
        <v>120</v>
      </c>
      <c r="I165" s="30">
        <v>-12000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87" t="s">
        <v>1371</v>
      </c>
      <c r="C166" s="30" t="s">
        <v>9</v>
      </c>
      <c r="D166" s="30" t="s">
        <v>1376</v>
      </c>
      <c r="E166" s="30">
        <v>190</v>
      </c>
      <c r="F166" s="30">
        <v>250</v>
      </c>
      <c r="G166" s="30">
        <v>60</v>
      </c>
      <c r="H166" s="30">
        <v>120</v>
      </c>
      <c r="I166" s="30">
        <v>7200</v>
      </c>
      <c r="J166" s="12"/>
      <c r="K166" s="10"/>
      <c r="L166" s="10"/>
      <c r="M166" s="10"/>
      <c r="N166" s="10"/>
      <c r="O166" s="10"/>
    </row>
    <row r="167" spans="1:15" x14ac:dyDescent="0.3">
      <c r="A167" s="12"/>
      <c r="B167" s="30" t="s">
        <v>1377</v>
      </c>
      <c r="C167" s="30" t="s">
        <v>9</v>
      </c>
      <c r="D167" s="30" t="s">
        <v>1387</v>
      </c>
      <c r="E167" s="30">
        <v>150</v>
      </c>
      <c r="F167" s="30">
        <v>190</v>
      </c>
      <c r="G167" s="30">
        <v>40</v>
      </c>
      <c r="H167" s="30">
        <v>120</v>
      </c>
      <c r="I167" s="30">
        <v>4800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30" t="s">
        <v>1378</v>
      </c>
      <c r="C168" s="30" t="s">
        <v>9</v>
      </c>
      <c r="D168" s="30" t="s">
        <v>1387</v>
      </c>
      <c r="E168" s="30">
        <v>160</v>
      </c>
      <c r="F168" s="30">
        <v>100</v>
      </c>
      <c r="G168" s="30">
        <v>-60</v>
      </c>
      <c r="H168" s="30">
        <v>120</v>
      </c>
      <c r="I168" s="30">
        <v>-7200</v>
      </c>
      <c r="J168" s="12"/>
      <c r="K168" s="10"/>
      <c r="L168" s="10"/>
      <c r="M168" s="10"/>
      <c r="N168" s="10"/>
      <c r="O168" s="10"/>
    </row>
    <row r="169" spans="1:15" x14ac:dyDescent="0.3">
      <c r="A169" s="12"/>
      <c r="B169" s="30" t="s">
        <v>1379</v>
      </c>
      <c r="C169" s="30" t="s">
        <v>9</v>
      </c>
      <c r="D169" s="30" t="s">
        <v>1388</v>
      </c>
      <c r="E169" s="30">
        <v>150</v>
      </c>
      <c r="F169" s="30">
        <v>80</v>
      </c>
      <c r="G169" s="30">
        <v>70</v>
      </c>
      <c r="H169" s="30">
        <v>120</v>
      </c>
      <c r="I169" s="30">
        <v>-8400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30" t="s">
        <v>1380</v>
      </c>
      <c r="C170" s="30" t="s">
        <v>9</v>
      </c>
      <c r="D170" s="30" t="s">
        <v>1389</v>
      </c>
      <c r="E170" s="30">
        <v>390</v>
      </c>
      <c r="F170" s="30">
        <v>515</v>
      </c>
      <c r="G170" s="30">
        <v>125</v>
      </c>
      <c r="H170" s="30">
        <v>120</v>
      </c>
      <c r="I170" s="30">
        <v>15000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30" t="s">
        <v>1381</v>
      </c>
      <c r="C171" s="30" t="s">
        <v>9</v>
      </c>
      <c r="D171" s="30" t="s">
        <v>1387</v>
      </c>
      <c r="E171" s="30">
        <v>340</v>
      </c>
      <c r="F171" s="30">
        <v>430</v>
      </c>
      <c r="G171" s="30">
        <v>90</v>
      </c>
      <c r="H171" s="30">
        <v>120</v>
      </c>
      <c r="I171" s="30">
        <v>10800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30"/>
      <c r="C172" s="30"/>
      <c r="D172" s="30"/>
      <c r="E172" s="30"/>
      <c r="F172" s="30"/>
      <c r="G172" s="30"/>
      <c r="H172" s="30"/>
      <c r="I172" s="30"/>
      <c r="J172" s="12"/>
      <c r="K172" s="10"/>
      <c r="L172" s="10"/>
      <c r="M172" s="10"/>
      <c r="N172" s="10"/>
      <c r="O172" s="10"/>
    </row>
    <row r="173" spans="1:15" ht="18" x14ac:dyDescent="0.35">
      <c r="A173" s="12"/>
      <c r="B173" s="10"/>
      <c r="C173" s="10"/>
      <c r="D173" s="10"/>
      <c r="E173" s="10"/>
      <c r="F173" s="10"/>
      <c r="G173" s="10"/>
      <c r="H173" s="10"/>
      <c r="I173" s="72">
        <v>61800</v>
      </c>
      <c r="J173" s="12"/>
      <c r="K173" s="10"/>
      <c r="L173" s="10"/>
      <c r="M173" s="10"/>
      <c r="N173" s="10"/>
      <c r="O173" s="10"/>
    </row>
    <row r="174" spans="1:15" ht="25.8" x14ac:dyDescent="0.5">
      <c r="A174" s="12"/>
      <c r="B174" s="10"/>
      <c r="C174" s="10"/>
      <c r="D174" s="10"/>
      <c r="E174" s="10"/>
      <c r="F174" s="10"/>
      <c r="G174" s="10"/>
      <c r="H174" s="10"/>
      <c r="I174" s="114"/>
      <c r="J174" s="12"/>
      <c r="K174" s="10"/>
      <c r="L174" s="10"/>
      <c r="M174" s="10"/>
      <c r="N174" s="10"/>
      <c r="O174" s="10"/>
    </row>
    <row r="175" spans="1:15" x14ac:dyDescent="0.3">
      <c r="A175" s="12"/>
    </row>
  </sheetData>
  <mergeCells count="8">
    <mergeCell ref="B132:I132"/>
    <mergeCell ref="F148:I148"/>
    <mergeCell ref="B153:I153"/>
    <mergeCell ref="B1:I1"/>
    <mergeCell ref="B2:I2"/>
    <mergeCell ref="B3:I3"/>
    <mergeCell ref="G54:I54"/>
    <mergeCell ref="G117:I117"/>
  </mergeCells>
  <hyperlinks>
    <hyperlink ref="K2" location="'MASTER '!A1" display="Back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201"/>
  <sheetViews>
    <sheetView workbookViewId="0">
      <selection activeCell="M17" sqref="M17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294" t="s">
        <v>241</v>
      </c>
      <c r="C2" s="294"/>
      <c r="D2" s="294"/>
      <c r="E2" s="294"/>
      <c r="F2" s="294"/>
      <c r="G2" s="294"/>
      <c r="H2" s="294"/>
      <c r="I2" s="294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295" t="s">
        <v>1417</v>
      </c>
      <c r="C3" s="295"/>
      <c r="D3" s="295"/>
      <c r="E3" s="295"/>
      <c r="F3" s="295"/>
      <c r="G3" s="295"/>
      <c r="H3" s="295"/>
      <c r="I3" s="295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42405</v>
      </c>
      <c r="C6" s="2" t="s">
        <v>9</v>
      </c>
      <c r="D6" s="2" t="s">
        <v>133</v>
      </c>
      <c r="E6" s="41" t="s">
        <v>1390</v>
      </c>
      <c r="F6" s="40" t="s">
        <v>1391</v>
      </c>
      <c r="G6" s="40" t="s">
        <v>1095</v>
      </c>
      <c r="H6" s="5">
        <v>185</v>
      </c>
      <c r="I6" s="81">
        <v>-370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42405</v>
      </c>
      <c r="C7" s="2" t="s">
        <v>8</v>
      </c>
      <c r="D7" s="2" t="s">
        <v>250</v>
      </c>
      <c r="E7" s="41" t="s">
        <v>1392</v>
      </c>
      <c r="F7" s="40" t="s">
        <v>1393</v>
      </c>
      <c r="G7" s="40" t="s">
        <v>994</v>
      </c>
      <c r="H7" s="5">
        <v>211</v>
      </c>
      <c r="I7" s="81">
        <v>1688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42434</v>
      </c>
      <c r="C8" s="2" t="s">
        <v>9</v>
      </c>
      <c r="D8" s="2" t="s">
        <v>192</v>
      </c>
      <c r="E8" s="41" t="s">
        <v>1271</v>
      </c>
      <c r="F8" s="40" t="s">
        <v>1272</v>
      </c>
      <c r="G8" s="40" t="s">
        <v>908</v>
      </c>
      <c r="H8" s="5">
        <v>1478</v>
      </c>
      <c r="I8" s="81">
        <v>2956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42434</v>
      </c>
      <c r="C9" s="2" t="s">
        <v>8</v>
      </c>
      <c r="D9" s="2" t="s">
        <v>133</v>
      </c>
      <c r="E9" s="41" t="s">
        <v>1394</v>
      </c>
      <c r="F9" s="40" t="s">
        <v>1395</v>
      </c>
      <c r="G9" s="40" t="s">
        <v>945</v>
      </c>
      <c r="H9" s="5">
        <v>186</v>
      </c>
      <c r="I9" s="81">
        <v>6510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42465</v>
      </c>
      <c r="C10" s="2" t="s">
        <v>9</v>
      </c>
      <c r="D10" s="2" t="s">
        <v>192</v>
      </c>
      <c r="E10" s="41" t="s">
        <v>1396</v>
      </c>
      <c r="F10" s="40" t="s">
        <v>1397</v>
      </c>
      <c r="G10" s="40" t="s">
        <v>1398</v>
      </c>
      <c r="H10" s="5">
        <v>1519</v>
      </c>
      <c r="I10" s="81">
        <v>-5316.5</v>
      </c>
      <c r="J10" s="12"/>
      <c r="K10" s="16" t="s">
        <v>449</v>
      </c>
      <c r="L10" s="30">
        <v>42</v>
      </c>
      <c r="M10" s="30">
        <v>30</v>
      </c>
      <c r="N10" s="30">
        <v>9</v>
      </c>
      <c r="O10" s="30">
        <v>3</v>
      </c>
    </row>
    <row r="11" spans="1:15" x14ac:dyDescent="0.3">
      <c r="A11" s="12"/>
      <c r="B11" s="43">
        <v>42465</v>
      </c>
      <c r="C11" s="2" t="s">
        <v>8</v>
      </c>
      <c r="D11" s="2" t="s">
        <v>139</v>
      </c>
      <c r="E11" s="41" t="s">
        <v>1051</v>
      </c>
      <c r="F11" s="40" t="s">
        <v>1399</v>
      </c>
      <c r="G11" s="40" t="s">
        <v>1122</v>
      </c>
      <c r="H11" s="5">
        <v>323</v>
      </c>
      <c r="I11" s="81">
        <v>3876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42495</v>
      </c>
      <c r="C12" s="2" t="s">
        <v>9</v>
      </c>
      <c r="D12" s="2" t="s">
        <v>129</v>
      </c>
      <c r="E12" s="41" t="s">
        <v>1400</v>
      </c>
      <c r="F12" s="40" t="s">
        <v>1401</v>
      </c>
      <c r="G12" s="40" t="s">
        <v>961</v>
      </c>
      <c r="H12" s="5">
        <v>260.86956521739131</v>
      </c>
      <c r="I12" s="81">
        <v>6525</v>
      </c>
      <c r="J12" s="12"/>
      <c r="K12" s="16" t="s">
        <v>450</v>
      </c>
      <c r="L12" s="30">
        <v>21</v>
      </c>
      <c r="M12" s="30">
        <v>17</v>
      </c>
      <c r="N12" s="30">
        <v>2</v>
      </c>
      <c r="O12" s="30">
        <v>2</v>
      </c>
    </row>
    <row r="13" spans="1:15" x14ac:dyDescent="0.3">
      <c r="A13" s="12"/>
      <c r="B13" s="43">
        <v>42495</v>
      </c>
      <c r="C13" s="2" t="s">
        <v>8</v>
      </c>
      <c r="D13" s="2" t="s">
        <v>139</v>
      </c>
      <c r="E13" s="41" t="s">
        <v>1399</v>
      </c>
      <c r="F13" s="40" t="s">
        <v>1402</v>
      </c>
      <c r="G13" s="40" t="s">
        <v>914</v>
      </c>
      <c r="H13" s="5">
        <v>326.79738562091501</v>
      </c>
      <c r="I13" s="81">
        <v>-3270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42526</v>
      </c>
      <c r="C14" s="2" t="s">
        <v>9</v>
      </c>
      <c r="D14" s="2" t="s">
        <v>1418</v>
      </c>
      <c r="E14" s="41" t="s">
        <v>754</v>
      </c>
      <c r="F14" s="40" t="s">
        <v>1419</v>
      </c>
      <c r="G14" s="40" t="s">
        <v>959</v>
      </c>
      <c r="H14" s="5">
        <v>984</v>
      </c>
      <c r="I14" s="81">
        <v>2952</v>
      </c>
      <c r="J14" s="12"/>
      <c r="K14" s="16" t="s">
        <v>451</v>
      </c>
      <c r="L14" s="30">
        <v>21</v>
      </c>
      <c r="M14" s="30">
        <v>17</v>
      </c>
      <c r="N14" s="30">
        <v>3</v>
      </c>
      <c r="O14" s="30">
        <v>1</v>
      </c>
    </row>
    <row r="15" spans="1:15" x14ac:dyDescent="0.3">
      <c r="A15" s="12"/>
      <c r="B15" s="43">
        <v>42526</v>
      </c>
      <c r="C15" s="2" t="s">
        <v>8</v>
      </c>
      <c r="D15" s="2" t="s">
        <v>133</v>
      </c>
      <c r="E15" s="41" t="s">
        <v>1420</v>
      </c>
      <c r="F15" s="40" t="s">
        <v>1421</v>
      </c>
      <c r="G15" s="40" t="s">
        <v>994</v>
      </c>
      <c r="H15" s="5">
        <v>189</v>
      </c>
      <c r="I15" s="81">
        <v>1512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42618</v>
      </c>
      <c r="C16" s="2" t="s">
        <v>9</v>
      </c>
      <c r="D16" s="2" t="s">
        <v>103</v>
      </c>
      <c r="E16" s="41" t="s">
        <v>1027</v>
      </c>
      <c r="F16" s="40" t="s">
        <v>899</v>
      </c>
      <c r="G16" s="40" t="s">
        <v>959</v>
      </c>
      <c r="H16" s="5">
        <v>1775</v>
      </c>
      <c r="I16" s="81">
        <v>5325</v>
      </c>
      <c r="J16" s="12"/>
      <c r="K16" s="16" t="s">
        <v>1176</v>
      </c>
      <c r="L16" s="30">
        <v>21</v>
      </c>
      <c r="M16" s="30">
        <v>16</v>
      </c>
      <c r="N16" s="30">
        <v>4</v>
      </c>
      <c r="O16" s="30">
        <v>1</v>
      </c>
    </row>
    <row r="17" spans="1:15" x14ac:dyDescent="0.3">
      <c r="A17" s="12"/>
      <c r="B17" s="43">
        <v>42618</v>
      </c>
      <c r="C17" s="2" t="s">
        <v>8</v>
      </c>
      <c r="D17" s="2" t="s">
        <v>310</v>
      </c>
      <c r="E17" s="41" t="s">
        <v>1424</v>
      </c>
      <c r="F17" s="40" t="s">
        <v>1425</v>
      </c>
      <c r="G17" s="40" t="s">
        <v>1098</v>
      </c>
      <c r="H17" s="5">
        <v>117</v>
      </c>
      <c r="I17" s="81">
        <v>-3510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42648</v>
      </c>
      <c r="C18" s="2" t="s">
        <v>9</v>
      </c>
      <c r="D18" s="2" t="s">
        <v>1109</v>
      </c>
      <c r="E18" s="41" t="s">
        <v>1051</v>
      </c>
      <c r="F18" s="40" t="s">
        <v>729</v>
      </c>
      <c r="G18" s="40" t="s">
        <v>914</v>
      </c>
      <c r="H18" s="5">
        <v>323</v>
      </c>
      <c r="I18" s="81">
        <v>-3230</v>
      </c>
      <c r="J18" s="12"/>
      <c r="K18" s="16" t="s">
        <v>41</v>
      </c>
      <c r="L18" s="30">
        <v>21</v>
      </c>
      <c r="M18" s="30">
        <v>18</v>
      </c>
      <c r="N18" s="30">
        <v>0</v>
      </c>
      <c r="O18" s="30">
        <v>3</v>
      </c>
    </row>
    <row r="19" spans="1:15" x14ac:dyDescent="0.3">
      <c r="A19" s="12"/>
      <c r="B19" s="43">
        <v>42648</v>
      </c>
      <c r="C19" s="2" t="s">
        <v>8</v>
      </c>
      <c r="D19" s="2" t="s">
        <v>796</v>
      </c>
      <c r="E19" s="41" t="s">
        <v>438</v>
      </c>
      <c r="F19" s="40" t="s">
        <v>1426</v>
      </c>
      <c r="G19" s="40" t="s">
        <v>1025</v>
      </c>
      <c r="H19" s="5">
        <v>229</v>
      </c>
      <c r="I19" s="81">
        <v>2290</v>
      </c>
      <c r="J19" s="12"/>
      <c r="K19" s="16"/>
      <c r="L19" s="30"/>
      <c r="M19" s="30"/>
      <c r="N19" s="30"/>
      <c r="O19" s="30"/>
    </row>
    <row r="20" spans="1:15" x14ac:dyDescent="0.3">
      <c r="A20" s="12"/>
      <c r="B20" s="43">
        <v>42679</v>
      </c>
      <c r="C20" s="2" t="s">
        <v>9</v>
      </c>
      <c r="D20" s="2" t="s">
        <v>139</v>
      </c>
      <c r="E20" s="41" t="s">
        <v>1427</v>
      </c>
      <c r="F20" s="40" t="s">
        <v>1428</v>
      </c>
      <c r="G20" s="40" t="s">
        <v>925</v>
      </c>
      <c r="H20" s="5">
        <v>314</v>
      </c>
      <c r="I20" s="81">
        <v>1570</v>
      </c>
      <c r="J20" s="12"/>
      <c r="K20" s="16" t="s">
        <v>1090</v>
      </c>
      <c r="L20" s="30">
        <v>19</v>
      </c>
      <c r="M20" s="30">
        <v>11</v>
      </c>
      <c r="N20" s="30">
        <v>6</v>
      </c>
      <c r="O20" s="30">
        <v>2</v>
      </c>
    </row>
    <row r="21" spans="1:15" x14ac:dyDescent="0.3">
      <c r="A21" s="12"/>
      <c r="B21" s="43">
        <v>42679</v>
      </c>
      <c r="C21" s="2" t="s">
        <v>8</v>
      </c>
      <c r="D21" s="2" t="s">
        <v>99</v>
      </c>
      <c r="E21" s="41" t="s">
        <v>1429</v>
      </c>
      <c r="F21" s="40" t="s">
        <v>1430</v>
      </c>
      <c r="G21" s="40" t="s">
        <v>959</v>
      </c>
      <c r="H21" s="5">
        <v>938</v>
      </c>
      <c r="I21" s="81">
        <v>2814</v>
      </c>
      <c r="J21" s="12"/>
    </row>
    <row r="22" spans="1:15" x14ac:dyDescent="0.3">
      <c r="A22" s="12"/>
      <c r="B22" s="43">
        <v>42709</v>
      </c>
      <c r="C22" s="2" t="s">
        <v>9</v>
      </c>
      <c r="D22" s="2" t="s">
        <v>58</v>
      </c>
      <c r="E22" s="41" t="s">
        <v>1431</v>
      </c>
      <c r="F22" s="40" t="s">
        <v>1432</v>
      </c>
      <c r="G22" s="40" t="s">
        <v>1043</v>
      </c>
      <c r="H22" s="5">
        <v>594</v>
      </c>
      <c r="I22" s="81">
        <v>-2970</v>
      </c>
      <c r="J22" s="12"/>
      <c r="K22" s="16" t="s">
        <v>1175</v>
      </c>
      <c r="L22" s="30">
        <v>21</v>
      </c>
      <c r="M22" s="30">
        <v>17</v>
      </c>
      <c r="N22" s="30">
        <v>3</v>
      </c>
      <c r="O22" s="30">
        <v>1</v>
      </c>
    </row>
    <row r="23" spans="1:15" x14ac:dyDescent="0.3">
      <c r="A23" s="12"/>
      <c r="B23" s="43">
        <v>42709</v>
      </c>
      <c r="C23" s="2" t="s">
        <v>8</v>
      </c>
      <c r="D23" s="2" t="s">
        <v>78</v>
      </c>
      <c r="E23" s="41" t="s">
        <v>1433</v>
      </c>
      <c r="F23" s="40" t="s">
        <v>1048</v>
      </c>
      <c r="G23" s="40" t="s">
        <v>951</v>
      </c>
      <c r="H23" s="5">
        <v>226</v>
      </c>
      <c r="I23" s="81">
        <v>3390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 t="s">
        <v>1434</v>
      </c>
      <c r="C24" s="2" t="s">
        <v>9</v>
      </c>
      <c r="D24" s="2" t="s">
        <v>31</v>
      </c>
      <c r="E24" s="41" t="s">
        <v>1435</v>
      </c>
      <c r="F24" s="40" t="s">
        <v>1436</v>
      </c>
      <c r="G24" s="40" t="s">
        <v>997</v>
      </c>
      <c r="H24" s="5">
        <v>305</v>
      </c>
      <c r="I24" s="81">
        <v>1220</v>
      </c>
      <c r="J24" s="12"/>
      <c r="K24" s="16" t="s">
        <v>946</v>
      </c>
      <c r="L24" s="21">
        <f>SUM(L10:L22)</f>
        <v>166</v>
      </c>
      <c r="M24" s="21">
        <f t="shared" ref="M24:O24" si="0">SUM(M10:M22)</f>
        <v>126</v>
      </c>
      <c r="N24" s="21">
        <f t="shared" si="0"/>
        <v>27</v>
      </c>
      <c r="O24" s="21">
        <f t="shared" si="0"/>
        <v>13</v>
      </c>
    </row>
    <row r="25" spans="1:15" x14ac:dyDescent="0.3">
      <c r="A25" s="12"/>
      <c r="B25" s="43" t="s">
        <v>1434</v>
      </c>
      <c r="C25" s="2" t="s">
        <v>8</v>
      </c>
      <c r="D25" s="2" t="s">
        <v>78</v>
      </c>
      <c r="E25" s="41" t="s">
        <v>1437</v>
      </c>
      <c r="F25" s="40" t="s">
        <v>1438</v>
      </c>
      <c r="G25" s="40" t="s">
        <v>1192</v>
      </c>
      <c r="H25" s="5">
        <v>232</v>
      </c>
      <c r="I25" s="81">
        <v>3016</v>
      </c>
      <c r="J25" s="12"/>
      <c r="K25" s="16"/>
      <c r="L25" s="30"/>
      <c r="M25" s="30"/>
      <c r="N25" s="30"/>
      <c r="O25" s="30"/>
    </row>
    <row r="26" spans="1:15" x14ac:dyDescent="0.3">
      <c r="A26" s="12"/>
      <c r="B26" s="43" t="s">
        <v>1453</v>
      </c>
      <c r="C26" s="2" t="s">
        <v>9</v>
      </c>
      <c r="D26" s="2" t="s">
        <v>99</v>
      </c>
      <c r="E26" s="41" t="s">
        <v>1445</v>
      </c>
      <c r="F26" s="40" t="s">
        <v>1446</v>
      </c>
      <c r="G26" s="40" t="s">
        <v>1011</v>
      </c>
      <c r="H26" s="5">
        <v>939</v>
      </c>
      <c r="I26" s="81">
        <v>6573</v>
      </c>
      <c r="J26" s="12"/>
      <c r="K26" s="120"/>
      <c r="L26" s="50"/>
      <c r="M26" s="50"/>
      <c r="N26" s="50"/>
      <c r="O26" s="50"/>
    </row>
    <row r="27" spans="1:15" x14ac:dyDescent="0.3">
      <c r="A27" s="12"/>
      <c r="B27" s="43" t="s">
        <v>1453</v>
      </c>
      <c r="C27" s="2" t="s">
        <v>8</v>
      </c>
      <c r="D27" s="2" t="s">
        <v>78</v>
      </c>
      <c r="E27" s="41" t="s">
        <v>1447</v>
      </c>
      <c r="F27" s="40" t="s">
        <v>1448</v>
      </c>
      <c r="G27" s="40" t="s">
        <v>1016</v>
      </c>
      <c r="H27" s="5">
        <v>233</v>
      </c>
      <c r="I27" s="81">
        <v>3728</v>
      </c>
      <c r="J27" s="12"/>
      <c r="K27" s="68" t="s">
        <v>947</v>
      </c>
      <c r="L27" s="83"/>
      <c r="M27" s="119">
        <v>0.75900000000000001</v>
      </c>
      <c r="N27" s="50"/>
      <c r="O27" s="50"/>
    </row>
    <row r="28" spans="1:15" x14ac:dyDescent="0.3">
      <c r="A28" s="12"/>
      <c r="B28" s="43" t="s">
        <v>1454</v>
      </c>
      <c r="C28" s="2" t="s">
        <v>9</v>
      </c>
      <c r="D28" s="2" t="s">
        <v>78</v>
      </c>
      <c r="E28" s="41" t="s">
        <v>1449</v>
      </c>
      <c r="F28" s="40" t="s">
        <v>1450</v>
      </c>
      <c r="G28" s="40" t="s">
        <v>1025</v>
      </c>
      <c r="H28" s="5">
        <v>231</v>
      </c>
      <c r="I28" s="81">
        <v>2310</v>
      </c>
      <c r="J28" s="12"/>
      <c r="K28" s="120"/>
      <c r="L28" s="50"/>
      <c r="M28" s="50"/>
      <c r="N28" s="50"/>
      <c r="O28" s="50"/>
    </row>
    <row r="29" spans="1:15" x14ac:dyDescent="0.3">
      <c r="A29" s="12"/>
      <c r="B29" s="43" t="s">
        <v>1454</v>
      </c>
      <c r="C29" s="2" t="s">
        <v>8</v>
      </c>
      <c r="D29" s="2" t="s">
        <v>19</v>
      </c>
      <c r="E29" s="41" t="s">
        <v>1451</v>
      </c>
      <c r="F29" s="40" t="s">
        <v>1455</v>
      </c>
      <c r="G29" s="40" t="s">
        <v>1456</v>
      </c>
      <c r="H29" s="5">
        <v>1709</v>
      </c>
      <c r="I29" s="81">
        <v>-2563</v>
      </c>
      <c r="J29" s="12"/>
      <c r="K29" s="120"/>
      <c r="L29" s="50"/>
      <c r="M29" s="50"/>
      <c r="N29" s="50"/>
      <c r="O29" s="50"/>
    </row>
    <row r="30" spans="1:15" x14ac:dyDescent="0.3">
      <c r="A30" s="12"/>
      <c r="B30" s="43" t="s">
        <v>1457</v>
      </c>
      <c r="C30" s="2" t="s">
        <v>9</v>
      </c>
      <c r="D30" s="2" t="s">
        <v>78</v>
      </c>
      <c r="E30" s="41" t="s">
        <v>1437</v>
      </c>
      <c r="F30" s="40" t="s">
        <v>438</v>
      </c>
      <c r="G30" s="40" t="s">
        <v>951</v>
      </c>
      <c r="H30" s="5">
        <v>232</v>
      </c>
      <c r="I30" s="81">
        <v>3480</v>
      </c>
      <c r="J30" s="12"/>
      <c r="K30" s="120"/>
      <c r="L30" s="50"/>
      <c r="M30" s="50"/>
      <c r="N30" s="50"/>
      <c r="O30" s="50"/>
    </row>
    <row r="31" spans="1:15" x14ac:dyDescent="0.3">
      <c r="A31" s="12"/>
      <c r="B31" s="43" t="s">
        <v>1457</v>
      </c>
      <c r="C31" s="2" t="s">
        <v>8</v>
      </c>
      <c r="D31" s="2" t="s">
        <v>94</v>
      </c>
      <c r="E31" s="41" t="s">
        <v>559</v>
      </c>
      <c r="F31" s="40" t="s">
        <v>1458</v>
      </c>
      <c r="G31" s="40" t="s">
        <v>1269</v>
      </c>
      <c r="H31" s="5">
        <v>264</v>
      </c>
      <c r="I31" s="81">
        <v>-792</v>
      </c>
      <c r="J31" s="12"/>
      <c r="K31" s="120"/>
      <c r="L31" s="50"/>
      <c r="M31" s="50"/>
      <c r="N31" s="50"/>
      <c r="O31" s="50"/>
    </row>
    <row r="32" spans="1:15" x14ac:dyDescent="0.3">
      <c r="A32" s="12"/>
      <c r="B32" s="43" t="s">
        <v>1459</v>
      </c>
      <c r="C32" s="2" t="s">
        <v>9</v>
      </c>
      <c r="D32" s="2" t="s">
        <v>365</v>
      </c>
      <c r="E32" s="41" t="s">
        <v>1460</v>
      </c>
      <c r="F32" s="40" t="s">
        <v>1461</v>
      </c>
      <c r="G32" s="40" t="s">
        <v>1341</v>
      </c>
      <c r="H32" s="5">
        <v>225</v>
      </c>
      <c r="I32" s="81">
        <v>1350</v>
      </c>
      <c r="J32" s="12"/>
      <c r="K32" s="120"/>
      <c r="L32" s="50"/>
      <c r="M32" s="50"/>
      <c r="N32" s="50"/>
      <c r="O32" s="50"/>
    </row>
    <row r="33" spans="1:15" x14ac:dyDescent="0.3">
      <c r="A33" s="12"/>
      <c r="B33" s="43" t="s">
        <v>1459</v>
      </c>
      <c r="C33" s="2" t="s">
        <v>8</v>
      </c>
      <c r="D33" s="2" t="s">
        <v>99</v>
      </c>
      <c r="E33" s="41" t="s">
        <v>1446</v>
      </c>
      <c r="F33" s="40" t="s">
        <v>1462</v>
      </c>
      <c r="G33" s="40" t="s">
        <v>959</v>
      </c>
      <c r="H33" s="5">
        <v>919</v>
      </c>
      <c r="I33" s="81">
        <v>2757</v>
      </c>
      <c r="J33" s="12"/>
      <c r="K33" s="120"/>
      <c r="L33" s="50"/>
      <c r="M33" s="50"/>
      <c r="N33" s="50"/>
      <c r="O33" s="50"/>
    </row>
    <row r="34" spans="1:15" x14ac:dyDescent="0.3">
      <c r="A34" s="12"/>
      <c r="B34" s="43" t="s">
        <v>1463</v>
      </c>
      <c r="C34" s="2" t="s">
        <v>9</v>
      </c>
      <c r="D34" s="2" t="s">
        <v>31</v>
      </c>
      <c r="E34" s="41" t="s">
        <v>1464</v>
      </c>
      <c r="F34" s="40" t="s">
        <v>1465</v>
      </c>
      <c r="G34" s="40" t="s">
        <v>914</v>
      </c>
      <c r="H34" s="5">
        <v>315</v>
      </c>
      <c r="I34" s="81">
        <v>-3150</v>
      </c>
      <c r="J34" s="12"/>
      <c r="K34" s="120"/>
      <c r="L34" s="50"/>
      <c r="M34" s="50"/>
      <c r="N34" s="50"/>
      <c r="O34" s="50"/>
    </row>
    <row r="35" spans="1:15" x14ac:dyDescent="0.3">
      <c r="A35" s="12"/>
      <c r="B35" s="43" t="s">
        <v>1463</v>
      </c>
      <c r="C35" s="2" t="s">
        <v>9</v>
      </c>
      <c r="D35" s="2" t="s">
        <v>94</v>
      </c>
      <c r="E35" s="41" t="s">
        <v>1466</v>
      </c>
      <c r="F35" s="40" t="s">
        <v>1467</v>
      </c>
      <c r="G35" s="40" t="s">
        <v>1405</v>
      </c>
      <c r="H35" s="5">
        <v>262</v>
      </c>
      <c r="I35" s="81">
        <v>-1048</v>
      </c>
      <c r="J35" s="12"/>
      <c r="K35" s="120"/>
      <c r="L35" s="50"/>
      <c r="M35" s="50"/>
      <c r="N35" s="50"/>
      <c r="O35" s="50"/>
    </row>
    <row r="36" spans="1:15" x14ac:dyDescent="0.3">
      <c r="A36" s="12"/>
      <c r="B36" s="43">
        <v>42513</v>
      </c>
      <c r="C36" s="2" t="s">
        <v>9</v>
      </c>
      <c r="D36" s="2" t="s">
        <v>117</v>
      </c>
      <c r="E36" s="41" t="s">
        <v>970</v>
      </c>
      <c r="F36" s="40" t="s">
        <v>1470</v>
      </c>
      <c r="G36" s="40" t="s">
        <v>908</v>
      </c>
      <c r="H36" s="5">
        <v>1422</v>
      </c>
      <c r="I36" s="81">
        <v>2844</v>
      </c>
      <c r="J36" s="12"/>
      <c r="K36" s="120"/>
      <c r="L36" s="50"/>
      <c r="M36" s="50"/>
      <c r="N36" s="50"/>
      <c r="O36" s="50"/>
    </row>
    <row r="37" spans="1:15" x14ac:dyDescent="0.3">
      <c r="A37" s="12"/>
      <c r="B37" s="43">
        <v>42513</v>
      </c>
      <c r="C37" s="2" t="s">
        <v>8</v>
      </c>
      <c r="D37" s="2" t="s">
        <v>78</v>
      </c>
      <c r="E37" s="41" t="s">
        <v>1471</v>
      </c>
      <c r="F37" s="40" t="s">
        <v>1472</v>
      </c>
      <c r="G37" s="40" t="s">
        <v>1192</v>
      </c>
      <c r="H37" s="5">
        <v>240</v>
      </c>
      <c r="I37" s="81">
        <v>3120</v>
      </c>
      <c r="J37" s="12"/>
      <c r="K37" s="120"/>
      <c r="L37" s="50"/>
      <c r="M37" s="50"/>
      <c r="N37" s="50"/>
      <c r="O37" s="50"/>
    </row>
    <row r="38" spans="1:15" x14ac:dyDescent="0.3">
      <c r="A38" s="12"/>
      <c r="B38" s="43">
        <v>42514</v>
      </c>
      <c r="C38" s="2" t="s">
        <v>9</v>
      </c>
      <c r="D38" s="2" t="s">
        <v>117</v>
      </c>
      <c r="E38" s="41" t="s">
        <v>1473</v>
      </c>
      <c r="F38" s="40" t="s">
        <v>1474</v>
      </c>
      <c r="G38" s="40" t="s">
        <v>908</v>
      </c>
      <c r="H38" s="5">
        <v>1402</v>
      </c>
      <c r="I38" s="81">
        <v>2804</v>
      </c>
      <c r="J38" s="12"/>
      <c r="K38" s="120"/>
      <c r="L38" s="50"/>
      <c r="M38" s="50"/>
      <c r="N38" s="50"/>
      <c r="O38" s="50"/>
    </row>
    <row r="39" spans="1:15" x14ac:dyDescent="0.3">
      <c r="A39" s="12"/>
      <c r="B39" s="43">
        <v>42514</v>
      </c>
      <c r="C39" s="2" t="s">
        <v>8</v>
      </c>
      <c r="D39" s="2" t="s">
        <v>1475</v>
      </c>
      <c r="E39" s="41" t="s">
        <v>1476</v>
      </c>
      <c r="F39" s="40" t="s">
        <v>1477</v>
      </c>
      <c r="G39" s="40" t="s">
        <v>925</v>
      </c>
      <c r="H39" s="5">
        <v>513</v>
      </c>
      <c r="I39" s="81">
        <v>2565</v>
      </c>
      <c r="J39" s="12"/>
      <c r="K39" s="120"/>
      <c r="L39" s="50"/>
      <c r="M39" s="50"/>
      <c r="N39" s="50"/>
      <c r="O39" s="50"/>
    </row>
    <row r="40" spans="1:15" x14ac:dyDescent="0.3">
      <c r="A40" s="12"/>
      <c r="B40" s="43">
        <v>42515</v>
      </c>
      <c r="C40" s="2" t="s">
        <v>9</v>
      </c>
      <c r="D40" s="2" t="s">
        <v>117</v>
      </c>
      <c r="E40" s="41" t="s">
        <v>1053</v>
      </c>
      <c r="F40" s="40" t="s">
        <v>1478</v>
      </c>
      <c r="G40" s="40" t="s">
        <v>959</v>
      </c>
      <c r="H40" s="5">
        <v>1364</v>
      </c>
      <c r="I40" s="81">
        <v>4092</v>
      </c>
      <c r="J40" s="12"/>
      <c r="K40" s="120"/>
      <c r="L40" s="50"/>
      <c r="M40" s="50"/>
      <c r="N40" s="50"/>
      <c r="O40" s="50"/>
    </row>
    <row r="41" spans="1:15" x14ac:dyDescent="0.3">
      <c r="A41" s="12"/>
      <c r="B41" s="43">
        <v>42515</v>
      </c>
      <c r="C41" s="2" t="s">
        <v>8</v>
      </c>
      <c r="D41" s="2" t="s">
        <v>1109</v>
      </c>
      <c r="E41" s="41" t="s">
        <v>1479</v>
      </c>
      <c r="F41" s="40" t="s">
        <v>1480</v>
      </c>
      <c r="G41" s="40" t="s">
        <v>1481</v>
      </c>
      <c r="H41" s="5">
        <v>366</v>
      </c>
      <c r="I41" s="81">
        <v>4026</v>
      </c>
      <c r="J41" s="12"/>
      <c r="K41" s="120"/>
      <c r="L41" s="50"/>
      <c r="M41" s="50"/>
      <c r="N41" s="50"/>
      <c r="O41" s="50"/>
    </row>
    <row r="42" spans="1:15" x14ac:dyDescent="0.3">
      <c r="A42" s="12"/>
      <c r="B42" s="43">
        <v>42516</v>
      </c>
      <c r="C42" s="2" t="s">
        <v>9</v>
      </c>
      <c r="D42" s="2" t="s">
        <v>94</v>
      </c>
      <c r="E42" s="41" t="s">
        <v>1482</v>
      </c>
      <c r="F42" s="40" t="s">
        <v>1483</v>
      </c>
      <c r="G42" s="40" t="s">
        <v>925</v>
      </c>
      <c r="H42" s="5">
        <v>255</v>
      </c>
      <c r="I42" s="81">
        <v>1275</v>
      </c>
      <c r="J42" s="12"/>
      <c r="K42" s="120"/>
      <c r="L42" s="50"/>
      <c r="M42" s="50"/>
      <c r="N42" s="50"/>
      <c r="O42" s="50"/>
    </row>
    <row r="43" spans="1:15" x14ac:dyDescent="0.3">
      <c r="A43" s="12"/>
      <c r="B43" s="43">
        <v>42516</v>
      </c>
      <c r="C43" s="2" t="s">
        <v>9</v>
      </c>
      <c r="D43" s="2" t="s">
        <v>192</v>
      </c>
      <c r="E43" s="41" t="s">
        <v>1484</v>
      </c>
      <c r="F43" s="40" t="s">
        <v>256</v>
      </c>
      <c r="G43" s="40" t="s">
        <v>1337</v>
      </c>
      <c r="H43" s="5">
        <v>1539</v>
      </c>
      <c r="I43" s="81">
        <v>6926</v>
      </c>
      <c r="J43" s="12"/>
      <c r="K43" s="120"/>
      <c r="L43" s="50"/>
      <c r="M43" s="50"/>
      <c r="N43" s="50"/>
      <c r="O43" s="50"/>
    </row>
    <row r="44" spans="1:15" x14ac:dyDescent="0.3">
      <c r="A44" s="12"/>
      <c r="B44" s="43">
        <v>42517</v>
      </c>
      <c r="C44" s="2" t="s">
        <v>9</v>
      </c>
      <c r="D44" s="2" t="s">
        <v>630</v>
      </c>
      <c r="E44" s="41" t="s">
        <v>702</v>
      </c>
      <c r="F44" s="40" t="s">
        <v>1485</v>
      </c>
      <c r="G44" s="40" t="s">
        <v>1405</v>
      </c>
      <c r="H44" s="5">
        <v>858</v>
      </c>
      <c r="I44" s="81">
        <v>-3432</v>
      </c>
      <c r="J44" s="12"/>
      <c r="K44" s="120"/>
      <c r="L44" s="50"/>
      <c r="M44" s="50"/>
      <c r="N44" s="50"/>
      <c r="O44" s="50"/>
    </row>
    <row r="45" spans="1:15" x14ac:dyDescent="0.3">
      <c r="A45" s="12"/>
      <c r="B45" s="43">
        <v>42517</v>
      </c>
      <c r="C45" s="2" t="s">
        <v>8</v>
      </c>
      <c r="D45" s="2" t="s">
        <v>99</v>
      </c>
      <c r="E45" s="41" t="s">
        <v>1486</v>
      </c>
      <c r="F45" s="40" t="s">
        <v>780</v>
      </c>
      <c r="G45" s="40" t="s">
        <v>1405</v>
      </c>
      <c r="H45" s="5">
        <v>838</v>
      </c>
      <c r="I45" s="81">
        <v>-3352</v>
      </c>
      <c r="J45" s="12"/>
      <c r="K45" s="120"/>
      <c r="L45" s="50"/>
      <c r="M45" s="50"/>
      <c r="N45" s="50"/>
      <c r="O45" s="50"/>
    </row>
    <row r="46" spans="1:15" x14ac:dyDescent="0.3">
      <c r="A46" s="12"/>
      <c r="B46" s="43">
        <v>42520</v>
      </c>
      <c r="C46" s="2" t="s">
        <v>9</v>
      </c>
      <c r="D46" s="2" t="s">
        <v>99</v>
      </c>
      <c r="E46" s="41" t="s">
        <v>319</v>
      </c>
      <c r="F46" s="40" t="s">
        <v>1486</v>
      </c>
      <c r="G46" s="40" t="s">
        <v>1120</v>
      </c>
      <c r="H46" s="5">
        <v>842</v>
      </c>
      <c r="I46" s="81">
        <v>1263</v>
      </c>
      <c r="J46" s="12"/>
      <c r="K46" s="120"/>
      <c r="L46" s="50"/>
      <c r="M46" s="50"/>
      <c r="N46" s="50"/>
      <c r="O46" s="50"/>
    </row>
    <row r="47" spans="1:15" x14ac:dyDescent="0.3">
      <c r="A47" s="12"/>
      <c r="B47" s="43">
        <v>42520</v>
      </c>
      <c r="C47" s="2" t="s">
        <v>8</v>
      </c>
      <c r="D47" s="2" t="s">
        <v>146</v>
      </c>
      <c r="E47" s="41" t="s">
        <v>1493</v>
      </c>
      <c r="F47" s="40" t="s">
        <v>1494</v>
      </c>
      <c r="G47" s="40" t="s">
        <v>920</v>
      </c>
      <c r="H47" s="5">
        <v>2158</v>
      </c>
      <c r="I47" s="81">
        <v>2158</v>
      </c>
      <c r="J47" s="12"/>
      <c r="K47" s="120"/>
      <c r="L47" s="50"/>
      <c r="M47" s="50"/>
      <c r="N47" s="50"/>
      <c r="O47" s="50"/>
    </row>
    <row r="48" spans="1:15" x14ac:dyDescent="0.3">
      <c r="A48" s="12"/>
      <c r="B48" s="43"/>
      <c r="C48" s="2"/>
      <c r="D48" s="28"/>
      <c r="E48" s="30"/>
      <c r="F48" s="30"/>
      <c r="G48" s="30"/>
      <c r="H48" s="5"/>
      <c r="I48" s="81"/>
      <c r="J48" s="12"/>
    </row>
    <row r="49" spans="1:15" ht="18" x14ac:dyDescent="0.35">
      <c r="A49" s="12"/>
      <c r="B49" s="10"/>
      <c r="C49" s="2"/>
      <c r="D49" s="28"/>
      <c r="E49" s="30"/>
      <c r="F49" s="30"/>
      <c r="G49" s="30"/>
      <c r="H49" s="30"/>
      <c r="I49" s="98">
        <v>63912</v>
      </c>
      <c r="J49" s="12"/>
    </row>
    <row r="50" spans="1:15" x14ac:dyDescent="0.3">
      <c r="A50" s="12"/>
      <c r="B50" s="10"/>
      <c r="C50" s="10"/>
      <c r="D50" s="10"/>
      <c r="E50" s="10"/>
      <c r="F50" s="10"/>
      <c r="G50" s="10"/>
      <c r="H50" s="10"/>
      <c r="I50" s="96"/>
      <c r="J50" s="12"/>
    </row>
    <row r="51" spans="1:15" x14ac:dyDescent="0.3">
      <c r="A51" s="12"/>
      <c r="B51" s="106" t="s">
        <v>62</v>
      </c>
      <c r="C51" s="106"/>
      <c r="D51" s="106"/>
      <c r="E51" s="106"/>
      <c r="F51" s="106"/>
      <c r="G51" s="106"/>
      <c r="H51" s="106"/>
      <c r="I51" s="106"/>
      <c r="J51" s="12"/>
    </row>
    <row r="52" spans="1:15" x14ac:dyDescent="0.3">
      <c r="A52" s="12"/>
      <c r="B52" s="43">
        <v>42405</v>
      </c>
      <c r="C52" s="2" t="s">
        <v>9</v>
      </c>
      <c r="D52" s="2" t="s">
        <v>341</v>
      </c>
      <c r="E52" s="41" t="s">
        <v>868</v>
      </c>
      <c r="F52" s="40" t="s">
        <v>1343</v>
      </c>
      <c r="G52" s="40" t="s">
        <v>1011</v>
      </c>
      <c r="H52" s="5">
        <v>2000</v>
      </c>
      <c r="I52" s="40" t="s">
        <v>1403</v>
      </c>
      <c r="J52" s="12"/>
    </row>
    <row r="53" spans="1:15" x14ac:dyDescent="0.3">
      <c r="A53" s="12"/>
      <c r="B53" s="43">
        <v>42434</v>
      </c>
      <c r="C53" s="2" t="s">
        <v>8</v>
      </c>
      <c r="D53" s="2" t="s">
        <v>341</v>
      </c>
      <c r="E53" s="41" t="s">
        <v>1343</v>
      </c>
      <c r="F53" s="40" t="s">
        <v>1404</v>
      </c>
      <c r="G53" s="40" t="s">
        <v>1405</v>
      </c>
      <c r="H53" s="5">
        <v>2000</v>
      </c>
      <c r="I53" s="40" t="s">
        <v>1406</v>
      </c>
      <c r="J53" s="12"/>
    </row>
    <row r="54" spans="1:15" x14ac:dyDescent="0.3">
      <c r="A54" s="12"/>
      <c r="B54" s="43">
        <v>42465</v>
      </c>
      <c r="C54" s="30" t="s">
        <v>8</v>
      </c>
      <c r="D54" s="30" t="s">
        <v>108</v>
      </c>
      <c r="E54" s="30">
        <v>822</v>
      </c>
      <c r="F54" s="30">
        <v>824</v>
      </c>
      <c r="G54" s="30">
        <v>-2</v>
      </c>
      <c r="H54" s="30">
        <v>500</v>
      </c>
      <c r="I54" s="30">
        <v>-1000</v>
      </c>
      <c r="J54" s="12"/>
    </row>
    <row r="55" spans="1:15" x14ac:dyDescent="0.3">
      <c r="A55" s="12"/>
      <c r="B55" s="43">
        <v>42495</v>
      </c>
      <c r="C55" s="30" t="s">
        <v>8</v>
      </c>
      <c r="D55" s="30" t="s">
        <v>1407</v>
      </c>
      <c r="E55" s="30">
        <v>850</v>
      </c>
      <c r="F55" s="30">
        <v>843</v>
      </c>
      <c r="G55" s="30">
        <v>7</v>
      </c>
      <c r="H55" s="30">
        <v>600</v>
      </c>
      <c r="I55" s="30">
        <v>4200</v>
      </c>
      <c r="J55" s="12"/>
      <c r="K55" s="16"/>
      <c r="L55" s="30"/>
      <c r="M55" s="30"/>
      <c r="N55" s="30"/>
      <c r="O55" s="30"/>
    </row>
    <row r="56" spans="1:15" x14ac:dyDescent="0.3">
      <c r="A56" s="12"/>
      <c r="B56" s="43">
        <v>42526</v>
      </c>
      <c r="C56" s="30" t="s">
        <v>8</v>
      </c>
      <c r="D56" s="30" t="s">
        <v>78</v>
      </c>
      <c r="E56" s="30">
        <v>1265</v>
      </c>
      <c r="F56" s="30">
        <v>1260</v>
      </c>
      <c r="G56" s="30">
        <v>5</v>
      </c>
      <c r="H56" s="30">
        <v>300</v>
      </c>
      <c r="I56" s="30">
        <v>1500</v>
      </c>
      <c r="J56" s="12"/>
      <c r="K56" s="16"/>
      <c r="L56" s="30"/>
      <c r="M56" s="30"/>
      <c r="N56" s="30"/>
      <c r="O56" s="30"/>
    </row>
    <row r="57" spans="1:15" x14ac:dyDescent="0.3">
      <c r="A57" s="12"/>
      <c r="B57" s="43">
        <v>42618</v>
      </c>
      <c r="C57" s="30" t="s">
        <v>8</v>
      </c>
      <c r="D57" s="30" t="s">
        <v>15</v>
      </c>
      <c r="E57" s="30">
        <v>1165</v>
      </c>
      <c r="F57" s="30">
        <v>1155</v>
      </c>
      <c r="G57" s="30">
        <v>10</v>
      </c>
      <c r="H57" s="30">
        <v>400</v>
      </c>
      <c r="I57" s="30">
        <v>4000</v>
      </c>
      <c r="J57" s="12"/>
      <c r="K57" s="16"/>
      <c r="L57" s="30"/>
      <c r="M57" s="30"/>
      <c r="N57" s="30"/>
      <c r="O57" s="30"/>
    </row>
    <row r="58" spans="1:15" x14ac:dyDescent="0.3">
      <c r="A58" s="12"/>
      <c r="B58" s="43">
        <v>42648</v>
      </c>
      <c r="C58" s="30" t="s">
        <v>8</v>
      </c>
      <c r="D58" s="30" t="s">
        <v>361</v>
      </c>
      <c r="E58" s="30">
        <v>155.5</v>
      </c>
      <c r="F58" s="30">
        <v>152</v>
      </c>
      <c r="G58" s="30">
        <v>3.5</v>
      </c>
      <c r="H58" s="30">
        <v>3000</v>
      </c>
      <c r="I58" s="30">
        <v>10500</v>
      </c>
      <c r="J58" s="12"/>
      <c r="K58" s="16"/>
      <c r="L58" s="30"/>
      <c r="M58" s="30"/>
      <c r="N58" s="30"/>
      <c r="O58" s="30"/>
    </row>
    <row r="59" spans="1:15" x14ac:dyDescent="0.3">
      <c r="A59" s="12"/>
      <c r="B59" s="43">
        <v>42679</v>
      </c>
      <c r="C59" s="30" t="s">
        <v>9</v>
      </c>
      <c r="D59" s="30" t="s">
        <v>58</v>
      </c>
      <c r="E59" s="30">
        <v>497</v>
      </c>
      <c r="F59" s="30">
        <v>499</v>
      </c>
      <c r="G59" s="30">
        <v>2</v>
      </c>
      <c r="H59" s="30">
        <v>1000</v>
      </c>
      <c r="I59" s="30">
        <v>2000</v>
      </c>
      <c r="J59" s="12"/>
      <c r="K59" s="120"/>
      <c r="L59" s="50"/>
      <c r="M59" s="50"/>
      <c r="N59" s="50"/>
      <c r="O59" s="50"/>
    </row>
    <row r="60" spans="1:15" x14ac:dyDescent="0.3">
      <c r="A60" s="12"/>
      <c r="B60" s="43">
        <v>42709</v>
      </c>
      <c r="C60" s="30" t="s">
        <v>9</v>
      </c>
      <c r="D60" s="30" t="s">
        <v>1439</v>
      </c>
      <c r="E60" s="30">
        <v>983</v>
      </c>
      <c r="F60" s="30">
        <v>994</v>
      </c>
      <c r="G60" s="30">
        <v>11</v>
      </c>
      <c r="H60" s="30">
        <v>500</v>
      </c>
      <c r="I60" s="30">
        <v>5500</v>
      </c>
      <c r="J60" s="12"/>
      <c r="K60" s="120"/>
      <c r="L60" s="50"/>
      <c r="M60" s="50"/>
      <c r="N60" s="50"/>
      <c r="O60" s="50"/>
    </row>
    <row r="61" spans="1:15" x14ac:dyDescent="0.3">
      <c r="A61" s="12"/>
      <c r="B61" s="43" t="s">
        <v>1434</v>
      </c>
      <c r="C61" s="30" t="s">
        <v>8</v>
      </c>
      <c r="D61" s="30" t="s">
        <v>139</v>
      </c>
      <c r="E61" s="30">
        <v>950</v>
      </c>
      <c r="F61" s="30">
        <v>945</v>
      </c>
      <c r="G61" s="30">
        <v>5</v>
      </c>
      <c r="H61" s="30">
        <v>700</v>
      </c>
      <c r="I61" s="30">
        <v>3500</v>
      </c>
      <c r="J61" s="12"/>
      <c r="K61" s="120"/>
      <c r="L61" s="50"/>
      <c r="M61" s="50"/>
      <c r="N61" s="50"/>
      <c r="O61" s="50"/>
    </row>
    <row r="62" spans="1:15" x14ac:dyDescent="0.3">
      <c r="A62" s="12"/>
      <c r="B62" s="43" t="s">
        <v>1453</v>
      </c>
      <c r="C62" s="30" t="s">
        <v>8</v>
      </c>
      <c r="D62" s="30" t="s">
        <v>192</v>
      </c>
      <c r="E62" s="30">
        <v>180</v>
      </c>
      <c r="F62" s="30">
        <v>175.5</v>
      </c>
      <c r="G62" s="30">
        <v>4.5</v>
      </c>
      <c r="H62" s="30">
        <v>2000</v>
      </c>
      <c r="I62" s="30">
        <v>9000</v>
      </c>
      <c r="J62" s="12"/>
      <c r="K62" s="120"/>
      <c r="L62" s="50"/>
      <c r="M62" s="50"/>
      <c r="N62" s="50"/>
      <c r="O62" s="50"/>
    </row>
    <row r="63" spans="1:15" x14ac:dyDescent="0.3">
      <c r="A63" s="12"/>
      <c r="B63" s="43" t="s">
        <v>1454</v>
      </c>
      <c r="C63" s="30" t="s">
        <v>8</v>
      </c>
      <c r="D63" s="30" t="s">
        <v>111</v>
      </c>
      <c r="E63" s="30">
        <v>621</v>
      </c>
      <c r="F63" s="30">
        <v>628</v>
      </c>
      <c r="G63" s="30">
        <v>-7</v>
      </c>
      <c r="H63" s="30">
        <v>1100</v>
      </c>
      <c r="I63" s="30">
        <v>-7700</v>
      </c>
      <c r="J63" s="12"/>
      <c r="K63" s="120"/>
      <c r="L63" s="50"/>
      <c r="M63" s="50"/>
      <c r="N63" s="50"/>
      <c r="O63" s="50"/>
    </row>
    <row r="64" spans="1:15" x14ac:dyDescent="0.3">
      <c r="A64" s="12"/>
      <c r="B64" s="43" t="s">
        <v>1457</v>
      </c>
      <c r="C64" s="30" t="s">
        <v>8</v>
      </c>
      <c r="D64" s="30" t="s">
        <v>30</v>
      </c>
      <c r="E64" s="30">
        <v>380</v>
      </c>
      <c r="F64" s="30">
        <v>382</v>
      </c>
      <c r="G64" s="30">
        <v>-2</v>
      </c>
      <c r="H64" s="30">
        <v>1400</v>
      </c>
      <c r="I64" s="30">
        <v>-2800</v>
      </c>
      <c r="J64" s="12"/>
      <c r="K64" s="120"/>
      <c r="L64" s="50"/>
      <c r="M64" s="50"/>
      <c r="N64" s="50"/>
      <c r="O64" s="50"/>
    </row>
    <row r="65" spans="1:15" x14ac:dyDescent="0.3">
      <c r="A65" s="12"/>
      <c r="B65" s="43" t="s">
        <v>1459</v>
      </c>
      <c r="C65" s="30" t="s">
        <v>9</v>
      </c>
      <c r="D65" s="30" t="s">
        <v>133</v>
      </c>
      <c r="E65" s="30">
        <v>1665</v>
      </c>
      <c r="F65" s="30">
        <v>1690</v>
      </c>
      <c r="G65" s="30">
        <v>25</v>
      </c>
      <c r="H65" s="30">
        <v>300</v>
      </c>
      <c r="I65" s="30">
        <v>7500</v>
      </c>
      <c r="J65" s="12"/>
      <c r="K65" s="120"/>
      <c r="L65" s="50"/>
      <c r="M65" s="50"/>
      <c r="N65" s="50"/>
      <c r="O65" s="50"/>
    </row>
    <row r="66" spans="1:15" x14ac:dyDescent="0.3">
      <c r="A66" s="12"/>
      <c r="B66" s="43" t="s">
        <v>1463</v>
      </c>
      <c r="C66" s="30" t="s">
        <v>8</v>
      </c>
      <c r="D66" s="30" t="s">
        <v>345</v>
      </c>
      <c r="E66" s="30">
        <v>2440</v>
      </c>
      <c r="F66" s="30">
        <v>2465</v>
      </c>
      <c r="G66" s="30">
        <v>-25</v>
      </c>
      <c r="H66" s="30">
        <v>200</v>
      </c>
      <c r="I66" s="30">
        <v>-5000</v>
      </c>
      <c r="J66" s="12"/>
      <c r="K66" s="120"/>
      <c r="L66" s="50"/>
      <c r="M66" s="50"/>
      <c r="N66" s="50"/>
      <c r="O66" s="50"/>
    </row>
    <row r="67" spans="1:15" x14ac:dyDescent="0.3">
      <c r="A67" s="12"/>
      <c r="B67" s="43">
        <v>42513</v>
      </c>
      <c r="C67" s="30" t="s">
        <v>8</v>
      </c>
      <c r="D67" s="30" t="s">
        <v>46</v>
      </c>
      <c r="E67" s="30">
        <v>211</v>
      </c>
      <c r="F67" s="30">
        <v>208.5</v>
      </c>
      <c r="G67" s="30">
        <v>2.5</v>
      </c>
      <c r="H67" s="30">
        <v>2000</v>
      </c>
      <c r="I67" s="30">
        <v>5000</v>
      </c>
      <c r="J67" s="12"/>
      <c r="K67" s="120"/>
      <c r="L67" s="50"/>
      <c r="M67" s="50"/>
      <c r="N67" s="50"/>
      <c r="O67" s="50"/>
    </row>
    <row r="68" spans="1:15" x14ac:dyDescent="0.3">
      <c r="A68" s="12"/>
      <c r="B68" s="43">
        <v>42514</v>
      </c>
      <c r="C68" s="30" t="s">
        <v>8</v>
      </c>
      <c r="D68" s="30" t="s">
        <v>688</v>
      </c>
      <c r="E68" s="30">
        <v>590</v>
      </c>
      <c r="F68" s="30">
        <v>581</v>
      </c>
      <c r="G68" s="30">
        <v>9</v>
      </c>
      <c r="H68" s="30">
        <v>800</v>
      </c>
      <c r="I68" s="30">
        <v>7200</v>
      </c>
      <c r="J68" s="12"/>
      <c r="K68" s="120"/>
      <c r="L68" s="50"/>
      <c r="M68" s="50"/>
      <c r="N68" s="50"/>
      <c r="O68" s="50"/>
    </row>
    <row r="69" spans="1:15" x14ac:dyDescent="0.3">
      <c r="A69" s="12"/>
      <c r="B69" s="43">
        <v>42515</v>
      </c>
      <c r="C69" s="30" t="s">
        <v>8</v>
      </c>
      <c r="D69" s="30" t="s">
        <v>103</v>
      </c>
      <c r="E69" s="30">
        <v>169</v>
      </c>
      <c r="F69" s="30">
        <v>165.4</v>
      </c>
      <c r="G69" s="30">
        <v>3.6</v>
      </c>
      <c r="H69" s="30">
        <v>2000</v>
      </c>
      <c r="I69" s="30">
        <v>7200</v>
      </c>
      <c r="J69" s="12"/>
      <c r="K69" s="120"/>
      <c r="L69" s="50"/>
      <c r="M69" s="50"/>
      <c r="N69" s="50"/>
      <c r="O69" s="50"/>
    </row>
    <row r="70" spans="1:15" x14ac:dyDescent="0.3">
      <c r="A70" s="12"/>
      <c r="B70" s="43">
        <v>42516</v>
      </c>
      <c r="C70" s="30" t="s">
        <v>8</v>
      </c>
      <c r="D70" s="30" t="s">
        <v>103</v>
      </c>
      <c r="E70" s="30">
        <v>166</v>
      </c>
      <c r="F70" s="30">
        <v>164.9</v>
      </c>
      <c r="G70" s="30">
        <v>1.1000000000000001</v>
      </c>
      <c r="H70" s="30">
        <v>2000</v>
      </c>
      <c r="I70" s="30">
        <v>2200</v>
      </c>
      <c r="J70" s="12"/>
      <c r="K70" s="120"/>
      <c r="L70" s="50"/>
      <c r="M70" s="50"/>
      <c r="N70" s="50"/>
      <c r="O70" s="50"/>
    </row>
    <row r="71" spans="1:15" x14ac:dyDescent="0.3">
      <c r="A71" s="12"/>
      <c r="B71" s="43">
        <v>42517</v>
      </c>
      <c r="C71" s="30" t="s">
        <v>8</v>
      </c>
      <c r="D71" s="30" t="s">
        <v>78</v>
      </c>
      <c r="E71" s="30">
        <v>1470</v>
      </c>
      <c r="F71" s="30">
        <v>1464</v>
      </c>
      <c r="G71" s="30">
        <v>6</v>
      </c>
      <c r="H71" s="30">
        <v>300</v>
      </c>
      <c r="I71" s="30">
        <v>1800</v>
      </c>
      <c r="J71" s="12"/>
      <c r="K71" s="120"/>
      <c r="L71" s="50"/>
      <c r="M71" s="50"/>
      <c r="N71" s="50"/>
      <c r="O71" s="50"/>
    </row>
    <row r="72" spans="1:15" x14ac:dyDescent="0.3">
      <c r="A72" s="12"/>
      <c r="B72" s="43">
        <v>42520</v>
      </c>
      <c r="C72" s="30" t="s">
        <v>8</v>
      </c>
      <c r="D72" s="30" t="s">
        <v>129</v>
      </c>
      <c r="E72" s="30">
        <v>1230</v>
      </c>
      <c r="F72" s="30">
        <v>1225</v>
      </c>
      <c r="G72" s="30">
        <v>5</v>
      </c>
      <c r="H72" s="30">
        <v>400</v>
      </c>
      <c r="I72" s="30">
        <v>2000</v>
      </c>
      <c r="J72" s="12"/>
      <c r="K72" s="120"/>
      <c r="L72" s="50"/>
      <c r="M72" s="50"/>
      <c r="N72" s="50"/>
      <c r="O72" s="50"/>
    </row>
    <row r="73" spans="1:15" ht="18" x14ac:dyDescent="0.35">
      <c r="A73" s="12"/>
      <c r="B73" s="43"/>
      <c r="C73" s="30"/>
      <c r="D73" s="30"/>
      <c r="E73" s="30"/>
      <c r="F73" s="30"/>
      <c r="G73" s="30"/>
      <c r="H73" s="30"/>
      <c r="I73" s="72"/>
      <c r="J73" s="12"/>
    </row>
    <row r="74" spans="1:15" ht="18" x14ac:dyDescent="0.35">
      <c r="A74" s="12"/>
      <c r="B74" s="45"/>
      <c r="C74" s="30"/>
      <c r="D74" s="30"/>
      <c r="E74" s="30"/>
      <c r="F74" s="30"/>
      <c r="G74" s="30"/>
      <c r="H74" s="30"/>
      <c r="I74" s="76" t="s">
        <v>1495</v>
      </c>
      <c r="J74" s="12"/>
    </row>
    <row r="75" spans="1:15" x14ac:dyDescent="0.3">
      <c r="A75" s="12"/>
      <c r="B75" s="43"/>
      <c r="C75" s="30"/>
      <c r="D75" s="30"/>
      <c r="E75" s="30"/>
      <c r="F75" s="30"/>
      <c r="G75" s="30"/>
      <c r="H75" s="30"/>
      <c r="I75" s="21"/>
      <c r="J75" s="12"/>
    </row>
    <row r="76" spans="1:15" x14ac:dyDescent="0.3">
      <c r="A76" s="12"/>
      <c r="B76" s="106" t="s">
        <v>63</v>
      </c>
      <c r="C76" s="106"/>
      <c r="D76" s="106"/>
      <c r="E76" s="106"/>
      <c r="F76" s="106"/>
      <c r="G76" s="106"/>
      <c r="H76" s="106"/>
      <c r="I76" s="106"/>
      <c r="J76" s="12"/>
      <c r="K76" s="86"/>
      <c r="L76" s="10"/>
      <c r="M76" s="10"/>
      <c r="N76" s="10"/>
      <c r="O76" s="10"/>
    </row>
    <row r="77" spans="1:15" x14ac:dyDescent="0.3">
      <c r="A77" s="12"/>
      <c r="B77" s="43">
        <v>42405</v>
      </c>
      <c r="C77" s="2" t="s">
        <v>8</v>
      </c>
      <c r="D77" s="2" t="s">
        <v>39</v>
      </c>
      <c r="E77" s="41" t="s">
        <v>1408</v>
      </c>
      <c r="F77" s="40" t="s">
        <v>1409</v>
      </c>
      <c r="G77" s="40" t="s">
        <v>961</v>
      </c>
      <c r="H77" s="30">
        <v>150</v>
      </c>
      <c r="I77" s="41" t="s">
        <v>1020</v>
      </c>
      <c r="J77" s="12"/>
      <c r="K77" s="86"/>
      <c r="L77" s="10"/>
      <c r="M77" s="10"/>
      <c r="N77" s="10"/>
      <c r="O77" s="10"/>
    </row>
    <row r="78" spans="1:15" x14ac:dyDescent="0.3">
      <c r="A78" s="12"/>
      <c r="B78" s="43">
        <v>42434</v>
      </c>
      <c r="C78" s="30" t="s">
        <v>8</v>
      </c>
      <c r="D78" s="2" t="s">
        <v>39</v>
      </c>
      <c r="E78" s="2">
        <v>7900</v>
      </c>
      <c r="F78" s="30">
        <v>7835</v>
      </c>
      <c r="G78" s="30">
        <v>65</v>
      </c>
      <c r="H78" s="30">
        <v>150</v>
      </c>
      <c r="I78" s="30">
        <v>9750</v>
      </c>
      <c r="J78" s="12"/>
      <c r="K78" s="86"/>
      <c r="L78" s="10"/>
      <c r="M78" s="10"/>
      <c r="N78" s="10"/>
      <c r="O78" s="10"/>
    </row>
    <row r="79" spans="1:15" x14ac:dyDescent="0.3">
      <c r="A79" s="12"/>
      <c r="B79" s="43">
        <v>42465</v>
      </c>
      <c r="C79" s="30" t="s">
        <v>8</v>
      </c>
      <c r="D79" s="2" t="s">
        <v>39</v>
      </c>
      <c r="E79" s="2">
        <v>7755</v>
      </c>
      <c r="F79" s="30">
        <v>7730</v>
      </c>
      <c r="G79" s="30">
        <v>25</v>
      </c>
      <c r="H79" s="30">
        <v>150</v>
      </c>
      <c r="I79" s="30">
        <v>3750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42495</v>
      </c>
      <c r="C80" s="30" t="s">
        <v>8</v>
      </c>
      <c r="D80" s="2" t="s">
        <v>39</v>
      </c>
      <c r="E80" s="2">
        <v>7765</v>
      </c>
      <c r="F80" s="30">
        <v>7740</v>
      </c>
      <c r="G80" s="30">
        <v>25</v>
      </c>
      <c r="H80" s="30">
        <v>150</v>
      </c>
      <c r="I80" s="30">
        <v>3750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42526</v>
      </c>
      <c r="C81" s="30" t="s">
        <v>8</v>
      </c>
      <c r="D81" s="2" t="s">
        <v>39</v>
      </c>
      <c r="E81" s="2">
        <v>7725</v>
      </c>
      <c r="F81" s="30">
        <v>7710</v>
      </c>
      <c r="G81" s="30">
        <v>15</v>
      </c>
      <c r="H81" s="30">
        <v>150</v>
      </c>
      <c r="I81" s="30">
        <v>2250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 t="s">
        <v>1440</v>
      </c>
      <c r="C82" s="30" t="s">
        <v>8</v>
      </c>
      <c r="D82" s="2" t="s">
        <v>39</v>
      </c>
      <c r="E82" s="2">
        <v>7870</v>
      </c>
      <c r="F82" s="30">
        <v>7855</v>
      </c>
      <c r="G82" s="30">
        <v>15</v>
      </c>
      <c r="H82" s="30">
        <v>150</v>
      </c>
      <c r="I82" s="30">
        <v>2250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42648</v>
      </c>
      <c r="C83" s="30" t="s">
        <v>8</v>
      </c>
      <c r="D83" s="2" t="s">
        <v>39</v>
      </c>
      <c r="E83" s="2">
        <v>7880</v>
      </c>
      <c r="F83" s="30">
        <v>7915</v>
      </c>
      <c r="G83" s="30">
        <v>-35</v>
      </c>
      <c r="H83" s="30">
        <v>150</v>
      </c>
      <c r="I83" s="30">
        <v>-5250</v>
      </c>
      <c r="J83" s="12"/>
      <c r="K83" s="10"/>
      <c r="L83" s="10"/>
      <c r="M83" s="10"/>
      <c r="N83" s="10"/>
      <c r="O83" s="10"/>
    </row>
    <row r="84" spans="1:15" x14ac:dyDescent="0.3">
      <c r="A84" s="12"/>
      <c r="B84" s="43">
        <v>42679</v>
      </c>
      <c r="C84" s="30" t="s">
        <v>9</v>
      </c>
      <c r="D84" s="2" t="s">
        <v>39</v>
      </c>
      <c r="E84" s="2">
        <v>7895</v>
      </c>
      <c r="F84" s="30">
        <v>7909</v>
      </c>
      <c r="G84" s="30">
        <v>14</v>
      </c>
      <c r="H84" s="30">
        <v>150</v>
      </c>
      <c r="I84" s="30">
        <v>2100</v>
      </c>
      <c r="J84" s="12"/>
      <c r="K84" s="10"/>
      <c r="L84" s="10"/>
      <c r="M84" s="10"/>
      <c r="N84" s="10"/>
      <c r="O84" s="10"/>
    </row>
    <row r="85" spans="1:15" x14ac:dyDescent="0.3">
      <c r="A85" s="12"/>
      <c r="B85" s="43">
        <v>42709</v>
      </c>
      <c r="C85" s="30" t="s">
        <v>9</v>
      </c>
      <c r="D85" s="2" t="s">
        <v>39</v>
      </c>
      <c r="E85" s="2">
        <v>7910</v>
      </c>
      <c r="F85" s="30">
        <v>7925</v>
      </c>
      <c r="G85" s="30">
        <v>15</v>
      </c>
      <c r="H85" s="30">
        <v>150</v>
      </c>
      <c r="I85" s="30">
        <v>2250</v>
      </c>
      <c r="J85" s="12"/>
      <c r="K85" s="10"/>
      <c r="L85" s="10"/>
      <c r="M85" s="10"/>
      <c r="N85" s="10"/>
      <c r="O85" s="10"/>
    </row>
    <row r="86" spans="1:15" x14ac:dyDescent="0.3">
      <c r="A86" s="12"/>
      <c r="B86" s="43" t="s">
        <v>1434</v>
      </c>
      <c r="C86" s="30" t="s">
        <v>8</v>
      </c>
      <c r="D86" s="2" t="s">
        <v>39</v>
      </c>
      <c r="E86" s="2">
        <v>7840</v>
      </c>
      <c r="F86" s="30">
        <v>7800</v>
      </c>
      <c r="G86" s="30">
        <v>40</v>
      </c>
      <c r="H86" s="30">
        <v>150</v>
      </c>
      <c r="I86" s="30">
        <v>6000</v>
      </c>
      <c r="J86" s="12"/>
      <c r="K86" s="10"/>
      <c r="L86" s="10"/>
      <c r="M86" s="10"/>
      <c r="N86" s="10"/>
      <c r="O86" s="10"/>
    </row>
    <row r="87" spans="1:15" x14ac:dyDescent="0.3">
      <c r="A87" s="12"/>
      <c r="B87" s="43" t="s">
        <v>1453</v>
      </c>
      <c r="C87" s="30" t="s">
        <v>8</v>
      </c>
      <c r="D87" s="2" t="s">
        <v>39</v>
      </c>
      <c r="E87" s="2">
        <v>7825</v>
      </c>
      <c r="F87" s="30">
        <v>7790</v>
      </c>
      <c r="G87" s="30">
        <v>35</v>
      </c>
      <c r="H87" s="30">
        <v>150</v>
      </c>
      <c r="I87" s="30">
        <v>5250</v>
      </c>
      <c r="J87" s="12"/>
      <c r="K87" s="10"/>
      <c r="L87" s="10"/>
      <c r="M87" s="10"/>
      <c r="N87" s="10"/>
      <c r="O87" s="10"/>
    </row>
    <row r="88" spans="1:15" x14ac:dyDescent="0.3">
      <c r="A88" s="12"/>
      <c r="B88" s="43" t="s">
        <v>1454</v>
      </c>
      <c r="C88" s="30" t="s">
        <v>8</v>
      </c>
      <c r="D88" s="2" t="s">
        <v>39</v>
      </c>
      <c r="E88" s="2">
        <v>7910</v>
      </c>
      <c r="F88" s="30">
        <v>7945</v>
      </c>
      <c r="G88" s="30">
        <v>-35</v>
      </c>
      <c r="H88" s="30">
        <v>150</v>
      </c>
      <c r="I88" s="30">
        <v>-5250</v>
      </c>
      <c r="J88" s="12"/>
      <c r="K88" s="10"/>
      <c r="L88" s="10"/>
      <c r="M88" s="10"/>
      <c r="N88" s="10"/>
      <c r="O88" s="10"/>
    </row>
    <row r="89" spans="1:15" x14ac:dyDescent="0.3">
      <c r="A89" s="12"/>
      <c r="B89" s="43" t="s">
        <v>1457</v>
      </c>
      <c r="C89" s="30" t="s">
        <v>8</v>
      </c>
      <c r="D89" s="2" t="s">
        <v>39</v>
      </c>
      <c r="E89" s="2">
        <v>7830</v>
      </c>
      <c r="F89" s="30">
        <v>7865</v>
      </c>
      <c r="G89" s="30">
        <v>-35</v>
      </c>
      <c r="H89" s="30">
        <v>150</v>
      </c>
      <c r="I89" s="30">
        <v>-5250</v>
      </c>
      <c r="J89" s="12"/>
      <c r="K89" s="10"/>
      <c r="L89" s="10"/>
      <c r="M89" s="10"/>
      <c r="N89" s="10"/>
      <c r="O89" s="10"/>
    </row>
    <row r="90" spans="1:15" x14ac:dyDescent="0.3">
      <c r="A90" s="12"/>
      <c r="B90" s="43" t="s">
        <v>1459</v>
      </c>
      <c r="C90" s="30" t="s">
        <v>8</v>
      </c>
      <c r="D90" s="2" t="s">
        <v>39</v>
      </c>
      <c r="E90" s="2">
        <v>7845</v>
      </c>
      <c r="F90" s="30">
        <v>7785</v>
      </c>
      <c r="G90" s="30">
        <v>60</v>
      </c>
      <c r="H90" s="30">
        <v>150</v>
      </c>
      <c r="I90" s="30">
        <v>9000</v>
      </c>
      <c r="J90" s="12"/>
      <c r="K90" s="10"/>
      <c r="L90" s="10"/>
      <c r="M90" s="10"/>
      <c r="N90" s="10"/>
      <c r="O90" s="10"/>
    </row>
    <row r="91" spans="1:15" x14ac:dyDescent="0.3">
      <c r="A91" s="12"/>
      <c r="B91" s="43" t="s">
        <v>1463</v>
      </c>
      <c r="C91" s="30" t="s">
        <v>8</v>
      </c>
      <c r="D91" s="2" t="s">
        <v>39</v>
      </c>
      <c r="E91" s="2">
        <v>7820</v>
      </c>
      <c r="F91" s="30">
        <v>7765</v>
      </c>
      <c r="G91" s="30">
        <v>55</v>
      </c>
      <c r="H91" s="30">
        <v>150</v>
      </c>
      <c r="I91" s="30">
        <v>8250</v>
      </c>
      <c r="J91" s="12"/>
      <c r="K91" s="10"/>
      <c r="L91" s="10"/>
      <c r="M91" s="10"/>
      <c r="N91" s="10"/>
      <c r="O91" s="10"/>
    </row>
    <row r="92" spans="1:15" x14ac:dyDescent="0.3">
      <c r="A92" s="12"/>
      <c r="B92" s="43">
        <v>42513</v>
      </c>
      <c r="C92" s="30" t="s">
        <v>8</v>
      </c>
      <c r="D92" s="2" t="s">
        <v>39</v>
      </c>
      <c r="E92" s="2">
        <v>7785</v>
      </c>
      <c r="F92" s="30">
        <v>7745</v>
      </c>
      <c r="G92" s="30">
        <v>40</v>
      </c>
      <c r="H92" s="30">
        <v>150</v>
      </c>
      <c r="I92" s="30">
        <v>6000</v>
      </c>
      <c r="J92" s="12"/>
      <c r="K92" s="10"/>
      <c r="L92" s="10"/>
      <c r="M92" s="10"/>
      <c r="N92" s="10"/>
      <c r="O92" s="10"/>
    </row>
    <row r="93" spans="1:15" x14ac:dyDescent="0.3">
      <c r="A93" s="12"/>
      <c r="B93" s="43">
        <v>42514</v>
      </c>
      <c r="C93" s="30" t="s">
        <v>8</v>
      </c>
      <c r="D93" s="2" t="s">
        <v>39</v>
      </c>
      <c r="E93" s="2">
        <v>7735</v>
      </c>
      <c r="F93" s="30">
        <v>7760</v>
      </c>
      <c r="G93" s="30">
        <v>-25</v>
      </c>
      <c r="H93" s="30">
        <v>150</v>
      </c>
      <c r="I93" s="30">
        <v>-3750</v>
      </c>
      <c r="J93" s="12"/>
      <c r="K93" s="10"/>
      <c r="L93" s="10"/>
      <c r="M93" s="10"/>
      <c r="N93" s="10"/>
      <c r="O93" s="10"/>
    </row>
    <row r="94" spans="1:15" x14ac:dyDescent="0.3">
      <c r="A94" s="12"/>
      <c r="B94" s="43">
        <v>42515</v>
      </c>
      <c r="C94" s="30" t="s">
        <v>9</v>
      </c>
      <c r="D94" s="2" t="s">
        <v>39</v>
      </c>
      <c r="E94" s="2">
        <v>7890</v>
      </c>
      <c r="F94" s="30">
        <v>7945</v>
      </c>
      <c r="G94" s="30">
        <v>55</v>
      </c>
      <c r="H94" s="30">
        <v>150</v>
      </c>
      <c r="I94" s="30">
        <v>8250</v>
      </c>
      <c r="J94" s="12"/>
      <c r="K94" s="10"/>
      <c r="L94" s="10"/>
      <c r="M94" s="10"/>
      <c r="N94" s="10"/>
      <c r="O94" s="10"/>
    </row>
    <row r="95" spans="1:15" x14ac:dyDescent="0.3">
      <c r="A95" s="12"/>
      <c r="B95" s="43">
        <v>42547</v>
      </c>
      <c r="C95" s="30" t="s">
        <v>9</v>
      </c>
      <c r="D95" s="2" t="s">
        <v>39</v>
      </c>
      <c r="E95" s="2">
        <v>8010</v>
      </c>
      <c r="F95" s="30">
        <v>8060</v>
      </c>
      <c r="G95" s="30">
        <v>50</v>
      </c>
      <c r="H95" s="30">
        <v>150</v>
      </c>
      <c r="I95" s="30">
        <v>7500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42517</v>
      </c>
      <c r="C96" s="30" t="s">
        <v>8</v>
      </c>
      <c r="D96" s="2" t="s">
        <v>39</v>
      </c>
      <c r="E96" s="2">
        <v>8145</v>
      </c>
      <c r="F96" s="30">
        <v>8130</v>
      </c>
      <c r="G96" s="30">
        <v>15</v>
      </c>
      <c r="H96" s="30">
        <v>150</v>
      </c>
      <c r="I96" s="30">
        <v>2250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42520</v>
      </c>
      <c r="C97" s="30" t="s">
        <v>8</v>
      </c>
      <c r="D97" s="2" t="s">
        <v>39</v>
      </c>
      <c r="E97" s="2">
        <v>8200</v>
      </c>
      <c r="F97" s="30">
        <v>8175</v>
      </c>
      <c r="G97" s="30">
        <v>25</v>
      </c>
      <c r="H97" s="30">
        <v>150</v>
      </c>
      <c r="I97" s="30">
        <v>3750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/>
      <c r="C98" s="30"/>
      <c r="D98" s="2"/>
      <c r="E98" s="30"/>
      <c r="F98" s="30"/>
      <c r="G98" s="30"/>
      <c r="H98" s="30"/>
      <c r="I98" s="30"/>
      <c r="J98" s="12"/>
      <c r="K98" s="86"/>
      <c r="L98" s="10"/>
      <c r="M98" s="10"/>
      <c r="N98" s="10"/>
      <c r="O98" s="10"/>
    </row>
    <row r="99" spans="1:15" ht="18" x14ac:dyDescent="0.35">
      <c r="A99" s="12"/>
      <c r="B99" s="43"/>
      <c r="C99" s="30"/>
      <c r="D99" s="2"/>
      <c r="E99" s="30"/>
      <c r="F99" s="30"/>
      <c r="G99" s="30"/>
      <c r="H99" s="30"/>
      <c r="I99" s="76" t="s">
        <v>1496</v>
      </c>
      <c r="J99" s="12"/>
      <c r="K99" s="86"/>
      <c r="L99" s="10"/>
      <c r="M99" s="10"/>
      <c r="N99" s="10"/>
      <c r="O99" s="10"/>
    </row>
    <row r="100" spans="1:15" ht="18" x14ac:dyDescent="0.35">
      <c r="A100" s="12"/>
      <c r="B100" s="43"/>
      <c r="C100" s="28"/>
      <c r="D100" s="30"/>
      <c r="E100" s="28"/>
      <c r="F100" s="28"/>
      <c r="G100" s="28"/>
      <c r="H100" s="28"/>
      <c r="I100" s="75"/>
      <c r="J100" s="12"/>
      <c r="K100" s="86"/>
      <c r="L100" s="10"/>
      <c r="M100" s="10"/>
      <c r="N100" s="10"/>
      <c r="O100" s="10"/>
    </row>
    <row r="101" spans="1:15" x14ac:dyDescent="0.3">
      <c r="A101" s="12"/>
      <c r="B101" s="106" t="s">
        <v>991</v>
      </c>
      <c r="C101" s="111"/>
      <c r="D101" s="111"/>
      <c r="E101" s="111"/>
      <c r="F101" s="111"/>
      <c r="G101" s="111"/>
      <c r="H101" s="111"/>
      <c r="I101" s="111"/>
      <c r="J101" s="12"/>
      <c r="K101" s="86"/>
      <c r="L101" s="10"/>
      <c r="M101" s="10"/>
      <c r="N101" s="10"/>
      <c r="O101" s="10"/>
    </row>
    <row r="102" spans="1:15" x14ac:dyDescent="0.3">
      <c r="A102" s="12"/>
      <c r="B102" s="43">
        <v>42405</v>
      </c>
      <c r="C102" s="3" t="s">
        <v>9</v>
      </c>
      <c r="D102" s="3" t="s">
        <v>931</v>
      </c>
      <c r="E102" s="41" t="s">
        <v>229</v>
      </c>
      <c r="F102" s="41" t="s">
        <v>854</v>
      </c>
      <c r="G102" s="41" t="s">
        <v>951</v>
      </c>
      <c r="H102" s="30">
        <v>300</v>
      </c>
      <c r="I102" s="8">
        <v>4500</v>
      </c>
      <c r="J102" s="12"/>
      <c r="K102" s="86"/>
      <c r="L102" s="10"/>
      <c r="M102" s="10"/>
      <c r="N102" s="10"/>
      <c r="O102" s="10"/>
    </row>
    <row r="103" spans="1:15" x14ac:dyDescent="0.3">
      <c r="A103" s="12"/>
      <c r="B103" s="43">
        <v>42434</v>
      </c>
      <c r="C103" s="3" t="s">
        <v>9</v>
      </c>
      <c r="D103" s="3" t="s">
        <v>931</v>
      </c>
      <c r="E103" s="30">
        <v>120</v>
      </c>
      <c r="F103" s="30">
        <v>160</v>
      </c>
      <c r="G103" s="30">
        <v>40</v>
      </c>
      <c r="H103" s="30">
        <v>300</v>
      </c>
      <c r="I103" s="8">
        <v>12000</v>
      </c>
      <c r="J103" s="12"/>
      <c r="K103" s="86"/>
      <c r="L103" s="10"/>
      <c r="M103" s="10"/>
      <c r="N103" s="10"/>
      <c r="O103" s="10"/>
    </row>
    <row r="104" spans="1:15" x14ac:dyDescent="0.3">
      <c r="A104" s="12"/>
      <c r="B104" s="43">
        <v>42465</v>
      </c>
      <c r="C104" s="3" t="s">
        <v>9</v>
      </c>
      <c r="D104" s="3" t="s">
        <v>935</v>
      </c>
      <c r="E104" s="30">
        <v>145</v>
      </c>
      <c r="F104" s="30">
        <v>160</v>
      </c>
      <c r="G104" s="30">
        <v>15</v>
      </c>
      <c r="H104" s="30">
        <v>300</v>
      </c>
      <c r="I104" s="8">
        <v>4500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42495</v>
      </c>
      <c r="C105" s="3" t="s">
        <v>9</v>
      </c>
      <c r="D105" s="3" t="s">
        <v>935</v>
      </c>
      <c r="E105" s="30">
        <v>140</v>
      </c>
      <c r="F105" s="30">
        <v>150</v>
      </c>
      <c r="G105" s="30">
        <v>10</v>
      </c>
      <c r="H105" s="30">
        <v>300</v>
      </c>
      <c r="I105" s="8">
        <v>3000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42526</v>
      </c>
      <c r="C106" s="3" t="s">
        <v>9</v>
      </c>
      <c r="D106" s="3" t="s">
        <v>935</v>
      </c>
      <c r="E106" s="30">
        <v>150</v>
      </c>
      <c r="F106" s="30">
        <v>162</v>
      </c>
      <c r="G106" s="30">
        <v>12</v>
      </c>
      <c r="H106" s="30">
        <v>300</v>
      </c>
      <c r="I106" s="8">
        <v>3600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42618</v>
      </c>
      <c r="C107" s="3" t="s">
        <v>9</v>
      </c>
      <c r="D107" s="3" t="s">
        <v>931</v>
      </c>
      <c r="E107" s="30">
        <v>118</v>
      </c>
      <c r="F107" s="30">
        <v>128</v>
      </c>
      <c r="G107" s="30">
        <v>10</v>
      </c>
      <c r="H107" s="30">
        <v>300</v>
      </c>
      <c r="I107" s="8">
        <v>3000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>
        <v>42648</v>
      </c>
      <c r="C108" s="3" t="s">
        <v>9</v>
      </c>
      <c r="D108" s="3" t="s">
        <v>931</v>
      </c>
      <c r="E108" s="30">
        <v>110</v>
      </c>
      <c r="F108" s="30">
        <v>90</v>
      </c>
      <c r="G108" s="30">
        <v>-20</v>
      </c>
      <c r="H108" s="30">
        <v>300</v>
      </c>
      <c r="I108" s="8">
        <v>-6000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42679</v>
      </c>
      <c r="C109" s="3" t="s">
        <v>9</v>
      </c>
      <c r="D109" s="3" t="s">
        <v>941</v>
      </c>
      <c r="E109" s="30">
        <v>155</v>
      </c>
      <c r="F109" s="30">
        <v>166</v>
      </c>
      <c r="G109" s="30">
        <v>11</v>
      </c>
      <c r="H109" s="30">
        <v>300</v>
      </c>
      <c r="I109" s="8">
        <v>3300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42709</v>
      </c>
      <c r="C110" s="3" t="s">
        <v>9</v>
      </c>
      <c r="D110" s="3" t="s">
        <v>941</v>
      </c>
      <c r="E110" s="30">
        <v>160</v>
      </c>
      <c r="F110" s="30">
        <v>172</v>
      </c>
      <c r="G110" s="30">
        <v>12</v>
      </c>
      <c r="H110" s="30">
        <v>300</v>
      </c>
      <c r="I110" s="8">
        <v>3600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 t="s">
        <v>1434</v>
      </c>
      <c r="C111" s="3" t="s">
        <v>9</v>
      </c>
      <c r="D111" s="3" t="s">
        <v>931</v>
      </c>
      <c r="E111" s="30">
        <v>125</v>
      </c>
      <c r="F111" s="30">
        <v>150</v>
      </c>
      <c r="G111" s="30">
        <v>25</v>
      </c>
      <c r="H111" s="30">
        <v>300</v>
      </c>
      <c r="I111" s="8">
        <v>7500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 t="s">
        <v>1453</v>
      </c>
      <c r="C112" s="3" t="s">
        <v>9</v>
      </c>
      <c r="D112" s="3" t="s">
        <v>931</v>
      </c>
      <c r="E112" s="30">
        <v>130</v>
      </c>
      <c r="F112" s="30">
        <v>150</v>
      </c>
      <c r="G112" s="30">
        <v>20</v>
      </c>
      <c r="H112" s="30">
        <v>300</v>
      </c>
      <c r="I112" s="8">
        <v>6000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43" t="s">
        <v>1454</v>
      </c>
      <c r="C113" s="3" t="s">
        <v>9</v>
      </c>
      <c r="D113" s="3" t="s">
        <v>960</v>
      </c>
      <c r="E113" s="30">
        <v>130</v>
      </c>
      <c r="F113" s="30">
        <v>105</v>
      </c>
      <c r="G113" s="30">
        <v>-25</v>
      </c>
      <c r="H113" s="30">
        <v>300</v>
      </c>
      <c r="I113" s="8">
        <v>-7500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43" t="s">
        <v>1457</v>
      </c>
      <c r="C114" s="3" t="s">
        <v>9</v>
      </c>
      <c r="D114" s="3" t="s">
        <v>931</v>
      </c>
      <c r="E114" s="30">
        <v>115</v>
      </c>
      <c r="F114" s="30">
        <v>95</v>
      </c>
      <c r="G114" s="30">
        <v>-20</v>
      </c>
      <c r="H114" s="30">
        <v>300</v>
      </c>
      <c r="I114" s="8">
        <v>-6000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43" t="s">
        <v>1459</v>
      </c>
      <c r="C115" s="3" t="s">
        <v>9</v>
      </c>
      <c r="D115" s="3" t="s">
        <v>960</v>
      </c>
      <c r="E115" s="30">
        <v>165</v>
      </c>
      <c r="F115" s="30">
        <v>215</v>
      </c>
      <c r="G115" s="30">
        <v>50</v>
      </c>
      <c r="H115" s="30">
        <v>300</v>
      </c>
      <c r="I115" s="8">
        <v>15000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 t="s">
        <v>1463</v>
      </c>
      <c r="C116" s="3" t="s">
        <v>9</v>
      </c>
      <c r="D116" s="3" t="s">
        <v>931</v>
      </c>
      <c r="E116" s="30">
        <v>115</v>
      </c>
      <c r="F116" s="30">
        <v>155</v>
      </c>
      <c r="G116" s="30">
        <v>40</v>
      </c>
      <c r="H116" s="30">
        <v>300</v>
      </c>
      <c r="I116" s="8">
        <v>12000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42513</v>
      </c>
      <c r="C117" s="3" t="s">
        <v>9</v>
      </c>
      <c r="D117" s="3" t="s">
        <v>931</v>
      </c>
      <c r="E117" s="30">
        <v>140</v>
      </c>
      <c r="F117" s="30">
        <v>155</v>
      </c>
      <c r="G117" s="30">
        <v>15</v>
      </c>
      <c r="H117" s="30">
        <v>300</v>
      </c>
      <c r="I117" s="8">
        <v>4500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42514</v>
      </c>
      <c r="C118" s="3" t="s">
        <v>9</v>
      </c>
      <c r="D118" s="3" t="s">
        <v>931</v>
      </c>
      <c r="E118" s="30">
        <v>170</v>
      </c>
      <c r="F118" s="30">
        <v>145</v>
      </c>
      <c r="G118" s="30">
        <v>-25</v>
      </c>
      <c r="H118" s="30">
        <v>300</v>
      </c>
      <c r="I118" s="8">
        <v>-7500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42515</v>
      </c>
      <c r="C119" s="3" t="s">
        <v>9</v>
      </c>
      <c r="D119" s="3" t="s">
        <v>944</v>
      </c>
      <c r="E119" s="30">
        <v>175</v>
      </c>
      <c r="F119" s="30">
        <v>225</v>
      </c>
      <c r="G119" s="30">
        <v>50</v>
      </c>
      <c r="H119" s="30">
        <v>300</v>
      </c>
      <c r="I119" s="8">
        <v>15000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>
        <v>42547</v>
      </c>
      <c r="C120" s="3" t="s">
        <v>9</v>
      </c>
      <c r="D120" s="3" t="s">
        <v>941</v>
      </c>
      <c r="E120" s="30">
        <v>170</v>
      </c>
      <c r="F120" s="30">
        <v>220</v>
      </c>
      <c r="G120" s="30">
        <v>50</v>
      </c>
      <c r="H120" s="30">
        <v>300</v>
      </c>
      <c r="I120" s="8">
        <v>15000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>
        <v>42517</v>
      </c>
      <c r="C121" s="3" t="s">
        <v>9</v>
      </c>
      <c r="D121" s="3" t="s">
        <v>980</v>
      </c>
      <c r="E121" s="30">
        <v>120</v>
      </c>
      <c r="F121" s="30">
        <v>112</v>
      </c>
      <c r="G121" s="30">
        <v>-8</v>
      </c>
      <c r="H121" s="30">
        <v>300</v>
      </c>
      <c r="I121" s="8">
        <v>-2400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>
        <v>42520</v>
      </c>
      <c r="C122" s="3" t="s">
        <v>9</v>
      </c>
      <c r="D122" s="3" t="s">
        <v>980</v>
      </c>
      <c r="E122" s="30">
        <v>100</v>
      </c>
      <c r="F122" s="30">
        <v>110</v>
      </c>
      <c r="G122" s="30">
        <v>10</v>
      </c>
      <c r="H122" s="30">
        <v>300</v>
      </c>
      <c r="I122" s="8">
        <v>3000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/>
      <c r="C123" s="3"/>
      <c r="D123" s="30"/>
      <c r="E123" s="30"/>
      <c r="F123" s="30"/>
      <c r="G123" s="30"/>
      <c r="H123" s="30"/>
      <c r="I123" s="8"/>
      <c r="J123" s="12"/>
      <c r="K123" s="10"/>
      <c r="L123" s="10"/>
      <c r="M123" s="10"/>
      <c r="N123" s="10"/>
      <c r="O123" s="10"/>
    </row>
    <row r="124" spans="1:15" ht="18" x14ac:dyDescent="0.35">
      <c r="A124" s="12"/>
      <c r="B124" s="1"/>
      <c r="C124" s="28"/>
      <c r="D124" s="28"/>
      <c r="E124" s="28"/>
      <c r="F124" s="28"/>
      <c r="G124" s="28"/>
      <c r="H124" s="28"/>
      <c r="I124" s="76" t="s">
        <v>1497</v>
      </c>
      <c r="J124" s="12"/>
      <c r="K124" s="10"/>
      <c r="L124" s="10"/>
      <c r="M124" s="10"/>
      <c r="N124" s="10"/>
      <c r="O124" s="10"/>
    </row>
    <row r="125" spans="1:15" ht="18" x14ac:dyDescent="0.35">
      <c r="A125" s="12"/>
      <c r="B125" s="1"/>
      <c r="C125" s="10"/>
      <c r="D125" s="10"/>
      <c r="E125" s="10"/>
      <c r="F125" s="10"/>
      <c r="G125" s="10"/>
      <c r="H125" s="10"/>
      <c r="I125" s="72"/>
      <c r="J125" s="12"/>
      <c r="K125" s="10"/>
      <c r="L125" s="10"/>
      <c r="M125" s="10"/>
      <c r="N125" s="10"/>
      <c r="O125" s="10"/>
    </row>
    <row r="126" spans="1:15" x14ac:dyDescent="0.3">
      <c r="A126" s="12"/>
      <c r="B126" s="106" t="s">
        <v>926</v>
      </c>
      <c r="C126" s="106"/>
      <c r="D126" s="106"/>
      <c r="E126" s="106"/>
      <c r="F126" s="106"/>
      <c r="G126" s="106"/>
      <c r="H126" s="106"/>
      <c r="I126" s="106"/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42405</v>
      </c>
      <c r="C127" s="30" t="s">
        <v>8</v>
      </c>
      <c r="D127" s="30" t="s">
        <v>301</v>
      </c>
      <c r="E127" s="30">
        <v>16700</v>
      </c>
      <c r="F127" s="30">
        <v>16600</v>
      </c>
      <c r="G127" s="30">
        <v>100</v>
      </c>
      <c r="H127" s="30">
        <v>120</v>
      </c>
      <c r="I127" s="30">
        <v>12000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42434</v>
      </c>
      <c r="C128" s="30" t="s">
        <v>8</v>
      </c>
      <c r="D128" s="30" t="s">
        <v>301</v>
      </c>
      <c r="E128" s="30">
        <v>16760</v>
      </c>
      <c r="F128" s="30">
        <v>16460</v>
      </c>
      <c r="G128" s="30">
        <v>300</v>
      </c>
      <c r="H128" s="30">
        <v>120</v>
      </c>
      <c r="I128" s="30">
        <v>36000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42465</v>
      </c>
      <c r="C129" s="30" t="s">
        <v>8</v>
      </c>
      <c r="D129" s="30" t="s">
        <v>301</v>
      </c>
      <c r="E129" s="30">
        <v>16440</v>
      </c>
      <c r="F129" s="30">
        <v>16340</v>
      </c>
      <c r="G129" s="30">
        <v>100</v>
      </c>
      <c r="H129" s="30">
        <v>120</v>
      </c>
      <c r="I129" s="30">
        <v>12000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42495</v>
      </c>
      <c r="C130" s="30" t="s">
        <v>8</v>
      </c>
      <c r="D130" s="30" t="s">
        <v>301</v>
      </c>
      <c r="E130" s="30">
        <v>16400</v>
      </c>
      <c r="F130" s="30">
        <v>16300</v>
      </c>
      <c r="G130" s="30">
        <v>100</v>
      </c>
      <c r="H130" s="30">
        <v>120</v>
      </c>
      <c r="I130" s="30">
        <v>12000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42526</v>
      </c>
      <c r="C131" s="30" t="s">
        <v>8</v>
      </c>
      <c r="D131" s="30" t="s">
        <v>301</v>
      </c>
      <c r="E131" s="30">
        <v>16340</v>
      </c>
      <c r="F131" s="30">
        <v>16290</v>
      </c>
      <c r="G131" s="30">
        <v>50</v>
      </c>
      <c r="H131" s="30">
        <v>120</v>
      </c>
      <c r="I131" s="30">
        <v>6000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42618</v>
      </c>
      <c r="C132" s="30" t="s">
        <v>8</v>
      </c>
      <c r="D132" s="30" t="s">
        <v>301</v>
      </c>
      <c r="E132" s="30">
        <v>16660</v>
      </c>
      <c r="F132" s="30">
        <v>16760</v>
      </c>
      <c r="G132" s="30">
        <v>-100</v>
      </c>
      <c r="H132" s="30">
        <v>120</v>
      </c>
      <c r="I132" s="30">
        <v>-12000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42648</v>
      </c>
      <c r="C133" s="30" t="s">
        <v>8</v>
      </c>
      <c r="D133" s="30" t="s">
        <v>301</v>
      </c>
      <c r="E133" s="30">
        <v>16720</v>
      </c>
      <c r="F133" s="30">
        <v>16850</v>
      </c>
      <c r="G133" s="30">
        <v>-130</v>
      </c>
      <c r="H133" s="30">
        <v>120</v>
      </c>
      <c r="I133" s="30">
        <v>-15600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42679</v>
      </c>
      <c r="C134" s="30" t="s">
        <v>9</v>
      </c>
      <c r="D134" s="30" t="s">
        <v>301</v>
      </c>
      <c r="E134" s="30">
        <v>16780</v>
      </c>
      <c r="F134" s="30">
        <v>16880</v>
      </c>
      <c r="G134" s="30">
        <v>100</v>
      </c>
      <c r="H134" s="30">
        <v>120</v>
      </c>
      <c r="I134" s="30">
        <v>12000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>
        <v>42709</v>
      </c>
      <c r="C135" s="30" t="s">
        <v>9</v>
      </c>
      <c r="D135" s="30" t="s">
        <v>301</v>
      </c>
      <c r="E135" s="30">
        <v>16940</v>
      </c>
      <c r="F135" s="30">
        <v>16990</v>
      </c>
      <c r="G135" s="30">
        <v>50</v>
      </c>
      <c r="H135" s="30">
        <v>120</v>
      </c>
      <c r="I135" s="30">
        <v>6000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 t="s">
        <v>1434</v>
      </c>
      <c r="C136" s="30" t="s">
        <v>8</v>
      </c>
      <c r="D136" s="30" t="s">
        <v>301</v>
      </c>
      <c r="E136" s="30">
        <v>16800</v>
      </c>
      <c r="F136" s="30">
        <v>16620</v>
      </c>
      <c r="G136" s="30">
        <v>180</v>
      </c>
      <c r="H136" s="30">
        <v>120</v>
      </c>
      <c r="I136" s="30">
        <v>21600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 t="s">
        <v>1453</v>
      </c>
      <c r="C137" s="30" t="s">
        <v>8</v>
      </c>
      <c r="D137" s="30" t="s">
        <v>301</v>
      </c>
      <c r="E137" s="30">
        <v>16650</v>
      </c>
      <c r="F137" s="30">
        <v>16480</v>
      </c>
      <c r="G137" s="30">
        <v>170</v>
      </c>
      <c r="H137" s="30">
        <v>120</v>
      </c>
      <c r="I137" s="30">
        <v>20400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 t="s">
        <v>1454</v>
      </c>
      <c r="C138" s="30" t="s">
        <v>8</v>
      </c>
      <c r="D138" s="30" t="s">
        <v>301</v>
      </c>
      <c r="E138" s="30">
        <v>16840</v>
      </c>
      <c r="F138" s="30">
        <v>16790</v>
      </c>
      <c r="G138" s="30">
        <v>50</v>
      </c>
      <c r="H138" s="30">
        <v>120</v>
      </c>
      <c r="I138" s="30">
        <v>6000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 t="s">
        <v>1457</v>
      </c>
      <c r="C139" s="30" t="s">
        <v>8</v>
      </c>
      <c r="D139" s="30" t="s">
        <v>301</v>
      </c>
      <c r="E139" s="30">
        <v>16620</v>
      </c>
      <c r="F139" s="30">
        <v>16740</v>
      </c>
      <c r="G139" s="30">
        <v>-120</v>
      </c>
      <c r="H139" s="30">
        <v>120</v>
      </c>
      <c r="I139" s="30">
        <v>-14400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 t="s">
        <v>1459</v>
      </c>
      <c r="C140" s="30" t="s">
        <v>8</v>
      </c>
      <c r="D140" s="30" t="s">
        <v>301</v>
      </c>
      <c r="E140" s="30">
        <v>16700</v>
      </c>
      <c r="F140" s="30">
        <v>16560</v>
      </c>
      <c r="G140" s="30">
        <v>140</v>
      </c>
      <c r="H140" s="30">
        <v>120</v>
      </c>
      <c r="I140" s="30">
        <v>16800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 t="s">
        <v>1463</v>
      </c>
      <c r="C141" s="30" t="s">
        <v>8</v>
      </c>
      <c r="D141" s="30" t="s">
        <v>301</v>
      </c>
      <c r="E141" s="30">
        <v>16640</v>
      </c>
      <c r="F141" s="30">
        <v>16490</v>
      </c>
      <c r="G141" s="30">
        <v>150</v>
      </c>
      <c r="H141" s="30">
        <v>120</v>
      </c>
      <c r="I141" s="30">
        <v>18000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>
        <v>42513</v>
      </c>
      <c r="C142" s="30" t="s">
        <v>8</v>
      </c>
      <c r="D142" s="30" t="s">
        <v>301</v>
      </c>
      <c r="E142" s="30">
        <v>16550</v>
      </c>
      <c r="F142" s="30">
        <v>16410</v>
      </c>
      <c r="G142" s="30">
        <v>140</v>
      </c>
      <c r="H142" s="30">
        <v>120</v>
      </c>
      <c r="I142" s="30">
        <v>16800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>
        <v>42514</v>
      </c>
      <c r="C143" s="30" t="s">
        <v>8</v>
      </c>
      <c r="D143" s="30" t="s">
        <v>301</v>
      </c>
      <c r="E143" s="30">
        <v>16430</v>
      </c>
      <c r="F143" s="30">
        <v>16380</v>
      </c>
      <c r="G143" s="30">
        <v>50</v>
      </c>
      <c r="H143" s="30">
        <v>120</v>
      </c>
      <c r="I143" s="30">
        <v>6000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>
        <v>42515</v>
      </c>
      <c r="C144" s="30" t="s">
        <v>9</v>
      </c>
      <c r="D144" s="30" t="s">
        <v>301</v>
      </c>
      <c r="E144" s="30">
        <v>16820</v>
      </c>
      <c r="F144" s="30">
        <v>17000</v>
      </c>
      <c r="G144" s="30">
        <v>180</v>
      </c>
      <c r="H144" s="30">
        <v>120</v>
      </c>
      <c r="I144" s="30">
        <v>21600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>
        <v>42516</v>
      </c>
      <c r="C145" s="30" t="s">
        <v>9</v>
      </c>
      <c r="D145" s="30" t="s">
        <v>301</v>
      </c>
      <c r="E145" s="30">
        <v>17050</v>
      </c>
      <c r="F145" s="30">
        <v>17310</v>
      </c>
      <c r="G145" s="30">
        <v>260</v>
      </c>
      <c r="H145" s="30">
        <v>120</v>
      </c>
      <c r="I145" s="30">
        <v>31200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>
        <v>42517</v>
      </c>
      <c r="C146" s="30" t="s">
        <v>8</v>
      </c>
      <c r="D146" s="30" t="s">
        <v>301</v>
      </c>
      <c r="E146" s="30">
        <v>17460</v>
      </c>
      <c r="F146" s="30">
        <v>17360</v>
      </c>
      <c r="G146" s="30">
        <v>100</v>
      </c>
      <c r="H146" s="30">
        <v>120</v>
      </c>
      <c r="I146" s="30">
        <v>12000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42520</v>
      </c>
      <c r="C147" s="30" t="s">
        <v>8</v>
      </c>
      <c r="D147" s="30" t="s">
        <v>301</v>
      </c>
      <c r="E147" s="30">
        <v>17550</v>
      </c>
      <c r="F147" s="30">
        <v>17480</v>
      </c>
      <c r="G147" s="30">
        <v>70</v>
      </c>
      <c r="H147" s="30">
        <v>120</v>
      </c>
      <c r="I147" s="30">
        <v>8400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/>
      <c r="C148" s="30"/>
      <c r="D148" s="30"/>
      <c r="E148" s="30"/>
      <c r="F148" s="30"/>
      <c r="G148" s="30"/>
      <c r="H148" s="30"/>
      <c r="I148" s="30"/>
      <c r="J148" s="12"/>
      <c r="K148" s="10"/>
      <c r="L148" s="10"/>
      <c r="M148" s="10"/>
      <c r="N148" s="10"/>
      <c r="O148" s="10"/>
    </row>
    <row r="149" spans="1:15" ht="18" x14ac:dyDescent="0.35">
      <c r="A149" s="12"/>
      <c r="B149" s="10"/>
      <c r="C149" s="10"/>
      <c r="D149" s="10"/>
      <c r="E149" s="10"/>
      <c r="F149" s="10"/>
      <c r="G149" s="10"/>
      <c r="H149" s="10"/>
      <c r="I149" s="98">
        <v>232800</v>
      </c>
      <c r="J149" s="12"/>
      <c r="K149" s="10"/>
      <c r="L149" s="10"/>
      <c r="M149" s="10"/>
      <c r="N149" s="10"/>
      <c r="O149" s="10"/>
    </row>
    <row r="150" spans="1:15" ht="21" x14ac:dyDescent="0.4">
      <c r="A150" s="12"/>
      <c r="B150" s="10"/>
      <c r="C150" s="10"/>
      <c r="D150" s="10"/>
      <c r="E150" s="10"/>
      <c r="F150" s="10"/>
      <c r="G150" s="10"/>
      <c r="H150" s="10"/>
      <c r="I150" s="112"/>
      <c r="J150" s="12"/>
      <c r="K150" s="10"/>
      <c r="L150" s="10"/>
      <c r="M150" s="10"/>
      <c r="N150" s="10"/>
      <c r="O150" s="10"/>
    </row>
    <row r="151" spans="1:15" x14ac:dyDescent="0.3">
      <c r="A151" s="12"/>
      <c r="B151" s="291" t="s">
        <v>1076</v>
      </c>
      <c r="C151" s="292"/>
      <c r="D151" s="292"/>
      <c r="E151" s="292"/>
      <c r="F151" s="292"/>
      <c r="G151" s="292"/>
      <c r="H151" s="292"/>
      <c r="I151" s="293"/>
      <c r="J151" s="113"/>
      <c r="K151" s="10"/>
      <c r="L151" s="10"/>
      <c r="M151" s="10"/>
      <c r="N151" s="10"/>
      <c r="O151" s="10"/>
    </row>
    <row r="152" spans="1:15" x14ac:dyDescent="0.3">
      <c r="A152" s="113"/>
      <c r="B152" s="43">
        <v>42405</v>
      </c>
      <c r="C152" s="30" t="s">
        <v>9</v>
      </c>
      <c r="D152" s="30" t="s">
        <v>1410</v>
      </c>
      <c r="E152" s="30">
        <v>24</v>
      </c>
      <c r="F152" s="288" t="s">
        <v>1411</v>
      </c>
      <c r="G152" s="289"/>
      <c r="H152" s="289"/>
      <c r="I152" s="290"/>
      <c r="J152" s="12"/>
      <c r="K152" s="10"/>
      <c r="L152" s="10"/>
      <c r="M152" s="10"/>
      <c r="N152" s="10"/>
      <c r="O152" s="10"/>
    </row>
    <row r="153" spans="1:15" x14ac:dyDescent="0.3">
      <c r="A153" s="12"/>
      <c r="B153" s="43">
        <v>42434</v>
      </c>
      <c r="C153" s="30" t="s">
        <v>9</v>
      </c>
      <c r="D153" s="30" t="s">
        <v>1412</v>
      </c>
      <c r="E153" s="30">
        <v>10</v>
      </c>
      <c r="F153" s="30">
        <v>9</v>
      </c>
      <c r="G153" s="30">
        <v>-1</v>
      </c>
      <c r="H153" s="30">
        <v>2000</v>
      </c>
      <c r="I153" s="30">
        <v>-2000</v>
      </c>
      <c r="J153" s="12"/>
      <c r="K153" s="17"/>
      <c r="L153" s="17"/>
      <c r="M153" s="17"/>
      <c r="N153" s="17"/>
      <c r="O153" s="17"/>
    </row>
    <row r="154" spans="1:15" x14ac:dyDescent="0.3">
      <c r="A154" s="12"/>
      <c r="B154" s="43">
        <v>42465</v>
      </c>
      <c r="C154" s="30" t="s">
        <v>9</v>
      </c>
      <c r="D154" s="30" t="s">
        <v>1413</v>
      </c>
      <c r="E154" s="30">
        <v>33</v>
      </c>
      <c r="F154" s="30">
        <v>37</v>
      </c>
      <c r="G154" s="30">
        <v>4</v>
      </c>
      <c r="H154" s="30">
        <v>300</v>
      </c>
      <c r="I154" s="30">
        <v>1200</v>
      </c>
      <c r="J154" s="12"/>
      <c r="K154" s="10"/>
      <c r="L154" s="30"/>
      <c r="M154" s="10"/>
      <c r="N154" s="10"/>
      <c r="O154" s="10"/>
    </row>
    <row r="155" spans="1:15" x14ac:dyDescent="0.3">
      <c r="A155" s="12"/>
      <c r="B155" s="43">
        <v>42495</v>
      </c>
      <c r="C155" s="30" t="s">
        <v>9</v>
      </c>
      <c r="D155" s="30" t="s">
        <v>1414</v>
      </c>
      <c r="E155" s="30">
        <v>27</v>
      </c>
      <c r="F155" s="30">
        <v>31</v>
      </c>
      <c r="G155" s="30">
        <v>4</v>
      </c>
      <c r="H155" s="30">
        <v>700</v>
      </c>
      <c r="I155" s="30">
        <v>2800</v>
      </c>
      <c r="J155" s="12"/>
      <c r="K155" s="10"/>
      <c r="L155" s="30"/>
      <c r="M155" s="10"/>
      <c r="N155" s="10"/>
      <c r="O155" s="10"/>
    </row>
    <row r="156" spans="1:15" x14ac:dyDescent="0.3">
      <c r="A156" s="12"/>
      <c r="B156" s="43">
        <v>42526</v>
      </c>
      <c r="C156" s="30" t="s">
        <v>9</v>
      </c>
      <c r="D156" s="30" t="s">
        <v>1422</v>
      </c>
      <c r="E156" s="30">
        <v>17</v>
      </c>
      <c r="F156" s="115">
        <v>17</v>
      </c>
      <c r="G156" s="289" t="s">
        <v>1423</v>
      </c>
      <c r="H156" s="289"/>
      <c r="I156" s="290"/>
      <c r="J156" s="12"/>
      <c r="K156" s="10"/>
      <c r="L156" s="30"/>
      <c r="M156" s="10"/>
      <c r="N156" s="10"/>
      <c r="O156" s="10"/>
    </row>
    <row r="157" spans="1:15" x14ac:dyDescent="0.3">
      <c r="A157" s="12"/>
      <c r="B157" s="43">
        <v>42618</v>
      </c>
      <c r="C157" s="30" t="s">
        <v>9</v>
      </c>
      <c r="D157" s="30" t="s">
        <v>1412</v>
      </c>
      <c r="E157" s="30">
        <v>7.5</v>
      </c>
      <c r="F157" s="115">
        <v>9</v>
      </c>
      <c r="G157" s="116">
        <v>1.5</v>
      </c>
      <c r="H157" s="116">
        <v>2000</v>
      </c>
      <c r="I157" s="117">
        <v>3000</v>
      </c>
      <c r="J157" s="12"/>
      <c r="K157" s="10"/>
      <c r="L157" s="30"/>
      <c r="M157" s="10"/>
      <c r="N157" s="10"/>
      <c r="O157" s="10"/>
    </row>
    <row r="158" spans="1:15" x14ac:dyDescent="0.3">
      <c r="A158" s="12"/>
      <c r="B158" s="43">
        <v>42648</v>
      </c>
      <c r="C158" s="30" t="s">
        <v>9</v>
      </c>
      <c r="D158" s="30" t="s">
        <v>1083</v>
      </c>
      <c r="E158" s="30">
        <v>32</v>
      </c>
      <c r="F158" s="115">
        <v>23</v>
      </c>
      <c r="G158" s="116">
        <v>-9</v>
      </c>
      <c r="H158" s="116">
        <v>300</v>
      </c>
      <c r="I158" s="117">
        <v>-2700</v>
      </c>
      <c r="J158" s="12"/>
      <c r="K158" s="10"/>
      <c r="L158" s="30"/>
      <c r="M158" s="10"/>
      <c r="N158" s="10"/>
      <c r="O158" s="10"/>
    </row>
    <row r="159" spans="1:15" x14ac:dyDescent="0.3">
      <c r="A159" s="12"/>
      <c r="B159" s="43">
        <v>42679</v>
      </c>
      <c r="C159" s="30" t="s">
        <v>9</v>
      </c>
      <c r="D159" s="30" t="s">
        <v>1441</v>
      </c>
      <c r="E159" s="30">
        <v>30</v>
      </c>
      <c r="F159" s="115">
        <v>37.299999999999997</v>
      </c>
      <c r="G159" s="116">
        <v>7.3</v>
      </c>
      <c r="H159" s="116">
        <v>400</v>
      </c>
      <c r="I159" s="117">
        <v>2920</v>
      </c>
      <c r="J159" s="12"/>
      <c r="K159" s="10"/>
      <c r="L159" s="30"/>
      <c r="M159" s="10"/>
      <c r="N159" s="10"/>
      <c r="O159" s="10"/>
    </row>
    <row r="160" spans="1:15" x14ac:dyDescent="0.3">
      <c r="A160" s="12"/>
      <c r="B160" s="43">
        <v>42709</v>
      </c>
      <c r="C160" s="30" t="s">
        <v>9</v>
      </c>
      <c r="D160" s="30" t="s">
        <v>1442</v>
      </c>
      <c r="E160" s="30">
        <v>25</v>
      </c>
      <c r="F160" s="115">
        <v>21</v>
      </c>
      <c r="G160" s="116">
        <v>-4</v>
      </c>
      <c r="H160" s="116">
        <v>700</v>
      </c>
      <c r="I160" s="117">
        <v>-2800</v>
      </c>
      <c r="J160" s="12"/>
      <c r="K160" s="10"/>
      <c r="L160" s="30"/>
      <c r="M160" s="10"/>
      <c r="N160" s="10"/>
      <c r="O160" s="10"/>
    </row>
    <row r="161" spans="1:15" x14ac:dyDescent="0.3">
      <c r="A161" s="12"/>
      <c r="B161" s="43" t="s">
        <v>1434</v>
      </c>
      <c r="C161" s="30" t="s">
        <v>9</v>
      </c>
      <c r="D161" s="30" t="s">
        <v>1364</v>
      </c>
      <c r="E161" s="30">
        <v>8.5</v>
      </c>
      <c r="F161" s="115">
        <v>9.6999999999999993</v>
      </c>
      <c r="G161" s="116">
        <v>1.2</v>
      </c>
      <c r="H161" s="116">
        <v>2000</v>
      </c>
      <c r="I161" s="117">
        <v>2400</v>
      </c>
      <c r="J161" s="12"/>
      <c r="K161" s="10"/>
      <c r="L161" s="30"/>
      <c r="M161" s="10"/>
      <c r="N161" s="10"/>
      <c r="O161" s="10"/>
    </row>
    <row r="162" spans="1:15" x14ac:dyDescent="0.3">
      <c r="A162" s="12"/>
      <c r="B162" s="43" t="s">
        <v>1453</v>
      </c>
      <c r="C162" s="30" t="s">
        <v>9</v>
      </c>
      <c r="D162" s="30" t="s">
        <v>1317</v>
      </c>
      <c r="E162" s="30">
        <v>11</v>
      </c>
      <c r="F162" s="115">
        <v>15</v>
      </c>
      <c r="G162" s="116">
        <v>4</v>
      </c>
      <c r="H162" s="116">
        <v>2000</v>
      </c>
      <c r="I162" s="117">
        <v>8000</v>
      </c>
      <c r="J162" s="12"/>
      <c r="K162" s="10"/>
      <c r="L162" s="30"/>
      <c r="M162" s="10"/>
      <c r="N162" s="10"/>
      <c r="O162" s="10"/>
    </row>
    <row r="163" spans="1:15" x14ac:dyDescent="0.3">
      <c r="A163" s="12"/>
      <c r="B163" s="43" t="s">
        <v>1454</v>
      </c>
      <c r="C163" s="30" t="s">
        <v>9</v>
      </c>
      <c r="D163" s="30" t="s">
        <v>1452</v>
      </c>
      <c r="E163" s="30">
        <v>45</v>
      </c>
      <c r="F163" s="115">
        <v>55</v>
      </c>
      <c r="G163" s="116">
        <v>10</v>
      </c>
      <c r="H163" s="116">
        <v>200</v>
      </c>
      <c r="I163" s="117">
        <v>2000</v>
      </c>
      <c r="J163" s="12"/>
      <c r="K163" s="10"/>
      <c r="L163" s="30"/>
      <c r="M163" s="10"/>
      <c r="N163" s="10"/>
      <c r="O163" s="10"/>
    </row>
    <row r="164" spans="1:15" x14ac:dyDescent="0.3">
      <c r="A164" s="12"/>
      <c r="B164" s="43" t="s">
        <v>1457</v>
      </c>
      <c r="C164" s="30" t="s">
        <v>9</v>
      </c>
      <c r="D164" s="30" t="s">
        <v>1441</v>
      </c>
      <c r="E164" s="30">
        <v>25</v>
      </c>
      <c r="F164" s="115">
        <v>23</v>
      </c>
      <c r="G164" s="116">
        <v>-2</v>
      </c>
      <c r="H164" s="116">
        <v>400</v>
      </c>
      <c r="I164" s="117">
        <v>-800</v>
      </c>
      <c r="J164" s="12"/>
      <c r="K164" s="10"/>
      <c r="L164" s="30"/>
      <c r="M164" s="10"/>
      <c r="N164" s="10"/>
      <c r="O164" s="10"/>
    </row>
    <row r="165" spans="1:15" x14ac:dyDescent="0.3">
      <c r="A165" s="12"/>
      <c r="B165" s="43" t="s">
        <v>1459</v>
      </c>
      <c r="C165" s="30" t="s">
        <v>11</v>
      </c>
      <c r="D165" s="30" t="s">
        <v>1468</v>
      </c>
      <c r="E165" s="30">
        <v>38</v>
      </c>
      <c r="F165" s="115">
        <v>50</v>
      </c>
      <c r="G165" s="116">
        <v>12</v>
      </c>
      <c r="H165" s="116">
        <v>200</v>
      </c>
      <c r="I165" s="117">
        <v>2400</v>
      </c>
      <c r="J165" s="12"/>
      <c r="K165" s="10"/>
      <c r="L165" s="30"/>
      <c r="M165" s="10"/>
      <c r="N165" s="10"/>
      <c r="O165" s="10"/>
    </row>
    <row r="166" spans="1:15" x14ac:dyDescent="0.3">
      <c r="A166" s="12"/>
      <c r="B166" s="43" t="s">
        <v>1463</v>
      </c>
      <c r="C166" s="30" t="s">
        <v>9</v>
      </c>
      <c r="D166" s="30" t="s">
        <v>1469</v>
      </c>
      <c r="E166" s="30">
        <v>7</v>
      </c>
      <c r="F166" s="115">
        <v>6.5</v>
      </c>
      <c r="G166" s="116">
        <v>-0.5</v>
      </c>
      <c r="H166" s="116">
        <v>1000</v>
      </c>
      <c r="I166" s="117">
        <v>-500</v>
      </c>
      <c r="J166" s="12"/>
      <c r="K166" s="10"/>
      <c r="L166" s="30"/>
      <c r="M166" s="10"/>
      <c r="N166" s="10"/>
      <c r="O166" s="10"/>
    </row>
    <row r="167" spans="1:15" x14ac:dyDescent="0.3">
      <c r="A167" s="12"/>
      <c r="B167" s="43">
        <v>42513</v>
      </c>
      <c r="C167" s="30" t="s">
        <v>9</v>
      </c>
      <c r="D167" s="30" t="s">
        <v>1487</v>
      </c>
      <c r="E167" s="30">
        <v>22</v>
      </c>
      <c r="F167" s="115">
        <v>15</v>
      </c>
      <c r="G167" s="116">
        <v>-7</v>
      </c>
      <c r="H167" s="116">
        <v>400</v>
      </c>
      <c r="I167" s="117">
        <v>-2800</v>
      </c>
      <c r="J167" s="12"/>
      <c r="K167" s="10"/>
      <c r="L167" s="30"/>
      <c r="M167" s="10"/>
      <c r="N167" s="10"/>
      <c r="O167" s="10"/>
    </row>
    <row r="168" spans="1:15" x14ac:dyDescent="0.3">
      <c r="A168" s="12"/>
      <c r="B168" s="43">
        <v>42514</v>
      </c>
      <c r="C168" s="30" t="s">
        <v>9</v>
      </c>
      <c r="D168" s="30" t="s">
        <v>1488</v>
      </c>
      <c r="E168" s="30">
        <v>24</v>
      </c>
      <c r="F168" s="115">
        <v>28</v>
      </c>
      <c r="G168" s="116">
        <v>4</v>
      </c>
      <c r="H168" s="116">
        <v>300</v>
      </c>
      <c r="I168" s="117">
        <v>1200</v>
      </c>
      <c r="J168" s="12"/>
      <c r="K168" s="10"/>
      <c r="L168" s="30"/>
      <c r="M168" s="10"/>
      <c r="N168" s="10"/>
      <c r="O168" s="10"/>
    </row>
    <row r="169" spans="1:15" x14ac:dyDescent="0.3">
      <c r="A169" s="12"/>
      <c r="B169" s="43">
        <v>42515</v>
      </c>
      <c r="C169" s="30" t="s">
        <v>9</v>
      </c>
      <c r="D169" s="30" t="s">
        <v>1489</v>
      </c>
      <c r="E169" s="30">
        <v>9</v>
      </c>
      <c r="F169" s="115">
        <v>12</v>
      </c>
      <c r="G169" s="116">
        <v>3</v>
      </c>
      <c r="H169" s="116">
        <v>1000</v>
      </c>
      <c r="I169" s="117">
        <v>3000</v>
      </c>
      <c r="J169" s="12"/>
      <c r="K169" s="10"/>
      <c r="L169" s="30"/>
      <c r="M169" s="10"/>
      <c r="N169" s="10"/>
      <c r="O169" s="10"/>
    </row>
    <row r="170" spans="1:15" x14ac:dyDescent="0.3">
      <c r="A170" s="12"/>
      <c r="B170" s="43">
        <v>42516</v>
      </c>
      <c r="C170" s="30" t="s">
        <v>9</v>
      </c>
      <c r="D170" s="30" t="s">
        <v>1490</v>
      </c>
      <c r="E170" s="30">
        <v>10.5</v>
      </c>
      <c r="F170" s="115">
        <v>12.8</v>
      </c>
      <c r="G170" s="116">
        <v>2.2999999999999998</v>
      </c>
      <c r="H170" s="116">
        <v>700</v>
      </c>
      <c r="I170" s="117">
        <v>1610</v>
      </c>
      <c r="J170" s="12"/>
      <c r="K170" s="10"/>
      <c r="L170" s="30"/>
      <c r="M170" s="10"/>
      <c r="N170" s="10"/>
      <c r="O170" s="10"/>
    </row>
    <row r="171" spans="1:15" x14ac:dyDescent="0.3">
      <c r="A171" s="12"/>
      <c r="B171" s="43">
        <v>42517</v>
      </c>
      <c r="C171" s="30" t="s">
        <v>9</v>
      </c>
      <c r="D171" s="30" t="s">
        <v>1491</v>
      </c>
      <c r="E171" s="30">
        <v>41</v>
      </c>
      <c r="F171" s="115">
        <v>36</v>
      </c>
      <c r="G171" s="116">
        <v>-5</v>
      </c>
      <c r="H171" s="116">
        <v>300</v>
      </c>
      <c r="I171" s="117">
        <v>-1500</v>
      </c>
      <c r="J171" s="12"/>
      <c r="K171" s="10"/>
      <c r="L171" s="30"/>
      <c r="M171" s="10"/>
      <c r="N171" s="10"/>
      <c r="O171" s="10"/>
    </row>
    <row r="172" spans="1:15" x14ac:dyDescent="0.3">
      <c r="A172" s="12"/>
      <c r="B172" s="43">
        <v>42520</v>
      </c>
      <c r="C172" s="30" t="s">
        <v>9</v>
      </c>
      <c r="D172" s="30" t="s">
        <v>1317</v>
      </c>
      <c r="E172" s="30">
        <v>9.5</v>
      </c>
      <c r="F172" s="115">
        <v>7.45</v>
      </c>
      <c r="G172" s="116">
        <v>-2.0499999999999998</v>
      </c>
      <c r="H172" s="116">
        <v>2000</v>
      </c>
      <c r="I172" s="117">
        <v>-4100</v>
      </c>
      <c r="J172" s="12"/>
      <c r="K172" s="10"/>
      <c r="L172" s="30"/>
      <c r="M172" s="10"/>
      <c r="N172" s="10"/>
      <c r="O172" s="10"/>
    </row>
    <row r="173" spans="1:15" x14ac:dyDescent="0.3">
      <c r="A173" s="12"/>
      <c r="B173" s="43"/>
      <c r="C173" s="30"/>
      <c r="D173" s="30"/>
      <c r="E173" s="30"/>
      <c r="F173" s="115"/>
      <c r="G173" s="116"/>
      <c r="H173" s="116"/>
      <c r="I173" s="117"/>
      <c r="J173" s="12"/>
      <c r="K173" s="10"/>
      <c r="L173" s="10"/>
      <c r="M173" s="10"/>
      <c r="N173" s="10"/>
      <c r="O173" s="10"/>
    </row>
    <row r="174" spans="1:15" ht="18" x14ac:dyDescent="0.35">
      <c r="A174" s="12"/>
      <c r="B174" s="10"/>
      <c r="C174" s="10"/>
      <c r="D174" s="10"/>
      <c r="E174" s="10"/>
      <c r="F174" s="10"/>
      <c r="G174" s="10"/>
      <c r="H174" s="10"/>
      <c r="I174" s="72">
        <v>13330</v>
      </c>
      <c r="J174" s="12"/>
      <c r="K174" s="10"/>
      <c r="L174" s="10"/>
      <c r="M174" s="10"/>
      <c r="N174" s="10"/>
      <c r="O174" s="10"/>
    </row>
    <row r="175" spans="1:15" ht="18" x14ac:dyDescent="0.35">
      <c r="A175" s="12"/>
      <c r="B175" s="10"/>
      <c r="C175" s="10"/>
      <c r="D175" s="10"/>
      <c r="E175" s="10"/>
      <c r="F175" s="10"/>
      <c r="G175" s="10"/>
      <c r="H175" s="10"/>
      <c r="I175" s="72"/>
      <c r="J175" s="12"/>
      <c r="K175" s="10"/>
      <c r="L175" s="10"/>
      <c r="M175" s="10"/>
      <c r="N175" s="10"/>
      <c r="O175" s="10"/>
    </row>
    <row r="176" spans="1:15" x14ac:dyDescent="0.3">
      <c r="A176" s="12"/>
      <c r="B176" s="291" t="s">
        <v>1152</v>
      </c>
      <c r="C176" s="292"/>
      <c r="D176" s="292"/>
      <c r="E176" s="292"/>
      <c r="F176" s="292"/>
      <c r="G176" s="292"/>
      <c r="H176" s="292"/>
      <c r="I176" s="293"/>
      <c r="J176" s="12"/>
      <c r="K176" s="10"/>
      <c r="L176" s="10"/>
      <c r="M176" s="10"/>
      <c r="N176" s="10"/>
      <c r="O176" s="10"/>
    </row>
    <row r="177" spans="1:15" x14ac:dyDescent="0.3">
      <c r="A177" s="12"/>
      <c r="B177" s="43">
        <v>42405</v>
      </c>
      <c r="C177" s="30" t="s">
        <v>9</v>
      </c>
      <c r="D177" s="30" t="s">
        <v>1387</v>
      </c>
      <c r="E177" s="30">
        <v>400</v>
      </c>
      <c r="F177" s="30">
        <v>430</v>
      </c>
      <c r="G177" s="30">
        <v>30</v>
      </c>
      <c r="H177" s="30">
        <v>120</v>
      </c>
      <c r="I177" s="30">
        <v>3600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>
        <v>42434</v>
      </c>
      <c r="C178" s="30" t="s">
        <v>9</v>
      </c>
      <c r="D178" s="30" t="s">
        <v>1387</v>
      </c>
      <c r="E178" s="30">
        <v>330</v>
      </c>
      <c r="F178" s="30">
        <v>490</v>
      </c>
      <c r="G178" s="30">
        <v>160</v>
      </c>
      <c r="H178" s="30">
        <v>120</v>
      </c>
      <c r="I178" s="30">
        <v>19200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>
        <v>42465</v>
      </c>
      <c r="C179" s="30" t="s">
        <v>9</v>
      </c>
      <c r="D179" s="30" t="s">
        <v>1415</v>
      </c>
      <c r="E179" s="30">
        <v>400</v>
      </c>
      <c r="F179" s="30">
        <v>440</v>
      </c>
      <c r="G179" s="30">
        <v>40</v>
      </c>
      <c r="H179" s="30">
        <v>120</v>
      </c>
      <c r="I179" s="30">
        <v>4800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>
        <v>42495</v>
      </c>
      <c r="C180" s="30" t="s">
        <v>9</v>
      </c>
      <c r="D180" s="30" t="s">
        <v>1416</v>
      </c>
      <c r="E180" s="30">
        <v>370</v>
      </c>
      <c r="F180" s="30">
        <v>400</v>
      </c>
      <c r="G180" s="30">
        <v>30</v>
      </c>
      <c r="H180" s="30">
        <v>120</v>
      </c>
      <c r="I180" s="30">
        <v>3600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42526</v>
      </c>
      <c r="C181" s="30" t="s">
        <v>9</v>
      </c>
      <c r="D181" s="30" t="s">
        <v>1416</v>
      </c>
      <c r="E181" s="30">
        <v>350</v>
      </c>
      <c r="F181" s="30">
        <v>380</v>
      </c>
      <c r="G181" s="30">
        <v>30</v>
      </c>
      <c r="H181" s="30">
        <v>120</v>
      </c>
      <c r="I181" s="30">
        <v>3600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>
        <v>42618</v>
      </c>
      <c r="C182" s="30" t="s">
        <v>9</v>
      </c>
      <c r="D182" s="30" t="s">
        <v>1443</v>
      </c>
      <c r="E182" s="30">
        <v>270</v>
      </c>
      <c r="F182" s="30">
        <v>220</v>
      </c>
      <c r="G182" s="30">
        <v>-50</v>
      </c>
      <c r="H182" s="30">
        <v>120</v>
      </c>
      <c r="I182" s="30">
        <v>-6000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43">
        <v>42648</v>
      </c>
      <c r="C183" s="30" t="s">
        <v>9</v>
      </c>
      <c r="D183" s="30" t="s">
        <v>1443</v>
      </c>
      <c r="E183" s="30">
        <v>240</v>
      </c>
      <c r="F183" s="30">
        <v>180</v>
      </c>
      <c r="G183" s="30">
        <v>-60</v>
      </c>
      <c r="H183" s="30">
        <v>120</v>
      </c>
      <c r="I183" s="30">
        <v>-7200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43">
        <v>42679</v>
      </c>
      <c r="C184" s="30" t="s">
        <v>9</v>
      </c>
      <c r="D184" s="30" t="s">
        <v>1444</v>
      </c>
      <c r="E184" s="30">
        <v>330</v>
      </c>
      <c r="F184" s="30">
        <v>390</v>
      </c>
      <c r="G184" s="30">
        <v>60</v>
      </c>
      <c r="H184" s="30">
        <v>120</v>
      </c>
      <c r="I184" s="30">
        <v>7200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43">
        <v>42709</v>
      </c>
      <c r="C185" s="30" t="s">
        <v>9</v>
      </c>
      <c r="D185" s="30" t="s">
        <v>1388</v>
      </c>
      <c r="E185" s="30">
        <v>310</v>
      </c>
      <c r="F185" s="30">
        <v>300</v>
      </c>
      <c r="G185" s="30">
        <v>-10</v>
      </c>
      <c r="H185" s="30">
        <v>120</v>
      </c>
      <c r="I185" s="30">
        <v>-1200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43" t="s">
        <v>1434</v>
      </c>
      <c r="C186" s="30" t="s">
        <v>9</v>
      </c>
      <c r="D186" s="30" t="s">
        <v>1177</v>
      </c>
      <c r="E186" s="30">
        <v>310</v>
      </c>
      <c r="F186" s="30">
        <v>435</v>
      </c>
      <c r="G186" s="30">
        <v>125</v>
      </c>
      <c r="H186" s="30">
        <v>120</v>
      </c>
      <c r="I186" s="30">
        <v>15000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43" t="s">
        <v>1453</v>
      </c>
      <c r="C187" s="30" t="s">
        <v>9</v>
      </c>
      <c r="D187" s="30" t="s">
        <v>1387</v>
      </c>
      <c r="E187" s="30">
        <v>280</v>
      </c>
      <c r="F187" s="30">
        <v>375</v>
      </c>
      <c r="G187" s="30">
        <v>95</v>
      </c>
      <c r="H187" s="30">
        <v>120</v>
      </c>
      <c r="I187" s="30">
        <v>11400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43" t="s">
        <v>1454</v>
      </c>
      <c r="C188" s="30" t="s">
        <v>9</v>
      </c>
      <c r="D188" s="30" t="s">
        <v>1177</v>
      </c>
      <c r="E188" s="30">
        <v>260</v>
      </c>
      <c r="F188" s="30">
        <v>280</v>
      </c>
      <c r="G188" s="30">
        <v>20</v>
      </c>
      <c r="H188" s="30">
        <v>120</v>
      </c>
      <c r="I188" s="30">
        <v>2400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43" t="s">
        <v>1457</v>
      </c>
      <c r="C189" s="30" t="s">
        <v>9</v>
      </c>
      <c r="D189" s="30" t="s">
        <v>1387</v>
      </c>
      <c r="E189" s="30">
        <v>260</v>
      </c>
      <c r="F189" s="30">
        <v>190</v>
      </c>
      <c r="G189" s="30">
        <v>-70</v>
      </c>
      <c r="H189" s="30">
        <v>120</v>
      </c>
      <c r="I189" s="30">
        <v>-8400</v>
      </c>
      <c r="J189" s="12"/>
      <c r="K189" s="10"/>
      <c r="L189" s="10"/>
      <c r="M189" s="10"/>
      <c r="N189" s="10"/>
      <c r="O189" s="10"/>
    </row>
    <row r="190" spans="1:15" x14ac:dyDescent="0.3">
      <c r="A190" s="12"/>
      <c r="B190" s="43" t="s">
        <v>1459</v>
      </c>
      <c r="C190" s="30" t="s">
        <v>9</v>
      </c>
      <c r="D190" s="30" t="s">
        <v>1387</v>
      </c>
      <c r="E190" s="30">
        <v>210</v>
      </c>
      <c r="F190" s="30">
        <v>290</v>
      </c>
      <c r="G190" s="30">
        <v>80</v>
      </c>
      <c r="H190" s="30">
        <v>120</v>
      </c>
      <c r="I190" s="30">
        <v>9600</v>
      </c>
      <c r="J190" s="12"/>
      <c r="K190" s="10"/>
      <c r="L190" s="10"/>
      <c r="M190" s="10"/>
      <c r="N190" s="10"/>
      <c r="O190" s="10"/>
    </row>
    <row r="191" spans="1:15" x14ac:dyDescent="0.3">
      <c r="A191" s="12"/>
      <c r="B191" s="43" t="s">
        <v>1463</v>
      </c>
      <c r="C191" s="30" t="s">
        <v>9</v>
      </c>
      <c r="D191" s="30" t="s">
        <v>1387</v>
      </c>
      <c r="E191" s="30">
        <v>240</v>
      </c>
      <c r="F191" s="30">
        <v>295</v>
      </c>
      <c r="G191" s="30">
        <v>55</v>
      </c>
      <c r="H191" s="30">
        <v>120</v>
      </c>
      <c r="I191" s="30">
        <v>6600</v>
      </c>
      <c r="J191" s="12"/>
      <c r="K191" s="10"/>
      <c r="L191" s="10"/>
      <c r="M191" s="10"/>
      <c r="N191" s="10"/>
      <c r="O191" s="10"/>
    </row>
    <row r="192" spans="1:15" x14ac:dyDescent="0.3">
      <c r="A192" s="12"/>
      <c r="B192" s="43">
        <v>42513</v>
      </c>
      <c r="C192" s="30" t="s">
        <v>9</v>
      </c>
      <c r="D192" s="30" t="s">
        <v>1387</v>
      </c>
      <c r="E192" s="30">
        <v>210</v>
      </c>
      <c r="F192" s="30">
        <v>290</v>
      </c>
      <c r="G192" s="30">
        <v>80</v>
      </c>
      <c r="H192" s="30">
        <v>120</v>
      </c>
      <c r="I192" s="30">
        <v>9600</v>
      </c>
      <c r="J192" s="12"/>
      <c r="K192" s="10"/>
      <c r="L192" s="10"/>
      <c r="M192" s="10"/>
      <c r="N192" s="10"/>
      <c r="O192" s="10"/>
    </row>
    <row r="193" spans="1:15" x14ac:dyDescent="0.3">
      <c r="A193" s="12"/>
      <c r="B193" s="43">
        <v>42514</v>
      </c>
      <c r="C193" s="30" t="s">
        <v>9</v>
      </c>
      <c r="D193" s="30" t="s">
        <v>1387</v>
      </c>
      <c r="E193" s="30">
        <v>280</v>
      </c>
      <c r="F193" s="30">
        <v>320</v>
      </c>
      <c r="G193" s="30">
        <v>40</v>
      </c>
      <c r="H193" s="30">
        <v>120</v>
      </c>
      <c r="I193" s="30">
        <v>4800</v>
      </c>
      <c r="J193" s="12"/>
      <c r="K193" s="10"/>
      <c r="L193" s="10"/>
      <c r="M193" s="10"/>
      <c r="N193" s="10"/>
      <c r="O193" s="10"/>
    </row>
    <row r="194" spans="1:15" x14ac:dyDescent="0.3">
      <c r="A194" s="12"/>
      <c r="B194" s="43">
        <v>42515</v>
      </c>
      <c r="C194" s="30" t="s">
        <v>9</v>
      </c>
      <c r="D194" s="30" t="s">
        <v>1376</v>
      </c>
      <c r="E194" s="30">
        <v>240</v>
      </c>
      <c r="F194" s="30">
        <v>400</v>
      </c>
      <c r="G194" s="30">
        <v>160</v>
      </c>
      <c r="H194" s="30">
        <v>120</v>
      </c>
      <c r="I194" s="30">
        <v>19200</v>
      </c>
      <c r="J194" s="12"/>
      <c r="K194" s="10"/>
      <c r="L194" s="10"/>
      <c r="M194" s="10"/>
      <c r="N194" s="10"/>
      <c r="O194" s="10"/>
    </row>
    <row r="195" spans="1:15" x14ac:dyDescent="0.3">
      <c r="A195" s="12"/>
      <c r="B195" s="43">
        <v>42516</v>
      </c>
      <c r="C195" s="30" t="s">
        <v>9</v>
      </c>
      <c r="D195" s="30" t="s">
        <v>1388</v>
      </c>
      <c r="E195" s="30">
        <v>170</v>
      </c>
      <c r="F195" s="30">
        <v>300</v>
      </c>
      <c r="G195" s="30">
        <v>130</v>
      </c>
      <c r="H195" s="30">
        <v>120</v>
      </c>
      <c r="I195" s="30">
        <v>15600</v>
      </c>
      <c r="J195" s="12"/>
      <c r="K195" s="10"/>
      <c r="L195" s="10"/>
      <c r="M195" s="10"/>
      <c r="N195" s="10"/>
      <c r="O195" s="10"/>
    </row>
    <row r="196" spans="1:15" x14ac:dyDescent="0.3">
      <c r="A196" s="12"/>
      <c r="B196" s="43">
        <v>42517</v>
      </c>
      <c r="C196" s="30" t="s">
        <v>9</v>
      </c>
      <c r="D196" s="30" t="s">
        <v>1492</v>
      </c>
      <c r="E196" s="30">
        <v>340</v>
      </c>
      <c r="F196" s="30">
        <v>380</v>
      </c>
      <c r="G196" s="30">
        <v>40</v>
      </c>
      <c r="H196" s="30">
        <v>120</v>
      </c>
      <c r="I196" s="30">
        <v>4800</v>
      </c>
      <c r="J196" s="12"/>
      <c r="K196" s="10"/>
      <c r="L196" s="10"/>
      <c r="M196" s="10"/>
      <c r="N196" s="10"/>
      <c r="O196" s="10"/>
    </row>
    <row r="197" spans="1:15" x14ac:dyDescent="0.3">
      <c r="A197" s="12"/>
      <c r="B197" s="43">
        <v>42520</v>
      </c>
      <c r="C197" s="30" t="s">
        <v>9</v>
      </c>
      <c r="D197" s="30" t="s">
        <v>1492</v>
      </c>
      <c r="E197" s="30">
        <v>290</v>
      </c>
      <c r="F197" s="30">
        <v>335</v>
      </c>
      <c r="G197" s="30">
        <v>45</v>
      </c>
      <c r="H197" s="30">
        <v>120</v>
      </c>
      <c r="I197" s="30">
        <v>5400</v>
      </c>
      <c r="J197" s="12"/>
      <c r="K197" s="10"/>
      <c r="L197" s="10"/>
      <c r="M197" s="10"/>
      <c r="N197" s="10"/>
      <c r="O197" s="10"/>
    </row>
    <row r="198" spans="1:15" x14ac:dyDescent="0.3">
      <c r="A198" s="12"/>
      <c r="B198" s="30"/>
      <c r="C198" s="30"/>
      <c r="D198" s="30"/>
      <c r="E198" s="30"/>
      <c r="F198" s="30"/>
      <c r="G198" s="30"/>
      <c r="H198" s="30"/>
      <c r="I198" s="30"/>
      <c r="J198" s="12"/>
      <c r="K198" s="10"/>
      <c r="L198" s="10"/>
      <c r="M198" s="10"/>
      <c r="N198" s="10"/>
      <c r="O198" s="10"/>
    </row>
    <row r="199" spans="1:15" ht="18" x14ac:dyDescent="0.35">
      <c r="A199" s="12"/>
      <c r="B199" s="10"/>
      <c r="C199" s="10"/>
      <c r="D199" s="10"/>
      <c r="E199" s="10"/>
      <c r="F199" s="10"/>
      <c r="G199" s="10"/>
      <c r="H199" s="10"/>
      <c r="I199" s="72">
        <v>123600</v>
      </c>
      <c r="J199" s="12"/>
      <c r="K199" s="10"/>
      <c r="L199" s="10"/>
      <c r="M199" s="10"/>
      <c r="N199" s="10"/>
      <c r="O199" s="10"/>
    </row>
    <row r="200" spans="1:15" ht="25.8" x14ac:dyDescent="0.5">
      <c r="A200" s="12"/>
      <c r="B200" s="10"/>
      <c r="C200" s="10"/>
      <c r="D200" s="10"/>
      <c r="E200" s="10"/>
      <c r="F200" s="10"/>
      <c r="G200" s="10"/>
      <c r="H200" s="10"/>
      <c r="I200" s="114"/>
      <c r="J200" s="12"/>
      <c r="K200" s="10"/>
      <c r="L200" s="10"/>
      <c r="M200" s="10"/>
      <c r="N200" s="10"/>
      <c r="O200" s="10"/>
    </row>
    <row r="201" spans="1:15" x14ac:dyDescent="0.3">
      <c r="A201" s="12"/>
    </row>
  </sheetData>
  <mergeCells count="7">
    <mergeCell ref="B176:I176"/>
    <mergeCell ref="B1:I1"/>
    <mergeCell ref="B2:I2"/>
    <mergeCell ref="B3:I3"/>
    <mergeCell ref="B151:I151"/>
    <mergeCell ref="F152:I152"/>
    <mergeCell ref="G156:I156"/>
  </mergeCells>
  <hyperlinks>
    <hyperlink ref="K2" location="'MASTER '!A1" display="Back" xr:uid="{00000000-0004-0000-25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205"/>
  <sheetViews>
    <sheetView workbookViewId="0">
      <selection activeCell="K2" sqref="K2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10"/>
      <c r="L1" s="10"/>
      <c r="M1" s="10"/>
      <c r="N1" s="10"/>
      <c r="O1" s="10"/>
    </row>
    <row r="2" spans="1:15" ht="26.4" thickBot="1" x14ac:dyDescent="0.35">
      <c r="A2" s="9" t="s">
        <v>0</v>
      </c>
      <c r="B2" s="294" t="s">
        <v>241</v>
      </c>
      <c r="C2" s="294"/>
      <c r="D2" s="294"/>
      <c r="E2" s="294"/>
      <c r="F2" s="294"/>
      <c r="G2" s="294"/>
      <c r="H2" s="294"/>
      <c r="I2" s="294"/>
      <c r="J2" s="9"/>
      <c r="K2" s="200" t="s">
        <v>2286</v>
      </c>
      <c r="L2" s="10"/>
      <c r="M2" s="10"/>
      <c r="N2" s="10"/>
      <c r="O2" s="10"/>
    </row>
    <row r="3" spans="1:15" x14ac:dyDescent="0.3">
      <c r="A3" s="11"/>
      <c r="B3" s="295" t="s">
        <v>1498</v>
      </c>
      <c r="C3" s="295"/>
      <c r="D3" s="295"/>
      <c r="E3" s="295"/>
      <c r="F3" s="295"/>
      <c r="G3" s="295"/>
      <c r="H3" s="295"/>
      <c r="I3" s="295"/>
      <c r="J3" s="11"/>
      <c r="K3" s="10"/>
      <c r="L3" s="10"/>
      <c r="M3" s="10"/>
      <c r="N3" s="10"/>
      <c r="O3" s="10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0"/>
      <c r="L4" s="10"/>
      <c r="M4" s="10"/>
      <c r="N4" s="10"/>
      <c r="O4" s="10"/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0"/>
      <c r="L5" s="16"/>
      <c r="M5" s="10"/>
      <c r="N5" s="10"/>
      <c r="O5" s="10"/>
    </row>
    <row r="6" spans="1:15" x14ac:dyDescent="0.3">
      <c r="A6" s="12"/>
      <c r="B6" s="43">
        <v>42522</v>
      </c>
      <c r="C6" s="2" t="s">
        <v>9</v>
      </c>
      <c r="D6" s="2" t="s">
        <v>146</v>
      </c>
      <c r="E6" s="41" t="s">
        <v>555</v>
      </c>
      <c r="F6" s="40" t="s">
        <v>612</v>
      </c>
      <c r="G6" s="40" t="s">
        <v>908</v>
      </c>
      <c r="H6" s="5">
        <v>2098</v>
      </c>
      <c r="I6" s="81">
        <v>4196</v>
      </c>
      <c r="J6" s="12"/>
      <c r="K6" s="10"/>
      <c r="L6" s="16"/>
      <c r="M6" s="10"/>
      <c r="N6" s="10"/>
      <c r="O6" s="10"/>
    </row>
    <row r="7" spans="1:15" x14ac:dyDescent="0.3">
      <c r="A7" s="12"/>
      <c r="B7" s="43">
        <v>42522</v>
      </c>
      <c r="C7" s="2" t="s">
        <v>8</v>
      </c>
      <c r="D7" s="2" t="s">
        <v>795</v>
      </c>
      <c r="E7" s="41" t="s">
        <v>1499</v>
      </c>
      <c r="F7" s="40" t="s">
        <v>704</v>
      </c>
      <c r="G7" s="40" t="s">
        <v>959</v>
      </c>
      <c r="H7" s="5">
        <v>352</v>
      </c>
      <c r="I7" s="81">
        <v>1056</v>
      </c>
      <c r="J7" s="12"/>
      <c r="K7" s="10"/>
      <c r="L7" s="16"/>
      <c r="M7" s="10"/>
      <c r="N7" s="10"/>
      <c r="O7" s="10"/>
    </row>
    <row r="8" spans="1:15" x14ac:dyDescent="0.3">
      <c r="A8" s="12"/>
      <c r="B8" s="43">
        <v>42523</v>
      </c>
      <c r="C8" s="2" t="s">
        <v>9</v>
      </c>
      <c r="D8" s="2" t="s">
        <v>575</v>
      </c>
      <c r="E8" s="41" t="s">
        <v>1500</v>
      </c>
      <c r="F8" s="40" t="s">
        <v>1501</v>
      </c>
      <c r="G8" s="40" t="s">
        <v>1502</v>
      </c>
      <c r="H8" s="5">
        <v>1881</v>
      </c>
      <c r="I8" s="81">
        <v>1505</v>
      </c>
      <c r="J8" s="12"/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A9" s="12"/>
      <c r="B9" s="43">
        <v>42523</v>
      </c>
      <c r="C9" s="2" t="s">
        <v>8</v>
      </c>
      <c r="D9" s="2" t="s">
        <v>99</v>
      </c>
      <c r="E9" s="41" t="s">
        <v>271</v>
      </c>
      <c r="F9" s="40" t="s">
        <v>1503</v>
      </c>
      <c r="G9" s="40" t="s">
        <v>1120</v>
      </c>
      <c r="H9" s="5">
        <v>845</v>
      </c>
      <c r="I9" s="81">
        <v>1268</v>
      </c>
      <c r="J9" s="12"/>
      <c r="K9" s="66"/>
      <c r="L9" s="67"/>
      <c r="M9" s="67"/>
      <c r="N9" s="67"/>
      <c r="O9" s="67"/>
    </row>
    <row r="10" spans="1:15" x14ac:dyDescent="0.3">
      <c r="A10" s="12"/>
      <c r="B10" s="43">
        <v>42524</v>
      </c>
      <c r="C10" s="2" t="s">
        <v>9</v>
      </c>
      <c r="D10" s="2" t="s">
        <v>146</v>
      </c>
      <c r="E10" s="41" t="s">
        <v>1504</v>
      </c>
      <c r="F10" s="40" t="s">
        <v>468</v>
      </c>
      <c r="G10" s="40" t="s">
        <v>1505</v>
      </c>
      <c r="H10" s="5">
        <v>2062</v>
      </c>
      <c r="I10" s="81">
        <v>7217</v>
      </c>
      <c r="J10" s="12"/>
      <c r="K10" s="16" t="s">
        <v>449</v>
      </c>
      <c r="L10" s="30">
        <v>44</v>
      </c>
      <c r="M10" s="30">
        <v>33</v>
      </c>
      <c r="N10" s="30">
        <v>8</v>
      </c>
      <c r="O10" s="30">
        <v>3</v>
      </c>
    </row>
    <row r="11" spans="1:15" x14ac:dyDescent="0.3">
      <c r="A11" s="12"/>
      <c r="B11" s="43">
        <v>42524</v>
      </c>
      <c r="C11" s="2" t="s">
        <v>8</v>
      </c>
      <c r="D11" s="2" t="s">
        <v>78</v>
      </c>
      <c r="E11" s="41" t="s">
        <v>1506</v>
      </c>
      <c r="F11" s="40" t="s">
        <v>1507</v>
      </c>
      <c r="G11" s="40" t="s">
        <v>489</v>
      </c>
      <c r="H11" s="5">
        <v>204</v>
      </c>
      <c r="I11" s="81">
        <v>3468</v>
      </c>
      <c r="J11" s="12"/>
      <c r="K11" s="16"/>
      <c r="L11" s="30"/>
      <c r="M11" s="30"/>
      <c r="N11" s="30"/>
      <c r="O11" s="30"/>
    </row>
    <row r="12" spans="1:15" x14ac:dyDescent="0.3">
      <c r="A12" s="12"/>
      <c r="B12" s="43">
        <v>42527</v>
      </c>
      <c r="C12" s="2" t="s">
        <v>9</v>
      </c>
      <c r="D12" s="2" t="s">
        <v>99</v>
      </c>
      <c r="E12" s="41" t="s">
        <v>271</v>
      </c>
      <c r="F12" s="40" t="s">
        <v>319</v>
      </c>
      <c r="G12" s="40" t="s">
        <v>1120</v>
      </c>
      <c r="H12" s="5">
        <v>845</v>
      </c>
      <c r="I12" s="81">
        <v>1267</v>
      </c>
      <c r="J12" s="12"/>
      <c r="K12" s="16" t="s">
        <v>450</v>
      </c>
      <c r="L12" s="30">
        <v>24</v>
      </c>
      <c r="M12" s="30">
        <v>16</v>
      </c>
      <c r="N12" s="30">
        <v>7</v>
      </c>
      <c r="O12" s="30">
        <v>1</v>
      </c>
    </row>
    <row r="13" spans="1:15" x14ac:dyDescent="0.3">
      <c r="A13" s="12"/>
      <c r="B13" s="43">
        <v>42527</v>
      </c>
      <c r="C13" s="2" t="s">
        <v>8</v>
      </c>
      <c r="D13" s="2" t="s">
        <v>663</v>
      </c>
      <c r="E13" s="41" t="s">
        <v>787</v>
      </c>
      <c r="F13" s="40" t="s">
        <v>1517</v>
      </c>
      <c r="G13" s="40" t="s">
        <v>920</v>
      </c>
      <c r="H13" s="5">
        <v>1667</v>
      </c>
      <c r="I13" s="81">
        <v>1667</v>
      </c>
      <c r="J13" s="12"/>
      <c r="K13" s="16"/>
      <c r="L13" s="30"/>
      <c r="M13" s="30"/>
      <c r="N13" s="30"/>
      <c r="O13" s="30"/>
    </row>
    <row r="14" spans="1:15" x14ac:dyDescent="0.3">
      <c r="A14" s="12"/>
      <c r="B14" s="43">
        <v>42528</v>
      </c>
      <c r="C14" s="2" t="s">
        <v>9</v>
      </c>
      <c r="D14" s="2" t="s">
        <v>99</v>
      </c>
      <c r="E14" s="41" t="s">
        <v>1486</v>
      </c>
      <c r="F14" s="40" t="s">
        <v>1518</v>
      </c>
      <c r="G14" s="40" t="s">
        <v>925</v>
      </c>
      <c r="H14" s="5">
        <v>838</v>
      </c>
      <c r="I14" s="81">
        <v>4190</v>
      </c>
      <c r="J14" s="12"/>
      <c r="K14" s="16" t="s">
        <v>451</v>
      </c>
      <c r="L14" s="30">
        <v>22</v>
      </c>
      <c r="M14" s="30">
        <v>19</v>
      </c>
      <c r="N14" s="30">
        <v>3</v>
      </c>
      <c r="O14" s="30">
        <v>0</v>
      </c>
    </row>
    <row r="15" spans="1:15" x14ac:dyDescent="0.3">
      <c r="A15" s="12"/>
      <c r="B15" s="43">
        <v>42528</v>
      </c>
      <c r="C15" s="2" t="s">
        <v>8</v>
      </c>
      <c r="D15" s="2" t="s">
        <v>663</v>
      </c>
      <c r="E15" s="41" t="s">
        <v>1519</v>
      </c>
      <c r="F15" s="40" t="s">
        <v>1520</v>
      </c>
      <c r="G15" s="40" t="s">
        <v>908</v>
      </c>
      <c r="H15" s="5">
        <v>1685</v>
      </c>
      <c r="I15" s="81">
        <v>3370</v>
      </c>
      <c r="J15" s="12"/>
      <c r="K15" s="16"/>
      <c r="L15" s="10"/>
      <c r="M15" s="30"/>
      <c r="N15" s="30"/>
      <c r="O15" s="30"/>
    </row>
    <row r="16" spans="1:15" x14ac:dyDescent="0.3">
      <c r="A16" s="12"/>
      <c r="B16" s="43">
        <v>42529</v>
      </c>
      <c r="C16" s="2" t="s">
        <v>9</v>
      </c>
      <c r="D16" s="2" t="s">
        <v>341</v>
      </c>
      <c r="E16" s="41" t="s">
        <v>1521</v>
      </c>
      <c r="F16" s="40" t="s">
        <v>1522</v>
      </c>
      <c r="G16" s="40" t="s">
        <v>1398</v>
      </c>
      <c r="H16" s="5">
        <v>969</v>
      </c>
      <c r="I16" s="81">
        <v>-3392</v>
      </c>
      <c r="J16" s="12"/>
      <c r="K16" s="16" t="s">
        <v>1176</v>
      </c>
      <c r="L16" s="30">
        <v>22</v>
      </c>
      <c r="M16" s="30">
        <v>18</v>
      </c>
      <c r="N16" s="30">
        <v>3</v>
      </c>
      <c r="O16" s="30">
        <v>1</v>
      </c>
    </row>
    <row r="17" spans="1:15" x14ac:dyDescent="0.3">
      <c r="A17" s="12"/>
      <c r="B17" s="43">
        <v>42529</v>
      </c>
      <c r="C17" s="2" t="s">
        <v>8</v>
      </c>
      <c r="D17" s="2" t="s">
        <v>78</v>
      </c>
      <c r="E17" s="41" t="s">
        <v>848</v>
      </c>
      <c r="F17" s="40" t="s">
        <v>1523</v>
      </c>
      <c r="G17" s="40" t="s">
        <v>1341</v>
      </c>
      <c r="H17" s="5">
        <v>200</v>
      </c>
      <c r="I17" s="81">
        <v>1200</v>
      </c>
      <c r="J17" s="12"/>
      <c r="K17" s="10"/>
      <c r="L17" s="30"/>
      <c r="M17" s="30"/>
      <c r="N17" s="30"/>
      <c r="O17" s="30"/>
    </row>
    <row r="18" spans="1:15" x14ac:dyDescent="0.3">
      <c r="A18" s="12"/>
      <c r="B18" s="43">
        <v>42530</v>
      </c>
      <c r="C18" s="2" t="s">
        <v>9</v>
      </c>
      <c r="D18" s="2" t="s">
        <v>133</v>
      </c>
      <c r="E18" s="41" t="s">
        <v>1392</v>
      </c>
      <c r="F18" s="40" t="s">
        <v>1524</v>
      </c>
      <c r="G18" s="40" t="s">
        <v>951</v>
      </c>
      <c r="H18" s="5">
        <v>211</v>
      </c>
      <c r="I18" s="81">
        <v>3165</v>
      </c>
      <c r="J18" s="12"/>
      <c r="K18" s="16" t="s">
        <v>41</v>
      </c>
      <c r="L18" s="30">
        <v>22</v>
      </c>
      <c r="M18" s="30">
        <v>18</v>
      </c>
      <c r="N18" s="30">
        <v>2</v>
      </c>
      <c r="O18" s="30">
        <v>2</v>
      </c>
    </row>
    <row r="19" spans="1:15" x14ac:dyDescent="0.3">
      <c r="A19" s="12"/>
      <c r="B19" s="43">
        <v>42530</v>
      </c>
      <c r="C19" s="2" t="s">
        <v>8</v>
      </c>
      <c r="D19" s="2" t="s">
        <v>94</v>
      </c>
      <c r="E19" s="41" t="s">
        <v>1525</v>
      </c>
      <c r="F19" s="40" t="s">
        <v>1526</v>
      </c>
      <c r="G19" s="40" t="s">
        <v>925</v>
      </c>
      <c r="H19" s="5">
        <v>259</v>
      </c>
      <c r="I19" s="81">
        <v>1295</v>
      </c>
      <c r="J19" s="12"/>
    </row>
    <row r="20" spans="1:15" x14ac:dyDescent="0.3">
      <c r="A20" s="12"/>
      <c r="B20" s="43">
        <v>42531</v>
      </c>
      <c r="C20" s="2" t="s">
        <v>9</v>
      </c>
      <c r="D20" s="2" t="s">
        <v>160</v>
      </c>
      <c r="E20" s="41" t="s">
        <v>1527</v>
      </c>
      <c r="F20" s="40" t="s">
        <v>1528</v>
      </c>
      <c r="G20" s="40" t="s">
        <v>959</v>
      </c>
      <c r="H20" s="5">
        <v>621</v>
      </c>
      <c r="I20" s="81">
        <v>1863</v>
      </c>
      <c r="J20" s="12"/>
      <c r="K20" s="16" t="s">
        <v>1090</v>
      </c>
      <c r="L20" s="30">
        <v>21</v>
      </c>
      <c r="M20" s="30">
        <v>16</v>
      </c>
      <c r="N20" s="30">
        <v>4</v>
      </c>
      <c r="O20" s="30">
        <v>1</v>
      </c>
    </row>
    <row r="21" spans="1:15" x14ac:dyDescent="0.3">
      <c r="A21" s="12"/>
      <c r="B21" s="43">
        <v>42531</v>
      </c>
      <c r="C21" s="2" t="s">
        <v>8</v>
      </c>
      <c r="D21" s="2" t="s">
        <v>137</v>
      </c>
      <c r="E21" s="41" t="s">
        <v>1267</v>
      </c>
      <c r="F21" s="40" t="s">
        <v>1529</v>
      </c>
      <c r="G21" s="40" t="s">
        <v>914</v>
      </c>
      <c r="H21" s="5">
        <v>344</v>
      </c>
      <c r="I21" s="81">
        <v>-3440</v>
      </c>
      <c r="J21" s="12"/>
    </row>
    <row r="22" spans="1:15" x14ac:dyDescent="0.3">
      <c r="A22" s="12"/>
      <c r="B22" s="43">
        <v>42534</v>
      </c>
      <c r="C22" s="2" t="s">
        <v>9</v>
      </c>
      <c r="D22" s="2" t="s">
        <v>31</v>
      </c>
      <c r="E22" s="41" t="s">
        <v>1542</v>
      </c>
      <c r="F22" s="40" t="s">
        <v>766</v>
      </c>
      <c r="G22" s="40" t="s">
        <v>1025</v>
      </c>
      <c r="H22" s="5">
        <v>309</v>
      </c>
      <c r="I22" s="81">
        <v>3090</v>
      </c>
      <c r="J22" s="12"/>
      <c r="K22" s="16" t="s">
        <v>1175</v>
      </c>
      <c r="L22" s="30">
        <v>22</v>
      </c>
      <c r="M22" s="30">
        <v>16</v>
      </c>
      <c r="N22" s="30">
        <v>4</v>
      </c>
      <c r="O22" s="30">
        <v>1</v>
      </c>
    </row>
    <row r="23" spans="1:15" x14ac:dyDescent="0.3">
      <c r="A23" s="12"/>
      <c r="B23" s="43">
        <v>42534</v>
      </c>
      <c r="C23" s="2" t="s">
        <v>8</v>
      </c>
      <c r="D23" s="2" t="s">
        <v>139</v>
      </c>
      <c r="E23" s="41" t="s">
        <v>1543</v>
      </c>
      <c r="F23" s="40" t="s">
        <v>1013</v>
      </c>
      <c r="G23" s="40" t="s">
        <v>914</v>
      </c>
      <c r="H23" s="5">
        <v>284</v>
      </c>
      <c r="I23" s="81">
        <v>-2840</v>
      </c>
      <c r="J23" s="12"/>
      <c r="K23" s="16"/>
      <c r="L23" s="30"/>
      <c r="M23" s="30"/>
      <c r="N23" s="30"/>
      <c r="O23" s="30"/>
    </row>
    <row r="24" spans="1:15" x14ac:dyDescent="0.3">
      <c r="A24" s="12"/>
      <c r="B24" s="43">
        <v>42535</v>
      </c>
      <c r="C24" s="2" t="s">
        <v>9</v>
      </c>
      <c r="D24" s="2" t="s">
        <v>78</v>
      </c>
      <c r="E24" s="41" t="s">
        <v>1544</v>
      </c>
      <c r="F24" s="40" t="s">
        <v>1545</v>
      </c>
      <c r="G24" s="40" t="s">
        <v>1269</v>
      </c>
      <c r="H24" s="5">
        <v>205</v>
      </c>
      <c r="I24" s="81">
        <v>-615</v>
      </c>
      <c r="J24" s="12"/>
      <c r="K24" s="16" t="s">
        <v>946</v>
      </c>
      <c r="L24" s="21">
        <f>SUM(L10:L22)</f>
        <v>177</v>
      </c>
      <c r="M24" s="21">
        <f t="shared" ref="M24:O24" si="0">SUM(M10:M22)</f>
        <v>136</v>
      </c>
      <c r="N24" s="21">
        <f t="shared" si="0"/>
        <v>31</v>
      </c>
      <c r="O24" s="21">
        <f t="shared" si="0"/>
        <v>9</v>
      </c>
    </row>
    <row r="25" spans="1:15" x14ac:dyDescent="0.3">
      <c r="A25" s="12"/>
      <c r="B25" s="43">
        <v>42535</v>
      </c>
      <c r="C25" s="2" t="s">
        <v>8</v>
      </c>
      <c r="D25" s="2" t="s">
        <v>112</v>
      </c>
      <c r="E25" s="41" t="s">
        <v>1546</v>
      </c>
      <c r="F25" s="40" t="s">
        <v>619</v>
      </c>
      <c r="G25" s="40" t="s">
        <v>997</v>
      </c>
      <c r="H25" s="5">
        <v>655</v>
      </c>
      <c r="I25" s="81">
        <v>2620</v>
      </c>
      <c r="J25" s="12"/>
    </row>
    <row r="26" spans="1:15" x14ac:dyDescent="0.3">
      <c r="A26" s="12"/>
      <c r="B26" s="43">
        <v>42536</v>
      </c>
      <c r="C26" s="2" t="s">
        <v>9</v>
      </c>
      <c r="D26" s="2" t="s">
        <v>588</v>
      </c>
      <c r="E26" s="41" t="s">
        <v>1547</v>
      </c>
      <c r="F26" s="40" t="s">
        <v>842</v>
      </c>
      <c r="G26" s="40" t="s">
        <v>908</v>
      </c>
      <c r="H26" s="5">
        <v>1974</v>
      </c>
      <c r="I26" s="81">
        <v>3948</v>
      </c>
      <c r="J26" s="12"/>
    </row>
    <row r="27" spans="1:15" x14ac:dyDescent="0.3">
      <c r="A27" s="12"/>
      <c r="B27" s="43">
        <v>42536</v>
      </c>
      <c r="C27" s="2" t="s">
        <v>8</v>
      </c>
      <c r="D27" s="2" t="s">
        <v>37</v>
      </c>
      <c r="E27" s="41" t="s">
        <v>523</v>
      </c>
      <c r="F27" s="40" t="s">
        <v>1548</v>
      </c>
      <c r="G27" s="40" t="s">
        <v>1549</v>
      </c>
      <c r="H27" s="5">
        <v>2609</v>
      </c>
      <c r="I27" s="81">
        <v>-2087.1999999999998</v>
      </c>
      <c r="J27" s="12"/>
      <c r="K27" s="68" t="s">
        <v>947</v>
      </c>
      <c r="L27" s="83"/>
      <c r="M27" s="119">
        <f>M24*100/L24</f>
        <v>76.836158192090394</v>
      </c>
    </row>
    <row r="28" spans="1:15" x14ac:dyDescent="0.3">
      <c r="A28" s="12"/>
      <c r="B28" s="43">
        <v>42902</v>
      </c>
      <c r="C28" s="2" t="s">
        <v>9</v>
      </c>
      <c r="D28" s="2" t="s">
        <v>184</v>
      </c>
      <c r="E28" s="41" t="s">
        <v>1550</v>
      </c>
      <c r="F28" s="40" t="s">
        <v>1551</v>
      </c>
      <c r="G28" s="40" t="s">
        <v>997</v>
      </c>
      <c r="H28" s="5">
        <v>548</v>
      </c>
      <c r="I28" s="81">
        <v>2192</v>
      </c>
      <c r="J28" s="12"/>
    </row>
    <row r="29" spans="1:15" x14ac:dyDescent="0.3">
      <c r="A29" s="12"/>
      <c r="B29" s="43">
        <v>42902</v>
      </c>
      <c r="C29" s="2" t="s">
        <v>8</v>
      </c>
      <c r="D29" s="2" t="s">
        <v>137</v>
      </c>
      <c r="E29" s="41" t="s">
        <v>1552</v>
      </c>
      <c r="F29" s="40" t="s">
        <v>1190</v>
      </c>
      <c r="G29" s="40" t="s">
        <v>925</v>
      </c>
      <c r="H29" s="5">
        <v>347</v>
      </c>
      <c r="I29" s="81">
        <v>1735</v>
      </c>
      <c r="J29" s="12"/>
    </row>
    <row r="30" spans="1:15" x14ac:dyDescent="0.3">
      <c r="A30" s="12"/>
      <c r="B30" s="43">
        <v>42538</v>
      </c>
      <c r="C30" s="2" t="s">
        <v>9</v>
      </c>
      <c r="D30" s="2" t="s">
        <v>90</v>
      </c>
      <c r="E30" s="41" t="s">
        <v>1553</v>
      </c>
      <c r="F30" s="40" t="s">
        <v>1554</v>
      </c>
      <c r="G30" s="40" t="s">
        <v>1037</v>
      </c>
      <c r="H30" s="5">
        <v>556</v>
      </c>
      <c r="I30" s="81">
        <v>-3336</v>
      </c>
      <c r="J30" s="12"/>
    </row>
    <row r="31" spans="1:15" x14ac:dyDescent="0.3">
      <c r="A31" s="12"/>
      <c r="B31" s="43">
        <v>42538</v>
      </c>
      <c r="C31" s="2" t="s">
        <v>8</v>
      </c>
      <c r="D31" s="2" t="s">
        <v>78</v>
      </c>
      <c r="E31" s="41" t="s">
        <v>1555</v>
      </c>
      <c r="F31" s="40" t="s">
        <v>1556</v>
      </c>
      <c r="G31" s="40" t="s">
        <v>1025</v>
      </c>
      <c r="H31" s="5">
        <v>202</v>
      </c>
      <c r="I31" s="81">
        <v>2020</v>
      </c>
      <c r="J31" s="12"/>
    </row>
    <row r="32" spans="1:15" x14ac:dyDescent="0.3">
      <c r="A32" s="12"/>
      <c r="B32" s="43">
        <v>42541</v>
      </c>
      <c r="C32" s="2" t="s">
        <v>9</v>
      </c>
      <c r="D32" s="2" t="s">
        <v>78</v>
      </c>
      <c r="E32" s="41" t="s">
        <v>848</v>
      </c>
      <c r="F32" s="40" t="s">
        <v>1563</v>
      </c>
      <c r="G32" s="40" t="s">
        <v>1025</v>
      </c>
      <c r="H32" s="5">
        <v>200</v>
      </c>
      <c r="I32" s="81">
        <v>2000</v>
      </c>
      <c r="J32" s="12"/>
    </row>
    <row r="33" spans="1:10" x14ac:dyDescent="0.3">
      <c r="A33" s="12"/>
      <c r="B33" s="43">
        <v>42541</v>
      </c>
      <c r="C33" s="2" t="s">
        <v>8</v>
      </c>
      <c r="D33" s="2" t="s">
        <v>58</v>
      </c>
      <c r="E33" s="41" t="s">
        <v>276</v>
      </c>
      <c r="F33" s="40" t="s">
        <v>1564</v>
      </c>
      <c r="G33" s="40" t="s">
        <v>1095</v>
      </c>
      <c r="H33" s="5">
        <v>577</v>
      </c>
      <c r="I33" s="81">
        <v>-1154</v>
      </c>
      <c r="J33" s="12"/>
    </row>
    <row r="34" spans="1:10" x14ac:dyDescent="0.3">
      <c r="A34" s="12"/>
      <c r="B34" s="43">
        <v>42542</v>
      </c>
      <c r="C34" s="2" t="s">
        <v>9</v>
      </c>
      <c r="D34" s="2" t="s">
        <v>109</v>
      </c>
      <c r="E34" s="41" t="s">
        <v>1045</v>
      </c>
      <c r="F34" s="40" t="s">
        <v>1565</v>
      </c>
      <c r="G34" s="40" t="s">
        <v>922</v>
      </c>
      <c r="H34" s="5">
        <v>219</v>
      </c>
      <c r="I34" s="81">
        <v>-219</v>
      </c>
      <c r="J34" s="12"/>
    </row>
    <row r="35" spans="1:10" x14ac:dyDescent="0.3">
      <c r="A35" s="12"/>
      <c r="B35" s="43">
        <v>42542</v>
      </c>
      <c r="C35" s="2" t="s">
        <v>9</v>
      </c>
      <c r="D35" s="2" t="s">
        <v>192</v>
      </c>
      <c r="E35" s="41" t="s">
        <v>1566</v>
      </c>
      <c r="F35" s="40" t="s">
        <v>1567</v>
      </c>
      <c r="G35" s="40" t="s">
        <v>920</v>
      </c>
      <c r="H35" s="5">
        <v>1392</v>
      </c>
      <c r="I35" s="81">
        <v>1392</v>
      </c>
      <c r="J35" s="12"/>
    </row>
    <row r="36" spans="1:10" x14ac:dyDescent="0.3">
      <c r="A36" s="12"/>
      <c r="B36" s="43">
        <v>42543</v>
      </c>
      <c r="C36" s="2" t="s">
        <v>9</v>
      </c>
      <c r="D36" s="2" t="s">
        <v>1568</v>
      </c>
      <c r="E36" s="41" t="s">
        <v>1124</v>
      </c>
      <c r="F36" s="40" t="s">
        <v>1569</v>
      </c>
      <c r="G36" s="40" t="s">
        <v>1043</v>
      </c>
      <c r="H36" s="5">
        <v>790</v>
      </c>
      <c r="I36" s="81">
        <v>-3950</v>
      </c>
      <c r="J36" s="12"/>
    </row>
    <row r="37" spans="1:10" x14ac:dyDescent="0.3">
      <c r="A37" s="12"/>
      <c r="B37" s="43">
        <v>42543</v>
      </c>
      <c r="C37" s="2" t="s">
        <v>8</v>
      </c>
      <c r="D37" s="2" t="s">
        <v>124</v>
      </c>
      <c r="E37" s="41" t="s">
        <v>1570</v>
      </c>
      <c r="F37" s="40" t="s">
        <v>1571</v>
      </c>
      <c r="G37" s="40" t="s">
        <v>997</v>
      </c>
      <c r="H37" s="5">
        <v>634</v>
      </c>
      <c r="I37" s="81">
        <v>2536</v>
      </c>
      <c r="J37" s="12"/>
    </row>
    <row r="38" spans="1:10" x14ac:dyDescent="0.3">
      <c r="A38" s="12"/>
      <c r="B38" s="43">
        <v>42544</v>
      </c>
      <c r="C38" s="2" t="s">
        <v>9</v>
      </c>
      <c r="D38" s="2" t="s">
        <v>94</v>
      </c>
      <c r="E38" s="41" t="s">
        <v>1482</v>
      </c>
      <c r="F38" s="40" t="s">
        <v>1572</v>
      </c>
      <c r="G38" s="40" t="s">
        <v>1192</v>
      </c>
      <c r="H38" s="5">
        <v>255</v>
      </c>
      <c r="I38" s="81">
        <v>3315</v>
      </c>
      <c r="J38" s="12"/>
    </row>
    <row r="39" spans="1:10" x14ac:dyDescent="0.3">
      <c r="A39" s="12"/>
      <c r="B39" s="43">
        <v>42544</v>
      </c>
      <c r="C39" s="2" t="s">
        <v>8</v>
      </c>
      <c r="D39" s="2" t="s">
        <v>95</v>
      </c>
      <c r="E39" s="41" t="s">
        <v>1573</v>
      </c>
      <c r="F39" s="40" t="s">
        <v>1574</v>
      </c>
      <c r="G39" s="40" t="s">
        <v>1398</v>
      </c>
      <c r="H39" s="5">
        <v>1268</v>
      </c>
      <c r="I39" s="81">
        <v>-4438</v>
      </c>
      <c r="J39" s="12"/>
    </row>
    <row r="40" spans="1:10" x14ac:dyDescent="0.3">
      <c r="A40" s="12"/>
      <c r="B40" s="43">
        <v>42545</v>
      </c>
      <c r="C40" s="2" t="s">
        <v>9</v>
      </c>
      <c r="D40" s="2" t="s">
        <v>173</v>
      </c>
      <c r="E40" s="41" t="s">
        <v>606</v>
      </c>
      <c r="F40" s="40" t="s">
        <v>1575</v>
      </c>
      <c r="G40" s="40" t="s">
        <v>952</v>
      </c>
      <c r="H40" s="5">
        <v>309</v>
      </c>
      <c r="I40" s="81">
        <v>6180</v>
      </c>
      <c r="J40" s="12"/>
    </row>
    <row r="41" spans="1:10" x14ac:dyDescent="0.3">
      <c r="A41" s="12"/>
      <c r="B41" s="43">
        <v>42545</v>
      </c>
      <c r="C41" s="2" t="s">
        <v>8</v>
      </c>
      <c r="D41" s="2" t="s">
        <v>31</v>
      </c>
      <c r="E41" s="41" t="s">
        <v>1576</v>
      </c>
      <c r="F41" s="40" t="s">
        <v>781</v>
      </c>
      <c r="G41" s="40" t="s">
        <v>997</v>
      </c>
      <c r="H41" s="5">
        <v>320</v>
      </c>
      <c r="I41" s="81">
        <v>1280</v>
      </c>
      <c r="J41" s="12"/>
    </row>
    <row r="42" spans="1:10" x14ac:dyDescent="0.3">
      <c r="A42" s="12"/>
      <c r="B42" s="43">
        <v>42548</v>
      </c>
      <c r="C42" s="2" t="s">
        <v>9</v>
      </c>
      <c r="D42" s="2" t="s">
        <v>275</v>
      </c>
      <c r="E42" s="41" t="s">
        <v>1587</v>
      </c>
      <c r="F42" s="40" t="s">
        <v>1588</v>
      </c>
      <c r="G42" s="40" t="s">
        <v>1341</v>
      </c>
      <c r="H42" s="5">
        <v>288</v>
      </c>
      <c r="I42" s="81">
        <v>1728</v>
      </c>
      <c r="J42" s="12"/>
    </row>
    <row r="43" spans="1:10" x14ac:dyDescent="0.3">
      <c r="A43" s="12"/>
      <c r="B43" s="43">
        <v>42548</v>
      </c>
      <c r="C43" s="2" t="s">
        <v>8</v>
      </c>
      <c r="D43" s="2" t="s">
        <v>107</v>
      </c>
      <c r="E43" s="41" t="s">
        <v>1589</v>
      </c>
      <c r="F43" s="40" t="s">
        <v>1590</v>
      </c>
      <c r="G43" s="40" t="s">
        <v>952</v>
      </c>
      <c r="H43" s="5">
        <v>113</v>
      </c>
      <c r="I43" s="81">
        <v>2260</v>
      </c>
      <c r="J43" s="12"/>
    </row>
    <row r="44" spans="1:10" x14ac:dyDescent="0.3">
      <c r="A44" s="12"/>
      <c r="B44" s="43">
        <v>42549</v>
      </c>
      <c r="C44" s="2" t="s">
        <v>9</v>
      </c>
      <c r="D44" s="2" t="s">
        <v>114</v>
      </c>
      <c r="E44" s="41" t="s">
        <v>1572</v>
      </c>
      <c r="F44" s="40" t="s">
        <v>1591</v>
      </c>
      <c r="G44" s="40" t="s">
        <v>1341</v>
      </c>
      <c r="H44" s="5">
        <v>252</v>
      </c>
      <c r="I44" s="81">
        <v>1512</v>
      </c>
      <c r="J44" s="12"/>
    </row>
    <row r="45" spans="1:10" x14ac:dyDescent="0.3">
      <c r="A45" s="12"/>
      <c r="B45" s="43">
        <v>42549</v>
      </c>
      <c r="C45" s="2" t="s">
        <v>8</v>
      </c>
      <c r="D45" s="2" t="s">
        <v>107</v>
      </c>
      <c r="E45" s="41" t="s">
        <v>1592</v>
      </c>
      <c r="F45" s="40" t="s">
        <v>1593</v>
      </c>
      <c r="G45" s="40" t="s">
        <v>489</v>
      </c>
      <c r="H45" s="5">
        <v>114</v>
      </c>
      <c r="I45" s="81">
        <v>1938</v>
      </c>
      <c r="J45" s="12"/>
    </row>
    <row r="46" spans="1:10" x14ac:dyDescent="0.3">
      <c r="A46" s="12"/>
      <c r="B46" s="43">
        <v>42550</v>
      </c>
      <c r="C46" s="2" t="s">
        <v>9</v>
      </c>
      <c r="D46" s="2" t="s">
        <v>578</v>
      </c>
      <c r="E46" s="41" t="s">
        <v>1594</v>
      </c>
      <c r="F46" s="40" t="s">
        <v>1014</v>
      </c>
      <c r="G46" s="40" t="s">
        <v>1025</v>
      </c>
      <c r="H46" s="5">
        <v>257</v>
      </c>
      <c r="I46" s="81">
        <v>2570</v>
      </c>
      <c r="J46" s="12"/>
    </row>
    <row r="47" spans="1:10" x14ac:dyDescent="0.3">
      <c r="A47" s="12"/>
      <c r="B47" s="43">
        <v>42550</v>
      </c>
      <c r="C47" s="2" t="s">
        <v>8</v>
      </c>
      <c r="D47" s="2" t="s">
        <v>107</v>
      </c>
      <c r="E47" s="41" t="s">
        <v>627</v>
      </c>
      <c r="F47" s="40" t="s">
        <v>1590</v>
      </c>
      <c r="G47" s="40" t="s">
        <v>1043</v>
      </c>
      <c r="H47" s="5">
        <v>114</v>
      </c>
      <c r="I47" s="81">
        <v>-570</v>
      </c>
      <c r="J47" s="12"/>
    </row>
    <row r="48" spans="1:10" x14ac:dyDescent="0.3">
      <c r="A48" s="12"/>
      <c r="B48" s="43">
        <v>42551</v>
      </c>
      <c r="C48" s="2" t="s">
        <v>9</v>
      </c>
      <c r="D48" s="2" t="s">
        <v>31</v>
      </c>
      <c r="E48" s="41" t="s">
        <v>1595</v>
      </c>
      <c r="F48" s="40" t="s">
        <v>1596</v>
      </c>
      <c r="G48" s="40" t="s">
        <v>997</v>
      </c>
      <c r="H48" s="5">
        <v>309</v>
      </c>
      <c r="I48" s="81">
        <v>1236</v>
      </c>
      <c r="J48" s="12"/>
    </row>
    <row r="49" spans="1:15" x14ac:dyDescent="0.3">
      <c r="A49" s="12"/>
      <c r="B49" s="43">
        <v>42551</v>
      </c>
      <c r="C49" s="2" t="s">
        <v>8</v>
      </c>
      <c r="D49" s="2" t="s">
        <v>109</v>
      </c>
      <c r="E49" s="41" t="s">
        <v>1597</v>
      </c>
      <c r="F49" s="40" t="s">
        <v>1393</v>
      </c>
      <c r="G49" s="40" t="s">
        <v>1341</v>
      </c>
      <c r="H49" s="5">
        <v>211</v>
      </c>
      <c r="I49" s="81">
        <v>1266</v>
      </c>
      <c r="J49" s="12"/>
    </row>
    <row r="50" spans="1:15" x14ac:dyDescent="0.3">
      <c r="A50" s="12"/>
      <c r="B50" s="43"/>
      <c r="C50" s="2"/>
      <c r="D50" s="28"/>
      <c r="E50" s="30"/>
      <c r="F50" s="30"/>
      <c r="G50" s="30"/>
      <c r="H50" s="5"/>
      <c r="I50" s="81"/>
      <c r="J50" s="12"/>
    </row>
    <row r="51" spans="1:15" ht="18" x14ac:dyDescent="0.35">
      <c r="A51" s="12"/>
      <c r="B51" s="10"/>
      <c r="C51" s="2"/>
      <c r="D51" s="28"/>
      <c r="E51" s="30"/>
      <c r="F51" s="30"/>
      <c r="G51" s="30"/>
      <c r="H51" s="30"/>
      <c r="I51" s="98">
        <v>55504</v>
      </c>
      <c r="J51" s="12"/>
    </row>
    <row r="52" spans="1:15" x14ac:dyDescent="0.3">
      <c r="A52" s="12"/>
      <c r="B52" s="10"/>
      <c r="C52" s="10"/>
      <c r="D52" s="10"/>
      <c r="E52" s="10"/>
      <c r="F52" s="10"/>
      <c r="G52" s="10"/>
      <c r="H52" s="10"/>
      <c r="I52" s="96"/>
      <c r="J52" s="12"/>
    </row>
    <row r="53" spans="1:15" x14ac:dyDescent="0.3">
      <c r="A53" s="12"/>
      <c r="B53" s="106" t="s">
        <v>62</v>
      </c>
      <c r="C53" s="106"/>
      <c r="D53" s="106"/>
      <c r="E53" s="106"/>
      <c r="F53" s="106"/>
      <c r="G53" s="106"/>
      <c r="H53" s="106"/>
      <c r="I53" s="106"/>
      <c r="J53" s="12"/>
    </row>
    <row r="54" spans="1:15" x14ac:dyDescent="0.3">
      <c r="A54" s="12"/>
      <c r="B54" s="43">
        <v>42522</v>
      </c>
      <c r="C54" s="2" t="s">
        <v>9</v>
      </c>
      <c r="D54" s="2" t="s">
        <v>800</v>
      </c>
      <c r="E54" s="41" t="s">
        <v>1260</v>
      </c>
      <c r="F54" s="40" t="s">
        <v>1508</v>
      </c>
      <c r="G54" s="40" t="s">
        <v>1509</v>
      </c>
      <c r="H54" s="5">
        <v>500</v>
      </c>
      <c r="I54" s="40" t="s">
        <v>1510</v>
      </c>
      <c r="J54" s="12"/>
    </row>
    <row r="55" spans="1:15" x14ac:dyDescent="0.3">
      <c r="A55" s="12"/>
      <c r="B55" s="43">
        <v>42523</v>
      </c>
      <c r="C55" s="2" t="s">
        <v>8</v>
      </c>
      <c r="D55" s="2" t="s">
        <v>137</v>
      </c>
      <c r="E55" s="41" t="s">
        <v>1511</v>
      </c>
      <c r="F55" s="40" t="s">
        <v>1512</v>
      </c>
      <c r="G55" s="40" t="s">
        <v>997</v>
      </c>
      <c r="H55" s="5">
        <v>600</v>
      </c>
      <c r="I55" s="40" t="s">
        <v>900</v>
      </c>
      <c r="J55" s="12"/>
    </row>
    <row r="56" spans="1:15" x14ac:dyDescent="0.3">
      <c r="A56" s="12"/>
      <c r="B56" s="43">
        <v>42524</v>
      </c>
      <c r="C56" s="30" t="s">
        <v>8</v>
      </c>
      <c r="D56" s="30" t="s">
        <v>192</v>
      </c>
      <c r="E56" s="30">
        <v>195</v>
      </c>
      <c r="F56" s="30">
        <v>190</v>
      </c>
      <c r="G56" s="30">
        <v>5</v>
      </c>
      <c r="H56" s="30">
        <v>2000</v>
      </c>
      <c r="I56" s="30">
        <v>10000</v>
      </c>
      <c r="J56" s="12"/>
    </row>
    <row r="57" spans="1:15" x14ac:dyDescent="0.3">
      <c r="A57" s="12"/>
      <c r="B57" s="43">
        <v>42527</v>
      </c>
      <c r="C57" s="30" t="s">
        <v>8</v>
      </c>
      <c r="D57" s="30" t="s">
        <v>58</v>
      </c>
      <c r="E57" s="30">
        <v>539</v>
      </c>
      <c r="F57" s="30">
        <v>534.5</v>
      </c>
      <c r="G57" s="30">
        <v>4.5</v>
      </c>
      <c r="H57" s="30">
        <v>1000</v>
      </c>
      <c r="I57" s="30">
        <v>4500</v>
      </c>
      <c r="J57" s="12"/>
    </row>
    <row r="58" spans="1:15" x14ac:dyDescent="0.3">
      <c r="A58" s="12"/>
      <c r="B58" s="43">
        <v>42528</v>
      </c>
      <c r="C58" s="30" t="s">
        <v>8</v>
      </c>
      <c r="D58" s="30" t="s">
        <v>58</v>
      </c>
      <c r="E58" s="30">
        <v>537</v>
      </c>
      <c r="F58" s="30">
        <v>531</v>
      </c>
      <c r="G58" s="30">
        <v>6</v>
      </c>
      <c r="H58" s="30">
        <v>1000</v>
      </c>
      <c r="I58" s="30">
        <v>6000</v>
      </c>
      <c r="J58" s="12"/>
    </row>
    <row r="59" spans="1:15" x14ac:dyDescent="0.3">
      <c r="A59" s="12"/>
      <c r="B59" s="43">
        <v>42529</v>
      </c>
      <c r="C59" s="30" t="s">
        <v>8</v>
      </c>
      <c r="D59" s="30" t="s">
        <v>139</v>
      </c>
      <c r="E59" s="30">
        <v>1052</v>
      </c>
      <c r="F59" s="30">
        <v>1045</v>
      </c>
      <c r="G59" s="30">
        <v>7</v>
      </c>
      <c r="H59" s="30">
        <v>700</v>
      </c>
      <c r="I59" s="30">
        <v>4900</v>
      </c>
      <c r="J59" s="12"/>
      <c r="K59" s="120"/>
      <c r="L59" s="121"/>
      <c r="M59" s="121"/>
      <c r="N59" s="121"/>
      <c r="O59" s="121"/>
    </row>
    <row r="60" spans="1:15" x14ac:dyDescent="0.3">
      <c r="A60" s="12"/>
      <c r="B60" s="43">
        <v>42529</v>
      </c>
      <c r="C60" s="30" t="s">
        <v>9</v>
      </c>
      <c r="D60" s="30" t="s">
        <v>828</v>
      </c>
      <c r="E60" s="30">
        <v>920</v>
      </c>
      <c r="F60" s="30">
        <v>910</v>
      </c>
      <c r="G60" s="30">
        <v>-10</v>
      </c>
      <c r="H60" s="30">
        <v>700</v>
      </c>
      <c r="I60" s="97" t="s">
        <v>1278</v>
      </c>
      <c r="J60" s="12"/>
    </row>
    <row r="61" spans="1:15" x14ac:dyDescent="0.3">
      <c r="A61" s="12"/>
      <c r="B61" s="43">
        <v>42530</v>
      </c>
      <c r="C61" s="30" t="s">
        <v>8</v>
      </c>
      <c r="D61" s="30" t="s">
        <v>78</v>
      </c>
      <c r="E61" s="30">
        <v>1507</v>
      </c>
      <c r="F61" s="30">
        <v>1492</v>
      </c>
      <c r="G61" s="30">
        <v>15</v>
      </c>
      <c r="H61" s="30">
        <v>300</v>
      </c>
      <c r="I61" s="97" t="s">
        <v>446</v>
      </c>
      <c r="J61" s="12"/>
    </row>
    <row r="62" spans="1:15" x14ac:dyDescent="0.3">
      <c r="A62" s="12"/>
      <c r="B62" s="43">
        <v>42531</v>
      </c>
      <c r="C62" s="30" t="s">
        <v>9</v>
      </c>
      <c r="D62" s="30" t="s">
        <v>139</v>
      </c>
      <c r="E62" s="30">
        <v>1055</v>
      </c>
      <c r="F62" s="30">
        <v>1063</v>
      </c>
      <c r="G62" s="30">
        <v>8</v>
      </c>
      <c r="H62" s="30">
        <v>700</v>
      </c>
      <c r="I62" s="97" t="s">
        <v>1530</v>
      </c>
      <c r="J62" s="12"/>
    </row>
    <row r="63" spans="1:15" x14ac:dyDescent="0.3">
      <c r="A63" s="12"/>
      <c r="B63" s="43">
        <v>42534</v>
      </c>
      <c r="C63" s="30" t="s">
        <v>8</v>
      </c>
      <c r="D63" s="30" t="s">
        <v>78</v>
      </c>
      <c r="E63" s="30">
        <v>1460</v>
      </c>
      <c r="F63" s="30">
        <v>1475</v>
      </c>
      <c r="G63" s="30">
        <v>-15</v>
      </c>
      <c r="H63" s="30">
        <v>300</v>
      </c>
      <c r="I63" s="97" t="s">
        <v>1557</v>
      </c>
      <c r="J63" s="12"/>
    </row>
    <row r="64" spans="1:15" x14ac:dyDescent="0.3">
      <c r="A64" s="12"/>
      <c r="B64" s="43">
        <v>42535</v>
      </c>
      <c r="C64" s="30" t="s">
        <v>8</v>
      </c>
      <c r="D64" s="30" t="s">
        <v>94</v>
      </c>
      <c r="E64" s="30">
        <v>1147</v>
      </c>
      <c r="F64" s="30">
        <v>1151</v>
      </c>
      <c r="G64" s="30">
        <v>-4</v>
      </c>
      <c r="H64" s="30">
        <v>500</v>
      </c>
      <c r="I64" s="97" t="s">
        <v>613</v>
      </c>
      <c r="J64" s="12"/>
    </row>
    <row r="65" spans="1:10" x14ac:dyDescent="0.3">
      <c r="A65" s="12"/>
      <c r="B65" s="43">
        <v>42536</v>
      </c>
      <c r="C65" s="30" t="s">
        <v>8</v>
      </c>
      <c r="D65" s="30" t="s">
        <v>58</v>
      </c>
      <c r="E65" s="30">
        <v>531</v>
      </c>
      <c r="F65" s="30">
        <v>526</v>
      </c>
      <c r="G65" s="30">
        <v>5</v>
      </c>
      <c r="H65" s="30">
        <v>1000</v>
      </c>
      <c r="I65" s="97" t="s">
        <v>466</v>
      </c>
      <c r="J65" s="12"/>
    </row>
    <row r="66" spans="1:10" x14ac:dyDescent="0.3">
      <c r="A66" s="12"/>
      <c r="B66" s="43">
        <v>42902</v>
      </c>
      <c r="C66" s="30" t="s">
        <v>8</v>
      </c>
      <c r="D66" s="30" t="s">
        <v>115</v>
      </c>
      <c r="E66" s="30">
        <v>307.5</v>
      </c>
      <c r="F66" s="30">
        <v>309</v>
      </c>
      <c r="G66" s="30">
        <v>-1.5</v>
      </c>
      <c r="H66" s="30">
        <v>1200</v>
      </c>
      <c r="I66" s="97" t="s">
        <v>1558</v>
      </c>
      <c r="J66" s="12"/>
    </row>
    <row r="67" spans="1:10" x14ac:dyDescent="0.3">
      <c r="A67" s="12"/>
      <c r="B67" s="43">
        <v>42538</v>
      </c>
      <c r="C67" s="30" t="s">
        <v>8</v>
      </c>
      <c r="D67" s="30" t="s">
        <v>50</v>
      </c>
      <c r="E67" s="30">
        <v>751</v>
      </c>
      <c r="F67" s="30">
        <v>743</v>
      </c>
      <c r="G67" s="30">
        <v>8</v>
      </c>
      <c r="H67" s="30">
        <v>600</v>
      </c>
      <c r="I67" s="97" t="s">
        <v>709</v>
      </c>
      <c r="J67" s="12"/>
    </row>
    <row r="68" spans="1:10" x14ac:dyDescent="0.3">
      <c r="A68" s="12"/>
      <c r="B68" s="43">
        <v>42541</v>
      </c>
      <c r="C68" s="30" t="s">
        <v>8</v>
      </c>
      <c r="D68" s="30" t="s">
        <v>663</v>
      </c>
      <c r="E68" s="30">
        <v>193</v>
      </c>
      <c r="F68" s="30">
        <v>196</v>
      </c>
      <c r="G68" s="30">
        <v>-3</v>
      </c>
      <c r="H68" s="30">
        <v>2000</v>
      </c>
      <c r="I68" s="97" t="s">
        <v>1559</v>
      </c>
      <c r="J68" s="12"/>
    </row>
    <row r="69" spans="1:10" x14ac:dyDescent="0.3">
      <c r="A69" s="12"/>
      <c r="B69" s="43">
        <v>42541</v>
      </c>
      <c r="C69" s="30" t="s">
        <v>9</v>
      </c>
      <c r="D69" s="30" t="s">
        <v>105</v>
      </c>
      <c r="E69" s="30">
        <v>163.5</v>
      </c>
      <c r="F69" s="30">
        <v>167</v>
      </c>
      <c r="G69" s="30">
        <v>3.5</v>
      </c>
      <c r="H69" s="30">
        <v>2000</v>
      </c>
      <c r="I69" s="97" t="s">
        <v>463</v>
      </c>
      <c r="J69" s="12"/>
    </row>
    <row r="70" spans="1:10" x14ac:dyDescent="0.3">
      <c r="A70" s="12"/>
      <c r="B70" s="43">
        <v>42542</v>
      </c>
      <c r="C70" s="30" t="s">
        <v>9</v>
      </c>
      <c r="D70" s="30" t="s">
        <v>192</v>
      </c>
      <c r="E70" s="30">
        <v>212</v>
      </c>
      <c r="F70" s="30">
        <v>214</v>
      </c>
      <c r="G70" s="30">
        <v>2</v>
      </c>
      <c r="H70" s="30">
        <v>2000</v>
      </c>
      <c r="I70" s="97" t="s">
        <v>518</v>
      </c>
      <c r="J70" s="12"/>
    </row>
    <row r="71" spans="1:10" x14ac:dyDescent="0.3">
      <c r="A71" s="12"/>
      <c r="B71" s="43">
        <v>42543</v>
      </c>
      <c r="C71" s="30" t="s">
        <v>8</v>
      </c>
      <c r="D71" s="30" t="s">
        <v>124</v>
      </c>
      <c r="E71" s="30">
        <v>476</v>
      </c>
      <c r="F71" s="30">
        <v>471</v>
      </c>
      <c r="G71" s="30">
        <v>5</v>
      </c>
      <c r="H71" s="30">
        <v>1500</v>
      </c>
      <c r="I71" s="97" t="s">
        <v>1532</v>
      </c>
      <c r="J71" s="12"/>
    </row>
    <row r="72" spans="1:10" x14ac:dyDescent="0.3">
      <c r="A72" s="12"/>
      <c r="B72" s="43">
        <v>42544</v>
      </c>
      <c r="C72" s="30" t="s">
        <v>9</v>
      </c>
      <c r="D72" s="30" t="s">
        <v>94</v>
      </c>
      <c r="E72" s="30">
        <v>1173</v>
      </c>
      <c r="F72" s="30">
        <v>1187</v>
      </c>
      <c r="G72" s="30">
        <v>14</v>
      </c>
      <c r="H72" s="30">
        <v>500</v>
      </c>
      <c r="I72" s="97" t="s">
        <v>463</v>
      </c>
      <c r="J72" s="12"/>
    </row>
    <row r="73" spans="1:10" x14ac:dyDescent="0.3">
      <c r="A73" s="12"/>
      <c r="B73" s="43">
        <v>42545</v>
      </c>
      <c r="C73" s="30" t="s">
        <v>9</v>
      </c>
      <c r="D73" s="30" t="s">
        <v>107</v>
      </c>
      <c r="E73" s="30">
        <v>2660</v>
      </c>
      <c r="F73" s="30">
        <v>2690</v>
      </c>
      <c r="G73" s="30">
        <v>30</v>
      </c>
      <c r="H73" s="30">
        <v>200</v>
      </c>
      <c r="I73" s="97" t="s">
        <v>280</v>
      </c>
      <c r="J73" s="12"/>
    </row>
    <row r="74" spans="1:10" x14ac:dyDescent="0.3">
      <c r="A74" s="12"/>
      <c r="B74" s="43">
        <v>42548</v>
      </c>
      <c r="C74" s="30" t="s">
        <v>9</v>
      </c>
      <c r="D74" s="30" t="s">
        <v>31</v>
      </c>
      <c r="E74" s="30">
        <v>953</v>
      </c>
      <c r="F74" s="30">
        <v>958</v>
      </c>
      <c r="G74" s="30">
        <v>5</v>
      </c>
      <c r="H74" s="30">
        <v>500</v>
      </c>
      <c r="I74" s="97" t="s">
        <v>728</v>
      </c>
      <c r="J74" s="12"/>
    </row>
    <row r="75" spans="1:10" x14ac:dyDescent="0.3">
      <c r="A75" s="12"/>
      <c r="B75" s="43">
        <v>42549</v>
      </c>
      <c r="C75" s="30" t="s">
        <v>8</v>
      </c>
      <c r="D75" s="30" t="s">
        <v>139</v>
      </c>
      <c r="E75" s="30">
        <v>1070</v>
      </c>
      <c r="F75" s="30">
        <v>1071</v>
      </c>
      <c r="G75" s="30">
        <v>-1</v>
      </c>
      <c r="H75" s="30">
        <v>700</v>
      </c>
      <c r="I75" s="97" t="s">
        <v>1598</v>
      </c>
      <c r="J75" s="12"/>
    </row>
    <row r="76" spans="1:10" x14ac:dyDescent="0.3">
      <c r="A76" s="12"/>
      <c r="B76" s="43">
        <v>42550</v>
      </c>
      <c r="C76" s="30" t="s">
        <v>8</v>
      </c>
      <c r="D76" s="30" t="s">
        <v>78</v>
      </c>
      <c r="E76" s="30">
        <v>1485</v>
      </c>
      <c r="F76" s="30">
        <v>1479</v>
      </c>
      <c r="G76" s="30">
        <v>6</v>
      </c>
      <c r="H76" s="30">
        <v>300</v>
      </c>
      <c r="I76" s="97" t="s">
        <v>876</v>
      </c>
      <c r="J76" s="12"/>
    </row>
    <row r="77" spans="1:10" x14ac:dyDescent="0.3">
      <c r="A77" s="12"/>
      <c r="B77" s="43">
        <v>42551</v>
      </c>
      <c r="C77" s="30" t="s">
        <v>8</v>
      </c>
      <c r="D77" s="30" t="s">
        <v>109</v>
      </c>
      <c r="E77" s="30">
        <v>1417</v>
      </c>
      <c r="F77" s="30">
        <v>1430</v>
      </c>
      <c r="G77" s="30">
        <v>-13</v>
      </c>
      <c r="H77" s="30">
        <v>400</v>
      </c>
      <c r="I77" s="97" t="s">
        <v>1599</v>
      </c>
      <c r="J77" s="12"/>
    </row>
    <row r="78" spans="1:10" x14ac:dyDescent="0.3">
      <c r="A78" s="12"/>
      <c r="B78" s="43"/>
      <c r="C78" s="30"/>
      <c r="D78" s="30"/>
      <c r="E78" s="30"/>
      <c r="F78" s="30"/>
      <c r="G78" s="30"/>
      <c r="H78" s="30"/>
      <c r="I78" s="97"/>
      <c r="J78" s="12"/>
    </row>
    <row r="79" spans="1:10" ht="18" x14ac:dyDescent="0.35">
      <c r="A79" s="12"/>
      <c r="B79" s="43"/>
      <c r="C79" s="30"/>
      <c r="D79" s="30"/>
      <c r="E79" s="30"/>
      <c r="F79" s="30"/>
      <c r="G79" s="30"/>
      <c r="H79" s="30"/>
      <c r="I79" s="72">
        <v>52800</v>
      </c>
      <c r="J79" s="12"/>
    </row>
    <row r="80" spans="1:10" x14ac:dyDescent="0.3">
      <c r="A80" s="12"/>
      <c r="B80" s="106" t="s">
        <v>63</v>
      </c>
      <c r="C80" s="106"/>
      <c r="D80" s="106"/>
      <c r="E80" s="106"/>
      <c r="F80" s="106"/>
      <c r="G80" s="106"/>
      <c r="H80" s="106"/>
      <c r="I80" s="106"/>
      <c r="J80" s="12"/>
    </row>
    <row r="81" spans="1:15" x14ac:dyDescent="0.3">
      <c r="A81" s="12"/>
      <c r="B81" s="43">
        <v>42522</v>
      </c>
      <c r="C81" s="2" t="s">
        <v>8</v>
      </c>
      <c r="D81" s="2" t="s">
        <v>39</v>
      </c>
      <c r="E81" s="41" t="s">
        <v>1513</v>
      </c>
      <c r="F81" s="40" t="s">
        <v>1514</v>
      </c>
      <c r="G81" s="40" t="s">
        <v>964</v>
      </c>
      <c r="H81" s="30">
        <v>150</v>
      </c>
      <c r="I81" s="41" t="s">
        <v>280</v>
      </c>
      <c r="J81" s="12"/>
    </row>
    <row r="82" spans="1:15" x14ac:dyDescent="0.3">
      <c r="A82" s="12"/>
      <c r="B82" s="43">
        <v>42523</v>
      </c>
      <c r="C82" s="30" t="s">
        <v>8</v>
      </c>
      <c r="D82" s="2" t="s">
        <v>39</v>
      </c>
      <c r="E82" s="2">
        <v>8180</v>
      </c>
      <c r="F82" s="30">
        <v>8215</v>
      </c>
      <c r="G82" s="30">
        <v>-35</v>
      </c>
      <c r="H82" s="30">
        <v>150</v>
      </c>
      <c r="I82" s="30">
        <v>-5250</v>
      </c>
      <c r="J82" s="12"/>
    </row>
    <row r="83" spans="1:15" x14ac:dyDescent="0.3">
      <c r="A83" s="12"/>
      <c r="B83" s="43">
        <v>42524</v>
      </c>
      <c r="C83" s="30" t="s">
        <v>8</v>
      </c>
      <c r="D83" s="2" t="s">
        <v>39</v>
      </c>
      <c r="E83" s="2">
        <v>8260</v>
      </c>
      <c r="F83" s="30">
        <v>8235</v>
      </c>
      <c r="G83" s="30">
        <v>25</v>
      </c>
      <c r="H83" s="30">
        <v>150</v>
      </c>
      <c r="I83" s="30">
        <v>3750</v>
      </c>
      <c r="J83" s="12"/>
    </row>
    <row r="84" spans="1:15" x14ac:dyDescent="0.3">
      <c r="A84" s="12"/>
      <c r="B84" s="43">
        <v>42527</v>
      </c>
      <c r="C84" s="30" t="s">
        <v>8</v>
      </c>
      <c r="D84" s="2" t="s">
        <v>39</v>
      </c>
      <c r="E84" s="2">
        <v>8240</v>
      </c>
      <c r="F84" s="30">
        <v>8215</v>
      </c>
      <c r="G84" s="30">
        <v>25</v>
      </c>
      <c r="H84" s="30">
        <v>150</v>
      </c>
      <c r="I84" s="30">
        <v>3750</v>
      </c>
      <c r="J84" s="12"/>
    </row>
    <row r="85" spans="1:15" x14ac:dyDescent="0.3">
      <c r="A85" s="12"/>
      <c r="B85" s="43">
        <v>42528</v>
      </c>
      <c r="C85" s="30" t="s">
        <v>8</v>
      </c>
      <c r="D85" s="2" t="s">
        <v>39</v>
      </c>
      <c r="E85" s="2">
        <v>8250</v>
      </c>
      <c r="F85" s="30">
        <v>8235</v>
      </c>
      <c r="G85" s="30">
        <v>15</v>
      </c>
      <c r="H85" s="30">
        <v>150</v>
      </c>
      <c r="I85" s="30">
        <v>2250</v>
      </c>
      <c r="J85" s="12"/>
      <c r="K85" s="16"/>
      <c r="L85" s="21"/>
      <c r="M85" s="21"/>
      <c r="N85" s="21"/>
      <c r="O85" s="21"/>
    </row>
    <row r="86" spans="1:15" x14ac:dyDescent="0.3">
      <c r="A86" s="12"/>
      <c r="B86" s="43">
        <v>42529</v>
      </c>
      <c r="C86" s="30" t="s">
        <v>8</v>
      </c>
      <c r="D86" s="2" t="s">
        <v>39</v>
      </c>
      <c r="E86" s="2">
        <v>8280</v>
      </c>
      <c r="F86" s="30">
        <v>8265</v>
      </c>
      <c r="G86" s="30">
        <v>15</v>
      </c>
      <c r="H86" s="30">
        <v>150</v>
      </c>
      <c r="I86" s="30">
        <v>2250</v>
      </c>
      <c r="J86" s="12"/>
      <c r="K86" s="16"/>
      <c r="L86" s="21"/>
      <c r="M86" s="21"/>
      <c r="N86" s="21"/>
      <c r="O86" s="21"/>
    </row>
    <row r="87" spans="1:15" x14ac:dyDescent="0.3">
      <c r="A87" s="12"/>
      <c r="B87" s="43">
        <v>42530</v>
      </c>
      <c r="C87" s="30" t="s">
        <v>8</v>
      </c>
      <c r="D87" s="2" t="s">
        <v>39</v>
      </c>
      <c r="E87" s="2">
        <v>8250</v>
      </c>
      <c r="F87" s="30">
        <v>8200</v>
      </c>
      <c r="G87" s="30">
        <v>50</v>
      </c>
      <c r="H87" s="30">
        <v>150</v>
      </c>
      <c r="I87" s="30">
        <v>7500</v>
      </c>
      <c r="J87" s="12"/>
      <c r="K87" s="16"/>
      <c r="L87" s="21"/>
      <c r="M87" s="21"/>
      <c r="N87" s="21"/>
      <c r="O87" s="21"/>
    </row>
    <row r="88" spans="1:15" x14ac:dyDescent="0.3">
      <c r="A88" s="12"/>
      <c r="B88" s="43">
        <v>42531</v>
      </c>
      <c r="C88" s="30" t="s">
        <v>9</v>
      </c>
      <c r="D88" s="2" t="s">
        <v>39</v>
      </c>
      <c r="E88" s="2">
        <v>8235</v>
      </c>
      <c r="F88" s="30">
        <v>8280</v>
      </c>
      <c r="G88" s="30">
        <v>45</v>
      </c>
      <c r="H88" s="30">
        <v>150</v>
      </c>
      <c r="I88" s="30">
        <v>6750</v>
      </c>
      <c r="J88" s="12"/>
      <c r="K88" s="16"/>
      <c r="L88" s="21"/>
      <c r="M88" s="21"/>
      <c r="N88" s="21"/>
      <c r="O88" s="21"/>
    </row>
    <row r="89" spans="1:15" x14ac:dyDescent="0.3">
      <c r="A89" s="12"/>
      <c r="B89" s="43">
        <v>42534</v>
      </c>
      <c r="C89" s="30" t="s">
        <v>8</v>
      </c>
      <c r="D89" s="2" t="s">
        <v>39</v>
      </c>
      <c r="E89" s="2">
        <v>8115</v>
      </c>
      <c r="F89" s="30">
        <v>8090</v>
      </c>
      <c r="G89" s="30">
        <v>25</v>
      </c>
      <c r="H89" s="30">
        <v>150</v>
      </c>
      <c r="I89" s="30">
        <v>3750</v>
      </c>
      <c r="J89" s="12"/>
      <c r="K89" s="16"/>
      <c r="L89" s="21"/>
      <c r="M89" s="21"/>
      <c r="N89" s="21"/>
      <c r="O89" s="21"/>
    </row>
    <row r="90" spans="1:15" x14ac:dyDescent="0.3">
      <c r="A90" s="12"/>
      <c r="B90" s="43">
        <v>42535</v>
      </c>
      <c r="C90" s="30" t="s">
        <v>8</v>
      </c>
      <c r="D90" s="2" t="s">
        <v>39</v>
      </c>
      <c r="E90" s="2">
        <v>8110</v>
      </c>
      <c r="F90" s="30">
        <v>8085</v>
      </c>
      <c r="G90" s="30">
        <v>25</v>
      </c>
      <c r="H90" s="30">
        <v>150</v>
      </c>
      <c r="I90" s="30">
        <v>3750</v>
      </c>
      <c r="J90" s="12"/>
      <c r="K90" s="16"/>
      <c r="L90" s="21"/>
      <c r="M90" s="21"/>
      <c r="N90" s="21"/>
      <c r="O90" s="21"/>
    </row>
    <row r="91" spans="1:15" x14ac:dyDescent="0.3">
      <c r="A91" s="12"/>
      <c r="B91" s="43">
        <v>42536</v>
      </c>
      <c r="C91" s="30" t="s">
        <v>8</v>
      </c>
      <c r="D91" s="2" t="s">
        <v>39</v>
      </c>
      <c r="E91" s="2">
        <v>8140</v>
      </c>
      <c r="F91" s="30">
        <v>8175</v>
      </c>
      <c r="G91" s="30">
        <v>-35</v>
      </c>
      <c r="H91" s="30">
        <v>150</v>
      </c>
      <c r="I91" s="30">
        <v>-5250</v>
      </c>
      <c r="J91" s="12"/>
      <c r="K91" s="16"/>
      <c r="L91" s="21"/>
      <c r="M91" s="21"/>
      <c r="N91" s="21"/>
      <c r="O91" s="21"/>
    </row>
    <row r="92" spans="1:15" x14ac:dyDescent="0.3">
      <c r="A92" s="12"/>
      <c r="B92" s="43">
        <v>42537</v>
      </c>
      <c r="C92" s="30" t="s">
        <v>8</v>
      </c>
      <c r="D92" s="2" t="s">
        <v>39</v>
      </c>
      <c r="E92" s="2">
        <v>8125</v>
      </c>
      <c r="F92" s="30">
        <v>8090</v>
      </c>
      <c r="G92" s="30">
        <v>35</v>
      </c>
      <c r="H92" s="30">
        <v>150</v>
      </c>
      <c r="I92" s="30">
        <v>5250</v>
      </c>
      <c r="J92" s="12"/>
      <c r="K92" s="16"/>
      <c r="L92" s="21"/>
      <c r="M92" s="21"/>
      <c r="N92" s="21"/>
      <c r="O92" s="21"/>
    </row>
    <row r="93" spans="1:15" x14ac:dyDescent="0.3">
      <c r="A93" s="12"/>
      <c r="B93" s="43">
        <v>42538</v>
      </c>
      <c r="C93" s="30" t="s">
        <v>8</v>
      </c>
      <c r="D93" s="2" t="s">
        <v>39</v>
      </c>
      <c r="E93" s="2">
        <v>8190</v>
      </c>
      <c r="F93" s="30">
        <v>8155</v>
      </c>
      <c r="G93" s="30">
        <v>35</v>
      </c>
      <c r="H93" s="30">
        <v>150</v>
      </c>
      <c r="I93" s="30">
        <v>5250</v>
      </c>
      <c r="J93" s="12"/>
      <c r="K93" s="16"/>
      <c r="L93" s="21"/>
      <c r="M93" s="21"/>
      <c r="N93" s="21"/>
      <c r="O93" s="21"/>
    </row>
    <row r="94" spans="1:15" x14ac:dyDescent="0.3">
      <c r="A94" s="12"/>
      <c r="B94" s="43">
        <v>42541</v>
      </c>
      <c r="C94" s="30" t="s">
        <v>9</v>
      </c>
      <c r="D94" s="2" t="s">
        <v>39</v>
      </c>
      <c r="E94" s="2">
        <v>8215</v>
      </c>
      <c r="F94" s="30">
        <v>8250</v>
      </c>
      <c r="G94" s="30">
        <v>35</v>
      </c>
      <c r="H94" s="30">
        <v>150</v>
      </c>
      <c r="I94" s="30">
        <v>5250</v>
      </c>
      <c r="J94" s="12"/>
      <c r="K94" s="16"/>
      <c r="L94" s="21"/>
      <c r="M94" s="21"/>
      <c r="N94" s="21"/>
      <c r="O94" s="21"/>
    </row>
    <row r="95" spans="1:15" x14ac:dyDescent="0.3">
      <c r="A95" s="12"/>
      <c r="B95" s="43">
        <v>42542</v>
      </c>
      <c r="C95" s="30" t="s">
        <v>9</v>
      </c>
      <c r="D95" s="2" t="s">
        <v>39</v>
      </c>
      <c r="E95" s="2">
        <v>8215</v>
      </c>
      <c r="F95" s="30">
        <v>8235</v>
      </c>
      <c r="G95" s="30">
        <v>20</v>
      </c>
      <c r="H95" s="30">
        <v>150</v>
      </c>
      <c r="I95" s="30">
        <v>3000</v>
      </c>
      <c r="J95" s="12"/>
      <c r="K95" s="16"/>
      <c r="L95" s="21"/>
      <c r="M95" s="21"/>
      <c r="N95" s="21"/>
      <c r="O95" s="21"/>
    </row>
    <row r="96" spans="1:15" x14ac:dyDescent="0.3">
      <c r="A96" s="12"/>
      <c r="B96" s="43">
        <v>42543</v>
      </c>
      <c r="C96" s="30" t="s">
        <v>8</v>
      </c>
      <c r="D96" s="2" t="s">
        <v>39</v>
      </c>
      <c r="E96" s="2">
        <v>8230</v>
      </c>
      <c r="F96" s="30">
        <v>8165</v>
      </c>
      <c r="G96" s="30">
        <v>65</v>
      </c>
      <c r="H96" s="30">
        <v>150</v>
      </c>
      <c r="I96" s="30">
        <v>9750</v>
      </c>
      <c r="J96" s="12"/>
      <c r="K96" s="16"/>
      <c r="L96" s="21"/>
      <c r="M96" s="21"/>
      <c r="N96" s="21"/>
      <c r="O96" s="21"/>
    </row>
    <row r="97" spans="1:15" x14ac:dyDescent="0.3">
      <c r="A97" s="12"/>
      <c r="B97" s="43">
        <v>42544</v>
      </c>
      <c r="C97" s="30" t="s">
        <v>9</v>
      </c>
      <c r="D97" s="2" t="s">
        <v>39</v>
      </c>
      <c r="E97" s="2">
        <v>8205</v>
      </c>
      <c r="F97" s="30">
        <v>8270</v>
      </c>
      <c r="G97" s="30">
        <v>65</v>
      </c>
      <c r="H97" s="30">
        <v>150</v>
      </c>
      <c r="I97" s="30">
        <v>9750</v>
      </c>
      <c r="J97" s="12"/>
      <c r="K97" s="16"/>
      <c r="L97" s="21"/>
      <c r="M97" s="21"/>
      <c r="N97" s="21"/>
      <c r="O97" s="21"/>
    </row>
    <row r="98" spans="1:15" x14ac:dyDescent="0.3">
      <c r="A98" s="12"/>
      <c r="B98" s="43">
        <v>42545</v>
      </c>
      <c r="C98" s="30" t="s">
        <v>8</v>
      </c>
      <c r="D98" s="2" t="s">
        <v>39</v>
      </c>
      <c r="E98" s="2">
        <v>7980</v>
      </c>
      <c r="F98" s="30">
        <v>7935</v>
      </c>
      <c r="G98" s="30">
        <v>45</v>
      </c>
      <c r="H98" s="30">
        <v>150</v>
      </c>
      <c r="I98" s="30">
        <v>6750</v>
      </c>
      <c r="J98" s="12"/>
      <c r="K98" s="16"/>
      <c r="L98" s="21"/>
      <c r="M98" s="21"/>
      <c r="N98" s="21"/>
      <c r="O98" s="21"/>
    </row>
    <row r="99" spans="1:15" x14ac:dyDescent="0.3">
      <c r="A99" s="12"/>
      <c r="B99" s="43">
        <v>42548</v>
      </c>
      <c r="C99" s="30" t="s">
        <v>9</v>
      </c>
      <c r="D99" s="2" t="s">
        <v>39</v>
      </c>
      <c r="E99" s="2">
        <v>8080</v>
      </c>
      <c r="F99" s="30">
        <v>8120</v>
      </c>
      <c r="G99" s="30">
        <v>40</v>
      </c>
      <c r="H99" s="30">
        <v>150</v>
      </c>
      <c r="I99" s="30">
        <v>6000</v>
      </c>
      <c r="J99" s="12"/>
      <c r="K99" s="16"/>
      <c r="L99" s="21"/>
      <c r="M99" s="21"/>
      <c r="N99" s="21"/>
      <c r="O99" s="21"/>
    </row>
    <row r="100" spans="1:15" x14ac:dyDescent="0.3">
      <c r="A100" s="12"/>
      <c r="B100" s="43">
        <v>42549</v>
      </c>
      <c r="C100" s="30" t="s">
        <v>9</v>
      </c>
      <c r="D100" s="2" t="s">
        <v>39</v>
      </c>
      <c r="E100" s="30">
        <v>8120</v>
      </c>
      <c r="F100" s="30">
        <v>8155</v>
      </c>
      <c r="G100" s="30">
        <v>35</v>
      </c>
      <c r="H100" s="30">
        <v>150</v>
      </c>
      <c r="I100" s="30">
        <v>5250</v>
      </c>
      <c r="J100" s="12"/>
      <c r="K100" s="16"/>
      <c r="L100" s="30"/>
      <c r="M100" s="30"/>
      <c r="N100" s="30"/>
      <c r="O100" s="30"/>
    </row>
    <row r="101" spans="1:15" x14ac:dyDescent="0.3">
      <c r="A101" s="12"/>
      <c r="B101" s="43">
        <v>42550</v>
      </c>
      <c r="C101" s="30" t="s">
        <v>8</v>
      </c>
      <c r="D101" s="2" t="s">
        <v>39</v>
      </c>
      <c r="E101" s="30">
        <v>8170</v>
      </c>
      <c r="F101" s="30">
        <v>8205</v>
      </c>
      <c r="G101" s="30">
        <v>-35</v>
      </c>
      <c r="H101" s="30">
        <v>150</v>
      </c>
      <c r="I101" s="30">
        <v>-5250</v>
      </c>
      <c r="J101" s="12"/>
      <c r="K101" s="16"/>
      <c r="L101" s="30"/>
      <c r="M101" s="30"/>
      <c r="N101" s="30"/>
      <c r="O101" s="30"/>
    </row>
    <row r="102" spans="1:15" x14ac:dyDescent="0.3">
      <c r="A102" s="12"/>
      <c r="B102" s="43">
        <v>42551</v>
      </c>
      <c r="C102" s="30" t="s">
        <v>8</v>
      </c>
      <c r="D102" s="2" t="s">
        <v>39</v>
      </c>
      <c r="E102" s="30">
        <v>8255</v>
      </c>
      <c r="F102" s="30">
        <v>8240</v>
      </c>
      <c r="G102" s="30">
        <v>15</v>
      </c>
      <c r="H102" s="30">
        <v>150</v>
      </c>
      <c r="I102" s="30">
        <v>2250</v>
      </c>
      <c r="J102" s="12"/>
      <c r="K102" s="16"/>
      <c r="L102" s="30"/>
      <c r="M102" s="30"/>
      <c r="N102" s="30"/>
      <c r="O102" s="30"/>
    </row>
    <row r="103" spans="1:15" x14ac:dyDescent="0.3">
      <c r="A103" s="12"/>
      <c r="B103" s="43"/>
      <c r="C103" s="30"/>
      <c r="D103" s="2"/>
      <c r="E103" s="30"/>
      <c r="F103" s="30"/>
      <c r="G103" s="30"/>
      <c r="H103" s="30"/>
      <c r="I103" s="30"/>
      <c r="J103" s="12"/>
      <c r="K103" s="16"/>
      <c r="L103" s="30"/>
      <c r="M103" s="30"/>
      <c r="N103" s="30"/>
      <c r="O103" s="30"/>
    </row>
    <row r="104" spans="1:15" ht="18" x14ac:dyDescent="0.35">
      <c r="A104" s="12"/>
      <c r="B104" s="43"/>
      <c r="C104" s="30"/>
      <c r="D104" s="2"/>
      <c r="E104" s="30"/>
      <c r="F104" s="30"/>
      <c r="G104" s="30"/>
      <c r="H104" s="30"/>
      <c r="I104" s="76" t="s">
        <v>1600</v>
      </c>
      <c r="J104" s="12"/>
      <c r="K104" s="86"/>
      <c r="L104" s="10"/>
      <c r="M104" s="10"/>
      <c r="N104" s="10"/>
      <c r="O104" s="10"/>
    </row>
    <row r="105" spans="1:15" x14ac:dyDescent="0.3">
      <c r="A105" s="12"/>
      <c r="B105" s="106" t="s">
        <v>991</v>
      </c>
      <c r="C105" s="111"/>
      <c r="D105" s="111"/>
      <c r="E105" s="111"/>
      <c r="F105" s="111"/>
      <c r="G105" s="111"/>
      <c r="H105" s="111"/>
      <c r="I105" s="111"/>
      <c r="J105" s="12"/>
      <c r="K105" s="86"/>
      <c r="L105" s="10"/>
      <c r="M105" s="10"/>
      <c r="N105" s="10"/>
      <c r="O105" s="10"/>
    </row>
    <row r="106" spans="1:15" x14ac:dyDescent="0.3">
      <c r="A106" s="12"/>
      <c r="B106" s="43">
        <v>42522</v>
      </c>
      <c r="C106" s="3" t="s">
        <v>9</v>
      </c>
      <c r="D106" s="3" t="s">
        <v>977</v>
      </c>
      <c r="E106" s="41" t="s">
        <v>524</v>
      </c>
      <c r="F106" s="41" t="s">
        <v>232</v>
      </c>
      <c r="G106" s="41" t="s">
        <v>951</v>
      </c>
      <c r="H106" s="30">
        <v>300</v>
      </c>
      <c r="I106" s="8">
        <v>4500</v>
      </c>
      <c r="J106" s="12"/>
      <c r="K106" s="86"/>
      <c r="L106" s="10"/>
      <c r="M106" s="10"/>
      <c r="N106" s="10"/>
      <c r="O106" s="10"/>
    </row>
    <row r="107" spans="1:15" x14ac:dyDescent="0.3">
      <c r="A107" s="12"/>
      <c r="B107" s="43">
        <v>42523</v>
      </c>
      <c r="C107" s="3" t="s">
        <v>9</v>
      </c>
      <c r="D107" s="3" t="s">
        <v>977</v>
      </c>
      <c r="E107" s="30">
        <v>140</v>
      </c>
      <c r="F107" s="30">
        <v>115</v>
      </c>
      <c r="G107" s="30">
        <v>-25</v>
      </c>
      <c r="H107" s="30">
        <v>300</v>
      </c>
      <c r="I107" s="8">
        <v>-7500</v>
      </c>
      <c r="J107" s="12"/>
      <c r="K107" s="86"/>
      <c r="L107" s="10"/>
      <c r="M107" s="10"/>
      <c r="N107" s="10"/>
      <c r="O107" s="10"/>
    </row>
    <row r="108" spans="1:15" x14ac:dyDescent="0.3">
      <c r="A108" s="12"/>
      <c r="B108" s="43">
        <v>42524</v>
      </c>
      <c r="C108" s="3" t="s">
        <v>9</v>
      </c>
      <c r="D108" s="3" t="s">
        <v>983</v>
      </c>
      <c r="E108" s="30">
        <v>140</v>
      </c>
      <c r="F108" s="30">
        <v>155</v>
      </c>
      <c r="G108" s="30">
        <v>15</v>
      </c>
      <c r="H108" s="30">
        <v>300</v>
      </c>
      <c r="I108" s="8">
        <v>4500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42527</v>
      </c>
      <c r="C109" s="3" t="s">
        <v>9</v>
      </c>
      <c r="D109" s="3" t="s">
        <v>983</v>
      </c>
      <c r="E109" s="30">
        <v>145</v>
      </c>
      <c r="F109" s="30">
        <v>160</v>
      </c>
      <c r="G109" s="30">
        <v>15</v>
      </c>
      <c r="H109" s="30">
        <v>300</v>
      </c>
      <c r="I109" s="8">
        <v>4500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42528</v>
      </c>
      <c r="C110" s="3" t="s">
        <v>9</v>
      </c>
      <c r="D110" s="3" t="s">
        <v>983</v>
      </c>
      <c r="E110" s="30">
        <v>135</v>
      </c>
      <c r="F110" s="30">
        <v>145</v>
      </c>
      <c r="G110" s="30">
        <v>10</v>
      </c>
      <c r="H110" s="30">
        <v>300</v>
      </c>
      <c r="I110" s="8">
        <v>3000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1">
        <v>42529</v>
      </c>
      <c r="C111" s="28" t="s">
        <v>9</v>
      </c>
      <c r="D111" s="28" t="s">
        <v>983</v>
      </c>
      <c r="E111" s="81">
        <v>118</v>
      </c>
      <c r="F111" s="81">
        <v>120</v>
      </c>
      <c r="G111" s="81">
        <v>2</v>
      </c>
      <c r="H111" s="81">
        <v>300</v>
      </c>
      <c r="I111" s="97" t="s">
        <v>1531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1">
        <v>42530</v>
      </c>
      <c r="C112" s="28" t="s">
        <v>9</v>
      </c>
      <c r="D112" s="28" t="s">
        <v>983</v>
      </c>
      <c r="E112" s="81">
        <v>135</v>
      </c>
      <c r="F112" s="81">
        <v>160</v>
      </c>
      <c r="G112" s="81">
        <v>25</v>
      </c>
      <c r="H112" s="81">
        <v>300</v>
      </c>
      <c r="I112" s="97" t="s">
        <v>1532</v>
      </c>
      <c r="J112" s="12"/>
      <c r="K112" s="10"/>
      <c r="L112" s="10"/>
      <c r="M112" s="10"/>
      <c r="N112" s="10"/>
      <c r="O112" s="10"/>
    </row>
    <row r="113" spans="1:15" x14ac:dyDescent="0.3">
      <c r="A113" s="12"/>
      <c r="B113" s="1">
        <v>42531</v>
      </c>
      <c r="C113" s="28" t="s">
        <v>9</v>
      </c>
      <c r="D113" s="28" t="s">
        <v>985</v>
      </c>
      <c r="E113" s="81">
        <v>122</v>
      </c>
      <c r="F113" s="81">
        <v>157</v>
      </c>
      <c r="G113" s="81">
        <v>35</v>
      </c>
      <c r="H113" s="81">
        <v>300</v>
      </c>
      <c r="I113" s="97" t="s">
        <v>1533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1">
        <v>42534</v>
      </c>
      <c r="C114" s="28" t="s">
        <v>9</v>
      </c>
      <c r="D114" s="28" t="s">
        <v>977</v>
      </c>
      <c r="E114" s="81">
        <v>155</v>
      </c>
      <c r="F114" s="81">
        <v>175</v>
      </c>
      <c r="G114" s="81">
        <v>20</v>
      </c>
      <c r="H114" s="81">
        <v>300</v>
      </c>
      <c r="I114" s="97" t="s">
        <v>280</v>
      </c>
      <c r="J114" s="12"/>
      <c r="K114" s="10"/>
      <c r="L114" s="10"/>
      <c r="M114" s="10"/>
      <c r="N114" s="10"/>
      <c r="O114" s="10"/>
    </row>
    <row r="115" spans="1:15" x14ac:dyDescent="0.3">
      <c r="A115" s="12"/>
      <c r="B115" s="1">
        <v>42535</v>
      </c>
      <c r="C115" s="28" t="s">
        <v>9</v>
      </c>
      <c r="D115" s="28" t="s">
        <v>977</v>
      </c>
      <c r="E115" s="81">
        <v>155</v>
      </c>
      <c r="F115" s="81">
        <v>175</v>
      </c>
      <c r="G115" s="81">
        <v>20</v>
      </c>
      <c r="H115" s="81">
        <v>300</v>
      </c>
      <c r="I115" s="97" t="s">
        <v>280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1">
        <v>42536</v>
      </c>
      <c r="C116" s="28" t="s">
        <v>9</v>
      </c>
      <c r="D116" s="28" t="s">
        <v>977</v>
      </c>
      <c r="E116" s="81">
        <v>140</v>
      </c>
      <c r="F116" s="81">
        <v>120</v>
      </c>
      <c r="G116" s="81">
        <v>-20</v>
      </c>
      <c r="H116" s="81">
        <v>300</v>
      </c>
      <c r="I116" s="97" t="s">
        <v>1559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1">
        <v>42537</v>
      </c>
      <c r="C117" s="28" t="s">
        <v>9</v>
      </c>
      <c r="D117" s="28" t="s">
        <v>977</v>
      </c>
      <c r="E117" s="81">
        <v>150</v>
      </c>
      <c r="F117" s="81">
        <v>175</v>
      </c>
      <c r="G117" s="81">
        <v>25</v>
      </c>
      <c r="H117" s="81">
        <v>300</v>
      </c>
      <c r="I117" s="97" t="s">
        <v>1532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1">
        <v>42538</v>
      </c>
      <c r="C118" s="28" t="s">
        <v>9</v>
      </c>
      <c r="D118" s="28" t="s">
        <v>977</v>
      </c>
      <c r="E118" s="81">
        <v>110</v>
      </c>
      <c r="F118" s="81">
        <v>125</v>
      </c>
      <c r="G118" s="81">
        <v>15</v>
      </c>
      <c r="H118" s="81">
        <v>300</v>
      </c>
      <c r="I118" s="97" t="s">
        <v>446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1">
        <v>42541</v>
      </c>
      <c r="C119" s="28" t="s">
        <v>9</v>
      </c>
      <c r="D119" s="28" t="s">
        <v>985</v>
      </c>
      <c r="E119" s="81">
        <v>115</v>
      </c>
      <c r="F119" s="81">
        <v>130</v>
      </c>
      <c r="G119" s="81">
        <v>15</v>
      </c>
      <c r="H119" s="81">
        <v>300</v>
      </c>
      <c r="I119" s="97" t="s">
        <v>446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1">
        <v>42542</v>
      </c>
      <c r="C120" s="28" t="s">
        <v>9</v>
      </c>
      <c r="D120" s="28" t="s">
        <v>985</v>
      </c>
      <c r="E120" s="81">
        <v>110</v>
      </c>
      <c r="F120" s="81">
        <v>107</v>
      </c>
      <c r="G120" s="81">
        <v>-3</v>
      </c>
      <c r="H120" s="81">
        <v>300</v>
      </c>
      <c r="I120" s="97" t="s">
        <v>1577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1">
        <v>42543</v>
      </c>
      <c r="C121" s="28" t="s">
        <v>9</v>
      </c>
      <c r="D121" s="28" t="s">
        <v>983</v>
      </c>
      <c r="E121" s="81">
        <v>132</v>
      </c>
      <c r="F121" s="81">
        <v>180</v>
      </c>
      <c r="G121" s="81">
        <v>48</v>
      </c>
      <c r="H121" s="81">
        <v>300</v>
      </c>
      <c r="I121" s="97" t="s">
        <v>1578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1">
        <v>42544</v>
      </c>
      <c r="C122" s="28" t="s">
        <v>9</v>
      </c>
      <c r="D122" s="28" t="s">
        <v>985</v>
      </c>
      <c r="E122" s="81">
        <v>110</v>
      </c>
      <c r="F122" s="81">
        <v>150</v>
      </c>
      <c r="G122" s="81">
        <v>40</v>
      </c>
      <c r="H122" s="81">
        <v>300</v>
      </c>
      <c r="I122" s="97" t="s">
        <v>1059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1">
        <v>42545</v>
      </c>
      <c r="C123" s="28" t="s">
        <v>9</v>
      </c>
      <c r="D123" s="28" t="s">
        <v>960</v>
      </c>
      <c r="E123" s="81">
        <v>115</v>
      </c>
      <c r="F123" s="81">
        <v>130</v>
      </c>
      <c r="G123" s="81">
        <v>15</v>
      </c>
      <c r="H123" s="81">
        <v>300</v>
      </c>
      <c r="I123" s="97" t="s">
        <v>446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1">
        <v>42548</v>
      </c>
      <c r="C124" s="28" t="s">
        <v>9</v>
      </c>
      <c r="D124" s="28" t="s">
        <v>940</v>
      </c>
      <c r="E124" s="81">
        <v>120</v>
      </c>
      <c r="F124" s="81">
        <v>135</v>
      </c>
      <c r="G124" s="81">
        <v>15</v>
      </c>
      <c r="H124" s="81">
        <v>300</v>
      </c>
      <c r="I124" s="97" t="s">
        <v>446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1">
        <v>42549</v>
      </c>
      <c r="C125" s="28" t="s">
        <v>9</v>
      </c>
      <c r="D125" s="28" t="s">
        <v>940</v>
      </c>
      <c r="E125" s="81">
        <v>135</v>
      </c>
      <c r="F125" s="81">
        <v>160</v>
      </c>
      <c r="G125" s="81">
        <v>25</v>
      </c>
      <c r="H125" s="81">
        <v>300</v>
      </c>
      <c r="I125" s="97" t="s">
        <v>1532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1">
        <v>42550</v>
      </c>
      <c r="C126" s="28" t="s">
        <v>9</v>
      </c>
      <c r="D126" s="28" t="s">
        <v>983</v>
      </c>
      <c r="E126" s="81">
        <v>135</v>
      </c>
      <c r="F126" s="81">
        <v>115</v>
      </c>
      <c r="G126" s="81">
        <v>-20</v>
      </c>
      <c r="H126" s="81">
        <v>300</v>
      </c>
      <c r="I126" s="97" t="s">
        <v>1559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1">
        <v>42551</v>
      </c>
      <c r="C127" s="28" t="s">
        <v>9</v>
      </c>
      <c r="D127" s="28" t="s">
        <v>984</v>
      </c>
      <c r="E127" s="81">
        <v>140</v>
      </c>
      <c r="F127" s="81">
        <v>155</v>
      </c>
      <c r="G127" s="81">
        <v>15</v>
      </c>
      <c r="H127" s="81">
        <v>300</v>
      </c>
      <c r="I127" s="97" t="s">
        <v>446</v>
      </c>
      <c r="J127" s="12"/>
      <c r="K127" s="10"/>
      <c r="L127" s="10"/>
      <c r="M127" s="10"/>
      <c r="N127" s="10"/>
      <c r="O127" s="10"/>
    </row>
    <row r="128" spans="1:15" x14ac:dyDescent="0.3">
      <c r="A128" s="12"/>
      <c r="B128" s="1"/>
      <c r="C128" s="28"/>
      <c r="D128" s="28"/>
      <c r="E128" s="28"/>
      <c r="F128" s="28"/>
      <c r="G128" s="28"/>
      <c r="H128" s="28"/>
      <c r="I128" s="97"/>
      <c r="J128" s="12"/>
      <c r="K128" s="10"/>
      <c r="L128" s="10"/>
      <c r="M128" s="10"/>
      <c r="N128" s="10"/>
      <c r="O128" s="10"/>
    </row>
    <row r="129" spans="1:15" ht="18" x14ac:dyDescent="0.35">
      <c r="A129" s="12"/>
      <c r="B129" s="1"/>
      <c r="C129" s="10"/>
      <c r="D129" s="10"/>
      <c r="E129" s="10"/>
      <c r="F129" s="10"/>
      <c r="G129" s="10"/>
      <c r="H129" s="10"/>
      <c r="I129" s="72">
        <v>90600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106" t="s">
        <v>926</v>
      </c>
      <c r="C130" s="106"/>
      <c r="D130" s="106"/>
      <c r="E130" s="106"/>
      <c r="F130" s="106"/>
      <c r="G130" s="106"/>
      <c r="H130" s="106"/>
      <c r="I130" s="106"/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42522</v>
      </c>
      <c r="C131" s="30" t="s">
        <v>8</v>
      </c>
      <c r="D131" s="30" t="s">
        <v>301</v>
      </c>
      <c r="E131" s="30">
        <v>17590</v>
      </c>
      <c r="F131" s="30">
        <v>17440</v>
      </c>
      <c r="G131" s="30">
        <v>150</v>
      </c>
      <c r="H131" s="30">
        <v>120</v>
      </c>
      <c r="I131" s="30">
        <v>18000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42523</v>
      </c>
      <c r="C132" s="30" t="s">
        <v>8</v>
      </c>
      <c r="D132" s="30" t="s">
        <v>301</v>
      </c>
      <c r="E132" s="30">
        <v>17430</v>
      </c>
      <c r="F132" s="30">
        <v>17550</v>
      </c>
      <c r="G132" s="30">
        <v>-120</v>
      </c>
      <c r="H132" s="30">
        <v>120</v>
      </c>
      <c r="I132" s="30">
        <v>-14400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42524</v>
      </c>
      <c r="C133" s="30" t="s">
        <v>8</v>
      </c>
      <c r="D133" s="30" t="s">
        <v>301</v>
      </c>
      <c r="E133" s="30">
        <v>17690</v>
      </c>
      <c r="F133" s="30">
        <v>17640</v>
      </c>
      <c r="G133" s="30">
        <v>50</v>
      </c>
      <c r="H133" s="30">
        <v>120</v>
      </c>
      <c r="I133" s="30">
        <v>6000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42527</v>
      </c>
      <c r="C134" s="30" t="s">
        <v>8</v>
      </c>
      <c r="D134" s="30" t="s">
        <v>301</v>
      </c>
      <c r="E134" s="30">
        <v>17690</v>
      </c>
      <c r="F134" s="30">
        <v>17630</v>
      </c>
      <c r="G134" s="30">
        <v>60</v>
      </c>
      <c r="H134" s="30">
        <v>120</v>
      </c>
      <c r="I134" s="50">
        <v>7200</v>
      </c>
      <c r="J134" s="12"/>
      <c r="K134" s="10"/>
      <c r="L134" s="10"/>
      <c r="M134" s="10"/>
      <c r="N134" s="10"/>
      <c r="O134" s="10"/>
    </row>
    <row r="135" spans="1:15" x14ac:dyDescent="0.3">
      <c r="A135" s="12"/>
      <c r="B135" s="43">
        <v>42528</v>
      </c>
      <c r="C135" s="30" t="s">
        <v>8</v>
      </c>
      <c r="D135" s="30" t="s">
        <v>301</v>
      </c>
      <c r="E135" s="30">
        <v>17730</v>
      </c>
      <c r="F135" s="30">
        <v>17680</v>
      </c>
      <c r="G135" s="30">
        <v>50</v>
      </c>
      <c r="H135" s="30">
        <v>120</v>
      </c>
      <c r="I135" s="50">
        <v>6000</v>
      </c>
      <c r="J135" s="12"/>
      <c r="K135" s="10"/>
      <c r="L135" s="10"/>
      <c r="M135" s="10"/>
      <c r="N135" s="10"/>
      <c r="O135" s="10"/>
    </row>
    <row r="136" spans="1:15" x14ac:dyDescent="0.3">
      <c r="A136" s="12"/>
      <c r="B136" s="43">
        <v>42529</v>
      </c>
      <c r="C136" s="30" t="s">
        <v>8</v>
      </c>
      <c r="D136" s="30" t="s">
        <v>301</v>
      </c>
      <c r="E136" s="30">
        <v>17830</v>
      </c>
      <c r="F136" s="30">
        <v>17890</v>
      </c>
      <c r="G136" s="30">
        <v>-60</v>
      </c>
      <c r="H136" s="30">
        <v>120</v>
      </c>
      <c r="I136" s="50">
        <v>-7200</v>
      </c>
      <c r="J136" s="12"/>
      <c r="K136" s="10"/>
      <c r="L136" s="10"/>
      <c r="M136" s="10"/>
      <c r="N136" s="10"/>
      <c r="O136" s="10"/>
    </row>
    <row r="137" spans="1:15" x14ac:dyDescent="0.3">
      <c r="A137" s="12"/>
      <c r="B137" s="43">
        <v>42530</v>
      </c>
      <c r="C137" s="30" t="s">
        <v>8</v>
      </c>
      <c r="D137" s="30" t="s">
        <v>301</v>
      </c>
      <c r="E137" s="30">
        <v>17880</v>
      </c>
      <c r="F137" s="30">
        <v>17780</v>
      </c>
      <c r="G137" s="30">
        <v>100</v>
      </c>
      <c r="H137" s="30">
        <v>120</v>
      </c>
      <c r="I137" s="50">
        <v>12000</v>
      </c>
      <c r="J137" s="12"/>
      <c r="K137" s="10"/>
      <c r="L137" s="10"/>
      <c r="M137" s="10"/>
      <c r="N137" s="10"/>
      <c r="O137" s="10"/>
    </row>
    <row r="138" spans="1:15" x14ac:dyDescent="0.3">
      <c r="A138" s="12"/>
      <c r="B138" s="43">
        <v>42531</v>
      </c>
      <c r="C138" s="30" t="s">
        <v>9</v>
      </c>
      <c r="D138" s="30" t="s">
        <v>301</v>
      </c>
      <c r="E138" s="30">
        <v>17830</v>
      </c>
      <c r="F138" s="30">
        <v>17980</v>
      </c>
      <c r="G138" s="30">
        <v>150</v>
      </c>
      <c r="H138" s="30">
        <v>120</v>
      </c>
      <c r="I138" s="50">
        <v>18000</v>
      </c>
      <c r="J138" s="12"/>
      <c r="K138" s="10"/>
      <c r="L138" s="10"/>
      <c r="M138" s="10"/>
      <c r="N138" s="10"/>
      <c r="O138" s="10"/>
    </row>
    <row r="139" spans="1:15" x14ac:dyDescent="0.3">
      <c r="A139" s="12"/>
      <c r="B139" s="43">
        <v>42534</v>
      </c>
      <c r="C139" s="30" t="s">
        <v>8</v>
      </c>
      <c r="D139" s="30" t="s">
        <v>301</v>
      </c>
      <c r="E139" s="30">
        <v>17530</v>
      </c>
      <c r="F139" s="30">
        <v>17480</v>
      </c>
      <c r="G139" s="30">
        <v>50</v>
      </c>
      <c r="H139" s="30">
        <v>120</v>
      </c>
      <c r="I139" s="50">
        <v>6000</v>
      </c>
      <c r="J139" s="12"/>
      <c r="K139" s="10"/>
      <c r="L139" s="10"/>
      <c r="M139" s="10"/>
      <c r="N139" s="10"/>
      <c r="O139" s="10"/>
    </row>
    <row r="140" spans="1:15" x14ac:dyDescent="0.3">
      <c r="A140" s="12"/>
      <c r="B140" s="43">
        <v>42535</v>
      </c>
      <c r="C140" s="30" t="s">
        <v>8</v>
      </c>
      <c r="D140" s="30" t="s">
        <v>301</v>
      </c>
      <c r="E140" s="30">
        <v>17590</v>
      </c>
      <c r="F140" s="30">
        <v>17540</v>
      </c>
      <c r="G140" s="30">
        <v>50</v>
      </c>
      <c r="H140" s="30">
        <v>120</v>
      </c>
      <c r="I140" s="50">
        <v>6000</v>
      </c>
      <c r="J140" s="12"/>
      <c r="K140" s="10"/>
      <c r="L140" s="10"/>
      <c r="M140" s="10"/>
      <c r="N140" s="10"/>
      <c r="O140" s="10"/>
    </row>
    <row r="141" spans="1:15" x14ac:dyDescent="0.3">
      <c r="A141" s="12"/>
      <c r="B141" s="43">
        <v>42536</v>
      </c>
      <c r="C141" s="30" t="s">
        <v>8</v>
      </c>
      <c r="D141" s="30" t="s">
        <v>301</v>
      </c>
      <c r="E141" s="30">
        <v>17640</v>
      </c>
      <c r="F141" s="30">
        <v>17840</v>
      </c>
      <c r="G141" s="30">
        <v>-200</v>
      </c>
      <c r="H141" s="30">
        <v>120</v>
      </c>
      <c r="I141" s="50">
        <v>-24000</v>
      </c>
      <c r="J141" s="12"/>
      <c r="K141" s="10"/>
      <c r="L141" s="10"/>
      <c r="M141" s="10"/>
      <c r="N141" s="10"/>
      <c r="O141" s="10"/>
    </row>
    <row r="142" spans="1:15" x14ac:dyDescent="0.3">
      <c r="A142" s="12"/>
      <c r="B142" s="43">
        <v>42537</v>
      </c>
      <c r="C142" s="30" t="s">
        <v>8</v>
      </c>
      <c r="D142" s="30" t="s">
        <v>301</v>
      </c>
      <c r="E142" s="30">
        <v>17740</v>
      </c>
      <c r="F142" s="30">
        <v>17570</v>
      </c>
      <c r="G142" s="30">
        <v>170</v>
      </c>
      <c r="H142" s="30">
        <v>120</v>
      </c>
      <c r="I142" s="50">
        <v>20400</v>
      </c>
      <c r="J142" s="12"/>
      <c r="K142" s="10"/>
      <c r="L142" s="10"/>
      <c r="M142" s="10"/>
      <c r="N142" s="10"/>
      <c r="O142" s="10"/>
    </row>
    <row r="143" spans="1:15" x14ac:dyDescent="0.3">
      <c r="A143" s="12"/>
      <c r="B143" s="43">
        <v>42538</v>
      </c>
      <c r="C143" s="30" t="s">
        <v>8</v>
      </c>
      <c r="D143" s="30" t="s">
        <v>301</v>
      </c>
      <c r="E143" s="30">
        <v>17800</v>
      </c>
      <c r="F143" s="30">
        <v>17660</v>
      </c>
      <c r="G143" s="30">
        <v>140</v>
      </c>
      <c r="H143" s="30">
        <v>120</v>
      </c>
      <c r="I143" s="50">
        <v>16800</v>
      </c>
      <c r="J143" s="12"/>
      <c r="K143" s="10"/>
      <c r="L143" s="10"/>
      <c r="M143" s="10"/>
      <c r="N143" s="10"/>
      <c r="O143" s="10"/>
    </row>
    <row r="144" spans="1:15" x14ac:dyDescent="0.3">
      <c r="A144" s="12"/>
      <c r="B144" s="43">
        <v>42541</v>
      </c>
      <c r="C144" s="30" t="s">
        <v>9</v>
      </c>
      <c r="D144" s="30" t="s">
        <v>301</v>
      </c>
      <c r="E144" s="30">
        <v>17670</v>
      </c>
      <c r="F144" s="30">
        <v>17770</v>
      </c>
      <c r="G144" s="30">
        <v>100</v>
      </c>
      <c r="H144" s="30">
        <v>120</v>
      </c>
      <c r="I144" s="50">
        <v>12000</v>
      </c>
      <c r="J144" s="12"/>
      <c r="K144" s="10"/>
      <c r="L144" s="10"/>
      <c r="M144" s="10"/>
      <c r="N144" s="10"/>
      <c r="O144" s="10"/>
    </row>
    <row r="145" spans="1:15" x14ac:dyDescent="0.3">
      <c r="A145" s="12"/>
      <c r="B145" s="43">
        <v>42542</v>
      </c>
      <c r="C145" s="30" t="s">
        <v>9</v>
      </c>
      <c r="D145" s="30" t="s">
        <v>301</v>
      </c>
      <c r="E145" s="30">
        <v>17670</v>
      </c>
      <c r="F145" s="30">
        <v>17650</v>
      </c>
      <c r="G145" s="30">
        <v>-20</v>
      </c>
      <c r="H145" s="30">
        <v>120</v>
      </c>
      <c r="I145" s="50">
        <v>-2400</v>
      </c>
      <c r="J145" s="12"/>
      <c r="K145" s="10"/>
      <c r="L145" s="10"/>
      <c r="M145" s="10"/>
      <c r="N145" s="10"/>
      <c r="O145" s="10"/>
    </row>
    <row r="146" spans="1:15" x14ac:dyDescent="0.3">
      <c r="A146" s="12"/>
      <c r="B146" s="43">
        <v>42543</v>
      </c>
      <c r="C146" s="30" t="s">
        <v>8</v>
      </c>
      <c r="D146" s="30" t="s">
        <v>301</v>
      </c>
      <c r="E146" s="30">
        <v>17700</v>
      </c>
      <c r="F146" s="30">
        <v>17500</v>
      </c>
      <c r="G146" s="30">
        <v>200</v>
      </c>
      <c r="H146" s="30">
        <v>120</v>
      </c>
      <c r="I146" s="50">
        <v>24000</v>
      </c>
      <c r="J146" s="12"/>
      <c r="K146" s="10"/>
      <c r="L146" s="10"/>
      <c r="M146" s="10"/>
      <c r="N146" s="10"/>
      <c r="O146" s="10"/>
    </row>
    <row r="147" spans="1:15" x14ac:dyDescent="0.3">
      <c r="A147" s="12"/>
      <c r="B147" s="43">
        <v>42544</v>
      </c>
      <c r="C147" s="30" t="s">
        <v>9</v>
      </c>
      <c r="D147" s="30" t="s">
        <v>301</v>
      </c>
      <c r="E147" s="30">
        <v>17640</v>
      </c>
      <c r="F147" s="30">
        <v>17910</v>
      </c>
      <c r="G147" s="30">
        <v>270</v>
      </c>
      <c r="H147" s="30">
        <v>120</v>
      </c>
      <c r="I147" s="50">
        <v>32400</v>
      </c>
      <c r="J147" s="12"/>
      <c r="K147" s="10"/>
      <c r="L147" s="10"/>
      <c r="M147" s="10"/>
      <c r="N147" s="10"/>
      <c r="O147" s="10"/>
    </row>
    <row r="148" spans="1:15" x14ac:dyDescent="0.3">
      <c r="A148" s="12"/>
      <c r="B148" s="43">
        <v>42545</v>
      </c>
      <c r="C148" s="30" t="s">
        <v>8</v>
      </c>
      <c r="D148" s="30" t="s">
        <v>301</v>
      </c>
      <c r="E148" s="30">
        <v>17020</v>
      </c>
      <c r="F148" s="30">
        <v>16920</v>
      </c>
      <c r="G148" s="30">
        <v>100</v>
      </c>
      <c r="H148" s="30">
        <v>120</v>
      </c>
      <c r="I148" s="50" t="s">
        <v>1579</v>
      </c>
      <c r="J148" s="12"/>
      <c r="K148" s="10"/>
      <c r="L148" s="10"/>
      <c r="M148" s="10"/>
      <c r="N148" s="10"/>
      <c r="O148" s="10"/>
    </row>
    <row r="149" spans="1:15" x14ac:dyDescent="0.3">
      <c r="A149" s="12"/>
      <c r="B149" s="43">
        <v>42548</v>
      </c>
      <c r="C149" s="30" t="s">
        <v>9</v>
      </c>
      <c r="D149" s="30" t="s">
        <v>301</v>
      </c>
      <c r="E149" s="30">
        <v>17440</v>
      </c>
      <c r="F149" s="30">
        <v>17540</v>
      </c>
      <c r="G149" s="30">
        <v>100</v>
      </c>
      <c r="H149" s="30">
        <v>120</v>
      </c>
      <c r="I149" s="50">
        <v>12000</v>
      </c>
      <c r="J149" s="12"/>
      <c r="K149" s="10"/>
      <c r="L149" s="10"/>
      <c r="M149" s="10"/>
      <c r="N149" s="10"/>
      <c r="O149" s="10"/>
    </row>
    <row r="150" spans="1:15" x14ac:dyDescent="0.3">
      <c r="A150" s="12"/>
      <c r="B150" s="43">
        <v>42549</v>
      </c>
      <c r="C150" s="30" t="s">
        <v>9</v>
      </c>
      <c r="D150" s="30" t="s">
        <v>301</v>
      </c>
      <c r="E150" s="30">
        <v>17520</v>
      </c>
      <c r="F150" s="30">
        <v>17620</v>
      </c>
      <c r="G150" s="30">
        <v>100</v>
      </c>
      <c r="H150" s="30">
        <v>120</v>
      </c>
      <c r="I150" s="50">
        <v>12000</v>
      </c>
      <c r="J150" s="12"/>
      <c r="K150" s="10"/>
      <c r="L150" s="10"/>
      <c r="M150" s="10"/>
      <c r="N150" s="10"/>
      <c r="O150" s="10"/>
    </row>
    <row r="151" spans="1:15" x14ac:dyDescent="0.3">
      <c r="A151" s="12"/>
      <c r="B151" s="43">
        <v>42550</v>
      </c>
      <c r="C151" s="30" t="s">
        <v>8</v>
      </c>
      <c r="D151" s="30" t="s">
        <v>301</v>
      </c>
      <c r="E151" s="30">
        <v>17640</v>
      </c>
      <c r="F151" s="30">
        <v>17670</v>
      </c>
      <c r="G151" s="30">
        <v>-30</v>
      </c>
      <c r="H151" s="30">
        <v>120</v>
      </c>
      <c r="I151" s="50">
        <v>-3600</v>
      </c>
      <c r="J151" s="12"/>
      <c r="K151" s="10"/>
      <c r="L151" s="10"/>
      <c r="M151" s="10"/>
      <c r="N151" s="10"/>
      <c r="O151" s="10"/>
    </row>
    <row r="152" spans="1:15" x14ac:dyDescent="0.3">
      <c r="A152" s="12"/>
      <c r="B152" s="43">
        <v>42551</v>
      </c>
      <c r="C152" s="30" t="s">
        <v>8</v>
      </c>
      <c r="D152" s="30" t="s">
        <v>301</v>
      </c>
      <c r="E152" s="30">
        <v>17860</v>
      </c>
      <c r="F152" s="30">
        <v>17810</v>
      </c>
      <c r="G152" s="30">
        <v>50</v>
      </c>
      <c r="H152" s="30">
        <v>120</v>
      </c>
      <c r="I152" s="50">
        <v>6000</v>
      </c>
      <c r="J152" s="12"/>
      <c r="K152" s="10"/>
      <c r="L152" s="10"/>
      <c r="M152" s="10"/>
      <c r="N152" s="10"/>
      <c r="O152" s="10"/>
    </row>
    <row r="153" spans="1:15" x14ac:dyDescent="0.3">
      <c r="A153" s="12"/>
      <c r="B153" s="10"/>
      <c r="C153" s="10"/>
      <c r="D153" s="10"/>
      <c r="E153" s="10"/>
      <c r="F153" s="10"/>
      <c r="G153" s="10"/>
      <c r="H153" s="10"/>
      <c r="J153" s="12"/>
      <c r="K153" s="10"/>
      <c r="L153" s="10"/>
      <c r="M153" s="10"/>
      <c r="N153" s="10"/>
      <c r="O153" s="10"/>
    </row>
    <row r="154" spans="1:15" ht="18" x14ac:dyDescent="0.35">
      <c r="A154" s="12"/>
      <c r="B154" s="10"/>
      <c r="C154" s="10"/>
      <c r="D154" s="10"/>
      <c r="E154" s="10"/>
      <c r="F154" s="10"/>
      <c r="G154" s="10"/>
      <c r="H154" s="10"/>
      <c r="I154" s="98">
        <v>175200</v>
      </c>
      <c r="J154" s="12"/>
      <c r="K154" s="10"/>
      <c r="L154" s="10"/>
      <c r="M154" s="10"/>
      <c r="N154" s="10"/>
      <c r="O154" s="10"/>
    </row>
    <row r="155" spans="1:15" x14ac:dyDescent="0.3">
      <c r="A155" s="12"/>
      <c r="B155" s="291" t="s">
        <v>1076</v>
      </c>
      <c r="C155" s="292"/>
      <c r="D155" s="292"/>
      <c r="E155" s="292"/>
      <c r="F155" s="292"/>
      <c r="G155" s="292"/>
      <c r="H155" s="292"/>
      <c r="I155" s="293"/>
      <c r="J155" s="113"/>
      <c r="K155" s="10"/>
      <c r="L155" s="10"/>
      <c r="M155" s="10"/>
      <c r="N155" s="10"/>
      <c r="O155" s="10"/>
    </row>
    <row r="156" spans="1:15" x14ac:dyDescent="0.3">
      <c r="A156" s="113"/>
      <c r="B156" s="43">
        <v>42522</v>
      </c>
      <c r="C156" s="30" t="s">
        <v>9</v>
      </c>
      <c r="D156" s="30" t="s">
        <v>1515</v>
      </c>
      <c r="E156" s="30">
        <v>9.5</v>
      </c>
      <c r="F156" s="30">
        <v>11.5</v>
      </c>
      <c r="G156" s="30">
        <v>2</v>
      </c>
      <c r="H156" s="30">
        <v>1700</v>
      </c>
      <c r="I156" s="30">
        <v>3400</v>
      </c>
      <c r="J156" s="12"/>
      <c r="K156" s="10"/>
      <c r="L156" s="10"/>
      <c r="M156" s="10"/>
      <c r="N156" s="10"/>
      <c r="O156" s="10"/>
    </row>
    <row r="157" spans="1:15" x14ac:dyDescent="0.3">
      <c r="A157" s="12"/>
      <c r="B157" s="43">
        <v>42523</v>
      </c>
      <c r="C157" s="30" t="s">
        <v>9</v>
      </c>
      <c r="D157" s="30" t="s">
        <v>1491</v>
      </c>
      <c r="E157" s="30">
        <v>42</v>
      </c>
      <c r="F157" s="30">
        <v>32</v>
      </c>
      <c r="G157" s="30">
        <v>-10</v>
      </c>
      <c r="H157" s="30">
        <v>600</v>
      </c>
      <c r="I157" s="30">
        <v>-6000</v>
      </c>
      <c r="J157" s="12"/>
      <c r="K157" s="17"/>
      <c r="L157" s="17"/>
      <c r="M157" s="17"/>
      <c r="N157" s="17"/>
      <c r="O157" s="17"/>
    </row>
    <row r="158" spans="1:15" x14ac:dyDescent="0.3">
      <c r="A158" s="12"/>
      <c r="B158" s="43">
        <v>42524</v>
      </c>
      <c r="C158" s="30" t="s">
        <v>9</v>
      </c>
      <c r="D158" s="30" t="s">
        <v>1317</v>
      </c>
      <c r="E158" s="30">
        <v>7</v>
      </c>
      <c r="F158" s="30">
        <v>12</v>
      </c>
      <c r="G158" s="30">
        <v>5</v>
      </c>
      <c r="H158" s="30">
        <v>2000</v>
      </c>
      <c r="I158" s="30">
        <v>10000</v>
      </c>
      <c r="J158" s="12"/>
      <c r="K158" s="10"/>
      <c r="L158" s="30"/>
      <c r="M158" s="10"/>
      <c r="N158" s="10"/>
      <c r="O158" s="10"/>
    </row>
    <row r="159" spans="1:15" x14ac:dyDescent="0.3">
      <c r="A159" s="12"/>
      <c r="B159" s="43">
        <v>42527</v>
      </c>
      <c r="C159" s="30" t="s">
        <v>9</v>
      </c>
      <c r="D159" s="30" t="s">
        <v>1534</v>
      </c>
      <c r="E159" s="30">
        <v>17</v>
      </c>
      <c r="F159" s="30">
        <v>19.5</v>
      </c>
      <c r="G159" s="30">
        <v>2.5</v>
      </c>
      <c r="H159" s="30">
        <v>1000</v>
      </c>
      <c r="I159" s="30">
        <v>2500</v>
      </c>
      <c r="J159" s="12"/>
      <c r="K159" s="10"/>
      <c r="L159" s="30"/>
      <c r="M159" s="10"/>
      <c r="N159" s="10"/>
      <c r="O159" s="10"/>
    </row>
    <row r="160" spans="1:15" x14ac:dyDescent="0.3">
      <c r="A160" s="12"/>
      <c r="B160" s="43">
        <v>42528</v>
      </c>
      <c r="C160" s="30" t="s">
        <v>9</v>
      </c>
      <c r="D160" s="30" t="s">
        <v>1535</v>
      </c>
      <c r="E160" s="30">
        <v>25</v>
      </c>
      <c r="F160" s="30">
        <v>28.75</v>
      </c>
      <c r="G160" s="30">
        <v>3.75</v>
      </c>
      <c r="H160" s="30">
        <v>700</v>
      </c>
      <c r="I160" s="30">
        <v>2625</v>
      </c>
      <c r="J160" s="12"/>
      <c r="K160" s="10"/>
      <c r="L160" s="30"/>
      <c r="M160" s="10"/>
      <c r="N160" s="10"/>
      <c r="O160" s="10"/>
    </row>
    <row r="161" spans="1:15" x14ac:dyDescent="0.3">
      <c r="A161" s="12"/>
      <c r="B161" s="43">
        <v>42529</v>
      </c>
      <c r="C161" s="30" t="s">
        <v>9</v>
      </c>
      <c r="D161" s="30" t="s">
        <v>1536</v>
      </c>
      <c r="E161" s="30">
        <v>5.5</v>
      </c>
      <c r="F161" s="30">
        <v>5</v>
      </c>
      <c r="G161" s="30">
        <v>-0.5</v>
      </c>
      <c r="H161" s="30">
        <v>2000</v>
      </c>
      <c r="I161" s="30">
        <v>-1000</v>
      </c>
      <c r="J161" s="12"/>
      <c r="K161" s="10"/>
      <c r="L161" s="30"/>
      <c r="M161" s="10"/>
      <c r="N161" s="10"/>
      <c r="O161" s="10"/>
    </row>
    <row r="162" spans="1:15" x14ac:dyDescent="0.3">
      <c r="A162" s="12"/>
      <c r="B162" s="43">
        <v>42530</v>
      </c>
      <c r="C162" s="30" t="s">
        <v>9</v>
      </c>
      <c r="D162" s="30" t="s">
        <v>1537</v>
      </c>
      <c r="E162" s="30">
        <v>26</v>
      </c>
      <c r="F162" s="30">
        <v>28.5</v>
      </c>
      <c r="G162" s="30">
        <v>2.5</v>
      </c>
      <c r="H162" s="30">
        <v>500</v>
      </c>
      <c r="I162" s="30">
        <v>1250</v>
      </c>
      <c r="J162" s="12"/>
      <c r="K162" s="10"/>
      <c r="L162" s="30"/>
      <c r="M162" s="10"/>
      <c r="N162" s="10"/>
      <c r="O162" s="10"/>
    </row>
    <row r="163" spans="1:15" x14ac:dyDescent="0.3">
      <c r="A163" s="12"/>
      <c r="B163" s="43">
        <v>42531</v>
      </c>
      <c r="C163" s="30" t="s">
        <v>9</v>
      </c>
      <c r="D163" s="30" t="s">
        <v>1538</v>
      </c>
      <c r="E163" s="30">
        <v>38</v>
      </c>
      <c r="F163" s="30">
        <v>47.5</v>
      </c>
      <c r="G163" s="30">
        <v>9.5</v>
      </c>
      <c r="H163" s="30">
        <v>300</v>
      </c>
      <c r="I163" s="30">
        <v>2850</v>
      </c>
      <c r="J163" s="12"/>
      <c r="K163" s="10"/>
      <c r="L163" s="30"/>
      <c r="M163" s="10"/>
      <c r="N163" s="10"/>
      <c r="O163" s="10"/>
    </row>
    <row r="164" spans="1:15" x14ac:dyDescent="0.3">
      <c r="A164" s="12"/>
      <c r="B164" s="43">
        <v>42534</v>
      </c>
      <c r="C164" s="30" t="s">
        <v>9</v>
      </c>
      <c r="D164" s="30" t="s">
        <v>1538</v>
      </c>
      <c r="E164" s="30">
        <v>48</v>
      </c>
      <c r="F164" s="30">
        <v>45</v>
      </c>
      <c r="G164" s="30">
        <v>-3</v>
      </c>
      <c r="H164" s="30">
        <v>300</v>
      </c>
      <c r="I164" s="30">
        <v>-900</v>
      </c>
      <c r="J164" s="12"/>
      <c r="K164" s="10"/>
      <c r="L164" s="30"/>
      <c r="M164" s="10"/>
      <c r="N164" s="10"/>
      <c r="O164" s="10"/>
    </row>
    <row r="165" spans="1:15" x14ac:dyDescent="0.3">
      <c r="A165" s="12"/>
      <c r="B165" s="43">
        <v>42535</v>
      </c>
      <c r="C165" s="30" t="s">
        <v>9</v>
      </c>
      <c r="D165" s="30" t="s">
        <v>1560</v>
      </c>
      <c r="E165" s="30">
        <v>18</v>
      </c>
      <c r="F165" s="30">
        <v>20.5</v>
      </c>
      <c r="G165" s="30">
        <v>2.5</v>
      </c>
      <c r="H165" s="30">
        <v>500</v>
      </c>
      <c r="I165" s="30">
        <v>1250</v>
      </c>
      <c r="J165" s="12"/>
      <c r="K165" s="10"/>
      <c r="L165" s="30"/>
      <c r="M165" s="10"/>
      <c r="N165" s="10"/>
      <c r="O165" s="10"/>
    </row>
    <row r="166" spans="1:15" x14ac:dyDescent="0.3">
      <c r="A166" s="12"/>
      <c r="B166" s="43">
        <v>42536</v>
      </c>
      <c r="C166" s="30" t="s">
        <v>9</v>
      </c>
      <c r="D166" s="30" t="s">
        <v>1561</v>
      </c>
      <c r="E166" s="30">
        <v>26</v>
      </c>
      <c r="F166" s="30">
        <v>20</v>
      </c>
      <c r="G166" s="30">
        <v>-6</v>
      </c>
      <c r="H166" s="30">
        <v>400</v>
      </c>
      <c r="I166" s="30">
        <v>-2400</v>
      </c>
      <c r="J166" s="12"/>
      <c r="K166" s="10"/>
      <c r="L166" s="30"/>
      <c r="M166" s="10"/>
      <c r="N166" s="10"/>
      <c r="O166" s="10"/>
    </row>
    <row r="167" spans="1:15" x14ac:dyDescent="0.3">
      <c r="A167" s="12"/>
      <c r="B167" s="43">
        <v>42537</v>
      </c>
      <c r="C167" s="30" t="s">
        <v>9</v>
      </c>
      <c r="D167" s="30" t="s">
        <v>1562</v>
      </c>
      <c r="E167" s="30">
        <v>36</v>
      </c>
      <c r="F167" s="30">
        <v>45</v>
      </c>
      <c r="G167" s="30">
        <v>9</v>
      </c>
      <c r="H167" s="30">
        <v>600</v>
      </c>
      <c r="I167" s="30">
        <v>5400</v>
      </c>
      <c r="J167" s="12"/>
      <c r="K167" s="10"/>
      <c r="L167" s="30"/>
      <c r="M167" s="10"/>
      <c r="N167" s="10"/>
      <c r="O167" s="10"/>
    </row>
    <row r="168" spans="1:15" x14ac:dyDescent="0.3">
      <c r="A168" s="12"/>
      <c r="B168" s="43">
        <v>42538</v>
      </c>
      <c r="C168" s="30" t="s">
        <v>9</v>
      </c>
      <c r="D168" s="30" t="s">
        <v>1560</v>
      </c>
      <c r="E168" s="30">
        <v>17</v>
      </c>
      <c r="F168" s="30">
        <v>20</v>
      </c>
      <c r="G168" s="30">
        <v>3</v>
      </c>
      <c r="H168" s="30">
        <v>500</v>
      </c>
      <c r="I168" s="30">
        <v>1500</v>
      </c>
      <c r="J168" s="12"/>
      <c r="K168" s="10"/>
      <c r="L168" s="30"/>
      <c r="M168" s="10"/>
      <c r="N168" s="10"/>
      <c r="O168" s="10"/>
    </row>
    <row r="169" spans="1:15" x14ac:dyDescent="0.3">
      <c r="A169" s="12"/>
      <c r="B169" s="43">
        <v>42541</v>
      </c>
      <c r="C169" s="30" t="s">
        <v>9</v>
      </c>
      <c r="D169" s="30" t="s">
        <v>1580</v>
      </c>
      <c r="E169" s="30">
        <v>9</v>
      </c>
      <c r="F169" s="30">
        <v>12.5</v>
      </c>
      <c r="G169" s="30">
        <v>3.5</v>
      </c>
      <c r="H169" s="30">
        <v>2000</v>
      </c>
      <c r="I169" s="30">
        <v>7000</v>
      </c>
      <c r="J169" s="12"/>
      <c r="K169" s="10"/>
      <c r="L169" s="30"/>
      <c r="M169" s="10"/>
      <c r="N169" s="10"/>
      <c r="O169" s="10"/>
    </row>
    <row r="170" spans="1:15" x14ac:dyDescent="0.3">
      <c r="A170" s="12"/>
      <c r="B170" s="43">
        <v>42542</v>
      </c>
      <c r="C170" s="30" t="s">
        <v>9</v>
      </c>
      <c r="D170" s="30" t="s">
        <v>1581</v>
      </c>
      <c r="E170" s="30">
        <v>7</v>
      </c>
      <c r="F170" s="30">
        <v>9</v>
      </c>
      <c r="G170" s="30">
        <v>2</v>
      </c>
      <c r="H170" s="30">
        <v>2000</v>
      </c>
      <c r="I170" s="30">
        <v>4000</v>
      </c>
      <c r="J170" s="12"/>
      <c r="K170" s="10"/>
      <c r="L170" s="30"/>
      <c r="M170" s="10"/>
      <c r="N170" s="10"/>
      <c r="O170" s="10"/>
    </row>
    <row r="171" spans="1:15" x14ac:dyDescent="0.3">
      <c r="A171" s="12"/>
      <c r="B171" s="43">
        <v>42543</v>
      </c>
      <c r="C171" s="30" t="s">
        <v>9</v>
      </c>
      <c r="D171" s="30" t="s">
        <v>1582</v>
      </c>
      <c r="E171" s="30">
        <v>14.5</v>
      </c>
      <c r="F171" s="30">
        <v>18.5</v>
      </c>
      <c r="G171" s="30">
        <v>4</v>
      </c>
      <c r="H171" s="30">
        <v>1500</v>
      </c>
      <c r="I171" s="30">
        <v>6000</v>
      </c>
      <c r="J171" s="12"/>
      <c r="K171" s="10"/>
      <c r="L171" s="30"/>
      <c r="M171" s="10"/>
      <c r="N171" s="10"/>
      <c r="O171" s="10"/>
    </row>
    <row r="172" spans="1:15" x14ac:dyDescent="0.3">
      <c r="A172" s="12"/>
      <c r="B172" s="43">
        <v>42544</v>
      </c>
      <c r="C172" s="30" t="s">
        <v>9</v>
      </c>
      <c r="D172" s="30" t="s">
        <v>1562</v>
      </c>
      <c r="E172" s="30">
        <v>40</v>
      </c>
      <c r="F172" s="30">
        <v>45</v>
      </c>
      <c r="G172" s="30">
        <v>5</v>
      </c>
      <c r="H172" s="30">
        <v>600</v>
      </c>
      <c r="I172" s="30">
        <v>3000</v>
      </c>
      <c r="J172" s="12"/>
      <c r="K172" s="10"/>
      <c r="L172" s="30"/>
      <c r="M172" s="10"/>
      <c r="N172" s="10"/>
      <c r="O172" s="10"/>
    </row>
    <row r="173" spans="1:15" x14ac:dyDescent="0.3">
      <c r="A173" s="12"/>
      <c r="B173" s="43">
        <v>42545</v>
      </c>
      <c r="C173" s="30" t="s">
        <v>9</v>
      </c>
      <c r="D173" s="30" t="s">
        <v>1583</v>
      </c>
      <c r="E173" s="30">
        <v>22</v>
      </c>
      <c r="F173" s="30">
        <v>15</v>
      </c>
      <c r="G173" s="30">
        <v>-7</v>
      </c>
      <c r="H173" s="30">
        <v>500</v>
      </c>
      <c r="I173" s="30">
        <v>-3500</v>
      </c>
      <c r="J173" s="12"/>
      <c r="K173" s="10"/>
      <c r="L173" s="30"/>
      <c r="M173" s="10"/>
      <c r="N173" s="10"/>
      <c r="O173" s="10"/>
    </row>
    <row r="174" spans="1:15" x14ac:dyDescent="0.3">
      <c r="A174" s="12"/>
      <c r="B174" s="43">
        <v>42548</v>
      </c>
      <c r="C174" s="30" t="s">
        <v>9</v>
      </c>
      <c r="D174" s="30" t="s">
        <v>1601</v>
      </c>
      <c r="E174" s="30">
        <v>17</v>
      </c>
      <c r="F174" s="30">
        <v>10</v>
      </c>
      <c r="G174" s="30">
        <v>-7</v>
      </c>
      <c r="H174" s="30">
        <v>400</v>
      </c>
      <c r="I174" s="30">
        <v>-2800</v>
      </c>
      <c r="J174" s="12"/>
      <c r="K174" s="10"/>
      <c r="L174" s="30"/>
      <c r="M174" s="10"/>
      <c r="N174" s="10"/>
      <c r="O174" s="10"/>
    </row>
    <row r="175" spans="1:15" x14ac:dyDescent="0.3">
      <c r="A175" s="12"/>
      <c r="B175" s="43">
        <v>42549</v>
      </c>
      <c r="C175" s="30" t="s">
        <v>9</v>
      </c>
      <c r="D175" s="30" t="s">
        <v>1602</v>
      </c>
      <c r="E175" s="30">
        <v>28</v>
      </c>
      <c r="F175" s="30">
        <v>37</v>
      </c>
      <c r="G175" s="30">
        <v>9</v>
      </c>
      <c r="H175" s="30">
        <v>200</v>
      </c>
      <c r="I175" s="30">
        <v>1800</v>
      </c>
      <c r="J175" s="12"/>
      <c r="K175" s="10"/>
      <c r="L175" s="30"/>
      <c r="M175" s="10"/>
      <c r="N175" s="10"/>
      <c r="O175" s="10"/>
    </row>
    <row r="176" spans="1:15" x14ac:dyDescent="0.3">
      <c r="A176" s="12"/>
      <c r="B176" s="43">
        <v>42550</v>
      </c>
      <c r="C176" s="30" t="s">
        <v>9</v>
      </c>
      <c r="D176" s="30" t="s">
        <v>1581</v>
      </c>
      <c r="E176" s="30">
        <v>9</v>
      </c>
      <c r="F176" s="30">
        <v>11</v>
      </c>
      <c r="G176" s="30">
        <v>2</v>
      </c>
      <c r="H176" s="30">
        <v>2000</v>
      </c>
      <c r="I176" s="30">
        <v>4000</v>
      </c>
      <c r="J176" s="12"/>
      <c r="K176" s="10"/>
      <c r="L176" s="30"/>
      <c r="M176" s="10"/>
      <c r="N176" s="10"/>
      <c r="O176" s="10"/>
    </row>
    <row r="177" spans="1:15" x14ac:dyDescent="0.3">
      <c r="A177" s="12"/>
      <c r="B177" s="43"/>
      <c r="C177" s="30"/>
      <c r="D177" s="30"/>
      <c r="E177" s="30"/>
      <c r="F177" s="30"/>
      <c r="G177" s="30"/>
      <c r="H177" s="30"/>
      <c r="I177" s="30"/>
      <c r="J177" s="12"/>
      <c r="K177" s="10"/>
      <c r="L177" s="30"/>
      <c r="M177" s="10"/>
      <c r="N177" s="10"/>
      <c r="O177" s="10"/>
    </row>
    <row r="178" spans="1:15" x14ac:dyDescent="0.3">
      <c r="A178" s="12"/>
      <c r="B178" s="43"/>
      <c r="C178" s="30"/>
      <c r="D178" s="30"/>
      <c r="E178" s="30"/>
      <c r="F178" s="30"/>
      <c r="G178" s="30"/>
      <c r="H178" s="30"/>
      <c r="I178" s="30"/>
      <c r="J178" s="12"/>
      <c r="K178" s="10"/>
      <c r="L178" s="30"/>
      <c r="M178" s="10"/>
      <c r="N178" s="10"/>
      <c r="O178" s="10"/>
    </row>
    <row r="179" spans="1:15" ht="18" x14ac:dyDescent="0.35">
      <c r="A179" s="12"/>
      <c r="B179" s="10"/>
      <c r="C179" s="10"/>
      <c r="D179" s="10"/>
      <c r="E179" s="10"/>
      <c r="F179" s="10"/>
      <c r="G179" s="10"/>
      <c r="H179" s="10"/>
      <c r="I179" s="72">
        <v>39975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291" t="s">
        <v>1152</v>
      </c>
      <c r="C180" s="292"/>
      <c r="D180" s="292"/>
      <c r="E180" s="292"/>
      <c r="F180" s="292"/>
      <c r="G180" s="292"/>
      <c r="H180" s="292"/>
      <c r="I180" s="293"/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42522</v>
      </c>
      <c r="C181" s="30" t="s">
        <v>9</v>
      </c>
      <c r="D181" s="30" t="s">
        <v>1492</v>
      </c>
      <c r="E181" s="30">
        <v>270</v>
      </c>
      <c r="F181" s="30">
        <v>360</v>
      </c>
      <c r="G181" s="30">
        <v>90</v>
      </c>
      <c r="H181" s="30">
        <v>120</v>
      </c>
      <c r="I181" s="30">
        <v>10800</v>
      </c>
      <c r="J181" s="12"/>
      <c r="K181" s="10"/>
      <c r="L181" s="10"/>
      <c r="M181" s="10"/>
      <c r="N181" s="10"/>
      <c r="O181" s="10"/>
    </row>
    <row r="182" spans="1:15" x14ac:dyDescent="0.3">
      <c r="A182" s="12"/>
      <c r="B182" s="43">
        <v>42523</v>
      </c>
      <c r="C182" s="30" t="s">
        <v>9</v>
      </c>
      <c r="D182" s="30" t="s">
        <v>1492</v>
      </c>
      <c r="E182" s="30">
        <v>330</v>
      </c>
      <c r="F182" s="30">
        <v>270</v>
      </c>
      <c r="G182" s="30">
        <v>-60</v>
      </c>
      <c r="H182" s="30">
        <v>120</v>
      </c>
      <c r="I182" s="30">
        <v>-7200</v>
      </c>
      <c r="J182" s="12"/>
      <c r="K182" s="10"/>
      <c r="L182" s="10"/>
      <c r="M182" s="10"/>
      <c r="N182" s="10"/>
      <c r="O182" s="10"/>
    </row>
    <row r="183" spans="1:15" x14ac:dyDescent="0.3">
      <c r="A183" s="12"/>
      <c r="B183" s="43">
        <v>42524</v>
      </c>
      <c r="C183" s="30" t="s">
        <v>9</v>
      </c>
      <c r="D183" s="30" t="s">
        <v>1516</v>
      </c>
      <c r="E183" s="30">
        <v>260</v>
      </c>
      <c r="F183" s="30">
        <v>270</v>
      </c>
      <c r="G183" s="30">
        <v>10</v>
      </c>
      <c r="H183" s="30">
        <v>120</v>
      </c>
      <c r="I183" s="30">
        <v>1200</v>
      </c>
      <c r="J183" s="12"/>
      <c r="K183" s="10"/>
      <c r="L183" s="10"/>
      <c r="M183" s="10"/>
      <c r="N183" s="10"/>
      <c r="O183" s="10"/>
    </row>
    <row r="184" spans="1:15" x14ac:dyDescent="0.3">
      <c r="A184" s="12"/>
      <c r="B184" s="43">
        <v>42527</v>
      </c>
      <c r="C184" s="30" t="s">
        <v>9</v>
      </c>
      <c r="D184" s="30" t="s">
        <v>1516</v>
      </c>
      <c r="E184" s="30">
        <v>240</v>
      </c>
      <c r="F184" s="30">
        <v>270</v>
      </c>
      <c r="G184" s="30">
        <v>30</v>
      </c>
      <c r="H184" s="30">
        <v>120</v>
      </c>
      <c r="I184" s="30">
        <v>3600</v>
      </c>
      <c r="J184" s="12"/>
      <c r="K184" s="10"/>
      <c r="L184" s="10"/>
      <c r="M184" s="10"/>
      <c r="N184" s="10"/>
      <c r="O184" s="10"/>
    </row>
    <row r="185" spans="1:15" x14ac:dyDescent="0.3">
      <c r="A185" s="12"/>
      <c r="B185" s="43">
        <v>42528</v>
      </c>
      <c r="C185" s="30" t="s">
        <v>9</v>
      </c>
      <c r="D185" s="30" t="s">
        <v>1539</v>
      </c>
      <c r="E185" s="30">
        <v>240</v>
      </c>
      <c r="F185" s="30">
        <v>270</v>
      </c>
      <c r="G185" s="30">
        <v>30</v>
      </c>
      <c r="H185" s="30">
        <v>120</v>
      </c>
      <c r="I185" s="30">
        <v>3600</v>
      </c>
      <c r="J185" s="12"/>
      <c r="K185" s="10"/>
      <c r="L185" s="10"/>
      <c r="M185" s="10"/>
      <c r="N185" s="10"/>
      <c r="O185" s="10"/>
    </row>
    <row r="186" spans="1:15" x14ac:dyDescent="0.3">
      <c r="A186" s="12"/>
      <c r="B186" s="43">
        <v>42529</v>
      </c>
      <c r="C186" s="30" t="s">
        <v>9</v>
      </c>
      <c r="D186" s="30" t="s">
        <v>1539</v>
      </c>
      <c r="E186" s="30">
        <v>200</v>
      </c>
      <c r="F186" s="30">
        <v>180</v>
      </c>
      <c r="G186" s="30">
        <v>-20</v>
      </c>
      <c r="H186" s="30">
        <v>120</v>
      </c>
      <c r="I186" s="30">
        <v>-2400</v>
      </c>
      <c r="J186" s="12"/>
      <c r="K186" s="10"/>
      <c r="L186" s="10"/>
      <c r="M186" s="10"/>
      <c r="N186" s="10"/>
      <c r="O186" s="10"/>
    </row>
    <row r="187" spans="1:15" x14ac:dyDescent="0.3">
      <c r="A187" s="12"/>
      <c r="B187" s="43">
        <v>42530</v>
      </c>
      <c r="C187" s="30" t="s">
        <v>9</v>
      </c>
      <c r="D187" s="30" t="s">
        <v>1540</v>
      </c>
      <c r="E187" s="30">
        <v>220</v>
      </c>
      <c r="F187" s="30">
        <v>250</v>
      </c>
      <c r="G187" s="30">
        <v>30</v>
      </c>
      <c r="H187" s="30">
        <v>120</v>
      </c>
      <c r="I187" s="30">
        <v>3600</v>
      </c>
      <c r="J187" s="12"/>
      <c r="K187" s="10"/>
      <c r="L187" s="10"/>
      <c r="M187" s="10"/>
      <c r="N187" s="10"/>
      <c r="O187" s="10"/>
    </row>
    <row r="188" spans="1:15" x14ac:dyDescent="0.3">
      <c r="A188" s="12"/>
      <c r="B188" s="43">
        <v>42531</v>
      </c>
      <c r="C188" s="30" t="s">
        <v>9</v>
      </c>
      <c r="D188" s="30" t="s">
        <v>1541</v>
      </c>
      <c r="E188" s="30">
        <v>320</v>
      </c>
      <c r="F188" s="30">
        <v>400</v>
      </c>
      <c r="G188" s="30">
        <v>80</v>
      </c>
      <c r="H188" s="30">
        <v>120</v>
      </c>
      <c r="I188" s="30">
        <v>9600</v>
      </c>
      <c r="J188" s="12"/>
      <c r="K188" s="10"/>
      <c r="L188" s="10"/>
      <c r="M188" s="10"/>
      <c r="N188" s="10"/>
      <c r="O188" s="10"/>
    </row>
    <row r="189" spans="1:15" x14ac:dyDescent="0.3">
      <c r="A189" s="12"/>
      <c r="B189" s="43">
        <v>42534</v>
      </c>
      <c r="C189" s="30" t="s">
        <v>9</v>
      </c>
      <c r="D189" s="30" t="s">
        <v>1539</v>
      </c>
      <c r="E189" s="30">
        <v>290</v>
      </c>
      <c r="F189" s="30">
        <v>310</v>
      </c>
      <c r="G189" s="30">
        <v>20</v>
      </c>
      <c r="H189" s="30">
        <v>120</v>
      </c>
      <c r="I189" s="30">
        <v>2400</v>
      </c>
      <c r="J189" s="12"/>
      <c r="K189" s="10"/>
      <c r="L189" s="10"/>
      <c r="M189" s="10"/>
      <c r="N189" s="10"/>
      <c r="O189" s="10"/>
    </row>
    <row r="190" spans="1:15" x14ac:dyDescent="0.3">
      <c r="A190" s="12"/>
      <c r="B190" s="43">
        <v>42535</v>
      </c>
      <c r="C190" s="30" t="s">
        <v>9</v>
      </c>
      <c r="D190" s="30" t="s">
        <v>1539</v>
      </c>
      <c r="E190" s="30">
        <v>260</v>
      </c>
      <c r="F190" s="30">
        <v>290</v>
      </c>
      <c r="G190" s="30">
        <v>30</v>
      </c>
      <c r="H190" s="30">
        <v>120</v>
      </c>
      <c r="I190" s="30">
        <v>3600</v>
      </c>
      <c r="J190" s="12"/>
      <c r="K190" s="10"/>
      <c r="L190" s="10"/>
      <c r="M190" s="10"/>
      <c r="N190" s="10"/>
      <c r="O190" s="10"/>
    </row>
    <row r="191" spans="1:15" x14ac:dyDescent="0.3">
      <c r="A191" s="12"/>
      <c r="B191" s="43">
        <v>42536</v>
      </c>
      <c r="C191" s="30" t="s">
        <v>9</v>
      </c>
      <c r="D191" s="30" t="s">
        <v>1539</v>
      </c>
      <c r="E191" s="30">
        <v>240</v>
      </c>
      <c r="F191" s="30">
        <v>170</v>
      </c>
      <c r="G191" s="30">
        <v>-70</v>
      </c>
      <c r="H191" s="30">
        <v>120</v>
      </c>
      <c r="I191" s="30">
        <v>-8400</v>
      </c>
      <c r="J191" s="12"/>
      <c r="K191" s="10"/>
      <c r="L191" s="10"/>
      <c r="M191" s="10"/>
      <c r="N191" s="10"/>
      <c r="O191" s="10"/>
    </row>
    <row r="192" spans="1:15" x14ac:dyDescent="0.3">
      <c r="A192" s="12"/>
      <c r="B192" s="43">
        <v>42537</v>
      </c>
      <c r="C192" s="30" t="s">
        <v>9</v>
      </c>
      <c r="D192" s="30" t="s">
        <v>1539</v>
      </c>
      <c r="E192" s="30">
        <v>200</v>
      </c>
      <c r="F192" s="30">
        <v>280</v>
      </c>
      <c r="G192" s="30">
        <v>80</v>
      </c>
      <c r="H192" s="30">
        <v>120</v>
      </c>
      <c r="I192" s="30">
        <v>9600</v>
      </c>
      <c r="J192" s="12"/>
      <c r="K192" s="10"/>
      <c r="L192" s="10"/>
      <c r="M192" s="10"/>
      <c r="N192" s="10"/>
      <c r="O192" s="10"/>
    </row>
    <row r="193" spans="1:15" x14ac:dyDescent="0.3">
      <c r="A193" s="12"/>
      <c r="B193" s="43">
        <v>42538</v>
      </c>
      <c r="C193" s="30" t="s">
        <v>9</v>
      </c>
      <c r="D193" s="30" t="s">
        <v>1539</v>
      </c>
      <c r="E193" s="30">
        <v>180</v>
      </c>
      <c r="F193" s="30">
        <v>240</v>
      </c>
      <c r="G193" s="30">
        <v>60</v>
      </c>
      <c r="H193" s="30">
        <v>120</v>
      </c>
      <c r="I193" s="30">
        <v>7200</v>
      </c>
      <c r="J193" s="12"/>
      <c r="K193" s="10"/>
      <c r="L193" s="10"/>
      <c r="M193" s="10"/>
      <c r="N193" s="10"/>
      <c r="O193" s="10"/>
    </row>
    <row r="194" spans="1:15" x14ac:dyDescent="0.3">
      <c r="A194" s="12"/>
      <c r="B194" s="43">
        <v>42541</v>
      </c>
      <c r="C194" s="30" t="s">
        <v>9</v>
      </c>
      <c r="D194" s="30" t="s">
        <v>1584</v>
      </c>
      <c r="E194" s="30">
        <v>280</v>
      </c>
      <c r="F194" s="30">
        <v>330</v>
      </c>
      <c r="G194" s="30">
        <v>50</v>
      </c>
      <c r="H194" s="30">
        <v>120</v>
      </c>
      <c r="I194" s="30">
        <v>6000</v>
      </c>
      <c r="J194" s="12"/>
      <c r="K194" s="10"/>
      <c r="L194" s="10"/>
      <c r="M194" s="10"/>
      <c r="N194" s="10"/>
      <c r="O194" s="10"/>
    </row>
    <row r="195" spans="1:15" x14ac:dyDescent="0.3">
      <c r="A195" s="12"/>
      <c r="B195" s="43">
        <v>42542</v>
      </c>
      <c r="C195" s="30" t="s">
        <v>9</v>
      </c>
      <c r="D195" s="30" t="s">
        <v>1584</v>
      </c>
      <c r="E195" s="30">
        <v>270</v>
      </c>
      <c r="F195" s="30">
        <v>255</v>
      </c>
      <c r="G195" s="30">
        <v>-15</v>
      </c>
      <c r="H195" s="30">
        <v>120</v>
      </c>
      <c r="I195" s="30">
        <v>-1800</v>
      </c>
      <c r="J195" s="12"/>
      <c r="K195" s="10"/>
      <c r="L195" s="10"/>
      <c r="M195" s="10"/>
      <c r="N195" s="10"/>
      <c r="O195" s="10"/>
    </row>
    <row r="196" spans="1:15" x14ac:dyDescent="0.3">
      <c r="A196" s="12"/>
      <c r="B196" s="43">
        <v>42543</v>
      </c>
      <c r="C196" s="30" t="s">
        <v>9</v>
      </c>
      <c r="D196" s="30" t="s">
        <v>1585</v>
      </c>
      <c r="E196" s="30">
        <v>290</v>
      </c>
      <c r="F196" s="30">
        <v>380</v>
      </c>
      <c r="G196" s="30">
        <v>90</v>
      </c>
      <c r="H196" s="30">
        <v>120</v>
      </c>
      <c r="I196" s="30">
        <v>10800</v>
      </c>
      <c r="J196" s="12"/>
      <c r="K196" s="10"/>
      <c r="L196" s="10"/>
      <c r="M196" s="10"/>
      <c r="N196" s="10"/>
      <c r="O196" s="10"/>
    </row>
    <row r="197" spans="1:15" x14ac:dyDescent="0.3">
      <c r="A197" s="12"/>
      <c r="B197" s="43">
        <v>42544</v>
      </c>
      <c r="C197" s="30" t="s">
        <v>9</v>
      </c>
      <c r="D197" s="30" t="s">
        <v>1586</v>
      </c>
      <c r="E197" s="30">
        <v>330</v>
      </c>
      <c r="F197" s="30">
        <v>450</v>
      </c>
      <c r="G197" s="30">
        <v>120</v>
      </c>
      <c r="H197" s="30">
        <v>120</v>
      </c>
      <c r="I197" s="30">
        <v>14400</v>
      </c>
      <c r="J197" s="12"/>
      <c r="K197" s="10"/>
      <c r="L197" s="10"/>
      <c r="M197" s="10"/>
      <c r="N197" s="10"/>
      <c r="O197" s="10"/>
    </row>
    <row r="198" spans="1:15" x14ac:dyDescent="0.3">
      <c r="A198" s="12"/>
      <c r="B198" s="43">
        <v>42545</v>
      </c>
      <c r="C198" s="30" t="s">
        <v>9</v>
      </c>
      <c r="D198" s="30" t="s">
        <v>1389</v>
      </c>
      <c r="E198" s="30">
        <v>250</v>
      </c>
      <c r="F198" s="30">
        <v>300</v>
      </c>
      <c r="G198" s="30">
        <v>50</v>
      </c>
      <c r="H198" s="30">
        <v>120</v>
      </c>
      <c r="I198" s="30">
        <v>6000</v>
      </c>
      <c r="J198" s="12"/>
      <c r="K198" s="10"/>
      <c r="L198" s="10"/>
      <c r="M198" s="10"/>
      <c r="N198" s="10"/>
      <c r="O198" s="10"/>
    </row>
    <row r="199" spans="1:15" x14ac:dyDescent="0.3">
      <c r="A199" s="12"/>
      <c r="B199" s="43">
        <v>42548</v>
      </c>
      <c r="C199" s="30" t="s">
        <v>9</v>
      </c>
      <c r="D199" s="30" t="s">
        <v>1603</v>
      </c>
      <c r="E199" s="30">
        <v>180</v>
      </c>
      <c r="F199" s="30">
        <v>240</v>
      </c>
      <c r="G199" s="30">
        <v>60</v>
      </c>
      <c r="H199" s="30">
        <v>120</v>
      </c>
      <c r="I199" s="30">
        <v>7200</v>
      </c>
      <c r="J199" s="12"/>
      <c r="K199" s="10"/>
      <c r="L199" s="10"/>
      <c r="M199" s="10"/>
      <c r="N199" s="10"/>
      <c r="O199" s="10"/>
    </row>
    <row r="200" spans="1:15" x14ac:dyDescent="0.3">
      <c r="A200" s="12"/>
      <c r="B200" s="43">
        <v>42549</v>
      </c>
      <c r="C200" s="30" t="s">
        <v>9</v>
      </c>
      <c r="D200" s="30" t="s">
        <v>1603</v>
      </c>
      <c r="E200" s="30">
        <v>200</v>
      </c>
      <c r="F200" s="30">
        <v>260</v>
      </c>
      <c r="G200" s="30">
        <v>60</v>
      </c>
      <c r="H200" s="30">
        <v>120</v>
      </c>
      <c r="I200" s="30">
        <v>7200</v>
      </c>
      <c r="J200" s="12"/>
      <c r="K200" s="10"/>
      <c r="L200" s="10"/>
      <c r="M200" s="10"/>
      <c r="N200" s="10"/>
      <c r="O200" s="10"/>
    </row>
    <row r="201" spans="1:15" x14ac:dyDescent="0.3">
      <c r="A201" s="12"/>
      <c r="B201" s="43">
        <v>42550</v>
      </c>
      <c r="C201" s="30" t="s">
        <v>9</v>
      </c>
      <c r="D201" s="30" t="s">
        <v>1604</v>
      </c>
      <c r="E201" s="30">
        <v>180</v>
      </c>
      <c r="F201" s="30">
        <v>100</v>
      </c>
      <c r="G201" s="30">
        <v>-80</v>
      </c>
      <c r="H201" s="30">
        <v>120</v>
      </c>
      <c r="I201" s="30">
        <v>-9600</v>
      </c>
      <c r="J201" s="12"/>
      <c r="K201" s="10"/>
      <c r="L201" s="10"/>
      <c r="M201" s="10"/>
      <c r="N201" s="10"/>
      <c r="O201" s="10"/>
    </row>
    <row r="202" spans="1:15" x14ac:dyDescent="0.3">
      <c r="A202" s="12"/>
      <c r="B202" s="43">
        <v>42551</v>
      </c>
      <c r="C202" s="30" t="s">
        <v>9</v>
      </c>
      <c r="D202" s="30" t="s">
        <v>1605</v>
      </c>
      <c r="E202" s="30">
        <v>160</v>
      </c>
      <c r="F202" s="30">
        <v>185</v>
      </c>
      <c r="G202" s="30">
        <v>25</v>
      </c>
      <c r="H202" s="30">
        <v>120</v>
      </c>
      <c r="I202" s="30">
        <v>3000</v>
      </c>
      <c r="J202" s="12"/>
      <c r="K202" s="10"/>
      <c r="L202" s="10"/>
      <c r="M202" s="10"/>
      <c r="N202" s="10"/>
      <c r="O202" s="10"/>
    </row>
    <row r="203" spans="1:15" ht="18" x14ac:dyDescent="0.35">
      <c r="A203" s="12"/>
      <c r="B203" s="10"/>
      <c r="C203" s="10"/>
      <c r="D203" s="10"/>
      <c r="E203" s="10"/>
      <c r="F203" s="10"/>
      <c r="G203" s="10"/>
      <c r="H203" s="10"/>
      <c r="I203" s="72"/>
      <c r="J203" s="12"/>
      <c r="K203" s="10"/>
      <c r="L203" s="10"/>
      <c r="M203" s="10"/>
      <c r="N203" s="10"/>
      <c r="O203" s="10"/>
    </row>
    <row r="204" spans="1:15" ht="18" x14ac:dyDescent="0.35">
      <c r="A204" s="12"/>
      <c r="B204" s="10"/>
      <c r="C204" s="10"/>
      <c r="D204" s="10"/>
      <c r="E204" s="10"/>
      <c r="F204" s="10"/>
      <c r="G204" s="10"/>
      <c r="H204" s="10"/>
      <c r="I204" s="72">
        <v>80400</v>
      </c>
      <c r="J204" s="12"/>
      <c r="K204" s="10"/>
      <c r="L204" s="10"/>
      <c r="M204" s="10"/>
      <c r="N204" s="10"/>
      <c r="O204" s="10"/>
    </row>
    <row r="205" spans="1:15" x14ac:dyDescent="0.3">
      <c r="A205" s="12"/>
    </row>
  </sheetData>
  <mergeCells count="5">
    <mergeCell ref="B155:I155"/>
    <mergeCell ref="B180:I180"/>
    <mergeCell ref="B1:I1"/>
    <mergeCell ref="B2:I2"/>
    <mergeCell ref="B3:I3"/>
  </mergeCells>
  <hyperlinks>
    <hyperlink ref="K2" location="'MASTER '!A1" display="Back" xr:uid="{00000000-0004-0000-26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8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101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41456</v>
      </c>
      <c r="C6" s="4" t="s">
        <v>11</v>
      </c>
      <c r="D6" s="7" t="s">
        <v>26</v>
      </c>
      <c r="E6" s="4">
        <v>184</v>
      </c>
      <c r="F6" s="4">
        <v>187</v>
      </c>
      <c r="G6" s="24">
        <v>1630</v>
      </c>
      <c r="H6" s="28">
        <v>4890</v>
      </c>
      <c r="K6" s="16"/>
    </row>
    <row r="7" spans="1:11" x14ac:dyDescent="0.3">
      <c r="B7" s="1">
        <v>41457</v>
      </c>
      <c r="C7" s="4" t="s">
        <v>9</v>
      </c>
      <c r="D7" s="7" t="s">
        <v>28</v>
      </c>
      <c r="E7" s="4">
        <v>660</v>
      </c>
      <c r="F7" s="4">
        <v>653</v>
      </c>
      <c r="G7" s="24">
        <v>454</v>
      </c>
      <c r="H7" s="28">
        <v>-3187</v>
      </c>
      <c r="K7" s="16"/>
    </row>
    <row r="8" spans="1:11" x14ac:dyDescent="0.3">
      <c r="B8" s="1">
        <v>41458</v>
      </c>
      <c r="C8" s="4" t="s">
        <v>9</v>
      </c>
      <c r="D8" s="7" t="s">
        <v>91</v>
      </c>
      <c r="E8" s="4">
        <v>450</v>
      </c>
      <c r="F8" s="4">
        <v>455</v>
      </c>
      <c r="G8" s="24">
        <v>666</v>
      </c>
      <c r="H8" s="28">
        <v>3330</v>
      </c>
      <c r="K8" s="16"/>
    </row>
    <row r="9" spans="1:11" x14ac:dyDescent="0.3">
      <c r="B9" s="1">
        <v>41459</v>
      </c>
      <c r="C9" s="4" t="s">
        <v>8</v>
      </c>
      <c r="D9" s="7" t="s">
        <v>103</v>
      </c>
      <c r="E9" s="4">
        <v>130</v>
      </c>
      <c r="F9" s="4">
        <v>127</v>
      </c>
      <c r="G9" s="24">
        <v>2362</v>
      </c>
      <c r="H9" s="28">
        <v>7086</v>
      </c>
      <c r="K9" s="16"/>
    </row>
    <row r="10" spans="1:11" x14ac:dyDescent="0.3">
      <c r="B10" s="1">
        <v>41460</v>
      </c>
      <c r="C10" s="4" t="s">
        <v>8</v>
      </c>
      <c r="D10" s="7" t="s">
        <v>85</v>
      </c>
      <c r="E10" s="4">
        <v>299</v>
      </c>
      <c r="F10" s="4">
        <v>293</v>
      </c>
      <c r="G10" s="24">
        <v>1003</v>
      </c>
      <c r="H10" s="28">
        <v>6018</v>
      </c>
      <c r="K10" s="16"/>
    </row>
    <row r="11" spans="1:11" x14ac:dyDescent="0.3">
      <c r="B11" s="1">
        <v>41463</v>
      </c>
      <c r="C11" s="4" t="s">
        <v>9</v>
      </c>
      <c r="D11" s="7" t="s">
        <v>106</v>
      </c>
      <c r="E11" s="4">
        <v>353</v>
      </c>
      <c r="F11" s="4">
        <v>362</v>
      </c>
      <c r="G11" s="24">
        <v>849</v>
      </c>
      <c r="H11" s="28">
        <v>3141</v>
      </c>
      <c r="K11" s="16"/>
    </row>
    <row r="12" spans="1:11" x14ac:dyDescent="0.3">
      <c r="B12" s="1">
        <v>41464</v>
      </c>
      <c r="C12" s="4" t="s">
        <v>8</v>
      </c>
      <c r="D12" s="7" t="s">
        <v>106</v>
      </c>
      <c r="E12" s="4">
        <v>372</v>
      </c>
      <c r="F12" s="4">
        <v>376</v>
      </c>
      <c r="G12" s="24">
        <v>806</v>
      </c>
      <c r="H12" s="28">
        <v>-3264</v>
      </c>
      <c r="K12" s="16"/>
    </row>
    <row r="13" spans="1:11" x14ac:dyDescent="0.3">
      <c r="B13" s="1">
        <v>41465</v>
      </c>
      <c r="C13" s="4" t="s">
        <v>8</v>
      </c>
      <c r="D13" s="7" t="s">
        <v>85</v>
      </c>
      <c r="E13" s="4">
        <v>390</v>
      </c>
      <c r="F13" s="4">
        <v>389</v>
      </c>
      <c r="G13" s="4">
        <v>1034</v>
      </c>
      <c r="H13" s="28">
        <v>1034</v>
      </c>
      <c r="K13" s="16"/>
    </row>
    <row r="14" spans="1:11" x14ac:dyDescent="0.3">
      <c r="B14" s="1">
        <v>41466</v>
      </c>
      <c r="C14" s="4" t="s">
        <v>9</v>
      </c>
      <c r="D14" s="7" t="s">
        <v>103</v>
      </c>
      <c r="E14" s="4">
        <v>144</v>
      </c>
      <c r="F14" s="4">
        <v>146</v>
      </c>
      <c r="G14" s="4">
        <v>2083</v>
      </c>
      <c r="H14" s="28">
        <v>4166</v>
      </c>
      <c r="K14" s="16"/>
    </row>
    <row r="15" spans="1:11" x14ac:dyDescent="0.3">
      <c r="B15" s="1">
        <v>41467</v>
      </c>
      <c r="C15" s="3" t="s">
        <v>8</v>
      </c>
      <c r="D15" s="2" t="s">
        <v>108</v>
      </c>
      <c r="E15" s="4">
        <v>600</v>
      </c>
      <c r="F15" s="4">
        <v>595</v>
      </c>
      <c r="G15" s="28">
        <v>500</v>
      </c>
      <c r="H15" s="28">
        <v>2500</v>
      </c>
      <c r="K15" s="16"/>
    </row>
    <row r="16" spans="1:11" x14ac:dyDescent="0.3">
      <c r="B16" s="1">
        <v>41470</v>
      </c>
      <c r="C16" s="4" t="s">
        <v>9</v>
      </c>
      <c r="D16" s="7" t="s">
        <v>23</v>
      </c>
      <c r="E16" s="4">
        <v>154</v>
      </c>
      <c r="F16" s="4">
        <v>155.30000000000001</v>
      </c>
      <c r="G16" s="4">
        <v>1948</v>
      </c>
      <c r="H16" s="28">
        <v>2532</v>
      </c>
      <c r="K16" s="16"/>
    </row>
    <row r="17" spans="2:11" x14ac:dyDescent="0.3">
      <c r="B17" s="1">
        <v>41471</v>
      </c>
      <c r="C17" s="4" t="s">
        <v>9</v>
      </c>
      <c r="D17" s="7" t="s">
        <v>111</v>
      </c>
      <c r="E17" s="4">
        <v>301</v>
      </c>
      <c r="F17" s="7">
        <v>304</v>
      </c>
      <c r="G17" s="4">
        <v>996</v>
      </c>
      <c r="H17" s="28">
        <v>2988</v>
      </c>
      <c r="K17" s="16"/>
    </row>
    <row r="18" spans="2:11" x14ac:dyDescent="0.3">
      <c r="B18" s="1">
        <v>41472</v>
      </c>
      <c r="C18" s="4" t="s">
        <v>8</v>
      </c>
      <c r="D18" s="7" t="s">
        <v>113</v>
      </c>
      <c r="E18" s="7">
        <v>163</v>
      </c>
      <c r="F18" s="7">
        <v>158</v>
      </c>
      <c r="G18" s="4">
        <v>1840</v>
      </c>
      <c r="H18" s="28">
        <v>9200</v>
      </c>
      <c r="K18" s="16"/>
    </row>
    <row r="19" spans="2:11" x14ac:dyDescent="0.3">
      <c r="B19" s="1">
        <v>41473</v>
      </c>
      <c r="C19" s="4" t="s">
        <v>9</v>
      </c>
      <c r="D19" s="7" t="s">
        <v>16</v>
      </c>
      <c r="E19" s="7">
        <v>262.5</v>
      </c>
      <c r="F19" s="7">
        <v>265.5</v>
      </c>
      <c r="G19" s="4">
        <v>1142</v>
      </c>
      <c r="H19" s="28">
        <v>3426</v>
      </c>
      <c r="K19" s="16"/>
    </row>
    <row r="20" spans="2:11" x14ac:dyDescent="0.3">
      <c r="B20" s="1">
        <v>41474</v>
      </c>
      <c r="C20" s="4" t="s">
        <v>8</v>
      </c>
      <c r="D20" s="7" t="s">
        <v>26</v>
      </c>
      <c r="E20" s="4">
        <v>168</v>
      </c>
      <c r="F20" s="4">
        <v>171</v>
      </c>
      <c r="G20" s="4">
        <v>1875</v>
      </c>
      <c r="H20" s="28">
        <v>-5625</v>
      </c>
      <c r="K20" s="16"/>
    </row>
    <row r="21" spans="2:11" x14ac:dyDescent="0.3">
      <c r="B21" s="1">
        <v>41477</v>
      </c>
      <c r="C21" s="4" t="s">
        <v>8</v>
      </c>
      <c r="D21" s="7" t="s">
        <v>16</v>
      </c>
      <c r="E21" s="4">
        <v>258</v>
      </c>
      <c r="F21" s="4">
        <v>261</v>
      </c>
      <c r="G21" s="4">
        <v>1162</v>
      </c>
      <c r="H21" s="28">
        <v>-3486</v>
      </c>
      <c r="K21" s="16"/>
    </row>
    <row r="22" spans="2:11" x14ac:dyDescent="0.3">
      <c r="B22" s="1">
        <v>41478</v>
      </c>
      <c r="C22" s="4" t="s">
        <v>8</v>
      </c>
      <c r="D22" s="7" t="s">
        <v>116</v>
      </c>
      <c r="E22" s="7">
        <v>68.75</v>
      </c>
      <c r="F22" s="7">
        <v>67</v>
      </c>
      <c r="G22" s="4">
        <v>4363</v>
      </c>
      <c r="H22" s="28">
        <v>7635</v>
      </c>
      <c r="K22" s="16"/>
    </row>
    <row r="23" spans="2:11" x14ac:dyDescent="0.3">
      <c r="B23" s="1">
        <v>41479</v>
      </c>
      <c r="C23" s="4" t="s">
        <v>8</v>
      </c>
      <c r="D23" s="7" t="s">
        <v>120</v>
      </c>
      <c r="E23" s="4">
        <v>200</v>
      </c>
      <c r="F23" s="4">
        <v>196.6</v>
      </c>
      <c r="G23" s="4">
        <v>1500</v>
      </c>
      <c r="H23" s="28">
        <v>3600</v>
      </c>
      <c r="K23" s="16"/>
    </row>
    <row r="24" spans="2:11" x14ac:dyDescent="0.3">
      <c r="B24" s="1">
        <v>41480</v>
      </c>
      <c r="C24" s="4" t="s">
        <v>9</v>
      </c>
      <c r="D24" s="7" t="s">
        <v>121</v>
      </c>
      <c r="E24" s="7">
        <v>158</v>
      </c>
      <c r="F24" s="7">
        <v>161.80000000000001</v>
      </c>
      <c r="G24" s="4">
        <v>1898</v>
      </c>
      <c r="H24" s="28">
        <v>7212</v>
      </c>
      <c r="K24" s="16"/>
    </row>
    <row r="25" spans="2:11" x14ac:dyDescent="0.3">
      <c r="B25" s="1">
        <v>41481</v>
      </c>
      <c r="C25" s="28" t="s">
        <v>9</v>
      </c>
      <c r="D25" s="28" t="s">
        <v>122</v>
      </c>
      <c r="E25" s="28">
        <v>904</v>
      </c>
      <c r="F25" s="28">
        <v>912</v>
      </c>
      <c r="G25" s="28">
        <v>331</v>
      </c>
      <c r="H25" s="28">
        <v>2648</v>
      </c>
    </row>
    <row r="26" spans="2:11" ht="15.6" x14ac:dyDescent="0.3">
      <c r="B26" s="1">
        <v>41484</v>
      </c>
      <c r="C26" s="28" t="s">
        <v>8</v>
      </c>
      <c r="D26" s="28" t="s">
        <v>28</v>
      </c>
      <c r="E26" s="28">
        <v>574</v>
      </c>
      <c r="F26" s="28">
        <v>580</v>
      </c>
      <c r="G26" s="28">
        <v>522</v>
      </c>
      <c r="H26" s="36">
        <v>-3132</v>
      </c>
    </row>
    <row r="27" spans="2:11" x14ac:dyDescent="0.3">
      <c r="B27" s="1">
        <v>41485</v>
      </c>
      <c r="C27" s="28" t="s">
        <v>8</v>
      </c>
      <c r="D27" s="28" t="s">
        <v>16</v>
      </c>
      <c r="E27" s="28">
        <v>260</v>
      </c>
      <c r="F27" s="28">
        <v>256</v>
      </c>
      <c r="G27" s="28">
        <v>1153</v>
      </c>
      <c r="H27" s="28">
        <v>4612</v>
      </c>
    </row>
    <row r="28" spans="2:11" x14ac:dyDescent="0.3">
      <c r="B28" s="1">
        <v>41486</v>
      </c>
      <c r="C28" s="28" t="s">
        <v>8</v>
      </c>
      <c r="D28" s="28" t="s">
        <v>58</v>
      </c>
      <c r="E28" s="28">
        <v>1040</v>
      </c>
      <c r="F28" s="28">
        <v>1022</v>
      </c>
      <c r="G28" s="28">
        <v>288</v>
      </c>
      <c r="H28" s="28">
        <v>5184</v>
      </c>
    </row>
    <row r="29" spans="2:11" ht="15.6" x14ac:dyDescent="0.3">
      <c r="B29" s="1"/>
      <c r="C29" s="28"/>
      <c r="D29" s="28"/>
      <c r="E29" s="28"/>
      <c r="F29" s="28"/>
      <c r="G29" s="28"/>
      <c r="H29" s="34">
        <v>62508</v>
      </c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41456</v>
      </c>
      <c r="C32" s="4" t="s">
        <v>9</v>
      </c>
      <c r="D32" s="7" t="s">
        <v>26</v>
      </c>
      <c r="E32" s="4">
        <v>189</v>
      </c>
      <c r="F32" s="4">
        <v>190</v>
      </c>
      <c r="G32" s="24">
        <v>1000</v>
      </c>
      <c r="H32" s="28">
        <v>1000</v>
      </c>
    </row>
    <row r="33" spans="2:8" x14ac:dyDescent="0.3">
      <c r="B33" s="1">
        <v>41457</v>
      </c>
      <c r="C33" s="4" t="s">
        <v>8</v>
      </c>
      <c r="D33" s="7" t="s">
        <v>58</v>
      </c>
      <c r="E33" s="4">
        <v>1322</v>
      </c>
      <c r="F33" s="4">
        <v>1300</v>
      </c>
      <c r="G33" s="24">
        <v>250</v>
      </c>
      <c r="H33" s="28">
        <v>5500</v>
      </c>
    </row>
    <row r="34" spans="2:8" x14ac:dyDescent="0.3">
      <c r="B34" s="1">
        <v>41458</v>
      </c>
      <c r="C34" s="4" t="s">
        <v>8</v>
      </c>
      <c r="D34" s="7" t="s">
        <v>85</v>
      </c>
      <c r="E34" s="4">
        <v>294</v>
      </c>
      <c r="F34" s="4">
        <v>295</v>
      </c>
      <c r="G34" s="24">
        <v>1000</v>
      </c>
      <c r="H34" s="28">
        <v>-1000</v>
      </c>
    </row>
    <row r="35" spans="2:8" x14ac:dyDescent="0.3">
      <c r="B35" s="1">
        <v>41459</v>
      </c>
      <c r="C35" s="4" t="s">
        <v>8</v>
      </c>
      <c r="D35" s="7" t="s">
        <v>103</v>
      </c>
      <c r="E35" s="4">
        <v>132</v>
      </c>
      <c r="F35" s="4">
        <v>128</v>
      </c>
      <c r="G35" s="24">
        <v>2000</v>
      </c>
      <c r="H35" s="28">
        <v>8000</v>
      </c>
    </row>
    <row r="36" spans="2:8" x14ac:dyDescent="0.3">
      <c r="B36" s="1">
        <v>41460</v>
      </c>
      <c r="C36" s="4" t="s">
        <v>8</v>
      </c>
      <c r="D36" s="7" t="s">
        <v>105</v>
      </c>
      <c r="E36" s="4">
        <v>200</v>
      </c>
      <c r="F36" s="4">
        <v>198</v>
      </c>
      <c r="G36" s="24">
        <v>1000</v>
      </c>
      <c r="H36" s="28">
        <v>2000</v>
      </c>
    </row>
    <row r="37" spans="2:8" x14ac:dyDescent="0.3">
      <c r="B37" s="1">
        <v>41463</v>
      </c>
      <c r="C37" s="4" t="s">
        <v>9</v>
      </c>
      <c r="D37" s="7" t="s">
        <v>29</v>
      </c>
      <c r="E37" s="4">
        <v>814</v>
      </c>
      <c r="F37" s="4">
        <v>822</v>
      </c>
      <c r="G37" s="24">
        <v>500</v>
      </c>
      <c r="H37" s="28">
        <v>4000</v>
      </c>
    </row>
    <row r="38" spans="2:8" x14ac:dyDescent="0.3">
      <c r="B38" s="1">
        <v>41464</v>
      </c>
      <c r="C38" s="4" t="s">
        <v>8</v>
      </c>
      <c r="D38" s="7" t="s">
        <v>106</v>
      </c>
      <c r="E38" s="4">
        <v>377</v>
      </c>
      <c r="F38" s="4">
        <v>373</v>
      </c>
      <c r="G38" s="24">
        <v>1000</v>
      </c>
      <c r="H38" s="28">
        <v>4000</v>
      </c>
    </row>
    <row r="39" spans="2:8" x14ac:dyDescent="0.3">
      <c r="B39" s="1">
        <v>41465</v>
      </c>
      <c r="C39" s="4" t="s">
        <v>8</v>
      </c>
      <c r="D39" s="7" t="s">
        <v>107</v>
      </c>
      <c r="E39" s="4">
        <v>1888</v>
      </c>
      <c r="F39" s="4">
        <v>1866</v>
      </c>
      <c r="G39" s="32">
        <v>125</v>
      </c>
      <c r="H39" s="28">
        <v>2750</v>
      </c>
    </row>
    <row r="40" spans="2:8" x14ac:dyDescent="0.3">
      <c r="B40" s="1">
        <v>41466</v>
      </c>
      <c r="C40" s="4" t="s">
        <v>8</v>
      </c>
      <c r="D40" s="7" t="s">
        <v>16</v>
      </c>
      <c r="E40" s="4">
        <v>247.5</v>
      </c>
      <c r="F40" s="4">
        <v>245.5</v>
      </c>
      <c r="G40" s="28">
        <v>1000</v>
      </c>
      <c r="H40" s="28">
        <v>2000</v>
      </c>
    </row>
    <row r="41" spans="2:8" x14ac:dyDescent="0.3">
      <c r="B41" s="1">
        <v>41467</v>
      </c>
      <c r="C41" s="28" t="s">
        <v>8</v>
      </c>
      <c r="D41" s="28" t="s">
        <v>109</v>
      </c>
      <c r="E41" s="28">
        <v>891</v>
      </c>
      <c r="F41" s="28">
        <v>883</v>
      </c>
      <c r="G41" s="28">
        <v>250</v>
      </c>
      <c r="H41" s="28">
        <v>2000</v>
      </c>
    </row>
    <row r="42" spans="2:8" x14ac:dyDescent="0.3">
      <c r="B42" s="1">
        <v>41470</v>
      </c>
      <c r="C42" s="4" t="s">
        <v>9</v>
      </c>
      <c r="D42" s="7" t="s">
        <v>28</v>
      </c>
      <c r="E42" s="4">
        <v>641</v>
      </c>
      <c r="F42" s="4">
        <v>652</v>
      </c>
      <c r="G42" s="28">
        <v>500</v>
      </c>
      <c r="H42" s="28">
        <v>5500</v>
      </c>
    </row>
    <row r="43" spans="2:8" x14ac:dyDescent="0.3">
      <c r="B43" s="1">
        <v>41471</v>
      </c>
      <c r="C43" s="4" t="s">
        <v>9</v>
      </c>
      <c r="D43" s="7" t="s">
        <v>112</v>
      </c>
      <c r="E43" s="4">
        <v>240</v>
      </c>
      <c r="F43" s="4">
        <v>244</v>
      </c>
      <c r="G43" s="28">
        <v>1000</v>
      </c>
      <c r="H43" s="28">
        <v>4000</v>
      </c>
    </row>
    <row r="44" spans="2:8" x14ac:dyDescent="0.3">
      <c r="B44" s="1">
        <v>41472</v>
      </c>
      <c r="C44" s="4" t="s">
        <v>9</v>
      </c>
      <c r="D44" s="7" t="s">
        <v>114</v>
      </c>
      <c r="E44" s="4">
        <v>1135</v>
      </c>
      <c r="F44" s="4">
        <v>1123</v>
      </c>
      <c r="G44" s="28">
        <v>250</v>
      </c>
      <c r="H44" s="28">
        <v>-3000</v>
      </c>
    </row>
    <row r="45" spans="2:8" x14ac:dyDescent="0.3">
      <c r="B45" s="1">
        <v>41473</v>
      </c>
      <c r="C45" s="4" t="s">
        <v>8</v>
      </c>
      <c r="D45" s="7" t="s">
        <v>109</v>
      </c>
      <c r="E45" s="4">
        <v>870</v>
      </c>
      <c r="F45" s="4">
        <v>880</v>
      </c>
      <c r="G45" s="28">
        <v>250</v>
      </c>
      <c r="H45" s="28">
        <v>-2500</v>
      </c>
    </row>
    <row r="46" spans="2:8" x14ac:dyDescent="0.3">
      <c r="B46" s="1">
        <v>41474</v>
      </c>
      <c r="C46" s="4" t="s">
        <v>9</v>
      </c>
      <c r="D46" s="7" t="s">
        <v>115</v>
      </c>
      <c r="E46" s="4">
        <v>297</v>
      </c>
      <c r="F46" s="4">
        <v>297.5</v>
      </c>
      <c r="G46" s="28">
        <v>1000</v>
      </c>
      <c r="H46" s="28">
        <v>500</v>
      </c>
    </row>
    <row r="47" spans="2:8" x14ac:dyDescent="0.3">
      <c r="B47" s="1">
        <v>41477</v>
      </c>
      <c r="C47" s="4" t="s">
        <v>9</v>
      </c>
      <c r="D47" s="7" t="s">
        <v>111</v>
      </c>
      <c r="E47" s="7">
        <v>313</v>
      </c>
      <c r="F47" s="7">
        <v>311</v>
      </c>
      <c r="G47" s="28">
        <v>1000</v>
      </c>
      <c r="H47" s="28">
        <v>-2000</v>
      </c>
    </row>
    <row r="48" spans="2:8" x14ac:dyDescent="0.3">
      <c r="B48" s="1">
        <v>41478</v>
      </c>
      <c r="C48" s="4" t="s">
        <v>8</v>
      </c>
      <c r="D48" s="7" t="s">
        <v>117</v>
      </c>
      <c r="E48" s="7">
        <v>196</v>
      </c>
      <c r="F48" s="7">
        <v>194</v>
      </c>
      <c r="G48" s="28">
        <v>2000</v>
      </c>
      <c r="H48" s="28">
        <v>4000</v>
      </c>
    </row>
    <row r="49" spans="2:8" x14ac:dyDescent="0.3">
      <c r="B49" s="1">
        <v>41479</v>
      </c>
      <c r="C49" s="4" t="s">
        <v>8</v>
      </c>
      <c r="D49" s="7" t="s">
        <v>119</v>
      </c>
      <c r="E49" s="4">
        <v>687</v>
      </c>
      <c r="F49" s="4">
        <v>682</v>
      </c>
      <c r="G49" s="28">
        <v>500</v>
      </c>
      <c r="H49" s="28">
        <v>2500</v>
      </c>
    </row>
    <row r="50" spans="2:8" x14ac:dyDescent="0.3">
      <c r="B50" s="1">
        <v>41480</v>
      </c>
      <c r="C50" s="4" t="s">
        <v>8</v>
      </c>
      <c r="D50" s="7" t="s">
        <v>122</v>
      </c>
      <c r="E50" s="4">
        <v>856</v>
      </c>
      <c r="F50" s="7">
        <v>0</v>
      </c>
      <c r="G50" s="28">
        <v>0</v>
      </c>
      <c r="H50" s="28">
        <v>0</v>
      </c>
    </row>
    <row r="51" spans="2:8" x14ac:dyDescent="0.3">
      <c r="B51" s="1">
        <v>41481</v>
      </c>
      <c r="C51" s="4" t="s">
        <v>8</v>
      </c>
      <c r="D51" s="7" t="s">
        <v>113</v>
      </c>
      <c r="E51" s="7">
        <v>140</v>
      </c>
      <c r="F51" s="7">
        <v>135.5</v>
      </c>
      <c r="G51" s="28">
        <v>2000</v>
      </c>
      <c r="H51" s="28">
        <v>9000</v>
      </c>
    </row>
    <row r="52" spans="2:8" ht="15.6" x14ac:dyDescent="0.3">
      <c r="B52" s="1">
        <v>41484</v>
      </c>
      <c r="C52" s="4" t="s">
        <v>8</v>
      </c>
      <c r="D52" s="4" t="s">
        <v>113</v>
      </c>
      <c r="E52" s="4">
        <v>137.5</v>
      </c>
      <c r="F52" s="4">
        <v>138</v>
      </c>
      <c r="G52" s="28">
        <v>2000</v>
      </c>
      <c r="H52" s="36">
        <v>1000</v>
      </c>
    </row>
    <row r="53" spans="2:8" x14ac:dyDescent="0.3">
      <c r="B53" s="1">
        <v>41485</v>
      </c>
      <c r="C53" s="4" t="s">
        <v>8</v>
      </c>
      <c r="D53" s="4" t="s">
        <v>124</v>
      </c>
      <c r="E53" s="4">
        <v>292</v>
      </c>
      <c r="F53" s="4">
        <v>286</v>
      </c>
      <c r="G53" s="28">
        <v>1000</v>
      </c>
      <c r="H53" s="28">
        <v>6000</v>
      </c>
    </row>
    <row r="54" spans="2:8" x14ac:dyDescent="0.3">
      <c r="B54" s="1">
        <v>41486</v>
      </c>
      <c r="C54" s="28" t="s">
        <v>9</v>
      </c>
      <c r="D54" s="28" t="s">
        <v>126</v>
      </c>
      <c r="E54" s="28">
        <v>1818</v>
      </c>
      <c r="F54" s="28">
        <v>1823</v>
      </c>
      <c r="G54" s="28">
        <v>250</v>
      </c>
      <c r="H54" s="28">
        <v>1250</v>
      </c>
    </row>
    <row r="55" spans="2:8" ht="15.6" x14ac:dyDescent="0.3">
      <c r="B55" s="1"/>
      <c r="C55" s="28"/>
      <c r="D55" s="28"/>
      <c r="E55" s="28"/>
      <c r="F55" s="28"/>
      <c r="G55" s="28"/>
      <c r="H55" s="34">
        <v>56500</v>
      </c>
    </row>
    <row r="56" spans="2:8" x14ac:dyDescent="0.3">
      <c r="B56" s="1"/>
    </row>
    <row r="57" spans="2:8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8" x14ac:dyDescent="0.3">
      <c r="B58" s="1">
        <v>41456</v>
      </c>
      <c r="C58" s="3" t="s">
        <v>9</v>
      </c>
      <c r="D58" s="2" t="s">
        <v>39</v>
      </c>
      <c r="E58" s="4">
        <v>5860</v>
      </c>
      <c r="F58" s="4">
        <v>5880</v>
      </c>
      <c r="G58" s="7">
        <v>100</v>
      </c>
      <c r="H58" s="4">
        <v>2000</v>
      </c>
    </row>
    <row r="59" spans="2:8" x14ac:dyDescent="0.3">
      <c r="B59" s="1">
        <v>41457</v>
      </c>
      <c r="C59" s="3" t="s">
        <v>9</v>
      </c>
      <c r="D59" s="2" t="s">
        <v>39</v>
      </c>
      <c r="E59" s="4">
        <v>5880</v>
      </c>
      <c r="F59" s="4">
        <v>5865</v>
      </c>
      <c r="G59" s="7">
        <v>100</v>
      </c>
      <c r="H59" s="4">
        <v>1500</v>
      </c>
    </row>
    <row r="60" spans="2:8" x14ac:dyDescent="0.3">
      <c r="B60" s="1">
        <v>41458</v>
      </c>
      <c r="C60" s="28" t="s">
        <v>8</v>
      </c>
      <c r="D60" s="28" t="s">
        <v>39</v>
      </c>
      <c r="E60" s="28">
        <v>5785</v>
      </c>
      <c r="F60" s="28">
        <v>5765</v>
      </c>
      <c r="G60" s="28">
        <v>100</v>
      </c>
      <c r="H60" s="28">
        <v>2000</v>
      </c>
    </row>
    <row r="61" spans="2:8" x14ac:dyDescent="0.3">
      <c r="B61" s="1">
        <v>41459</v>
      </c>
      <c r="C61" s="3" t="s">
        <v>9</v>
      </c>
      <c r="D61" s="2" t="s">
        <v>39</v>
      </c>
      <c r="E61" s="4">
        <v>5810</v>
      </c>
      <c r="F61" s="4">
        <v>5847</v>
      </c>
      <c r="G61" s="7">
        <v>100</v>
      </c>
      <c r="H61" s="4">
        <v>3700</v>
      </c>
    </row>
    <row r="62" spans="2:8" x14ac:dyDescent="0.3">
      <c r="B62" s="1">
        <v>41460</v>
      </c>
      <c r="C62" s="3" t="s">
        <v>8</v>
      </c>
      <c r="D62" s="2" t="s">
        <v>39</v>
      </c>
      <c r="E62" s="4">
        <v>5885</v>
      </c>
      <c r="F62" s="4">
        <v>5865</v>
      </c>
      <c r="G62" s="7">
        <v>100</v>
      </c>
      <c r="H62" s="4">
        <v>2000</v>
      </c>
    </row>
    <row r="63" spans="2:8" x14ac:dyDescent="0.3">
      <c r="B63" s="1">
        <v>41463</v>
      </c>
      <c r="C63" s="3" t="s">
        <v>8</v>
      </c>
      <c r="D63" s="2" t="s">
        <v>39</v>
      </c>
      <c r="E63" s="4">
        <v>5890</v>
      </c>
      <c r="F63" s="4">
        <v>5875</v>
      </c>
      <c r="G63" s="7">
        <v>100</v>
      </c>
      <c r="H63" s="4">
        <v>1500</v>
      </c>
    </row>
    <row r="64" spans="2:8" x14ac:dyDescent="0.3">
      <c r="B64" s="1">
        <v>41464</v>
      </c>
      <c r="C64" s="3" t="s">
        <v>8</v>
      </c>
      <c r="D64" s="2" t="s">
        <v>39</v>
      </c>
      <c r="E64" s="4">
        <v>5860</v>
      </c>
      <c r="F64" s="4">
        <v>5845</v>
      </c>
      <c r="G64" s="7">
        <v>100</v>
      </c>
      <c r="H64" s="4">
        <v>1500</v>
      </c>
    </row>
    <row r="65" spans="2:8" x14ac:dyDescent="0.3">
      <c r="B65" s="1">
        <v>41465</v>
      </c>
      <c r="C65" s="3" t="s">
        <v>8</v>
      </c>
      <c r="D65" s="2" t="s">
        <v>39</v>
      </c>
      <c r="E65" s="4">
        <v>5870</v>
      </c>
      <c r="F65" s="4">
        <v>5840</v>
      </c>
      <c r="G65" s="7">
        <v>100</v>
      </c>
      <c r="H65" s="4">
        <v>3000</v>
      </c>
    </row>
    <row r="66" spans="2:8" x14ac:dyDescent="0.3">
      <c r="B66" s="1">
        <v>41466</v>
      </c>
      <c r="C66" s="3" t="s">
        <v>9</v>
      </c>
      <c r="D66" s="2" t="s">
        <v>39</v>
      </c>
      <c r="E66" s="4">
        <v>5940</v>
      </c>
      <c r="F66" s="4">
        <v>5955</v>
      </c>
      <c r="G66" s="7">
        <v>100</v>
      </c>
      <c r="H66" s="4">
        <v>1500</v>
      </c>
    </row>
    <row r="67" spans="2:8" x14ac:dyDescent="0.3">
      <c r="B67" s="1">
        <v>41467</v>
      </c>
      <c r="C67" s="3" t="s">
        <v>8</v>
      </c>
      <c r="D67" s="2" t="s">
        <v>39</v>
      </c>
      <c r="E67" s="4">
        <v>5960</v>
      </c>
      <c r="F67" s="4">
        <v>5975</v>
      </c>
      <c r="G67" s="7">
        <v>100</v>
      </c>
      <c r="H67" s="4">
        <v>-1500</v>
      </c>
    </row>
    <row r="68" spans="2:8" x14ac:dyDescent="0.3">
      <c r="B68" s="1">
        <v>41470</v>
      </c>
      <c r="C68" s="3" t="s">
        <v>8</v>
      </c>
      <c r="D68" s="2" t="s">
        <v>39</v>
      </c>
      <c r="E68" s="4">
        <v>5990</v>
      </c>
      <c r="F68" s="4">
        <v>6000</v>
      </c>
      <c r="G68" s="7">
        <v>100</v>
      </c>
      <c r="H68" s="4">
        <v>-1000</v>
      </c>
    </row>
    <row r="69" spans="2:8" x14ac:dyDescent="0.3">
      <c r="B69" s="1">
        <v>41471</v>
      </c>
      <c r="C69" s="3" t="s">
        <v>8</v>
      </c>
      <c r="D69" s="2" t="s">
        <v>39</v>
      </c>
      <c r="E69" s="4">
        <v>5980</v>
      </c>
      <c r="F69" s="4">
        <v>5950</v>
      </c>
      <c r="G69" s="4">
        <v>100</v>
      </c>
      <c r="H69" s="4">
        <v>3000</v>
      </c>
    </row>
    <row r="70" spans="2:8" x14ac:dyDescent="0.3">
      <c r="B70" s="1">
        <v>41472</v>
      </c>
      <c r="C70" s="3" t="s">
        <v>9</v>
      </c>
      <c r="D70" s="2" t="s">
        <v>39</v>
      </c>
      <c r="E70" s="4">
        <v>6000</v>
      </c>
      <c r="F70" s="4">
        <v>6030</v>
      </c>
      <c r="G70" s="4">
        <v>100</v>
      </c>
      <c r="H70" s="4">
        <v>3000</v>
      </c>
    </row>
    <row r="71" spans="2:8" x14ac:dyDescent="0.3">
      <c r="B71" s="1">
        <v>41473</v>
      </c>
      <c r="C71" s="3" t="s">
        <v>8</v>
      </c>
      <c r="D71" s="2" t="s">
        <v>39</v>
      </c>
      <c r="E71" s="4">
        <v>6060</v>
      </c>
      <c r="F71" s="4">
        <v>6045</v>
      </c>
      <c r="G71" s="4">
        <v>100</v>
      </c>
      <c r="H71" s="4">
        <v>1500</v>
      </c>
    </row>
    <row r="72" spans="2:8" x14ac:dyDescent="0.3">
      <c r="B72" s="1">
        <v>41474</v>
      </c>
      <c r="C72" s="3" t="s">
        <v>8</v>
      </c>
      <c r="D72" s="2" t="s">
        <v>39</v>
      </c>
      <c r="E72" s="4">
        <v>6055</v>
      </c>
      <c r="F72" s="4">
        <v>6040</v>
      </c>
      <c r="G72" s="4">
        <v>100</v>
      </c>
      <c r="H72" s="4">
        <v>1500</v>
      </c>
    </row>
    <row r="73" spans="2:8" x14ac:dyDescent="0.3">
      <c r="B73" s="1">
        <v>41477</v>
      </c>
      <c r="C73" s="3" t="s">
        <v>8</v>
      </c>
      <c r="D73" s="2" t="s">
        <v>39</v>
      </c>
      <c r="E73" s="4">
        <v>6095</v>
      </c>
      <c r="F73" s="4">
        <v>6080</v>
      </c>
      <c r="G73" s="4">
        <v>100</v>
      </c>
      <c r="H73" s="4">
        <v>1500</v>
      </c>
    </row>
    <row r="74" spans="2:8" x14ac:dyDescent="0.3">
      <c r="B74" s="1">
        <v>41478</v>
      </c>
      <c r="C74" s="3" t="s">
        <v>8</v>
      </c>
      <c r="D74" s="2" t="s">
        <v>39</v>
      </c>
      <c r="E74" s="4">
        <v>6045</v>
      </c>
      <c r="F74" s="7">
        <v>6010</v>
      </c>
      <c r="G74" s="4">
        <v>100</v>
      </c>
      <c r="H74" s="4">
        <v>3500</v>
      </c>
    </row>
    <row r="75" spans="2:8" x14ac:dyDescent="0.3">
      <c r="B75" s="1">
        <v>41479</v>
      </c>
      <c r="C75" s="3" t="s">
        <v>8</v>
      </c>
      <c r="D75" s="2" t="s">
        <v>39</v>
      </c>
      <c r="E75" s="4">
        <v>5970</v>
      </c>
      <c r="F75" s="4">
        <v>5940</v>
      </c>
      <c r="G75" s="4">
        <v>100</v>
      </c>
      <c r="H75" s="4">
        <v>3000</v>
      </c>
    </row>
    <row r="76" spans="2:8" x14ac:dyDescent="0.3">
      <c r="B76" s="1">
        <v>41480</v>
      </c>
      <c r="C76" s="3" t="s">
        <v>8</v>
      </c>
      <c r="D76" s="2" t="s">
        <v>39</v>
      </c>
      <c r="E76" s="4">
        <v>5955</v>
      </c>
      <c r="F76" s="4">
        <v>5970</v>
      </c>
      <c r="G76" s="4">
        <v>100</v>
      </c>
      <c r="H76" s="4">
        <v>1500</v>
      </c>
    </row>
    <row r="77" spans="2:8" x14ac:dyDescent="0.3">
      <c r="B77" s="1">
        <v>41481</v>
      </c>
    </row>
    <row r="78" spans="2:8" x14ac:dyDescent="0.3">
      <c r="B78" s="1">
        <v>41484</v>
      </c>
      <c r="C78" s="3" t="s">
        <v>8</v>
      </c>
      <c r="D78" s="2" t="s">
        <v>39</v>
      </c>
      <c r="E78" s="4">
        <v>5910</v>
      </c>
      <c r="F78" s="4">
        <v>5880</v>
      </c>
      <c r="G78" s="4">
        <v>100</v>
      </c>
      <c r="H78" s="4">
        <v>3000</v>
      </c>
    </row>
    <row r="79" spans="2:8" x14ac:dyDescent="0.3">
      <c r="B79" s="1">
        <v>41485</v>
      </c>
      <c r="C79" s="28" t="s">
        <v>8</v>
      </c>
      <c r="D79" s="30" t="s">
        <v>39</v>
      </c>
      <c r="E79" s="28">
        <v>5875</v>
      </c>
      <c r="F79" s="28">
        <v>5840</v>
      </c>
      <c r="G79" s="28">
        <v>100</v>
      </c>
      <c r="H79" s="28">
        <v>3500</v>
      </c>
    </row>
    <row r="80" spans="2:8" x14ac:dyDescent="0.3">
      <c r="B80" s="1">
        <v>41486</v>
      </c>
      <c r="C80" s="28" t="s">
        <v>8</v>
      </c>
      <c r="D80" s="28" t="s">
        <v>39</v>
      </c>
      <c r="E80" s="28">
        <v>5730</v>
      </c>
      <c r="F80" s="28">
        <v>5750</v>
      </c>
      <c r="G80" s="28">
        <v>100</v>
      </c>
      <c r="H80" s="28">
        <v>-2000</v>
      </c>
    </row>
    <row r="81" spans="2:8" ht="15.6" x14ac:dyDescent="0.3">
      <c r="C81" s="30"/>
      <c r="D81" s="30"/>
      <c r="E81" s="30"/>
      <c r="F81" s="30"/>
      <c r="G81" s="30"/>
      <c r="H81" s="34">
        <v>39200</v>
      </c>
    </row>
    <row r="83" spans="2:8" ht="15.6" x14ac:dyDescent="0.3">
      <c r="B83" s="48" t="s">
        <v>64</v>
      </c>
      <c r="C83" s="48"/>
      <c r="D83" s="48"/>
      <c r="E83" s="48"/>
      <c r="F83" s="48"/>
      <c r="G83" s="48"/>
      <c r="H83" s="48"/>
    </row>
    <row r="84" spans="2:8" x14ac:dyDescent="0.3">
      <c r="B84" s="1">
        <v>41456</v>
      </c>
      <c r="C84" s="3" t="s">
        <v>65</v>
      </c>
      <c r="D84" s="3" t="s">
        <v>102</v>
      </c>
      <c r="E84" s="7">
        <v>80</v>
      </c>
      <c r="F84" s="4">
        <v>95</v>
      </c>
      <c r="G84" s="7">
        <v>200</v>
      </c>
      <c r="H84" s="28">
        <v>3000</v>
      </c>
    </row>
    <row r="85" spans="2:8" x14ac:dyDescent="0.3">
      <c r="B85" s="1">
        <v>41457</v>
      </c>
      <c r="C85" s="3" t="s">
        <v>69</v>
      </c>
      <c r="D85" s="3" t="s">
        <v>104</v>
      </c>
      <c r="E85" s="7">
        <v>70</v>
      </c>
      <c r="F85" s="4">
        <v>90</v>
      </c>
      <c r="G85" s="7">
        <v>200</v>
      </c>
      <c r="H85" s="28">
        <v>4000</v>
      </c>
    </row>
    <row r="86" spans="2:8" x14ac:dyDescent="0.3">
      <c r="B86" s="1">
        <v>41458</v>
      </c>
      <c r="C86" s="3" t="s">
        <v>69</v>
      </c>
      <c r="D86" s="3" t="s">
        <v>104</v>
      </c>
      <c r="E86" s="7">
        <v>100</v>
      </c>
      <c r="F86" s="4">
        <v>120</v>
      </c>
      <c r="G86" s="7">
        <v>200</v>
      </c>
      <c r="H86" s="28">
        <v>4000</v>
      </c>
    </row>
    <row r="87" spans="2:8" x14ac:dyDescent="0.3">
      <c r="B87" s="1">
        <v>41459</v>
      </c>
      <c r="C87" s="3" t="s">
        <v>69</v>
      </c>
      <c r="D87" s="3" t="s">
        <v>104</v>
      </c>
      <c r="E87" s="7">
        <v>85</v>
      </c>
      <c r="F87" s="4">
        <v>107</v>
      </c>
      <c r="G87" s="7">
        <v>200</v>
      </c>
      <c r="H87" s="28">
        <v>4400</v>
      </c>
    </row>
    <row r="88" spans="2:8" x14ac:dyDescent="0.3">
      <c r="B88" s="1">
        <v>41460</v>
      </c>
      <c r="C88" s="3" t="s">
        <v>69</v>
      </c>
      <c r="D88" s="3" t="s">
        <v>102</v>
      </c>
      <c r="E88" s="7">
        <v>100</v>
      </c>
      <c r="F88" s="4">
        <v>115</v>
      </c>
      <c r="G88" s="7">
        <v>200</v>
      </c>
      <c r="H88" s="28">
        <v>3000</v>
      </c>
    </row>
    <row r="89" spans="2:8" x14ac:dyDescent="0.3">
      <c r="B89" s="1">
        <v>41463</v>
      </c>
      <c r="C89" s="3" t="s">
        <v>69</v>
      </c>
      <c r="D89" s="3" t="s">
        <v>104</v>
      </c>
      <c r="E89" s="7">
        <v>99</v>
      </c>
      <c r="F89" s="4">
        <v>82</v>
      </c>
      <c r="G89" s="7">
        <v>200</v>
      </c>
      <c r="H89" s="28">
        <v>3200</v>
      </c>
    </row>
    <row r="90" spans="2:8" x14ac:dyDescent="0.3">
      <c r="B90" s="1">
        <v>41464</v>
      </c>
      <c r="C90" s="3" t="s">
        <v>65</v>
      </c>
      <c r="D90" s="2" t="s">
        <v>102</v>
      </c>
      <c r="E90" s="7">
        <v>75</v>
      </c>
      <c r="F90" s="7">
        <v>72</v>
      </c>
      <c r="G90" s="7">
        <v>200</v>
      </c>
      <c r="H90" s="28">
        <v>-600</v>
      </c>
    </row>
    <row r="91" spans="2:8" x14ac:dyDescent="0.3">
      <c r="B91" s="1">
        <v>41465</v>
      </c>
      <c r="C91" s="28" t="s">
        <v>65</v>
      </c>
      <c r="D91" s="28" t="s">
        <v>102</v>
      </c>
      <c r="E91" s="28">
        <v>75</v>
      </c>
      <c r="F91" s="28">
        <v>62</v>
      </c>
      <c r="G91" s="28">
        <v>200</v>
      </c>
      <c r="H91" s="28">
        <v>2600</v>
      </c>
    </row>
    <row r="92" spans="2:8" x14ac:dyDescent="0.3">
      <c r="B92" s="1">
        <v>41466</v>
      </c>
      <c r="C92" s="28" t="s">
        <v>65</v>
      </c>
      <c r="D92" s="28" t="s">
        <v>102</v>
      </c>
      <c r="E92" s="28">
        <v>105</v>
      </c>
      <c r="F92" s="28">
        <v>119</v>
      </c>
      <c r="G92" s="28">
        <v>200</v>
      </c>
      <c r="H92" s="28">
        <v>2800</v>
      </c>
    </row>
    <row r="93" spans="2:8" x14ac:dyDescent="0.3">
      <c r="B93" s="1">
        <v>41467</v>
      </c>
      <c r="C93" s="28" t="s">
        <v>69</v>
      </c>
      <c r="D93" s="28" t="s">
        <v>102</v>
      </c>
      <c r="E93" s="28">
        <v>58</v>
      </c>
      <c r="F93" s="28">
        <v>52</v>
      </c>
      <c r="G93" s="28">
        <v>200</v>
      </c>
      <c r="H93" s="28">
        <v>1200</v>
      </c>
    </row>
    <row r="94" spans="2:8" x14ac:dyDescent="0.3">
      <c r="B94" s="1">
        <v>41470</v>
      </c>
      <c r="C94" s="28" t="s">
        <v>69</v>
      </c>
      <c r="D94" s="28" t="s">
        <v>110</v>
      </c>
      <c r="E94" s="28">
        <v>77</v>
      </c>
      <c r="F94" s="28">
        <v>70</v>
      </c>
      <c r="G94" s="28">
        <v>200</v>
      </c>
      <c r="H94" s="28">
        <v>-1400</v>
      </c>
    </row>
    <row r="95" spans="2:8" x14ac:dyDescent="0.3">
      <c r="B95" s="1">
        <v>41471</v>
      </c>
      <c r="C95" s="28" t="s">
        <v>65</v>
      </c>
      <c r="D95" s="28" t="s">
        <v>102</v>
      </c>
      <c r="E95" s="28">
        <v>100</v>
      </c>
      <c r="F95" s="28">
        <v>90</v>
      </c>
      <c r="G95" s="28">
        <v>200</v>
      </c>
      <c r="H95" s="28">
        <v>-2000</v>
      </c>
    </row>
    <row r="96" spans="2:8" x14ac:dyDescent="0.3">
      <c r="B96" s="1">
        <v>41472</v>
      </c>
      <c r="C96" s="28" t="s">
        <v>69</v>
      </c>
      <c r="D96" s="28" t="s">
        <v>110</v>
      </c>
      <c r="E96" s="28">
        <v>75</v>
      </c>
      <c r="F96" s="28">
        <v>98</v>
      </c>
      <c r="G96" s="28">
        <v>200</v>
      </c>
      <c r="H96" s="28">
        <v>4600</v>
      </c>
    </row>
    <row r="97" spans="2:8" x14ac:dyDescent="0.3">
      <c r="B97" s="1">
        <v>41473</v>
      </c>
      <c r="C97" s="28" t="s">
        <v>65</v>
      </c>
      <c r="D97" s="28" t="s">
        <v>110</v>
      </c>
      <c r="E97" s="28">
        <v>55</v>
      </c>
      <c r="F97" s="28">
        <v>75</v>
      </c>
      <c r="G97" s="28">
        <v>200</v>
      </c>
      <c r="H97" s="28">
        <v>4000</v>
      </c>
    </row>
    <row r="98" spans="2:8" x14ac:dyDescent="0.3">
      <c r="B98" s="1">
        <v>41474</v>
      </c>
      <c r="C98" s="28" t="s">
        <v>65</v>
      </c>
      <c r="D98" s="28" t="s">
        <v>110</v>
      </c>
      <c r="E98" s="28">
        <v>85</v>
      </c>
      <c r="F98" s="28">
        <v>80</v>
      </c>
      <c r="G98" s="28">
        <v>200</v>
      </c>
      <c r="H98" s="28">
        <v>-1000</v>
      </c>
    </row>
    <row r="99" spans="2:8" x14ac:dyDescent="0.3">
      <c r="B99" s="1">
        <v>41477</v>
      </c>
      <c r="C99" s="28" t="s">
        <v>65</v>
      </c>
      <c r="D99" s="28" t="s">
        <v>110</v>
      </c>
      <c r="E99" s="28">
        <v>75</v>
      </c>
      <c r="F99" s="28">
        <v>85</v>
      </c>
      <c r="G99" s="28">
        <v>200</v>
      </c>
      <c r="H99" s="28">
        <v>2000</v>
      </c>
    </row>
    <row r="100" spans="2:8" x14ac:dyDescent="0.3">
      <c r="B100" s="1">
        <v>41478</v>
      </c>
      <c r="C100" s="28" t="s">
        <v>69</v>
      </c>
      <c r="D100" s="28" t="s">
        <v>118</v>
      </c>
      <c r="E100" s="28">
        <v>34</v>
      </c>
      <c r="F100" s="28">
        <v>44</v>
      </c>
      <c r="G100" s="28">
        <v>200</v>
      </c>
      <c r="H100" s="28">
        <v>2000</v>
      </c>
    </row>
    <row r="101" spans="2:8" x14ac:dyDescent="0.3">
      <c r="B101" s="1">
        <v>41479</v>
      </c>
      <c r="C101" s="28" t="s">
        <v>69</v>
      </c>
      <c r="D101" s="28" t="s">
        <v>118</v>
      </c>
      <c r="E101" s="28">
        <v>65</v>
      </c>
      <c r="F101" s="28">
        <v>85</v>
      </c>
      <c r="G101" s="28">
        <v>200</v>
      </c>
      <c r="H101" s="28">
        <v>4000</v>
      </c>
    </row>
    <row r="102" spans="2:8" x14ac:dyDescent="0.3">
      <c r="B102" s="1">
        <v>41480</v>
      </c>
      <c r="C102" s="28" t="s">
        <v>69</v>
      </c>
      <c r="D102" s="28" t="s">
        <v>118</v>
      </c>
      <c r="E102" s="28">
        <v>38</v>
      </c>
      <c r="F102" s="28">
        <v>28</v>
      </c>
      <c r="G102" s="28">
        <v>200</v>
      </c>
      <c r="H102" s="28">
        <v>2000</v>
      </c>
    </row>
    <row r="103" spans="2:8" x14ac:dyDescent="0.3">
      <c r="B103" s="1">
        <v>41481</v>
      </c>
      <c r="C103" s="28" t="s">
        <v>69</v>
      </c>
      <c r="D103" s="28" t="s">
        <v>123</v>
      </c>
      <c r="E103" s="28">
        <v>93</v>
      </c>
      <c r="F103" s="28">
        <v>113</v>
      </c>
      <c r="G103" s="28">
        <v>200</v>
      </c>
      <c r="H103" s="28">
        <v>4000</v>
      </c>
    </row>
    <row r="104" spans="2:8" ht="15.6" x14ac:dyDescent="0.3">
      <c r="B104" s="1">
        <v>41484</v>
      </c>
      <c r="C104" s="28" t="s">
        <v>69</v>
      </c>
      <c r="D104" s="28" t="s">
        <v>123</v>
      </c>
      <c r="E104" s="28">
        <v>118</v>
      </c>
      <c r="F104" s="28">
        <v>130</v>
      </c>
      <c r="G104" s="28">
        <v>200</v>
      </c>
      <c r="H104" s="36">
        <v>2400</v>
      </c>
    </row>
    <row r="105" spans="2:8" x14ac:dyDescent="0.3">
      <c r="B105" s="1">
        <v>41485</v>
      </c>
      <c r="C105" s="28" t="s">
        <v>69</v>
      </c>
      <c r="D105" s="28" t="s">
        <v>125</v>
      </c>
      <c r="E105" s="28">
        <v>84</v>
      </c>
      <c r="F105" s="28">
        <v>106</v>
      </c>
      <c r="G105" s="28">
        <v>200</v>
      </c>
      <c r="H105" s="28">
        <v>4400</v>
      </c>
    </row>
    <row r="106" spans="2:8" x14ac:dyDescent="0.3">
      <c r="B106" s="1">
        <v>41486</v>
      </c>
      <c r="C106" s="28" t="s">
        <v>69</v>
      </c>
      <c r="D106" s="28" t="s">
        <v>127</v>
      </c>
      <c r="E106" s="28">
        <v>105</v>
      </c>
      <c r="F106" s="28">
        <v>90</v>
      </c>
      <c r="G106" s="28">
        <v>200</v>
      </c>
      <c r="H106" s="28">
        <v>-3000</v>
      </c>
    </row>
    <row r="107" spans="2:8" ht="15.6" x14ac:dyDescent="0.3">
      <c r="C107" s="28"/>
      <c r="D107" s="28"/>
      <c r="E107" s="28"/>
      <c r="F107" s="28"/>
      <c r="G107" s="28"/>
      <c r="H107" s="34">
        <v>49600</v>
      </c>
    </row>
    <row r="108" spans="2:8" x14ac:dyDescent="0.3">
      <c r="C108" s="28"/>
      <c r="D108" s="28"/>
      <c r="E108" s="28"/>
      <c r="F108" s="28"/>
      <c r="G108" s="28"/>
      <c r="H108" s="28"/>
    </row>
  </sheetData>
  <mergeCells count="3">
    <mergeCell ref="B1:H1"/>
    <mergeCell ref="B2:H2"/>
    <mergeCell ref="B3:H3"/>
  </mergeCells>
  <hyperlinks>
    <hyperlink ref="J2" location="'MASTER '!A1" display="Back" xr:uid="{00000000-0004-0000-0300-000000000000}"/>
  </hyperlinks>
  <pageMargins left="0.7" right="0.7" top="0.75" bottom="0.75" header="0.3" footer="0.3"/>
  <pageSetup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84"/>
  <sheetViews>
    <sheetView workbookViewId="0">
      <selection activeCell="K1" sqref="K1"/>
    </sheetView>
  </sheetViews>
  <sheetFormatPr defaultColWidth="9.109375" defaultRowHeight="14.4" x14ac:dyDescent="0.3"/>
  <cols>
    <col min="2" max="2" width="13.6640625" customWidth="1"/>
    <col min="3" max="3" width="12" customWidth="1"/>
    <col min="4" max="4" width="23.109375" customWidth="1"/>
    <col min="5" max="5" width="16.109375" customWidth="1"/>
    <col min="6" max="7" width="13.44140625" customWidth="1"/>
    <col min="8" max="9" width="13.5546875" customWidth="1"/>
    <col min="11" max="11" width="14.88671875" customWidth="1"/>
  </cols>
  <sheetData>
    <row r="1" spans="1:15" ht="23.25" customHeight="1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  <c r="K1" s="200" t="s">
        <v>2286</v>
      </c>
      <c r="L1" s="10"/>
      <c r="M1" s="10"/>
      <c r="N1" s="10"/>
      <c r="O1" s="10"/>
    </row>
    <row r="2" spans="1:15" ht="22.8" x14ac:dyDescent="0.3">
      <c r="A2" s="9" t="s">
        <v>0</v>
      </c>
      <c r="B2" s="294" t="s">
        <v>241</v>
      </c>
      <c r="C2" s="294"/>
      <c r="D2" s="294"/>
      <c r="E2" s="294"/>
      <c r="F2" s="294"/>
      <c r="G2" s="294"/>
      <c r="H2" s="294"/>
      <c r="I2" s="294"/>
      <c r="J2" s="9"/>
      <c r="K2" s="66" t="s">
        <v>453</v>
      </c>
      <c r="L2" s="67" t="s">
        <v>448</v>
      </c>
      <c r="M2" s="67" t="s">
        <v>454</v>
      </c>
      <c r="N2" s="67" t="s">
        <v>455</v>
      </c>
      <c r="O2" s="67" t="s">
        <v>456</v>
      </c>
    </row>
    <row r="3" spans="1:15" x14ac:dyDescent="0.3">
      <c r="A3" s="11"/>
      <c r="B3" s="295" t="s">
        <v>1728</v>
      </c>
      <c r="C3" s="295"/>
      <c r="D3" s="295"/>
      <c r="E3" s="295"/>
      <c r="F3" s="295"/>
      <c r="G3" s="295"/>
      <c r="H3" s="295"/>
      <c r="I3" s="295"/>
      <c r="J3" s="11"/>
      <c r="K3" s="66"/>
      <c r="L3" s="67"/>
      <c r="M3" s="67"/>
      <c r="N3" s="67"/>
      <c r="O3" s="67"/>
    </row>
    <row r="4" spans="1:15" x14ac:dyDescent="0.3">
      <c r="A4" s="12"/>
      <c r="B4" s="106" t="s">
        <v>33</v>
      </c>
      <c r="C4" s="106"/>
      <c r="D4" s="106"/>
      <c r="E4" s="106"/>
      <c r="F4" s="106"/>
      <c r="G4" s="106"/>
      <c r="H4" s="106"/>
      <c r="I4" s="106"/>
      <c r="J4" s="12"/>
      <c r="K4" s="16" t="s">
        <v>449</v>
      </c>
      <c r="L4" s="30">
        <v>41</v>
      </c>
      <c r="M4" s="30">
        <v>32</v>
      </c>
      <c r="N4" s="30">
        <v>6</v>
      </c>
      <c r="O4" s="30">
        <v>3</v>
      </c>
    </row>
    <row r="5" spans="1:15" x14ac:dyDescent="0.3">
      <c r="A5" s="12"/>
      <c r="B5" s="107" t="s">
        <v>1</v>
      </c>
      <c r="C5" s="108" t="s">
        <v>5</v>
      </c>
      <c r="D5" s="108" t="s">
        <v>6</v>
      </c>
      <c r="E5" s="109" t="s">
        <v>905</v>
      </c>
      <c r="F5" s="109" t="s">
        <v>906</v>
      </c>
      <c r="G5" s="110" t="s">
        <v>907</v>
      </c>
      <c r="H5" s="110" t="s">
        <v>32</v>
      </c>
      <c r="I5" s="109" t="s">
        <v>4</v>
      </c>
      <c r="J5" s="12"/>
      <c r="K5" s="16"/>
      <c r="L5" s="30"/>
      <c r="M5" s="30"/>
      <c r="N5" s="30"/>
      <c r="O5" s="30"/>
    </row>
    <row r="6" spans="1:15" x14ac:dyDescent="0.3">
      <c r="A6" s="12"/>
      <c r="B6" s="43">
        <v>42552</v>
      </c>
      <c r="C6" s="2" t="s">
        <v>9</v>
      </c>
      <c r="D6" s="2" t="s">
        <v>78</v>
      </c>
      <c r="E6" s="41" t="s">
        <v>1606</v>
      </c>
      <c r="F6" s="40" t="s">
        <v>1607</v>
      </c>
      <c r="G6" s="40" t="s">
        <v>1192</v>
      </c>
      <c r="H6" s="5">
        <v>196</v>
      </c>
      <c r="I6" s="81">
        <v>2548</v>
      </c>
      <c r="J6" s="12"/>
      <c r="K6" s="16" t="s">
        <v>450</v>
      </c>
      <c r="L6" s="30">
        <v>20</v>
      </c>
      <c r="M6" s="30">
        <v>14</v>
      </c>
      <c r="N6" s="30">
        <v>4</v>
      </c>
      <c r="O6" s="30">
        <v>2</v>
      </c>
    </row>
    <row r="7" spans="1:15" x14ac:dyDescent="0.3">
      <c r="A7" s="12"/>
      <c r="B7" s="43">
        <v>42552</v>
      </c>
      <c r="C7" s="2" t="s">
        <v>8</v>
      </c>
      <c r="D7" s="2" t="s">
        <v>31</v>
      </c>
      <c r="E7" s="41" t="s">
        <v>1608</v>
      </c>
      <c r="F7" s="40" t="s">
        <v>1542</v>
      </c>
      <c r="G7" s="40" t="s">
        <v>920</v>
      </c>
      <c r="H7" s="5">
        <v>308</v>
      </c>
      <c r="I7" s="81">
        <v>308</v>
      </c>
      <c r="J7" s="12"/>
      <c r="K7" s="16"/>
      <c r="L7" s="30"/>
      <c r="M7" s="30"/>
      <c r="N7" s="30"/>
      <c r="O7" s="30"/>
    </row>
    <row r="8" spans="1:15" x14ac:dyDescent="0.3">
      <c r="A8" s="12"/>
      <c r="B8" s="43">
        <v>42555</v>
      </c>
      <c r="C8" s="2" t="s">
        <v>9</v>
      </c>
      <c r="D8" s="2" t="s">
        <v>95</v>
      </c>
      <c r="E8" s="41" t="s">
        <v>1609</v>
      </c>
      <c r="F8" s="40" t="s">
        <v>1610</v>
      </c>
      <c r="G8" s="40" t="s">
        <v>1611</v>
      </c>
      <c r="H8" s="5">
        <v>1227</v>
      </c>
      <c r="I8" s="81">
        <v>5276</v>
      </c>
      <c r="J8" s="12"/>
      <c r="K8" s="16" t="s">
        <v>451</v>
      </c>
      <c r="L8" s="30">
        <v>20</v>
      </c>
      <c r="M8" s="30">
        <v>16</v>
      </c>
      <c r="N8" s="30">
        <v>3</v>
      </c>
      <c r="O8" s="30">
        <v>1</v>
      </c>
    </row>
    <row r="9" spans="1:15" x14ac:dyDescent="0.3">
      <c r="A9" s="12"/>
      <c r="B9" s="43">
        <v>42555</v>
      </c>
      <c r="C9" s="2" t="s">
        <v>8</v>
      </c>
      <c r="D9" s="2" t="s">
        <v>99</v>
      </c>
      <c r="E9" s="41" t="s">
        <v>1612</v>
      </c>
      <c r="F9" s="40" t="s">
        <v>1010</v>
      </c>
      <c r="G9" s="40" t="s">
        <v>908</v>
      </c>
      <c r="H9" s="5">
        <v>1220</v>
      </c>
      <c r="I9" s="81">
        <v>2440</v>
      </c>
      <c r="J9" s="12"/>
      <c r="K9" s="16"/>
      <c r="L9" s="10"/>
      <c r="M9" s="30"/>
      <c r="N9" s="30"/>
      <c r="O9" s="30"/>
    </row>
    <row r="10" spans="1:15" x14ac:dyDescent="0.3">
      <c r="A10" s="12"/>
      <c r="B10" s="43">
        <v>42556</v>
      </c>
      <c r="C10" s="2" t="s">
        <v>9</v>
      </c>
      <c r="D10" s="2" t="s">
        <v>112</v>
      </c>
      <c r="E10" s="41" t="s">
        <v>1613</v>
      </c>
      <c r="F10" s="40" t="s">
        <v>1614</v>
      </c>
      <c r="G10" s="40" t="s">
        <v>1043</v>
      </c>
      <c r="H10" s="5">
        <v>641</v>
      </c>
      <c r="I10" s="81">
        <v>-3205</v>
      </c>
      <c r="J10" s="12"/>
      <c r="K10" s="16" t="s">
        <v>1176</v>
      </c>
      <c r="L10" s="30">
        <v>20</v>
      </c>
      <c r="M10" s="30">
        <v>14</v>
      </c>
      <c r="N10" s="30">
        <v>4</v>
      </c>
      <c r="O10" s="30">
        <v>2</v>
      </c>
    </row>
    <row r="11" spans="1:15" x14ac:dyDescent="0.3">
      <c r="A11" s="12"/>
      <c r="B11" s="43">
        <v>42556</v>
      </c>
      <c r="C11" s="2" t="s">
        <v>8</v>
      </c>
      <c r="D11" s="2" t="s">
        <v>575</v>
      </c>
      <c r="E11" s="41" t="s">
        <v>899</v>
      </c>
      <c r="F11" s="40" t="s">
        <v>528</v>
      </c>
      <c r="G11" s="40" t="s">
        <v>908</v>
      </c>
      <c r="H11" s="5">
        <v>1744</v>
      </c>
      <c r="I11" s="81">
        <v>3488</v>
      </c>
      <c r="J11" s="12"/>
      <c r="K11" s="10"/>
      <c r="L11" s="30"/>
      <c r="M11" s="30"/>
      <c r="N11" s="30"/>
      <c r="O11" s="30"/>
    </row>
    <row r="12" spans="1:15" x14ac:dyDescent="0.3">
      <c r="A12" s="12"/>
      <c r="B12" s="43">
        <v>42558</v>
      </c>
      <c r="C12" s="2" t="s">
        <v>9</v>
      </c>
      <c r="D12" s="2" t="s">
        <v>192</v>
      </c>
      <c r="E12" s="41" t="s">
        <v>1615</v>
      </c>
      <c r="F12" s="40" t="s">
        <v>1616</v>
      </c>
      <c r="G12" s="40" t="s">
        <v>1269</v>
      </c>
      <c r="H12" s="5">
        <v>1287</v>
      </c>
      <c r="I12" s="81">
        <v>-3861</v>
      </c>
      <c r="J12" s="12"/>
      <c r="K12" s="16" t="s">
        <v>41</v>
      </c>
      <c r="L12" s="30">
        <v>20</v>
      </c>
      <c r="M12" s="30">
        <v>16</v>
      </c>
      <c r="N12" s="30">
        <v>3</v>
      </c>
      <c r="O12" s="30">
        <v>1</v>
      </c>
    </row>
    <row r="13" spans="1:15" x14ac:dyDescent="0.3">
      <c r="A13" s="12"/>
      <c r="B13" s="43">
        <v>42558</v>
      </c>
      <c r="C13" s="2" t="s">
        <v>8</v>
      </c>
      <c r="D13" s="2" t="s">
        <v>1617</v>
      </c>
      <c r="E13" s="41" t="s">
        <v>1618</v>
      </c>
      <c r="F13" s="40" t="s">
        <v>1619</v>
      </c>
      <c r="G13" s="40" t="s">
        <v>1481</v>
      </c>
      <c r="H13" s="5">
        <v>574</v>
      </c>
      <c r="I13" s="81">
        <v>6314</v>
      </c>
      <c r="J13" s="12"/>
    </row>
    <row r="14" spans="1:15" x14ac:dyDescent="0.3">
      <c r="A14" s="12"/>
      <c r="B14" s="43">
        <v>42559</v>
      </c>
      <c r="C14" s="2" t="s">
        <v>9</v>
      </c>
      <c r="D14" s="2" t="s">
        <v>184</v>
      </c>
      <c r="E14" s="41" t="s">
        <v>1620</v>
      </c>
      <c r="F14" s="40" t="s">
        <v>1621</v>
      </c>
      <c r="G14" s="40" t="s">
        <v>908</v>
      </c>
      <c r="H14" s="5">
        <v>536</v>
      </c>
      <c r="I14" s="81">
        <v>1072</v>
      </c>
      <c r="J14" s="12"/>
      <c r="K14" s="16" t="s">
        <v>1090</v>
      </c>
      <c r="L14" s="30">
        <v>21</v>
      </c>
      <c r="M14" s="30">
        <v>13</v>
      </c>
      <c r="N14" s="30">
        <v>4</v>
      </c>
      <c r="O14" s="30">
        <v>4</v>
      </c>
    </row>
    <row r="15" spans="1:15" x14ac:dyDescent="0.3">
      <c r="A15" s="12"/>
      <c r="B15" s="43">
        <v>42559</v>
      </c>
      <c r="C15" s="2" t="s">
        <v>8</v>
      </c>
      <c r="D15" s="2" t="s">
        <v>78</v>
      </c>
      <c r="E15" s="41" t="s">
        <v>1622</v>
      </c>
      <c r="F15" s="40" t="s">
        <v>1623</v>
      </c>
      <c r="G15" s="40" t="s">
        <v>994</v>
      </c>
      <c r="H15" s="5">
        <v>196</v>
      </c>
      <c r="I15" s="81">
        <v>1568</v>
      </c>
      <c r="J15" s="12"/>
    </row>
    <row r="16" spans="1:15" x14ac:dyDescent="0.3">
      <c r="A16" s="12"/>
      <c r="B16" s="43">
        <v>42562</v>
      </c>
      <c r="C16" s="2" t="s">
        <v>9</v>
      </c>
      <c r="D16" s="2" t="s">
        <v>139</v>
      </c>
      <c r="E16" s="41" t="s">
        <v>1466</v>
      </c>
      <c r="F16" s="40" t="s">
        <v>1624</v>
      </c>
      <c r="G16" s="40" t="s">
        <v>920</v>
      </c>
      <c r="H16" s="5">
        <v>262</v>
      </c>
      <c r="I16" s="81">
        <v>262</v>
      </c>
      <c r="J16" s="12"/>
      <c r="K16" s="16" t="s">
        <v>1175</v>
      </c>
      <c r="L16" s="30">
        <v>20</v>
      </c>
      <c r="M16" s="30">
        <v>15</v>
      </c>
      <c r="N16" s="30">
        <v>1</v>
      </c>
      <c r="O16" s="30">
        <v>4</v>
      </c>
    </row>
    <row r="17" spans="1:15" x14ac:dyDescent="0.3">
      <c r="A17" s="12"/>
      <c r="B17" s="43">
        <v>42562</v>
      </c>
      <c r="C17" s="2" t="s">
        <v>8</v>
      </c>
      <c r="D17" s="2" t="s">
        <v>29</v>
      </c>
      <c r="E17" s="41" t="s">
        <v>1625</v>
      </c>
      <c r="F17" s="40" t="s">
        <v>1626</v>
      </c>
      <c r="G17" s="40" t="s">
        <v>1337</v>
      </c>
      <c r="H17" s="5">
        <v>417</v>
      </c>
      <c r="I17" s="81">
        <v>1877</v>
      </c>
      <c r="J17" s="12"/>
      <c r="K17" s="16"/>
      <c r="L17" s="30"/>
      <c r="M17" s="30"/>
      <c r="N17" s="30"/>
      <c r="O17" s="30"/>
    </row>
    <row r="18" spans="1:15" x14ac:dyDescent="0.3">
      <c r="A18" s="12"/>
      <c r="B18" s="43">
        <v>42563</v>
      </c>
      <c r="C18" s="2" t="s">
        <v>9</v>
      </c>
      <c r="D18" s="2" t="s">
        <v>95</v>
      </c>
      <c r="E18" s="41" t="s">
        <v>1627</v>
      </c>
      <c r="F18" s="40" t="s">
        <v>561</v>
      </c>
      <c r="G18" s="40" t="s">
        <v>1628</v>
      </c>
      <c r="H18" s="5">
        <v>1183</v>
      </c>
      <c r="I18" s="81">
        <v>7690</v>
      </c>
      <c r="J18" s="12"/>
      <c r="K18" s="16" t="s">
        <v>946</v>
      </c>
      <c r="L18" s="21">
        <f>SUM(L4:L16)</f>
        <v>162</v>
      </c>
      <c r="M18" s="21">
        <f t="shared" ref="M18:O18" si="0">SUM(M4:M16)</f>
        <v>120</v>
      </c>
      <c r="N18" s="21">
        <f t="shared" si="0"/>
        <v>25</v>
      </c>
      <c r="O18" s="21">
        <f t="shared" si="0"/>
        <v>17</v>
      </c>
    </row>
    <row r="19" spans="1:15" x14ac:dyDescent="0.3">
      <c r="A19" s="12"/>
      <c r="B19" s="43">
        <v>42563</v>
      </c>
      <c r="C19" s="2" t="s">
        <v>9</v>
      </c>
      <c r="D19" s="2" t="s">
        <v>95</v>
      </c>
      <c r="E19" s="41" t="s">
        <v>904</v>
      </c>
      <c r="F19" s="40" t="s">
        <v>1629</v>
      </c>
      <c r="G19" s="40" t="s">
        <v>1341</v>
      </c>
      <c r="H19" s="5">
        <v>1176</v>
      </c>
      <c r="I19" s="81">
        <v>7056</v>
      </c>
      <c r="J19" s="12"/>
    </row>
    <row r="20" spans="1:15" x14ac:dyDescent="0.3">
      <c r="A20" s="12"/>
      <c r="B20" s="43">
        <v>42564</v>
      </c>
      <c r="C20" s="2" t="s">
        <v>9</v>
      </c>
      <c r="D20" s="2" t="s">
        <v>19</v>
      </c>
      <c r="E20" s="41" t="s">
        <v>1630</v>
      </c>
      <c r="F20" s="40" t="s">
        <v>1248</v>
      </c>
      <c r="G20" s="40" t="s">
        <v>1269</v>
      </c>
      <c r="H20" s="5">
        <v>1315</v>
      </c>
      <c r="I20" s="81">
        <v>-3945</v>
      </c>
      <c r="J20" s="12"/>
    </row>
    <row r="21" spans="1:15" x14ac:dyDescent="0.3">
      <c r="A21" s="12"/>
      <c r="B21" s="43">
        <v>42564</v>
      </c>
      <c r="C21" s="2" t="s">
        <v>8</v>
      </c>
      <c r="D21" s="2" t="s">
        <v>78</v>
      </c>
      <c r="E21" s="41" t="s">
        <v>772</v>
      </c>
      <c r="F21" s="40" t="s">
        <v>1607</v>
      </c>
      <c r="G21" s="40" t="s">
        <v>1025</v>
      </c>
      <c r="H21" s="5">
        <v>193</v>
      </c>
      <c r="I21" s="81">
        <v>1930</v>
      </c>
      <c r="J21" s="12"/>
      <c r="K21" s="68" t="s">
        <v>947</v>
      </c>
      <c r="L21" s="83"/>
      <c r="M21" s="119">
        <f>M18*100/L18</f>
        <v>74.074074074074076</v>
      </c>
    </row>
    <row r="22" spans="1:15" x14ac:dyDescent="0.3">
      <c r="A22" s="12"/>
      <c r="B22" s="43">
        <v>42565</v>
      </c>
      <c r="C22" s="2" t="s">
        <v>9</v>
      </c>
      <c r="D22" s="2" t="s">
        <v>119</v>
      </c>
      <c r="E22" s="41" t="s">
        <v>1631</v>
      </c>
      <c r="F22" s="40" t="s">
        <v>1632</v>
      </c>
      <c r="G22" s="40" t="s">
        <v>922</v>
      </c>
      <c r="H22" s="5">
        <v>384</v>
      </c>
      <c r="I22" s="81">
        <v>-384</v>
      </c>
      <c r="J22" s="12"/>
    </row>
    <row r="23" spans="1:15" x14ac:dyDescent="0.3">
      <c r="A23" s="12"/>
      <c r="B23" s="43">
        <v>42565</v>
      </c>
      <c r="C23" s="2" t="s">
        <v>8</v>
      </c>
      <c r="D23" s="2" t="s">
        <v>815</v>
      </c>
      <c r="E23" s="41" t="s">
        <v>1633</v>
      </c>
      <c r="F23" s="40" t="s">
        <v>1400</v>
      </c>
      <c r="G23" s="40" t="s">
        <v>1481</v>
      </c>
      <c r="H23" s="5">
        <v>258</v>
      </c>
      <c r="I23" s="81">
        <v>2838</v>
      </c>
      <c r="J23" s="12"/>
    </row>
    <row r="24" spans="1:15" x14ac:dyDescent="0.3">
      <c r="A24" s="12"/>
      <c r="B24" s="43">
        <v>42566</v>
      </c>
      <c r="C24" s="2" t="s">
        <v>9</v>
      </c>
      <c r="D24" s="2" t="s">
        <v>107</v>
      </c>
      <c r="E24" s="41" t="s">
        <v>1634</v>
      </c>
      <c r="F24" s="40" t="s">
        <v>1635</v>
      </c>
      <c r="G24" s="40" t="s">
        <v>925</v>
      </c>
      <c r="H24" s="5">
        <v>111</v>
      </c>
      <c r="I24" s="81">
        <v>555</v>
      </c>
      <c r="J24" s="12"/>
    </row>
    <row r="25" spans="1:15" x14ac:dyDescent="0.3">
      <c r="A25" s="12"/>
      <c r="B25" s="43">
        <v>42566</v>
      </c>
      <c r="C25" s="2" t="s">
        <v>8</v>
      </c>
      <c r="D25" s="2" t="s">
        <v>46</v>
      </c>
      <c r="E25" s="41" t="s">
        <v>1616</v>
      </c>
      <c r="F25" s="40" t="s">
        <v>1616</v>
      </c>
      <c r="G25" s="296" t="s">
        <v>1362</v>
      </c>
      <c r="H25" s="297"/>
      <c r="I25" s="298"/>
      <c r="J25" s="12"/>
    </row>
    <row r="26" spans="1:15" x14ac:dyDescent="0.3">
      <c r="A26" s="12"/>
      <c r="B26" s="43">
        <v>42569</v>
      </c>
      <c r="C26" s="2" t="s">
        <v>9</v>
      </c>
      <c r="D26" s="2" t="s">
        <v>157</v>
      </c>
      <c r="E26" s="41" t="s">
        <v>1655</v>
      </c>
      <c r="F26" s="40" t="s">
        <v>1656</v>
      </c>
      <c r="G26" s="122" t="s">
        <v>1192</v>
      </c>
      <c r="H26" s="123" t="s">
        <v>527</v>
      </c>
      <c r="I26" s="124" t="s">
        <v>1657</v>
      </c>
      <c r="J26" s="12"/>
    </row>
    <row r="27" spans="1:15" x14ac:dyDescent="0.3">
      <c r="A27" s="12"/>
      <c r="B27" s="43">
        <v>42569</v>
      </c>
      <c r="C27" s="2" t="s">
        <v>9</v>
      </c>
      <c r="D27" s="2" t="s">
        <v>139</v>
      </c>
      <c r="E27" s="41" t="s">
        <v>413</v>
      </c>
      <c r="F27" s="40" t="s">
        <v>1658</v>
      </c>
      <c r="G27" s="122" t="s">
        <v>1011</v>
      </c>
      <c r="H27" s="123" t="s">
        <v>904</v>
      </c>
      <c r="I27" s="124" t="s">
        <v>1659</v>
      </c>
      <c r="J27" s="12"/>
    </row>
    <row r="28" spans="1:15" x14ac:dyDescent="0.3">
      <c r="A28" s="12"/>
      <c r="B28" s="43">
        <v>42570</v>
      </c>
      <c r="C28" s="2" t="s">
        <v>9</v>
      </c>
      <c r="D28" s="2" t="s">
        <v>29</v>
      </c>
      <c r="E28" s="41" t="s">
        <v>1660</v>
      </c>
      <c r="F28" s="40" t="s">
        <v>1661</v>
      </c>
      <c r="G28" s="122" t="s">
        <v>959</v>
      </c>
      <c r="H28" s="123" t="s">
        <v>1662</v>
      </c>
      <c r="I28" s="124" t="s">
        <v>1472</v>
      </c>
      <c r="J28" s="12"/>
    </row>
    <row r="29" spans="1:15" x14ac:dyDescent="0.3">
      <c r="A29" s="12"/>
      <c r="B29" s="43">
        <v>42570</v>
      </c>
      <c r="C29" s="2" t="s">
        <v>8</v>
      </c>
      <c r="D29" s="2" t="s">
        <v>109</v>
      </c>
      <c r="E29" s="41" t="s">
        <v>1663</v>
      </c>
      <c r="F29" s="40" t="s">
        <v>1664</v>
      </c>
      <c r="G29" s="122" t="s">
        <v>1122</v>
      </c>
      <c r="H29" s="123" t="s">
        <v>1665</v>
      </c>
      <c r="I29" s="124" t="s">
        <v>1666</v>
      </c>
      <c r="J29" s="12"/>
    </row>
    <row r="30" spans="1:15" x14ac:dyDescent="0.3">
      <c r="A30" s="12"/>
      <c r="B30" s="43">
        <v>42571</v>
      </c>
      <c r="C30" s="2" t="s">
        <v>9</v>
      </c>
      <c r="D30" s="2" t="s">
        <v>111</v>
      </c>
      <c r="E30" s="41" t="s">
        <v>1667</v>
      </c>
      <c r="F30" s="40" t="s">
        <v>1668</v>
      </c>
      <c r="G30" s="122" t="s">
        <v>959</v>
      </c>
      <c r="H30" s="123" t="s">
        <v>459</v>
      </c>
      <c r="I30" s="124" t="s">
        <v>1110</v>
      </c>
      <c r="J30" s="12"/>
    </row>
    <row r="31" spans="1:15" x14ac:dyDescent="0.3">
      <c r="A31" s="12"/>
      <c r="B31" s="43">
        <v>42571</v>
      </c>
      <c r="C31" s="2" t="s">
        <v>8</v>
      </c>
      <c r="D31" s="2" t="s">
        <v>58</v>
      </c>
      <c r="E31" s="41" t="s">
        <v>1620</v>
      </c>
      <c r="F31" s="40" t="s">
        <v>1669</v>
      </c>
      <c r="G31" s="122" t="s">
        <v>997</v>
      </c>
      <c r="H31" s="123" t="s">
        <v>1670</v>
      </c>
      <c r="I31" s="124" t="s">
        <v>1671</v>
      </c>
      <c r="J31" s="12"/>
    </row>
    <row r="32" spans="1:15" x14ac:dyDescent="0.3">
      <c r="A32" s="12"/>
      <c r="B32" s="43">
        <v>42572</v>
      </c>
      <c r="C32" s="2" t="s">
        <v>9</v>
      </c>
      <c r="D32" s="2" t="s">
        <v>124</v>
      </c>
      <c r="E32" s="41" t="s">
        <v>1672</v>
      </c>
      <c r="F32" s="40" t="s">
        <v>386</v>
      </c>
      <c r="G32" s="122" t="s">
        <v>1043</v>
      </c>
      <c r="H32" s="123" t="s">
        <v>1673</v>
      </c>
      <c r="I32" s="124" t="s">
        <v>1674</v>
      </c>
      <c r="J32" s="12"/>
    </row>
    <row r="33" spans="1:15" x14ac:dyDescent="0.3">
      <c r="A33" s="12"/>
      <c r="B33" s="43">
        <v>42572</v>
      </c>
      <c r="C33" s="2" t="s">
        <v>9</v>
      </c>
      <c r="D33" s="2" t="s">
        <v>173</v>
      </c>
      <c r="E33" s="41" t="s">
        <v>1031</v>
      </c>
      <c r="F33" s="40" t="s">
        <v>1007</v>
      </c>
      <c r="G33" s="122" t="s">
        <v>1025</v>
      </c>
      <c r="H33" s="123" t="s">
        <v>870</v>
      </c>
      <c r="I33" s="124" t="s">
        <v>1073</v>
      </c>
      <c r="J33" s="12"/>
    </row>
    <row r="34" spans="1:15" x14ac:dyDescent="0.3">
      <c r="A34" s="12"/>
      <c r="B34" s="43">
        <v>42572</v>
      </c>
      <c r="C34" s="2" t="s">
        <v>8</v>
      </c>
      <c r="D34" s="2" t="s">
        <v>94</v>
      </c>
      <c r="E34" s="41" t="s">
        <v>816</v>
      </c>
      <c r="F34" s="40" t="s">
        <v>1675</v>
      </c>
      <c r="G34" s="122" t="s">
        <v>1341</v>
      </c>
      <c r="H34" s="123" t="s">
        <v>1010</v>
      </c>
      <c r="I34" s="124" t="s">
        <v>1676</v>
      </c>
      <c r="J34" s="12"/>
    </row>
    <row r="35" spans="1:15" x14ac:dyDescent="0.3">
      <c r="A35" s="12"/>
      <c r="B35" s="43">
        <v>42573</v>
      </c>
      <c r="C35" s="2" t="s">
        <v>9</v>
      </c>
      <c r="D35" s="2" t="s">
        <v>139</v>
      </c>
      <c r="E35" s="41" t="s">
        <v>1677</v>
      </c>
      <c r="F35" s="40" t="s">
        <v>591</v>
      </c>
      <c r="G35" s="122" t="s">
        <v>925</v>
      </c>
      <c r="H35" s="123" t="s">
        <v>1678</v>
      </c>
      <c r="I35" s="124" t="s">
        <v>1437</v>
      </c>
      <c r="J35" s="12"/>
    </row>
    <row r="36" spans="1:15" x14ac:dyDescent="0.3">
      <c r="A36" s="12"/>
      <c r="B36" s="43">
        <v>42573</v>
      </c>
      <c r="C36" s="2" t="s">
        <v>8</v>
      </c>
      <c r="D36" s="2" t="s">
        <v>137</v>
      </c>
      <c r="E36" s="41" t="s">
        <v>1679</v>
      </c>
      <c r="F36" s="40" t="s">
        <v>1680</v>
      </c>
      <c r="G36" s="122" t="s">
        <v>1269</v>
      </c>
      <c r="H36" s="123" t="s">
        <v>1681</v>
      </c>
      <c r="I36" s="124" t="s">
        <v>1682</v>
      </c>
      <c r="J36" s="12"/>
    </row>
    <row r="37" spans="1:15" x14ac:dyDescent="0.3">
      <c r="A37" s="12"/>
      <c r="B37" s="43">
        <v>42576</v>
      </c>
      <c r="C37" s="2" t="s">
        <v>9</v>
      </c>
      <c r="D37" s="2" t="s">
        <v>95</v>
      </c>
      <c r="E37" s="41" t="s">
        <v>1693</v>
      </c>
      <c r="F37" s="40" t="s">
        <v>1694</v>
      </c>
      <c r="G37" s="122" t="s">
        <v>925</v>
      </c>
      <c r="H37" s="123" t="s">
        <v>1695</v>
      </c>
      <c r="I37" s="124" t="s">
        <v>1696</v>
      </c>
      <c r="J37" s="12"/>
    </row>
    <row r="38" spans="1:15" x14ac:dyDescent="0.3">
      <c r="A38" s="12"/>
      <c r="B38" s="43">
        <v>42576</v>
      </c>
      <c r="C38" s="2" t="s">
        <v>8</v>
      </c>
      <c r="D38" s="2" t="s">
        <v>250</v>
      </c>
      <c r="E38" s="41" t="s">
        <v>1697</v>
      </c>
      <c r="F38" s="40" t="s">
        <v>1698</v>
      </c>
      <c r="G38" s="122" t="s">
        <v>1481</v>
      </c>
      <c r="H38" s="123" t="s">
        <v>1519</v>
      </c>
      <c r="I38" s="124" t="s">
        <v>1699</v>
      </c>
      <c r="J38" s="12"/>
    </row>
    <row r="39" spans="1:15" x14ac:dyDescent="0.3">
      <c r="A39" s="12"/>
      <c r="B39" s="43">
        <v>42577</v>
      </c>
      <c r="C39" s="2" t="s">
        <v>9</v>
      </c>
      <c r="D39" s="2" t="s">
        <v>29</v>
      </c>
      <c r="E39" s="41" t="s">
        <v>1700</v>
      </c>
      <c r="F39" s="40" t="s">
        <v>1701</v>
      </c>
      <c r="G39" s="122" t="s">
        <v>1345</v>
      </c>
      <c r="H39" s="123" t="s">
        <v>1702</v>
      </c>
      <c r="I39" s="124" t="s">
        <v>1703</v>
      </c>
      <c r="J39" s="12"/>
    </row>
    <row r="40" spans="1:15" x14ac:dyDescent="0.3">
      <c r="A40" s="12"/>
      <c r="B40" s="43">
        <v>42577</v>
      </c>
      <c r="C40" s="2" t="s">
        <v>8</v>
      </c>
      <c r="D40" s="2" t="s">
        <v>173</v>
      </c>
      <c r="E40" s="41" t="s">
        <v>1704</v>
      </c>
      <c r="F40" s="40" t="s">
        <v>1543</v>
      </c>
      <c r="G40" s="122" t="s">
        <v>908</v>
      </c>
      <c r="H40" s="123" t="s">
        <v>868</v>
      </c>
      <c r="I40" s="124" t="s">
        <v>1705</v>
      </c>
      <c r="J40" s="12"/>
    </row>
    <row r="41" spans="1:15" x14ac:dyDescent="0.3">
      <c r="A41" s="12"/>
      <c r="B41" s="43">
        <v>42578</v>
      </c>
      <c r="C41" s="2" t="s">
        <v>9</v>
      </c>
      <c r="D41" s="2" t="s">
        <v>95</v>
      </c>
      <c r="E41" s="41" t="s">
        <v>1706</v>
      </c>
      <c r="F41" s="40" t="s">
        <v>1707</v>
      </c>
      <c r="G41" s="122" t="s">
        <v>1405</v>
      </c>
      <c r="H41" s="123" t="s">
        <v>1708</v>
      </c>
      <c r="I41" s="124" t="s">
        <v>1709</v>
      </c>
      <c r="J41" s="12"/>
    </row>
    <row r="42" spans="1:15" x14ac:dyDescent="0.3">
      <c r="A42" s="12"/>
      <c r="B42" s="43">
        <v>42578</v>
      </c>
      <c r="C42" s="2" t="s">
        <v>8</v>
      </c>
      <c r="D42" s="2" t="s">
        <v>58</v>
      </c>
      <c r="E42" s="41" t="s">
        <v>1710</v>
      </c>
      <c r="F42" s="40" t="s">
        <v>1550</v>
      </c>
      <c r="G42" s="122" t="s">
        <v>1095</v>
      </c>
      <c r="H42" s="123" t="s">
        <v>1711</v>
      </c>
      <c r="I42" s="124" t="s">
        <v>1712</v>
      </c>
      <c r="J42" s="12"/>
    </row>
    <row r="43" spans="1:15" x14ac:dyDescent="0.3">
      <c r="A43" s="12"/>
      <c r="B43" s="43">
        <v>42579</v>
      </c>
      <c r="C43" s="2" t="s">
        <v>9</v>
      </c>
      <c r="D43" s="2" t="s">
        <v>139</v>
      </c>
      <c r="E43" s="41" t="s">
        <v>1713</v>
      </c>
      <c r="F43" s="40" t="s">
        <v>1675</v>
      </c>
      <c r="G43" s="122" t="s">
        <v>1192</v>
      </c>
      <c r="H43" s="123" t="s">
        <v>1714</v>
      </c>
      <c r="I43" s="124" t="s">
        <v>1715</v>
      </c>
      <c r="J43" s="12"/>
    </row>
    <row r="44" spans="1:15" x14ac:dyDescent="0.3">
      <c r="A44" s="12"/>
      <c r="B44" s="43">
        <v>42579</v>
      </c>
      <c r="C44" s="2" t="s">
        <v>8</v>
      </c>
      <c r="D44" s="2" t="s">
        <v>630</v>
      </c>
      <c r="E44" s="41" t="s">
        <v>1716</v>
      </c>
      <c r="F44" s="40" t="s">
        <v>1717</v>
      </c>
      <c r="G44" s="122" t="s">
        <v>1043</v>
      </c>
      <c r="H44" s="123" t="s">
        <v>1100</v>
      </c>
      <c r="I44" s="124" t="s">
        <v>1718</v>
      </c>
      <c r="J44" s="12"/>
    </row>
    <row r="45" spans="1:15" x14ac:dyDescent="0.3">
      <c r="A45" s="12"/>
      <c r="B45" s="43">
        <v>42580</v>
      </c>
      <c r="C45" s="2" t="s">
        <v>9</v>
      </c>
      <c r="D45" s="2" t="s">
        <v>549</v>
      </c>
      <c r="E45" s="41" t="s">
        <v>1724</v>
      </c>
      <c r="F45" s="40" t="s">
        <v>1725</v>
      </c>
      <c r="G45" s="40" t="s">
        <v>908</v>
      </c>
      <c r="H45" s="5">
        <f>300000/E45</f>
        <v>1023.8907849829352</v>
      </c>
      <c r="I45" s="81">
        <f>H45*G45</f>
        <v>2047.7815699658704</v>
      </c>
      <c r="J45" s="12"/>
      <c r="K45" s="16"/>
      <c r="L45" s="30"/>
      <c r="M45" s="30"/>
      <c r="N45" s="30"/>
      <c r="O45" s="30"/>
    </row>
    <row r="46" spans="1:15" x14ac:dyDescent="0.3">
      <c r="A46" s="12"/>
      <c r="B46" s="43">
        <v>42580</v>
      </c>
      <c r="C46" s="2" t="s">
        <v>8</v>
      </c>
      <c r="D46" s="2" t="s">
        <v>34</v>
      </c>
      <c r="E46" s="41" t="s">
        <v>1726</v>
      </c>
      <c r="F46" s="40" t="s">
        <v>1727</v>
      </c>
      <c r="G46" s="40" t="s">
        <v>908</v>
      </c>
      <c r="H46" s="5">
        <f>300000/E46</f>
        <v>1566.579634464752</v>
      </c>
      <c r="I46" s="81">
        <f>H46*G46</f>
        <v>3133.1592689295039</v>
      </c>
      <c r="J46" s="12"/>
      <c r="K46" s="120"/>
      <c r="L46" s="50"/>
      <c r="M46" s="50"/>
      <c r="N46" s="50"/>
      <c r="O46" s="50"/>
    </row>
    <row r="47" spans="1:15" ht="18" x14ac:dyDescent="0.35">
      <c r="A47" s="12"/>
      <c r="B47" s="10"/>
      <c r="C47" s="10"/>
      <c r="D47" s="10"/>
      <c r="E47" s="10"/>
      <c r="F47" s="10"/>
      <c r="G47" s="10"/>
      <c r="H47" s="10"/>
      <c r="I47" s="72">
        <v>58264</v>
      </c>
      <c r="J47" s="12"/>
    </row>
    <row r="48" spans="1:15" x14ac:dyDescent="0.3">
      <c r="A48" s="12"/>
      <c r="B48" s="106" t="s">
        <v>62</v>
      </c>
      <c r="C48" s="106"/>
      <c r="D48" s="106"/>
      <c r="E48" s="106"/>
      <c r="F48" s="106"/>
      <c r="G48" s="106"/>
      <c r="H48" s="106"/>
      <c r="I48" s="106"/>
      <c r="J48" s="12"/>
    </row>
    <row r="49" spans="1:15" x14ac:dyDescent="0.3">
      <c r="A49" s="12"/>
      <c r="B49" s="43">
        <v>42552</v>
      </c>
      <c r="C49" s="2" t="s">
        <v>8</v>
      </c>
      <c r="D49" s="2" t="s">
        <v>19</v>
      </c>
      <c r="E49" s="41" t="s">
        <v>1053</v>
      </c>
      <c r="F49" s="40" t="s">
        <v>1636</v>
      </c>
      <c r="G49" s="40" t="s">
        <v>999</v>
      </c>
      <c r="H49" s="5">
        <v>3000</v>
      </c>
      <c r="I49" s="40" t="s">
        <v>770</v>
      </c>
      <c r="J49" s="12"/>
    </row>
    <row r="50" spans="1:15" x14ac:dyDescent="0.3">
      <c r="A50" s="12"/>
      <c r="B50" s="43">
        <v>42555</v>
      </c>
      <c r="C50" s="2" t="s">
        <v>8</v>
      </c>
      <c r="D50" s="2" t="s">
        <v>94</v>
      </c>
      <c r="E50" s="41" t="s">
        <v>1637</v>
      </c>
      <c r="F50" s="40" t="s">
        <v>413</v>
      </c>
      <c r="G50" s="40" t="s">
        <v>925</v>
      </c>
      <c r="H50" s="5">
        <v>500</v>
      </c>
      <c r="I50" s="40" t="s">
        <v>728</v>
      </c>
      <c r="J50" s="12"/>
    </row>
    <row r="51" spans="1:15" x14ac:dyDescent="0.3">
      <c r="A51" s="12"/>
      <c r="B51" s="43">
        <v>42556</v>
      </c>
      <c r="C51" s="30" t="s">
        <v>8</v>
      </c>
      <c r="D51" s="30" t="s">
        <v>95</v>
      </c>
      <c r="E51" s="30">
        <v>250</v>
      </c>
      <c r="F51" s="30">
        <v>246.5</v>
      </c>
      <c r="G51" s="30">
        <v>3.5</v>
      </c>
      <c r="H51" s="30">
        <v>2500</v>
      </c>
      <c r="I51" s="30">
        <v>8750</v>
      </c>
      <c r="J51" s="12"/>
    </row>
    <row r="52" spans="1:15" x14ac:dyDescent="0.3">
      <c r="A52" s="12"/>
      <c r="B52" s="43">
        <v>42558</v>
      </c>
      <c r="C52" s="30" t="s">
        <v>8</v>
      </c>
      <c r="D52" s="30" t="s">
        <v>78</v>
      </c>
      <c r="E52" s="30">
        <v>1573</v>
      </c>
      <c r="F52" s="30">
        <v>1560</v>
      </c>
      <c r="G52" s="30">
        <v>13</v>
      </c>
      <c r="H52" s="30">
        <v>500</v>
      </c>
      <c r="I52" s="30">
        <v>6500</v>
      </c>
      <c r="J52" s="12"/>
      <c r="K52" s="16"/>
      <c r="L52" s="30"/>
      <c r="M52" s="30"/>
      <c r="N52" s="30"/>
      <c r="O52" s="30"/>
    </row>
    <row r="53" spans="1:15" x14ac:dyDescent="0.3">
      <c r="A53" s="12"/>
      <c r="B53" s="43">
        <v>42559</v>
      </c>
      <c r="C53" s="30" t="s">
        <v>8</v>
      </c>
      <c r="D53" s="30" t="s">
        <v>192</v>
      </c>
      <c r="E53" s="30">
        <v>221.5</v>
      </c>
      <c r="F53" s="30">
        <v>220</v>
      </c>
      <c r="G53" s="30">
        <v>1.5</v>
      </c>
      <c r="H53" s="30">
        <v>3000</v>
      </c>
      <c r="I53" s="30">
        <v>4500</v>
      </c>
      <c r="J53" s="12"/>
      <c r="K53" s="16"/>
      <c r="L53" s="30"/>
      <c r="M53" s="30"/>
      <c r="N53" s="30"/>
      <c r="O53" s="30"/>
    </row>
    <row r="54" spans="1:15" x14ac:dyDescent="0.3">
      <c r="A54" s="12"/>
      <c r="B54" s="43">
        <v>42562</v>
      </c>
      <c r="C54" s="30" t="s">
        <v>8</v>
      </c>
      <c r="D54" s="30" t="s">
        <v>58</v>
      </c>
      <c r="E54" s="30">
        <v>548</v>
      </c>
      <c r="F54" s="30">
        <v>544</v>
      </c>
      <c r="G54" s="30">
        <v>4</v>
      </c>
      <c r="H54" s="30">
        <v>1200</v>
      </c>
      <c r="I54" s="30">
        <v>4800</v>
      </c>
      <c r="J54" s="12"/>
      <c r="K54" s="120"/>
      <c r="L54" s="50"/>
      <c r="M54" s="50"/>
      <c r="N54" s="50"/>
      <c r="O54" s="50"/>
    </row>
    <row r="55" spans="1:15" x14ac:dyDescent="0.3">
      <c r="A55" s="12"/>
      <c r="B55" s="43">
        <v>42563</v>
      </c>
      <c r="C55" s="30" t="s">
        <v>9</v>
      </c>
      <c r="D55" s="30" t="s">
        <v>19</v>
      </c>
      <c r="E55" s="30">
        <v>226.5</v>
      </c>
      <c r="F55" s="30">
        <v>227.5</v>
      </c>
      <c r="G55" s="30">
        <v>1</v>
      </c>
      <c r="H55" s="30">
        <v>3000</v>
      </c>
      <c r="I55" s="30">
        <v>3000</v>
      </c>
      <c r="J55" s="12"/>
      <c r="K55" s="120"/>
      <c r="L55" s="50"/>
      <c r="M55" s="50"/>
      <c r="N55" s="50"/>
      <c r="O55" s="50"/>
    </row>
    <row r="56" spans="1:15" x14ac:dyDescent="0.3">
      <c r="A56" s="12"/>
      <c r="B56" s="43">
        <v>42564</v>
      </c>
      <c r="C56" s="30" t="s">
        <v>8</v>
      </c>
      <c r="D56" s="30" t="s">
        <v>95</v>
      </c>
      <c r="E56" s="30">
        <v>260</v>
      </c>
      <c r="F56" s="30">
        <v>262</v>
      </c>
      <c r="G56" s="30">
        <v>-2</v>
      </c>
      <c r="H56" s="30">
        <v>2500</v>
      </c>
      <c r="I56" s="30">
        <v>-5000</v>
      </c>
      <c r="J56" s="12"/>
      <c r="K56" s="120"/>
      <c r="L56" s="50"/>
      <c r="M56" s="50"/>
      <c r="N56" s="50"/>
      <c r="O56" s="50"/>
    </row>
    <row r="57" spans="1:15" x14ac:dyDescent="0.3">
      <c r="A57" s="12"/>
      <c r="B57" s="43">
        <v>42565</v>
      </c>
      <c r="C57" s="30" t="s">
        <v>8</v>
      </c>
      <c r="D57" s="30" t="s">
        <v>78</v>
      </c>
      <c r="E57" s="30">
        <v>1555</v>
      </c>
      <c r="F57" s="30">
        <v>1548</v>
      </c>
      <c r="G57" s="30">
        <v>7</v>
      </c>
      <c r="H57" s="30">
        <v>500</v>
      </c>
      <c r="I57" s="30">
        <v>3500</v>
      </c>
      <c r="J57" s="12"/>
      <c r="K57" s="120"/>
      <c r="L57" s="50"/>
      <c r="M57" s="50"/>
      <c r="N57" s="50"/>
      <c r="O57" s="50"/>
    </row>
    <row r="58" spans="1:15" x14ac:dyDescent="0.3">
      <c r="A58" s="12"/>
      <c r="B58" s="43">
        <v>42566</v>
      </c>
      <c r="C58" s="30" t="s">
        <v>8</v>
      </c>
      <c r="D58" s="30" t="s">
        <v>371</v>
      </c>
      <c r="E58" s="30">
        <v>330</v>
      </c>
      <c r="F58" s="30">
        <v>322.5</v>
      </c>
      <c r="G58" s="30">
        <v>7.5</v>
      </c>
      <c r="H58" s="30">
        <v>2500</v>
      </c>
      <c r="I58" s="30">
        <v>18750</v>
      </c>
      <c r="J58" s="12"/>
      <c r="K58" s="120"/>
      <c r="L58" s="50"/>
      <c r="M58" s="50"/>
      <c r="N58" s="50"/>
      <c r="O58" s="50"/>
    </row>
    <row r="59" spans="1:15" x14ac:dyDescent="0.3">
      <c r="A59" s="12"/>
      <c r="B59" s="43">
        <v>42569</v>
      </c>
      <c r="C59" s="30" t="s">
        <v>9</v>
      </c>
      <c r="D59" s="30" t="s">
        <v>403</v>
      </c>
      <c r="E59" s="30">
        <v>1165</v>
      </c>
      <c r="F59" s="30">
        <v>1155</v>
      </c>
      <c r="G59" s="30">
        <v>-10</v>
      </c>
      <c r="H59" s="30">
        <v>600</v>
      </c>
      <c r="I59" s="30">
        <v>-6000</v>
      </c>
      <c r="J59" s="12"/>
      <c r="K59" s="120"/>
      <c r="L59" s="50"/>
      <c r="M59" s="50"/>
      <c r="N59" s="50"/>
      <c r="O59" s="50"/>
    </row>
    <row r="60" spans="1:15" x14ac:dyDescent="0.3">
      <c r="A60" s="12"/>
      <c r="B60" s="43">
        <v>42570</v>
      </c>
      <c r="C60" s="30" t="s">
        <v>8</v>
      </c>
      <c r="D60" s="30" t="s">
        <v>111</v>
      </c>
      <c r="E60" s="30">
        <v>697</v>
      </c>
      <c r="F60" s="30">
        <v>690.8</v>
      </c>
      <c r="G60" s="30">
        <v>6.2</v>
      </c>
      <c r="H60" s="30">
        <v>1100</v>
      </c>
      <c r="I60" s="30">
        <v>6820</v>
      </c>
      <c r="J60" s="12"/>
      <c r="K60" s="120"/>
      <c r="L60" s="50"/>
      <c r="M60" s="50"/>
      <c r="N60" s="50"/>
      <c r="O60" s="50"/>
    </row>
    <row r="61" spans="1:15" x14ac:dyDescent="0.3">
      <c r="A61" s="12"/>
      <c r="B61" s="43">
        <v>42571</v>
      </c>
      <c r="C61" s="30" t="s">
        <v>8</v>
      </c>
      <c r="D61" s="30" t="s">
        <v>341</v>
      </c>
      <c r="E61" s="30">
        <v>307</v>
      </c>
      <c r="F61" s="30">
        <v>304</v>
      </c>
      <c r="G61" s="30">
        <v>3</v>
      </c>
      <c r="H61" s="30">
        <v>2500</v>
      </c>
      <c r="I61" s="30">
        <v>7500</v>
      </c>
      <c r="J61" s="12"/>
      <c r="K61" s="120"/>
      <c r="L61" s="50"/>
      <c r="M61" s="50"/>
      <c r="N61" s="50"/>
      <c r="O61" s="50"/>
    </row>
    <row r="62" spans="1:15" x14ac:dyDescent="0.3">
      <c r="A62" s="12"/>
      <c r="B62" s="43">
        <v>42572</v>
      </c>
      <c r="C62" s="30" t="s">
        <v>8</v>
      </c>
      <c r="D62" s="30" t="s">
        <v>58</v>
      </c>
      <c r="E62" s="30">
        <v>550</v>
      </c>
      <c r="F62" s="30">
        <v>538</v>
      </c>
      <c r="G62" s="30">
        <v>12</v>
      </c>
      <c r="H62" s="30">
        <v>1200</v>
      </c>
      <c r="I62" s="30">
        <v>14400</v>
      </c>
      <c r="J62" s="12"/>
      <c r="K62" s="120"/>
      <c r="L62" s="50"/>
      <c r="M62" s="50"/>
      <c r="N62" s="50"/>
      <c r="O62" s="50"/>
    </row>
    <row r="63" spans="1:15" x14ac:dyDescent="0.3">
      <c r="A63" s="12"/>
      <c r="B63" s="43">
        <v>42573</v>
      </c>
      <c r="C63" s="30" t="s">
        <v>8</v>
      </c>
      <c r="D63" s="30" t="s">
        <v>58</v>
      </c>
      <c r="E63" s="30">
        <v>541</v>
      </c>
      <c r="F63" s="30">
        <v>536.5</v>
      </c>
      <c r="G63" s="30">
        <v>4.5</v>
      </c>
      <c r="H63" s="30">
        <v>1200</v>
      </c>
      <c r="I63" s="30">
        <v>5400</v>
      </c>
      <c r="J63" s="12"/>
      <c r="K63" s="120"/>
      <c r="L63" s="50"/>
      <c r="M63" s="50"/>
      <c r="N63" s="50"/>
      <c r="O63" s="50"/>
    </row>
    <row r="64" spans="1:15" x14ac:dyDescent="0.3">
      <c r="A64" s="12"/>
      <c r="B64" s="43">
        <v>42576</v>
      </c>
      <c r="C64" s="30" t="s">
        <v>8</v>
      </c>
      <c r="D64" s="30" t="s">
        <v>137</v>
      </c>
      <c r="E64" s="30">
        <v>900</v>
      </c>
      <c r="F64" s="30">
        <v>907</v>
      </c>
      <c r="G64" s="30">
        <v>-7</v>
      </c>
      <c r="H64" s="30">
        <v>600</v>
      </c>
      <c r="I64" s="30">
        <v>-4200</v>
      </c>
      <c r="J64" s="12"/>
      <c r="K64" s="120"/>
      <c r="L64" s="50"/>
      <c r="M64" s="50"/>
      <c r="N64" s="50"/>
      <c r="O64" s="50"/>
    </row>
    <row r="65" spans="1:15" x14ac:dyDescent="0.3">
      <c r="A65" s="12"/>
      <c r="B65" s="43">
        <v>42577</v>
      </c>
      <c r="C65" s="30" t="s">
        <v>8</v>
      </c>
      <c r="D65" s="30" t="s">
        <v>630</v>
      </c>
      <c r="E65" s="30">
        <v>439</v>
      </c>
      <c r="F65" s="30">
        <v>430</v>
      </c>
      <c r="G65" s="30">
        <v>9</v>
      </c>
      <c r="H65" s="30">
        <v>1500</v>
      </c>
      <c r="I65" s="30">
        <v>13500</v>
      </c>
      <c r="J65" s="12"/>
      <c r="K65" s="120"/>
      <c r="L65" s="50"/>
      <c r="M65" s="50"/>
      <c r="N65" s="50"/>
      <c r="O65" s="50"/>
    </row>
    <row r="66" spans="1:15" x14ac:dyDescent="0.3">
      <c r="A66" s="12"/>
      <c r="B66" s="43">
        <v>42578</v>
      </c>
      <c r="C66" s="30" t="s">
        <v>8</v>
      </c>
      <c r="D66" s="30" t="s">
        <v>139</v>
      </c>
      <c r="E66" s="30">
        <v>1188</v>
      </c>
      <c r="F66" s="30">
        <v>1182.5</v>
      </c>
      <c r="G66" s="30">
        <v>5.5</v>
      </c>
      <c r="H66" s="30">
        <v>700</v>
      </c>
      <c r="I66" s="30">
        <v>3850</v>
      </c>
      <c r="J66" s="12"/>
      <c r="K66" s="120"/>
      <c r="L66" s="50"/>
      <c r="M66" s="50"/>
      <c r="N66" s="50"/>
      <c r="O66" s="50"/>
    </row>
    <row r="67" spans="1:15" x14ac:dyDescent="0.3">
      <c r="A67" s="12"/>
      <c r="B67" s="43">
        <v>42579</v>
      </c>
      <c r="C67" s="30" t="s">
        <v>8</v>
      </c>
      <c r="D67" s="30" t="s">
        <v>117</v>
      </c>
      <c r="E67" s="30">
        <v>268</v>
      </c>
      <c r="F67" s="30">
        <v>271</v>
      </c>
      <c r="G67" s="30">
        <v>-3</v>
      </c>
      <c r="H67" s="30">
        <v>2500</v>
      </c>
      <c r="I67" s="30">
        <v>-7500</v>
      </c>
      <c r="J67" s="12"/>
      <c r="K67" s="120"/>
      <c r="L67" s="50"/>
      <c r="M67" s="50"/>
      <c r="N67" s="50"/>
      <c r="O67" s="50"/>
    </row>
    <row r="68" spans="1:15" x14ac:dyDescent="0.3">
      <c r="A68" s="12"/>
      <c r="B68" s="43">
        <v>42580</v>
      </c>
      <c r="C68" s="30" t="s">
        <v>8</v>
      </c>
      <c r="D68" s="30" t="s">
        <v>78</v>
      </c>
      <c r="E68" s="30">
        <v>1542</v>
      </c>
      <c r="F68" s="30">
        <v>1551</v>
      </c>
      <c r="G68" s="30">
        <v>-9</v>
      </c>
      <c r="H68" s="30">
        <v>500</v>
      </c>
      <c r="I68" s="49" t="s">
        <v>1557</v>
      </c>
      <c r="J68" s="12"/>
    </row>
    <row r="69" spans="1:15" ht="18" x14ac:dyDescent="0.35">
      <c r="A69" s="12"/>
      <c r="B69" s="43"/>
      <c r="C69" s="30"/>
      <c r="D69" s="30"/>
      <c r="E69" s="30"/>
      <c r="F69" s="30"/>
      <c r="G69" s="30"/>
      <c r="H69" s="30"/>
      <c r="I69" s="72">
        <v>75070</v>
      </c>
      <c r="J69" s="12"/>
    </row>
    <row r="70" spans="1:15" x14ac:dyDescent="0.3">
      <c r="A70" s="12"/>
      <c r="B70" s="106" t="s">
        <v>63</v>
      </c>
      <c r="C70" s="106"/>
      <c r="D70" s="106"/>
      <c r="E70" s="106"/>
      <c r="F70" s="106"/>
      <c r="G70" s="106"/>
      <c r="H70" s="106"/>
      <c r="I70" s="106"/>
      <c r="J70" s="12"/>
      <c r="K70" s="86"/>
      <c r="L70" s="10"/>
      <c r="M70" s="10"/>
      <c r="N70" s="10"/>
      <c r="O70" s="10"/>
    </row>
    <row r="71" spans="1:15" x14ac:dyDescent="0.3">
      <c r="A71" s="12"/>
      <c r="B71" s="43">
        <v>42552</v>
      </c>
      <c r="C71" s="2" t="s">
        <v>8</v>
      </c>
      <c r="D71" s="2" t="s">
        <v>39</v>
      </c>
      <c r="E71" s="41" t="s">
        <v>543</v>
      </c>
      <c r="F71" s="40" t="s">
        <v>570</v>
      </c>
      <c r="G71" s="40" t="s">
        <v>1025</v>
      </c>
      <c r="H71" s="30">
        <v>150</v>
      </c>
      <c r="I71" s="41" t="s">
        <v>848</v>
      </c>
      <c r="J71" s="12"/>
      <c r="K71" s="86"/>
      <c r="L71" s="10"/>
      <c r="M71" s="10"/>
      <c r="N71" s="10"/>
      <c r="O71" s="10"/>
    </row>
    <row r="72" spans="1:15" x14ac:dyDescent="0.3">
      <c r="A72" s="12"/>
      <c r="B72" s="43">
        <v>42555</v>
      </c>
      <c r="C72" s="30" t="s">
        <v>9</v>
      </c>
      <c r="D72" s="2" t="s">
        <v>39</v>
      </c>
      <c r="E72" s="2">
        <v>8400</v>
      </c>
      <c r="F72" s="30">
        <v>8415</v>
      </c>
      <c r="G72" s="30">
        <v>15</v>
      </c>
      <c r="H72" s="30">
        <v>150</v>
      </c>
      <c r="I72" s="30">
        <v>2250</v>
      </c>
      <c r="J72" s="12"/>
      <c r="K72" s="86"/>
      <c r="L72" s="10"/>
      <c r="M72" s="10"/>
      <c r="N72" s="10"/>
      <c r="O72" s="10"/>
    </row>
    <row r="73" spans="1:15" x14ac:dyDescent="0.3">
      <c r="A73" s="12"/>
      <c r="B73" s="43">
        <v>42556</v>
      </c>
      <c r="C73" s="30" t="s">
        <v>8</v>
      </c>
      <c r="D73" s="2" t="s">
        <v>39</v>
      </c>
      <c r="E73" s="2">
        <v>8365</v>
      </c>
      <c r="F73" s="30">
        <v>8345</v>
      </c>
      <c r="G73" s="30">
        <v>20</v>
      </c>
      <c r="H73" s="30">
        <v>150</v>
      </c>
      <c r="I73" s="30">
        <v>3000</v>
      </c>
      <c r="J73" s="12"/>
      <c r="K73" s="10"/>
      <c r="L73" s="10"/>
      <c r="M73" s="10"/>
      <c r="N73" s="10"/>
      <c r="O73" s="10"/>
    </row>
    <row r="74" spans="1:15" x14ac:dyDescent="0.3">
      <c r="A74" s="12"/>
      <c r="B74" s="43">
        <v>42558</v>
      </c>
      <c r="C74" s="30" t="s">
        <v>8</v>
      </c>
      <c r="D74" s="2" t="s">
        <v>39</v>
      </c>
      <c r="E74" s="2">
        <v>8350</v>
      </c>
      <c r="F74" s="30">
        <v>8385</v>
      </c>
      <c r="G74" s="30">
        <v>-35</v>
      </c>
      <c r="H74" s="30">
        <v>150</v>
      </c>
      <c r="I74" s="30">
        <v>-5250</v>
      </c>
      <c r="J74" s="12"/>
      <c r="K74" s="10"/>
      <c r="L74" s="10"/>
      <c r="M74" s="10"/>
      <c r="N74" s="10"/>
      <c r="O74" s="10"/>
    </row>
    <row r="75" spans="1:15" x14ac:dyDescent="0.3">
      <c r="A75" s="12"/>
      <c r="B75" s="43">
        <v>42559</v>
      </c>
      <c r="C75" s="30" t="s">
        <v>8</v>
      </c>
      <c r="D75" s="2" t="s">
        <v>39</v>
      </c>
      <c r="E75" s="2">
        <v>8335</v>
      </c>
      <c r="F75" s="30">
        <v>8317</v>
      </c>
      <c r="G75" s="30">
        <v>18</v>
      </c>
      <c r="H75" s="30">
        <v>150</v>
      </c>
      <c r="I75" s="30">
        <v>2700</v>
      </c>
      <c r="J75" s="12"/>
      <c r="K75" s="10"/>
      <c r="L75" s="10"/>
      <c r="M75" s="10"/>
      <c r="N75" s="10"/>
      <c r="O75" s="10"/>
    </row>
    <row r="76" spans="1:15" x14ac:dyDescent="0.3">
      <c r="A76" s="12"/>
      <c r="B76" s="43">
        <v>42562</v>
      </c>
      <c r="C76" s="30" t="s">
        <v>9</v>
      </c>
      <c r="D76" s="2" t="s">
        <v>39</v>
      </c>
      <c r="E76" s="2">
        <v>8470</v>
      </c>
      <c r="F76" s="30">
        <v>8495</v>
      </c>
      <c r="G76" s="30">
        <v>25</v>
      </c>
      <c r="H76" s="30">
        <v>150</v>
      </c>
      <c r="I76" s="30">
        <v>3750</v>
      </c>
      <c r="J76" s="12"/>
      <c r="K76" s="10"/>
      <c r="L76" s="10"/>
      <c r="M76" s="10"/>
      <c r="N76" s="10"/>
      <c r="O76" s="10"/>
    </row>
    <row r="77" spans="1:15" x14ac:dyDescent="0.3">
      <c r="A77" s="12"/>
      <c r="B77" s="43">
        <v>42563</v>
      </c>
      <c r="C77" s="30" t="s">
        <v>9</v>
      </c>
      <c r="D77" s="2" t="s">
        <v>39</v>
      </c>
      <c r="E77" s="2">
        <v>8505</v>
      </c>
      <c r="F77" s="30">
        <v>8530</v>
      </c>
      <c r="G77" s="30">
        <v>25</v>
      </c>
      <c r="H77" s="30">
        <v>150</v>
      </c>
      <c r="I77" s="30">
        <v>3750</v>
      </c>
      <c r="J77" s="12"/>
      <c r="K77" s="10"/>
      <c r="L77" s="10"/>
      <c r="M77" s="10"/>
      <c r="N77" s="10"/>
      <c r="O77" s="10"/>
    </row>
    <row r="78" spans="1:15" x14ac:dyDescent="0.3">
      <c r="A78" s="12"/>
      <c r="B78" s="43">
        <v>42564</v>
      </c>
      <c r="C78" s="30" t="s">
        <v>8</v>
      </c>
      <c r="D78" s="2" t="s">
        <v>39</v>
      </c>
      <c r="E78" s="2">
        <v>8515</v>
      </c>
      <c r="F78" s="30">
        <v>8520</v>
      </c>
      <c r="G78" s="30">
        <v>-5</v>
      </c>
      <c r="H78" s="30">
        <v>150</v>
      </c>
      <c r="I78" s="30">
        <v>-750</v>
      </c>
      <c r="J78" s="12"/>
      <c r="K78" s="10"/>
      <c r="L78" s="10"/>
      <c r="M78" s="10"/>
      <c r="N78" s="10"/>
      <c r="O78" s="10"/>
    </row>
    <row r="79" spans="1:15" x14ac:dyDescent="0.3">
      <c r="A79" s="12"/>
      <c r="B79" s="43">
        <v>42565</v>
      </c>
      <c r="C79" s="30" t="s">
        <v>9</v>
      </c>
      <c r="D79" s="2" t="s">
        <v>39</v>
      </c>
      <c r="E79" s="2">
        <v>8530</v>
      </c>
      <c r="F79" s="30">
        <v>8580</v>
      </c>
      <c r="G79" s="30">
        <v>50</v>
      </c>
      <c r="H79" s="30">
        <v>150</v>
      </c>
      <c r="I79" s="30">
        <v>7500</v>
      </c>
      <c r="J79" s="12"/>
      <c r="K79" s="10"/>
      <c r="L79" s="10"/>
      <c r="M79" s="10"/>
      <c r="N79" s="10"/>
      <c r="O79" s="10"/>
    </row>
    <row r="80" spans="1:15" x14ac:dyDescent="0.3">
      <c r="A80" s="12"/>
      <c r="B80" s="43">
        <v>42566</v>
      </c>
      <c r="C80" s="30" t="s">
        <v>8</v>
      </c>
      <c r="D80" s="2" t="s">
        <v>39</v>
      </c>
      <c r="E80" s="2">
        <v>8545</v>
      </c>
      <c r="F80" s="30">
        <v>8528</v>
      </c>
      <c r="G80" s="30">
        <v>17</v>
      </c>
      <c r="H80" s="30">
        <v>150</v>
      </c>
      <c r="I80" s="30">
        <v>2550</v>
      </c>
      <c r="J80" s="12"/>
      <c r="K80" s="10"/>
      <c r="L80" s="10"/>
      <c r="M80" s="10"/>
      <c r="N80" s="10"/>
      <c r="O80" s="10"/>
    </row>
    <row r="81" spans="1:15" x14ac:dyDescent="0.3">
      <c r="A81" s="12"/>
      <c r="B81" s="43">
        <v>42569</v>
      </c>
      <c r="C81" s="30" t="s">
        <v>9</v>
      </c>
      <c r="D81" s="2" t="s">
        <v>39</v>
      </c>
      <c r="E81" s="2">
        <v>8590</v>
      </c>
      <c r="F81" s="30">
        <v>8555</v>
      </c>
      <c r="G81" s="30">
        <v>-35</v>
      </c>
      <c r="H81" s="30">
        <v>150</v>
      </c>
      <c r="I81" s="30">
        <v>-5250</v>
      </c>
      <c r="J81" s="12"/>
      <c r="K81" s="10"/>
      <c r="L81" s="10"/>
      <c r="M81" s="10"/>
      <c r="N81" s="10"/>
      <c r="O81" s="10"/>
    </row>
    <row r="82" spans="1:15" x14ac:dyDescent="0.3">
      <c r="A82" s="12"/>
      <c r="B82" s="43">
        <v>42570</v>
      </c>
      <c r="C82" s="30" t="s">
        <v>8</v>
      </c>
      <c r="D82" s="2" t="s">
        <v>39</v>
      </c>
      <c r="E82" s="2">
        <v>8540</v>
      </c>
      <c r="F82" s="30">
        <v>8490</v>
      </c>
      <c r="G82" s="30">
        <v>50</v>
      </c>
      <c r="H82" s="30">
        <v>150</v>
      </c>
      <c r="I82" s="30">
        <v>7500</v>
      </c>
      <c r="J82" s="12"/>
      <c r="K82" s="10"/>
      <c r="L82" s="10"/>
      <c r="M82" s="10"/>
      <c r="N82" s="10"/>
      <c r="O82" s="10"/>
    </row>
    <row r="83" spans="1:15" x14ac:dyDescent="0.3">
      <c r="A83" s="12"/>
      <c r="B83" s="43">
        <v>42571</v>
      </c>
      <c r="C83" s="30" t="s">
        <v>9</v>
      </c>
      <c r="D83" s="2" t="s">
        <v>39</v>
      </c>
      <c r="E83" s="2">
        <v>8580</v>
      </c>
      <c r="F83" s="30">
        <v>8588</v>
      </c>
      <c r="G83" s="30">
        <v>8</v>
      </c>
      <c r="H83" s="30">
        <v>150</v>
      </c>
      <c r="I83" s="30">
        <v>1200</v>
      </c>
      <c r="J83" s="12"/>
      <c r="K83" s="10"/>
      <c r="L83" s="10"/>
      <c r="M83" s="10"/>
      <c r="N83" s="10"/>
      <c r="O83" s="10"/>
    </row>
    <row r="84" spans="1:15" x14ac:dyDescent="0.3">
      <c r="A84" s="12"/>
      <c r="B84" s="43">
        <v>42572</v>
      </c>
      <c r="C84" s="30" t="s">
        <v>8</v>
      </c>
      <c r="D84" s="2" t="s">
        <v>39</v>
      </c>
      <c r="E84" s="2">
        <v>8580</v>
      </c>
      <c r="F84" s="30">
        <v>8515</v>
      </c>
      <c r="G84" s="30">
        <v>65</v>
      </c>
      <c r="H84" s="30">
        <v>150</v>
      </c>
      <c r="I84" s="30">
        <v>9750</v>
      </c>
      <c r="J84" s="12"/>
      <c r="K84" s="10"/>
      <c r="L84" s="10"/>
      <c r="M84" s="10"/>
      <c r="N84" s="10"/>
      <c r="O84" s="10"/>
    </row>
    <row r="85" spans="1:15" x14ac:dyDescent="0.3">
      <c r="A85" s="12"/>
      <c r="B85" s="43">
        <v>42573</v>
      </c>
      <c r="C85" s="30" t="s">
        <v>9</v>
      </c>
      <c r="D85" s="2" t="s">
        <v>39</v>
      </c>
      <c r="E85" s="2">
        <v>8535</v>
      </c>
      <c r="F85" s="30">
        <v>8560</v>
      </c>
      <c r="G85" s="30">
        <v>25</v>
      </c>
      <c r="H85" s="30">
        <v>150</v>
      </c>
      <c r="I85" s="30">
        <v>3750</v>
      </c>
      <c r="J85" s="12"/>
      <c r="K85" s="10"/>
      <c r="L85" s="10"/>
      <c r="M85" s="10"/>
      <c r="N85" s="10"/>
      <c r="O85" s="10"/>
    </row>
    <row r="86" spans="1:15" x14ac:dyDescent="0.3">
      <c r="A86" s="12"/>
      <c r="B86" s="43">
        <v>42576</v>
      </c>
      <c r="C86" s="30" t="s">
        <v>9</v>
      </c>
      <c r="D86" s="2" t="s">
        <v>39</v>
      </c>
      <c r="E86" s="2">
        <v>8550</v>
      </c>
      <c r="F86" s="30">
        <v>8615</v>
      </c>
      <c r="G86" s="30">
        <v>65</v>
      </c>
      <c r="H86" s="30">
        <v>150</v>
      </c>
      <c r="I86" s="30">
        <v>9750</v>
      </c>
      <c r="J86" s="12"/>
      <c r="K86" s="10"/>
      <c r="L86" s="10"/>
      <c r="M86" s="10"/>
      <c r="N86" s="10"/>
      <c r="O86" s="10"/>
    </row>
    <row r="87" spans="1:15" x14ac:dyDescent="0.3">
      <c r="A87" s="12"/>
      <c r="B87" s="43">
        <v>42577</v>
      </c>
      <c r="C87" s="30" t="s">
        <v>8</v>
      </c>
      <c r="D87" s="2" t="s">
        <v>39</v>
      </c>
      <c r="E87" s="2">
        <v>8640</v>
      </c>
      <c r="F87" s="30">
        <v>8580</v>
      </c>
      <c r="G87" s="30">
        <v>60</v>
      </c>
      <c r="H87" s="30">
        <v>150</v>
      </c>
      <c r="I87" s="30">
        <v>9000</v>
      </c>
      <c r="J87" s="12"/>
      <c r="K87" s="10"/>
      <c r="L87" s="10"/>
      <c r="M87" s="10"/>
      <c r="N87" s="10"/>
      <c r="O87" s="10"/>
    </row>
    <row r="88" spans="1:15" x14ac:dyDescent="0.3">
      <c r="A88" s="12"/>
      <c r="B88" s="43">
        <v>42578</v>
      </c>
      <c r="C88" s="30" t="s">
        <v>9</v>
      </c>
      <c r="D88" s="2" t="s">
        <v>39</v>
      </c>
      <c r="E88" s="2">
        <v>8660</v>
      </c>
      <c r="F88" s="30">
        <v>8625</v>
      </c>
      <c r="G88" s="30">
        <v>-35</v>
      </c>
      <c r="H88" s="30">
        <v>150</v>
      </c>
      <c r="I88" s="30">
        <v>-5250</v>
      </c>
      <c r="J88" s="12"/>
      <c r="K88" s="10"/>
      <c r="L88" s="10"/>
      <c r="M88" s="10"/>
      <c r="N88" s="10"/>
      <c r="O88" s="10"/>
    </row>
    <row r="89" spans="1:15" x14ac:dyDescent="0.3">
      <c r="A89" s="12"/>
      <c r="B89" s="43">
        <v>42579</v>
      </c>
      <c r="C89" s="30" t="s">
        <v>9</v>
      </c>
      <c r="D89" s="2" t="s">
        <v>39</v>
      </c>
      <c r="E89" s="2">
        <v>8650</v>
      </c>
      <c r="F89" s="30">
        <v>8665</v>
      </c>
      <c r="G89" s="30">
        <v>15</v>
      </c>
      <c r="H89" s="30">
        <v>150</v>
      </c>
      <c r="I89" s="30">
        <v>2250</v>
      </c>
      <c r="J89" s="12"/>
      <c r="K89" s="10"/>
      <c r="L89" s="10"/>
      <c r="M89" s="10"/>
      <c r="N89" s="10"/>
      <c r="O89" s="10"/>
    </row>
    <row r="90" spans="1:15" x14ac:dyDescent="0.3">
      <c r="A90" s="12"/>
      <c r="B90" s="43">
        <v>42580</v>
      </c>
      <c r="C90" s="30" t="s">
        <v>8</v>
      </c>
      <c r="D90" s="2" t="s">
        <v>39</v>
      </c>
      <c r="E90" s="30">
        <v>8690</v>
      </c>
      <c r="F90" s="30">
        <v>8675</v>
      </c>
      <c r="G90" s="30">
        <v>15</v>
      </c>
      <c r="H90" s="30">
        <v>150</v>
      </c>
      <c r="I90" s="49" t="s">
        <v>1131</v>
      </c>
      <c r="J90" s="12"/>
      <c r="K90" s="86"/>
      <c r="L90" s="10"/>
      <c r="M90" s="10"/>
      <c r="N90" s="10"/>
      <c r="O90" s="10"/>
    </row>
    <row r="91" spans="1:15" ht="18" x14ac:dyDescent="0.35">
      <c r="A91" s="12"/>
      <c r="B91" s="43"/>
      <c r="C91" s="28"/>
      <c r="D91" s="30"/>
      <c r="E91" s="28"/>
      <c r="F91" s="28"/>
      <c r="G91" s="28"/>
      <c r="H91" s="28"/>
      <c r="I91" s="75">
        <v>55950</v>
      </c>
      <c r="J91" s="12"/>
      <c r="K91" s="86"/>
      <c r="L91" s="10"/>
      <c r="M91" s="10"/>
      <c r="N91" s="10"/>
      <c r="O91" s="10"/>
    </row>
    <row r="92" spans="1:15" x14ac:dyDescent="0.3">
      <c r="A92" s="12"/>
      <c r="B92" s="106" t="s">
        <v>991</v>
      </c>
      <c r="C92" s="111"/>
      <c r="D92" s="111"/>
      <c r="E92" s="111"/>
      <c r="F92" s="111"/>
      <c r="G92" s="111"/>
      <c r="H92" s="111"/>
      <c r="I92" s="111"/>
      <c r="J92" s="12"/>
      <c r="K92" s="86"/>
      <c r="L92" s="10"/>
      <c r="M92" s="10"/>
      <c r="N92" s="10"/>
      <c r="O92" s="10"/>
    </row>
    <row r="93" spans="1:15" x14ac:dyDescent="0.3">
      <c r="A93" s="12"/>
      <c r="B93" s="43">
        <v>42552</v>
      </c>
      <c r="C93" s="3" t="s">
        <v>9</v>
      </c>
      <c r="D93" s="3" t="s">
        <v>984</v>
      </c>
      <c r="E93" s="41" t="s">
        <v>626</v>
      </c>
      <c r="F93" s="41" t="s">
        <v>226</v>
      </c>
      <c r="G93" s="41" t="s">
        <v>925</v>
      </c>
      <c r="H93" s="30">
        <v>300</v>
      </c>
      <c r="I93" s="8">
        <v>1500</v>
      </c>
      <c r="J93" s="12"/>
      <c r="K93" s="86"/>
      <c r="L93" s="10"/>
      <c r="M93" s="10"/>
      <c r="N93" s="10"/>
      <c r="O93" s="10"/>
    </row>
    <row r="94" spans="1:15" x14ac:dyDescent="0.3">
      <c r="A94" s="12"/>
      <c r="B94" s="43">
        <v>42555</v>
      </c>
      <c r="C94" s="3" t="s">
        <v>9</v>
      </c>
      <c r="D94" s="3" t="s">
        <v>1638</v>
      </c>
      <c r="E94" s="30">
        <v>120</v>
      </c>
      <c r="F94" s="30">
        <v>114</v>
      </c>
      <c r="G94" s="30">
        <v>-6</v>
      </c>
      <c r="H94" s="30">
        <v>300</v>
      </c>
      <c r="I94" s="8">
        <v>-1800</v>
      </c>
      <c r="J94" s="12"/>
      <c r="K94" s="86"/>
      <c r="L94" s="10"/>
      <c r="M94" s="10"/>
      <c r="N94" s="10"/>
      <c r="O94" s="10"/>
    </row>
    <row r="95" spans="1:15" x14ac:dyDescent="0.3">
      <c r="A95" s="12"/>
      <c r="B95" s="43">
        <v>42556</v>
      </c>
      <c r="C95" s="3" t="s">
        <v>9</v>
      </c>
      <c r="D95" s="3" t="s">
        <v>984</v>
      </c>
      <c r="E95" s="30">
        <v>140</v>
      </c>
      <c r="F95" s="30">
        <v>142</v>
      </c>
      <c r="G95" s="30">
        <v>2</v>
      </c>
      <c r="H95" s="30">
        <v>300</v>
      </c>
      <c r="I95" s="8">
        <v>600</v>
      </c>
      <c r="J95" s="12"/>
      <c r="K95" s="10"/>
      <c r="L95" s="10"/>
      <c r="M95" s="10"/>
      <c r="N95" s="10"/>
      <c r="O95" s="10"/>
    </row>
    <row r="96" spans="1:15" x14ac:dyDescent="0.3">
      <c r="A96" s="12"/>
      <c r="B96" s="43">
        <v>42558</v>
      </c>
      <c r="C96" s="3" t="s">
        <v>9</v>
      </c>
      <c r="D96" s="3" t="s">
        <v>984</v>
      </c>
      <c r="E96" s="30">
        <v>140</v>
      </c>
      <c r="F96" s="30">
        <v>120</v>
      </c>
      <c r="G96" s="30">
        <v>-20</v>
      </c>
      <c r="H96" s="30">
        <v>300</v>
      </c>
      <c r="I96" s="8">
        <v>-6000</v>
      </c>
      <c r="J96" s="12"/>
      <c r="K96" s="10"/>
      <c r="L96" s="10"/>
      <c r="M96" s="10"/>
      <c r="N96" s="10"/>
      <c r="O96" s="10"/>
    </row>
    <row r="97" spans="1:15" x14ac:dyDescent="0.3">
      <c r="A97" s="12"/>
      <c r="B97" s="43">
        <v>42559</v>
      </c>
      <c r="C97" s="3" t="s">
        <v>9</v>
      </c>
      <c r="D97" s="3" t="s">
        <v>984</v>
      </c>
      <c r="E97" s="30">
        <v>150</v>
      </c>
      <c r="F97" s="30">
        <v>140</v>
      </c>
      <c r="G97" s="30">
        <v>-10</v>
      </c>
      <c r="H97" s="30">
        <v>300</v>
      </c>
      <c r="I97" s="8">
        <v>-3000</v>
      </c>
      <c r="J97" s="12"/>
      <c r="K97" s="10"/>
      <c r="L97" s="10"/>
      <c r="M97" s="10"/>
      <c r="N97" s="10"/>
      <c r="O97" s="10"/>
    </row>
    <row r="98" spans="1:15" x14ac:dyDescent="0.3">
      <c r="A98" s="12"/>
      <c r="B98" s="43">
        <v>42562</v>
      </c>
      <c r="C98" s="3" t="s">
        <v>9</v>
      </c>
      <c r="D98" s="3" t="s">
        <v>1638</v>
      </c>
      <c r="E98" s="30">
        <v>140</v>
      </c>
      <c r="F98" s="30">
        <v>150</v>
      </c>
      <c r="G98" s="30">
        <v>10</v>
      </c>
      <c r="H98" s="30">
        <v>300</v>
      </c>
      <c r="I98" s="8">
        <v>3000</v>
      </c>
      <c r="J98" s="12"/>
      <c r="K98" s="10"/>
      <c r="L98" s="10"/>
      <c r="M98" s="10"/>
      <c r="N98" s="10"/>
      <c r="O98" s="10"/>
    </row>
    <row r="99" spans="1:15" x14ac:dyDescent="0.3">
      <c r="A99" s="12"/>
      <c r="B99" s="43">
        <v>42563</v>
      </c>
      <c r="C99" s="3" t="s">
        <v>9</v>
      </c>
      <c r="D99" s="3" t="s">
        <v>1638</v>
      </c>
      <c r="E99" s="30">
        <v>155</v>
      </c>
      <c r="F99" s="30">
        <v>170</v>
      </c>
      <c r="G99" s="30">
        <v>15</v>
      </c>
      <c r="H99" s="30">
        <v>300</v>
      </c>
      <c r="I99" s="8">
        <v>4500</v>
      </c>
      <c r="J99" s="12"/>
      <c r="K99" s="10"/>
      <c r="L99" s="10"/>
      <c r="M99" s="10"/>
      <c r="N99" s="10"/>
      <c r="O99" s="10"/>
    </row>
    <row r="100" spans="1:15" x14ac:dyDescent="0.3">
      <c r="A100" s="12"/>
      <c r="B100" s="43">
        <v>42564</v>
      </c>
      <c r="C100" s="3" t="s">
        <v>9</v>
      </c>
      <c r="D100" s="3" t="s">
        <v>1639</v>
      </c>
      <c r="E100" s="30">
        <v>130</v>
      </c>
      <c r="F100" s="30">
        <v>145</v>
      </c>
      <c r="G100" s="30">
        <v>15</v>
      </c>
      <c r="H100" s="30">
        <v>300</v>
      </c>
      <c r="I100" s="8">
        <v>4500</v>
      </c>
      <c r="J100" s="12"/>
      <c r="K100" s="10"/>
      <c r="L100" s="10"/>
      <c r="M100" s="10"/>
      <c r="N100" s="10"/>
      <c r="O100" s="10"/>
    </row>
    <row r="101" spans="1:15" x14ac:dyDescent="0.3">
      <c r="A101" s="12"/>
      <c r="B101" s="43">
        <v>42565</v>
      </c>
      <c r="C101" s="3" t="s">
        <v>9</v>
      </c>
      <c r="D101" s="3" t="s">
        <v>1640</v>
      </c>
      <c r="E101" s="30">
        <v>105</v>
      </c>
      <c r="F101" s="30">
        <v>138</v>
      </c>
      <c r="G101" s="30">
        <v>33</v>
      </c>
      <c r="H101" s="30">
        <v>300</v>
      </c>
      <c r="I101" s="8">
        <v>9900</v>
      </c>
      <c r="J101" s="12"/>
      <c r="K101" s="10"/>
      <c r="L101" s="10"/>
      <c r="M101" s="10"/>
      <c r="N101" s="10"/>
      <c r="O101" s="10"/>
    </row>
    <row r="102" spans="1:15" x14ac:dyDescent="0.3">
      <c r="A102" s="12"/>
      <c r="B102" s="43">
        <v>42566</v>
      </c>
      <c r="C102" s="3" t="s">
        <v>9</v>
      </c>
      <c r="D102" s="3" t="s">
        <v>1639</v>
      </c>
      <c r="E102" s="30">
        <v>115</v>
      </c>
      <c r="F102" s="30">
        <v>130</v>
      </c>
      <c r="G102" s="30">
        <v>15</v>
      </c>
      <c r="H102" s="30">
        <v>300</v>
      </c>
      <c r="I102" s="8">
        <v>4500</v>
      </c>
      <c r="J102" s="12"/>
      <c r="K102" s="10"/>
      <c r="L102" s="10"/>
      <c r="M102" s="10"/>
      <c r="N102" s="10"/>
      <c r="O102" s="10"/>
    </row>
    <row r="103" spans="1:15" x14ac:dyDescent="0.3">
      <c r="A103" s="12"/>
      <c r="B103" s="43">
        <v>42569</v>
      </c>
      <c r="C103" s="3" t="s">
        <v>9</v>
      </c>
      <c r="D103" s="3" t="s">
        <v>1640</v>
      </c>
      <c r="E103" s="30">
        <v>140</v>
      </c>
      <c r="F103" s="30">
        <v>120</v>
      </c>
      <c r="G103" s="30">
        <v>-20</v>
      </c>
      <c r="H103" s="30">
        <v>300</v>
      </c>
      <c r="I103" s="8">
        <v>-6000</v>
      </c>
      <c r="J103" s="12"/>
      <c r="K103" s="10"/>
      <c r="L103" s="10"/>
      <c r="M103" s="10"/>
      <c r="N103" s="10"/>
      <c r="O103" s="10"/>
    </row>
    <row r="104" spans="1:15" x14ac:dyDescent="0.3">
      <c r="A104" s="12"/>
      <c r="B104" s="43">
        <v>42570</v>
      </c>
      <c r="C104" s="3" t="s">
        <v>9</v>
      </c>
      <c r="D104" s="3" t="s">
        <v>1639</v>
      </c>
      <c r="E104" s="30">
        <v>115</v>
      </c>
      <c r="F104" s="30">
        <v>140</v>
      </c>
      <c r="G104" s="30">
        <v>25</v>
      </c>
      <c r="H104" s="30">
        <v>300</v>
      </c>
      <c r="I104" s="8">
        <v>7500</v>
      </c>
      <c r="J104" s="12"/>
      <c r="K104" s="10"/>
      <c r="L104" s="10"/>
      <c r="M104" s="10"/>
      <c r="N104" s="10"/>
      <c r="O104" s="10"/>
    </row>
    <row r="105" spans="1:15" x14ac:dyDescent="0.3">
      <c r="A105" s="12"/>
      <c r="B105" s="43">
        <v>42571</v>
      </c>
      <c r="C105" s="3" t="s">
        <v>9</v>
      </c>
      <c r="D105" s="3" t="s">
        <v>1640</v>
      </c>
      <c r="E105" s="30">
        <v>115</v>
      </c>
      <c r="F105" s="30">
        <v>125</v>
      </c>
      <c r="G105" s="30">
        <v>10</v>
      </c>
      <c r="H105" s="30">
        <v>300</v>
      </c>
      <c r="I105" s="8">
        <v>3000</v>
      </c>
      <c r="J105" s="12"/>
      <c r="K105" s="10"/>
      <c r="L105" s="10"/>
      <c r="M105" s="10"/>
      <c r="N105" s="10"/>
      <c r="O105" s="10"/>
    </row>
    <row r="106" spans="1:15" x14ac:dyDescent="0.3">
      <c r="A106" s="12"/>
      <c r="B106" s="43">
        <v>42572</v>
      </c>
      <c r="C106" s="3" t="s">
        <v>9</v>
      </c>
      <c r="D106" s="3" t="s">
        <v>1683</v>
      </c>
      <c r="E106" s="30">
        <v>145</v>
      </c>
      <c r="F106" s="30">
        <v>190</v>
      </c>
      <c r="G106" s="30">
        <v>45</v>
      </c>
      <c r="H106" s="30">
        <v>300</v>
      </c>
      <c r="I106" s="8">
        <v>13500</v>
      </c>
      <c r="J106" s="12"/>
      <c r="K106" s="10"/>
      <c r="L106" s="10"/>
      <c r="M106" s="10"/>
      <c r="N106" s="10"/>
      <c r="O106" s="10"/>
    </row>
    <row r="107" spans="1:15" x14ac:dyDescent="0.3">
      <c r="A107" s="12"/>
      <c r="B107" s="43">
        <v>42573</v>
      </c>
      <c r="C107" s="3" t="s">
        <v>9</v>
      </c>
      <c r="D107" s="3" t="s">
        <v>1638</v>
      </c>
      <c r="E107" s="30">
        <v>155</v>
      </c>
      <c r="F107" s="30">
        <v>170</v>
      </c>
      <c r="G107" s="30">
        <v>15</v>
      </c>
      <c r="H107" s="30">
        <v>300</v>
      </c>
      <c r="I107" s="8">
        <v>4500</v>
      </c>
      <c r="J107" s="12"/>
      <c r="K107" s="10"/>
      <c r="L107" s="10"/>
      <c r="M107" s="10"/>
      <c r="N107" s="10"/>
      <c r="O107" s="10"/>
    </row>
    <row r="108" spans="1:15" x14ac:dyDescent="0.3">
      <c r="A108" s="12"/>
      <c r="B108" s="43">
        <v>42576</v>
      </c>
      <c r="C108" s="3" t="s">
        <v>9</v>
      </c>
      <c r="D108" s="3" t="s">
        <v>1638</v>
      </c>
      <c r="E108" s="30">
        <v>165</v>
      </c>
      <c r="F108" s="30">
        <v>210</v>
      </c>
      <c r="G108" s="30">
        <v>45</v>
      </c>
      <c r="H108" s="30">
        <v>300</v>
      </c>
      <c r="I108" s="8">
        <v>13500</v>
      </c>
      <c r="J108" s="12"/>
      <c r="K108" s="10"/>
      <c r="L108" s="10"/>
      <c r="M108" s="10"/>
      <c r="N108" s="10"/>
      <c r="O108" s="10"/>
    </row>
    <row r="109" spans="1:15" x14ac:dyDescent="0.3">
      <c r="A109" s="12"/>
      <c r="B109" s="43">
        <v>42577</v>
      </c>
      <c r="C109" s="3" t="s">
        <v>9</v>
      </c>
      <c r="D109" s="3" t="s">
        <v>1719</v>
      </c>
      <c r="E109" s="30">
        <v>165</v>
      </c>
      <c r="F109" s="30">
        <v>210</v>
      </c>
      <c r="G109" s="30">
        <v>45</v>
      </c>
      <c r="H109" s="30">
        <v>300</v>
      </c>
      <c r="I109" s="8">
        <v>13500</v>
      </c>
      <c r="J109" s="12"/>
      <c r="K109" s="10"/>
      <c r="L109" s="10"/>
      <c r="M109" s="10"/>
      <c r="N109" s="10"/>
      <c r="O109" s="10"/>
    </row>
    <row r="110" spans="1:15" x14ac:dyDescent="0.3">
      <c r="A110" s="12"/>
      <c r="B110" s="43">
        <v>42548</v>
      </c>
      <c r="C110" s="3" t="s">
        <v>9</v>
      </c>
      <c r="D110" s="3" t="s">
        <v>1640</v>
      </c>
      <c r="E110" s="30">
        <v>160</v>
      </c>
      <c r="F110" s="30">
        <v>135</v>
      </c>
      <c r="G110" s="30">
        <v>-25</v>
      </c>
      <c r="H110" s="30">
        <v>300</v>
      </c>
      <c r="I110" s="8">
        <v>-7500</v>
      </c>
      <c r="J110" s="12"/>
      <c r="K110" s="10"/>
      <c r="L110" s="10"/>
      <c r="M110" s="10"/>
      <c r="N110" s="10"/>
      <c r="O110" s="10"/>
    </row>
    <row r="111" spans="1:15" x14ac:dyDescent="0.3">
      <c r="A111" s="12"/>
      <c r="B111" s="43">
        <v>42549</v>
      </c>
      <c r="C111" s="3" t="s">
        <v>9</v>
      </c>
      <c r="D111" s="3" t="s">
        <v>1640</v>
      </c>
      <c r="E111" s="30">
        <v>140</v>
      </c>
      <c r="F111" s="30">
        <v>165</v>
      </c>
      <c r="G111" s="30">
        <v>25</v>
      </c>
      <c r="H111" s="30">
        <v>300</v>
      </c>
      <c r="I111" s="8">
        <v>7500</v>
      </c>
      <c r="J111" s="12"/>
      <c r="K111" s="10"/>
      <c r="L111" s="10"/>
      <c r="M111" s="10"/>
      <c r="N111" s="10"/>
      <c r="O111" s="10"/>
    </row>
    <row r="112" spans="1:15" x14ac:dyDescent="0.3">
      <c r="A112" s="12"/>
      <c r="B112" s="43">
        <v>42580</v>
      </c>
      <c r="C112" s="28" t="s">
        <v>9</v>
      </c>
      <c r="D112" s="28" t="s">
        <v>1683</v>
      </c>
      <c r="E112" s="28">
        <v>140</v>
      </c>
      <c r="F112" s="28">
        <v>130</v>
      </c>
      <c r="G112" s="28">
        <v>-10</v>
      </c>
      <c r="H112" s="28">
        <v>300</v>
      </c>
      <c r="I112" s="49" t="s">
        <v>611</v>
      </c>
      <c r="J112" s="12"/>
      <c r="K112" s="10"/>
      <c r="L112" s="10"/>
      <c r="M112" s="10"/>
      <c r="N112" s="10"/>
      <c r="O112" s="10"/>
    </row>
    <row r="113" spans="1:15" ht="18" x14ac:dyDescent="0.35">
      <c r="A113" s="12"/>
      <c r="B113" s="1"/>
      <c r="C113" s="10"/>
      <c r="D113" s="10"/>
      <c r="E113" s="10"/>
      <c r="F113" s="10"/>
      <c r="G113" s="10"/>
      <c r="H113" s="10"/>
      <c r="I113" s="72">
        <v>64200</v>
      </c>
      <c r="J113" s="12"/>
      <c r="K113" s="10"/>
      <c r="L113" s="10"/>
      <c r="M113" s="10"/>
      <c r="N113" s="10"/>
      <c r="O113" s="10"/>
    </row>
    <row r="114" spans="1:15" x14ac:dyDescent="0.3">
      <c r="A114" s="12"/>
      <c r="B114" s="106" t="s">
        <v>926</v>
      </c>
      <c r="C114" s="106"/>
      <c r="D114" s="106"/>
      <c r="E114" s="106"/>
      <c r="F114" s="106"/>
      <c r="G114" s="106"/>
      <c r="H114" s="106"/>
      <c r="I114" s="106"/>
      <c r="J114" s="12"/>
      <c r="K114" s="10"/>
      <c r="L114" s="10"/>
      <c r="M114" s="10"/>
      <c r="N114" s="10"/>
      <c r="O114" s="10"/>
    </row>
    <row r="115" spans="1:15" x14ac:dyDescent="0.3">
      <c r="A115" s="12"/>
      <c r="B115" s="43">
        <v>42552</v>
      </c>
      <c r="C115" s="30" t="s">
        <v>8</v>
      </c>
      <c r="D115" s="30" t="s">
        <v>301</v>
      </c>
      <c r="E115" s="30">
        <v>18100</v>
      </c>
      <c r="F115" s="30">
        <v>18040</v>
      </c>
      <c r="G115" s="30">
        <v>60</v>
      </c>
      <c r="H115" s="30">
        <v>120</v>
      </c>
      <c r="I115" s="30">
        <v>7200</v>
      </c>
      <c r="J115" s="12"/>
      <c r="K115" s="10"/>
      <c r="L115" s="10"/>
      <c r="M115" s="10"/>
      <c r="N115" s="10"/>
      <c r="O115" s="10"/>
    </row>
    <row r="116" spans="1:15" x14ac:dyDescent="0.3">
      <c r="A116" s="12"/>
      <c r="B116" s="43">
        <v>42555</v>
      </c>
      <c r="C116" s="30" t="s">
        <v>9</v>
      </c>
      <c r="D116" s="30" t="s">
        <v>301</v>
      </c>
      <c r="E116" s="30">
        <v>18160</v>
      </c>
      <c r="F116" s="30">
        <v>18140</v>
      </c>
      <c r="G116" s="30">
        <v>-20</v>
      </c>
      <c r="H116" s="30">
        <v>120</v>
      </c>
      <c r="I116" s="30">
        <v>-2400</v>
      </c>
      <c r="J116" s="12"/>
      <c r="K116" s="10"/>
      <c r="L116" s="10"/>
      <c r="M116" s="10"/>
      <c r="N116" s="10"/>
      <c r="O116" s="10"/>
    </row>
    <row r="117" spans="1:15" x14ac:dyDescent="0.3">
      <c r="A117" s="12"/>
      <c r="B117" s="43">
        <v>42556</v>
      </c>
      <c r="C117" s="30" t="s">
        <v>8</v>
      </c>
      <c r="D117" s="30" t="s">
        <v>301</v>
      </c>
      <c r="E117" s="30">
        <v>18110</v>
      </c>
      <c r="F117" s="30">
        <v>18060</v>
      </c>
      <c r="G117" s="30">
        <v>50</v>
      </c>
      <c r="H117" s="30">
        <v>120</v>
      </c>
      <c r="I117" s="30">
        <v>6000</v>
      </c>
      <c r="J117" s="12"/>
      <c r="K117" s="10"/>
      <c r="L117" s="10"/>
      <c r="M117" s="10"/>
      <c r="N117" s="10"/>
      <c r="O117" s="10"/>
    </row>
    <row r="118" spans="1:15" x14ac:dyDescent="0.3">
      <c r="A118" s="12"/>
      <c r="B118" s="43">
        <v>42558</v>
      </c>
      <c r="C118" s="30" t="s">
        <v>8</v>
      </c>
      <c r="D118" s="30" t="s">
        <v>301</v>
      </c>
      <c r="E118" s="30">
        <v>18100</v>
      </c>
      <c r="F118" s="30">
        <v>18140</v>
      </c>
      <c r="G118" s="30">
        <v>-40</v>
      </c>
      <c r="H118" s="30">
        <v>120</v>
      </c>
      <c r="I118" s="30">
        <v>-4800</v>
      </c>
      <c r="J118" s="12"/>
      <c r="K118" s="10"/>
      <c r="L118" s="10"/>
      <c r="M118" s="10"/>
      <c r="N118" s="10"/>
      <c r="O118" s="10"/>
    </row>
    <row r="119" spans="1:15" x14ac:dyDescent="0.3">
      <c r="A119" s="12"/>
      <c r="B119" s="43">
        <v>42559</v>
      </c>
      <c r="C119" s="30" t="s">
        <v>8</v>
      </c>
      <c r="D119" s="30" t="s">
        <v>301</v>
      </c>
      <c r="E119" s="30">
        <v>18000</v>
      </c>
      <c r="F119" s="30">
        <v>18050</v>
      </c>
      <c r="G119" s="30">
        <v>-50</v>
      </c>
      <c r="H119" s="30">
        <v>120</v>
      </c>
      <c r="I119" s="30">
        <v>-6000</v>
      </c>
      <c r="J119" s="12"/>
      <c r="K119" s="10"/>
      <c r="L119" s="10"/>
      <c r="M119" s="10"/>
      <c r="N119" s="10"/>
      <c r="O119" s="10"/>
    </row>
    <row r="120" spans="1:15" x14ac:dyDescent="0.3">
      <c r="A120" s="12"/>
      <c r="B120" s="43">
        <v>42562</v>
      </c>
      <c r="C120" s="30" t="s">
        <v>9</v>
      </c>
      <c r="D120" s="30" t="s">
        <v>301</v>
      </c>
      <c r="E120" s="30">
        <v>18420</v>
      </c>
      <c r="F120" s="30">
        <v>18495</v>
      </c>
      <c r="G120" s="30">
        <v>75</v>
      </c>
      <c r="H120" s="30">
        <v>120</v>
      </c>
      <c r="I120" s="30">
        <v>9000</v>
      </c>
      <c r="J120" s="12"/>
      <c r="K120" s="10"/>
      <c r="L120" s="10"/>
      <c r="M120" s="10"/>
      <c r="N120" s="10"/>
      <c r="O120" s="10"/>
    </row>
    <row r="121" spans="1:15" x14ac:dyDescent="0.3">
      <c r="A121" s="12"/>
      <c r="B121" s="43">
        <v>42563</v>
      </c>
      <c r="C121" s="30" t="s">
        <v>9</v>
      </c>
      <c r="D121" s="30" t="s">
        <v>301</v>
      </c>
      <c r="E121" s="30">
        <v>18560</v>
      </c>
      <c r="F121" s="30">
        <v>18700</v>
      </c>
      <c r="G121" s="30">
        <v>140</v>
      </c>
      <c r="H121" s="30">
        <v>120</v>
      </c>
      <c r="I121" s="30">
        <v>16800</v>
      </c>
      <c r="J121" s="12"/>
      <c r="K121" s="10"/>
      <c r="L121" s="10"/>
      <c r="M121" s="10"/>
      <c r="N121" s="10"/>
      <c r="O121" s="10"/>
    </row>
    <row r="122" spans="1:15" x14ac:dyDescent="0.3">
      <c r="A122" s="12"/>
      <c r="B122" s="43">
        <v>42564</v>
      </c>
      <c r="C122" s="30" t="s">
        <v>8</v>
      </c>
      <c r="D122" s="30" t="s">
        <v>301</v>
      </c>
      <c r="E122" s="30">
        <v>18660</v>
      </c>
      <c r="F122" s="30">
        <v>18610</v>
      </c>
      <c r="G122" s="30">
        <v>50</v>
      </c>
      <c r="H122" s="30">
        <v>120</v>
      </c>
      <c r="I122" s="30">
        <v>6000</v>
      </c>
      <c r="J122" s="12"/>
      <c r="K122" s="10"/>
      <c r="L122" s="10"/>
      <c r="M122" s="10"/>
      <c r="N122" s="10"/>
      <c r="O122" s="10"/>
    </row>
    <row r="123" spans="1:15" x14ac:dyDescent="0.3">
      <c r="A123" s="12"/>
      <c r="B123" s="43">
        <v>42565</v>
      </c>
      <c r="C123" s="30" t="s">
        <v>9</v>
      </c>
      <c r="D123" s="30" t="s">
        <v>301</v>
      </c>
      <c r="E123" s="30">
        <v>18720</v>
      </c>
      <c r="F123" s="30">
        <v>18900</v>
      </c>
      <c r="G123" s="30">
        <v>180</v>
      </c>
      <c r="H123" s="30">
        <v>120</v>
      </c>
      <c r="I123" s="30">
        <v>21600</v>
      </c>
      <c r="J123" s="12"/>
      <c r="K123" s="10"/>
      <c r="L123" s="10"/>
      <c r="M123" s="10"/>
      <c r="N123" s="10"/>
      <c r="O123" s="10"/>
    </row>
    <row r="124" spans="1:15" x14ac:dyDescent="0.3">
      <c r="A124" s="12"/>
      <c r="B124" s="43">
        <v>42566</v>
      </c>
      <c r="C124" s="30" t="s">
        <v>8</v>
      </c>
      <c r="D124" s="30" t="s">
        <v>301</v>
      </c>
      <c r="E124" s="30">
        <v>18870</v>
      </c>
      <c r="F124" s="30">
        <v>18820</v>
      </c>
      <c r="G124" s="30">
        <v>50</v>
      </c>
      <c r="H124" s="30">
        <v>120</v>
      </c>
      <c r="I124" s="30">
        <v>6000</v>
      </c>
      <c r="J124" s="12"/>
      <c r="K124" s="10"/>
      <c r="L124" s="10"/>
      <c r="M124" s="10"/>
      <c r="N124" s="10"/>
      <c r="O124" s="10"/>
    </row>
    <row r="125" spans="1:15" x14ac:dyDescent="0.3">
      <c r="A125" s="12"/>
      <c r="B125" s="43">
        <v>42569</v>
      </c>
      <c r="C125" s="30" t="s">
        <v>9</v>
      </c>
      <c r="D125" s="30" t="s">
        <v>301</v>
      </c>
      <c r="E125" s="30">
        <v>19120</v>
      </c>
      <c r="F125" s="30">
        <v>19170</v>
      </c>
      <c r="G125" s="30">
        <v>50</v>
      </c>
      <c r="H125" s="30">
        <v>120</v>
      </c>
      <c r="I125" s="30">
        <v>6000</v>
      </c>
      <c r="J125" s="12"/>
      <c r="K125" s="10"/>
      <c r="L125" s="10"/>
      <c r="M125" s="10"/>
      <c r="N125" s="10"/>
      <c r="O125" s="10"/>
    </row>
    <row r="126" spans="1:15" x14ac:dyDescent="0.3">
      <c r="A126" s="12"/>
      <c r="B126" s="43">
        <v>42570</v>
      </c>
      <c r="C126" s="30" t="s">
        <v>8</v>
      </c>
      <c r="D126" s="30" t="s">
        <v>301</v>
      </c>
      <c r="E126" s="30">
        <v>19000</v>
      </c>
      <c r="F126" s="30">
        <v>18900</v>
      </c>
      <c r="G126" s="30">
        <v>100</v>
      </c>
      <c r="H126" s="30">
        <v>120</v>
      </c>
      <c r="I126" s="30">
        <v>12000</v>
      </c>
      <c r="J126" s="12"/>
      <c r="K126" s="10"/>
      <c r="L126" s="10"/>
      <c r="M126" s="10"/>
      <c r="N126" s="10"/>
      <c r="O126" s="10"/>
    </row>
    <row r="127" spans="1:15" x14ac:dyDescent="0.3">
      <c r="A127" s="12"/>
      <c r="B127" s="43">
        <v>42571</v>
      </c>
      <c r="C127" s="30" t="s">
        <v>9</v>
      </c>
      <c r="D127" s="30" t="s">
        <v>301</v>
      </c>
      <c r="E127" s="30">
        <v>19050</v>
      </c>
      <c r="F127" s="30">
        <v>19050</v>
      </c>
      <c r="G127" s="288" t="s">
        <v>1684</v>
      </c>
      <c r="H127" s="289"/>
      <c r="I127" s="290"/>
      <c r="J127" s="12"/>
      <c r="K127" s="10"/>
      <c r="L127" s="10"/>
      <c r="M127" s="10"/>
      <c r="N127" s="10"/>
      <c r="O127" s="10"/>
    </row>
    <row r="128" spans="1:15" x14ac:dyDescent="0.3">
      <c r="A128" s="12"/>
      <c r="B128" s="43">
        <v>42572</v>
      </c>
      <c r="C128" s="30" t="s">
        <v>8</v>
      </c>
      <c r="D128" s="30" t="s">
        <v>301</v>
      </c>
      <c r="E128" s="30">
        <v>18960</v>
      </c>
      <c r="F128" s="30">
        <v>18755</v>
      </c>
      <c r="G128" s="30">
        <v>205</v>
      </c>
      <c r="H128" s="30">
        <v>160</v>
      </c>
      <c r="I128" s="30">
        <v>32800</v>
      </c>
      <c r="J128" s="12"/>
      <c r="K128" s="10"/>
      <c r="L128" s="10"/>
      <c r="M128" s="10"/>
      <c r="N128" s="10"/>
      <c r="O128" s="10"/>
    </row>
    <row r="129" spans="1:15" x14ac:dyDescent="0.3">
      <c r="A129" s="12"/>
      <c r="B129" s="43">
        <v>42573</v>
      </c>
      <c r="C129" s="30" t="s">
        <v>9</v>
      </c>
      <c r="D129" s="30" t="s">
        <v>301</v>
      </c>
      <c r="E129" s="30">
        <v>18700</v>
      </c>
      <c r="F129" s="30">
        <v>18750</v>
      </c>
      <c r="G129" s="30">
        <v>50</v>
      </c>
      <c r="H129" s="30">
        <v>160</v>
      </c>
      <c r="I129" s="30">
        <v>8000</v>
      </c>
      <c r="J129" s="12"/>
      <c r="K129" s="10"/>
      <c r="L129" s="10"/>
      <c r="M129" s="10"/>
      <c r="N129" s="10"/>
      <c r="O129" s="10"/>
    </row>
    <row r="130" spans="1:15" x14ac:dyDescent="0.3">
      <c r="A130" s="12"/>
      <c r="B130" s="43">
        <v>42576</v>
      </c>
      <c r="C130" s="30" t="s">
        <v>9</v>
      </c>
      <c r="D130" s="30" t="s">
        <v>301</v>
      </c>
      <c r="E130" s="30">
        <v>18710</v>
      </c>
      <c r="F130" s="30">
        <v>19010</v>
      </c>
      <c r="G130" s="30">
        <v>300</v>
      </c>
      <c r="H130" s="30">
        <v>160</v>
      </c>
      <c r="I130" s="30">
        <v>48000</v>
      </c>
      <c r="J130" s="12"/>
      <c r="K130" s="10"/>
      <c r="L130" s="10"/>
      <c r="M130" s="10"/>
      <c r="N130" s="10"/>
      <c r="O130" s="10"/>
    </row>
    <row r="131" spans="1:15" x14ac:dyDescent="0.3">
      <c r="A131" s="12"/>
      <c r="B131" s="43">
        <v>42577</v>
      </c>
      <c r="C131" s="30" t="s">
        <v>8</v>
      </c>
      <c r="D131" s="30" t="s">
        <v>301</v>
      </c>
      <c r="E131" s="30">
        <v>19000</v>
      </c>
      <c r="F131" s="30">
        <v>18830</v>
      </c>
      <c r="G131" s="30">
        <v>170</v>
      </c>
      <c r="H131" s="30">
        <v>160</v>
      </c>
      <c r="I131" s="30">
        <v>27200</v>
      </c>
      <c r="J131" s="12"/>
      <c r="K131" s="10"/>
      <c r="L131" s="10"/>
      <c r="M131" s="10"/>
      <c r="N131" s="10"/>
      <c r="O131" s="10"/>
    </row>
    <row r="132" spans="1:15" x14ac:dyDescent="0.3">
      <c r="A132" s="12"/>
      <c r="B132" s="43">
        <v>42578</v>
      </c>
      <c r="C132" s="30" t="s">
        <v>9</v>
      </c>
      <c r="D132" s="30" t="s">
        <v>301</v>
      </c>
      <c r="E132" s="30">
        <v>19050</v>
      </c>
      <c r="F132" s="30">
        <v>19100</v>
      </c>
      <c r="G132" s="30">
        <v>50</v>
      </c>
      <c r="H132" s="30">
        <v>160</v>
      </c>
      <c r="I132" s="30">
        <v>8000</v>
      </c>
      <c r="J132" s="12"/>
      <c r="K132" s="10"/>
      <c r="L132" s="10"/>
      <c r="M132" s="10"/>
      <c r="N132" s="10"/>
      <c r="O132" s="10"/>
    </row>
    <row r="133" spans="1:15" x14ac:dyDescent="0.3">
      <c r="A133" s="12"/>
      <c r="B133" s="43">
        <v>42579</v>
      </c>
      <c r="C133" s="30" t="s">
        <v>9</v>
      </c>
      <c r="D133" s="30" t="s">
        <v>301</v>
      </c>
      <c r="E133" s="30">
        <v>19110</v>
      </c>
      <c r="F133" s="30">
        <v>19080</v>
      </c>
      <c r="G133" s="30">
        <v>-30</v>
      </c>
      <c r="H133" s="30">
        <v>160</v>
      </c>
      <c r="I133" s="30">
        <v>-4800</v>
      </c>
      <c r="J133" s="12"/>
      <c r="K133" s="10"/>
      <c r="L133" s="10"/>
      <c r="M133" s="10"/>
      <c r="N133" s="10"/>
      <c r="O133" s="10"/>
    </row>
    <row r="134" spans="1:15" x14ac:dyDescent="0.3">
      <c r="A134" s="12"/>
      <c r="B134" s="43">
        <v>42580</v>
      </c>
      <c r="C134" s="30" t="s">
        <v>8</v>
      </c>
      <c r="D134" s="30" t="s">
        <v>301</v>
      </c>
      <c r="E134" s="30">
        <v>19050</v>
      </c>
      <c r="F134" s="30">
        <v>19050</v>
      </c>
      <c r="G134" s="30">
        <v>0</v>
      </c>
      <c r="H134" s="30">
        <v>160</v>
      </c>
      <c r="I134" s="30">
        <v>0</v>
      </c>
      <c r="J134" s="12"/>
      <c r="K134" s="10"/>
      <c r="L134" s="10"/>
      <c r="M134" s="10"/>
      <c r="N134" s="10"/>
      <c r="O134" s="10"/>
    </row>
    <row r="135" spans="1:15" ht="18" x14ac:dyDescent="0.35">
      <c r="A135" s="12"/>
      <c r="B135" s="10"/>
      <c r="C135" s="10"/>
      <c r="D135" s="10"/>
      <c r="E135" s="10"/>
      <c r="F135" s="10"/>
      <c r="G135" s="10"/>
      <c r="H135" s="10"/>
      <c r="I135" s="98">
        <v>196600</v>
      </c>
      <c r="J135" s="12"/>
      <c r="K135" s="10"/>
      <c r="L135" s="10"/>
      <c r="M135" s="10"/>
      <c r="N135" s="10"/>
      <c r="O135" s="10"/>
    </row>
    <row r="136" spans="1:15" ht="21" x14ac:dyDescent="0.4">
      <c r="A136" s="12"/>
      <c r="B136" s="10"/>
      <c r="C136" s="10"/>
      <c r="D136" s="10"/>
      <c r="E136" s="10"/>
      <c r="F136" s="10"/>
      <c r="G136" s="10"/>
      <c r="H136" s="10"/>
      <c r="I136" s="112"/>
      <c r="J136" s="12"/>
      <c r="K136" s="10"/>
      <c r="L136" s="10"/>
      <c r="M136" s="10"/>
      <c r="N136" s="10"/>
      <c r="O136" s="10"/>
    </row>
    <row r="137" spans="1:15" x14ac:dyDescent="0.3">
      <c r="A137" s="12"/>
      <c r="B137" s="291" t="s">
        <v>1076</v>
      </c>
      <c r="C137" s="292"/>
      <c r="D137" s="292"/>
      <c r="E137" s="292"/>
      <c r="F137" s="292"/>
      <c r="G137" s="292"/>
      <c r="H137" s="292"/>
      <c r="I137" s="293"/>
      <c r="J137" s="113"/>
      <c r="K137" s="10"/>
      <c r="L137" s="10"/>
      <c r="M137" s="10"/>
      <c r="N137" s="10"/>
      <c r="O137" s="10"/>
    </row>
    <row r="138" spans="1:15" x14ac:dyDescent="0.3">
      <c r="A138" s="12"/>
      <c r="B138" s="43">
        <v>42552</v>
      </c>
      <c r="C138" s="30" t="s">
        <v>9</v>
      </c>
      <c r="D138" s="30" t="s">
        <v>1641</v>
      </c>
      <c r="E138" s="30">
        <v>42</v>
      </c>
      <c r="F138" s="30">
        <v>47</v>
      </c>
      <c r="G138" s="30">
        <v>5</v>
      </c>
      <c r="H138" s="30">
        <v>500</v>
      </c>
      <c r="I138" s="30">
        <v>2500</v>
      </c>
      <c r="J138" s="12"/>
      <c r="K138" s="17"/>
      <c r="L138" s="17"/>
      <c r="M138" s="17"/>
      <c r="N138" s="17"/>
      <c r="O138" s="17"/>
    </row>
    <row r="139" spans="1:15" x14ac:dyDescent="0.3">
      <c r="A139" s="12"/>
      <c r="B139" s="43">
        <v>42555</v>
      </c>
      <c r="C139" s="30" t="s">
        <v>9</v>
      </c>
      <c r="D139" s="30" t="s">
        <v>1642</v>
      </c>
      <c r="E139" s="30">
        <v>46</v>
      </c>
      <c r="F139" s="30">
        <v>42.5</v>
      </c>
      <c r="G139" s="30">
        <v>-3.5</v>
      </c>
      <c r="H139" s="30">
        <v>500</v>
      </c>
      <c r="I139" s="30">
        <v>-1750</v>
      </c>
      <c r="J139" s="12"/>
      <c r="K139" s="10"/>
      <c r="L139" s="30"/>
      <c r="M139" s="10"/>
      <c r="N139" s="10"/>
      <c r="O139" s="10"/>
    </row>
    <row r="140" spans="1:15" x14ac:dyDescent="0.3">
      <c r="A140" s="12"/>
      <c r="B140" s="43">
        <v>42556</v>
      </c>
      <c r="C140" s="30" t="s">
        <v>9</v>
      </c>
      <c r="D140" s="30" t="s">
        <v>1643</v>
      </c>
      <c r="E140" s="30">
        <v>9</v>
      </c>
      <c r="F140" s="30">
        <v>10.4</v>
      </c>
      <c r="G140" s="30">
        <v>1.4</v>
      </c>
      <c r="H140" s="30">
        <v>2500</v>
      </c>
      <c r="I140" s="30">
        <v>3500</v>
      </c>
      <c r="J140" s="12"/>
      <c r="K140" s="10"/>
      <c r="L140" s="30"/>
      <c r="M140" s="10"/>
      <c r="N140" s="10"/>
      <c r="O140" s="10"/>
    </row>
    <row r="141" spans="1:15" x14ac:dyDescent="0.3">
      <c r="A141" s="12"/>
      <c r="B141" s="43">
        <v>42558</v>
      </c>
      <c r="C141" s="30" t="s">
        <v>9</v>
      </c>
      <c r="D141" s="30" t="s">
        <v>1644</v>
      </c>
      <c r="E141" s="30">
        <v>35</v>
      </c>
      <c r="F141" s="115">
        <v>40</v>
      </c>
      <c r="G141" s="116">
        <v>5</v>
      </c>
      <c r="H141" s="116">
        <v>500</v>
      </c>
      <c r="I141" s="117">
        <v>2500</v>
      </c>
      <c r="J141" s="12"/>
      <c r="K141" s="10"/>
      <c r="L141" s="30"/>
      <c r="M141" s="10"/>
      <c r="N141" s="10"/>
      <c r="O141" s="10"/>
    </row>
    <row r="142" spans="1:15" x14ac:dyDescent="0.3">
      <c r="A142" s="12"/>
      <c r="B142" s="43">
        <v>42559</v>
      </c>
      <c r="C142" s="30" t="s">
        <v>9</v>
      </c>
      <c r="D142" s="30" t="s">
        <v>1644</v>
      </c>
      <c r="E142" s="30">
        <v>50</v>
      </c>
      <c r="F142" s="115">
        <v>48</v>
      </c>
      <c r="G142" s="116">
        <v>-2</v>
      </c>
      <c r="H142" s="116">
        <v>500</v>
      </c>
      <c r="I142" s="117">
        <v>-1000</v>
      </c>
      <c r="J142" s="12"/>
      <c r="K142" s="10"/>
      <c r="L142" s="30"/>
      <c r="M142" s="10"/>
      <c r="N142" s="10"/>
      <c r="O142" s="10"/>
    </row>
    <row r="143" spans="1:15" x14ac:dyDescent="0.3">
      <c r="A143" s="12"/>
      <c r="B143" s="43">
        <v>42562</v>
      </c>
      <c r="C143" s="30" t="s">
        <v>9</v>
      </c>
      <c r="D143" s="30" t="s">
        <v>1645</v>
      </c>
      <c r="E143" s="30">
        <v>15</v>
      </c>
      <c r="F143" s="115">
        <v>18</v>
      </c>
      <c r="G143" s="116">
        <v>3</v>
      </c>
      <c r="H143" s="116">
        <v>1200</v>
      </c>
      <c r="I143" s="117">
        <v>3600</v>
      </c>
      <c r="J143" s="12"/>
      <c r="K143" s="10"/>
      <c r="L143" s="30"/>
      <c r="M143" s="10"/>
      <c r="N143" s="10"/>
      <c r="O143" s="10"/>
    </row>
    <row r="144" spans="1:15" x14ac:dyDescent="0.3">
      <c r="A144" s="12"/>
      <c r="B144" s="43">
        <v>42563</v>
      </c>
      <c r="C144" s="30" t="s">
        <v>9</v>
      </c>
      <c r="D144" s="30" t="s">
        <v>1644</v>
      </c>
      <c r="E144" s="30">
        <v>36</v>
      </c>
      <c r="F144" s="115">
        <v>30</v>
      </c>
      <c r="G144" s="116">
        <v>-6</v>
      </c>
      <c r="H144" s="116">
        <v>500</v>
      </c>
      <c r="I144" s="117">
        <v>-3000</v>
      </c>
      <c r="J144" s="12"/>
      <c r="K144" s="10"/>
      <c r="L144" s="30"/>
      <c r="M144" s="10"/>
      <c r="N144" s="10"/>
      <c r="O144" s="10"/>
    </row>
    <row r="145" spans="1:15" x14ac:dyDescent="0.3">
      <c r="A145" s="12"/>
      <c r="B145" s="43">
        <v>42564</v>
      </c>
      <c r="C145" s="30" t="s">
        <v>9</v>
      </c>
      <c r="D145" s="30" t="s">
        <v>1646</v>
      </c>
      <c r="E145" s="30">
        <v>27</v>
      </c>
      <c r="F145" s="115">
        <v>23</v>
      </c>
      <c r="G145" s="116">
        <v>-4</v>
      </c>
      <c r="H145" s="116">
        <v>700</v>
      </c>
      <c r="I145" s="117">
        <v>-2800</v>
      </c>
      <c r="J145" s="12"/>
      <c r="K145" s="10"/>
      <c r="L145" s="30"/>
      <c r="M145" s="10"/>
      <c r="N145" s="10"/>
      <c r="O145" s="10"/>
    </row>
    <row r="146" spans="1:15" x14ac:dyDescent="0.3">
      <c r="A146" s="12"/>
      <c r="B146" s="43">
        <v>42565</v>
      </c>
      <c r="C146" s="30" t="s">
        <v>9</v>
      </c>
      <c r="D146" s="30" t="s">
        <v>1647</v>
      </c>
      <c r="E146" s="30">
        <v>18</v>
      </c>
      <c r="F146" s="115">
        <v>16.5</v>
      </c>
      <c r="G146" s="116">
        <v>-1.5</v>
      </c>
      <c r="H146" s="116">
        <v>800</v>
      </c>
      <c r="I146" s="117">
        <v>-1200</v>
      </c>
      <c r="J146" s="12"/>
      <c r="K146" s="10"/>
      <c r="L146" s="30"/>
      <c r="M146" s="10"/>
      <c r="N146" s="10"/>
      <c r="O146" s="10"/>
    </row>
    <row r="147" spans="1:15" x14ac:dyDescent="0.3">
      <c r="A147" s="12"/>
      <c r="B147" s="43">
        <v>42566</v>
      </c>
      <c r="C147" s="30" t="s">
        <v>9</v>
      </c>
      <c r="D147" s="30" t="s">
        <v>1648</v>
      </c>
      <c r="E147" s="30">
        <v>24</v>
      </c>
      <c r="F147" s="115">
        <v>27.5</v>
      </c>
      <c r="G147" s="116">
        <v>3.5</v>
      </c>
      <c r="H147" s="116">
        <v>700</v>
      </c>
      <c r="I147" s="117">
        <v>2450</v>
      </c>
      <c r="J147" s="12"/>
      <c r="K147" s="10"/>
      <c r="L147" s="30"/>
      <c r="M147" s="10"/>
      <c r="N147" s="10"/>
      <c r="O147" s="10"/>
    </row>
    <row r="148" spans="1:15" x14ac:dyDescent="0.3">
      <c r="A148" s="12"/>
      <c r="B148" s="43">
        <v>42569</v>
      </c>
      <c r="C148" s="30" t="s">
        <v>9</v>
      </c>
      <c r="D148" s="30" t="s">
        <v>1685</v>
      </c>
      <c r="E148" s="30">
        <v>16</v>
      </c>
      <c r="F148" s="115">
        <v>25</v>
      </c>
      <c r="G148" s="116">
        <v>9</v>
      </c>
      <c r="H148" s="116">
        <v>500</v>
      </c>
      <c r="I148" s="117">
        <v>4500</v>
      </c>
      <c r="J148" s="12"/>
      <c r="K148" s="10"/>
      <c r="L148" s="30"/>
      <c r="M148" s="10"/>
      <c r="N148" s="10"/>
      <c r="O148" s="10"/>
    </row>
    <row r="149" spans="1:15" x14ac:dyDescent="0.3">
      <c r="A149" s="12"/>
      <c r="B149" s="43">
        <v>42569</v>
      </c>
      <c r="C149" s="30" t="s">
        <v>9</v>
      </c>
      <c r="D149" s="30" t="s">
        <v>1686</v>
      </c>
      <c r="E149" s="30">
        <v>7.5</v>
      </c>
      <c r="F149" s="115">
        <v>10</v>
      </c>
      <c r="G149" s="116">
        <v>2.5</v>
      </c>
      <c r="H149" s="116">
        <v>3000</v>
      </c>
      <c r="I149" s="117">
        <v>7500</v>
      </c>
      <c r="J149" s="12"/>
      <c r="K149" s="10"/>
      <c r="L149" s="30"/>
      <c r="M149" s="10"/>
      <c r="N149" s="10"/>
      <c r="O149" s="10"/>
    </row>
    <row r="150" spans="1:15" x14ac:dyDescent="0.3">
      <c r="A150" s="12"/>
      <c r="B150" s="43">
        <v>42570</v>
      </c>
      <c r="C150" s="30" t="s">
        <v>9</v>
      </c>
      <c r="D150" s="30" t="s">
        <v>1687</v>
      </c>
      <c r="E150" s="30">
        <v>17</v>
      </c>
      <c r="F150" s="115">
        <v>25</v>
      </c>
      <c r="G150" s="116">
        <v>8</v>
      </c>
      <c r="H150" s="116">
        <v>500</v>
      </c>
      <c r="I150" s="117">
        <v>4000</v>
      </c>
      <c r="J150" s="12"/>
      <c r="K150" s="10"/>
      <c r="L150" s="30"/>
      <c r="M150" s="10"/>
      <c r="N150" s="10"/>
      <c r="O150" s="10"/>
    </row>
    <row r="151" spans="1:15" x14ac:dyDescent="0.3">
      <c r="A151" s="12"/>
      <c r="B151" s="43">
        <v>42571</v>
      </c>
      <c r="C151" s="30" t="s">
        <v>9</v>
      </c>
      <c r="D151" s="30" t="s">
        <v>1688</v>
      </c>
      <c r="E151" s="30">
        <v>5</v>
      </c>
      <c r="F151" s="115">
        <v>3.8</v>
      </c>
      <c r="G151" s="116">
        <v>-1.2</v>
      </c>
      <c r="H151" s="116">
        <v>3000</v>
      </c>
      <c r="I151" s="117">
        <v>-3600</v>
      </c>
      <c r="J151" s="12"/>
      <c r="K151" s="10"/>
      <c r="L151" s="30"/>
      <c r="M151" s="10"/>
      <c r="N151" s="10"/>
      <c r="O151" s="10"/>
    </row>
    <row r="152" spans="1:15" x14ac:dyDescent="0.3">
      <c r="A152" s="12"/>
      <c r="B152" s="43">
        <v>42572</v>
      </c>
      <c r="C152" s="30" t="s">
        <v>9</v>
      </c>
      <c r="D152" s="30" t="s">
        <v>1689</v>
      </c>
      <c r="E152" s="30">
        <v>28</v>
      </c>
      <c r="F152" s="115">
        <v>42.5</v>
      </c>
      <c r="G152" s="116">
        <v>14.5</v>
      </c>
      <c r="H152" s="116">
        <v>300</v>
      </c>
      <c r="I152" s="117">
        <v>4350</v>
      </c>
      <c r="J152" s="12"/>
      <c r="K152" s="10"/>
      <c r="L152" s="30"/>
      <c r="M152" s="10"/>
      <c r="N152" s="10"/>
      <c r="O152" s="10"/>
    </row>
    <row r="153" spans="1:15" x14ac:dyDescent="0.3">
      <c r="A153" s="12"/>
      <c r="B153" s="43">
        <v>42573</v>
      </c>
      <c r="C153" s="30" t="s">
        <v>9</v>
      </c>
      <c r="D153" s="30" t="s">
        <v>1690</v>
      </c>
      <c r="E153" s="30">
        <v>10</v>
      </c>
      <c r="F153" s="115">
        <v>7</v>
      </c>
      <c r="G153" s="116">
        <v>-3</v>
      </c>
      <c r="H153" s="116">
        <v>1500</v>
      </c>
      <c r="I153" s="117">
        <v>-4500</v>
      </c>
      <c r="J153" s="12"/>
      <c r="K153" s="10"/>
      <c r="L153" s="30"/>
      <c r="M153" s="10"/>
      <c r="N153" s="10"/>
      <c r="O153" s="10"/>
    </row>
    <row r="154" spans="1:15" x14ac:dyDescent="0.3">
      <c r="A154" s="12"/>
      <c r="B154" s="43">
        <v>42576</v>
      </c>
      <c r="C154" s="30" t="s">
        <v>9</v>
      </c>
      <c r="D154" s="30" t="s">
        <v>1720</v>
      </c>
      <c r="E154" s="30">
        <v>39</v>
      </c>
      <c r="F154" s="115">
        <v>48</v>
      </c>
      <c r="G154" s="116">
        <v>9</v>
      </c>
      <c r="H154" s="116">
        <v>250</v>
      </c>
      <c r="I154" s="117">
        <v>2250</v>
      </c>
      <c r="J154" s="12"/>
      <c r="K154" s="10"/>
      <c r="L154" s="30"/>
      <c r="M154" s="10"/>
      <c r="N154" s="10"/>
      <c r="O154" s="10"/>
    </row>
    <row r="155" spans="1:15" x14ac:dyDescent="0.3">
      <c r="A155" s="12"/>
      <c r="B155" s="43">
        <v>42577</v>
      </c>
      <c r="C155" s="30" t="s">
        <v>9</v>
      </c>
      <c r="D155" s="30" t="s">
        <v>1721</v>
      </c>
      <c r="E155" s="30">
        <v>20</v>
      </c>
      <c r="F155" s="115">
        <v>26.9</v>
      </c>
      <c r="G155" s="116">
        <v>6.9</v>
      </c>
      <c r="H155" s="116">
        <v>700</v>
      </c>
      <c r="I155" s="117">
        <v>4830</v>
      </c>
      <c r="J155" s="12"/>
      <c r="K155" s="10"/>
      <c r="L155" s="30"/>
      <c r="M155" s="10"/>
      <c r="N155" s="10"/>
      <c r="O155" s="10"/>
    </row>
    <row r="156" spans="1:15" x14ac:dyDescent="0.3">
      <c r="A156" s="12"/>
      <c r="B156" s="43">
        <v>42578</v>
      </c>
      <c r="C156" s="30" t="s">
        <v>9</v>
      </c>
      <c r="D156" s="30" t="s">
        <v>1645</v>
      </c>
      <c r="E156" s="30">
        <v>7</v>
      </c>
      <c r="F156" s="115">
        <v>9.1999999999999993</v>
      </c>
      <c r="G156" s="116">
        <v>2.2000000000000002</v>
      </c>
      <c r="H156" s="116">
        <v>1200</v>
      </c>
      <c r="I156" s="117">
        <v>2640</v>
      </c>
      <c r="J156" s="12"/>
      <c r="K156" s="10"/>
      <c r="L156" s="30"/>
      <c r="M156" s="10"/>
      <c r="N156" s="10"/>
      <c r="O156" s="10"/>
    </row>
    <row r="157" spans="1:15" x14ac:dyDescent="0.3">
      <c r="A157" s="12"/>
      <c r="B157" s="43">
        <v>42579</v>
      </c>
      <c r="C157" s="30" t="s">
        <v>9</v>
      </c>
      <c r="D157" s="30" t="s">
        <v>1721</v>
      </c>
      <c r="E157" s="30">
        <v>17</v>
      </c>
      <c r="F157" s="115">
        <v>25</v>
      </c>
      <c r="G157" s="116">
        <v>8</v>
      </c>
      <c r="H157" s="116">
        <v>700</v>
      </c>
      <c r="I157" s="117">
        <v>5600</v>
      </c>
      <c r="J157" s="12"/>
      <c r="K157" s="10"/>
      <c r="L157" s="30"/>
      <c r="M157" s="10"/>
      <c r="N157" s="10"/>
      <c r="O157" s="10"/>
    </row>
    <row r="158" spans="1:15" x14ac:dyDescent="0.3">
      <c r="A158" s="12"/>
      <c r="B158" s="43">
        <v>42580</v>
      </c>
      <c r="C158" s="30" t="s">
        <v>9</v>
      </c>
      <c r="D158" s="30" t="s">
        <v>1723</v>
      </c>
      <c r="E158" s="30">
        <v>37</v>
      </c>
      <c r="F158" s="115">
        <v>31</v>
      </c>
      <c r="G158" s="116">
        <v>-6</v>
      </c>
      <c r="H158" s="116">
        <v>500</v>
      </c>
      <c r="I158" s="117">
        <v>-3000</v>
      </c>
      <c r="J158" s="12"/>
      <c r="K158" s="10"/>
      <c r="L158" s="10"/>
      <c r="M158" s="10"/>
      <c r="N158" s="10"/>
      <c r="O158" s="10"/>
    </row>
    <row r="159" spans="1:15" ht="18" x14ac:dyDescent="0.35">
      <c r="A159" s="12"/>
      <c r="B159" s="10"/>
      <c r="C159" s="10"/>
      <c r="D159" s="10"/>
      <c r="E159" s="10"/>
      <c r="F159" s="10"/>
      <c r="G159" s="10"/>
      <c r="H159" s="10"/>
      <c r="I159" s="72">
        <v>29370</v>
      </c>
      <c r="J159" s="12"/>
      <c r="K159" s="10"/>
      <c r="L159" s="10"/>
      <c r="M159" s="10"/>
      <c r="N159" s="10"/>
      <c r="O159" s="10"/>
    </row>
    <row r="160" spans="1:15" ht="18" x14ac:dyDescent="0.35">
      <c r="A160" s="12"/>
      <c r="B160" s="10"/>
      <c r="C160" s="10"/>
      <c r="D160" s="10"/>
      <c r="E160" s="10"/>
      <c r="F160" s="10"/>
      <c r="G160" s="10"/>
      <c r="H160" s="10"/>
      <c r="I160" s="72"/>
      <c r="J160" s="12"/>
      <c r="K160" s="10"/>
      <c r="L160" s="10"/>
      <c r="M160" s="10"/>
      <c r="N160" s="10"/>
      <c r="O160" s="10"/>
    </row>
    <row r="161" spans="1:15" x14ac:dyDescent="0.3">
      <c r="A161" s="12"/>
      <c r="B161" s="291" t="s">
        <v>1152</v>
      </c>
      <c r="C161" s="292"/>
      <c r="D161" s="292"/>
      <c r="E161" s="292"/>
      <c r="F161" s="292"/>
      <c r="G161" s="292"/>
      <c r="H161" s="292"/>
      <c r="I161" s="293"/>
      <c r="J161" s="12"/>
      <c r="K161" s="10"/>
      <c r="L161" s="10"/>
      <c r="M161" s="10"/>
      <c r="N161" s="10"/>
      <c r="O161" s="10"/>
    </row>
    <row r="162" spans="1:15" x14ac:dyDescent="0.3">
      <c r="A162" s="12"/>
      <c r="B162" s="43">
        <v>42552</v>
      </c>
      <c r="C162" s="30" t="s">
        <v>9</v>
      </c>
      <c r="D162" s="30" t="s">
        <v>1605</v>
      </c>
      <c r="E162" s="30">
        <v>330</v>
      </c>
      <c r="F162" s="30">
        <v>340</v>
      </c>
      <c r="G162" s="30">
        <v>10</v>
      </c>
      <c r="H162" s="30">
        <v>120</v>
      </c>
      <c r="I162" s="30">
        <v>1200</v>
      </c>
      <c r="J162" s="12"/>
      <c r="K162" s="10"/>
      <c r="L162" s="10"/>
      <c r="M162" s="10"/>
      <c r="N162" s="10"/>
      <c r="O162" s="10"/>
    </row>
    <row r="163" spans="1:15" x14ac:dyDescent="0.3">
      <c r="A163" s="12"/>
      <c r="B163" s="43">
        <v>42555</v>
      </c>
      <c r="C163" s="30" t="s">
        <v>9</v>
      </c>
      <c r="D163" s="30" t="s">
        <v>1649</v>
      </c>
      <c r="E163" s="30">
        <v>330</v>
      </c>
      <c r="F163" s="30">
        <v>320</v>
      </c>
      <c r="G163" s="30">
        <v>-10</v>
      </c>
      <c r="H163" s="30">
        <v>120</v>
      </c>
      <c r="I163" s="30">
        <v>-1200</v>
      </c>
      <c r="J163" s="12"/>
      <c r="K163" s="10"/>
      <c r="L163" s="10"/>
      <c r="M163" s="10"/>
      <c r="N163" s="10"/>
      <c r="O163" s="10"/>
    </row>
    <row r="164" spans="1:15" x14ac:dyDescent="0.3">
      <c r="A164" s="12"/>
      <c r="B164" s="43">
        <v>42556</v>
      </c>
      <c r="C164" s="30" t="s">
        <v>9</v>
      </c>
      <c r="D164" s="30" t="s">
        <v>1605</v>
      </c>
      <c r="E164" s="30">
        <v>280</v>
      </c>
      <c r="F164" s="30">
        <v>305</v>
      </c>
      <c r="G164" s="30">
        <v>25</v>
      </c>
      <c r="H164" s="30">
        <v>120</v>
      </c>
      <c r="I164" s="30">
        <v>3000</v>
      </c>
      <c r="J164" s="12"/>
      <c r="K164" s="10"/>
      <c r="L164" s="10"/>
      <c r="M164" s="10"/>
      <c r="N164" s="10"/>
      <c r="O164" s="10"/>
    </row>
    <row r="165" spans="1:15" x14ac:dyDescent="0.3">
      <c r="A165" s="12"/>
      <c r="B165" s="43">
        <v>42558</v>
      </c>
      <c r="C165" s="30" t="s">
        <v>9</v>
      </c>
      <c r="D165" s="30" t="s">
        <v>1605</v>
      </c>
      <c r="E165" s="30">
        <v>270</v>
      </c>
      <c r="F165" s="30">
        <v>250</v>
      </c>
      <c r="G165" s="30">
        <v>-20</v>
      </c>
      <c r="H165" s="30">
        <v>120</v>
      </c>
      <c r="I165" s="30">
        <v>-2400</v>
      </c>
      <c r="J165" s="12"/>
      <c r="K165" s="10"/>
      <c r="L165" s="10"/>
      <c r="M165" s="10"/>
      <c r="N165" s="10"/>
      <c r="O165" s="10"/>
    </row>
    <row r="166" spans="1:15" x14ac:dyDescent="0.3">
      <c r="A166" s="12"/>
      <c r="B166" s="43">
        <v>42559</v>
      </c>
      <c r="C166" s="30" t="s">
        <v>9</v>
      </c>
      <c r="D166" s="30" t="s">
        <v>1605</v>
      </c>
      <c r="E166" s="30">
        <v>290</v>
      </c>
      <c r="F166" s="30">
        <v>255</v>
      </c>
      <c r="G166" s="30">
        <v>-35</v>
      </c>
      <c r="H166" s="30">
        <v>120</v>
      </c>
      <c r="I166" s="30">
        <v>-4200</v>
      </c>
      <c r="J166" s="12"/>
      <c r="K166" s="10"/>
      <c r="L166" s="10"/>
      <c r="M166" s="10"/>
      <c r="N166" s="10"/>
      <c r="O166" s="10"/>
    </row>
    <row r="167" spans="1:15" x14ac:dyDescent="0.3">
      <c r="A167" s="12"/>
      <c r="B167" s="43">
        <v>42562</v>
      </c>
      <c r="C167" s="30" t="s">
        <v>9</v>
      </c>
      <c r="D167" s="30" t="s">
        <v>1650</v>
      </c>
      <c r="E167" s="30">
        <v>310</v>
      </c>
      <c r="F167" s="30">
        <v>350</v>
      </c>
      <c r="G167" s="30">
        <v>40</v>
      </c>
      <c r="H167" s="30">
        <v>120</v>
      </c>
      <c r="I167" s="30">
        <v>4800</v>
      </c>
      <c r="J167" s="12"/>
      <c r="K167" s="10"/>
      <c r="L167" s="10"/>
      <c r="M167" s="10"/>
      <c r="N167" s="10"/>
      <c r="O167" s="10"/>
    </row>
    <row r="168" spans="1:15" x14ac:dyDescent="0.3">
      <c r="A168" s="12"/>
      <c r="B168" s="43">
        <v>42563</v>
      </c>
      <c r="C168" s="30" t="s">
        <v>9</v>
      </c>
      <c r="D168" s="30" t="s">
        <v>1651</v>
      </c>
      <c r="E168" s="30">
        <v>340</v>
      </c>
      <c r="F168" s="30">
        <v>425</v>
      </c>
      <c r="G168" s="30">
        <v>85</v>
      </c>
      <c r="H168" s="30">
        <v>120</v>
      </c>
      <c r="I168" s="30">
        <v>10200</v>
      </c>
      <c r="J168" s="12"/>
      <c r="K168" s="10"/>
      <c r="L168" s="10"/>
      <c r="M168" s="10"/>
      <c r="N168" s="10"/>
      <c r="O168" s="10"/>
    </row>
    <row r="169" spans="1:15" x14ac:dyDescent="0.3">
      <c r="A169" s="12"/>
      <c r="B169" s="43">
        <v>42564</v>
      </c>
      <c r="C169" s="30" t="s">
        <v>9</v>
      </c>
      <c r="D169" s="30" t="s">
        <v>1652</v>
      </c>
      <c r="E169" s="30">
        <v>190</v>
      </c>
      <c r="F169" s="30">
        <v>215</v>
      </c>
      <c r="G169" s="30">
        <v>25</v>
      </c>
      <c r="H169" s="30">
        <v>120</v>
      </c>
      <c r="I169" s="30">
        <v>3000</v>
      </c>
      <c r="J169" s="12"/>
      <c r="K169" s="10"/>
      <c r="L169" s="10"/>
      <c r="M169" s="10"/>
      <c r="N169" s="10"/>
      <c r="O169" s="10"/>
    </row>
    <row r="170" spans="1:15" x14ac:dyDescent="0.3">
      <c r="A170" s="12"/>
      <c r="B170" s="43">
        <v>42565</v>
      </c>
      <c r="C170" s="30" t="s">
        <v>9</v>
      </c>
      <c r="D170" s="30" t="s">
        <v>1653</v>
      </c>
      <c r="E170" s="30">
        <v>310</v>
      </c>
      <c r="F170" s="30">
        <v>410</v>
      </c>
      <c r="G170" s="30">
        <v>100</v>
      </c>
      <c r="H170" s="30">
        <v>120</v>
      </c>
      <c r="I170" s="30">
        <v>12000</v>
      </c>
      <c r="J170" s="12"/>
      <c r="K170" s="10"/>
      <c r="L170" s="10"/>
      <c r="M170" s="10"/>
      <c r="N170" s="10"/>
      <c r="O170" s="10"/>
    </row>
    <row r="171" spans="1:15" x14ac:dyDescent="0.3">
      <c r="A171" s="12"/>
      <c r="B171" s="43">
        <v>42566</v>
      </c>
      <c r="C171" s="30" t="s">
        <v>9</v>
      </c>
      <c r="D171" s="30" t="s">
        <v>1654</v>
      </c>
      <c r="E171" s="30">
        <v>200</v>
      </c>
      <c r="F171" s="30">
        <v>230</v>
      </c>
      <c r="G171" s="30">
        <v>30</v>
      </c>
      <c r="H171" s="30">
        <v>120</v>
      </c>
      <c r="I171" s="30">
        <v>3600</v>
      </c>
      <c r="J171" s="12"/>
      <c r="K171" s="10"/>
      <c r="L171" s="10"/>
      <c r="M171" s="10"/>
      <c r="N171" s="10"/>
      <c r="O171" s="10"/>
    </row>
    <row r="172" spans="1:15" x14ac:dyDescent="0.3">
      <c r="A172" s="12"/>
      <c r="B172" s="43">
        <v>42569</v>
      </c>
      <c r="C172" s="30" t="s">
        <v>9</v>
      </c>
      <c r="D172" s="30" t="s">
        <v>1691</v>
      </c>
      <c r="E172" s="30">
        <v>230</v>
      </c>
      <c r="F172" s="30">
        <v>270</v>
      </c>
      <c r="G172" s="30">
        <v>40</v>
      </c>
      <c r="H172" s="30">
        <v>120</v>
      </c>
      <c r="I172" s="30">
        <v>4800</v>
      </c>
      <c r="J172" s="12"/>
      <c r="K172" s="10"/>
      <c r="L172" s="10"/>
      <c r="M172" s="10"/>
      <c r="N172" s="10"/>
      <c r="O172" s="10"/>
    </row>
    <row r="173" spans="1:15" x14ac:dyDescent="0.3">
      <c r="A173" s="12"/>
      <c r="B173" s="43">
        <v>42570</v>
      </c>
      <c r="C173" s="30" t="s">
        <v>9</v>
      </c>
      <c r="D173" s="30" t="s">
        <v>1692</v>
      </c>
      <c r="E173" s="30">
        <v>260</v>
      </c>
      <c r="F173" s="30">
        <v>290</v>
      </c>
      <c r="G173" s="30">
        <v>30</v>
      </c>
      <c r="H173" s="30">
        <v>120</v>
      </c>
      <c r="I173" s="30">
        <v>3600</v>
      </c>
      <c r="J173" s="12"/>
      <c r="K173" s="10"/>
      <c r="L173" s="10"/>
      <c r="M173" s="10"/>
      <c r="N173" s="10"/>
      <c r="O173" s="10"/>
    </row>
    <row r="174" spans="1:15" x14ac:dyDescent="0.3">
      <c r="A174" s="12"/>
      <c r="B174" s="43">
        <v>42571</v>
      </c>
      <c r="C174" s="30" t="s">
        <v>9</v>
      </c>
      <c r="D174" s="30" t="s">
        <v>1691</v>
      </c>
      <c r="E174" s="30">
        <v>180</v>
      </c>
      <c r="F174" s="30">
        <v>180</v>
      </c>
      <c r="G174" s="288" t="s">
        <v>1684</v>
      </c>
      <c r="H174" s="289"/>
      <c r="I174" s="290"/>
      <c r="J174" s="12"/>
      <c r="K174" s="10"/>
      <c r="L174" s="10"/>
      <c r="M174" s="10"/>
      <c r="N174" s="10"/>
      <c r="O174" s="10"/>
    </row>
    <row r="175" spans="1:15" x14ac:dyDescent="0.3">
      <c r="A175" s="12"/>
      <c r="B175" s="43">
        <v>42572</v>
      </c>
      <c r="C175" s="30" t="s">
        <v>9</v>
      </c>
      <c r="D175" s="30" t="s">
        <v>1692</v>
      </c>
      <c r="E175" s="30">
        <v>210</v>
      </c>
      <c r="F175" s="30">
        <v>360</v>
      </c>
      <c r="G175" s="30">
        <v>150</v>
      </c>
      <c r="H175" s="30">
        <v>160</v>
      </c>
      <c r="I175" s="30">
        <v>24000</v>
      </c>
      <c r="J175" s="12"/>
      <c r="K175" s="10"/>
      <c r="L175" s="10"/>
      <c r="M175" s="10"/>
      <c r="N175" s="10"/>
      <c r="O175" s="10"/>
    </row>
    <row r="176" spans="1:15" x14ac:dyDescent="0.3">
      <c r="A176" s="12"/>
      <c r="B176" s="43">
        <v>42573</v>
      </c>
      <c r="C176" s="30" t="s">
        <v>9</v>
      </c>
      <c r="D176" s="30" t="s">
        <v>1653</v>
      </c>
      <c r="E176" s="30">
        <v>210</v>
      </c>
      <c r="F176" s="30">
        <v>260</v>
      </c>
      <c r="G176" s="30">
        <v>50</v>
      </c>
      <c r="H176" s="30">
        <v>160</v>
      </c>
      <c r="I176" s="30">
        <v>8000</v>
      </c>
      <c r="J176" s="12"/>
      <c r="K176" s="10"/>
      <c r="L176" s="10"/>
      <c r="M176" s="10"/>
      <c r="N176" s="10"/>
      <c r="O176" s="10"/>
    </row>
    <row r="177" spans="1:15" x14ac:dyDescent="0.3">
      <c r="A177" s="12"/>
      <c r="B177" s="43">
        <v>42576</v>
      </c>
      <c r="C177" s="30" t="s">
        <v>9</v>
      </c>
      <c r="D177" s="30" t="s">
        <v>1653</v>
      </c>
      <c r="E177" s="30">
        <v>200</v>
      </c>
      <c r="F177" s="30">
        <v>360</v>
      </c>
      <c r="G177" s="30">
        <v>160</v>
      </c>
      <c r="H177" s="30">
        <v>160</v>
      </c>
      <c r="I177" s="30">
        <v>25600</v>
      </c>
      <c r="J177" s="12"/>
      <c r="K177" s="10"/>
      <c r="L177" s="10"/>
      <c r="M177" s="10"/>
      <c r="N177" s="10"/>
      <c r="O177" s="10"/>
    </row>
    <row r="178" spans="1:15" x14ac:dyDescent="0.3">
      <c r="A178" s="12"/>
      <c r="B178" s="43">
        <v>42577</v>
      </c>
      <c r="C178" s="30" t="s">
        <v>9</v>
      </c>
      <c r="D178" s="30" t="s">
        <v>1692</v>
      </c>
      <c r="E178" s="30">
        <v>140</v>
      </c>
      <c r="F178" s="30">
        <v>220</v>
      </c>
      <c r="G178" s="30">
        <v>80</v>
      </c>
      <c r="H178" s="30">
        <v>160</v>
      </c>
      <c r="I178" s="30">
        <v>12800</v>
      </c>
      <c r="J178" s="12"/>
      <c r="K178" s="10"/>
      <c r="L178" s="10"/>
      <c r="M178" s="10"/>
      <c r="N178" s="10"/>
      <c r="O178" s="10"/>
    </row>
    <row r="179" spans="1:15" x14ac:dyDescent="0.3">
      <c r="A179" s="12"/>
      <c r="B179" s="43">
        <v>42578</v>
      </c>
      <c r="C179" s="30" t="s">
        <v>9</v>
      </c>
      <c r="D179" s="30" t="s">
        <v>1722</v>
      </c>
      <c r="E179" s="30">
        <v>130</v>
      </c>
      <c r="F179" s="30">
        <v>160</v>
      </c>
      <c r="G179" s="30">
        <v>30</v>
      </c>
      <c r="H179" s="30">
        <v>160</v>
      </c>
      <c r="I179" s="30">
        <v>4800</v>
      </c>
      <c r="J179" s="12"/>
      <c r="K179" s="10"/>
      <c r="L179" s="10"/>
      <c r="M179" s="10"/>
      <c r="N179" s="10"/>
      <c r="O179" s="10"/>
    </row>
    <row r="180" spans="1:15" x14ac:dyDescent="0.3">
      <c r="A180" s="12"/>
      <c r="B180" s="43">
        <v>42579</v>
      </c>
      <c r="C180" s="30" t="s">
        <v>9</v>
      </c>
      <c r="D180" s="30" t="s">
        <v>1722</v>
      </c>
      <c r="E180" s="30">
        <v>130</v>
      </c>
      <c r="F180" s="30">
        <v>60</v>
      </c>
      <c r="G180" s="30">
        <v>-70</v>
      </c>
      <c r="H180" s="30">
        <v>160</v>
      </c>
      <c r="I180" s="30">
        <v>-11200</v>
      </c>
      <c r="J180" s="12"/>
      <c r="K180" s="10"/>
      <c r="L180" s="10"/>
      <c r="M180" s="10"/>
      <c r="N180" s="10"/>
      <c r="O180" s="10"/>
    </row>
    <row r="181" spans="1:15" x14ac:dyDescent="0.3">
      <c r="A181" s="12"/>
      <c r="B181" s="43">
        <v>42580</v>
      </c>
      <c r="C181" s="30" t="s">
        <v>9</v>
      </c>
      <c r="D181" s="30" t="s">
        <v>1692</v>
      </c>
      <c r="E181" s="30">
        <v>350</v>
      </c>
      <c r="F181" s="30">
        <v>380</v>
      </c>
      <c r="G181" s="30">
        <v>30</v>
      </c>
      <c r="H181" s="30">
        <v>160</v>
      </c>
      <c r="I181" s="30">
        <v>4800</v>
      </c>
      <c r="J181" s="12"/>
      <c r="K181" s="10"/>
      <c r="L181" s="10"/>
      <c r="M181" s="10"/>
      <c r="N181" s="10"/>
      <c r="O181" s="10"/>
    </row>
    <row r="182" spans="1:15" ht="18" x14ac:dyDescent="0.35">
      <c r="A182" s="12"/>
      <c r="B182" s="10"/>
      <c r="C182" s="10"/>
      <c r="D182" s="10"/>
      <c r="E182" s="10"/>
      <c r="F182" s="10"/>
      <c r="G182" s="10"/>
      <c r="H182" s="10"/>
      <c r="I182" s="72">
        <v>107200</v>
      </c>
      <c r="J182" s="12"/>
      <c r="K182" s="10"/>
      <c r="L182" s="10"/>
      <c r="M182" s="10"/>
      <c r="N182" s="10"/>
      <c r="O182" s="10"/>
    </row>
    <row r="183" spans="1:15" ht="25.8" x14ac:dyDescent="0.5">
      <c r="A183" s="12"/>
      <c r="B183" s="10"/>
      <c r="C183" s="10"/>
      <c r="D183" s="10"/>
      <c r="E183" s="10"/>
      <c r="F183" s="10"/>
      <c r="G183" s="10"/>
      <c r="H183" s="10"/>
      <c r="I183" s="114"/>
      <c r="J183" s="12"/>
      <c r="K183" s="10"/>
      <c r="L183" s="10"/>
      <c r="M183" s="10"/>
      <c r="N183" s="10"/>
      <c r="O183" s="10"/>
    </row>
    <row r="184" spans="1:15" x14ac:dyDescent="0.3">
      <c r="A184" s="12"/>
    </row>
  </sheetData>
  <mergeCells count="8">
    <mergeCell ref="B161:I161"/>
    <mergeCell ref="G174:I174"/>
    <mergeCell ref="B1:I1"/>
    <mergeCell ref="B2:I2"/>
    <mergeCell ref="B3:I3"/>
    <mergeCell ref="G25:I25"/>
    <mergeCell ref="G127:I127"/>
    <mergeCell ref="B137:I137"/>
  </mergeCells>
  <hyperlinks>
    <hyperlink ref="K1" location="'MASTER '!A1" display="Back" xr:uid="{00000000-0004-0000-27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J204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4.332031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1729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42583</v>
      </c>
      <c r="C6" s="2" t="s">
        <v>9</v>
      </c>
      <c r="D6" s="2" t="s">
        <v>58</v>
      </c>
      <c r="E6" s="90" t="s">
        <v>1669</v>
      </c>
      <c r="F6" s="91" t="s">
        <v>1711</v>
      </c>
      <c r="G6" s="91" t="s">
        <v>1037</v>
      </c>
      <c r="H6" s="92">
        <v>539</v>
      </c>
      <c r="I6" s="93">
        <v>-3234</v>
      </c>
      <c r="L6" s="16"/>
    </row>
    <row r="7" spans="1:15" x14ac:dyDescent="0.3">
      <c r="B7" s="43">
        <v>42583</v>
      </c>
      <c r="C7" s="2" t="s">
        <v>8</v>
      </c>
      <c r="D7" s="2" t="s">
        <v>192</v>
      </c>
      <c r="E7" s="41" t="s">
        <v>761</v>
      </c>
      <c r="F7" s="40" t="s">
        <v>1730</v>
      </c>
      <c r="G7" s="40" t="s">
        <v>1011</v>
      </c>
      <c r="H7" s="5">
        <v>1200</v>
      </c>
      <c r="I7" s="81">
        <v>8400</v>
      </c>
      <c r="L7" s="16"/>
    </row>
    <row r="8" spans="1:15" x14ac:dyDescent="0.3">
      <c r="B8" s="43">
        <v>42584</v>
      </c>
      <c r="C8" s="2" t="s">
        <v>9</v>
      </c>
      <c r="D8" s="2" t="s">
        <v>15</v>
      </c>
      <c r="E8" s="41" t="s">
        <v>1731</v>
      </c>
      <c r="F8" s="40" t="s">
        <v>1732</v>
      </c>
      <c r="G8" s="40" t="s">
        <v>994</v>
      </c>
      <c r="H8" s="5">
        <v>224</v>
      </c>
      <c r="I8" s="81">
        <v>1792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42584</v>
      </c>
      <c r="C9" s="2" t="s">
        <v>8</v>
      </c>
      <c r="D9" s="2" t="s">
        <v>403</v>
      </c>
      <c r="E9" s="41" t="s">
        <v>1483</v>
      </c>
      <c r="F9" s="40" t="s">
        <v>1401</v>
      </c>
      <c r="G9" s="40" t="s">
        <v>1011</v>
      </c>
      <c r="H9" s="5">
        <v>254</v>
      </c>
      <c r="I9" s="81">
        <v>1778</v>
      </c>
      <c r="K9" s="66"/>
      <c r="L9" s="67"/>
      <c r="M9" s="67"/>
      <c r="N9" s="67"/>
      <c r="O9" s="67"/>
    </row>
    <row r="10" spans="1:15" x14ac:dyDescent="0.3">
      <c r="B10" s="43">
        <v>42585</v>
      </c>
      <c r="C10" s="2" t="s">
        <v>9</v>
      </c>
      <c r="D10" s="2" t="s">
        <v>192</v>
      </c>
      <c r="E10" s="41" t="s">
        <v>874</v>
      </c>
      <c r="F10" s="40" t="s">
        <v>1733</v>
      </c>
      <c r="G10" s="40" t="s">
        <v>1734</v>
      </c>
      <c r="H10" s="5">
        <v>1172</v>
      </c>
      <c r="I10" s="81">
        <v>1758</v>
      </c>
      <c r="K10" s="16" t="s">
        <v>449</v>
      </c>
      <c r="L10" s="30">
        <v>41</v>
      </c>
      <c r="M10" s="30">
        <v>30</v>
      </c>
      <c r="N10" s="30">
        <v>9</v>
      </c>
      <c r="O10" s="30">
        <v>2</v>
      </c>
    </row>
    <row r="11" spans="1:15" x14ac:dyDescent="0.3">
      <c r="B11" s="43">
        <v>42585</v>
      </c>
      <c r="C11" s="2" t="s">
        <v>8</v>
      </c>
      <c r="D11" s="2" t="s">
        <v>29</v>
      </c>
      <c r="E11" s="41" t="s">
        <v>1198</v>
      </c>
      <c r="F11" s="40" t="s">
        <v>921</v>
      </c>
      <c r="G11" s="40" t="s">
        <v>914</v>
      </c>
      <c r="H11" s="5">
        <v>363</v>
      </c>
      <c r="I11" s="81">
        <v>-3630</v>
      </c>
      <c r="K11" s="16"/>
      <c r="L11" s="30"/>
      <c r="M11" s="30"/>
      <c r="N11" s="30"/>
      <c r="O11" s="30"/>
    </row>
    <row r="12" spans="1:15" x14ac:dyDescent="0.3">
      <c r="B12" s="43">
        <v>42586</v>
      </c>
      <c r="C12" s="2" t="s">
        <v>9</v>
      </c>
      <c r="D12" s="2" t="s">
        <v>433</v>
      </c>
      <c r="E12" s="41" t="s">
        <v>1735</v>
      </c>
      <c r="F12" s="40" t="s">
        <v>1736</v>
      </c>
      <c r="G12" s="40" t="s">
        <v>1011</v>
      </c>
      <c r="H12" s="5">
        <v>449</v>
      </c>
      <c r="I12" s="81">
        <v>3143</v>
      </c>
      <c r="K12" s="16" t="s">
        <v>450</v>
      </c>
      <c r="L12" s="30">
        <v>21</v>
      </c>
      <c r="M12" s="30">
        <v>17</v>
      </c>
      <c r="N12" s="30">
        <v>4</v>
      </c>
      <c r="O12" s="30">
        <v>0</v>
      </c>
    </row>
    <row r="13" spans="1:15" x14ac:dyDescent="0.3">
      <c r="B13" s="43">
        <v>42586</v>
      </c>
      <c r="C13" s="2" t="s">
        <v>9</v>
      </c>
      <c r="D13" s="2" t="s">
        <v>192</v>
      </c>
      <c r="E13" s="41" t="s">
        <v>597</v>
      </c>
      <c r="F13" s="40" t="s">
        <v>1737</v>
      </c>
      <c r="G13" s="40" t="s">
        <v>1405</v>
      </c>
      <c r="H13" s="5">
        <v>1162</v>
      </c>
      <c r="I13" s="81">
        <v>-4648</v>
      </c>
      <c r="K13" s="16"/>
      <c r="L13" s="30"/>
      <c r="M13" s="30"/>
      <c r="N13" s="30"/>
      <c r="O13" s="30"/>
    </row>
    <row r="14" spans="1:15" x14ac:dyDescent="0.3">
      <c r="B14" s="43">
        <v>42587</v>
      </c>
      <c r="C14" s="2" t="s">
        <v>9</v>
      </c>
      <c r="D14" s="2" t="s">
        <v>95</v>
      </c>
      <c r="E14" s="41" t="s">
        <v>1738</v>
      </c>
      <c r="F14" s="40" t="s">
        <v>1739</v>
      </c>
      <c r="G14" s="40" t="s">
        <v>1120</v>
      </c>
      <c r="H14" s="5">
        <v>1215</v>
      </c>
      <c r="I14" s="81">
        <v>1823</v>
      </c>
      <c r="K14" s="16" t="s">
        <v>451</v>
      </c>
      <c r="L14" s="30">
        <v>22</v>
      </c>
      <c r="M14" s="30">
        <v>20</v>
      </c>
      <c r="N14" s="30">
        <v>2</v>
      </c>
      <c r="O14" s="30">
        <v>0</v>
      </c>
    </row>
    <row r="15" spans="1:15" x14ac:dyDescent="0.3">
      <c r="B15" s="43">
        <v>42587</v>
      </c>
      <c r="C15" s="2" t="s">
        <v>8</v>
      </c>
      <c r="D15" s="2" t="s">
        <v>588</v>
      </c>
      <c r="E15" s="41" t="s">
        <v>1740</v>
      </c>
      <c r="F15" s="40" t="s">
        <v>1741</v>
      </c>
      <c r="G15" s="40" t="s">
        <v>1742</v>
      </c>
      <c r="H15" s="5">
        <v>1690</v>
      </c>
      <c r="I15" s="81">
        <v>2366</v>
      </c>
      <c r="K15" s="16"/>
      <c r="M15" s="30"/>
      <c r="N15" s="30"/>
      <c r="O15" s="30"/>
    </row>
    <row r="16" spans="1:15" x14ac:dyDescent="0.3">
      <c r="B16" s="43">
        <v>42590</v>
      </c>
      <c r="C16" s="2" t="s">
        <v>9</v>
      </c>
      <c r="D16" s="2" t="s">
        <v>133</v>
      </c>
      <c r="E16" s="41" t="s">
        <v>644</v>
      </c>
      <c r="F16" s="40" t="s">
        <v>1743</v>
      </c>
      <c r="G16" s="40" t="s">
        <v>1025</v>
      </c>
      <c r="H16" s="5">
        <v>176</v>
      </c>
      <c r="I16" s="81">
        <v>1760</v>
      </c>
      <c r="K16" s="16" t="s">
        <v>1176</v>
      </c>
      <c r="L16" s="30">
        <v>22</v>
      </c>
      <c r="M16" s="30">
        <v>18</v>
      </c>
      <c r="N16" s="30">
        <v>4</v>
      </c>
      <c r="O16" s="30">
        <v>0</v>
      </c>
    </row>
    <row r="17" spans="2:15" x14ac:dyDescent="0.3">
      <c r="B17" s="43">
        <v>42590</v>
      </c>
      <c r="C17" s="2" t="s">
        <v>8</v>
      </c>
      <c r="D17" s="2" t="s">
        <v>139</v>
      </c>
      <c r="E17" s="41" t="s">
        <v>1744</v>
      </c>
      <c r="F17" s="40" t="s">
        <v>1193</v>
      </c>
      <c r="G17" s="40" t="s">
        <v>1112</v>
      </c>
      <c r="H17" s="5">
        <v>238</v>
      </c>
      <c r="I17" s="30">
        <v>-2856</v>
      </c>
      <c r="L17" s="30"/>
      <c r="M17" s="30"/>
      <c r="N17" s="30"/>
      <c r="O17" s="30"/>
    </row>
    <row r="18" spans="2:15" x14ac:dyDescent="0.3">
      <c r="B18" s="43">
        <v>42591</v>
      </c>
      <c r="C18" s="2" t="s">
        <v>9</v>
      </c>
      <c r="D18" s="28" t="s">
        <v>192</v>
      </c>
      <c r="E18" s="30">
        <v>261</v>
      </c>
      <c r="F18" s="30">
        <v>262.60000000000002</v>
      </c>
      <c r="G18" s="30">
        <v>1.6</v>
      </c>
      <c r="H18" s="5">
        <v>1149</v>
      </c>
      <c r="I18" s="81">
        <v>1838</v>
      </c>
      <c r="K18" s="16" t="s">
        <v>41</v>
      </c>
      <c r="L18" s="30">
        <v>22</v>
      </c>
      <c r="M18" s="30">
        <v>20</v>
      </c>
      <c r="N18" s="30">
        <v>2</v>
      </c>
      <c r="O18" s="30">
        <v>0</v>
      </c>
    </row>
    <row r="19" spans="2:15" x14ac:dyDescent="0.3">
      <c r="B19" s="43">
        <v>42591</v>
      </c>
      <c r="C19" s="2" t="s">
        <v>8</v>
      </c>
      <c r="D19" s="28" t="s">
        <v>117</v>
      </c>
      <c r="E19" s="30">
        <v>269</v>
      </c>
      <c r="F19" s="30">
        <v>267.7</v>
      </c>
      <c r="G19" s="30">
        <v>1.3</v>
      </c>
      <c r="H19" s="5">
        <v>1115</v>
      </c>
      <c r="I19" s="81">
        <v>1449.5</v>
      </c>
      <c r="K19" s="16"/>
      <c r="L19" s="30"/>
      <c r="M19" s="30"/>
      <c r="N19" s="30"/>
      <c r="O19" s="30"/>
    </row>
    <row r="20" spans="2:15" x14ac:dyDescent="0.3">
      <c r="B20" s="43">
        <v>42592</v>
      </c>
      <c r="C20" s="2" t="s">
        <v>9</v>
      </c>
      <c r="D20" s="28" t="s">
        <v>578</v>
      </c>
      <c r="E20" s="30">
        <v>1084</v>
      </c>
      <c r="F20" s="30">
        <v>1094</v>
      </c>
      <c r="G20" s="30">
        <v>10</v>
      </c>
      <c r="H20" s="5">
        <v>277</v>
      </c>
      <c r="I20" s="81">
        <v>2770</v>
      </c>
      <c r="K20" s="16" t="s">
        <v>1090</v>
      </c>
      <c r="L20" s="30">
        <v>20</v>
      </c>
      <c r="M20" s="30">
        <v>15</v>
      </c>
      <c r="N20" s="30">
        <v>4</v>
      </c>
      <c r="O20" s="30">
        <v>1</v>
      </c>
    </row>
    <row r="21" spans="2:15" x14ac:dyDescent="0.3">
      <c r="B21" s="43">
        <v>42592</v>
      </c>
      <c r="C21" s="2" t="s">
        <v>8</v>
      </c>
      <c r="D21" s="28" t="s">
        <v>192</v>
      </c>
      <c r="E21" s="30">
        <v>252</v>
      </c>
      <c r="F21" s="30">
        <v>249</v>
      </c>
      <c r="G21" s="30">
        <v>3</v>
      </c>
      <c r="H21" s="5">
        <v>1190</v>
      </c>
      <c r="I21" s="81">
        <v>3570</v>
      </c>
      <c r="K21" s="16"/>
      <c r="L21" s="30"/>
      <c r="M21" s="30"/>
      <c r="N21" s="30"/>
      <c r="O21" s="30"/>
    </row>
    <row r="22" spans="2:15" x14ac:dyDescent="0.3">
      <c r="B22" s="43">
        <v>42593</v>
      </c>
      <c r="C22" s="2" t="s">
        <v>9</v>
      </c>
      <c r="D22" s="28" t="s">
        <v>630</v>
      </c>
      <c r="E22" s="30">
        <v>395</v>
      </c>
      <c r="F22" s="30">
        <v>400</v>
      </c>
      <c r="G22" s="30">
        <v>5</v>
      </c>
      <c r="H22" s="5">
        <v>759</v>
      </c>
      <c r="I22" s="81">
        <v>3795</v>
      </c>
      <c r="K22" s="16" t="s">
        <v>1175</v>
      </c>
      <c r="L22" s="30">
        <v>22</v>
      </c>
      <c r="M22" s="30">
        <v>19</v>
      </c>
      <c r="N22" s="30">
        <v>3</v>
      </c>
      <c r="O22" s="30">
        <v>0</v>
      </c>
    </row>
    <row r="23" spans="2:15" x14ac:dyDescent="0.3">
      <c r="B23" s="43">
        <v>42593</v>
      </c>
      <c r="C23" s="2" t="s">
        <v>8</v>
      </c>
      <c r="D23" s="28" t="s">
        <v>109</v>
      </c>
      <c r="E23" s="30">
        <v>1420</v>
      </c>
      <c r="F23" s="30">
        <v>1413</v>
      </c>
      <c r="G23" s="30">
        <v>7</v>
      </c>
      <c r="H23" s="5">
        <v>211</v>
      </c>
      <c r="I23" s="81">
        <v>1477</v>
      </c>
      <c r="K23" s="16"/>
      <c r="L23" s="30"/>
      <c r="M23" s="30"/>
      <c r="N23" s="30"/>
      <c r="O23" s="30"/>
    </row>
    <row r="24" spans="2:15" x14ac:dyDescent="0.3">
      <c r="B24" s="43">
        <v>42598</v>
      </c>
      <c r="C24" s="2" t="s">
        <v>9</v>
      </c>
      <c r="D24" s="28" t="s">
        <v>133</v>
      </c>
      <c r="E24" s="30">
        <v>1588</v>
      </c>
      <c r="F24" s="30">
        <v>1598</v>
      </c>
      <c r="G24" s="30">
        <v>10</v>
      </c>
      <c r="H24" s="5">
        <v>189</v>
      </c>
      <c r="I24" s="81">
        <v>1890</v>
      </c>
      <c r="K24" s="16" t="s">
        <v>946</v>
      </c>
      <c r="L24" s="21">
        <v>170</v>
      </c>
      <c r="M24" s="21">
        <v>139</v>
      </c>
      <c r="N24" s="21">
        <v>28</v>
      </c>
      <c r="O24" s="21">
        <v>3</v>
      </c>
    </row>
    <row r="25" spans="2:15" x14ac:dyDescent="0.3">
      <c r="B25" s="43">
        <v>42598</v>
      </c>
      <c r="C25" s="2" t="s">
        <v>8</v>
      </c>
      <c r="D25" s="28" t="s">
        <v>94</v>
      </c>
      <c r="E25" s="30">
        <v>1222</v>
      </c>
      <c r="F25" s="30">
        <v>1217</v>
      </c>
      <c r="G25" s="30">
        <v>5</v>
      </c>
      <c r="H25" s="5">
        <v>245</v>
      </c>
      <c r="I25" s="81">
        <v>1225</v>
      </c>
      <c r="L25" s="16"/>
    </row>
    <row r="26" spans="2:15" x14ac:dyDescent="0.3">
      <c r="B26" s="43">
        <v>42599</v>
      </c>
      <c r="C26" s="2" t="s">
        <v>9</v>
      </c>
      <c r="D26" s="28" t="s">
        <v>133</v>
      </c>
      <c r="E26" s="30">
        <v>1600</v>
      </c>
      <c r="F26" s="30">
        <v>1588</v>
      </c>
      <c r="G26" s="30">
        <v>-12</v>
      </c>
      <c r="H26" s="5">
        <v>187.5</v>
      </c>
      <c r="I26" s="81">
        <v>-2256</v>
      </c>
      <c r="L26" s="28"/>
      <c r="M26" s="30"/>
      <c r="N26" s="30"/>
      <c r="O26" s="30"/>
    </row>
    <row r="27" spans="2:15" x14ac:dyDescent="0.3">
      <c r="B27" s="43">
        <v>42599</v>
      </c>
      <c r="C27" s="2" t="s">
        <v>8</v>
      </c>
      <c r="D27" s="28" t="s">
        <v>192</v>
      </c>
      <c r="E27" s="30">
        <v>257</v>
      </c>
      <c r="F27" s="30">
        <v>262</v>
      </c>
      <c r="G27" s="30">
        <v>5</v>
      </c>
      <c r="H27" s="5">
        <v>1167</v>
      </c>
      <c r="I27" s="81">
        <v>5835</v>
      </c>
      <c r="L27" s="68" t="s">
        <v>947</v>
      </c>
      <c r="M27" s="83"/>
      <c r="N27" s="126">
        <v>0.82</v>
      </c>
      <c r="O27" s="30"/>
    </row>
    <row r="28" spans="2:15" x14ac:dyDescent="0.3">
      <c r="B28" s="43">
        <v>42600</v>
      </c>
      <c r="C28" s="2" t="s">
        <v>9</v>
      </c>
      <c r="D28" s="28" t="s">
        <v>58</v>
      </c>
      <c r="E28" s="30">
        <v>595</v>
      </c>
      <c r="F28" s="30">
        <v>597</v>
      </c>
      <c r="G28" s="30">
        <v>2</v>
      </c>
      <c r="H28" s="5">
        <v>504</v>
      </c>
      <c r="I28" s="81">
        <v>1008</v>
      </c>
      <c r="L28" s="49"/>
      <c r="M28" s="30"/>
      <c r="N28" s="30"/>
      <c r="O28" s="30"/>
    </row>
    <row r="29" spans="2:15" x14ac:dyDescent="0.3">
      <c r="B29" s="43">
        <v>42600</v>
      </c>
      <c r="C29" s="2" t="s">
        <v>8</v>
      </c>
      <c r="D29" s="28" t="s">
        <v>115</v>
      </c>
      <c r="E29" s="30">
        <v>341</v>
      </c>
      <c r="F29" s="30">
        <v>338.2</v>
      </c>
      <c r="G29" s="30">
        <v>2.8</v>
      </c>
      <c r="H29" s="5">
        <v>880</v>
      </c>
      <c r="I29" s="81">
        <v>2464</v>
      </c>
      <c r="L29" s="49"/>
      <c r="M29" s="30"/>
      <c r="N29" s="30"/>
      <c r="O29" s="30"/>
    </row>
    <row r="30" spans="2:15" x14ac:dyDescent="0.3">
      <c r="B30" s="43">
        <v>42601</v>
      </c>
      <c r="C30" s="2" t="s">
        <v>9</v>
      </c>
      <c r="D30" s="28" t="s">
        <v>630</v>
      </c>
      <c r="E30" s="30">
        <v>415</v>
      </c>
      <c r="F30" s="30">
        <v>418.8</v>
      </c>
      <c r="G30" s="30">
        <v>3.8</v>
      </c>
      <c r="H30" s="5">
        <v>723</v>
      </c>
      <c r="I30" s="81">
        <v>2747.4</v>
      </c>
      <c r="L30" s="49"/>
      <c r="M30" s="30"/>
      <c r="N30" s="30"/>
      <c r="O30" s="30"/>
    </row>
    <row r="31" spans="2:15" x14ac:dyDescent="0.3">
      <c r="B31" s="43">
        <v>42601</v>
      </c>
      <c r="C31" s="2" t="s">
        <v>8</v>
      </c>
      <c r="D31" s="28" t="s">
        <v>115</v>
      </c>
      <c r="E31" s="30">
        <v>333</v>
      </c>
      <c r="F31" s="30">
        <v>333.3</v>
      </c>
      <c r="G31" s="30">
        <v>-0.3</v>
      </c>
      <c r="H31" s="5">
        <v>900</v>
      </c>
      <c r="I31" s="81">
        <v>-270</v>
      </c>
      <c r="L31" s="16"/>
    </row>
    <row r="32" spans="2:15" x14ac:dyDescent="0.3">
      <c r="B32" s="43">
        <v>42604</v>
      </c>
      <c r="C32" s="2" t="s">
        <v>9</v>
      </c>
      <c r="D32" s="28" t="s">
        <v>630</v>
      </c>
      <c r="E32" s="30">
        <v>420</v>
      </c>
      <c r="F32" s="30">
        <v>420.5</v>
      </c>
      <c r="G32" s="30">
        <v>0.5</v>
      </c>
      <c r="H32" s="5">
        <v>714</v>
      </c>
      <c r="I32" s="81">
        <v>357</v>
      </c>
      <c r="L32" s="16"/>
    </row>
    <row r="33" spans="2:13" x14ac:dyDescent="0.3">
      <c r="B33" s="43">
        <v>42604</v>
      </c>
      <c r="C33" s="2" t="s">
        <v>8</v>
      </c>
      <c r="D33" s="30" t="s">
        <v>78</v>
      </c>
      <c r="E33" s="30">
        <v>1485</v>
      </c>
      <c r="F33" s="30">
        <v>1500</v>
      </c>
      <c r="G33" s="30">
        <v>-15</v>
      </c>
      <c r="H33" s="5">
        <v>202</v>
      </c>
      <c r="I33" s="81">
        <v>-3030</v>
      </c>
      <c r="L33" s="41"/>
    </row>
    <row r="34" spans="2:13" x14ac:dyDescent="0.3">
      <c r="B34" s="43">
        <v>42605</v>
      </c>
      <c r="C34" s="2" t="s">
        <v>9</v>
      </c>
      <c r="D34" s="30" t="s">
        <v>139</v>
      </c>
      <c r="E34" s="30">
        <v>1347</v>
      </c>
      <c r="F34" s="30">
        <v>1342</v>
      </c>
      <c r="G34" s="30">
        <v>-5</v>
      </c>
      <c r="H34" s="5">
        <v>222</v>
      </c>
      <c r="I34" s="81">
        <v>-1110</v>
      </c>
      <c r="L34" s="41"/>
    </row>
    <row r="35" spans="2:13" x14ac:dyDescent="0.3">
      <c r="B35" s="43">
        <v>42605</v>
      </c>
      <c r="C35" s="2" t="s">
        <v>8</v>
      </c>
      <c r="D35" s="30" t="s">
        <v>592</v>
      </c>
      <c r="E35" s="30">
        <v>544</v>
      </c>
      <c r="F35" s="30">
        <v>540</v>
      </c>
      <c r="G35" s="30">
        <v>4</v>
      </c>
      <c r="H35" s="5">
        <v>551</v>
      </c>
      <c r="I35" s="81">
        <v>2204</v>
      </c>
      <c r="M35" s="30"/>
    </row>
    <row r="36" spans="2:13" x14ac:dyDescent="0.3">
      <c r="B36" s="43">
        <v>42606</v>
      </c>
      <c r="C36" s="2" t="s">
        <v>8</v>
      </c>
      <c r="D36" s="30" t="s">
        <v>124</v>
      </c>
      <c r="E36" s="30">
        <v>502</v>
      </c>
      <c r="F36" s="30">
        <v>494</v>
      </c>
      <c r="G36" s="30">
        <v>8</v>
      </c>
      <c r="H36" s="5">
        <v>598</v>
      </c>
      <c r="I36" s="81">
        <v>4784</v>
      </c>
      <c r="M36" s="30"/>
    </row>
    <row r="37" spans="2:13" x14ac:dyDescent="0.3">
      <c r="B37" s="43">
        <v>42607</v>
      </c>
      <c r="C37" s="2" t="s">
        <v>9</v>
      </c>
      <c r="D37" s="30" t="s">
        <v>192</v>
      </c>
      <c r="E37" s="30">
        <v>273</v>
      </c>
      <c r="F37" s="30">
        <v>274.8</v>
      </c>
      <c r="G37" s="30">
        <v>1.8</v>
      </c>
      <c r="H37" s="5">
        <v>1099</v>
      </c>
      <c r="I37" s="81">
        <v>1978</v>
      </c>
      <c r="M37" s="30"/>
    </row>
    <row r="38" spans="2:13" x14ac:dyDescent="0.3">
      <c r="B38" s="43">
        <v>42607</v>
      </c>
      <c r="C38" s="2" t="s">
        <v>8</v>
      </c>
      <c r="D38" s="30" t="s">
        <v>124</v>
      </c>
      <c r="E38" s="30">
        <v>502</v>
      </c>
      <c r="F38" s="30">
        <v>492</v>
      </c>
      <c r="G38" s="30">
        <v>10</v>
      </c>
      <c r="H38" s="5">
        <v>598</v>
      </c>
      <c r="I38" s="81">
        <v>5980</v>
      </c>
      <c r="M38" s="30"/>
    </row>
    <row r="39" spans="2:13" x14ac:dyDescent="0.3">
      <c r="B39" s="87">
        <v>42608</v>
      </c>
      <c r="C39" s="2" t="s">
        <v>9</v>
      </c>
      <c r="D39" s="30" t="s">
        <v>109</v>
      </c>
      <c r="E39" s="30">
        <v>1425</v>
      </c>
      <c r="F39" s="30">
        <v>1430</v>
      </c>
      <c r="G39" s="30">
        <v>5</v>
      </c>
      <c r="H39" s="5">
        <v>211</v>
      </c>
      <c r="I39" s="81">
        <v>1055</v>
      </c>
      <c r="M39" s="30"/>
    </row>
    <row r="40" spans="2:13" x14ac:dyDescent="0.3">
      <c r="B40" s="43">
        <v>42608</v>
      </c>
      <c r="C40" s="2" t="s">
        <v>8</v>
      </c>
      <c r="D40" s="30" t="s">
        <v>139</v>
      </c>
      <c r="E40" s="30">
        <v>1322</v>
      </c>
      <c r="F40" s="30">
        <v>1324</v>
      </c>
      <c r="G40" s="30">
        <v>-2</v>
      </c>
      <c r="H40" s="5">
        <v>226</v>
      </c>
      <c r="I40" s="81">
        <v>-452</v>
      </c>
      <c r="M40" s="30"/>
    </row>
    <row r="41" spans="2:13" x14ac:dyDescent="0.3">
      <c r="B41" s="43">
        <v>42611</v>
      </c>
      <c r="C41" s="2" t="s">
        <v>9</v>
      </c>
      <c r="D41" s="30" t="s">
        <v>192</v>
      </c>
      <c r="E41" s="30">
        <v>270</v>
      </c>
      <c r="F41" s="30">
        <v>274.10000000000002</v>
      </c>
      <c r="G41" s="30">
        <v>4.0999999999999996</v>
      </c>
      <c r="H41" s="5">
        <v>1111</v>
      </c>
      <c r="I41" s="81">
        <v>4555.1000000000004</v>
      </c>
      <c r="M41" s="30"/>
    </row>
    <row r="42" spans="2:13" x14ac:dyDescent="0.3">
      <c r="B42" s="43">
        <v>42611</v>
      </c>
      <c r="C42" s="30" t="s">
        <v>8</v>
      </c>
      <c r="D42" s="28" t="s">
        <v>115</v>
      </c>
      <c r="E42" s="30">
        <v>331</v>
      </c>
      <c r="F42" s="30">
        <v>333.5</v>
      </c>
      <c r="G42" s="30">
        <v>-2.5</v>
      </c>
      <c r="H42" s="5">
        <v>906</v>
      </c>
      <c r="I42" s="81">
        <v>-2265</v>
      </c>
      <c r="M42" s="30"/>
    </row>
    <row r="43" spans="2:13" x14ac:dyDescent="0.3">
      <c r="B43" s="87">
        <v>42612</v>
      </c>
      <c r="C43" s="2" t="s">
        <v>9</v>
      </c>
      <c r="D43" s="28" t="s">
        <v>192</v>
      </c>
      <c r="E43" s="30">
        <v>275</v>
      </c>
      <c r="F43" s="30">
        <v>281</v>
      </c>
      <c r="G43" s="30">
        <v>6</v>
      </c>
      <c r="H43" s="30">
        <v>1091</v>
      </c>
      <c r="I43" s="81">
        <v>6546</v>
      </c>
      <c r="M43" s="30"/>
    </row>
    <row r="44" spans="2:13" x14ac:dyDescent="0.3">
      <c r="B44" s="87">
        <v>42612</v>
      </c>
      <c r="C44" s="2" t="s">
        <v>8</v>
      </c>
      <c r="D44" s="28" t="s">
        <v>78</v>
      </c>
      <c r="E44" s="30">
        <v>1460</v>
      </c>
      <c r="F44" s="30">
        <v>1470</v>
      </c>
      <c r="G44" s="30">
        <v>-10</v>
      </c>
      <c r="H44" s="30">
        <v>205</v>
      </c>
      <c r="I44" s="88">
        <v>-2050</v>
      </c>
      <c r="M44" s="30"/>
    </row>
    <row r="45" spans="2:13" x14ac:dyDescent="0.3">
      <c r="B45" s="87">
        <v>42613</v>
      </c>
      <c r="C45" s="2" t="s">
        <v>9</v>
      </c>
      <c r="D45" s="28" t="s">
        <v>192</v>
      </c>
      <c r="E45" s="30">
        <v>282</v>
      </c>
      <c r="F45" s="30">
        <v>284</v>
      </c>
      <c r="G45" s="30">
        <v>2</v>
      </c>
      <c r="H45" s="30">
        <v>1064</v>
      </c>
      <c r="I45" s="30">
        <v>2128</v>
      </c>
      <c r="M45" s="30"/>
    </row>
    <row r="46" spans="2:13" x14ac:dyDescent="0.3">
      <c r="B46" s="43">
        <v>42613</v>
      </c>
      <c r="C46" s="2" t="s">
        <v>8</v>
      </c>
      <c r="D46" s="28" t="s">
        <v>58</v>
      </c>
      <c r="E46" s="30">
        <v>590</v>
      </c>
      <c r="F46" s="30">
        <v>583</v>
      </c>
      <c r="G46" s="30">
        <v>7</v>
      </c>
      <c r="H46" s="30">
        <v>508</v>
      </c>
      <c r="I46" s="94">
        <v>3556</v>
      </c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ht="18" x14ac:dyDescent="0.35">
      <c r="C49" s="2"/>
      <c r="D49" s="28"/>
      <c r="E49" s="30"/>
      <c r="F49" s="30"/>
      <c r="G49" s="30"/>
      <c r="H49" s="30"/>
      <c r="I49" s="82">
        <v>60231</v>
      </c>
      <c r="M49" s="30"/>
    </row>
    <row r="50" spans="2:13" x14ac:dyDescent="0.3">
      <c r="C50" s="2"/>
      <c r="D50" s="28"/>
      <c r="E50" s="30"/>
      <c r="F50" s="30"/>
      <c r="G50" s="30"/>
      <c r="H50" s="30"/>
      <c r="I50" s="95"/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42583</v>
      </c>
      <c r="C53" s="2" t="s">
        <v>8</v>
      </c>
      <c r="D53" s="2" t="s">
        <v>119</v>
      </c>
      <c r="E53" s="41" t="s">
        <v>992</v>
      </c>
      <c r="F53" s="40" t="s">
        <v>1745</v>
      </c>
      <c r="G53" s="40" t="s">
        <v>1011</v>
      </c>
      <c r="H53" s="5">
        <v>800</v>
      </c>
      <c r="I53" s="40" t="s">
        <v>1530</v>
      </c>
      <c r="M53" s="30"/>
    </row>
    <row r="54" spans="2:13" x14ac:dyDescent="0.3">
      <c r="B54" s="43">
        <v>42584</v>
      </c>
      <c r="C54" s="2" t="s">
        <v>8</v>
      </c>
      <c r="D54" s="2" t="s">
        <v>95</v>
      </c>
      <c r="E54" s="41" t="s">
        <v>1714</v>
      </c>
      <c r="F54" s="40" t="s">
        <v>1738</v>
      </c>
      <c r="G54" s="40" t="s">
        <v>920</v>
      </c>
      <c r="H54" s="5">
        <v>2500</v>
      </c>
      <c r="I54" s="40" t="s">
        <v>728</v>
      </c>
    </row>
    <row r="55" spans="2:13" x14ac:dyDescent="0.3">
      <c r="B55" s="43">
        <v>42585</v>
      </c>
      <c r="C55" s="30" t="s">
        <v>8</v>
      </c>
      <c r="D55" s="30" t="s">
        <v>139</v>
      </c>
      <c r="E55" s="30">
        <v>1225</v>
      </c>
      <c r="F55" s="30">
        <v>1235</v>
      </c>
      <c r="G55" s="30">
        <v>-10</v>
      </c>
      <c r="H55" s="30">
        <v>700</v>
      </c>
      <c r="I55" s="30">
        <v>-7000</v>
      </c>
    </row>
    <row r="56" spans="2:13" x14ac:dyDescent="0.3">
      <c r="B56" s="43">
        <v>42586</v>
      </c>
      <c r="C56" s="30" t="s">
        <v>8</v>
      </c>
      <c r="D56" s="30" t="s">
        <v>78</v>
      </c>
      <c r="E56" s="30">
        <v>1465</v>
      </c>
      <c r="F56" s="30">
        <v>1452</v>
      </c>
      <c r="G56" s="30">
        <v>13</v>
      </c>
      <c r="H56" s="30">
        <v>500</v>
      </c>
      <c r="I56" s="30">
        <v>6500</v>
      </c>
    </row>
    <row r="57" spans="2:13" x14ac:dyDescent="0.3">
      <c r="B57" s="43">
        <v>42587</v>
      </c>
      <c r="C57" s="30" t="s">
        <v>8</v>
      </c>
      <c r="D57" s="30" t="s">
        <v>46</v>
      </c>
      <c r="E57" s="30">
        <v>222</v>
      </c>
      <c r="F57" s="30">
        <v>225</v>
      </c>
      <c r="G57" s="30">
        <v>-3</v>
      </c>
      <c r="H57" s="30">
        <v>2500</v>
      </c>
      <c r="I57" s="30">
        <v>-7500</v>
      </c>
    </row>
    <row r="58" spans="2:13" x14ac:dyDescent="0.3">
      <c r="B58" s="43">
        <v>42590</v>
      </c>
      <c r="C58" s="30" t="s">
        <v>8</v>
      </c>
      <c r="D58" s="30" t="s">
        <v>95</v>
      </c>
      <c r="E58" s="30">
        <v>247</v>
      </c>
      <c r="F58" s="30">
        <v>245.6</v>
      </c>
      <c r="G58" s="30">
        <v>1.4</v>
      </c>
      <c r="H58" s="30">
        <v>2500</v>
      </c>
      <c r="I58" s="30">
        <v>3500</v>
      </c>
    </row>
    <row r="59" spans="2:13" x14ac:dyDescent="0.3">
      <c r="B59" s="43">
        <v>42591</v>
      </c>
      <c r="C59" s="30" t="s">
        <v>8</v>
      </c>
      <c r="D59" s="30" t="s">
        <v>173</v>
      </c>
      <c r="E59" s="30">
        <v>1140</v>
      </c>
      <c r="F59" s="30">
        <v>1150</v>
      </c>
      <c r="G59" s="30">
        <v>-10</v>
      </c>
      <c r="H59" s="30">
        <v>500</v>
      </c>
      <c r="I59" s="30">
        <v>-5000</v>
      </c>
      <c r="K59" s="86"/>
    </row>
    <row r="60" spans="2:13" x14ac:dyDescent="0.3">
      <c r="B60" s="43">
        <v>42592</v>
      </c>
      <c r="C60" s="30" t="s">
        <v>8</v>
      </c>
      <c r="D60" s="30" t="s">
        <v>95</v>
      </c>
      <c r="E60" s="30">
        <v>241</v>
      </c>
      <c r="F60" s="30">
        <v>239</v>
      </c>
      <c r="G60" s="30">
        <v>2</v>
      </c>
      <c r="H60" s="30">
        <v>2500</v>
      </c>
      <c r="I60" s="30">
        <v>5000</v>
      </c>
      <c r="K60" s="86"/>
    </row>
    <row r="61" spans="2:13" x14ac:dyDescent="0.3">
      <c r="B61" s="43">
        <v>42593</v>
      </c>
      <c r="C61" s="30" t="s">
        <v>8</v>
      </c>
      <c r="D61" s="30" t="s">
        <v>105</v>
      </c>
      <c r="E61" s="30">
        <v>221</v>
      </c>
      <c r="F61" s="30">
        <v>216</v>
      </c>
      <c r="G61" s="30">
        <v>5</v>
      </c>
      <c r="H61" s="30">
        <v>3000</v>
      </c>
      <c r="I61" s="30">
        <v>15000</v>
      </c>
      <c r="K61" s="86"/>
    </row>
    <row r="62" spans="2:13" x14ac:dyDescent="0.3">
      <c r="B62" s="43">
        <v>42598</v>
      </c>
      <c r="C62" s="30" t="s">
        <v>8</v>
      </c>
      <c r="D62" s="30" t="s">
        <v>107</v>
      </c>
      <c r="E62" s="30">
        <v>2875</v>
      </c>
      <c r="F62" s="30">
        <v>2840</v>
      </c>
      <c r="G62" s="30">
        <v>35</v>
      </c>
      <c r="H62" s="30">
        <v>250</v>
      </c>
      <c r="I62" s="30">
        <v>8750</v>
      </c>
      <c r="K62" s="86"/>
    </row>
    <row r="63" spans="2:13" x14ac:dyDescent="0.3">
      <c r="B63" s="43">
        <v>42599</v>
      </c>
      <c r="C63" s="30" t="s">
        <v>8</v>
      </c>
      <c r="D63" s="30" t="s">
        <v>95</v>
      </c>
      <c r="E63" s="30">
        <v>248</v>
      </c>
      <c r="F63" s="30">
        <v>251</v>
      </c>
      <c r="G63" s="30">
        <v>-3</v>
      </c>
      <c r="H63" s="30">
        <v>2500</v>
      </c>
      <c r="I63" s="30">
        <v>-7500</v>
      </c>
      <c r="K63" s="86"/>
    </row>
    <row r="64" spans="2:13" x14ac:dyDescent="0.3">
      <c r="B64" s="43">
        <v>42600</v>
      </c>
      <c r="C64" s="30" t="s">
        <v>9</v>
      </c>
      <c r="D64" s="30" t="s">
        <v>78</v>
      </c>
      <c r="E64" s="30">
        <v>1490</v>
      </c>
      <c r="F64" s="30">
        <v>1498</v>
      </c>
      <c r="G64" s="30">
        <v>8</v>
      </c>
      <c r="H64" s="30">
        <v>500</v>
      </c>
      <c r="I64" s="30">
        <v>4000</v>
      </c>
      <c r="K64" s="86"/>
    </row>
    <row r="65" spans="2:11" x14ac:dyDescent="0.3">
      <c r="B65" s="43">
        <v>42601</v>
      </c>
      <c r="C65" s="30" t="s">
        <v>8</v>
      </c>
      <c r="D65" s="30" t="s">
        <v>1755</v>
      </c>
      <c r="E65" s="30">
        <v>343</v>
      </c>
      <c r="F65" s="30">
        <v>340.7</v>
      </c>
      <c r="G65" s="30">
        <v>2.2999999999999998</v>
      </c>
      <c r="H65" s="30">
        <v>1400</v>
      </c>
      <c r="I65" s="30">
        <v>3220</v>
      </c>
      <c r="K65" s="86"/>
    </row>
    <row r="66" spans="2:11" x14ac:dyDescent="0.3">
      <c r="B66" s="43">
        <v>42604</v>
      </c>
      <c r="C66" s="30" t="s">
        <v>8</v>
      </c>
      <c r="D66" s="30" t="s">
        <v>124</v>
      </c>
      <c r="E66" s="30">
        <v>506</v>
      </c>
      <c r="F66" s="30">
        <v>505</v>
      </c>
      <c r="G66" s="30">
        <v>1</v>
      </c>
      <c r="H66" s="30">
        <v>1500</v>
      </c>
      <c r="I66" s="30">
        <v>1500</v>
      </c>
      <c r="K66" s="86"/>
    </row>
    <row r="67" spans="2:11" x14ac:dyDescent="0.3">
      <c r="B67" s="43">
        <v>42605</v>
      </c>
      <c r="C67" s="30" t="s">
        <v>8</v>
      </c>
      <c r="D67" s="30" t="s">
        <v>99</v>
      </c>
      <c r="E67" s="30">
        <v>251.5</v>
      </c>
      <c r="F67" s="30">
        <v>250.5</v>
      </c>
      <c r="G67" s="30">
        <v>1</v>
      </c>
      <c r="H67" s="30">
        <v>2400</v>
      </c>
      <c r="I67" s="30">
        <v>2400</v>
      </c>
      <c r="K67" s="86"/>
    </row>
    <row r="68" spans="2:11" x14ac:dyDescent="0.3">
      <c r="B68" s="43">
        <v>42606</v>
      </c>
      <c r="C68" s="30" t="s">
        <v>8</v>
      </c>
      <c r="D68" s="30" t="s">
        <v>630</v>
      </c>
      <c r="E68" s="30">
        <v>416</v>
      </c>
      <c r="F68" s="30">
        <v>412</v>
      </c>
      <c r="G68" s="30">
        <v>4</v>
      </c>
      <c r="H68" s="30">
        <v>1500</v>
      </c>
      <c r="I68" s="30">
        <v>6000</v>
      </c>
      <c r="K68" s="86"/>
    </row>
    <row r="69" spans="2:11" x14ac:dyDescent="0.3">
      <c r="B69" s="43">
        <v>42607</v>
      </c>
      <c r="C69" s="30" t="s">
        <v>8</v>
      </c>
      <c r="D69" s="30" t="s">
        <v>34</v>
      </c>
      <c r="E69" s="30">
        <v>204.5</v>
      </c>
      <c r="F69" s="30">
        <v>200.5</v>
      </c>
      <c r="G69" s="30">
        <v>4</v>
      </c>
      <c r="H69" s="30">
        <v>3500</v>
      </c>
      <c r="I69" s="30">
        <v>14000</v>
      </c>
      <c r="K69" s="86"/>
    </row>
    <row r="70" spans="2:11" x14ac:dyDescent="0.3">
      <c r="B70" s="43">
        <v>42608</v>
      </c>
      <c r="C70" s="30" t="s">
        <v>8</v>
      </c>
      <c r="D70" s="30" t="s">
        <v>78</v>
      </c>
      <c r="E70" s="30">
        <v>1440</v>
      </c>
      <c r="F70" s="30">
        <v>1433</v>
      </c>
      <c r="G70" s="30">
        <v>7</v>
      </c>
      <c r="H70" s="30">
        <v>500</v>
      </c>
      <c r="I70" s="30">
        <v>3500</v>
      </c>
      <c r="K70" s="86"/>
    </row>
    <row r="71" spans="2:11" x14ac:dyDescent="0.3">
      <c r="B71" s="87">
        <v>42611</v>
      </c>
      <c r="C71" s="30" t="s">
        <v>8</v>
      </c>
      <c r="D71" s="30" t="s">
        <v>94</v>
      </c>
      <c r="E71" s="30">
        <v>1253</v>
      </c>
      <c r="F71" s="30">
        <v>1247</v>
      </c>
      <c r="G71" s="30">
        <v>6</v>
      </c>
      <c r="H71" s="30">
        <v>500</v>
      </c>
      <c r="I71" s="30">
        <v>3000</v>
      </c>
      <c r="K71" s="86"/>
    </row>
    <row r="72" spans="2:11" x14ac:dyDescent="0.3">
      <c r="B72" s="43">
        <v>42612</v>
      </c>
      <c r="C72" s="30" t="s">
        <v>8</v>
      </c>
      <c r="D72" s="30" t="s">
        <v>124</v>
      </c>
      <c r="E72" s="30">
        <v>529</v>
      </c>
      <c r="F72" s="30">
        <v>528</v>
      </c>
      <c r="G72" s="30">
        <v>1</v>
      </c>
      <c r="H72" s="30">
        <v>1500</v>
      </c>
      <c r="I72" s="30">
        <v>1500</v>
      </c>
      <c r="K72" s="86"/>
    </row>
    <row r="73" spans="2:11" x14ac:dyDescent="0.3">
      <c r="B73" s="87">
        <v>42613</v>
      </c>
      <c r="C73" s="30" t="s">
        <v>8</v>
      </c>
      <c r="D73" s="30" t="s">
        <v>139</v>
      </c>
      <c r="E73" s="30">
        <v>1355</v>
      </c>
      <c r="F73" s="30">
        <v>1347.5</v>
      </c>
      <c r="G73" s="30">
        <v>7.5</v>
      </c>
      <c r="H73" s="30">
        <v>700</v>
      </c>
      <c r="I73" s="30">
        <v>5250</v>
      </c>
      <c r="K73" s="86"/>
    </row>
    <row r="74" spans="2:11" x14ac:dyDescent="0.3">
      <c r="B74" s="87"/>
      <c r="C74" s="30"/>
      <c r="D74" s="30"/>
      <c r="E74" s="30"/>
      <c r="F74" s="30"/>
      <c r="G74" s="30"/>
      <c r="H74" s="30"/>
      <c r="I74" s="30"/>
      <c r="K74" s="86"/>
    </row>
    <row r="75" spans="2:11" ht="18" x14ac:dyDescent="0.35">
      <c r="B75" s="43"/>
      <c r="C75" s="30"/>
      <c r="D75" s="30"/>
      <c r="E75" s="30"/>
      <c r="F75" s="30"/>
      <c r="G75" s="30"/>
      <c r="H75" s="30"/>
      <c r="I75" s="72">
        <v>64220</v>
      </c>
      <c r="K75" s="86"/>
    </row>
    <row r="76" spans="2:11" x14ac:dyDescent="0.3">
      <c r="B76" s="45"/>
      <c r="C76" s="30"/>
      <c r="D76" s="30"/>
      <c r="E76" s="30"/>
      <c r="F76" s="30"/>
      <c r="G76" s="30"/>
      <c r="H76" s="30"/>
      <c r="I76" s="97"/>
      <c r="K76" s="86"/>
    </row>
    <row r="77" spans="2:11" ht="15.6" x14ac:dyDescent="0.3">
      <c r="B77" s="43"/>
      <c r="C77" s="30"/>
      <c r="D77" s="30"/>
      <c r="E77" s="30"/>
      <c r="F77" s="30"/>
      <c r="G77" s="30"/>
      <c r="H77" s="30"/>
      <c r="I77" s="33"/>
      <c r="K77" s="86"/>
    </row>
    <row r="78" spans="2:11" ht="15.6" x14ac:dyDescent="0.3">
      <c r="B78" s="48" t="s">
        <v>63</v>
      </c>
      <c r="C78" s="48"/>
      <c r="D78" s="48"/>
      <c r="E78" s="48"/>
      <c r="F78" s="48"/>
      <c r="G78" s="48"/>
      <c r="H78" s="48"/>
      <c r="I78" s="48"/>
      <c r="K78" s="86"/>
    </row>
    <row r="79" spans="2:11" x14ac:dyDescent="0.3">
      <c r="B79" s="43">
        <v>42583</v>
      </c>
      <c r="C79" s="2" t="s">
        <v>8</v>
      </c>
      <c r="D79" s="2" t="s">
        <v>39</v>
      </c>
      <c r="E79" s="41" t="s">
        <v>1746</v>
      </c>
      <c r="F79" s="40" t="s">
        <v>1747</v>
      </c>
      <c r="G79" s="40" t="s">
        <v>929</v>
      </c>
      <c r="H79" s="30">
        <v>150</v>
      </c>
      <c r="I79" s="41" t="s">
        <v>1748</v>
      </c>
      <c r="K79" s="86"/>
    </row>
    <row r="80" spans="2:11" x14ac:dyDescent="0.3">
      <c r="B80" s="43">
        <v>42584</v>
      </c>
      <c r="C80" s="30" t="s">
        <v>8</v>
      </c>
      <c r="D80" s="2" t="s">
        <v>39</v>
      </c>
      <c r="E80" s="2">
        <v>8695</v>
      </c>
      <c r="F80" s="30">
        <v>8650</v>
      </c>
      <c r="G80" s="30">
        <v>45</v>
      </c>
      <c r="H80" s="30">
        <v>150</v>
      </c>
      <c r="I80" s="30">
        <v>6750</v>
      </c>
      <c r="K80" s="86"/>
    </row>
    <row r="81" spans="2:11" x14ac:dyDescent="0.3">
      <c r="B81" s="43">
        <v>42585</v>
      </c>
      <c r="C81" s="30" t="s">
        <v>8</v>
      </c>
      <c r="D81" s="2" t="s">
        <v>39</v>
      </c>
      <c r="E81" s="2">
        <v>8620</v>
      </c>
      <c r="F81" s="30">
        <v>8570</v>
      </c>
      <c r="G81" s="30">
        <v>50</v>
      </c>
      <c r="H81" s="30">
        <v>150</v>
      </c>
      <c r="I81" s="30">
        <v>7500</v>
      </c>
    </row>
    <row r="82" spans="2:11" x14ac:dyDescent="0.3">
      <c r="B82" s="43">
        <v>42586</v>
      </c>
      <c r="C82" s="30" t="s">
        <v>8</v>
      </c>
      <c r="D82" s="2" t="s">
        <v>39</v>
      </c>
      <c r="E82" s="2">
        <v>8595</v>
      </c>
      <c r="F82" s="30">
        <v>8560</v>
      </c>
      <c r="G82" s="30">
        <v>35</v>
      </c>
      <c r="H82" s="30">
        <v>150</v>
      </c>
      <c r="I82" s="30">
        <v>5250</v>
      </c>
    </row>
    <row r="83" spans="2:11" x14ac:dyDescent="0.3">
      <c r="B83" s="43">
        <v>42587</v>
      </c>
      <c r="C83" s="30" t="s">
        <v>8</v>
      </c>
      <c r="D83" s="2" t="s">
        <v>39</v>
      </c>
      <c r="E83" s="30">
        <v>8680</v>
      </c>
      <c r="F83" s="30">
        <v>8665</v>
      </c>
      <c r="G83" s="30">
        <v>15</v>
      </c>
      <c r="H83" s="30">
        <v>150</v>
      </c>
      <c r="I83" s="30">
        <v>2250</v>
      </c>
    </row>
    <row r="84" spans="2:11" x14ac:dyDescent="0.3">
      <c r="B84" s="43">
        <v>42590</v>
      </c>
      <c r="C84" s="30" t="s">
        <v>8</v>
      </c>
      <c r="D84" s="2" t="s">
        <v>39</v>
      </c>
      <c r="E84" s="30">
        <v>8745</v>
      </c>
      <c r="F84" s="30">
        <v>8730</v>
      </c>
      <c r="G84" s="30">
        <v>15</v>
      </c>
      <c r="H84" s="30">
        <v>150</v>
      </c>
      <c r="I84" s="30">
        <v>2250</v>
      </c>
    </row>
    <row r="85" spans="2:11" x14ac:dyDescent="0.3">
      <c r="B85" s="43">
        <v>42591</v>
      </c>
      <c r="C85" s="30" t="s">
        <v>8</v>
      </c>
      <c r="D85" s="2" t="s">
        <v>39</v>
      </c>
      <c r="E85" s="30">
        <v>8690</v>
      </c>
      <c r="F85" s="30">
        <v>8672</v>
      </c>
      <c r="G85" s="30">
        <v>18</v>
      </c>
      <c r="H85" s="30">
        <v>150</v>
      </c>
      <c r="I85" s="30">
        <v>2700</v>
      </c>
      <c r="K85" s="86"/>
    </row>
    <row r="86" spans="2:11" x14ac:dyDescent="0.3">
      <c r="B86" s="43">
        <v>42592</v>
      </c>
      <c r="C86" s="30" t="s">
        <v>8</v>
      </c>
      <c r="D86" s="2" t="s">
        <v>39</v>
      </c>
      <c r="E86" s="30">
        <v>8635</v>
      </c>
      <c r="F86" s="30">
        <v>8590</v>
      </c>
      <c r="G86" s="30">
        <v>45</v>
      </c>
      <c r="H86" s="30">
        <v>150</v>
      </c>
      <c r="I86" s="30">
        <v>6750</v>
      </c>
      <c r="K86" s="86"/>
    </row>
    <row r="87" spans="2:11" x14ac:dyDescent="0.3">
      <c r="B87" s="43">
        <v>42593</v>
      </c>
      <c r="C87" s="30" t="s">
        <v>8</v>
      </c>
      <c r="D87" s="2" t="s">
        <v>39</v>
      </c>
      <c r="E87" s="30">
        <v>8595</v>
      </c>
      <c r="F87" s="30">
        <v>8570</v>
      </c>
      <c r="G87" s="30">
        <v>25</v>
      </c>
      <c r="H87" s="30">
        <v>150</v>
      </c>
      <c r="I87" s="30">
        <v>3750</v>
      </c>
      <c r="K87" s="86"/>
    </row>
    <row r="88" spans="2:11" x14ac:dyDescent="0.3">
      <c r="B88" s="43">
        <v>42594</v>
      </c>
      <c r="C88" s="30" t="s">
        <v>8</v>
      </c>
      <c r="D88" s="2" t="s">
        <v>39</v>
      </c>
      <c r="E88" s="30">
        <v>8670</v>
      </c>
      <c r="F88" s="30">
        <v>8655</v>
      </c>
      <c r="G88" s="30">
        <v>15</v>
      </c>
      <c r="H88" s="30">
        <v>150</v>
      </c>
      <c r="I88" s="30">
        <v>2250</v>
      </c>
      <c r="K88" s="86"/>
    </row>
    <row r="89" spans="2:11" x14ac:dyDescent="0.3">
      <c r="B89" s="43">
        <v>42598</v>
      </c>
      <c r="C89" s="30" t="s">
        <v>8</v>
      </c>
      <c r="D89" s="2" t="s">
        <v>39</v>
      </c>
      <c r="E89" s="30">
        <v>8665</v>
      </c>
      <c r="F89" s="30">
        <v>8605</v>
      </c>
      <c r="G89" s="30">
        <v>60</v>
      </c>
      <c r="H89" s="30">
        <v>150</v>
      </c>
      <c r="I89" s="30">
        <v>9000</v>
      </c>
      <c r="K89" s="86"/>
    </row>
    <row r="90" spans="2:11" x14ac:dyDescent="0.3">
      <c r="B90" s="43">
        <v>42599</v>
      </c>
      <c r="C90" s="30" t="s">
        <v>8</v>
      </c>
      <c r="D90" s="2" t="s">
        <v>39</v>
      </c>
      <c r="E90" s="30">
        <v>8650</v>
      </c>
      <c r="F90" s="30">
        <v>8620</v>
      </c>
      <c r="G90" s="30">
        <v>30</v>
      </c>
      <c r="H90" s="30">
        <v>150</v>
      </c>
      <c r="I90" s="30">
        <v>4500</v>
      </c>
      <c r="K90" s="86"/>
    </row>
    <row r="91" spans="2:11" x14ac:dyDescent="0.3">
      <c r="B91" s="43">
        <v>42600</v>
      </c>
      <c r="C91" s="30" t="s">
        <v>8</v>
      </c>
      <c r="D91" s="2" t="s">
        <v>39</v>
      </c>
      <c r="E91" s="30">
        <v>8695</v>
      </c>
      <c r="F91" s="30">
        <v>8672</v>
      </c>
      <c r="G91" s="30">
        <v>23</v>
      </c>
      <c r="H91" s="30">
        <v>150</v>
      </c>
      <c r="I91" s="30">
        <v>3450</v>
      </c>
      <c r="K91" s="86"/>
    </row>
    <row r="92" spans="2:11" x14ac:dyDescent="0.3">
      <c r="B92" s="43">
        <v>42601</v>
      </c>
      <c r="C92" s="30" t="s">
        <v>8</v>
      </c>
      <c r="D92" s="2" t="s">
        <v>39</v>
      </c>
      <c r="E92" s="30">
        <v>8690</v>
      </c>
      <c r="F92" s="30">
        <v>8655</v>
      </c>
      <c r="G92" s="30">
        <v>35</v>
      </c>
      <c r="H92" s="30">
        <v>150</v>
      </c>
      <c r="I92" s="30">
        <v>5250</v>
      </c>
      <c r="K92" s="86"/>
    </row>
    <row r="93" spans="2:11" x14ac:dyDescent="0.3">
      <c r="B93" s="43">
        <v>42604</v>
      </c>
      <c r="C93" s="30" t="s">
        <v>8</v>
      </c>
      <c r="D93" s="2" t="s">
        <v>39</v>
      </c>
      <c r="E93" s="30">
        <v>8645</v>
      </c>
      <c r="F93" s="30">
        <v>8620</v>
      </c>
      <c r="G93" s="30">
        <v>25</v>
      </c>
      <c r="H93" s="30">
        <v>150</v>
      </c>
      <c r="I93" s="30">
        <v>3750</v>
      </c>
      <c r="K93" s="86"/>
    </row>
    <row r="94" spans="2:11" x14ac:dyDescent="0.3">
      <c r="B94" s="43">
        <v>42605</v>
      </c>
      <c r="C94" s="30" t="s">
        <v>8</v>
      </c>
      <c r="D94" s="2" t="s">
        <v>39</v>
      </c>
      <c r="E94" s="30">
        <v>8635</v>
      </c>
      <c r="F94" s="30">
        <v>8596</v>
      </c>
      <c r="G94" s="30">
        <v>39</v>
      </c>
      <c r="H94" s="30">
        <v>150</v>
      </c>
      <c r="I94" s="30">
        <v>5850</v>
      </c>
      <c r="K94" s="86"/>
    </row>
    <row r="95" spans="2:11" x14ac:dyDescent="0.3">
      <c r="B95" s="43">
        <v>42606</v>
      </c>
      <c r="C95" s="30" t="s">
        <v>8</v>
      </c>
      <c r="D95" s="2" t="s">
        <v>39</v>
      </c>
      <c r="E95" s="30">
        <v>8635</v>
      </c>
      <c r="F95" s="30">
        <v>8618</v>
      </c>
      <c r="G95" s="30">
        <v>17</v>
      </c>
      <c r="H95" s="30">
        <v>150</v>
      </c>
      <c r="I95" s="30">
        <v>2550</v>
      </c>
      <c r="K95" s="86"/>
    </row>
    <row r="96" spans="2:11" x14ac:dyDescent="0.3">
      <c r="B96" s="43">
        <v>42607</v>
      </c>
      <c r="C96" s="30" t="s">
        <v>8</v>
      </c>
      <c r="D96" s="2" t="s">
        <v>39</v>
      </c>
      <c r="E96" s="30">
        <v>8675</v>
      </c>
      <c r="F96" s="30">
        <v>8610</v>
      </c>
      <c r="G96" s="30">
        <v>65</v>
      </c>
      <c r="H96" s="30">
        <v>150</v>
      </c>
      <c r="I96" s="30">
        <v>9750</v>
      </c>
      <c r="K96" s="86"/>
    </row>
    <row r="97" spans="2:11" x14ac:dyDescent="0.3">
      <c r="B97" s="87">
        <v>42608</v>
      </c>
      <c r="C97" s="30" t="s">
        <v>8</v>
      </c>
      <c r="D97" s="2" t="s">
        <v>39</v>
      </c>
      <c r="E97" s="30">
        <v>8640</v>
      </c>
      <c r="F97" s="30">
        <v>8600</v>
      </c>
      <c r="G97" s="30">
        <v>40</v>
      </c>
      <c r="H97" s="30">
        <v>150</v>
      </c>
      <c r="I97" s="30">
        <v>6000</v>
      </c>
      <c r="K97" s="86"/>
    </row>
    <row r="98" spans="2:11" x14ac:dyDescent="0.3">
      <c r="B98" s="43">
        <v>42611</v>
      </c>
      <c r="C98" s="30" t="s">
        <v>8</v>
      </c>
      <c r="D98" s="2" t="s">
        <v>39</v>
      </c>
      <c r="E98" s="30">
        <v>8605</v>
      </c>
      <c r="F98" s="30">
        <v>8640</v>
      </c>
      <c r="G98" s="30">
        <v>-35</v>
      </c>
      <c r="H98" s="30">
        <v>150</v>
      </c>
      <c r="I98" s="30">
        <v>-5250</v>
      </c>
      <c r="K98" s="86"/>
    </row>
    <row r="99" spans="2:11" x14ac:dyDescent="0.3">
      <c r="B99" s="43">
        <v>42612</v>
      </c>
      <c r="C99" s="30" t="s">
        <v>8</v>
      </c>
      <c r="D99" s="2" t="s">
        <v>39</v>
      </c>
      <c r="E99" s="30">
        <v>8710</v>
      </c>
      <c r="F99" s="30">
        <v>8730</v>
      </c>
      <c r="G99" s="30">
        <v>-20</v>
      </c>
      <c r="H99" s="30">
        <v>150</v>
      </c>
      <c r="I99" s="30">
        <v>-3000</v>
      </c>
      <c r="K99" s="86"/>
    </row>
    <row r="100" spans="2:11" x14ac:dyDescent="0.3">
      <c r="B100" s="43">
        <v>42613</v>
      </c>
      <c r="C100" s="30" t="s">
        <v>9</v>
      </c>
      <c r="D100" s="2" t="s">
        <v>39</v>
      </c>
      <c r="E100" s="30">
        <v>8845</v>
      </c>
      <c r="F100" s="30">
        <v>8860</v>
      </c>
      <c r="G100" s="30">
        <v>15</v>
      </c>
      <c r="H100" s="30">
        <v>150</v>
      </c>
      <c r="I100" s="30">
        <v>2250</v>
      </c>
      <c r="K100" s="86"/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  <c r="K101" s="86"/>
    </row>
    <row r="102" spans="2:11" ht="18" x14ac:dyDescent="0.35">
      <c r="B102" s="43"/>
      <c r="C102" s="28"/>
      <c r="D102" s="30"/>
      <c r="E102" s="28"/>
      <c r="F102" s="28"/>
      <c r="G102" s="28"/>
      <c r="H102" s="28"/>
      <c r="I102" s="75">
        <v>93300</v>
      </c>
      <c r="K102" s="86"/>
    </row>
    <row r="103" spans="2:11" ht="15.6" x14ac:dyDescent="0.3">
      <c r="B103" s="48" t="s">
        <v>991</v>
      </c>
      <c r="C103" s="61"/>
      <c r="D103" s="61"/>
      <c r="E103" s="61"/>
      <c r="F103" s="61"/>
      <c r="G103" s="61"/>
      <c r="H103" s="61"/>
      <c r="I103" s="61"/>
      <c r="K103" s="86"/>
    </row>
    <row r="104" spans="2:11" x14ac:dyDescent="0.3">
      <c r="B104" s="43">
        <v>42583</v>
      </c>
      <c r="C104" s="3" t="s">
        <v>9</v>
      </c>
      <c r="D104" s="3" t="s">
        <v>1749</v>
      </c>
      <c r="E104" s="41" t="s">
        <v>420</v>
      </c>
      <c r="F104" s="41" t="s">
        <v>626</v>
      </c>
      <c r="G104" s="41" t="s">
        <v>964</v>
      </c>
      <c r="H104" s="30">
        <v>300</v>
      </c>
      <c r="I104" s="8">
        <v>12000</v>
      </c>
      <c r="K104" s="86"/>
    </row>
    <row r="105" spans="2:11" x14ac:dyDescent="0.3">
      <c r="B105" s="43">
        <v>42584</v>
      </c>
      <c r="C105" s="3" t="s">
        <v>9</v>
      </c>
      <c r="D105" s="3" t="s">
        <v>1683</v>
      </c>
      <c r="E105" s="30">
        <v>125</v>
      </c>
      <c r="F105" s="30">
        <v>152</v>
      </c>
      <c r="G105" s="30">
        <v>27</v>
      </c>
      <c r="H105" s="30">
        <v>300</v>
      </c>
      <c r="I105" s="8">
        <v>8100</v>
      </c>
      <c r="K105" s="86"/>
    </row>
    <row r="106" spans="2:11" x14ac:dyDescent="0.3">
      <c r="B106" s="43">
        <v>42585</v>
      </c>
      <c r="C106" s="3" t="s">
        <v>9</v>
      </c>
      <c r="D106" s="3" t="s">
        <v>1639</v>
      </c>
      <c r="E106" s="30">
        <v>115</v>
      </c>
      <c r="F106" s="30">
        <v>140</v>
      </c>
      <c r="G106" s="30">
        <v>25</v>
      </c>
      <c r="H106" s="30">
        <v>300</v>
      </c>
      <c r="I106" s="8">
        <v>7500</v>
      </c>
    </row>
    <row r="107" spans="2:11" x14ac:dyDescent="0.3">
      <c r="B107" s="43">
        <v>42586</v>
      </c>
      <c r="C107" s="3" t="s">
        <v>9</v>
      </c>
      <c r="D107" s="3" t="s">
        <v>1639</v>
      </c>
      <c r="E107" s="30">
        <v>120</v>
      </c>
      <c r="F107" s="30">
        <v>135</v>
      </c>
      <c r="G107" s="30">
        <v>15</v>
      </c>
      <c r="H107" s="30">
        <v>300</v>
      </c>
      <c r="I107" s="8">
        <v>4500</v>
      </c>
    </row>
    <row r="108" spans="2:11" x14ac:dyDescent="0.3">
      <c r="B108" s="43">
        <v>42587</v>
      </c>
      <c r="C108" s="3" t="s">
        <v>9</v>
      </c>
      <c r="D108" s="30" t="s">
        <v>1683</v>
      </c>
      <c r="E108" s="30">
        <v>115</v>
      </c>
      <c r="F108" s="30">
        <v>115</v>
      </c>
      <c r="G108" s="30">
        <v>0</v>
      </c>
      <c r="H108" s="30">
        <v>300</v>
      </c>
      <c r="I108" s="8">
        <v>0</v>
      </c>
    </row>
    <row r="109" spans="2:11" x14ac:dyDescent="0.3">
      <c r="B109" s="43">
        <v>42590</v>
      </c>
      <c r="C109" s="3" t="s">
        <v>9</v>
      </c>
      <c r="D109" s="30" t="s">
        <v>1719</v>
      </c>
      <c r="E109" s="30">
        <v>130</v>
      </c>
      <c r="F109" s="30">
        <v>130</v>
      </c>
      <c r="G109" s="30">
        <v>0</v>
      </c>
      <c r="H109" s="30">
        <v>300</v>
      </c>
      <c r="I109" s="8">
        <v>0</v>
      </c>
    </row>
    <row r="110" spans="2:11" x14ac:dyDescent="0.3">
      <c r="B110" s="43">
        <v>42591</v>
      </c>
      <c r="C110" s="3" t="s">
        <v>9</v>
      </c>
      <c r="D110" s="30" t="s">
        <v>1719</v>
      </c>
      <c r="E110" s="30">
        <v>140</v>
      </c>
      <c r="F110" s="30">
        <v>165</v>
      </c>
      <c r="G110" s="30">
        <v>25</v>
      </c>
      <c r="H110" s="30">
        <v>300</v>
      </c>
      <c r="I110" s="8">
        <v>7500</v>
      </c>
    </row>
    <row r="111" spans="2:11" x14ac:dyDescent="0.3">
      <c r="B111" s="43">
        <v>42592</v>
      </c>
      <c r="C111" s="3" t="s">
        <v>9</v>
      </c>
      <c r="D111" s="30" t="s">
        <v>1683</v>
      </c>
      <c r="E111" s="30">
        <v>130</v>
      </c>
      <c r="F111" s="30">
        <v>150</v>
      </c>
      <c r="G111" s="30">
        <v>20</v>
      </c>
      <c r="H111" s="30">
        <v>300</v>
      </c>
      <c r="I111" s="8">
        <v>6000</v>
      </c>
    </row>
    <row r="112" spans="2:11" x14ac:dyDescent="0.3">
      <c r="B112" s="43">
        <v>42593</v>
      </c>
      <c r="C112" s="3" t="s">
        <v>9</v>
      </c>
      <c r="D112" s="30" t="s">
        <v>1683</v>
      </c>
      <c r="E112" s="30">
        <v>130</v>
      </c>
      <c r="F112" s="30">
        <v>165</v>
      </c>
      <c r="G112" s="30">
        <v>35</v>
      </c>
      <c r="H112" s="30">
        <v>300</v>
      </c>
      <c r="I112" s="8">
        <v>10500</v>
      </c>
    </row>
    <row r="113" spans="2:9" x14ac:dyDescent="0.3">
      <c r="B113" s="43">
        <v>42594</v>
      </c>
      <c r="C113" s="3" t="s">
        <v>9</v>
      </c>
      <c r="D113" s="30" t="s">
        <v>1719</v>
      </c>
      <c r="E113" s="30">
        <v>160</v>
      </c>
      <c r="F113" s="30">
        <v>140</v>
      </c>
      <c r="G113" s="30">
        <v>-20</v>
      </c>
      <c r="H113" s="30">
        <v>300</v>
      </c>
      <c r="I113" s="8">
        <v>-6000</v>
      </c>
    </row>
    <row r="114" spans="2:9" x14ac:dyDescent="0.3">
      <c r="B114" s="43">
        <v>42598</v>
      </c>
      <c r="C114" s="3" t="s">
        <v>9</v>
      </c>
      <c r="D114" s="30" t="s">
        <v>1719</v>
      </c>
      <c r="E114" s="30">
        <v>145</v>
      </c>
      <c r="F114" s="30">
        <v>180</v>
      </c>
      <c r="G114" s="30">
        <v>35</v>
      </c>
      <c r="H114" s="30">
        <v>300</v>
      </c>
      <c r="I114" s="8">
        <v>10500</v>
      </c>
    </row>
    <row r="115" spans="2:9" x14ac:dyDescent="0.3">
      <c r="B115" s="43">
        <v>42599</v>
      </c>
      <c r="C115" s="3" t="s">
        <v>9</v>
      </c>
      <c r="D115" s="30" t="s">
        <v>1719</v>
      </c>
      <c r="E115" s="30">
        <v>160</v>
      </c>
      <c r="F115" s="30">
        <v>195</v>
      </c>
      <c r="G115" s="30">
        <v>35</v>
      </c>
      <c r="H115" s="30">
        <v>300</v>
      </c>
      <c r="I115" s="8">
        <v>10500</v>
      </c>
    </row>
    <row r="116" spans="2:9" x14ac:dyDescent="0.3">
      <c r="B116" s="43">
        <v>42600</v>
      </c>
      <c r="C116" s="3" t="s">
        <v>9</v>
      </c>
      <c r="D116" s="30" t="s">
        <v>1719</v>
      </c>
      <c r="E116" s="30">
        <v>125</v>
      </c>
      <c r="F116" s="30">
        <v>140</v>
      </c>
      <c r="G116" s="30">
        <v>15</v>
      </c>
      <c r="H116" s="30">
        <v>300</v>
      </c>
      <c r="I116" s="8">
        <v>4500</v>
      </c>
    </row>
    <row r="117" spans="2:9" x14ac:dyDescent="0.3">
      <c r="B117" s="43">
        <v>42601</v>
      </c>
      <c r="C117" s="3" t="s">
        <v>9</v>
      </c>
      <c r="D117" s="30" t="s">
        <v>1719</v>
      </c>
      <c r="E117" s="30">
        <v>125</v>
      </c>
      <c r="F117" s="30">
        <v>150</v>
      </c>
      <c r="G117" s="30">
        <v>25</v>
      </c>
      <c r="H117" s="30">
        <v>300</v>
      </c>
      <c r="I117" s="8">
        <v>7500</v>
      </c>
    </row>
    <row r="118" spans="2:9" x14ac:dyDescent="0.3">
      <c r="B118" s="43">
        <v>42604</v>
      </c>
      <c r="C118" s="3" t="s">
        <v>9</v>
      </c>
      <c r="D118" s="30" t="s">
        <v>1719</v>
      </c>
      <c r="E118" s="30">
        <v>160</v>
      </c>
      <c r="F118" s="30">
        <v>180</v>
      </c>
      <c r="G118" s="30">
        <v>20</v>
      </c>
      <c r="H118" s="30">
        <v>300</v>
      </c>
      <c r="I118" s="8">
        <v>6000</v>
      </c>
    </row>
    <row r="119" spans="2:9" x14ac:dyDescent="0.3">
      <c r="B119" s="43">
        <v>42605</v>
      </c>
      <c r="C119" s="3" t="s">
        <v>9</v>
      </c>
      <c r="D119" s="28" t="s">
        <v>1719</v>
      </c>
      <c r="E119" s="49" t="s">
        <v>787</v>
      </c>
      <c r="F119" s="49" t="s">
        <v>933</v>
      </c>
      <c r="G119" s="49" t="s">
        <v>952</v>
      </c>
      <c r="H119" s="30">
        <v>300</v>
      </c>
      <c r="I119" s="8">
        <v>6000</v>
      </c>
    </row>
    <row r="120" spans="2:9" x14ac:dyDescent="0.3">
      <c r="B120" s="43">
        <v>42606</v>
      </c>
      <c r="C120" s="3" t="s">
        <v>9</v>
      </c>
      <c r="D120" s="28" t="s">
        <v>1719</v>
      </c>
      <c r="E120" s="49" t="s">
        <v>854</v>
      </c>
      <c r="F120" s="49" t="s">
        <v>626</v>
      </c>
      <c r="G120" s="49" t="s">
        <v>1171</v>
      </c>
      <c r="H120" s="30">
        <v>300</v>
      </c>
      <c r="I120" s="8">
        <v>-7500</v>
      </c>
    </row>
    <row r="121" spans="2:9" x14ac:dyDescent="0.3">
      <c r="B121" s="43">
        <v>42607</v>
      </c>
      <c r="C121" s="3" t="s">
        <v>9</v>
      </c>
      <c r="D121" s="28" t="s">
        <v>1719</v>
      </c>
      <c r="E121" s="49" t="s">
        <v>524</v>
      </c>
      <c r="F121" s="49" t="s">
        <v>229</v>
      </c>
      <c r="G121" s="49" t="s">
        <v>945</v>
      </c>
      <c r="H121" s="30">
        <v>300</v>
      </c>
      <c r="I121" s="8">
        <v>10500</v>
      </c>
    </row>
    <row r="122" spans="2:9" x14ac:dyDescent="0.3">
      <c r="B122" s="87">
        <v>42608</v>
      </c>
      <c r="C122" s="3" t="s">
        <v>9</v>
      </c>
      <c r="D122" s="28" t="s">
        <v>1683</v>
      </c>
      <c r="E122" s="49" t="s">
        <v>226</v>
      </c>
      <c r="F122" s="49" t="s">
        <v>787</v>
      </c>
      <c r="G122" s="49" t="s">
        <v>961</v>
      </c>
      <c r="H122" s="30">
        <v>300</v>
      </c>
      <c r="I122" s="8">
        <v>7500</v>
      </c>
    </row>
    <row r="123" spans="2:9" x14ac:dyDescent="0.3">
      <c r="B123" s="43">
        <v>42611</v>
      </c>
      <c r="C123" s="3" t="s">
        <v>9</v>
      </c>
      <c r="D123" s="28" t="s">
        <v>1639</v>
      </c>
      <c r="E123" s="49" t="s">
        <v>228</v>
      </c>
      <c r="F123" s="49" t="s">
        <v>217</v>
      </c>
      <c r="G123" s="49" t="s">
        <v>917</v>
      </c>
      <c r="H123" s="30">
        <v>300</v>
      </c>
      <c r="I123" s="8">
        <v>-6000</v>
      </c>
    </row>
    <row r="124" spans="2:9" x14ac:dyDescent="0.3">
      <c r="B124" s="1">
        <v>42612</v>
      </c>
      <c r="C124" s="28" t="s">
        <v>9</v>
      </c>
      <c r="D124" s="28" t="s">
        <v>1683</v>
      </c>
      <c r="E124" s="81">
        <v>110</v>
      </c>
      <c r="F124" s="81">
        <v>100</v>
      </c>
      <c r="G124" s="81">
        <v>-10</v>
      </c>
      <c r="H124" s="81">
        <v>300</v>
      </c>
      <c r="I124" s="81">
        <v>-3000</v>
      </c>
    </row>
    <row r="125" spans="2:9" x14ac:dyDescent="0.3">
      <c r="B125" s="1">
        <v>42613</v>
      </c>
      <c r="C125" s="28" t="s">
        <v>9</v>
      </c>
      <c r="D125" s="28" t="s">
        <v>1766</v>
      </c>
      <c r="E125" s="81">
        <v>135</v>
      </c>
      <c r="F125" s="81">
        <v>150</v>
      </c>
      <c r="G125" s="81">
        <v>15</v>
      </c>
      <c r="H125" s="81">
        <v>300</v>
      </c>
      <c r="I125" s="81">
        <v>4500</v>
      </c>
    </row>
    <row r="126" spans="2:9" ht="18" x14ac:dyDescent="0.35">
      <c r="B126" s="1"/>
      <c r="C126" s="28"/>
      <c r="D126" s="28"/>
      <c r="E126" s="28"/>
      <c r="F126" s="28"/>
      <c r="G126" s="28"/>
      <c r="H126" s="28"/>
      <c r="I126" s="76"/>
    </row>
    <row r="127" spans="2:9" ht="18" x14ac:dyDescent="0.35">
      <c r="B127" s="1"/>
      <c r="I127" s="72">
        <v>101100</v>
      </c>
    </row>
    <row r="128" spans="2:9" ht="15.6" x14ac:dyDescent="0.3">
      <c r="B128" s="48" t="s">
        <v>926</v>
      </c>
      <c r="C128" s="48"/>
      <c r="D128" s="48"/>
      <c r="E128" s="48"/>
      <c r="F128" s="48"/>
      <c r="G128" s="48"/>
      <c r="H128" s="48"/>
      <c r="I128" s="48"/>
    </row>
    <row r="129" spans="2:9" x14ac:dyDescent="0.3">
      <c r="B129" s="43">
        <v>42583</v>
      </c>
      <c r="C129" s="30" t="s">
        <v>8</v>
      </c>
      <c r="D129" s="30" t="s">
        <v>301</v>
      </c>
      <c r="E129" s="30">
        <v>19100</v>
      </c>
      <c r="F129" s="30">
        <v>18000</v>
      </c>
      <c r="G129" s="30">
        <v>300</v>
      </c>
      <c r="H129" s="30">
        <v>160</v>
      </c>
      <c r="I129" s="30">
        <v>48000</v>
      </c>
    </row>
    <row r="130" spans="2:9" x14ac:dyDescent="0.3">
      <c r="B130" s="43">
        <v>42584</v>
      </c>
      <c r="C130" s="30" t="s">
        <v>8</v>
      </c>
      <c r="D130" s="30" t="s">
        <v>301</v>
      </c>
      <c r="E130" s="30">
        <v>18900</v>
      </c>
      <c r="F130" s="30">
        <v>18760</v>
      </c>
      <c r="G130" s="30">
        <v>140</v>
      </c>
      <c r="H130" s="30">
        <v>160</v>
      </c>
      <c r="I130" s="30">
        <v>22400</v>
      </c>
    </row>
    <row r="131" spans="2:9" x14ac:dyDescent="0.3">
      <c r="B131" s="43">
        <v>42585</v>
      </c>
      <c r="C131" s="30" t="s">
        <v>8</v>
      </c>
      <c r="D131" s="30" t="s">
        <v>301</v>
      </c>
      <c r="E131" s="30">
        <v>18850</v>
      </c>
      <c r="F131" s="30">
        <v>18650</v>
      </c>
      <c r="G131" s="30">
        <v>200</v>
      </c>
      <c r="H131" s="30">
        <v>160</v>
      </c>
      <c r="I131" s="30">
        <v>32000</v>
      </c>
    </row>
    <row r="132" spans="2:9" x14ac:dyDescent="0.3">
      <c r="B132" s="43">
        <v>42586</v>
      </c>
      <c r="C132" s="30" t="s">
        <v>8</v>
      </c>
      <c r="D132" s="30" t="s">
        <v>301</v>
      </c>
      <c r="E132" s="30">
        <v>18670</v>
      </c>
      <c r="F132" s="30">
        <v>18530</v>
      </c>
      <c r="G132" s="30">
        <v>140</v>
      </c>
      <c r="H132" s="30">
        <v>160</v>
      </c>
      <c r="I132" s="30">
        <v>22400</v>
      </c>
    </row>
    <row r="133" spans="2:9" x14ac:dyDescent="0.3">
      <c r="B133" s="43">
        <v>42587</v>
      </c>
      <c r="C133" s="30" t="s">
        <v>8</v>
      </c>
      <c r="D133" s="30" t="s">
        <v>301</v>
      </c>
      <c r="E133" s="30">
        <v>18970</v>
      </c>
      <c r="F133" s="30">
        <v>18920</v>
      </c>
      <c r="G133" s="30">
        <v>50</v>
      </c>
      <c r="H133" s="30">
        <v>160</v>
      </c>
      <c r="I133" s="30">
        <v>8000</v>
      </c>
    </row>
    <row r="134" spans="2:9" x14ac:dyDescent="0.3">
      <c r="B134" s="43">
        <v>42590</v>
      </c>
      <c r="C134" s="30" t="s">
        <v>8</v>
      </c>
      <c r="D134" s="30" t="s">
        <v>301</v>
      </c>
      <c r="E134" s="30">
        <v>19050</v>
      </c>
      <c r="F134" s="30">
        <v>18980</v>
      </c>
      <c r="G134" s="30">
        <v>70</v>
      </c>
      <c r="H134" s="30">
        <v>160</v>
      </c>
      <c r="I134" s="30">
        <v>11200</v>
      </c>
    </row>
    <row r="135" spans="2:9" x14ac:dyDescent="0.3">
      <c r="B135" s="43">
        <v>42591</v>
      </c>
      <c r="C135" s="30" t="s">
        <v>8</v>
      </c>
      <c r="D135" s="30" t="s">
        <v>301</v>
      </c>
      <c r="E135" s="30">
        <v>19000</v>
      </c>
      <c r="F135" s="30">
        <v>18910</v>
      </c>
      <c r="G135" s="30">
        <v>90</v>
      </c>
      <c r="H135" s="30">
        <v>160</v>
      </c>
      <c r="I135" s="30">
        <v>14400</v>
      </c>
    </row>
    <row r="136" spans="2:9" x14ac:dyDescent="0.3">
      <c r="B136" s="43">
        <v>42592</v>
      </c>
      <c r="C136" s="30" t="s">
        <v>8</v>
      </c>
      <c r="D136" s="30" t="s">
        <v>301</v>
      </c>
      <c r="E136" s="30">
        <v>18800</v>
      </c>
      <c r="F136" s="30">
        <v>18700</v>
      </c>
      <c r="G136" s="30">
        <v>100</v>
      </c>
      <c r="H136" s="30">
        <v>160</v>
      </c>
      <c r="I136" s="30">
        <v>16000</v>
      </c>
    </row>
    <row r="137" spans="2:9" x14ac:dyDescent="0.3">
      <c r="B137" s="43">
        <v>42593</v>
      </c>
      <c r="C137" s="30" t="s">
        <v>8</v>
      </c>
      <c r="D137" s="30" t="s">
        <v>301</v>
      </c>
      <c r="E137" s="30">
        <v>18760</v>
      </c>
      <c r="F137" s="30">
        <v>18610</v>
      </c>
      <c r="G137" s="30">
        <v>150</v>
      </c>
      <c r="H137" s="30">
        <v>160</v>
      </c>
      <c r="I137" s="30">
        <v>24000</v>
      </c>
    </row>
    <row r="138" spans="2:9" x14ac:dyDescent="0.3">
      <c r="B138" s="43">
        <v>42594</v>
      </c>
      <c r="C138" s="30" t="s">
        <v>8</v>
      </c>
      <c r="D138" s="30" t="s">
        <v>301</v>
      </c>
      <c r="E138" s="30">
        <v>18830</v>
      </c>
      <c r="F138" s="30">
        <v>18780</v>
      </c>
      <c r="G138" s="30">
        <v>50</v>
      </c>
      <c r="H138" s="30">
        <v>160</v>
      </c>
      <c r="I138" s="30">
        <v>8000</v>
      </c>
    </row>
    <row r="139" spans="2:9" x14ac:dyDescent="0.3">
      <c r="B139" s="43">
        <v>42598</v>
      </c>
      <c r="C139" s="30" t="s">
        <v>8</v>
      </c>
      <c r="D139" s="30" t="s">
        <v>301</v>
      </c>
      <c r="E139" s="30">
        <v>19050</v>
      </c>
      <c r="F139" s="30">
        <v>18850</v>
      </c>
      <c r="G139" s="30">
        <v>200</v>
      </c>
      <c r="H139" s="30">
        <v>160</v>
      </c>
      <c r="I139" s="30">
        <v>32000</v>
      </c>
    </row>
    <row r="140" spans="2:9" x14ac:dyDescent="0.3">
      <c r="B140" s="43">
        <v>42599</v>
      </c>
      <c r="C140" s="30" t="s">
        <v>8</v>
      </c>
      <c r="D140" s="30" t="s">
        <v>301</v>
      </c>
      <c r="E140" s="30">
        <v>19020</v>
      </c>
      <c r="F140" s="30">
        <v>18970</v>
      </c>
      <c r="G140" s="30">
        <v>50</v>
      </c>
      <c r="H140" s="30">
        <v>160</v>
      </c>
      <c r="I140" s="30">
        <v>8000</v>
      </c>
    </row>
    <row r="141" spans="2:9" x14ac:dyDescent="0.3">
      <c r="B141" s="43">
        <v>42600</v>
      </c>
      <c r="C141" s="30" t="s">
        <v>8</v>
      </c>
      <c r="D141" s="30" t="s">
        <v>301</v>
      </c>
      <c r="E141" s="30">
        <v>19300</v>
      </c>
      <c r="F141" s="30">
        <v>19340</v>
      </c>
      <c r="G141" s="30">
        <v>-40</v>
      </c>
      <c r="H141" s="30">
        <v>160</v>
      </c>
      <c r="I141" s="30">
        <v>-6400</v>
      </c>
    </row>
    <row r="142" spans="2:9" x14ac:dyDescent="0.3">
      <c r="B142" s="43">
        <v>42601</v>
      </c>
      <c r="C142" s="30" t="s">
        <v>8</v>
      </c>
      <c r="D142" s="30" t="s">
        <v>301</v>
      </c>
      <c r="E142" s="30">
        <v>19440</v>
      </c>
      <c r="F142" s="30">
        <v>19350</v>
      </c>
      <c r="G142" s="30">
        <v>90</v>
      </c>
      <c r="H142" s="30">
        <v>160</v>
      </c>
      <c r="I142" s="30">
        <v>14400</v>
      </c>
    </row>
    <row r="143" spans="2:9" x14ac:dyDescent="0.3">
      <c r="B143" s="43">
        <v>42604</v>
      </c>
      <c r="C143" s="30" t="s">
        <v>8</v>
      </c>
      <c r="D143" s="30" t="s">
        <v>301</v>
      </c>
      <c r="E143" s="30">
        <v>19320</v>
      </c>
      <c r="F143" s="30">
        <v>19270</v>
      </c>
      <c r="G143" s="30">
        <v>50</v>
      </c>
      <c r="H143" s="30">
        <v>160</v>
      </c>
      <c r="I143" s="30">
        <v>8000</v>
      </c>
    </row>
    <row r="144" spans="2:9" x14ac:dyDescent="0.3">
      <c r="B144" s="43">
        <v>42605</v>
      </c>
      <c r="C144" s="30" t="s">
        <v>8</v>
      </c>
      <c r="D144" s="30" t="s">
        <v>301</v>
      </c>
      <c r="E144" s="30">
        <v>19300</v>
      </c>
      <c r="F144" s="30">
        <v>19250</v>
      </c>
      <c r="G144" s="30">
        <v>50</v>
      </c>
      <c r="H144" s="30">
        <v>160</v>
      </c>
      <c r="I144" s="30">
        <v>8000</v>
      </c>
    </row>
    <row r="145" spans="1:36" x14ac:dyDescent="0.3">
      <c r="B145" s="43">
        <v>42606</v>
      </c>
      <c r="C145" s="30" t="s">
        <v>8</v>
      </c>
      <c r="D145" s="30" t="s">
        <v>301</v>
      </c>
      <c r="E145" s="30">
        <v>19330</v>
      </c>
      <c r="F145" s="30">
        <v>19330</v>
      </c>
      <c r="G145" s="30">
        <v>0</v>
      </c>
      <c r="H145" s="30">
        <v>160</v>
      </c>
      <c r="I145" s="30">
        <v>0</v>
      </c>
    </row>
    <row r="146" spans="1:36" x14ac:dyDescent="0.3">
      <c r="B146" s="43">
        <v>42607</v>
      </c>
      <c r="C146" s="30" t="s">
        <v>8</v>
      </c>
      <c r="D146" s="30" t="s">
        <v>301</v>
      </c>
      <c r="E146" s="30">
        <v>19430</v>
      </c>
      <c r="F146" s="30">
        <v>19290</v>
      </c>
      <c r="G146" s="30">
        <v>140</v>
      </c>
      <c r="H146" s="30">
        <v>160</v>
      </c>
      <c r="I146" s="94">
        <v>22400</v>
      </c>
    </row>
    <row r="147" spans="1:36" x14ac:dyDescent="0.3">
      <c r="B147" s="87">
        <v>42608</v>
      </c>
      <c r="C147" s="30" t="s">
        <v>8</v>
      </c>
      <c r="D147" s="30" t="s">
        <v>301</v>
      </c>
      <c r="E147" s="88">
        <v>19350</v>
      </c>
      <c r="F147" s="88">
        <v>19250</v>
      </c>
      <c r="G147" s="88">
        <v>100</v>
      </c>
      <c r="H147" s="88">
        <v>160</v>
      </c>
      <c r="I147" s="88">
        <v>16000</v>
      </c>
    </row>
    <row r="148" spans="1:36" x14ac:dyDescent="0.3">
      <c r="B148" s="43">
        <v>42611</v>
      </c>
      <c r="C148" s="30" t="s">
        <v>8</v>
      </c>
      <c r="D148" s="30" t="s">
        <v>301</v>
      </c>
      <c r="E148" s="30">
        <v>19270</v>
      </c>
      <c r="F148" s="30">
        <v>19230</v>
      </c>
      <c r="G148" s="30">
        <v>40</v>
      </c>
      <c r="H148" s="30">
        <v>160</v>
      </c>
      <c r="I148" s="30">
        <v>6400</v>
      </c>
    </row>
    <row r="149" spans="1:36" x14ac:dyDescent="0.3">
      <c r="B149" s="43">
        <v>42612</v>
      </c>
      <c r="C149" s="30" t="s">
        <v>8</v>
      </c>
      <c r="D149" s="30" t="s">
        <v>301</v>
      </c>
      <c r="E149" s="30">
        <v>19550</v>
      </c>
      <c r="F149" s="30">
        <v>19600</v>
      </c>
      <c r="G149" s="30">
        <v>-50</v>
      </c>
      <c r="H149" s="30">
        <v>160</v>
      </c>
      <c r="I149" s="30">
        <v>-8000</v>
      </c>
    </row>
    <row r="150" spans="1:36" s="30" customFormat="1" x14ac:dyDescent="0.3">
      <c r="A150" s="9"/>
      <c r="B150" s="43">
        <v>42613</v>
      </c>
      <c r="C150" s="30" t="s">
        <v>9</v>
      </c>
      <c r="D150" s="30" t="s">
        <v>301</v>
      </c>
      <c r="E150" s="30">
        <v>19750</v>
      </c>
      <c r="F150" s="30">
        <v>19900</v>
      </c>
      <c r="G150" s="30">
        <v>150</v>
      </c>
      <c r="H150" s="30">
        <v>160</v>
      </c>
      <c r="I150" s="30">
        <v>24000</v>
      </c>
      <c r="J150" s="9"/>
    </row>
    <row r="151" spans="1:36" ht="18" x14ac:dyDescent="0.35">
      <c r="I151" s="98"/>
    </row>
    <row r="152" spans="1:36" ht="23.4" x14ac:dyDescent="0.45">
      <c r="I152" s="125">
        <v>331200</v>
      </c>
    </row>
    <row r="153" spans="1:36" s="99" customFormat="1" ht="18" x14ac:dyDescent="0.35">
      <c r="B153" s="285" t="s">
        <v>1076</v>
      </c>
      <c r="C153" s="286"/>
      <c r="D153" s="286"/>
      <c r="E153" s="286"/>
      <c r="F153" s="286"/>
      <c r="G153" s="286"/>
      <c r="H153" s="286"/>
      <c r="I153" s="287"/>
      <c r="K153" s="10"/>
      <c r="L153" s="10"/>
      <c r="M153" s="10"/>
      <c r="N153" s="10"/>
      <c r="O153" s="1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</row>
    <row r="154" spans="1:36" x14ac:dyDescent="0.3">
      <c r="B154" s="43">
        <v>42583</v>
      </c>
      <c r="C154" s="30" t="s">
        <v>9</v>
      </c>
      <c r="D154" s="30" t="s">
        <v>1562</v>
      </c>
      <c r="E154" s="30">
        <v>39</v>
      </c>
      <c r="F154" s="30">
        <v>55</v>
      </c>
      <c r="G154" s="30">
        <v>16</v>
      </c>
      <c r="H154" s="30">
        <v>500</v>
      </c>
      <c r="I154" s="30">
        <v>8000</v>
      </c>
    </row>
    <row r="155" spans="1:36" ht="18" x14ac:dyDescent="0.35">
      <c r="B155" s="43">
        <v>42584</v>
      </c>
      <c r="C155" s="30" t="s">
        <v>9</v>
      </c>
      <c r="D155" s="30" t="s">
        <v>1750</v>
      </c>
      <c r="E155" s="30">
        <v>50</v>
      </c>
      <c r="F155" s="30">
        <v>51</v>
      </c>
      <c r="G155" s="30">
        <v>1</v>
      </c>
      <c r="H155" s="30">
        <v>250</v>
      </c>
      <c r="I155" s="30">
        <v>250</v>
      </c>
      <c r="K155" s="100"/>
      <c r="L155" s="100"/>
      <c r="M155" s="100"/>
      <c r="N155" s="100"/>
      <c r="O155" s="100"/>
    </row>
    <row r="156" spans="1:36" x14ac:dyDescent="0.3">
      <c r="B156" s="43">
        <v>42585</v>
      </c>
      <c r="C156" s="30" t="s">
        <v>9</v>
      </c>
      <c r="D156" s="30" t="s">
        <v>1689</v>
      </c>
      <c r="E156" s="30">
        <v>70</v>
      </c>
      <c r="F156" s="30">
        <v>77</v>
      </c>
      <c r="G156" s="30">
        <v>7</v>
      </c>
      <c r="H156" s="30">
        <v>300</v>
      </c>
      <c r="I156" s="30">
        <v>2100</v>
      </c>
      <c r="L156" s="30"/>
    </row>
    <row r="157" spans="1:36" x14ac:dyDescent="0.3">
      <c r="B157" s="43">
        <v>42586</v>
      </c>
      <c r="C157" s="30" t="s">
        <v>9</v>
      </c>
      <c r="D157" s="30" t="s">
        <v>1751</v>
      </c>
      <c r="E157" s="30">
        <v>30</v>
      </c>
      <c r="F157" s="30">
        <v>28</v>
      </c>
      <c r="G157" s="30">
        <v>-2</v>
      </c>
      <c r="H157" s="30">
        <v>700</v>
      </c>
      <c r="I157" s="30">
        <v>-1400</v>
      </c>
      <c r="L157" s="30"/>
    </row>
    <row r="158" spans="1:36" x14ac:dyDescent="0.3">
      <c r="B158" s="43">
        <v>42587</v>
      </c>
      <c r="C158" s="30" t="s">
        <v>9</v>
      </c>
      <c r="D158" s="30" t="s">
        <v>1752</v>
      </c>
      <c r="E158" s="30">
        <v>8.5</v>
      </c>
      <c r="F158" s="30">
        <v>9.4</v>
      </c>
      <c r="G158" s="30">
        <v>0.9</v>
      </c>
      <c r="H158" s="30">
        <v>3000</v>
      </c>
      <c r="I158" s="30">
        <v>2700</v>
      </c>
      <c r="L158" s="30"/>
    </row>
    <row r="159" spans="1:36" x14ac:dyDescent="0.3">
      <c r="B159" s="43">
        <v>42590</v>
      </c>
      <c r="C159" s="30" t="s">
        <v>9</v>
      </c>
      <c r="D159" s="30" t="s">
        <v>1562</v>
      </c>
      <c r="E159" s="30">
        <v>40</v>
      </c>
      <c r="F159" s="30">
        <v>35</v>
      </c>
      <c r="G159" s="30">
        <v>-5</v>
      </c>
      <c r="H159" s="30">
        <v>500</v>
      </c>
      <c r="I159" s="30">
        <v>-2500</v>
      </c>
      <c r="L159" s="30"/>
    </row>
    <row r="160" spans="1:36" x14ac:dyDescent="0.3">
      <c r="B160" s="43">
        <v>42591</v>
      </c>
      <c r="C160" s="30" t="s">
        <v>9</v>
      </c>
      <c r="D160" s="30" t="s">
        <v>1689</v>
      </c>
      <c r="E160" s="30">
        <v>62</v>
      </c>
      <c r="F160" s="30">
        <v>90</v>
      </c>
      <c r="G160" s="30">
        <v>28</v>
      </c>
      <c r="H160" s="30">
        <v>300</v>
      </c>
      <c r="I160" s="30">
        <v>8400</v>
      </c>
      <c r="L160" s="30"/>
    </row>
    <row r="161" spans="2:12" x14ac:dyDescent="0.3">
      <c r="B161" s="43">
        <v>42592</v>
      </c>
      <c r="C161" s="30" t="s">
        <v>9</v>
      </c>
      <c r="D161" s="30" t="s">
        <v>1491</v>
      </c>
      <c r="E161" s="30">
        <v>20</v>
      </c>
      <c r="F161" s="30">
        <v>18.5</v>
      </c>
      <c r="G161" s="30">
        <v>-1.5</v>
      </c>
      <c r="H161" s="30">
        <v>500</v>
      </c>
      <c r="I161" s="30">
        <v>-750</v>
      </c>
      <c r="L161" s="30"/>
    </row>
    <row r="162" spans="2:12" x14ac:dyDescent="0.3">
      <c r="B162" s="43">
        <v>42593</v>
      </c>
      <c r="C162" s="30" t="s">
        <v>9</v>
      </c>
      <c r="D162" s="30" t="s">
        <v>1079</v>
      </c>
      <c r="E162" s="30">
        <v>8</v>
      </c>
      <c r="F162" s="30">
        <v>9</v>
      </c>
      <c r="G162" s="30">
        <v>1</v>
      </c>
      <c r="H162" s="30">
        <v>3000</v>
      </c>
      <c r="I162" s="30">
        <v>3000</v>
      </c>
    </row>
    <row r="163" spans="2:12" x14ac:dyDescent="0.3">
      <c r="B163" s="43">
        <v>42594</v>
      </c>
      <c r="C163" s="30" t="s">
        <v>9</v>
      </c>
      <c r="D163" s="30" t="s">
        <v>1562</v>
      </c>
      <c r="E163" s="30">
        <v>35</v>
      </c>
      <c r="F163" s="30">
        <v>42.5</v>
      </c>
      <c r="G163" s="30">
        <v>7.5</v>
      </c>
      <c r="H163" s="30">
        <v>500</v>
      </c>
      <c r="I163" s="30">
        <v>3750</v>
      </c>
    </row>
    <row r="164" spans="2:12" x14ac:dyDescent="0.3">
      <c r="B164" s="43">
        <v>42598</v>
      </c>
      <c r="C164" s="30" t="s">
        <v>9</v>
      </c>
      <c r="D164" s="30" t="s">
        <v>1756</v>
      </c>
      <c r="E164" s="30">
        <v>7.5</v>
      </c>
      <c r="F164" s="30">
        <v>9</v>
      </c>
      <c r="G164" s="30">
        <v>1.5</v>
      </c>
      <c r="H164" s="30">
        <v>1200</v>
      </c>
      <c r="I164" s="30">
        <v>1800</v>
      </c>
    </row>
    <row r="165" spans="2:12" x14ac:dyDescent="0.3">
      <c r="B165" s="43">
        <v>42599</v>
      </c>
      <c r="C165" s="30" t="s">
        <v>9</v>
      </c>
      <c r="D165" s="30" t="s">
        <v>1643</v>
      </c>
      <c r="E165" s="30">
        <v>6.7</v>
      </c>
      <c r="F165" s="30">
        <v>4</v>
      </c>
      <c r="G165" s="30">
        <v>-2.7</v>
      </c>
      <c r="H165" s="30">
        <v>2500</v>
      </c>
      <c r="I165" s="30">
        <v>-6750</v>
      </c>
    </row>
    <row r="166" spans="2:12" x14ac:dyDescent="0.3">
      <c r="B166" s="43">
        <v>42600</v>
      </c>
      <c r="C166" s="30" t="s">
        <v>9</v>
      </c>
      <c r="D166" s="30" t="s">
        <v>1757</v>
      </c>
      <c r="E166" s="30">
        <v>5</v>
      </c>
      <c r="F166" s="30">
        <v>7.8</v>
      </c>
      <c r="G166" s="30">
        <v>2.8</v>
      </c>
      <c r="H166" s="30">
        <v>3000</v>
      </c>
      <c r="I166" s="30">
        <v>8400</v>
      </c>
    </row>
    <row r="167" spans="2:12" x14ac:dyDescent="0.3">
      <c r="B167" s="43">
        <v>42601</v>
      </c>
      <c r="C167" s="30" t="s">
        <v>9</v>
      </c>
      <c r="D167" s="30" t="s">
        <v>1758</v>
      </c>
      <c r="E167" s="30">
        <v>7</v>
      </c>
      <c r="F167" s="30">
        <v>9.3000000000000007</v>
      </c>
      <c r="G167" s="30">
        <v>2.2999999999999998</v>
      </c>
      <c r="H167" s="30">
        <v>1200</v>
      </c>
      <c r="I167" s="30">
        <v>2760</v>
      </c>
    </row>
    <row r="168" spans="2:12" x14ac:dyDescent="0.3">
      <c r="B168" s="43">
        <v>42604</v>
      </c>
      <c r="C168" s="30" t="s">
        <v>9</v>
      </c>
      <c r="D168" s="30" t="s">
        <v>1758</v>
      </c>
      <c r="E168" s="30">
        <v>11</v>
      </c>
      <c r="F168" s="30">
        <v>11.15</v>
      </c>
      <c r="G168" s="30">
        <v>0.15</v>
      </c>
      <c r="H168" s="30">
        <v>1200</v>
      </c>
      <c r="I168" s="30">
        <v>180</v>
      </c>
    </row>
    <row r="169" spans="2:12" x14ac:dyDescent="0.3">
      <c r="B169" s="43">
        <v>42605</v>
      </c>
      <c r="C169" s="30" t="s">
        <v>9</v>
      </c>
      <c r="D169" s="30" t="s">
        <v>1762</v>
      </c>
      <c r="E169" s="30">
        <v>4</v>
      </c>
      <c r="F169" s="30">
        <v>5</v>
      </c>
      <c r="G169" s="30">
        <v>1</v>
      </c>
      <c r="H169" s="30">
        <v>3000</v>
      </c>
      <c r="I169" s="30">
        <v>3000</v>
      </c>
    </row>
    <row r="170" spans="2:12" x14ac:dyDescent="0.3">
      <c r="B170" s="43">
        <v>42606</v>
      </c>
      <c r="C170" s="30" t="s">
        <v>9</v>
      </c>
      <c r="D170" s="30" t="s">
        <v>1758</v>
      </c>
      <c r="E170" s="30">
        <v>10</v>
      </c>
      <c r="F170" s="30">
        <v>12.1</v>
      </c>
      <c r="G170" s="30">
        <v>2.1</v>
      </c>
      <c r="H170" s="30">
        <v>1200</v>
      </c>
      <c r="I170" s="30">
        <v>2520</v>
      </c>
    </row>
    <row r="171" spans="2:12" x14ac:dyDescent="0.3">
      <c r="B171" s="43">
        <v>42608</v>
      </c>
      <c r="C171" s="30" t="s">
        <v>9</v>
      </c>
      <c r="D171" s="30" t="s">
        <v>1763</v>
      </c>
      <c r="E171" s="30">
        <v>30</v>
      </c>
      <c r="F171" s="30">
        <v>34</v>
      </c>
      <c r="G171" s="30">
        <v>4</v>
      </c>
      <c r="H171" s="30">
        <v>700</v>
      </c>
      <c r="I171" s="30">
        <v>2800</v>
      </c>
    </row>
    <row r="172" spans="2:12" x14ac:dyDescent="0.3">
      <c r="B172" s="87">
        <v>42612</v>
      </c>
      <c r="C172" s="30" t="s">
        <v>9</v>
      </c>
      <c r="D172" s="30" t="s">
        <v>1767</v>
      </c>
      <c r="E172" s="30">
        <v>31</v>
      </c>
      <c r="F172" s="30">
        <v>27</v>
      </c>
      <c r="G172" s="30">
        <v>-4</v>
      </c>
      <c r="H172" s="30">
        <v>700</v>
      </c>
      <c r="I172" s="30">
        <v>-2800</v>
      </c>
    </row>
    <row r="173" spans="2:12" x14ac:dyDescent="0.3">
      <c r="B173" s="43">
        <v>42613</v>
      </c>
      <c r="C173" s="30" t="s">
        <v>9</v>
      </c>
      <c r="D173" s="30" t="s">
        <v>1768</v>
      </c>
      <c r="E173" s="30">
        <v>21</v>
      </c>
      <c r="F173" s="30">
        <v>31</v>
      </c>
      <c r="G173" s="30">
        <v>10</v>
      </c>
      <c r="H173" s="30">
        <v>500</v>
      </c>
      <c r="I173" s="30">
        <v>5000</v>
      </c>
    </row>
    <row r="175" spans="2:12" ht="23.4" x14ac:dyDescent="0.45">
      <c r="I175" s="125">
        <v>40460</v>
      </c>
    </row>
    <row r="177" spans="1:10" ht="18" x14ac:dyDescent="0.35">
      <c r="B177" s="285" t="s">
        <v>1152</v>
      </c>
      <c r="C177" s="286"/>
      <c r="D177" s="286"/>
      <c r="E177" s="286"/>
      <c r="F177" s="286"/>
      <c r="G177" s="286"/>
      <c r="H177" s="286"/>
      <c r="I177" s="287"/>
    </row>
    <row r="178" spans="1:10" x14ac:dyDescent="0.3">
      <c r="B178" s="43">
        <v>42583</v>
      </c>
      <c r="C178" s="30" t="s">
        <v>9</v>
      </c>
      <c r="D178" s="30" t="s">
        <v>1692</v>
      </c>
      <c r="E178" s="30">
        <v>310</v>
      </c>
      <c r="F178" s="30">
        <v>470</v>
      </c>
      <c r="G178" s="30">
        <v>160</v>
      </c>
      <c r="H178" s="30">
        <v>160</v>
      </c>
      <c r="I178" s="30">
        <v>25600</v>
      </c>
    </row>
    <row r="179" spans="1:10" x14ac:dyDescent="0.3">
      <c r="B179" s="43">
        <v>42584</v>
      </c>
      <c r="C179" s="30" t="s">
        <v>9</v>
      </c>
      <c r="D179" s="30" t="s">
        <v>1654</v>
      </c>
      <c r="E179" s="30">
        <v>360</v>
      </c>
      <c r="F179" s="30">
        <v>380</v>
      </c>
      <c r="G179" s="30">
        <v>20</v>
      </c>
      <c r="H179" s="30">
        <v>160</v>
      </c>
      <c r="I179" s="30">
        <v>3200</v>
      </c>
    </row>
    <row r="180" spans="1:10" x14ac:dyDescent="0.3">
      <c r="B180" s="43">
        <v>42585</v>
      </c>
      <c r="C180" s="30" t="s">
        <v>9</v>
      </c>
      <c r="D180" s="30" t="s">
        <v>1654</v>
      </c>
      <c r="E180" s="30">
        <v>350</v>
      </c>
      <c r="F180" s="30">
        <v>450</v>
      </c>
      <c r="G180" s="30">
        <v>100</v>
      </c>
      <c r="H180" s="30">
        <v>160</v>
      </c>
      <c r="I180" s="30">
        <v>16000</v>
      </c>
    </row>
    <row r="181" spans="1:10" x14ac:dyDescent="0.3">
      <c r="B181" s="43">
        <v>42586</v>
      </c>
      <c r="C181" s="30" t="s">
        <v>9</v>
      </c>
      <c r="D181" s="30" t="s">
        <v>1753</v>
      </c>
      <c r="E181" s="30">
        <v>300</v>
      </c>
      <c r="F181" s="30">
        <v>340</v>
      </c>
      <c r="G181" s="30">
        <v>40</v>
      </c>
      <c r="H181" s="30">
        <v>160</v>
      </c>
      <c r="I181" s="30">
        <v>6400</v>
      </c>
    </row>
    <row r="182" spans="1:10" x14ac:dyDescent="0.3">
      <c r="B182" s="43">
        <v>42587</v>
      </c>
      <c r="C182" s="30" t="s">
        <v>9</v>
      </c>
      <c r="D182" s="30" t="s">
        <v>1754</v>
      </c>
      <c r="E182" s="30">
        <v>280</v>
      </c>
      <c r="F182" s="30">
        <v>280</v>
      </c>
      <c r="G182" s="30">
        <v>0</v>
      </c>
      <c r="H182" s="30">
        <v>160</v>
      </c>
      <c r="I182" s="30">
        <v>0</v>
      </c>
    </row>
    <row r="183" spans="1:10" x14ac:dyDescent="0.3">
      <c r="B183" s="43">
        <v>42590</v>
      </c>
      <c r="C183" s="30" t="s">
        <v>9</v>
      </c>
      <c r="D183" s="30" t="s">
        <v>1754</v>
      </c>
      <c r="E183" s="30">
        <v>230</v>
      </c>
      <c r="F183" s="30">
        <v>240</v>
      </c>
      <c r="G183" s="30">
        <v>10</v>
      </c>
      <c r="H183" s="30">
        <v>160</v>
      </c>
      <c r="I183" s="30">
        <v>1600</v>
      </c>
    </row>
    <row r="184" spans="1:10" x14ac:dyDescent="0.3">
      <c r="B184" s="43">
        <v>42591</v>
      </c>
      <c r="C184" s="30" t="s">
        <v>9</v>
      </c>
      <c r="D184" s="30" t="s">
        <v>1754</v>
      </c>
      <c r="E184" s="30">
        <v>230</v>
      </c>
      <c r="F184" s="30">
        <v>260</v>
      </c>
      <c r="G184" s="30">
        <v>30</v>
      </c>
      <c r="H184" s="30">
        <v>160</v>
      </c>
      <c r="I184" s="30">
        <v>4800</v>
      </c>
    </row>
    <row r="185" spans="1:10" x14ac:dyDescent="0.3">
      <c r="B185" s="43">
        <v>42592</v>
      </c>
      <c r="C185" s="30" t="s">
        <v>9</v>
      </c>
      <c r="D185" s="30" t="s">
        <v>1754</v>
      </c>
      <c r="E185" s="30">
        <v>280</v>
      </c>
      <c r="F185" s="30">
        <v>350</v>
      </c>
      <c r="G185" s="30">
        <v>70</v>
      </c>
      <c r="H185" s="30">
        <v>160</v>
      </c>
      <c r="I185" s="30">
        <v>11200</v>
      </c>
    </row>
    <row r="186" spans="1:10" x14ac:dyDescent="0.3">
      <c r="B186" s="43">
        <v>42593</v>
      </c>
      <c r="C186" s="30" t="s">
        <v>9</v>
      </c>
      <c r="D186" s="30" t="s">
        <v>1654</v>
      </c>
      <c r="E186" s="30">
        <v>310</v>
      </c>
      <c r="F186" s="30">
        <v>335</v>
      </c>
      <c r="G186" s="30">
        <v>25</v>
      </c>
      <c r="H186" s="30">
        <v>160</v>
      </c>
      <c r="I186" s="30">
        <v>4000</v>
      </c>
    </row>
    <row r="187" spans="1:10" x14ac:dyDescent="0.3">
      <c r="B187" s="43">
        <v>42594</v>
      </c>
      <c r="C187" s="30" t="s">
        <v>11</v>
      </c>
      <c r="D187" s="30" t="s">
        <v>1654</v>
      </c>
      <c r="E187" s="30">
        <v>200</v>
      </c>
      <c r="F187" s="30">
        <v>230</v>
      </c>
      <c r="G187" s="30">
        <v>30</v>
      </c>
      <c r="H187" s="30">
        <v>160</v>
      </c>
      <c r="I187" s="30">
        <v>4800</v>
      </c>
    </row>
    <row r="188" spans="1:10" x14ac:dyDescent="0.3">
      <c r="B188" s="43">
        <v>42598</v>
      </c>
      <c r="C188" s="30" t="s">
        <v>9</v>
      </c>
      <c r="D188" s="30" t="s">
        <v>1759</v>
      </c>
      <c r="E188" s="30">
        <v>220</v>
      </c>
      <c r="F188" s="30">
        <v>340</v>
      </c>
      <c r="G188" s="30">
        <v>120</v>
      </c>
      <c r="H188" s="30">
        <v>160</v>
      </c>
      <c r="I188" s="30">
        <v>19200</v>
      </c>
    </row>
    <row r="189" spans="1:10" x14ac:dyDescent="0.3">
      <c r="B189" s="43">
        <v>42599</v>
      </c>
      <c r="C189" s="30" t="s">
        <v>9</v>
      </c>
      <c r="D189" s="30" t="s">
        <v>1759</v>
      </c>
      <c r="E189" s="30">
        <v>230</v>
      </c>
      <c r="F189" s="30">
        <v>190</v>
      </c>
      <c r="G189" s="30">
        <v>-40</v>
      </c>
      <c r="H189" s="30">
        <v>160</v>
      </c>
      <c r="I189" s="30">
        <v>-6400</v>
      </c>
    </row>
    <row r="190" spans="1:10" x14ac:dyDescent="0.3">
      <c r="B190" s="87">
        <v>42600</v>
      </c>
      <c r="C190" s="30" t="s">
        <v>9</v>
      </c>
      <c r="D190" s="30" t="s">
        <v>1760</v>
      </c>
      <c r="E190" s="30">
        <v>160</v>
      </c>
      <c r="F190" s="30">
        <v>180</v>
      </c>
      <c r="G190" s="30">
        <v>20</v>
      </c>
      <c r="H190" s="30">
        <v>160</v>
      </c>
      <c r="I190" s="30">
        <v>3200</v>
      </c>
    </row>
    <row r="191" spans="1:10" s="30" customFormat="1" x14ac:dyDescent="0.3">
      <c r="A191" s="9"/>
      <c r="B191" s="43">
        <v>42601</v>
      </c>
      <c r="C191" s="30" t="s">
        <v>9</v>
      </c>
      <c r="D191" s="30" t="s">
        <v>1761</v>
      </c>
      <c r="E191" s="30">
        <v>160</v>
      </c>
      <c r="F191" s="30">
        <v>140</v>
      </c>
      <c r="G191" s="30">
        <v>-20</v>
      </c>
      <c r="H191" s="30">
        <v>160</v>
      </c>
      <c r="I191" s="30">
        <v>-3200</v>
      </c>
      <c r="J191" s="9"/>
    </row>
    <row r="192" spans="1:10" s="30" customFormat="1" x14ac:dyDescent="0.3">
      <c r="A192" s="9"/>
      <c r="B192" s="43">
        <v>42604</v>
      </c>
      <c r="C192" s="30" t="s">
        <v>9</v>
      </c>
      <c r="D192" s="30" t="s">
        <v>1761</v>
      </c>
      <c r="E192" s="30">
        <v>170</v>
      </c>
      <c r="F192" s="30">
        <v>205</v>
      </c>
      <c r="G192" s="30">
        <v>35</v>
      </c>
      <c r="H192" s="30">
        <v>160</v>
      </c>
      <c r="I192" s="30">
        <v>5600</v>
      </c>
      <c r="J192" s="9"/>
    </row>
    <row r="193" spans="1:10" s="30" customFormat="1" x14ac:dyDescent="0.3">
      <c r="A193" s="9"/>
      <c r="B193" s="43">
        <v>42605</v>
      </c>
      <c r="C193" s="30" t="s">
        <v>9</v>
      </c>
      <c r="D193" s="30" t="s">
        <v>1761</v>
      </c>
      <c r="E193" s="30">
        <v>160</v>
      </c>
      <c r="F193" s="30">
        <v>190</v>
      </c>
      <c r="G193" s="30">
        <v>30</v>
      </c>
      <c r="H193" s="30">
        <v>160</v>
      </c>
      <c r="I193" s="30">
        <v>4800</v>
      </c>
      <c r="J193" s="9"/>
    </row>
    <row r="194" spans="1:10" s="30" customFormat="1" x14ac:dyDescent="0.3">
      <c r="A194" s="9"/>
      <c r="B194" s="43">
        <v>42606</v>
      </c>
      <c r="C194" s="30" t="s">
        <v>9</v>
      </c>
      <c r="D194" s="30" t="s">
        <v>1764</v>
      </c>
      <c r="E194" s="30">
        <v>200</v>
      </c>
      <c r="F194" s="30">
        <v>200</v>
      </c>
      <c r="G194" s="30">
        <v>0</v>
      </c>
      <c r="H194" s="30">
        <v>160</v>
      </c>
      <c r="I194" s="30">
        <v>0</v>
      </c>
      <c r="J194" s="9"/>
    </row>
    <row r="195" spans="1:10" s="30" customFormat="1" x14ac:dyDescent="0.3">
      <c r="A195" s="9"/>
      <c r="B195" s="43">
        <v>42607</v>
      </c>
      <c r="C195" s="30" t="s">
        <v>9</v>
      </c>
      <c r="D195" s="30" t="s">
        <v>1765</v>
      </c>
      <c r="E195" s="30">
        <v>170</v>
      </c>
      <c r="F195" s="30">
        <v>285</v>
      </c>
      <c r="G195" s="30">
        <v>115</v>
      </c>
      <c r="H195" s="30">
        <v>160</v>
      </c>
      <c r="I195" s="30">
        <v>18400</v>
      </c>
      <c r="J195" s="9"/>
    </row>
    <row r="196" spans="1:10" s="30" customFormat="1" x14ac:dyDescent="0.3">
      <c r="A196" s="9"/>
      <c r="B196" s="43">
        <v>42608</v>
      </c>
      <c r="C196" s="30" t="s">
        <v>9</v>
      </c>
      <c r="D196" s="30" t="s">
        <v>1760</v>
      </c>
      <c r="E196" s="30">
        <v>310</v>
      </c>
      <c r="F196" s="30">
        <v>370</v>
      </c>
      <c r="G196" s="30">
        <v>60</v>
      </c>
      <c r="H196" s="30">
        <v>160</v>
      </c>
      <c r="I196" s="30">
        <v>9600</v>
      </c>
      <c r="J196" s="9"/>
    </row>
    <row r="197" spans="1:10" s="30" customFormat="1" x14ac:dyDescent="0.3">
      <c r="A197" s="9"/>
      <c r="B197" s="43">
        <v>42611</v>
      </c>
      <c r="C197" s="30" t="s">
        <v>9</v>
      </c>
      <c r="D197" s="30" t="s">
        <v>1769</v>
      </c>
      <c r="E197" s="30">
        <v>310</v>
      </c>
      <c r="F197" s="30">
        <v>340</v>
      </c>
      <c r="G197" s="30">
        <v>30</v>
      </c>
      <c r="H197" s="30">
        <v>160</v>
      </c>
      <c r="I197" s="30">
        <v>4800</v>
      </c>
      <c r="J197" s="9"/>
    </row>
    <row r="198" spans="1:10" s="30" customFormat="1" x14ac:dyDescent="0.3">
      <c r="A198" s="9"/>
      <c r="B198" s="43">
        <v>42612</v>
      </c>
      <c r="C198" s="30" t="s">
        <v>9</v>
      </c>
      <c r="D198" s="30" t="s">
        <v>1761</v>
      </c>
      <c r="E198" s="30">
        <v>260</v>
      </c>
      <c r="F198" s="30">
        <v>245</v>
      </c>
      <c r="G198" s="30">
        <v>-15</v>
      </c>
      <c r="H198" s="30">
        <v>160</v>
      </c>
      <c r="I198" s="30">
        <v>-2400</v>
      </c>
      <c r="J198" s="9"/>
    </row>
    <row r="199" spans="1:10" s="30" customFormat="1" x14ac:dyDescent="0.3">
      <c r="A199" s="9"/>
      <c r="B199" s="43">
        <v>42613</v>
      </c>
      <c r="C199" s="30" t="s">
        <v>9</v>
      </c>
      <c r="D199" s="30" t="s">
        <v>1770</v>
      </c>
      <c r="E199" s="30">
        <v>370</v>
      </c>
      <c r="F199" s="30">
        <v>450</v>
      </c>
      <c r="G199" s="30">
        <v>80</v>
      </c>
      <c r="H199" s="30">
        <v>160</v>
      </c>
      <c r="I199" s="30">
        <v>12800</v>
      </c>
      <c r="J199" s="9"/>
    </row>
    <row r="204" spans="1:10" ht="23.4" x14ac:dyDescent="0.45">
      <c r="I204" s="125">
        <v>144000</v>
      </c>
    </row>
  </sheetData>
  <mergeCells count="5">
    <mergeCell ref="B177:I177"/>
    <mergeCell ref="B1:I1"/>
    <mergeCell ref="B2:I2"/>
    <mergeCell ref="B3:I3"/>
    <mergeCell ref="B153:I153"/>
  </mergeCells>
  <hyperlinks>
    <hyperlink ref="K2" location="'MASTER '!A1" display="Back" xr:uid="{00000000-0004-0000-28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J197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1811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42614</v>
      </c>
      <c r="C6" s="2" t="s">
        <v>9</v>
      </c>
      <c r="D6" s="2" t="s">
        <v>192</v>
      </c>
      <c r="E6" s="90" t="s">
        <v>869</v>
      </c>
      <c r="F6" s="91" t="s">
        <v>868</v>
      </c>
      <c r="G6" s="91" t="s">
        <v>908</v>
      </c>
      <c r="H6" s="92">
        <v>1067</v>
      </c>
      <c r="I6" s="93">
        <v>2134</v>
      </c>
      <c r="L6" s="16"/>
    </row>
    <row r="7" spans="1:15" x14ac:dyDescent="0.3">
      <c r="B7" s="43">
        <v>42614</v>
      </c>
      <c r="C7" s="2" t="s">
        <v>8</v>
      </c>
      <c r="D7" s="2" t="s">
        <v>939</v>
      </c>
      <c r="E7" s="41" t="s">
        <v>702</v>
      </c>
      <c r="F7" s="40" t="s">
        <v>682</v>
      </c>
      <c r="G7" s="40" t="s">
        <v>1011</v>
      </c>
      <c r="H7" s="5">
        <v>857</v>
      </c>
      <c r="I7" s="81">
        <v>5999</v>
      </c>
      <c r="L7" s="16"/>
    </row>
    <row r="8" spans="1:15" x14ac:dyDescent="0.3">
      <c r="B8" s="43">
        <v>42615</v>
      </c>
      <c r="C8" s="2" t="s">
        <v>9</v>
      </c>
      <c r="D8" s="2" t="s">
        <v>192</v>
      </c>
      <c r="E8" s="41" t="s">
        <v>1771</v>
      </c>
      <c r="F8" s="40" t="s">
        <v>1772</v>
      </c>
      <c r="G8" s="40" t="s">
        <v>959</v>
      </c>
      <c r="H8" s="5">
        <v>1075</v>
      </c>
      <c r="I8" s="81">
        <v>3225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42615</v>
      </c>
      <c r="C9" s="2" t="s">
        <v>9</v>
      </c>
      <c r="D9" s="2" t="s">
        <v>139</v>
      </c>
      <c r="E9" s="41" t="s">
        <v>1773</v>
      </c>
      <c r="F9" s="40" t="s">
        <v>1044</v>
      </c>
      <c r="G9" s="40" t="s">
        <v>952</v>
      </c>
      <c r="H9" s="5">
        <v>219</v>
      </c>
      <c r="I9" s="81">
        <v>4380</v>
      </c>
      <c r="K9" s="66"/>
      <c r="L9" s="67"/>
      <c r="M9" s="67"/>
      <c r="N9" s="67"/>
      <c r="O9" s="67"/>
    </row>
    <row r="10" spans="1:15" x14ac:dyDescent="0.3">
      <c r="B10" s="43">
        <v>42984</v>
      </c>
      <c r="C10" s="2" t="s">
        <v>9</v>
      </c>
      <c r="D10" s="2" t="s">
        <v>192</v>
      </c>
      <c r="E10" s="41" t="s">
        <v>1774</v>
      </c>
      <c r="F10" s="40" t="s">
        <v>1775</v>
      </c>
      <c r="G10" s="40" t="s">
        <v>959</v>
      </c>
      <c r="H10" s="5">
        <v>1056</v>
      </c>
      <c r="I10" s="81">
        <v>3168</v>
      </c>
      <c r="K10" s="16" t="s">
        <v>449</v>
      </c>
      <c r="L10" s="30">
        <v>40</v>
      </c>
      <c r="M10" s="30">
        <v>33</v>
      </c>
      <c r="N10" s="30">
        <v>6</v>
      </c>
      <c r="O10" s="30">
        <v>1</v>
      </c>
    </row>
    <row r="11" spans="1:15" x14ac:dyDescent="0.3">
      <c r="B11" s="43">
        <v>42619</v>
      </c>
      <c r="C11" s="2" t="s">
        <v>9</v>
      </c>
      <c r="D11" s="2" t="s">
        <v>139</v>
      </c>
      <c r="E11" s="41" t="s">
        <v>1776</v>
      </c>
      <c r="F11" s="40" t="s">
        <v>845</v>
      </c>
      <c r="G11" s="40" t="s">
        <v>961</v>
      </c>
      <c r="H11" s="5">
        <v>213</v>
      </c>
      <c r="I11" s="81">
        <v>5325</v>
      </c>
      <c r="K11" s="16"/>
      <c r="L11" s="30"/>
      <c r="M11" s="30"/>
      <c r="N11" s="30"/>
      <c r="O11" s="30"/>
    </row>
    <row r="12" spans="1:15" x14ac:dyDescent="0.3">
      <c r="B12" s="43">
        <v>42620</v>
      </c>
      <c r="C12" s="2" t="s">
        <v>9</v>
      </c>
      <c r="D12" s="2" t="s">
        <v>192</v>
      </c>
      <c r="E12" s="41" t="s">
        <v>888</v>
      </c>
      <c r="F12" s="40" t="s">
        <v>1725</v>
      </c>
      <c r="G12" s="40" t="s">
        <v>1011</v>
      </c>
      <c r="H12" s="5">
        <v>1042</v>
      </c>
      <c r="I12" s="81">
        <v>7294</v>
      </c>
      <c r="K12" s="16" t="s">
        <v>450</v>
      </c>
      <c r="L12" s="30">
        <v>20</v>
      </c>
      <c r="M12" s="30">
        <v>16</v>
      </c>
      <c r="N12" s="30">
        <v>1</v>
      </c>
      <c r="O12" s="30">
        <v>3</v>
      </c>
    </row>
    <row r="13" spans="1:15" x14ac:dyDescent="0.3">
      <c r="B13" s="43">
        <v>42620</v>
      </c>
      <c r="C13" s="2" t="s">
        <v>8</v>
      </c>
      <c r="D13" s="2" t="s">
        <v>58</v>
      </c>
      <c r="E13" s="41" t="s">
        <v>1777</v>
      </c>
      <c r="F13" s="40" t="s">
        <v>1778</v>
      </c>
      <c r="G13" s="40" t="s">
        <v>1011</v>
      </c>
      <c r="H13" s="5">
        <v>476</v>
      </c>
      <c r="I13" s="81">
        <v>3332</v>
      </c>
      <c r="K13" s="16"/>
      <c r="L13" s="30"/>
      <c r="M13" s="30"/>
      <c r="N13" s="30"/>
      <c r="O13" s="30"/>
    </row>
    <row r="14" spans="1:15" x14ac:dyDescent="0.3">
      <c r="B14" s="43">
        <v>42621</v>
      </c>
      <c r="C14" s="2" t="s">
        <v>9</v>
      </c>
      <c r="D14" s="2" t="s">
        <v>192</v>
      </c>
      <c r="E14" s="41" t="s">
        <v>605</v>
      </c>
      <c r="F14" s="40" t="s">
        <v>1779</v>
      </c>
      <c r="G14" s="40" t="s">
        <v>1011</v>
      </c>
      <c r="H14" s="5">
        <v>977</v>
      </c>
      <c r="I14" s="81">
        <v>6839</v>
      </c>
      <c r="K14" s="16" t="s">
        <v>451</v>
      </c>
      <c r="L14" s="30">
        <v>20</v>
      </c>
      <c r="M14" s="30">
        <v>17</v>
      </c>
      <c r="N14" s="30">
        <v>3</v>
      </c>
      <c r="O14" s="30">
        <v>0</v>
      </c>
    </row>
    <row r="15" spans="1:15" x14ac:dyDescent="0.3">
      <c r="B15" s="43">
        <v>42621</v>
      </c>
      <c r="C15" s="2" t="s">
        <v>9</v>
      </c>
      <c r="D15" s="2" t="s">
        <v>192</v>
      </c>
      <c r="E15" s="41" t="s">
        <v>1780</v>
      </c>
      <c r="F15" s="40" t="s">
        <v>1118</v>
      </c>
      <c r="G15" s="40" t="s">
        <v>925</v>
      </c>
      <c r="H15" s="5">
        <v>968</v>
      </c>
      <c r="I15" s="81">
        <v>4840</v>
      </c>
      <c r="K15" s="16"/>
      <c r="M15" s="30"/>
      <c r="N15" s="30"/>
      <c r="O15" s="30"/>
    </row>
    <row r="16" spans="1:15" x14ac:dyDescent="0.3">
      <c r="B16" s="43">
        <v>42622</v>
      </c>
      <c r="C16" s="2" t="s">
        <v>9</v>
      </c>
      <c r="D16" s="2" t="s">
        <v>192</v>
      </c>
      <c r="E16" s="41" t="s">
        <v>1419</v>
      </c>
      <c r="F16" s="40" t="s">
        <v>1118</v>
      </c>
      <c r="G16" s="40" t="s">
        <v>1011</v>
      </c>
      <c r="H16" s="5">
        <v>974</v>
      </c>
      <c r="I16" s="81">
        <v>6818</v>
      </c>
      <c r="K16" s="16" t="s">
        <v>1176</v>
      </c>
      <c r="L16" s="30">
        <v>20</v>
      </c>
      <c r="M16" s="30">
        <v>15</v>
      </c>
      <c r="N16" s="30">
        <v>5</v>
      </c>
      <c r="O16" s="30">
        <v>0</v>
      </c>
    </row>
    <row r="17" spans="2:15" x14ac:dyDescent="0.3">
      <c r="B17" s="43">
        <v>42622</v>
      </c>
      <c r="C17" s="2" t="s">
        <v>8</v>
      </c>
      <c r="D17" s="2" t="s">
        <v>95</v>
      </c>
      <c r="E17" s="41" t="s">
        <v>1781</v>
      </c>
      <c r="F17" s="40" t="s">
        <v>1782</v>
      </c>
      <c r="G17" s="40" t="s">
        <v>1405</v>
      </c>
      <c r="H17" s="5">
        <v>1107</v>
      </c>
      <c r="I17" s="30">
        <v>-4428</v>
      </c>
      <c r="L17" s="30"/>
      <c r="M17" s="30"/>
      <c r="N17" s="30"/>
      <c r="O17" s="30"/>
    </row>
    <row r="18" spans="2:15" x14ac:dyDescent="0.3">
      <c r="B18" s="43">
        <v>42625</v>
      </c>
      <c r="C18" s="2" t="s">
        <v>9</v>
      </c>
      <c r="D18" s="28" t="s">
        <v>192</v>
      </c>
      <c r="E18" s="30">
        <v>305</v>
      </c>
      <c r="F18" s="30">
        <v>307.2</v>
      </c>
      <c r="G18" s="30">
        <v>2.2000000000000002</v>
      </c>
      <c r="H18" s="5">
        <v>984</v>
      </c>
      <c r="I18" s="81">
        <v>2165</v>
      </c>
      <c r="K18" s="16" t="s">
        <v>41</v>
      </c>
      <c r="L18" s="30">
        <v>20</v>
      </c>
      <c r="M18" s="30">
        <v>13</v>
      </c>
      <c r="N18" s="30">
        <v>0</v>
      </c>
      <c r="O18" s="30">
        <v>7</v>
      </c>
    </row>
    <row r="19" spans="2:15" x14ac:dyDescent="0.3">
      <c r="B19" s="43">
        <v>42625</v>
      </c>
      <c r="C19" s="2" t="s">
        <v>8</v>
      </c>
      <c r="D19" s="28" t="s">
        <v>58</v>
      </c>
      <c r="E19" s="30">
        <v>591</v>
      </c>
      <c r="F19" s="30">
        <v>591</v>
      </c>
      <c r="G19" s="30">
        <v>0</v>
      </c>
      <c r="H19" s="5">
        <v>0</v>
      </c>
      <c r="I19" s="81">
        <v>0</v>
      </c>
      <c r="K19" s="16"/>
      <c r="L19" s="30"/>
      <c r="M19" s="30"/>
      <c r="N19" s="30"/>
      <c r="O19" s="30"/>
    </row>
    <row r="20" spans="2:15" x14ac:dyDescent="0.3">
      <c r="B20" s="43">
        <v>42627</v>
      </c>
      <c r="C20" s="2" t="s">
        <v>9</v>
      </c>
      <c r="D20" s="28" t="s">
        <v>192</v>
      </c>
      <c r="E20" s="30">
        <v>304</v>
      </c>
      <c r="F20" s="30">
        <v>311</v>
      </c>
      <c r="G20" s="30">
        <v>7</v>
      </c>
      <c r="H20" s="5">
        <v>987</v>
      </c>
      <c r="I20" s="81">
        <v>6909</v>
      </c>
      <c r="K20" s="16" t="s">
        <v>1090</v>
      </c>
      <c r="L20" s="30">
        <v>20</v>
      </c>
      <c r="M20" s="30">
        <v>12</v>
      </c>
      <c r="N20" s="30">
        <v>4</v>
      </c>
      <c r="O20" s="30">
        <v>4</v>
      </c>
    </row>
    <row r="21" spans="2:15" x14ac:dyDescent="0.3">
      <c r="B21" s="43">
        <v>42627</v>
      </c>
      <c r="C21" s="2" t="s">
        <v>9</v>
      </c>
      <c r="D21" s="28" t="s">
        <v>48</v>
      </c>
      <c r="E21" s="30">
        <v>166.5</v>
      </c>
      <c r="F21" s="30">
        <v>168.7</v>
      </c>
      <c r="G21" s="30">
        <v>2.2000000000000002</v>
      </c>
      <c r="H21" s="5">
        <v>1802</v>
      </c>
      <c r="I21" s="81">
        <v>3964</v>
      </c>
      <c r="K21" s="16"/>
      <c r="L21" s="30"/>
      <c r="M21" s="30"/>
      <c r="N21" s="30"/>
      <c r="O21" s="30"/>
    </row>
    <row r="22" spans="2:15" x14ac:dyDescent="0.3">
      <c r="B22" s="43">
        <v>42628</v>
      </c>
      <c r="C22" s="2" t="s">
        <v>9</v>
      </c>
      <c r="D22" s="28" t="s">
        <v>192</v>
      </c>
      <c r="E22" s="30">
        <v>311</v>
      </c>
      <c r="F22" s="30">
        <v>307</v>
      </c>
      <c r="G22" s="30">
        <v>-4</v>
      </c>
      <c r="H22" s="5">
        <v>964</v>
      </c>
      <c r="I22" s="81">
        <v>-3856</v>
      </c>
      <c r="K22" s="16" t="s">
        <v>1175</v>
      </c>
      <c r="L22" s="30">
        <v>20</v>
      </c>
      <c r="M22" s="30">
        <v>14</v>
      </c>
      <c r="N22" s="30">
        <v>1</v>
      </c>
      <c r="O22" s="30">
        <v>5</v>
      </c>
    </row>
    <row r="23" spans="2:15" x14ac:dyDescent="0.3">
      <c r="B23" s="43">
        <v>42628</v>
      </c>
      <c r="C23" s="2" t="s">
        <v>8</v>
      </c>
      <c r="D23" s="28" t="s">
        <v>58</v>
      </c>
      <c r="E23" s="30">
        <v>593</v>
      </c>
      <c r="F23" s="30">
        <v>585.5</v>
      </c>
      <c r="G23" s="30">
        <v>7.5</v>
      </c>
      <c r="H23" s="5">
        <v>506</v>
      </c>
      <c r="I23" s="81">
        <v>3795</v>
      </c>
      <c r="K23" s="16"/>
      <c r="L23" s="30"/>
      <c r="M23" s="30"/>
      <c r="N23" s="30"/>
      <c r="O23" s="30"/>
    </row>
    <row r="24" spans="2:15" x14ac:dyDescent="0.3">
      <c r="B24" s="43">
        <v>42629</v>
      </c>
      <c r="C24" s="2" t="s">
        <v>9</v>
      </c>
      <c r="D24" s="28" t="s">
        <v>192</v>
      </c>
      <c r="E24" s="30">
        <v>311</v>
      </c>
      <c r="F24" s="30">
        <v>307</v>
      </c>
      <c r="G24" s="30">
        <v>-4</v>
      </c>
      <c r="H24" s="5">
        <v>964</v>
      </c>
      <c r="I24" s="81">
        <v>-3856</v>
      </c>
      <c r="K24" s="16" t="s">
        <v>946</v>
      </c>
      <c r="L24" s="21">
        <v>160</v>
      </c>
      <c r="M24" s="21">
        <v>120</v>
      </c>
      <c r="N24" s="21">
        <v>20</v>
      </c>
      <c r="O24" s="21">
        <v>20</v>
      </c>
    </row>
    <row r="25" spans="2:15" x14ac:dyDescent="0.3">
      <c r="B25" s="43">
        <v>42629</v>
      </c>
      <c r="C25" s="2" t="s">
        <v>8</v>
      </c>
      <c r="D25" s="28" t="s">
        <v>122</v>
      </c>
      <c r="E25" s="30">
        <v>534</v>
      </c>
      <c r="F25" s="30">
        <v>525</v>
      </c>
      <c r="G25" s="30">
        <v>9</v>
      </c>
      <c r="H25" s="5">
        <v>562</v>
      </c>
      <c r="I25" s="81">
        <v>5058</v>
      </c>
      <c r="L25" s="16"/>
    </row>
    <row r="26" spans="2:15" x14ac:dyDescent="0.3">
      <c r="B26" s="43">
        <v>42632</v>
      </c>
      <c r="C26" s="2" t="s">
        <v>9</v>
      </c>
      <c r="D26" s="28" t="s">
        <v>95</v>
      </c>
      <c r="E26" s="30">
        <v>270.5</v>
      </c>
      <c r="F26" s="30">
        <v>272</v>
      </c>
      <c r="G26" s="30">
        <v>1.5</v>
      </c>
      <c r="H26" s="5">
        <v>1109</v>
      </c>
      <c r="I26" s="81">
        <v>1664</v>
      </c>
      <c r="L26" s="28"/>
      <c r="M26" s="30"/>
      <c r="N26" s="30"/>
      <c r="O26" s="30"/>
    </row>
    <row r="27" spans="2:15" x14ac:dyDescent="0.3">
      <c r="B27" s="43">
        <v>42632</v>
      </c>
      <c r="C27" s="2" t="s">
        <v>8</v>
      </c>
      <c r="D27" s="28" t="s">
        <v>1755</v>
      </c>
      <c r="E27" s="30">
        <v>347</v>
      </c>
      <c r="F27" s="30">
        <v>345.5</v>
      </c>
      <c r="G27" s="30">
        <v>1.5</v>
      </c>
      <c r="H27" s="5">
        <v>865</v>
      </c>
      <c r="I27" s="81">
        <v>1298</v>
      </c>
      <c r="L27" s="68" t="s">
        <v>947</v>
      </c>
      <c r="M27" s="83"/>
      <c r="N27" s="126">
        <v>0.75</v>
      </c>
      <c r="O27" s="30"/>
    </row>
    <row r="28" spans="2:15" x14ac:dyDescent="0.3">
      <c r="B28" s="43">
        <v>42633</v>
      </c>
      <c r="C28" s="2" t="s">
        <v>9</v>
      </c>
      <c r="D28" s="28" t="s">
        <v>139</v>
      </c>
      <c r="E28" s="30">
        <v>1180</v>
      </c>
      <c r="F28" s="30">
        <v>1205</v>
      </c>
      <c r="G28" s="30">
        <v>25</v>
      </c>
      <c r="H28" s="5">
        <v>254</v>
      </c>
      <c r="I28" s="81">
        <v>6350</v>
      </c>
      <c r="L28" s="49"/>
      <c r="M28" s="30"/>
      <c r="N28" s="30"/>
      <c r="O28" s="30"/>
    </row>
    <row r="29" spans="2:15" x14ac:dyDescent="0.3">
      <c r="B29" s="43">
        <v>42633</v>
      </c>
      <c r="C29" s="2" t="s">
        <v>8</v>
      </c>
      <c r="D29" s="28" t="s">
        <v>58</v>
      </c>
      <c r="E29" s="30">
        <v>591</v>
      </c>
      <c r="F29" s="30">
        <v>592</v>
      </c>
      <c r="G29" s="30">
        <v>-1</v>
      </c>
      <c r="H29" s="5">
        <v>507</v>
      </c>
      <c r="I29" s="81">
        <v>-507</v>
      </c>
      <c r="L29" s="49"/>
      <c r="M29" s="30"/>
      <c r="N29" s="30"/>
      <c r="O29" s="30"/>
    </row>
    <row r="30" spans="2:15" x14ac:dyDescent="0.3">
      <c r="B30" s="43">
        <v>42634</v>
      </c>
      <c r="C30" s="2" t="s">
        <v>9</v>
      </c>
      <c r="D30" s="28" t="s">
        <v>192</v>
      </c>
      <c r="E30" s="30">
        <v>305</v>
      </c>
      <c r="F30" s="30">
        <v>301</v>
      </c>
      <c r="G30" s="30">
        <v>-4</v>
      </c>
      <c r="H30" s="5">
        <v>983</v>
      </c>
      <c r="I30" s="81">
        <v>-3932</v>
      </c>
      <c r="L30" s="49"/>
      <c r="M30" s="30"/>
      <c r="N30" s="30"/>
      <c r="O30" s="30"/>
    </row>
    <row r="31" spans="2:15" x14ac:dyDescent="0.3">
      <c r="B31" s="43">
        <v>42634</v>
      </c>
      <c r="C31" s="2" t="s">
        <v>8</v>
      </c>
      <c r="D31" s="28" t="s">
        <v>1407</v>
      </c>
      <c r="E31" s="30">
        <v>906</v>
      </c>
      <c r="F31" s="30">
        <v>898</v>
      </c>
      <c r="G31" s="30">
        <v>8</v>
      </c>
      <c r="H31" s="5">
        <v>331</v>
      </c>
      <c r="I31" s="81">
        <v>2648</v>
      </c>
      <c r="L31" s="16"/>
    </row>
    <row r="32" spans="2:15" x14ac:dyDescent="0.3">
      <c r="B32" s="43">
        <v>42635</v>
      </c>
      <c r="C32" s="2" t="s">
        <v>9</v>
      </c>
      <c r="D32" s="28" t="s">
        <v>78</v>
      </c>
      <c r="E32" s="30">
        <v>1485</v>
      </c>
      <c r="F32" s="30">
        <v>1499.5</v>
      </c>
      <c r="G32" s="30">
        <v>14.5</v>
      </c>
      <c r="H32" s="5">
        <v>202</v>
      </c>
      <c r="I32" s="81">
        <v>2929</v>
      </c>
      <c r="L32" s="16"/>
    </row>
    <row r="33" spans="2:13" x14ac:dyDescent="0.3">
      <c r="B33" s="43">
        <v>42635</v>
      </c>
      <c r="C33" s="2" t="s">
        <v>8</v>
      </c>
      <c r="D33" s="30" t="s">
        <v>58</v>
      </c>
      <c r="E33" s="30">
        <v>602</v>
      </c>
      <c r="F33" s="30">
        <v>590</v>
      </c>
      <c r="G33" s="30">
        <v>12</v>
      </c>
      <c r="H33" s="5">
        <v>498</v>
      </c>
      <c r="I33" s="81">
        <v>5976</v>
      </c>
      <c r="L33" s="41"/>
    </row>
    <row r="34" spans="2:13" x14ac:dyDescent="0.3">
      <c r="B34" s="43">
        <v>42636</v>
      </c>
      <c r="C34" s="2" t="s">
        <v>9</v>
      </c>
      <c r="D34" s="30" t="s">
        <v>78</v>
      </c>
      <c r="E34" s="30">
        <v>1500</v>
      </c>
      <c r="F34" s="30">
        <v>1509</v>
      </c>
      <c r="G34" s="30">
        <v>9</v>
      </c>
      <c r="H34" s="5">
        <v>200</v>
      </c>
      <c r="I34" s="81">
        <v>1800</v>
      </c>
      <c r="L34" s="41"/>
    </row>
    <row r="35" spans="2:13" x14ac:dyDescent="0.3">
      <c r="B35" s="43">
        <v>42636</v>
      </c>
      <c r="C35" s="2" t="s">
        <v>8</v>
      </c>
      <c r="D35" s="30" t="s">
        <v>58</v>
      </c>
      <c r="E35" s="30">
        <v>574</v>
      </c>
      <c r="F35" s="30">
        <v>561</v>
      </c>
      <c r="G35" s="30">
        <v>13</v>
      </c>
      <c r="H35" s="5">
        <v>523</v>
      </c>
      <c r="I35" s="81">
        <v>6799</v>
      </c>
      <c r="M35" s="30"/>
    </row>
    <row r="36" spans="2:13" x14ac:dyDescent="0.3">
      <c r="B36" s="43">
        <v>42639</v>
      </c>
      <c r="C36" s="2" t="s">
        <v>9</v>
      </c>
      <c r="D36" s="30" t="s">
        <v>192</v>
      </c>
      <c r="E36" s="30">
        <v>303</v>
      </c>
      <c r="F36" s="30">
        <v>306</v>
      </c>
      <c r="G36" s="30">
        <v>3</v>
      </c>
      <c r="H36" s="5">
        <v>990</v>
      </c>
      <c r="I36" s="81">
        <v>2970</v>
      </c>
      <c r="M36" s="30"/>
    </row>
    <row r="37" spans="2:13" x14ac:dyDescent="0.3">
      <c r="B37" s="43">
        <v>42639</v>
      </c>
      <c r="C37" s="2" t="s">
        <v>8</v>
      </c>
      <c r="D37" s="30" t="s">
        <v>95</v>
      </c>
      <c r="E37" s="30">
        <v>265</v>
      </c>
      <c r="F37" s="30">
        <v>262</v>
      </c>
      <c r="G37" s="30">
        <v>3</v>
      </c>
      <c r="H37" s="5">
        <v>1132</v>
      </c>
      <c r="I37" s="81">
        <v>3396</v>
      </c>
      <c r="M37" s="30"/>
    </row>
    <row r="38" spans="2:13" x14ac:dyDescent="0.3">
      <c r="B38" s="43">
        <v>42640</v>
      </c>
      <c r="C38" s="2" t="s">
        <v>9</v>
      </c>
      <c r="D38" s="30" t="s">
        <v>133</v>
      </c>
      <c r="E38" s="30">
        <v>1500</v>
      </c>
      <c r="F38" s="30">
        <v>1515</v>
      </c>
      <c r="G38" s="30">
        <v>15</v>
      </c>
      <c r="H38" s="5">
        <v>200</v>
      </c>
      <c r="I38" s="81">
        <v>3000</v>
      </c>
      <c r="M38" s="30"/>
    </row>
    <row r="39" spans="2:13" x14ac:dyDescent="0.3">
      <c r="B39" s="87">
        <v>42640</v>
      </c>
      <c r="C39" s="2" t="s">
        <v>8</v>
      </c>
      <c r="D39" s="30" t="s">
        <v>95</v>
      </c>
      <c r="E39" s="30">
        <v>260</v>
      </c>
      <c r="F39" s="30">
        <v>259</v>
      </c>
      <c r="G39" s="30">
        <v>1</v>
      </c>
      <c r="H39" s="5">
        <v>1154</v>
      </c>
      <c r="I39" s="81">
        <v>1154</v>
      </c>
      <c r="M39" s="30"/>
    </row>
    <row r="40" spans="2:13" x14ac:dyDescent="0.3">
      <c r="B40" s="43">
        <v>42641</v>
      </c>
      <c r="C40" s="2" t="s">
        <v>9</v>
      </c>
      <c r="D40" s="30" t="s">
        <v>133</v>
      </c>
      <c r="E40" s="30">
        <v>1520</v>
      </c>
      <c r="F40" s="30">
        <v>1528</v>
      </c>
      <c r="G40" s="30">
        <v>8</v>
      </c>
      <c r="H40" s="5">
        <v>197</v>
      </c>
      <c r="I40" s="81">
        <v>1576</v>
      </c>
      <c r="M40" s="30"/>
    </row>
    <row r="41" spans="2:13" x14ac:dyDescent="0.3">
      <c r="B41" s="43">
        <v>42641</v>
      </c>
      <c r="C41" s="2" t="s">
        <v>8</v>
      </c>
      <c r="D41" s="30" t="s">
        <v>78</v>
      </c>
      <c r="E41" s="30">
        <v>1440</v>
      </c>
      <c r="F41" s="30">
        <v>1455</v>
      </c>
      <c r="G41" s="30">
        <v>-15</v>
      </c>
      <c r="H41" s="5">
        <v>208</v>
      </c>
      <c r="I41" s="81">
        <v>-3120</v>
      </c>
      <c r="M41" s="30"/>
    </row>
    <row r="42" spans="2:13" x14ac:dyDescent="0.3">
      <c r="B42" s="43">
        <v>42642</v>
      </c>
      <c r="C42" s="30" t="s">
        <v>9</v>
      </c>
      <c r="D42" s="28" t="s">
        <v>139</v>
      </c>
      <c r="E42" s="30">
        <v>1298</v>
      </c>
      <c r="F42" s="30">
        <v>1285</v>
      </c>
      <c r="G42" s="30">
        <v>-13</v>
      </c>
      <c r="H42" s="5">
        <v>231</v>
      </c>
      <c r="I42" s="81">
        <v>-3003</v>
      </c>
      <c r="M42" s="30"/>
    </row>
    <row r="43" spans="2:13" x14ac:dyDescent="0.3">
      <c r="B43" s="87">
        <v>42642</v>
      </c>
      <c r="C43" s="2" t="s">
        <v>8</v>
      </c>
      <c r="D43" s="28" t="s">
        <v>133</v>
      </c>
      <c r="E43" s="30">
        <v>1515</v>
      </c>
      <c r="F43" s="30">
        <v>1485</v>
      </c>
      <c r="G43" s="30">
        <v>30</v>
      </c>
      <c r="H43" s="30">
        <v>198</v>
      </c>
      <c r="I43" s="81">
        <v>5940</v>
      </c>
      <c r="M43" s="30"/>
    </row>
    <row r="44" spans="2:13" x14ac:dyDescent="0.3">
      <c r="B44" s="87">
        <v>42643</v>
      </c>
      <c r="C44" s="2" t="s">
        <v>9</v>
      </c>
      <c r="D44" s="28" t="s">
        <v>139</v>
      </c>
      <c r="E44" s="30">
        <v>1245</v>
      </c>
      <c r="F44" s="30">
        <v>1255</v>
      </c>
      <c r="G44" s="30">
        <v>10</v>
      </c>
      <c r="H44" s="30">
        <v>241</v>
      </c>
      <c r="I44" s="88">
        <v>2410</v>
      </c>
      <c r="M44" s="30"/>
    </row>
    <row r="45" spans="2:13" x14ac:dyDescent="0.3">
      <c r="B45" s="87">
        <v>42643</v>
      </c>
      <c r="C45" s="2" t="s">
        <v>8</v>
      </c>
      <c r="D45" s="28" t="s">
        <v>58</v>
      </c>
      <c r="E45" s="30">
        <v>539</v>
      </c>
      <c r="F45" s="30">
        <v>536.5</v>
      </c>
      <c r="G45" s="30">
        <v>2.5</v>
      </c>
      <c r="H45" s="30">
        <v>556</v>
      </c>
      <c r="I45" s="30">
        <v>1390</v>
      </c>
      <c r="M45" s="30"/>
    </row>
    <row r="46" spans="2:13" x14ac:dyDescent="0.3">
      <c r="B46" s="43"/>
      <c r="C46" s="2"/>
      <c r="D46" s="28"/>
      <c r="E46" s="30"/>
      <c r="F46" s="30"/>
      <c r="G46" s="30"/>
      <c r="H46" s="30"/>
      <c r="I46" s="94"/>
      <c r="M46" s="30"/>
    </row>
    <row r="47" spans="2:13" x14ac:dyDescent="0.3">
      <c r="B47" s="43"/>
      <c r="C47" s="2"/>
      <c r="D47" s="30"/>
      <c r="E47" s="30"/>
      <c r="F47" s="30"/>
      <c r="G47" s="30"/>
      <c r="H47" s="5"/>
      <c r="I47" s="81"/>
      <c r="M47" s="30"/>
    </row>
    <row r="48" spans="2:13" x14ac:dyDescent="0.3">
      <c r="B48" s="43"/>
      <c r="C48" s="2"/>
      <c r="D48" s="30"/>
      <c r="E48" s="30"/>
      <c r="F48" s="30"/>
      <c r="G48" s="30"/>
      <c r="H48" s="5"/>
      <c r="I48" s="81"/>
      <c r="M48" s="30"/>
    </row>
    <row r="49" spans="2:13" ht="18" x14ac:dyDescent="0.35">
      <c r="C49" s="2"/>
      <c r="D49" s="28"/>
      <c r="E49" s="30"/>
      <c r="F49" s="30"/>
      <c r="G49" s="30"/>
      <c r="H49" s="30"/>
      <c r="I49" s="82">
        <v>103843</v>
      </c>
      <c r="M49" s="30"/>
    </row>
    <row r="50" spans="2:13" x14ac:dyDescent="0.3">
      <c r="C50" s="2"/>
      <c r="D50" s="28"/>
      <c r="E50" s="30"/>
      <c r="F50" s="30"/>
      <c r="G50" s="30"/>
      <c r="H50" s="30"/>
      <c r="I50" s="95"/>
      <c r="M50" s="30"/>
    </row>
    <row r="51" spans="2:13" x14ac:dyDescent="0.3">
      <c r="I51" s="96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42614</v>
      </c>
      <c r="C53" s="2" t="s">
        <v>8</v>
      </c>
      <c r="D53" s="2" t="s">
        <v>630</v>
      </c>
      <c r="E53" s="41" t="s">
        <v>1056</v>
      </c>
      <c r="F53" s="40" t="s">
        <v>1783</v>
      </c>
      <c r="G53" s="40" t="s">
        <v>1784</v>
      </c>
      <c r="H53" s="5">
        <v>1500</v>
      </c>
      <c r="I53" s="40" t="s">
        <v>709</v>
      </c>
      <c r="M53" s="30"/>
    </row>
    <row r="54" spans="2:13" x14ac:dyDescent="0.3">
      <c r="B54" s="43">
        <v>42615</v>
      </c>
      <c r="C54" s="2" t="s">
        <v>9</v>
      </c>
      <c r="D54" s="2" t="s">
        <v>592</v>
      </c>
      <c r="E54" s="41" t="s">
        <v>388</v>
      </c>
      <c r="F54" s="40" t="s">
        <v>1785</v>
      </c>
      <c r="G54" s="40" t="s">
        <v>1505</v>
      </c>
      <c r="H54" s="5">
        <v>1500</v>
      </c>
      <c r="I54" s="40" t="s">
        <v>683</v>
      </c>
    </row>
    <row r="55" spans="2:13" x14ac:dyDescent="0.3">
      <c r="B55" s="43">
        <v>42619</v>
      </c>
      <c r="C55" s="30" t="s">
        <v>9</v>
      </c>
      <c r="D55" s="30" t="s">
        <v>95</v>
      </c>
      <c r="E55" s="30">
        <v>268</v>
      </c>
      <c r="F55" s="30">
        <v>273.3</v>
      </c>
      <c r="G55" s="30">
        <v>5.3</v>
      </c>
      <c r="H55" s="30">
        <v>2500</v>
      </c>
      <c r="I55" s="30">
        <v>13250</v>
      </c>
    </row>
    <row r="56" spans="2:13" x14ac:dyDescent="0.3">
      <c r="B56" s="43">
        <v>42620</v>
      </c>
      <c r="C56" s="30" t="s">
        <v>8</v>
      </c>
      <c r="D56" s="30" t="s">
        <v>94</v>
      </c>
      <c r="E56" s="30">
        <v>1300</v>
      </c>
      <c r="F56" s="30">
        <v>1291</v>
      </c>
      <c r="G56" s="30">
        <v>9</v>
      </c>
      <c r="H56" s="30">
        <v>500</v>
      </c>
      <c r="I56" s="30">
        <v>4500</v>
      </c>
    </row>
    <row r="57" spans="2:13" x14ac:dyDescent="0.3">
      <c r="B57" s="43">
        <v>42621</v>
      </c>
      <c r="C57" s="30" t="s">
        <v>9</v>
      </c>
      <c r="D57" s="30" t="s">
        <v>192</v>
      </c>
      <c r="E57" s="30">
        <v>309</v>
      </c>
      <c r="F57" s="30">
        <v>314</v>
      </c>
      <c r="G57" s="30">
        <v>5</v>
      </c>
      <c r="H57" s="30">
        <v>3000</v>
      </c>
      <c r="I57" s="30">
        <v>15000</v>
      </c>
    </row>
    <row r="58" spans="2:13" x14ac:dyDescent="0.3">
      <c r="B58" s="43">
        <v>42622</v>
      </c>
      <c r="C58" s="30" t="s">
        <v>9</v>
      </c>
      <c r="D58" s="30" t="s">
        <v>192</v>
      </c>
      <c r="E58" s="30">
        <v>311</v>
      </c>
      <c r="F58" s="30">
        <v>307</v>
      </c>
      <c r="G58" s="30">
        <v>-4</v>
      </c>
      <c r="H58" s="30">
        <v>3000</v>
      </c>
      <c r="I58" s="30">
        <v>-12000</v>
      </c>
    </row>
    <row r="59" spans="2:13" x14ac:dyDescent="0.3">
      <c r="B59" s="43">
        <v>42625</v>
      </c>
      <c r="C59" s="30" t="s">
        <v>9</v>
      </c>
      <c r="D59" s="30" t="s">
        <v>95</v>
      </c>
      <c r="E59" s="30">
        <v>267</v>
      </c>
      <c r="F59" s="30">
        <v>270</v>
      </c>
      <c r="G59" s="30">
        <v>3</v>
      </c>
      <c r="H59" s="30">
        <v>2500</v>
      </c>
      <c r="I59" s="30">
        <v>7500</v>
      </c>
      <c r="K59" s="86"/>
    </row>
    <row r="60" spans="2:13" x14ac:dyDescent="0.3">
      <c r="B60" s="43">
        <v>42627</v>
      </c>
      <c r="C60" s="30" t="s">
        <v>9</v>
      </c>
      <c r="D60" s="30" t="s">
        <v>95</v>
      </c>
      <c r="E60" s="30">
        <v>272</v>
      </c>
      <c r="F60" s="30">
        <v>274.39999999999998</v>
      </c>
      <c r="G60" s="30">
        <v>2.4</v>
      </c>
      <c r="H60" s="30">
        <v>2500</v>
      </c>
      <c r="I60" s="30">
        <v>6000</v>
      </c>
      <c r="K60" s="86"/>
    </row>
    <row r="61" spans="2:13" x14ac:dyDescent="0.3">
      <c r="B61" s="43">
        <v>42628</v>
      </c>
      <c r="C61" s="30" t="s">
        <v>9</v>
      </c>
      <c r="D61" s="30" t="s">
        <v>95</v>
      </c>
      <c r="E61" s="30">
        <v>272</v>
      </c>
      <c r="F61" s="30">
        <v>271.5</v>
      </c>
      <c r="G61" s="30">
        <v>-0.5</v>
      </c>
      <c r="H61" s="30">
        <v>2500</v>
      </c>
      <c r="I61" s="30">
        <v>-1250</v>
      </c>
      <c r="K61" s="86"/>
    </row>
    <row r="62" spans="2:13" x14ac:dyDescent="0.3">
      <c r="B62" s="43">
        <v>42629</v>
      </c>
      <c r="C62" s="30" t="s">
        <v>8</v>
      </c>
      <c r="D62" s="30" t="s">
        <v>159</v>
      </c>
      <c r="E62" s="30">
        <v>201.5</v>
      </c>
      <c r="F62" s="30">
        <v>199</v>
      </c>
      <c r="G62" s="30">
        <v>2.5</v>
      </c>
      <c r="H62" s="30">
        <v>2000</v>
      </c>
      <c r="I62" s="30">
        <v>5000</v>
      </c>
      <c r="K62" s="86"/>
    </row>
    <row r="63" spans="2:13" x14ac:dyDescent="0.3">
      <c r="B63" s="43">
        <v>42632</v>
      </c>
      <c r="C63" s="30" t="s">
        <v>8</v>
      </c>
      <c r="D63" s="30" t="s">
        <v>122</v>
      </c>
      <c r="E63" s="30">
        <v>525</v>
      </c>
      <c r="F63" s="30">
        <v>520.6</v>
      </c>
      <c r="G63" s="30">
        <v>4.4000000000000004</v>
      </c>
      <c r="H63" s="30">
        <v>1100</v>
      </c>
      <c r="I63" s="30">
        <v>4840</v>
      </c>
      <c r="K63" s="86"/>
    </row>
    <row r="64" spans="2:13" x14ac:dyDescent="0.3">
      <c r="B64" s="43">
        <v>42633</v>
      </c>
      <c r="C64" s="30" t="s">
        <v>8</v>
      </c>
      <c r="D64" s="30" t="s">
        <v>95</v>
      </c>
      <c r="E64" s="30">
        <v>271</v>
      </c>
      <c r="F64" s="30">
        <v>272.5</v>
      </c>
      <c r="G64" s="30">
        <v>-1.5</v>
      </c>
      <c r="H64" s="30">
        <v>2500</v>
      </c>
      <c r="I64" s="30">
        <v>-3750</v>
      </c>
      <c r="K64" s="86"/>
    </row>
    <row r="65" spans="2:11" x14ac:dyDescent="0.3">
      <c r="B65" s="43">
        <v>42634</v>
      </c>
      <c r="C65" s="30" t="s">
        <v>8</v>
      </c>
      <c r="D65" s="30" t="s">
        <v>1407</v>
      </c>
      <c r="E65" s="30">
        <v>905</v>
      </c>
      <c r="F65" s="30">
        <v>901.5</v>
      </c>
      <c r="G65" s="30">
        <v>3.5</v>
      </c>
      <c r="H65" s="30">
        <v>600</v>
      </c>
      <c r="I65" s="30">
        <v>2100</v>
      </c>
      <c r="K65" s="86"/>
    </row>
    <row r="66" spans="2:11" x14ac:dyDescent="0.3">
      <c r="B66" s="43">
        <v>42635</v>
      </c>
      <c r="C66" s="30" t="s">
        <v>8</v>
      </c>
      <c r="D66" s="30" t="s">
        <v>58</v>
      </c>
      <c r="E66" s="30">
        <v>606</v>
      </c>
      <c r="F66" s="30">
        <v>594</v>
      </c>
      <c r="G66" s="30">
        <v>12</v>
      </c>
      <c r="H66" s="30">
        <v>1200</v>
      </c>
      <c r="I66" s="30">
        <v>14400</v>
      </c>
      <c r="K66" s="86"/>
    </row>
    <row r="67" spans="2:11" x14ac:dyDescent="0.3">
      <c r="B67" s="43">
        <v>42636</v>
      </c>
      <c r="C67" s="30" t="s">
        <v>8</v>
      </c>
      <c r="D67" s="30" t="s">
        <v>58</v>
      </c>
      <c r="E67" s="30">
        <v>578</v>
      </c>
      <c r="F67" s="30">
        <v>566</v>
      </c>
      <c r="G67" s="30">
        <v>12</v>
      </c>
      <c r="H67" s="30">
        <v>1200</v>
      </c>
      <c r="I67" s="30">
        <v>14400</v>
      </c>
      <c r="K67" s="86"/>
    </row>
    <row r="68" spans="2:11" x14ac:dyDescent="0.3">
      <c r="B68" s="43">
        <v>42639</v>
      </c>
      <c r="C68" s="30" t="s">
        <v>8</v>
      </c>
      <c r="D68" s="30" t="s">
        <v>109</v>
      </c>
      <c r="E68" s="30">
        <v>1392</v>
      </c>
      <c r="F68" s="30">
        <v>1380</v>
      </c>
      <c r="G68" s="30">
        <v>12</v>
      </c>
      <c r="H68" s="30">
        <v>500</v>
      </c>
      <c r="I68" s="30">
        <v>6000</v>
      </c>
      <c r="K68" s="86"/>
    </row>
    <row r="69" spans="2:11" x14ac:dyDescent="0.3">
      <c r="B69" s="43">
        <v>42640</v>
      </c>
      <c r="C69" s="30" t="s">
        <v>8</v>
      </c>
      <c r="D69" s="30" t="s">
        <v>48</v>
      </c>
      <c r="E69" s="30">
        <v>165.5</v>
      </c>
      <c r="F69" s="30">
        <v>163.80000000000001</v>
      </c>
      <c r="G69" s="30">
        <v>1.7</v>
      </c>
      <c r="H69" s="30">
        <v>3500</v>
      </c>
      <c r="I69" s="30">
        <v>5950</v>
      </c>
      <c r="K69" s="86"/>
    </row>
    <row r="70" spans="2:11" x14ac:dyDescent="0.3">
      <c r="B70" s="43">
        <v>42641</v>
      </c>
      <c r="C70" s="30" t="s">
        <v>8</v>
      </c>
      <c r="D70" s="30" t="s">
        <v>94</v>
      </c>
      <c r="E70" s="30">
        <v>1294</v>
      </c>
      <c r="F70" s="30">
        <v>1298</v>
      </c>
      <c r="G70" s="30">
        <v>-4</v>
      </c>
      <c r="H70" s="30">
        <v>500</v>
      </c>
      <c r="I70" s="30">
        <v>-2000</v>
      </c>
      <c r="K70" s="86"/>
    </row>
    <row r="71" spans="2:11" x14ac:dyDescent="0.3">
      <c r="B71" s="87">
        <v>42642</v>
      </c>
      <c r="C71" s="30" t="s">
        <v>8</v>
      </c>
      <c r="D71" s="30" t="s">
        <v>58</v>
      </c>
      <c r="E71" s="30">
        <v>546</v>
      </c>
      <c r="F71" s="30">
        <v>534</v>
      </c>
      <c r="G71" s="30">
        <v>12</v>
      </c>
      <c r="H71" s="30">
        <v>1200</v>
      </c>
      <c r="I71" s="30">
        <v>14400</v>
      </c>
      <c r="K71" s="86"/>
    </row>
    <row r="72" spans="2:11" x14ac:dyDescent="0.3">
      <c r="B72" s="43">
        <v>42643</v>
      </c>
      <c r="C72" s="30" t="s">
        <v>8</v>
      </c>
      <c r="D72" s="30" t="s">
        <v>160</v>
      </c>
      <c r="E72" s="30">
        <v>579</v>
      </c>
      <c r="F72" s="30">
        <v>568</v>
      </c>
      <c r="G72" s="30">
        <v>11</v>
      </c>
      <c r="H72" s="30">
        <v>1000</v>
      </c>
      <c r="I72" s="30">
        <v>11000</v>
      </c>
      <c r="K72" s="86"/>
    </row>
    <row r="73" spans="2:11" x14ac:dyDescent="0.3">
      <c r="B73" s="87"/>
      <c r="C73" s="30"/>
      <c r="D73" s="30"/>
      <c r="E73" s="30"/>
      <c r="F73" s="30"/>
      <c r="G73" s="30"/>
      <c r="H73" s="30"/>
      <c r="I73" s="30"/>
      <c r="K73" s="86"/>
    </row>
    <row r="74" spans="2:11" x14ac:dyDescent="0.3">
      <c r="B74" s="87"/>
      <c r="C74" s="30"/>
      <c r="D74" s="30"/>
      <c r="E74" s="30"/>
      <c r="F74" s="30"/>
      <c r="G74" s="30"/>
      <c r="H74" s="30"/>
      <c r="I74" s="30"/>
      <c r="K74" s="86"/>
    </row>
    <row r="75" spans="2:11" ht="18" x14ac:dyDescent="0.35">
      <c r="B75" s="43"/>
      <c r="C75" s="30"/>
      <c r="D75" s="30"/>
      <c r="E75" s="30"/>
      <c r="F75" s="30"/>
      <c r="G75" s="30"/>
      <c r="H75" s="30"/>
      <c r="I75" s="72">
        <v>115390</v>
      </c>
      <c r="K75" s="86"/>
    </row>
    <row r="76" spans="2:11" x14ac:dyDescent="0.3">
      <c r="B76" s="45"/>
      <c r="C76" s="30"/>
      <c r="D76" s="30"/>
      <c r="E76" s="30"/>
      <c r="F76" s="30"/>
      <c r="G76" s="30"/>
      <c r="H76" s="30"/>
      <c r="I76" s="97"/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42614</v>
      </c>
      <c r="C78" s="2" t="s">
        <v>9</v>
      </c>
      <c r="D78" s="2" t="s">
        <v>39</v>
      </c>
      <c r="E78" s="41" t="s">
        <v>1786</v>
      </c>
      <c r="F78" s="40" t="s">
        <v>1787</v>
      </c>
      <c r="G78" s="40" t="s">
        <v>1788</v>
      </c>
      <c r="H78" s="30">
        <v>150</v>
      </c>
      <c r="I78" s="41" t="s">
        <v>1789</v>
      </c>
      <c r="K78" s="86" t="s">
        <v>959</v>
      </c>
    </row>
    <row r="79" spans="2:11" x14ac:dyDescent="0.3">
      <c r="B79" s="43">
        <v>42615</v>
      </c>
      <c r="C79" s="30" t="s">
        <v>8</v>
      </c>
      <c r="D79" s="2" t="s">
        <v>39</v>
      </c>
      <c r="E79" s="2">
        <v>8810</v>
      </c>
      <c r="F79" s="30">
        <v>8795</v>
      </c>
      <c r="G79" s="30">
        <v>15</v>
      </c>
      <c r="H79" s="30">
        <v>150</v>
      </c>
      <c r="I79" s="30">
        <v>2250</v>
      </c>
      <c r="K79" s="86"/>
    </row>
    <row r="80" spans="2:11" x14ac:dyDescent="0.3">
      <c r="B80" s="43">
        <v>42619</v>
      </c>
      <c r="C80" s="30" t="s">
        <v>9</v>
      </c>
      <c r="D80" s="2" t="s">
        <v>39</v>
      </c>
      <c r="E80" s="2">
        <v>8905</v>
      </c>
      <c r="F80" s="30">
        <v>8968</v>
      </c>
      <c r="G80" s="30">
        <v>63</v>
      </c>
      <c r="H80" s="30">
        <v>150</v>
      </c>
      <c r="I80" s="30">
        <v>9450</v>
      </c>
    </row>
    <row r="81" spans="2:11" x14ac:dyDescent="0.3">
      <c r="B81" s="43">
        <v>42620</v>
      </c>
      <c r="C81" s="30" t="s">
        <v>8</v>
      </c>
      <c r="D81" s="2" t="s">
        <v>39</v>
      </c>
      <c r="E81" s="2">
        <v>8970</v>
      </c>
      <c r="F81" s="30">
        <v>8945</v>
      </c>
      <c r="G81" s="30">
        <v>25</v>
      </c>
      <c r="H81" s="30">
        <v>150</v>
      </c>
      <c r="I81" s="30">
        <v>3750</v>
      </c>
    </row>
    <row r="82" spans="2:11" x14ac:dyDescent="0.3">
      <c r="B82" s="43">
        <v>42621</v>
      </c>
      <c r="C82" s="30" t="s">
        <v>9</v>
      </c>
      <c r="D82" s="2" t="s">
        <v>39</v>
      </c>
      <c r="E82" s="30">
        <v>8960</v>
      </c>
      <c r="F82" s="30">
        <v>8985</v>
      </c>
      <c r="G82" s="30">
        <v>25</v>
      </c>
      <c r="H82" s="30">
        <v>150</v>
      </c>
      <c r="I82" s="30">
        <v>3750</v>
      </c>
    </row>
    <row r="83" spans="2:11" x14ac:dyDescent="0.3">
      <c r="B83" s="43">
        <v>42622</v>
      </c>
      <c r="C83" s="30" t="s">
        <v>8</v>
      </c>
      <c r="D83" s="2" t="s">
        <v>39</v>
      </c>
      <c r="E83" s="30">
        <v>8915</v>
      </c>
      <c r="F83" s="30">
        <v>8890.5</v>
      </c>
      <c r="G83" s="30">
        <v>24.5</v>
      </c>
      <c r="H83" s="30">
        <v>150</v>
      </c>
      <c r="I83" s="30">
        <v>3675</v>
      </c>
    </row>
    <row r="84" spans="2:11" x14ac:dyDescent="0.3">
      <c r="B84" s="43">
        <v>42625</v>
      </c>
      <c r="C84" s="30" t="s">
        <v>8</v>
      </c>
      <c r="D84" s="2" t="s">
        <v>39</v>
      </c>
      <c r="E84" s="30">
        <v>8765</v>
      </c>
      <c r="F84" s="30">
        <v>8728</v>
      </c>
      <c r="G84" s="30">
        <v>37</v>
      </c>
      <c r="H84" s="30">
        <v>150</v>
      </c>
      <c r="I84" s="30">
        <v>5550</v>
      </c>
      <c r="K84" s="86"/>
    </row>
    <row r="85" spans="2:11" x14ac:dyDescent="0.3">
      <c r="B85" s="43">
        <v>42627</v>
      </c>
      <c r="C85" s="30" t="s">
        <v>8</v>
      </c>
      <c r="D85" s="2" t="s">
        <v>39</v>
      </c>
      <c r="E85" s="30">
        <v>8735</v>
      </c>
      <c r="F85" s="30">
        <v>8720</v>
      </c>
      <c r="G85" s="30">
        <v>15</v>
      </c>
      <c r="H85" s="30">
        <v>150</v>
      </c>
      <c r="I85" s="30">
        <v>2250</v>
      </c>
      <c r="K85" s="86"/>
    </row>
    <row r="86" spans="2:11" x14ac:dyDescent="0.3">
      <c r="B86" s="43">
        <v>42628</v>
      </c>
      <c r="C86" s="30" t="s">
        <v>8</v>
      </c>
      <c r="D86" s="2" t="s">
        <v>39</v>
      </c>
      <c r="E86" s="30">
        <v>8755</v>
      </c>
      <c r="F86" s="30">
        <v>8730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42629</v>
      </c>
      <c r="C87" s="30" t="s">
        <v>9</v>
      </c>
      <c r="D87" s="2" t="s">
        <v>39</v>
      </c>
      <c r="E87" s="30">
        <v>8860</v>
      </c>
      <c r="F87" s="30">
        <v>8825</v>
      </c>
      <c r="G87" s="30">
        <v>-35</v>
      </c>
      <c r="H87" s="30">
        <v>150</v>
      </c>
      <c r="I87" s="30">
        <v>-5250</v>
      </c>
      <c r="K87" s="86"/>
    </row>
    <row r="88" spans="2:11" x14ac:dyDescent="0.3">
      <c r="B88" s="43">
        <v>42632</v>
      </c>
      <c r="C88" s="30" t="s">
        <v>9</v>
      </c>
      <c r="D88" s="2" t="s">
        <v>39</v>
      </c>
      <c r="E88" s="30">
        <v>8830</v>
      </c>
      <c r="F88" s="30">
        <v>8845</v>
      </c>
      <c r="G88" s="30">
        <v>15</v>
      </c>
      <c r="H88" s="30">
        <v>150</v>
      </c>
      <c r="I88" s="30">
        <v>2250</v>
      </c>
      <c r="K88" s="86"/>
    </row>
    <row r="89" spans="2:11" x14ac:dyDescent="0.3">
      <c r="B89" s="43">
        <v>42633</v>
      </c>
      <c r="C89" s="30" t="s">
        <v>8</v>
      </c>
      <c r="D89" s="2" t="s">
        <v>39</v>
      </c>
      <c r="E89" s="30">
        <v>8810</v>
      </c>
      <c r="F89" s="30">
        <v>8795</v>
      </c>
      <c r="G89" s="30">
        <v>15</v>
      </c>
      <c r="H89" s="30">
        <v>150</v>
      </c>
      <c r="I89" s="30">
        <v>2250</v>
      </c>
      <c r="K89" s="86"/>
    </row>
    <row r="90" spans="2:11" x14ac:dyDescent="0.3">
      <c r="B90" s="43">
        <v>42634</v>
      </c>
      <c r="C90" s="30" t="s">
        <v>8</v>
      </c>
      <c r="D90" s="2" t="s">
        <v>39</v>
      </c>
      <c r="E90" s="30">
        <v>8845</v>
      </c>
      <c r="F90" s="30">
        <v>8790</v>
      </c>
      <c r="G90" s="30">
        <v>55</v>
      </c>
      <c r="H90" s="30">
        <v>150</v>
      </c>
      <c r="I90" s="30">
        <v>8250</v>
      </c>
      <c r="K90" s="86"/>
    </row>
    <row r="91" spans="2:11" x14ac:dyDescent="0.3">
      <c r="B91" s="43">
        <v>42635</v>
      </c>
      <c r="C91" s="30" t="s">
        <v>8</v>
      </c>
      <c r="D91" s="2" t="s">
        <v>39</v>
      </c>
      <c r="E91" s="30">
        <v>8890</v>
      </c>
      <c r="F91" s="30">
        <v>8865</v>
      </c>
      <c r="G91" s="30">
        <v>25</v>
      </c>
      <c r="H91" s="30">
        <v>150</v>
      </c>
      <c r="I91" s="30">
        <v>3750</v>
      </c>
      <c r="K91" s="86"/>
    </row>
    <row r="92" spans="2:11" x14ac:dyDescent="0.3">
      <c r="B92" s="43">
        <v>42636</v>
      </c>
      <c r="C92" s="30" t="s">
        <v>8</v>
      </c>
      <c r="D92" s="2" t="s">
        <v>39</v>
      </c>
      <c r="E92" s="30">
        <v>8880</v>
      </c>
      <c r="F92" s="30">
        <v>8835</v>
      </c>
      <c r="G92" s="30">
        <v>45</v>
      </c>
      <c r="H92" s="30">
        <v>150</v>
      </c>
      <c r="I92" s="30">
        <v>3375</v>
      </c>
      <c r="K92" s="86"/>
    </row>
    <row r="93" spans="2:11" x14ac:dyDescent="0.3">
      <c r="B93" s="43">
        <v>42639</v>
      </c>
      <c r="C93" s="30" t="s">
        <v>8</v>
      </c>
      <c r="D93" s="2" t="s">
        <v>39</v>
      </c>
      <c r="E93" s="30">
        <v>8810</v>
      </c>
      <c r="F93" s="30">
        <v>8745</v>
      </c>
      <c r="G93" s="30">
        <v>65</v>
      </c>
      <c r="H93" s="30">
        <v>150</v>
      </c>
      <c r="I93" s="30">
        <v>9750</v>
      </c>
      <c r="K93" s="86"/>
    </row>
    <row r="94" spans="2:11" x14ac:dyDescent="0.3">
      <c r="B94" s="43">
        <v>42640</v>
      </c>
      <c r="C94" s="30" t="s">
        <v>8</v>
      </c>
      <c r="D94" s="2" t="s">
        <v>39</v>
      </c>
      <c r="E94" s="30">
        <v>8760</v>
      </c>
      <c r="F94" s="30">
        <v>8700</v>
      </c>
      <c r="G94" s="30">
        <v>60</v>
      </c>
      <c r="H94" s="30">
        <v>150</v>
      </c>
      <c r="I94" s="30">
        <v>9000</v>
      </c>
      <c r="K94" s="86"/>
    </row>
    <row r="95" spans="2:11" x14ac:dyDescent="0.3">
      <c r="B95" s="43">
        <v>42641</v>
      </c>
      <c r="C95" s="30" t="s">
        <v>8</v>
      </c>
      <c r="D95" s="2" t="s">
        <v>39</v>
      </c>
      <c r="E95" s="30">
        <v>8730</v>
      </c>
      <c r="F95" s="30">
        <v>8765</v>
      </c>
      <c r="G95" s="30">
        <v>-35</v>
      </c>
      <c r="H95" s="30">
        <v>150</v>
      </c>
      <c r="I95" s="30">
        <v>-5250</v>
      </c>
      <c r="K95" s="86"/>
    </row>
    <row r="96" spans="2:11" x14ac:dyDescent="0.3">
      <c r="B96" s="87">
        <v>42642</v>
      </c>
      <c r="C96" s="30" t="s">
        <v>8</v>
      </c>
      <c r="D96" s="2" t="s">
        <v>39</v>
      </c>
      <c r="E96" s="30">
        <v>8780</v>
      </c>
      <c r="F96" s="30">
        <v>8715</v>
      </c>
      <c r="G96" s="30">
        <v>65</v>
      </c>
      <c r="H96" s="30">
        <v>150</v>
      </c>
      <c r="I96" s="30">
        <v>9750</v>
      </c>
      <c r="K96" s="86"/>
    </row>
    <row r="97" spans="2:11" x14ac:dyDescent="0.3">
      <c r="B97" s="43">
        <v>42643</v>
      </c>
      <c r="C97" s="30" t="s">
        <v>8</v>
      </c>
      <c r="D97" s="2" t="s">
        <v>39</v>
      </c>
      <c r="E97" s="30">
        <v>8625</v>
      </c>
      <c r="F97" s="30">
        <v>8600</v>
      </c>
      <c r="G97" s="30">
        <v>25</v>
      </c>
      <c r="H97" s="30">
        <v>150</v>
      </c>
      <c r="I97" s="30">
        <v>3750</v>
      </c>
      <c r="K97" s="86"/>
    </row>
    <row r="98" spans="2:11" ht="18" x14ac:dyDescent="0.35">
      <c r="B98" s="43"/>
      <c r="C98" s="30"/>
      <c r="D98" s="2"/>
      <c r="E98" s="30"/>
      <c r="F98" s="30"/>
      <c r="G98" s="30"/>
      <c r="H98" s="30"/>
      <c r="I98" s="76"/>
      <c r="K98" s="86"/>
    </row>
    <row r="99" spans="2:11" ht="18" x14ac:dyDescent="0.35">
      <c r="B99" s="43"/>
      <c r="C99" s="28"/>
      <c r="D99" s="30"/>
      <c r="E99" s="28"/>
      <c r="F99" s="28"/>
      <c r="G99" s="28"/>
      <c r="H99" s="28"/>
      <c r="I99" s="75">
        <v>70800</v>
      </c>
      <c r="K99" s="86"/>
    </row>
    <row r="100" spans="2:11" ht="15.6" x14ac:dyDescent="0.3">
      <c r="B100" s="48" t="s">
        <v>991</v>
      </c>
      <c r="C100" s="61"/>
      <c r="D100" s="61"/>
      <c r="E100" s="61"/>
      <c r="F100" s="61"/>
      <c r="G100" s="61"/>
      <c r="H100" s="61"/>
      <c r="I100" s="61"/>
      <c r="K100" s="86"/>
    </row>
    <row r="101" spans="2:11" x14ac:dyDescent="0.3">
      <c r="B101" s="43">
        <v>42614</v>
      </c>
      <c r="C101" s="3" t="s">
        <v>9</v>
      </c>
      <c r="D101" s="3" t="s">
        <v>1766</v>
      </c>
      <c r="E101" s="41" t="s">
        <v>582</v>
      </c>
      <c r="F101" s="41" t="s">
        <v>523</v>
      </c>
      <c r="G101" s="41" t="s">
        <v>917</v>
      </c>
      <c r="H101" s="30">
        <v>300</v>
      </c>
      <c r="I101" s="8">
        <v>-6000</v>
      </c>
      <c r="K101" s="86"/>
    </row>
    <row r="102" spans="2:11" x14ac:dyDescent="0.3">
      <c r="B102" s="43">
        <v>42615</v>
      </c>
      <c r="C102" s="3" t="s">
        <v>9</v>
      </c>
      <c r="D102" s="3" t="s">
        <v>1719</v>
      </c>
      <c r="E102" s="30">
        <v>110</v>
      </c>
      <c r="F102" s="30">
        <v>90</v>
      </c>
      <c r="G102" s="30">
        <v>-20</v>
      </c>
      <c r="H102" s="30">
        <v>300</v>
      </c>
      <c r="I102" s="8">
        <v>-6000</v>
      </c>
      <c r="K102" s="86"/>
    </row>
    <row r="103" spans="2:11" x14ac:dyDescent="0.3">
      <c r="B103" s="43">
        <v>42619</v>
      </c>
      <c r="C103" s="3" t="s">
        <v>9</v>
      </c>
      <c r="D103" s="3" t="s">
        <v>1790</v>
      </c>
      <c r="E103" s="30">
        <v>108</v>
      </c>
      <c r="F103" s="30">
        <v>134</v>
      </c>
      <c r="G103" s="30">
        <v>26</v>
      </c>
      <c r="H103" s="30">
        <v>300</v>
      </c>
      <c r="I103" s="8">
        <v>7800</v>
      </c>
    </row>
    <row r="104" spans="2:11" x14ac:dyDescent="0.3">
      <c r="B104" s="43">
        <v>42620</v>
      </c>
      <c r="C104" s="3" t="s">
        <v>9</v>
      </c>
      <c r="D104" s="3" t="s">
        <v>1791</v>
      </c>
      <c r="E104" s="30">
        <v>110</v>
      </c>
      <c r="F104" s="30">
        <v>125</v>
      </c>
      <c r="G104" s="30">
        <v>15</v>
      </c>
      <c r="H104" s="30">
        <v>300</v>
      </c>
      <c r="I104" s="8">
        <v>4500</v>
      </c>
    </row>
    <row r="105" spans="2:11" x14ac:dyDescent="0.3">
      <c r="B105" s="43">
        <v>42621</v>
      </c>
      <c r="C105" s="3" t="s">
        <v>9</v>
      </c>
      <c r="D105" s="30" t="s">
        <v>1790</v>
      </c>
      <c r="E105" s="30">
        <v>130</v>
      </c>
      <c r="F105" s="30">
        <v>145</v>
      </c>
      <c r="G105" s="30">
        <v>15</v>
      </c>
      <c r="H105" s="30">
        <v>300</v>
      </c>
      <c r="I105" s="8">
        <v>4500</v>
      </c>
    </row>
    <row r="106" spans="2:11" x14ac:dyDescent="0.3">
      <c r="B106" s="43">
        <v>42622</v>
      </c>
      <c r="C106" s="3" t="s">
        <v>9</v>
      </c>
      <c r="D106" s="30" t="s">
        <v>1791</v>
      </c>
      <c r="E106" s="30">
        <v>135</v>
      </c>
      <c r="F106" s="30">
        <v>150</v>
      </c>
      <c r="G106" s="30">
        <v>15</v>
      </c>
      <c r="H106" s="30">
        <v>300</v>
      </c>
      <c r="I106" s="8">
        <v>4500</v>
      </c>
    </row>
    <row r="107" spans="2:11" x14ac:dyDescent="0.3">
      <c r="B107" s="43">
        <v>42625</v>
      </c>
      <c r="C107" s="3" t="s">
        <v>9</v>
      </c>
      <c r="D107" s="30" t="s">
        <v>1719</v>
      </c>
      <c r="E107" s="30">
        <v>120</v>
      </c>
      <c r="F107" s="30">
        <v>135</v>
      </c>
      <c r="G107" s="30">
        <v>15</v>
      </c>
      <c r="H107" s="30">
        <v>300</v>
      </c>
      <c r="I107" s="8">
        <v>4500</v>
      </c>
    </row>
    <row r="108" spans="2:11" x14ac:dyDescent="0.3">
      <c r="B108" s="43">
        <v>42627</v>
      </c>
      <c r="C108" s="3" t="s">
        <v>9</v>
      </c>
      <c r="D108" s="30" t="s">
        <v>1719</v>
      </c>
      <c r="E108" s="30">
        <v>140</v>
      </c>
      <c r="F108" s="30">
        <v>120</v>
      </c>
      <c r="G108" s="30">
        <v>-20</v>
      </c>
      <c r="H108" s="30">
        <v>300</v>
      </c>
      <c r="I108" s="8">
        <v>-6000</v>
      </c>
    </row>
    <row r="109" spans="2:11" x14ac:dyDescent="0.3">
      <c r="B109" s="43">
        <v>42628</v>
      </c>
      <c r="C109" s="3" t="s">
        <v>9</v>
      </c>
      <c r="D109" s="30" t="s">
        <v>1719</v>
      </c>
      <c r="E109" s="30">
        <v>120</v>
      </c>
      <c r="F109" s="30">
        <v>130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42629</v>
      </c>
      <c r="C110" s="3" t="s">
        <v>9</v>
      </c>
      <c r="D110" s="30" t="s">
        <v>1766</v>
      </c>
      <c r="E110" s="30">
        <v>120</v>
      </c>
      <c r="F110" s="30">
        <v>100</v>
      </c>
      <c r="G110" s="30">
        <v>-20</v>
      </c>
      <c r="H110" s="30">
        <v>300</v>
      </c>
      <c r="I110" s="8">
        <v>-6000</v>
      </c>
    </row>
    <row r="111" spans="2:11" x14ac:dyDescent="0.3">
      <c r="B111" s="43">
        <v>42632</v>
      </c>
      <c r="C111" s="3" t="s">
        <v>9</v>
      </c>
      <c r="D111" s="30" t="s">
        <v>1804</v>
      </c>
      <c r="E111" s="30">
        <v>165</v>
      </c>
      <c r="F111" s="30">
        <v>175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42633</v>
      </c>
      <c r="C112" s="3" t="s">
        <v>9</v>
      </c>
      <c r="D112" s="30" t="s">
        <v>1805</v>
      </c>
      <c r="E112" s="30">
        <v>130</v>
      </c>
      <c r="F112" s="30">
        <v>140</v>
      </c>
      <c r="G112" s="30">
        <v>10</v>
      </c>
      <c r="H112" s="30">
        <v>300</v>
      </c>
      <c r="I112" s="8">
        <v>3000</v>
      </c>
    </row>
    <row r="113" spans="2:9" x14ac:dyDescent="0.3">
      <c r="B113" s="43">
        <v>42634</v>
      </c>
      <c r="C113" s="3" t="s">
        <v>9</v>
      </c>
      <c r="D113" s="30" t="s">
        <v>1805</v>
      </c>
      <c r="E113" s="30">
        <v>105</v>
      </c>
      <c r="F113" s="30">
        <v>142</v>
      </c>
      <c r="G113" s="30">
        <v>37</v>
      </c>
      <c r="H113" s="30">
        <v>300</v>
      </c>
      <c r="I113" s="8">
        <v>11100</v>
      </c>
    </row>
    <row r="114" spans="2:9" x14ac:dyDescent="0.3">
      <c r="B114" s="43">
        <v>42635</v>
      </c>
      <c r="C114" s="3" t="s">
        <v>9</v>
      </c>
      <c r="D114" s="30" t="s">
        <v>1791</v>
      </c>
      <c r="E114" s="30">
        <v>125</v>
      </c>
      <c r="F114" s="30">
        <v>140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42636</v>
      </c>
      <c r="C115" s="3" t="s">
        <v>9</v>
      </c>
      <c r="D115" s="30" t="s">
        <v>1791</v>
      </c>
      <c r="E115" s="30">
        <v>132</v>
      </c>
      <c r="F115" s="30">
        <v>168</v>
      </c>
      <c r="G115" s="30">
        <v>36</v>
      </c>
      <c r="H115" s="30">
        <v>300</v>
      </c>
      <c r="I115" s="8">
        <v>10800</v>
      </c>
    </row>
    <row r="116" spans="2:9" x14ac:dyDescent="0.3">
      <c r="B116" s="43">
        <v>42639</v>
      </c>
      <c r="C116" s="3" t="s">
        <v>9</v>
      </c>
      <c r="D116" s="28" t="s">
        <v>1805</v>
      </c>
      <c r="E116" s="49" t="s">
        <v>217</v>
      </c>
      <c r="F116" s="49" t="s">
        <v>582</v>
      </c>
      <c r="G116" s="49" t="s">
        <v>945</v>
      </c>
      <c r="H116" s="30">
        <v>300</v>
      </c>
      <c r="I116" s="8">
        <v>10500</v>
      </c>
    </row>
    <row r="117" spans="2:9" x14ac:dyDescent="0.3">
      <c r="B117" s="43">
        <v>42640</v>
      </c>
      <c r="C117" s="3" t="s">
        <v>9</v>
      </c>
      <c r="D117" s="28" t="s">
        <v>1805</v>
      </c>
      <c r="E117" s="49" t="s">
        <v>612</v>
      </c>
      <c r="F117" s="49" t="s">
        <v>787</v>
      </c>
      <c r="G117" s="49" t="s">
        <v>945</v>
      </c>
      <c r="H117" s="30">
        <v>300</v>
      </c>
      <c r="I117" s="8">
        <v>10500</v>
      </c>
    </row>
    <row r="118" spans="2:9" x14ac:dyDescent="0.3">
      <c r="B118" s="43">
        <v>42641</v>
      </c>
      <c r="C118" s="3" t="s">
        <v>9</v>
      </c>
      <c r="D118" s="28" t="s">
        <v>1805</v>
      </c>
      <c r="E118" s="49" t="s">
        <v>528</v>
      </c>
      <c r="F118" s="49" t="s">
        <v>232</v>
      </c>
      <c r="G118" s="49" t="s">
        <v>1098</v>
      </c>
      <c r="H118" s="30">
        <v>300</v>
      </c>
      <c r="I118" s="8">
        <v>-9000</v>
      </c>
    </row>
    <row r="119" spans="2:9" x14ac:dyDescent="0.3">
      <c r="B119" s="87">
        <v>42642</v>
      </c>
      <c r="C119" s="3" t="s">
        <v>9</v>
      </c>
      <c r="D119" s="28" t="s">
        <v>1805</v>
      </c>
      <c r="E119" s="49" t="s">
        <v>523</v>
      </c>
      <c r="F119" s="49" t="s">
        <v>626</v>
      </c>
      <c r="G119" s="49" t="s">
        <v>945</v>
      </c>
      <c r="H119" s="30">
        <v>300</v>
      </c>
      <c r="I119" s="8">
        <v>10500</v>
      </c>
    </row>
    <row r="120" spans="2:9" x14ac:dyDescent="0.3">
      <c r="B120" s="43">
        <v>42643</v>
      </c>
      <c r="C120" s="3" t="s">
        <v>9</v>
      </c>
      <c r="D120" s="28" t="s">
        <v>1639</v>
      </c>
      <c r="E120" s="49" t="s">
        <v>232</v>
      </c>
      <c r="F120" s="49" t="s">
        <v>1812</v>
      </c>
      <c r="G120" s="49" t="s">
        <v>489</v>
      </c>
      <c r="H120" s="30">
        <v>300</v>
      </c>
      <c r="I120" s="8">
        <v>5100</v>
      </c>
    </row>
    <row r="121" spans="2:9" x14ac:dyDescent="0.3">
      <c r="B121" s="1"/>
      <c r="C121" s="28"/>
      <c r="D121" s="28"/>
      <c r="E121" s="81"/>
      <c r="F121" s="81"/>
      <c r="G121" s="81"/>
      <c r="H121" s="81"/>
      <c r="I121" s="81"/>
    </row>
    <row r="122" spans="2:9" x14ac:dyDescent="0.3">
      <c r="B122" s="1"/>
      <c r="C122" s="28"/>
      <c r="D122" s="28"/>
      <c r="E122" s="81"/>
      <c r="F122" s="81"/>
      <c r="G122" s="81"/>
      <c r="H122" s="81"/>
      <c r="I122" s="81"/>
    </row>
    <row r="123" spans="2:9" ht="18" x14ac:dyDescent="0.35">
      <c r="B123" s="1"/>
      <c r="C123" s="28"/>
      <c r="D123" s="28"/>
      <c r="E123" s="28"/>
      <c r="F123" s="28"/>
      <c r="G123" s="28"/>
      <c r="H123" s="28"/>
      <c r="I123" s="76"/>
    </row>
    <row r="124" spans="2:9" ht="18" x14ac:dyDescent="0.35">
      <c r="B124" s="1"/>
      <c r="I124" s="72">
        <v>64800</v>
      </c>
    </row>
    <row r="125" spans="2:9" ht="15.6" x14ac:dyDescent="0.3">
      <c r="B125" s="48" t="s">
        <v>926</v>
      </c>
      <c r="C125" s="48"/>
      <c r="D125" s="48"/>
      <c r="E125" s="48"/>
      <c r="F125" s="48"/>
      <c r="G125" s="48"/>
      <c r="H125" s="48"/>
      <c r="I125" s="48"/>
    </row>
    <row r="126" spans="2:9" x14ac:dyDescent="0.3">
      <c r="B126" s="43">
        <v>42614</v>
      </c>
      <c r="C126" s="30" t="s">
        <v>9</v>
      </c>
      <c r="D126" s="30" t="s">
        <v>301</v>
      </c>
      <c r="E126" s="30">
        <v>19880</v>
      </c>
      <c r="F126" s="30">
        <v>19980</v>
      </c>
      <c r="G126" s="30">
        <v>100</v>
      </c>
      <c r="H126" s="30">
        <v>160</v>
      </c>
      <c r="I126" s="30">
        <v>16000</v>
      </c>
    </row>
    <row r="127" spans="2:9" x14ac:dyDescent="0.3">
      <c r="B127" s="43">
        <v>42615</v>
      </c>
      <c r="C127" s="30" t="s">
        <v>8</v>
      </c>
      <c r="D127" s="30" t="s">
        <v>301</v>
      </c>
      <c r="E127" s="30">
        <v>19900</v>
      </c>
      <c r="F127" s="30">
        <v>19950</v>
      </c>
      <c r="G127" s="30">
        <v>-50</v>
      </c>
      <c r="H127" s="30">
        <v>160</v>
      </c>
      <c r="I127" s="30">
        <v>-8000</v>
      </c>
    </row>
    <row r="128" spans="2:9" x14ac:dyDescent="0.3">
      <c r="B128" s="43">
        <v>42619</v>
      </c>
      <c r="C128" s="30" t="s">
        <v>9</v>
      </c>
      <c r="D128" s="30" t="s">
        <v>301</v>
      </c>
      <c r="E128" s="30">
        <v>20200</v>
      </c>
      <c r="F128" s="30">
        <v>20500</v>
      </c>
      <c r="G128" s="30">
        <v>300</v>
      </c>
      <c r="H128" s="30">
        <v>160</v>
      </c>
      <c r="I128" s="30">
        <v>48000</v>
      </c>
    </row>
    <row r="129" spans="2:9" x14ac:dyDescent="0.3">
      <c r="B129" s="43">
        <v>42620</v>
      </c>
      <c r="C129" s="30" t="s">
        <v>8</v>
      </c>
      <c r="D129" s="30" t="s">
        <v>301</v>
      </c>
      <c r="E129" s="30">
        <v>20500</v>
      </c>
      <c r="F129" s="30">
        <v>20480</v>
      </c>
      <c r="G129" s="30">
        <v>20</v>
      </c>
      <c r="H129" s="30">
        <v>160</v>
      </c>
      <c r="I129" s="30">
        <v>3200</v>
      </c>
    </row>
    <row r="130" spans="2:9" x14ac:dyDescent="0.3">
      <c r="B130" s="43">
        <v>42621</v>
      </c>
      <c r="C130" s="30" t="s">
        <v>9</v>
      </c>
      <c r="D130" s="30" t="s">
        <v>301</v>
      </c>
      <c r="E130" s="30">
        <v>20540</v>
      </c>
      <c r="F130" s="30">
        <v>20510</v>
      </c>
      <c r="G130" s="30">
        <v>-30</v>
      </c>
      <c r="H130" s="30">
        <v>160</v>
      </c>
      <c r="I130" s="30">
        <v>-4800</v>
      </c>
    </row>
    <row r="131" spans="2:9" x14ac:dyDescent="0.3">
      <c r="B131" s="43">
        <v>42622</v>
      </c>
      <c r="C131" s="30" t="s">
        <v>8</v>
      </c>
      <c r="D131" s="30" t="s">
        <v>301</v>
      </c>
      <c r="E131" s="30">
        <v>20270</v>
      </c>
      <c r="F131" s="30">
        <v>20340</v>
      </c>
      <c r="G131" s="30">
        <v>-70</v>
      </c>
      <c r="H131" s="30">
        <v>160</v>
      </c>
      <c r="I131" s="30">
        <v>-11200</v>
      </c>
    </row>
    <row r="132" spans="2:9" x14ac:dyDescent="0.3">
      <c r="B132" s="43">
        <v>42625</v>
      </c>
      <c r="C132" s="30" t="s">
        <v>8</v>
      </c>
      <c r="D132" s="30" t="s">
        <v>301</v>
      </c>
      <c r="E132" s="30">
        <v>19900</v>
      </c>
      <c r="F132" s="30">
        <v>19850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42627</v>
      </c>
      <c r="C133" s="30" t="s">
        <v>8</v>
      </c>
      <c r="D133" s="30" t="s">
        <v>301</v>
      </c>
      <c r="E133" s="30">
        <v>19900</v>
      </c>
      <c r="F133" s="30">
        <v>20000</v>
      </c>
      <c r="G133" s="30">
        <v>-100</v>
      </c>
      <c r="H133" s="30">
        <v>160</v>
      </c>
      <c r="I133" s="30">
        <v>-16000</v>
      </c>
    </row>
    <row r="134" spans="2:9" x14ac:dyDescent="0.3">
      <c r="B134" s="43">
        <v>42628</v>
      </c>
      <c r="C134" s="30" t="s">
        <v>8</v>
      </c>
      <c r="D134" s="30" t="s">
        <v>301</v>
      </c>
      <c r="E134" s="30">
        <v>19970</v>
      </c>
      <c r="F134" s="30">
        <v>19820</v>
      </c>
      <c r="G134" s="30">
        <v>150</v>
      </c>
      <c r="H134" s="30">
        <v>160</v>
      </c>
      <c r="I134" s="30">
        <v>24000</v>
      </c>
    </row>
    <row r="135" spans="2:9" x14ac:dyDescent="0.3">
      <c r="B135" s="43">
        <v>42629</v>
      </c>
      <c r="C135" s="30" t="s">
        <v>9</v>
      </c>
      <c r="D135" s="30" t="s">
        <v>301</v>
      </c>
      <c r="E135" s="30">
        <v>20230</v>
      </c>
      <c r="F135" s="30">
        <v>20280</v>
      </c>
      <c r="G135" s="30">
        <v>50</v>
      </c>
      <c r="H135" s="30">
        <v>160</v>
      </c>
      <c r="I135" s="30">
        <v>8000</v>
      </c>
    </row>
    <row r="136" spans="2:9" x14ac:dyDescent="0.3">
      <c r="B136" s="43">
        <v>42632</v>
      </c>
      <c r="C136" s="30" t="s">
        <v>9</v>
      </c>
      <c r="D136" s="30" t="s">
        <v>301</v>
      </c>
      <c r="E136" s="30">
        <v>20000</v>
      </c>
      <c r="F136" s="30">
        <v>19985</v>
      </c>
      <c r="G136" s="30">
        <v>-15</v>
      </c>
      <c r="H136" s="30">
        <v>160</v>
      </c>
      <c r="I136" s="30">
        <v>-2400</v>
      </c>
    </row>
    <row r="137" spans="2:9" x14ac:dyDescent="0.3">
      <c r="B137" s="43">
        <v>42633</v>
      </c>
      <c r="C137" s="30" t="s">
        <v>8</v>
      </c>
      <c r="D137" s="30" t="s">
        <v>301</v>
      </c>
      <c r="E137" s="30">
        <v>19880</v>
      </c>
      <c r="F137" s="30">
        <v>19920</v>
      </c>
      <c r="G137" s="30">
        <v>-40</v>
      </c>
      <c r="H137" s="30">
        <v>160</v>
      </c>
      <c r="I137" s="30">
        <v>-6400</v>
      </c>
    </row>
    <row r="138" spans="2:9" x14ac:dyDescent="0.3">
      <c r="B138" s="43">
        <v>42634</v>
      </c>
      <c r="C138" s="30" t="s">
        <v>8</v>
      </c>
      <c r="D138" s="30" t="s">
        <v>301</v>
      </c>
      <c r="E138" s="30">
        <v>19970</v>
      </c>
      <c r="F138" s="30">
        <v>19870</v>
      </c>
      <c r="G138" s="30">
        <v>100</v>
      </c>
      <c r="H138" s="30">
        <v>160</v>
      </c>
      <c r="I138" s="30">
        <v>16000</v>
      </c>
    </row>
    <row r="139" spans="2:9" x14ac:dyDescent="0.3">
      <c r="B139" s="43">
        <v>42635</v>
      </c>
      <c r="C139" s="30" t="s">
        <v>8</v>
      </c>
      <c r="D139" s="30" t="s">
        <v>301</v>
      </c>
      <c r="E139" s="30">
        <v>20200</v>
      </c>
      <c r="F139" s="30">
        <v>20050</v>
      </c>
      <c r="G139" s="30">
        <v>150</v>
      </c>
      <c r="H139" s="30">
        <v>160</v>
      </c>
      <c r="I139" s="30">
        <v>24000</v>
      </c>
    </row>
    <row r="140" spans="2:9" x14ac:dyDescent="0.3">
      <c r="B140" s="43">
        <v>42636</v>
      </c>
      <c r="C140" s="30" t="s">
        <v>8</v>
      </c>
      <c r="D140" s="30" t="s">
        <v>301</v>
      </c>
      <c r="E140" s="30">
        <v>20070</v>
      </c>
      <c r="F140" s="30">
        <v>19930</v>
      </c>
      <c r="G140" s="30">
        <v>140</v>
      </c>
      <c r="H140" s="30">
        <v>160</v>
      </c>
      <c r="I140" s="30">
        <v>22400</v>
      </c>
    </row>
    <row r="141" spans="2:9" x14ac:dyDescent="0.3">
      <c r="B141" s="43">
        <v>42639</v>
      </c>
      <c r="C141" s="30" t="s">
        <v>8</v>
      </c>
      <c r="D141" s="30" t="s">
        <v>301</v>
      </c>
      <c r="E141" s="30">
        <v>19800</v>
      </c>
      <c r="F141" s="30">
        <v>19650</v>
      </c>
      <c r="G141" s="30">
        <v>150</v>
      </c>
      <c r="H141" s="30">
        <v>160</v>
      </c>
      <c r="I141" s="30">
        <v>24000</v>
      </c>
    </row>
    <row r="142" spans="2:9" x14ac:dyDescent="0.3">
      <c r="B142" s="43">
        <v>42640</v>
      </c>
      <c r="C142" s="30" t="s">
        <v>8</v>
      </c>
      <c r="D142" s="30" t="s">
        <v>301</v>
      </c>
      <c r="E142" s="30">
        <v>19680</v>
      </c>
      <c r="F142" s="30">
        <v>19535</v>
      </c>
      <c r="G142" s="30">
        <v>145</v>
      </c>
      <c r="H142" s="30">
        <v>160</v>
      </c>
      <c r="I142" s="30">
        <v>23200</v>
      </c>
    </row>
    <row r="143" spans="2:9" x14ac:dyDescent="0.3">
      <c r="B143" s="43">
        <v>42641</v>
      </c>
      <c r="C143" s="30" t="s">
        <v>8</v>
      </c>
      <c r="D143" s="30" t="s">
        <v>301</v>
      </c>
      <c r="E143" s="30">
        <v>19600</v>
      </c>
      <c r="F143" s="30">
        <v>19700</v>
      </c>
      <c r="G143" s="30">
        <v>-100</v>
      </c>
      <c r="H143" s="30">
        <v>160</v>
      </c>
      <c r="I143" s="94">
        <v>-16000</v>
      </c>
    </row>
    <row r="144" spans="2:9" x14ac:dyDescent="0.3">
      <c r="B144" s="87">
        <v>42642</v>
      </c>
      <c r="C144" s="30" t="s">
        <v>8</v>
      </c>
      <c r="D144" s="30" t="s">
        <v>301</v>
      </c>
      <c r="E144" s="88">
        <v>19730</v>
      </c>
      <c r="F144" s="88">
        <v>19430</v>
      </c>
      <c r="G144" s="88">
        <v>300</v>
      </c>
      <c r="H144" s="88">
        <v>160</v>
      </c>
      <c r="I144" s="88">
        <v>48000</v>
      </c>
    </row>
    <row r="145" spans="1:36" x14ac:dyDescent="0.3">
      <c r="B145" s="43">
        <v>42643</v>
      </c>
      <c r="C145" s="30" t="s">
        <v>8</v>
      </c>
      <c r="D145" s="30" t="s">
        <v>301</v>
      </c>
      <c r="E145" s="30">
        <v>19320</v>
      </c>
      <c r="F145" s="30">
        <v>19270</v>
      </c>
      <c r="G145" s="30">
        <v>50</v>
      </c>
      <c r="H145" s="30">
        <v>160</v>
      </c>
      <c r="I145" s="30">
        <v>8000</v>
      </c>
    </row>
    <row r="146" spans="1:36" x14ac:dyDescent="0.3">
      <c r="B146" s="43"/>
      <c r="C146" s="30"/>
      <c r="D146" s="30"/>
      <c r="E146" s="30"/>
      <c r="F146" s="30"/>
      <c r="G146" s="30"/>
      <c r="H146" s="30"/>
      <c r="I146" s="30"/>
    </row>
    <row r="147" spans="1:36" s="30" customFormat="1" x14ac:dyDescent="0.3">
      <c r="A147" s="9"/>
      <c r="B147" s="43"/>
      <c r="J147" s="9"/>
    </row>
    <row r="148" spans="1:36" ht="18" x14ac:dyDescent="0.35">
      <c r="I148" s="98"/>
    </row>
    <row r="149" spans="1:36" ht="23.4" x14ac:dyDescent="0.45">
      <c r="I149" s="125">
        <v>208000</v>
      </c>
    </row>
    <row r="150" spans="1:36" s="99" customFormat="1" ht="18" x14ac:dyDescent="0.35">
      <c r="B150" s="285" t="s">
        <v>1076</v>
      </c>
      <c r="C150" s="286"/>
      <c r="D150" s="286"/>
      <c r="E150" s="286"/>
      <c r="F150" s="286"/>
      <c r="G150" s="286"/>
      <c r="H150" s="286"/>
      <c r="I150" s="287"/>
      <c r="K150" s="10"/>
      <c r="L150" s="10"/>
      <c r="M150" s="10"/>
      <c r="N150" s="10"/>
      <c r="O150" s="1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</row>
    <row r="151" spans="1:36" x14ac:dyDescent="0.3">
      <c r="B151" s="43">
        <v>42614</v>
      </c>
      <c r="C151" s="30" t="s">
        <v>9</v>
      </c>
      <c r="D151" s="30" t="s">
        <v>1792</v>
      </c>
      <c r="E151" s="30">
        <v>18</v>
      </c>
      <c r="F151" s="30">
        <v>18</v>
      </c>
      <c r="G151" s="30">
        <v>0</v>
      </c>
      <c r="H151" s="30">
        <v>700</v>
      </c>
      <c r="I151" s="30">
        <v>0</v>
      </c>
    </row>
    <row r="152" spans="1:36" ht="18" x14ac:dyDescent="0.35">
      <c r="B152" s="43">
        <v>42615</v>
      </c>
      <c r="C152" s="30" t="s">
        <v>9</v>
      </c>
      <c r="D152" s="30" t="s">
        <v>1793</v>
      </c>
      <c r="E152" s="30">
        <v>17</v>
      </c>
      <c r="F152" s="30">
        <v>15</v>
      </c>
      <c r="G152" s="30">
        <v>-2</v>
      </c>
      <c r="H152" s="30">
        <v>1200</v>
      </c>
      <c r="I152" s="30">
        <v>-2400</v>
      </c>
      <c r="K152" s="100"/>
      <c r="L152" s="100"/>
      <c r="M152" s="100"/>
      <c r="N152" s="100"/>
      <c r="O152" s="100"/>
    </row>
    <row r="153" spans="1:36" x14ac:dyDescent="0.3">
      <c r="B153" s="43">
        <v>42619</v>
      </c>
      <c r="C153" s="30" t="s">
        <v>9</v>
      </c>
      <c r="D153" s="30" t="s">
        <v>1794</v>
      </c>
      <c r="E153" s="30">
        <v>15</v>
      </c>
      <c r="F153" s="30">
        <v>25</v>
      </c>
      <c r="G153" s="30">
        <v>10</v>
      </c>
      <c r="H153" s="30">
        <v>1200</v>
      </c>
      <c r="I153" s="30">
        <v>12000</v>
      </c>
      <c r="L153" s="30"/>
    </row>
    <row r="154" spans="1:36" x14ac:dyDescent="0.3">
      <c r="B154" s="43">
        <v>42620</v>
      </c>
      <c r="C154" s="30" t="s">
        <v>9</v>
      </c>
      <c r="D154" s="30" t="s">
        <v>1795</v>
      </c>
      <c r="E154" s="30">
        <v>11</v>
      </c>
      <c r="F154" s="30">
        <v>16</v>
      </c>
      <c r="G154" s="30">
        <v>5</v>
      </c>
      <c r="H154" s="30">
        <v>2500</v>
      </c>
      <c r="I154" s="30">
        <v>12500</v>
      </c>
      <c r="L154" s="30"/>
    </row>
    <row r="155" spans="1:36" x14ac:dyDescent="0.3">
      <c r="B155" s="43">
        <v>42621</v>
      </c>
      <c r="C155" s="30" t="s">
        <v>9</v>
      </c>
      <c r="D155" s="30" t="s">
        <v>1796</v>
      </c>
      <c r="E155" s="30">
        <v>9</v>
      </c>
      <c r="F155" s="30">
        <v>7.5</v>
      </c>
      <c r="G155" s="30">
        <v>-1.5</v>
      </c>
      <c r="H155" s="30">
        <v>2500</v>
      </c>
      <c r="I155" s="30">
        <v>-3750</v>
      </c>
      <c r="L155" s="30"/>
    </row>
    <row r="156" spans="1:36" x14ac:dyDescent="0.3">
      <c r="B156" s="43">
        <v>42622</v>
      </c>
      <c r="C156" s="30" t="s">
        <v>9</v>
      </c>
      <c r="D156" s="30" t="s">
        <v>1797</v>
      </c>
      <c r="E156" s="30">
        <v>11</v>
      </c>
      <c r="F156" s="30">
        <v>13</v>
      </c>
      <c r="G156" s="30">
        <v>2</v>
      </c>
      <c r="H156" s="30">
        <v>3000</v>
      </c>
      <c r="I156" s="30">
        <v>6000</v>
      </c>
      <c r="L156" s="30"/>
    </row>
    <row r="157" spans="1:36" x14ac:dyDescent="0.3">
      <c r="B157" s="43">
        <v>42625</v>
      </c>
      <c r="C157" s="30" t="s">
        <v>9</v>
      </c>
      <c r="D157" s="30" t="s">
        <v>1793</v>
      </c>
      <c r="E157" s="30">
        <v>18</v>
      </c>
      <c r="F157" s="30">
        <v>19</v>
      </c>
      <c r="G157" s="30">
        <v>1</v>
      </c>
      <c r="H157" s="30">
        <v>1200</v>
      </c>
      <c r="I157" s="30">
        <v>1200</v>
      </c>
      <c r="L157" s="30"/>
    </row>
    <row r="158" spans="1:36" x14ac:dyDescent="0.3">
      <c r="B158" s="43">
        <v>42627</v>
      </c>
      <c r="C158" s="30" t="s">
        <v>9</v>
      </c>
      <c r="D158" s="30" t="s">
        <v>1491</v>
      </c>
      <c r="E158" s="30">
        <v>25</v>
      </c>
      <c r="F158" s="30">
        <v>18</v>
      </c>
      <c r="G158" s="30">
        <v>-7</v>
      </c>
      <c r="H158" s="30">
        <v>500</v>
      </c>
      <c r="I158" s="30">
        <v>-3500</v>
      </c>
      <c r="L158" s="30"/>
    </row>
    <row r="159" spans="1:36" x14ac:dyDescent="0.3">
      <c r="B159" s="43">
        <v>42628</v>
      </c>
      <c r="C159" s="30" t="s">
        <v>9</v>
      </c>
      <c r="D159" s="30" t="s">
        <v>1762</v>
      </c>
      <c r="E159" s="30">
        <v>6</v>
      </c>
      <c r="F159" s="30">
        <v>5.2</v>
      </c>
      <c r="G159" s="30">
        <v>-0.8</v>
      </c>
      <c r="H159" s="30">
        <v>3000</v>
      </c>
      <c r="I159" s="30">
        <v>-2400</v>
      </c>
    </row>
    <row r="160" spans="1:36" x14ac:dyDescent="0.3">
      <c r="B160" s="43">
        <v>42629</v>
      </c>
      <c r="C160" s="30" t="s">
        <v>9</v>
      </c>
      <c r="D160" s="30" t="s">
        <v>1795</v>
      </c>
      <c r="E160" s="30">
        <v>11</v>
      </c>
      <c r="F160" s="30">
        <v>8</v>
      </c>
      <c r="G160" s="30">
        <v>-3</v>
      </c>
      <c r="H160" s="30">
        <v>2500</v>
      </c>
      <c r="I160" s="30">
        <v>-7500</v>
      </c>
    </row>
    <row r="161" spans="2:12" x14ac:dyDescent="0.3">
      <c r="B161" s="43">
        <v>42632</v>
      </c>
      <c r="C161" s="30" t="s">
        <v>9</v>
      </c>
      <c r="D161" s="30" t="s">
        <v>1806</v>
      </c>
      <c r="E161" s="30">
        <v>40</v>
      </c>
      <c r="F161" s="30">
        <v>50</v>
      </c>
      <c r="G161" s="30">
        <v>10</v>
      </c>
      <c r="H161" s="30">
        <v>250</v>
      </c>
      <c r="I161" s="30">
        <v>2500</v>
      </c>
    </row>
    <row r="162" spans="2:12" x14ac:dyDescent="0.3">
      <c r="B162" s="43">
        <v>42633</v>
      </c>
      <c r="C162" s="30" t="s">
        <v>9</v>
      </c>
      <c r="D162" s="30" t="s">
        <v>1793</v>
      </c>
      <c r="E162" s="30">
        <v>17</v>
      </c>
      <c r="F162" s="30">
        <v>16</v>
      </c>
      <c r="G162" s="30">
        <v>-1</v>
      </c>
      <c r="H162" s="30">
        <v>1200</v>
      </c>
      <c r="I162" s="30">
        <v>-1200</v>
      </c>
    </row>
    <row r="163" spans="2:12" x14ac:dyDescent="0.3">
      <c r="B163" s="43">
        <v>42634</v>
      </c>
      <c r="C163" s="30" t="s">
        <v>9</v>
      </c>
      <c r="D163" s="30" t="s">
        <v>1807</v>
      </c>
      <c r="E163" s="30">
        <v>28</v>
      </c>
      <c r="F163" s="30">
        <v>31.5</v>
      </c>
      <c r="G163" s="30">
        <v>3.5</v>
      </c>
      <c r="H163" s="30">
        <v>700</v>
      </c>
      <c r="I163" s="30">
        <v>2450</v>
      </c>
    </row>
    <row r="164" spans="2:12" x14ac:dyDescent="0.3">
      <c r="B164" s="43">
        <v>42635</v>
      </c>
      <c r="C164" s="30" t="s">
        <v>9</v>
      </c>
      <c r="D164" s="30" t="s">
        <v>1808</v>
      </c>
      <c r="E164" s="30">
        <v>11</v>
      </c>
      <c r="F164" s="30">
        <v>20</v>
      </c>
      <c r="G164" s="30">
        <v>9</v>
      </c>
      <c r="H164" s="30">
        <v>1200</v>
      </c>
      <c r="I164" s="30">
        <v>10800</v>
      </c>
    </row>
    <row r="165" spans="2:12" x14ac:dyDescent="0.3">
      <c r="B165" s="43">
        <v>42636</v>
      </c>
      <c r="C165" s="30" t="s">
        <v>9</v>
      </c>
      <c r="D165" s="30" t="s">
        <v>1756</v>
      </c>
      <c r="E165" s="30">
        <v>10</v>
      </c>
      <c r="F165" s="30">
        <v>16</v>
      </c>
      <c r="G165" s="30">
        <v>6</v>
      </c>
      <c r="H165" s="30">
        <v>1200</v>
      </c>
      <c r="I165" s="30">
        <v>7200</v>
      </c>
    </row>
    <row r="166" spans="2:12" x14ac:dyDescent="0.3">
      <c r="B166" s="43">
        <v>42639</v>
      </c>
      <c r="C166" s="30" t="s">
        <v>9</v>
      </c>
      <c r="D166" s="30" t="s">
        <v>1813</v>
      </c>
      <c r="E166" s="30">
        <v>6</v>
      </c>
      <c r="F166" s="30">
        <v>8</v>
      </c>
      <c r="G166" s="30">
        <v>2</v>
      </c>
      <c r="H166" s="30">
        <v>2500</v>
      </c>
      <c r="I166" s="30">
        <v>5000</v>
      </c>
    </row>
    <row r="167" spans="2:12" x14ac:dyDescent="0.3">
      <c r="B167" s="43">
        <v>42640</v>
      </c>
      <c r="C167" s="30" t="s">
        <v>9</v>
      </c>
      <c r="D167" s="30" t="s">
        <v>1813</v>
      </c>
      <c r="E167" s="30">
        <v>10</v>
      </c>
      <c r="F167" s="30">
        <v>10.5</v>
      </c>
      <c r="G167" s="30">
        <v>0.5</v>
      </c>
      <c r="H167" s="30">
        <v>2500</v>
      </c>
      <c r="I167" s="30">
        <v>1250</v>
      </c>
    </row>
    <row r="168" spans="2:12" x14ac:dyDescent="0.3">
      <c r="B168" s="43">
        <v>42641</v>
      </c>
      <c r="C168" s="30" t="s">
        <v>9</v>
      </c>
      <c r="D168" s="30" t="s">
        <v>1814</v>
      </c>
      <c r="E168" s="30">
        <v>30</v>
      </c>
      <c r="F168" s="30">
        <v>20</v>
      </c>
      <c r="G168" s="30">
        <v>-10</v>
      </c>
      <c r="H168" s="30">
        <v>300</v>
      </c>
      <c r="I168" s="30">
        <v>-3000</v>
      </c>
    </row>
    <row r="169" spans="2:12" x14ac:dyDescent="0.3">
      <c r="B169" s="87">
        <v>42642</v>
      </c>
      <c r="C169" s="30" t="s">
        <v>9</v>
      </c>
      <c r="D169" s="30" t="s">
        <v>1815</v>
      </c>
      <c r="E169" s="30">
        <v>8</v>
      </c>
      <c r="F169" s="30">
        <v>4</v>
      </c>
      <c r="G169" s="30">
        <v>-4</v>
      </c>
      <c r="H169" s="30">
        <v>700</v>
      </c>
      <c r="I169" s="30">
        <v>-2800</v>
      </c>
    </row>
    <row r="170" spans="2:12" x14ac:dyDescent="0.3">
      <c r="B170" s="43">
        <v>42643</v>
      </c>
      <c r="C170" s="30" t="s">
        <v>9</v>
      </c>
      <c r="D170" s="30" t="s">
        <v>1491</v>
      </c>
      <c r="E170" s="30">
        <v>48</v>
      </c>
      <c r="F170" s="30">
        <v>54</v>
      </c>
      <c r="G170" s="30">
        <v>6</v>
      </c>
      <c r="H170" s="30">
        <v>500</v>
      </c>
      <c r="I170" s="30">
        <v>3000</v>
      </c>
    </row>
    <row r="172" spans="2:12" ht="23.4" x14ac:dyDescent="0.45">
      <c r="I172" s="125">
        <v>37350</v>
      </c>
    </row>
    <row r="174" spans="2:12" ht="18" x14ac:dyDescent="0.35">
      <c r="B174" s="285" t="s">
        <v>1152</v>
      </c>
      <c r="C174" s="286"/>
      <c r="D174" s="286"/>
      <c r="E174" s="286"/>
      <c r="F174" s="286"/>
      <c r="G174" s="286"/>
      <c r="H174" s="286"/>
      <c r="I174" s="287"/>
    </row>
    <row r="175" spans="2:12" x14ac:dyDescent="0.3">
      <c r="B175" s="43">
        <v>42614</v>
      </c>
      <c r="C175" s="30" t="s">
        <v>9</v>
      </c>
      <c r="D175" s="30" t="s">
        <v>1798</v>
      </c>
      <c r="E175" s="30">
        <v>320</v>
      </c>
      <c r="F175" s="30">
        <v>365</v>
      </c>
      <c r="G175" s="30">
        <v>45</v>
      </c>
      <c r="H175" s="30">
        <v>160</v>
      </c>
      <c r="I175" s="30">
        <v>7200</v>
      </c>
    </row>
    <row r="176" spans="2:12" x14ac:dyDescent="0.3">
      <c r="B176" s="43">
        <v>42615</v>
      </c>
      <c r="C176" s="30" t="s">
        <v>9</v>
      </c>
      <c r="D176" s="30" t="s">
        <v>1799</v>
      </c>
      <c r="E176" s="30">
        <v>320</v>
      </c>
      <c r="F176" s="30">
        <v>290</v>
      </c>
      <c r="G176" s="30">
        <v>-30</v>
      </c>
      <c r="H176" s="30">
        <v>160</v>
      </c>
      <c r="I176" s="30">
        <v>-4800</v>
      </c>
      <c r="K176" s="10">
        <v>1</v>
      </c>
      <c r="L176" s="10">
        <v>5</v>
      </c>
    </row>
    <row r="177" spans="1:10" x14ac:dyDescent="0.3">
      <c r="B177" s="43">
        <v>42619</v>
      </c>
      <c r="C177" s="30" t="s">
        <v>9</v>
      </c>
      <c r="D177" s="30" t="s">
        <v>1800</v>
      </c>
      <c r="E177" s="30">
        <v>290</v>
      </c>
      <c r="F177" s="30">
        <v>450</v>
      </c>
      <c r="G177" s="30">
        <v>160</v>
      </c>
      <c r="H177" s="30">
        <v>160</v>
      </c>
      <c r="I177" s="30">
        <v>25600</v>
      </c>
    </row>
    <row r="178" spans="1:10" x14ac:dyDescent="0.3">
      <c r="B178" s="43">
        <v>42620</v>
      </c>
      <c r="C178" s="30" t="s">
        <v>9</v>
      </c>
      <c r="D178" s="30" t="s">
        <v>1801</v>
      </c>
      <c r="E178" s="30">
        <v>320</v>
      </c>
      <c r="F178" s="30">
        <v>325</v>
      </c>
      <c r="G178" s="30">
        <v>5</v>
      </c>
      <c r="H178" s="30">
        <v>160</v>
      </c>
      <c r="I178" s="30">
        <v>800</v>
      </c>
    </row>
    <row r="179" spans="1:10" x14ac:dyDescent="0.3">
      <c r="B179" s="43">
        <v>42621</v>
      </c>
      <c r="C179" s="30" t="s">
        <v>9</v>
      </c>
      <c r="D179" s="30" t="s">
        <v>1802</v>
      </c>
      <c r="E179" s="30">
        <v>320</v>
      </c>
      <c r="F179" s="30">
        <v>310</v>
      </c>
      <c r="G179" s="30">
        <v>-10</v>
      </c>
      <c r="H179" s="30">
        <v>160</v>
      </c>
      <c r="I179" s="30">
        <v>-1600</v>
      </c>
    </row>
    <row r="180" spans="1:10" x14ac:dyDescent="0.3">
      <c r="B180" s="43">
        <v>42622</v>
      </c>
      <c r="C180" s="30" t="s">
        <v>9</v>
      </c>
      <c r="D180" s="30" t="s">
        <v>1803</v>
      </c>
      <c r="E180" s="30">
        <v>280</v>
      </c>
      <c r="F180" s="30">
        <v>255</v>
      </c>
      <c r="G180" s="30">
        <v>-25</v>
      </c>
      <c r="H180" s="30">
        <v>160</v>
      </c>
      <c r="I180" s="30">
        <v>-4000</v>
      </c>
    </row>
    <row r="181" spans="1:10" x14ac:dyDescent="0.3">
      <c r="B181" s="43">
        <v>42625</v>
      </c>
      <c r="C181" s="30" t="s">
        <v>9</v>
      </c>
      <c r="D181" s="30" t="s">
        <v>1799</v>
      </c>
      <c r="E181" s="30">
        <v>300</v>
      </c>
      <c r="F181" s="30">
        <v>335</v>
      </c>
      <c r="G181" s="30">
        <v>35</v>
      </c>
      <c r="H181" s="30">
        <v>160</v>
      </c>
      <c r="I181" s="30">
        <v>5600</v>
      </c>
    </row>
    <row r="182" spans="1:10" x14ac:dyDescent="0.3">
      <c r="B182" s="43">
        <v>42627</v>
      </c>
      <c r="C182" s="30" t="s">
        <v>9</v>
      </c>
      <c r="D182" s="30" t="s">
        <v>1799</v>
      </c>
      <c r="E182" s="30">
        <v>290</v>
      </c>
      <c r="F182" s="30">
        <v>230</v>
      </c>
      <c r="G182" s="30">
        <v>-60</v>
      </c>
      <c r="H182" s="30">
        <v>160</v>
      </c>
      <c r="I182" s="30">
        <v>-9600</v>
      </c>
    </row>
    <row r="183" spans="1:10" x14ac:dyDescent="0.3">
      <c r="B183" s="43">
        <v>42628</v>
      </c>
      <c r="C183" s="30" t="s">
        <v>9</v>
      </c>
      <c r="D183" s="30" t="s">
        <v>1799</v>
      </c>
      <c r="E183" s="30">
        <v>240</v>
      </c>
      <c r="F183" s="30">
        <v>300</v>
      </c>
      <c r="G183" s="30">
        <v>60</v>
      </c>
      <c r="H183" s="30">
        <v>160</v>
      </c>
      <c r="I183" s="30">
        <v>9600</v>
      </c>
    </row>
    <row r="184" spans="1:10" x14ac:dyDescent="0.3">
      <c r="B184" s="43">
        <v>42629</v>
      </c>
      <c r="C184" s="30" t="s">
        <v>11</v>
      </c>
      <c r="D184" s="30" t="s">
        <v>1800</v>
      </c>
      <c r="E184" s="30">
        <v>260</v>
      </c>
      <c r="F184" s="30">
        <v>295</v>
      </c>
      <c r="G184" s="30">
        <v>35</v>
      </c>
      <c r="H184" s="30">
        <v>160</v>
      </c>
      <c r="I184" s="30">
        <v>5600</v>
      </c>
    </row>
    <row r="185" spans="1:10" x14ac:dyDescent="0.3">
      <c r="B185" s="43">
        <v>42632</v>
      </c>
      <c r="C185" s="30" t="s">
        <v>9</v>
      </c>
      <c r="D185" s="30" t="s">
        <v>1809</v>
      </c>
      <c r="E185" s="30">
        <v>250</v>
      </c>
      <c r="F185" s="30">
        <v>250</v>
      </c>
      <c r="G185" s="30">
        <v>0</v>
      </c>
      <c r="H185" s="30">
        <v>160</v>
      </c>
      <c r="I185" s="30">
        <v>0</v>
      </c>
    </row>
    <row r="186" spans="1:10" x14ac:dyDescent="0.3">
      <c r="B186" s="43">
        <v>42633</v>
      </c>
      <c r="C186" s="30" t="s">
        <v>9</v>
      </c>
      <c r="D186" s="30" t="s">
        <v>1799</v>
      </c>
      <c r="E186" s="30">
        <v>260</v>
      </c>
      <c r="F186" s="30">
        <v>230</v>
      </c>
      <c r="G186" s="30">
        <v>-30</v>
      </c>
      <c r="H186" s="30">
        <v>160</v>
      </c>
      <c r="I186" s="30">
        <v>-4800</v>
      </c>
    </row>
    <row r="187" spans="1:10" x14ac:dyDescent="0.3">
      <c r="B187" s="87">
        <v>42634</v>
      </c>
      <c r="C187" s="30" t="s">
        <v>9</v>
      </c>
      <c r="D187" s="30" t="s">
        <v>1799</v>
      </c>
      <c r="E187" s="30">
        <v>200</v>
      </c>
      <c r="F187" s="30">
        <v>250</v>
      </c>
      <c r="G187" s="30">
        <v>50</v>
      </c>
      <c r="H187" s="30">
        <v>160</v>
      </c>
      <c r="I187" s="30">
        <v>8000</v>
      </c>
    </row>
    <row r="188" spans="1:10" s="30" customFormat="1" x14ac:dyDescent="0.3">
      <c r="A188" s="9"/>
      <c r="B188" s="43">
        <v>42635</v>
      </c>
      <c r="C188" s="30" t="s">
        <v>9</v>
      </c>
      <c r="D188" s="30" t="s">
        <v>1810</v>
      </c>
      <c r="E188" s="30">
        <v>170</v>
      </c>
      <c r="F188" s="30">
        <v>250</v>
      </c>
      <c r="G188" s="30">
        <v>80</v>
      </c>
      <c r="H188" s="30">
        <v>160</v>
      </c>
      <c r="I188" s="30">
        <v>12800</v>
      </c>
      <c r="J188" s="9"/>
    </row>
    <row r="189" spans="1:10" s="30" customFormat="1" x14ac:dyDescent="0.3">
      <c r="A189" s="9"/>
      <c r="B189" s="43">
        <v>42636</v>
      </c>
      <c r="C189" s="30" t="s">
        <v>9</v>
      </c>
      <c r="D189" s="30" t="s">
        <v>1810</v>
      </c>
      <c r="E189" s="30">
        <v>230</v>
      </c>
      <c r="F189" s="30">
        <v>300</v>
      </c>
      <c r="G189" s="30">
        <v>70</v>
      </c>
      <c r="H189" s="30">
        <v>160</v>
      </c>
      <c r="I189" s="30">
        <v>11200</v>
      </c>
      <c r="J189" s="9"/>
    </row>
    <row r="190" spans="1:10" s="30" customFormat="1" x14ac:dyDescent="0.3">
      <c r="A190" s="9"/>
      <c r="B190" s="43">
        <v>42639</v>
      </c>
      <c r="C190" s="30" t="s">
        <v>9</v>
      </c>
      <c r="D190" s="30" t="s">
        <v>1799</v>
      </c>
      <c r="E190" s="30">
        <v>170</v>
      </c>
      <c r="F190" s="30">
        <v>300</v>
      </c>
      <c r="G190" s="30">
        <v>130</v>
      </c>
      <c r="H190" s="30">
        <v>160</v>
      </c>
      <c r="I190" s="30">
        <v>20800</v>
      </c>
      <c r="J190" s="9"/>
    </row>
    <row r="191" spans="1:10" s="30" customFormat="1" x14ac:dyDescent="0.3">
      <c r="A191" s="9"/>
      <c r="B191" s="43">
        <v>42640</v>
      </c>
      <c r="C191" s="30" t="s">
        <v>9</v>
      </c>
      <c r="D191" s="30" t="s">
        <v>1816</v>
      </c>
      <c r="E191" s="30">
        <v>180</v>
      </c>
      <c r="F191" s="30">
        <v>300</v>
      </c>
      <c r="G191" s="30">
        <v>120</v>
      </c>
      <c r="H191" s="30">
        <v>160</v>
      </c>
      <c r="I191" s="30">
        <v>19200</v>
      </c>
      <c r="J191" s="9"/>
    </row>
    <row r="192" spans="1:10" s="30" customFormat="1" x14ac:dyDescent="0.3">
      <c r="A192" s="9"/>
      <c r="B192" s="43">
        <v>42641</v>
      </c>
      <c r="C192" s="30" t="s">
        <v>9</v>
      </c>
      <c r="D192" s="30" t="s">
        <v>1817</v>
      </c>
      <c r="E192" s="30">
        <v>140</v>
      </c>
      <c r="F192" s="30">
        <v>70</v>
      </c>
      <c r="G192" s="30">
        <v>-70</v>
      </c>
      <c r="H192" s="30">
        <v>160</v>
      </c>
      <c r="I192" s="30">
        <v>-11200</v>
      </c>
      <c r="J192" s="9"/>
    </row>
    <row r="193" spans="1:10" s="30" customFormat="1" x14ac:dyDescent="0.3">
      <c r="A193" s="9"/>
      <c r="B193" s="43">
        <v>42642</v>
      </c>
      <c r="C193" s="30" t="s">
        <v>9</v>
      </c>
      <c r="D193" s="30" t="s">
        <v>1799</v>
      </c>
      <c r="E193" s="30">
        <v>160</v>
      </c>
      <c r="F193" s="30">
        <v>300</v>
      </c>
      <c r="G193" s="30">
        <v>140</v>
      </c>
      <c r="H193" s="30">
        <v>160</v>
      </c>
      <c r="I193" s="30">
        <v>22400</v>
      </c>
      <c r="J193" s="9"/>
    </row>
    <row r="194" spans="1:10" s="30" customFormat="1" x14ac:dyDescent="0.3">
      <c r="A194" s="9"/>
      <c r="B194" s="43">
        <v>42643</v>
      </c>
      <c r="C194" s="30" t="s">
        <v>9</v>
      </c>
      <c r="D194" s="30" t="s">
        <v>1760</v>
      </c>
      <c r="E194" s="30">
        <v>420</v>
      </c>
      <c r="F194" s="30">
        <v>450</v>
      </c>
      <c r="G194" s="30">
        <v>30</v>
      </c>
      <c r="H194" s="30">
        <v>160</v>
      </c>
      <c r="I194" s="30">
        <v>4800</v>
      </c>
      <c r="J194" s="9"/>
    </row>
    <row r="195" spans="1:10" s="30" customFormat="1" x14ac:dyDescent="0.3">
      <c r="A195" s="9"/>
      <c r="B195" s="43"/>
      <c r="J195" s="9"/>
    </row>
    <row r="196" spans="1:10" s="30" customFormat="1" x14ac:dyDescent="0.3">
      <c r="A196" s="9"/>
      <c r="B196" s="43"/>
      <c r="J196" s="9"/>
    </row>
    <row r="197" spans="1:10" ht="23.4" x14ac:dyDescent="0.45">
      <c r="I197" s="125">
        <v>117600</v>
      </c>
    </row>
  </sheetData>
  <mergeCells count="5">
    <mergeCell ref="B150:I150"/>
    <mergeCell ref="B174:I174"/>
    <mergeCell ref="B1:I1"/>
    <mergeCell ref="B2:I2"/>
    <mergeCell ref="B3:I3"/>
  </mergeCells>
  <hyperlinks>
    <hyperlink ref="K2" location="'MASTER '!A1" display="Back" xr:uid="{00000000-0004-0000-29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J181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1818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42646</v>
      </c>
      <c r="C6" s="2" t="s">
        <v>9</v>
      </c>
      <c r="D6" s="2" t="s">
        <v>1819</v>
      </c>
      <c r="E6" s="90" t="s">
        <v>1711</v>
      </c>
      <c r="F6" s="91" t="s">
        <v>1820</v>
      </c>
      <c r="G6" s="91" t="s">
        <v>908</v>
      </c>
      <c r="H6" s="92">
        <v>545</v>
      </c>
      <c r="I6" s="93">
        <v>1090</v>
      </c>
      <c r="L6" s="16"/>
    </row>
    <row r="7" spans="1:15" x14ac:dyDescent="0.3">
      <c r="B7" s="43">
        <v>42646</v>
      </c>
      <c r="C7" s="2" t="s">
        <v>8</v>
      </c>
      <c r="D7" s="2" t="s">
        <v>815</v>
      </c>
      <c r="E7" s="41" t="s">
        <v>273</v>
      </c>
      <c r="F7" s="40" t="s">
        <v>1821</v>
      </c>
      <c r="G7" s="40" t="s">
        <v>997</v>
      </c>
      <c r="H7" s="5">
        <v>300</v>
      </c>
      <c r="I7" s="81">
        <v>1200</v>
      </c>
      <c r="L7" s="16"/>
    </row>
    <row r="8" spans="1:15" x14ac:dyDescent="0.3">
      <c r="B8" s="43">
        <v>42647</v>
      </c>
      <c r="C8" s="2" t="s">
        <v>9</v>
      </c>
      <c r="D8" s="2" t="s">
        <v>834</v>
      </c>
      <c r="E8" s="41" t="s">
        <v>1822</v>
      </c>
      <c r="F8" s="40" t="s">
        <v>1823</v>
      </c>
      <c r="G8" s="40" t="s">
        <v>925</v>
      </c>
      <c r="H8" s="5">
        <v>1639</v>
      </c>
      <c r="I8" s="81">
        <v>8195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42647</v>
      </c>
      <c r="C9" s="2" t="s">
        <v>8</v>
      </c>
      <c r="D9" s="2" t="s">
        <v>1819</v>
      </c>
      <c r="E9" s="41" t="s">
        <v>1550</v>
      </c>
      <c r="F9" s="40" t="s">
        <v>1824</v>
      </c>
      <c r="G9" s="40" t="s">
        <v>925</v>
      </c>
      <c r="H9" s="5">
        <v>548</v>
      </c>
      <c r="I9" s="81">
        <v>2740</v>
      </c>
      <c r="K9" s="66"/>
      <c r="L9" s="67"/>
      <c r="M9" s="67"/>
      <c r="N9" s="67"/>
      <c r="O9" s="67"/>
    </row>
    <row r="10" spans="1:15" x14ac:dyDescent="0.3">
      <c r="B10" s="43">
        <v>42648</v>
      </c>
      <c r="C10" s="2" t="s">
        <v>9</v>
      </c>
      <c r="D10" s="2" t="s">
        <v>834</v>
      </c>
      <c r="E10" s="41" t="s">
        <v>1825</v>
      </c>
      <c r="F10" s="40" t="s">
        <v>1826</v>
      </c>
      <c r="G10" s="40" t="s">
        <v>997</v>
      </c>
      <c r="H10" s="5">
        <v>1587</v>
      </c>
      <c r="I10" s="81">
        <v>6348</v>
      </c>
      <c r="K10" s="16" t="s">
        <v>449</v>
      </c>
      <c r="L10" s="30">
        <v>36</v>
      </c>
      <c r="M10" s="30">
        <v>26</v>
      </c>
      <c r="N10" s="30">
        <v>6</v>
      </c>
      <c r="O10" s="30">
        <v>4</v>
      </c>
    </row>
    <row r="11" spans="1:15" x14ac:dyDescent="0.3">
      <c r="B11" s="43">
        <v>42648</v>
      </c>
      <c r="C11" s="2" t="s">
        <v>8</v>
      </c>
      <c r="D11" s="2" t="s">
        <v>139</v>
      </c>
      <c r="E11" s="41" t="s">
        <v>1827</v>
      </c>
      <c r="F11" s="40" t="s">
        <v>1828</v>
      </c>
      <c r="G11" s="40" t="s">
        <v>1265</v>
      </c>
      <c r="H11" s="5">
        <v>233</v>
      </c>
      <c r="I11" s="81">
        <v>3262</v>
      </c>
      <c r="K11" s="16"/>
      <c r="L11" s="30"/>
      <c r="M11" s="30"/>
      <c r="N11" s="30"/>
      <c r="O11" s="30"/>
    </row>
    <row r="12" spans="1:15" x14ac:dyDescent="0.3">
      <c r="B12" s="43">
        <v>42649</v>
      </c>
      <c r="C12" s="2" t="s">
        <v>9</v>
      </c>
      <c r="D12" s="2" t="s">
        <v>834</v>
      </c>
      <c r="E12" s="41" t="s">
        <v>1826</v>
      </c>
      <c r="F12" s="40" t="s">
        <v>257</v>
      </c>
      <c r="G12" s="40" t="s">
        <v>925</v>
      </c>
      <c r="H12" s="5">
        <v>1554</v>
      </c>
      <c r="I12" s="81">
        <v>7770</v>
      </c>
      <c r="K12" s="16" t="s">
        <v>450</v>
      </c>
      <c r="L12" s="30">
        <v>18</v>
      </c>
      <c r="M12" s="30">
        <v>16</v>
      </c>
      <c r="N12" s="30">
        <v>2</v>
      </c>
      <c r="O12" s="30">
        <v>0</v>
      </c>
    </row>
    <row r="13" spans="1:15" x14ac:dyDescent="0.3">
      <c r="B13" s="43">
        <v>42649</v>
      </c>
      <c r="C13" s="2" t="s">
        <v>9</v>
      </c>
      <c r="D13" s="2" t="s">
        <v>139</v>
      </c>
      <c r="E13" s="41" t="s">
        <v>599</v>
      </c>
      <c r="F13" s="40" t="s">
        <v>1829</v>
      </c>
      <c r="G13" s="40" t="s">
        <v>961</v>
      </c>
      <c r="H13" s="5">
        <v>237</v>
      </c>
      <c r="I13" s="81">
        <v>5925</v>
      </c>
      <c r="K13" s="16"/>
      <c r="L13" s="30"/>
      <c r="M13" s="30"/>
      <c r="N13" s="30"/>
      <c r="O13" s="30"/>
    </row>
    <row r="14" spans="1:15" x14ac:dyDescent="0.3">
      <c r="B14" s="43">
        <v>42650</v>
      </c>
      <c r="C14" s="2" t="s">
        <v>9</v>
      </c>
      <c r="D14" s="2" t="s">
        <v>49</v>
      </c>
      <c r="E14" s="41" t="s">
        <v>1830</v>
      </c>
      <c r="F14" s="40" t="s">
        <v>1013</v>
      </c>
      <c r="G14" s="40" t="s">
        <v>951</v>
      </c>
      <c r="H14" s="5">
        <v>284</v>
      </c>
      <c r="I14" s="81">
        <v>4260</v>
      </c>
      <c r="K14" s="16" t="s">
        <v>451</v>
      </c>
      <c r="L14" s="30">
        <v>18</v>
      </c>
      <c r="M14" s="30">
        <v>13</v>
      </c>
      <c r="N14" s="30">
        <v>3</v>
      </c>
      <c r="O14" s="30">
        <v>2</v>
      </c>
    </row>
    <row r="15" spans="1:15" x14ac:dyDescent="0.3">
      <c r="B15" s="43">
        <v>42650</v>
      </c>
      <c r="C15" s="2" t="s">
        <v>8</v>
      </c>
      <c r="D15" s="2" t="s">
        <v>895</v>
      </c>
      <c r="E15" s="41" t="s">
        <v>599</v>
      </c>
      <c r="F15" s="40" t="s">
        <v>1831</v>
      </c>
      <c r="G15" s="40" t="s">
        <v>997</v>
      </c>
      <c r="H15" s="5">
        <v>237</v>
      </c>
      <c r="I15" s="81">
        <v>948</v>
      </c>
      <c r="K15" s="16"/>
      <c r="M15" s="30"/>
      <c r="N15" s="30"/>
      <c r="O15" s="30"/>
    </row>
    <row r="16" spans="1:15" x14ac:dyDescent="0.3">
      <c r="B16" s="43">
        <v>42653</v>
      </c>
      <c r="C16" s="2" t="s">
        <v>9</v>
      </c>
      <c r="D16" s="2" t="s">
        <v>834</v>
      </c>
      <c r="E16" s="41" t="s">
        <v>933</v>
      </c>
      <c r="F16" s="40" t="s">
        <v>1841</v>
      </c>
      <c r="G16" s="40" t="s">
        <v>1842</v>
      </c>
      <c r="H16" s="5">
        <v>1500</v>
      </c>
      <c r="I16" s="81">
        <v>1800</v>
      </c>
      <c r="K16" s="16" t="s">
        <v>1176</v>
      </c>
      <c r="L16" s="30">
        <v>18</v>
      </c>
      <c r="M16" s="30">
        <v>13</v>
      </c>
      <c r="N16" s="30">
        <v>5</v>
      </c>
      <c r="O16" s="30">
        <v>0</v>
      </c>
    </row>
    <row r="17" spans="2:15" x14ac:dyDescent="0.3">
      <c r="B17" s="43">
        <v>42653</v>
      </c>
      <c r="C17" s="2" t="s">
        <v>8</v>
      </c>
      <c r="D17" s="2" t="s">
        <v>192</v>
      </c>
      <c r="E17" s="41" t="s">
        <v>726</v>
      </c>
      <c r="F17" s="40" t="s">
        <v>1843</v>
      </c>
      <c r="G17" s="40" t="s">
        <v>997</v>
      </c>
      <c r="H17" s="5">
        <v>914</v>
      </c>
      <c r="I17" s="30">
        <v>3656</v>
      </c>
      <c r="L17" s="30"/>
      <c r="M17" s="30"/>
      <c r="N17" s="30"/>
      <c r="O17" s="30"/>
    </row>
    <row r="18" spans="2:15" x14ac:dyDescent="0.3">
      <c r="B18" s="43">
        <v>42656</v>
      </c>
      <c r="C18" s="2" t="s">
        <v>9</v>
      </c>
      <c r="D18" s="28" t="s">
        <v>109</v>
      </c>
      <c r="E18" s="30">
        <v>1372</v>
      </c>
      <c r="F18" s="30">
        <v>1383</v>
      </c>
      <c r="G18" s="30">
        <v>11</v>
      </c>
      <c r="H18" s="5">
        <v>218</v>
      </c>
      <c r="I18" s="81">
        <v>2398</v>
      </c>
      <c r="K18" s="16" t="s">
        <v>41</v>
      </c>
      <c r="L18" s="30">
        <v>18</v>
      </c>
      <c r="M18" s="30">
        <v>14</v>
      </c>
      <c r="N18" s="30">
        <v>2</v>
      </c>
      <c r="O18" s="30">
        <v>2</v>
      </c>
    </row>
    <row r="19" spans="2:15" x14ac:dyDescent="0.3">
      <c r="B19" s="43">
        <v>42656</v>
      </c>
      <c r="C19" s="2" t="s">
        <v>8</v>
      </c>
      <c r="D19" s="28" t="s">
        <v>192</v>
      </c>
      <c r="E19" s="30">
        <v>317</v>
      </c>
      <c r="F19" s="30">
        <v>310</v>
      </c>
      <c r="G19" s="30">
        <v>7</v>
      </c>
      <c r="H19" s="5">
        <v>946</v>
      </c>
      <c r="I19" s="81">
        <v>6622</v>
      </c>
      <c r="K19" s="16"/>
      <c r="L19" s="30"/>
      <c r="M19" s="30"/>
      <c r="N19" s="30"/>
      <c r="O19" s="30"/>
    </row>
    <row r="20" spans="2:15" x14ac:dyDescent="0.3">
      <c r="B20" s="43">
        <v>42657</v>
      </c>
      <c r="C20" s="2" t="s">
        <v>9</v>
      </c>
      <c r="D20" s="28" t="s">
        <v>78</v>
      </c>
      <c r="E20" s="30">
        <v>1450</v>
      </c>
      <c r="F20" s="30">
        <v>1475</v>
      </c>
      <c r="G20" s="30">
        <v>25</v>
      </c>
      <c r="H20" s="5">
        <v>206</v>
      </c>
      <c r="I20" s="81">
        <v>5150</v>
      </c>
      <c r="K20" s="16" t="s">
        <v>1090</v>
      </c>
      <c r="L20" s="30">
        <v>19</v>
      </c>
      <c r="M20" s="30">
        <v>14</v>
      </c>
      <c r="N20" s="30">
        <v>1</v>
      </c>
      <c r="O20" s="30">
        <v>4</v>
      </c>
    </row>
    <row r="21" spans="2:15" x14ac:dyDescent="0.3">
      <c r="B21" s="43">
        <v>42657</v>
      </c>
      <c r="C21" s="2" t="s">
        <v>8</v>
      </c>
      <c r="D21" s="28" t="s">
        <v>133</v>
      </c>
      <c r="E21" s="30">
        <v>1455</v>
      </c>
      <c r="F21" s="30">
        <v>1465</v>
      </c>
      <c r="G21" s="30">
        <v>-10</v>
      </c>
      <c r="H21" s="5">
        <v>206</v>
      </c>
      <c r="I21" s="81">
        <v>-2060</v>
      </c>
      <c r="K21" s="16"/>
      <c r="L21" s="30"/>
      <c r="M21" s="30"/>
      <c r="N21" s="30"/>
      <c r="O21" s="30"/>
    </row>
    <row r="22" spans="2:15" x14ac:dyDescent="0.3">
      <c r="B22" s="43">
        <v>42660</v>
      </c>
      <c r="C22" s="2" t="s">
        <v>9</v>
      </c>
      <c r="D22" s="28" t="s">
        <v>862</v>
      </c>
      <c r="E22" s="30">
        <v>690</v>
      </c>
      <c r="F22" s="30">
        <v>693</v>
      </c>
      <c r="G22" s="30">
        <v>3</v>
      </c>
      <c r="H22" s="5">
        <v>434</v>
      </c>
      <c r="I22" s="81">
        <v>1302</v>
      </c>
      <c r="K22" s="16" t="s">
        <v>1175</v>
      </c>
      <c r="L22" s="30">
        <v>18</v>
      </c>
      <c r="M22" s="30">
        <v>13</v>
      </c>
      <c r="N22" s="30">
        <v>2</v>
      </c>
      <c r="O22" s="30">
        <v>3</v>
      </c>
    </row>
    <row r="23" spans="2:15" x14ac:dyDescent="0.3">
      <c r="B23" s="43">
        <v>42660</v>
      </c>
      <c r="C23" s="2" t="s">
        <v>8</v>
      </c>
      <c r="D23" s="28" t="s">
        <v>109</v>
      </c>
      <c r="E23" s="30">
        <v>1345</v>
      </c>
      <c r="F23" s="30">
        <v>1320</v>
      </c>
      <c r="G23" s="30">
        <v>25</v>
      </c>
      <c r="H23" s="5">
        <v>223</v>
      </c>
      <c r="I23" s="81">
        <v>5575</v>
      </c>
      <c r="K23" s="16"/>
      <c r="L23" s="30"/>
      <c r="M23" s="30"/>
      <c r="N23" s="30"/>
      <c r="O23" s="30"/>
    </row>
    <row r="24" spans="2:15" x14ac:dyDescent="0.3">
      <c r="B24" s="43">
        <v>42661</v>
      </c>
      <c r="C24" s="2" t="s">
        <v>9</v>
      </c>
      <c r="D24" s="28" t="s">
        <v>112</v>
      </c>
      <c r="E24" s="30">
        <v>517</v>
      </c>
      <c r="F24" s="30">
        <v>512</v>
      </c>
      <c r="G24" s="30">
        <v>-5</v>
      </c>
      <c r="H24" s="5">
        <v>580</v>
      </c>
      <c r="I24" s="81">
        <v>-2900</v>
      </c>
      <c r="K24" s="16" t="s">
        <v>946</v>
      </c>
      <c r="L24" s="21">
        <v>145</v>
      </c>
      <c r="M24" s="21">
        <v>109</v>
      </c>
      <c r="N24" s="21">
        <v>21</v>
      </c>
      <c r="O24" s="21">
        <v>15</v>
      </c>
    </row>
    <row r="25" spans="2:15" x14ac:dyDescent="0.3">
      <c r="B25" s="43">
        <v>42661</v>
      </c>
      <c r="C25" s="2" t="s">
        <v>8</v>
      </c>
      <c r="D25" s="28" t="s">
        <v>1819</v>
      </c>
      <c r="E25" s="30">
        <v>520</v>
      </c>
      <c r="F25" s="30">
        <v>526</v>
      </c>
      <c r="G25" s="30">
        <v>-6</v>
      </c>
      <c r="H25" s="5">
        <v>576</v>
      </c>
      <c r="I25" s="81">
        <v>-3456</v>
      </c>
      <c r="L25" s="16"/>
    </row>
    <row r="26" spans="2:15" x14ac:dyDescent="0.3">
      <c r="B26" s="43">
        <v>42662</v>
      </c>
      <c r="C26" s="2" t="s">
        <v>9</v>
      </c>
      <c r="D26" s="28" t="s">
        <v>139</v>
      </c>
      <c r="E26" s="30">
        <v>1302</v>
      </c>
      <c r="F26" s="30">
        <v>1308</v>
      </c>
      <c r="G26" s="30">
        <v>6</v>
      </c>
      <c r="H26" s="5">
        <v>230</v>
      </c>
      <c r="I26" s="81">
        <v>1380</v>
      </c>
      <c r="L26" s="28"/>
      <c r="M26" s="30"/>
      <c r="N26" s="30"/>
      <c r="O26" s="30"/>
    </row>
    <row r="27" spans="2:15" x14ac:dyDescent="0.3">
      <c r="B27" s="43">
        <v>42662</v>
      </c>
      <c r="C27" s="2" t="s">
        <v>8</v>
      </c>
      <c r="D27" s="28" t="s">
        <v>95</v>
      </c>
      <c r="E27" s="30">
        <v>266</v>
      </c>
      <c r="F27" s="30">
        <v>263.8</v>
      </c>
      <c r="G27" s="30">
        <v>2.2000000000000002</v>
      </c>
      <c r="H27" s="5">
        <v>1127</v>
      </c>
      <c r="I27" s="81">
        <v>2479</v>
      </c>
      <c r="L27" s="68" t="s">
        <v>947</v>
      </c>
      <c r="M27" s="83"/>
      <c r="N27" s="126">
        <v>0.75170000000000003</v>
      </c>
      <c r="O27" s="30"/>
    </row>
    <row r="28" spans="2:15" x14ac:dyDescent="0.3">
      <c r="B28" s="43">
        <v>42663</v>
      </c>
      <c r="C28" s="2" t="s">
        <v>9</v>
      </c>
      <c r="D28" s="28" t="s">
        <v>834</v>
      </c>
      <c r="E28" s="30">
        <v>201.5</v>
      </c>
      <c r="F28" s="30">
        <v>207</v>
      </c>
      <c r="G28" s="30">
        <v>5.5</v>
      </c>
      <c r="H28" s="5">
        <v>1488</v>
      </c>
      <c r="I28" s="81">
        <v>8184</v>
      </c>
      <c r="L28" s="49"/>
      <c r="M28" s="30"/>
      <c r="N28" s="30"/>
      <c r="O28" s="30"/>
    </row>
    <row r="29" spans="2:15" x14ac:dyDescent="0.3">
      <c r="B29" s="43">
        <v>42663</v>
      </c>
      <c r="C29" s="2" t="s">
        <v>8</v>
      </c>
      <c r="D29" s="28" t="s">
        <v>1846</v>
      </c>
      <c r="E29" s="30">
        <v>329</v>
      </c>
      <c r="F29" s="30">
        <v>329.5</v>
      </c>
      <c r="G29" s="30">
        <v>-0.5</v>
      </c>
      <c r="H29" s="5">
        <v>911</v>
      </c>
      <c r="I29" s="81">
        <v>-455</v>
      </c>
      <c r="L29" s="49"/>
      <c r="M29" s="30"/>
      <c r="N29" s="30"/>
      <c r="O29" s="30"/>
    </row>
    <row r="30" spans="2:15" x14ac:dyDescent="0.3">
      <c r="B30" s="43">
        <v>42664</v>
      </c>
      <c r="C30" s="2" t="s">
        <v>9</v>
      </c>
      <c r="D30" s="28" t="s">
        <v>111</v>
      </c>
      <c r="E30" s="30">
        <v>1015</v>
      </c>
      <c r="F30" s="30">
        <v>1000</v>
      </c>
      <c r="G30" s="30">
        <v>-15</v>
      </c>
      <c r="H30" s="5">
        <v>295</v>
      </c>
      <c r="I30" s="81">
        <v>-4425</v>
      </c>
      <c r="L30" s="49"/>
      <c r="M30" s="30"/>
      <c r="N30" s="30"/>
      <c r="O30" s="30"/>
    </row>
    <row r="31" spans="2:15" x14ac:dyDescent="0.3">
      <c r="B31" s="43">
        <v>42664</v>
      </c>
      <c r="C31" s="2" t="s">
        <v>8</v>
      </c>
      <c r="D31" s="28" t="s">
        <v>139</v>
      </c>
      <c r="E31" s="30">
        <v>1308</v>
      </c>
      <c r="F31" s="30">
        <v>1297</v>
      </c>
      <c r="G31" s="30">
        <v>11</v>
      </c>
      <c r="H31" s="5">
        <v>229</v>
      </c>
      <c r="I31" s="81">
        <v>2519</v>
      </c>
      <c r="L31" s="16"/>
    </row>
    <row r="32" spans="2:15" x14ac:dyDescent="0.3">
      <c r="B32" s="43">
        <v>42667</v>
      </c>
      <c r="C32" s="2" t="s">
        <v>9</v>
      </c>
      <c r="D32" s="28" t="s">
        <v>19</v>
      </c>
      <c r="E32" s="30">
        <v>263</v>
      </c>
      <c r="F32" s="30">
        <v>264.3</v>
      </c>
      <c r="G32" s="30">
        <v>1.3</v>
      </c>
      <c r="H32" s="5">
        <v>1140</v>
      </c>
      <c r="I32" s="81">
        <v>1482</v>
      </c>
      <c r="L32" s="16"/>
    </row>
    <row r="33" spans="2:13" x14ac:dyDescent="0.3">
      <c r="B33" s="43">
        <v>42667</v>
      </c>
      <c r="C33" s="2" t="s">
        <v>8</v>
      </c>
      <c r="D33" s="30" t="s">
        <v>78</v>
      </c>
      <c r="E33" s="30">
        <v>1500</v>
      </c>
      <c r="F33" s="30">
        <v>1490</v>
      </c>
      <c r="G33" s="30">
        <v>10</v>
      </c>
      <c r="H33" s="5">
        <v>200</v>
      </c>
      <c r="I33" s="81">
        <v>2000</v>
      </c>
      <c r="L33" s="41"/>
    </row>
    <row r="34" spans="2:13" x14ac:dyDescent="0.3">
      <c r="B34" s="43">
        <v>42668</v>
      </c>
      <c r="C34" s="2" t="s">
        <v>9</v>
      </c>
      <c r="D34" s="30" t="s">
        <v>109</v>
      </c>
      <c r="E34" s="30">
        <v>1328</v>
      </c>
      <c r="F34" s="30">
        <v>1315</v>
      </c>
      <c r="G34" s="30">
        <v>-13</v>
      </c>
      <c r="H34" s="5">
        <v>225</v>
      </c>
      <c r="I34" s="81">
        <v>-2925</v>
      </c>
      <c r="L34" s="41"/>
    </row>
    <row r="35" spans="2:13" x14ac:dyDescent="0.3">
      <c r="B35" s="43">
        <v>42668</v>
      </c>
      <c r="C35" s="2" t="s">
        <v>8</v>
      </c>
      <c r="D35" s="30" t="s">
        <v>834</v>
      </c>
      <c r="E35" s="30">
        <v>199</v>
      </c>
      <c r="F35" s="30">
        <v>197.9</v>
      </c>
      <c r="G35" s="30">
        <v>1.1000000000000001</v>
      </c>
      <c r="H35" s="5">
        <v>1507</v>
      </c>
      <c r="I35" s="81">
        <v>1657.7</v>
      </c>
      <c r="M35" s="30"/>
    </row>
    <row r="36" spans="2:13" x14ac:dyDescent="0.3">
      <c r="B36" s="43">
        <v>42669</v>
      </c>
      <c r="C36" s="2" t="s">
        <v>9</v>
      </c>
      <c r="D36" s="30" t="s">
        <v>157</v>
      </c>
      <c r="E36" s="30">
        <v>885</v>
      </c>
      <c r="F36" s="30">
        <v>875</v>
      </c>
      <c r="G36" s="30">
        <v>-10</v>
      </c>
      <c r="H36" s="5">
        <v>338</v>
      </c>
      <c r="I36" s="81">
        <v>-3380</v>
      </c>
      <c r="M36" s="30"/>
    </row>
    <row r="37" spans="2:13" x14ac:dyDescent="0.3">
      <c r="B37" s="43">
        <v>42669</v>
      </c>
      <c r="C37" s="2" t="s">
        <v>8</v>
      </c>
      <c r="D37" s="30" t="s">
        <v>78</v>
      </c>
      <c r="E37" s="30">
        <v>1475</v>
      </c>
      <c r="F37" s="30">
        <v>1481</v>
      </c>
      <c r="G37" s="30">
        <v>-7</v>
      </c>
      <c r="H37" s="5">
        <v>203</v>
      </c>
      <c r="I37" s="81">
        <v>-1421</v>
      </c>
      <c r="M37" s="30"/>
    </row>
    <row r="38" spans="2:13" x14ac:dyDescent="0.3">
      <c r="B38" s="43">
        <v>42670</v>
      </c>
      <c r="C38" s="2" t="s">
        <v>9</v>
      </c>
      <c r="D38" s="30" t="s">
        <v>834</v>
      </c>
      <c r="E38" s="30">
        <v>201</v>
      </c>
      <c r="F38" s="30">
        <v>199.5</v>
      </c>
      <c r="G38" s="30">
        <v>-1.5</v>
      </c>
      <c r="H38" s="5">
        <v>1492</v>
      </c>
      <c r="I38" s="81">
        <v>-2238</v>
      </c>
      <c r="M38" s="30"/>
    </row>
    <row r="39" spans="2:13" x14ac:dyDescent="0.3">
      <c r="B39" s="87">
        <v>42670</v>
      </c>
      <c r="C39" s="2" t="s">
        <v>8</v>
      </c>
      <c r="D39" s="30" t="s">
        <v>139</v>
      </c>
      <c r="E39" s="30">
        <v>1250</v>
      </c>
      <c r="F39" s="30">
        <v>1243</v>
      </c>
      <c r="G39" s="30">
        <v>7</v>
      </c>
      <c r="H39" s="5">
        <v>240</v>
      </c>
      <c r="I39" s="81">
        <v>1680</v>
      </c>
      <c r="M39" s="30"/>
    </row>
    <row r="40" spans="2:13" x14ac:dyDescent="0.3">
      <c r="B40" s="43">
        <v>42671</v>
      </c>
      <c r="C40" s="2" t="s">
        <v>9</v>
      </c>
      <c r="D40" s="30" t="s">
        <v>1568</v>
      </c>
      <c r="E40" s="30">
        <v>455</v>
      </c>
      <c r="F40" s="30">
        <v>462</v>
      </c>
      <c r="G40" s="30">
        <v>7</v>
      </c>
      <c r="H40" s="5">
        <v>659</v>
      </c>
      <c r="I40" s="81">
        <v>4613</v>
      </c>
      <c r="M40" s="30"/>
    </row>
    <row r="41" spans="2:13" x14ac:dyDescent="0.3">
      <c r="B41" s="43">
        <v>42671</v>
      </c>
      <c r="C41" s="2" t="s">
        <v>8</v>
      </c>
      <c r="D41" s="30" t="s">
        <v>275</v>
      </c>
      <c r="E41" s="30">
        <v>667</v>
      </c>
      <c r="F41" s="30">
        <v>675</v>
      </c>
      <c r="G41" s="30">
        <v>-8</v>
      </c>
      <c r="H41" s="5">
        <v>449</v>
      </c>
      <c r="I41" s="81">
        <v>-3592</v>
      </c>
      <c r="M41" s="30"/>
    </row>
    <row r="42" spans="2:13" x14ac:dyDescent="0.3">
      <c r="B42" s="43"/>
      <c r="C42" s="30"/>
      <c r="D42" s="28"/>
      <c r="E42" s="30"/>
      <c r="F42" s="30"/>
      <c r="G42" s="30"/>
      <c r="H42" s="5"/>
      <c r="I42" s="81"/>
      <c r="M42" s="30"/>
    </row>
    <row r="43" spans="2:13" ht="21" x14ac:dyDescent="0.4">
      <c r="B43" s="87"/>
      <c r="C43" s="2"/>
      <c r="D43" s="28"/>
      <c r="E43" s="30"/>
      <c r="F43" s="30"/>
      <c r="G43" s="30"/>
      <c r="H43" s="30"/>
      <c r="I43" s="127">
        <v>67384</v>
      </c>
      <c r="M43" s="30"/>
    </row>
    <row r="44" spans="2:13" x14ac:dyDescent="0.3">
      <c r="B44" s="87"/>
      <c r="C44" s="2"/>
      <c r="D44" s="28"/>
      <c r="E44" s="30"/>
      <c r="F44" s="30"/>
      <c r="G44" s="30"/>
      <c r="H44" s="30"/>
      <c r="I44" s="88"/>
      <c r="M44" s="30"/>
    </row>
    <row r="45" spans="2:13" ht="15.6" x14ac:dyDescent="0.3">
      <c r="B45" s="48" t="s">
        <v>62</v>
      </c>
      <c r="C45" s="48"/>
      <c r="D45" s="48"/>
      <c r="E45" s="48"/>
      <c r="F45" s="48"/>
      <c r="G45" s="48"/>
      <c r="H45" s="48"/>
      <c r="I45" s="48"/>
      <c r="M45" s="30"/>
    </row>
    <row r="46" spans="2:13" x14ac:dyDescent="0.3">
      <c r="B46" s="43">
        <v>42646</v>
      </c>
      <c r="C46" s="2" t="s">
        <v>9</v>
      </c>
      <c r="D46" s="2" t="s">
        <v>78</v>
      </c>
      <c r="E46" s="41" t="s">
        <v>1832</v>
      </c>
      <c r="F46" s="40" t="s">
        <v>1556</v>
      </c>
      <c r="G46" s="40" t="s">
        <v>952</v>
      </c>
      <c r="H46" s="5">
        <v>500</v>
      </c>
      <c r="I46" s="40" t="s">
        <v>244</v>
      </c>
      <c r="M46" s="30"/>
    </row>
    <row r="47" spans="2:13" x14ac:dyDescent="0.3">
      <c r="B47" s="43">
        <v>42647</v>
      </c>
      <c r="C47" s="2" t="s">
        <v>8</v>
      </c>
      <c r="D47" s="2" t="s">
        <v>78</v>
      </c>
      <c r="E47" s="41" t="s">
        <v>1507</v>
      </c>
      <c r="F47" s="40" t="s">
        <v>1833</v>
      </c>
      <c r="G47" s="40" t="s">
        <v>1834</v>
      </c>
      <c r="H47" s="5">
        <v>500</v>
      </c>
      <c r="I47" s="40" t="s">
        <v>446</v>
      </c>
    </row>
    <row r="48" spans="2:13" x14ac:dyDescent="0.3">
      <c r="B48" s="43">
        <v>42648</v>
      </c>
      <c r="C48" s="30" t="s">
        <v>8</v>
      </c>
      <c r="D48" s="30" t="s">
        <v>1819</v>
      </c>
      <c r="E48" s="30">
        <v>543</v>
      </c>
      <c r="F48" s="30">
        <v>537</v>
      </c>
      <c r="G48" s="30">
        <v>6</v>
      </c>
      <c r="H48" s="30">
        <v>1200</v>
      </c>
      <c r="I48" s="30">
        <v>7200</v>
      </c>
    </row>
    <row r="49" spans="2:11" x14ac:dyDescent="0.3">
      <c r="B49" s="43">
        <v>42649</v>
      </c>
      <c r="C49" s="30" t="s">
        <v>9</v>
      </c>
      <c r="D49" s="30" t="s">
        <v>46</v>
      </c>
      <c r="E49" s="30">
        <v>273</v>
      </c>
      <c r="F49" s="30">
        <v>274.2</v>
      </c>
      <c r="G49" s="30">
        <v>1.2</v>
      </c>
      <c r="H49" s="30">
        <v>2500</v>
      </c>
      <c r="I49" s="30">
        <v>3000</v>
      </c>
    </row>
    <row r="50" spans="2:11" x14ac:dyDescent="0.3">
      <c r="B50" s="43">
        <v>42650</v>
      </c>
      <c r="C50" s="30" t="s">
        <v>8</v>
      </c>
      <c r="D50" s="30" t="s">
        <v>1819</v>
      </c>
      <c r="E50" s="30">
        <v>537</v>
      </c>
      <c r="F50" s="30">
        <v>535.20000000000005</v>
      </c>
      <c r="G50" s="30">
        <v>1.8</v>
      </c>
      <c r="H50" s="30">
        <v>1200</v>
      </c>
      <c r="I50" s="30">
        <v>2160</v>
      </c>
    </row>
    <row r="51" spans="2:11" x14ac:dyDescent="0.3">
      <c r="B51" s="43">
        <v>42653</v>
      </c>
      <c r="C51" s="30" t="s">
        <v>8</v>
      </c>
      <c r="D51" s="30" t="s">
        <v>78</v>
      </c>
      <c r="E51" s="30">
        <v>1460</v>
      </c>
      <c r="F51" s="30">
        <v>1455</v>
      </c>
      <c r="G51" s="30">
        <v>5</v>
      </c>
      <c r="H51" s="30">
        <v>500</v>
      </c>
      <c r="I51" s="30">
        <v>2500</v>
      </c>
    </row>
    <row r="52" spans="2:11" x14ac:dyDescent="0.3">
      <c r="B52" s="43">
        <v>42656</v>
      </c>
      <c r="C52" s="30" t="s">
        <v>8</v>
      </c>
      <c r="D52" s="30" t="s">
        <v>1819</v>
      </c>
      <c r="E52" s="30">
        <v>527</v>
      </c>
      <c r="F52" s="30">
        <v>515</v>
      </c>
      <c r="G52" s="30">
        <v>12</v>
      </c>
      <c r="H52" s="30">
        <v>1200</v>
      </c>
      <c r="I52" s="30">
        <v>14400</v>
      </c>
      <c r="K52" s="86"/>
    </row>
    <row r="53" spans="2:11" x14ac:dyDescent="0.3">
      <c r="B53" s="43">
        <v>42657</v>
      </c>
      <c r="C53" s="30" t="s">
        <v>8</v>
      </c>
      <c r="D53" s="30" t="s">
        <v>1819</v>
      </c>
      <c r="E53" s="30">
        <v>521</v>
      </c>
      <c r="F53" s="30">
        <v>519</v>
      </c>
      <c r="G53" s="30">
        <v>2</v>
      </c>
      <c r="H53" s="30">
        <v>1200</v>
      </c>
      <c r="I53" s="30">
        <v>2400</v>
      </c>
      <c r="K53" s="86"/>
    </row>
    <row r="54" spans="2:11" x14ac:dyDescent="0.3">
      <c r="B54" s="43">
        <v>42660</v>
      </c>
      <c r="C54" s="30" t="s">
        <v>8</v>
      </c>
      <c r="D54" s="30" t="s">
        <v>78</v>
      </c>
      <c r="E54" s="30">
        <v>1465</v>
      </c>
      <c r="F54" s="30">
        <v>1447</v>
      </c>
      <c r="G54" s="30">
        <v>18</v>
      </c>
      <c r="H54" s="30">
        <v>500</v>
      </c>
      <c r="I54" s="30">
        <v>9000</v>
      </c>
      <c r="K54" s="86"/>
    </row>
    <row r="55" spans="2:11" x14ac:dyDescent="0.3">
      <c r="B55" s="43">
        <v>42661</v>
      </c>
      <c r="C55" s="30" t="s">
        <v>9</v>
      </c>
      <c r="D55" s="30" t="s">
        <v>175</v>
      </c>
      <c r="E55" s="30">
        <v>828</v>
      </c>
      <c r="F55" s="30">
        <v>838</v>
      </c>
      <c r="G55" s="30">
        <v>10</v>
      </c>
      <c r="H55" s="30">
        <v>700</v>
      </c>
      <c r="I55" s="30">
        <v>7000</v>
      </c>
      <c r="K55" s="86"/>
    </row>
    <row r="56" spans="2:11" x14ac:dyDescent="0.3">
      <c r="B56" s="43">
        <v>42662</v>
      </c>
      <c r="C56" s="30" t="s">
        <v>8</v>
      </c>
      <c r="D56" s="30" t="s">
        <v>109</v>
      </c>
      <c r="E56" s="30">
        <v>1326</v>
      </c>
      <c r="F56" s="30">
        <v>1316.5</v>
      </c>
      <c r="G56" s="30">
        <v>9.5</v>
      </c>
      <c r="H56" s="30">
        <v>500</v>
      </c>
      <c r="I56" s="30">
        <v>4750</v>
      </c>
      <c r="K56" s="86"/>
    </row>
    <row r="57" spans="2:11" x14ac:dyDescent="0.3">
      <c r="B57" s="43">
        <v>42663</v>
      </c>
      <c r="C57" s="30" t="s">
        <v>8</v>
      </c>
      <c r="D57" s="30" t="s">
        <v>1847</v>
      </c>
      <c r="E57" s="30">
        <v>287</v>
      </c>
      <c r="F57" s="30">
        <v>284.10000000000002</v>
      </c>
      <c r="G57" s="30">
        <v>2.9</v>
      </c>
      <c r="H57" s="30">
        <v>2600</v>
      </c>
      <c r="I57" s="30">
        <v>7540</v>
      </c>
      <c r="K57" s="86"/>
    </row>
    <row r="58" spans="2:11" x14ac:dyDescent="0.3">
      <c r="B58" s="43">
        <v>42664</v>
      </c>
      <c r="C58" s="30" t="s">
        <v>8</v>
      </c>
      <c r="D58" s="30" t="s">
        <v>1819</v>
      </c>
      <c r="E58" s="30">
        <v>528</v>
      </c>
      <c r="F58" s="30">
        <v>524.5</v>
      </c>
      <c r="G58" s="30">
        <v>3.5</v>
      </c>
      <c r="H58" s="30">
        <v>1200</v>
      </c>
      <c r="I58" s="30">
        <v>4200</v>
      </c>
      <c r="K58" s="86"/>
    </row>
    <row r="59" spans="2:11" x14ac:dyDescent="0.3">
      <c r="B59" s="43">
        <v>42667</v>
      </c>
      <c r="C59" s="30" t="s">
        <v>8</v>
      </c>
      <c r="D59" s="30" t="s">
        <v>549</v>
      </c>
      <c r="E59" s="30">
        <v>393</v>
      </c>
      <c r="F59" s="30">
        <v>397</v>
      </c>
      <c r="G59" s="30">
        <v>-4</v>
      </c>
      <c r="H59" s="30">
        <v>2000</v>
      </c>
      <c r="I59" s="30">
        <v>-8000</v>
      </c>
      <c r="K59" s="86"/>
    </row>
    <row r="60" spans="2:11" x14ac:dyDescent="0.3">
      <c r="B60" s="43">
        <v>42668</v>
      </c>
      <c r="C60" s="30" t="s">
        <v>8</v>
      </c>
      <c r="D60" s="30" t="s">
        <v>95</v>
      </c>
      <c r="E60" s="30">
        <v>286</v>
      </c>
      <c r="F60" s="30">
        <v>289</v>
      </c>
      <c r="G60" s="30">
        <v>-3</v>
      </c>
      <c r="H60" s="30">
        <v>2500</v>
      </c>
      <c r="I60" s="30">
        <v>-7500</v>
      </c>
      <c r="K60" s="86"/>
    </row>
    <row r="61" spans="2:11" x14ac:dyDescent="0.3">
      <c r="B61" s="43">
        <v>42669</v>
      </c>
      <c r="C61" s="30" t="s">
        <v>8</v>
      </c>
      <c r="D61" s="30" t="s">
        <v>124</v>
      </c>
      <c r="E61" s="30">
        <v>540</v>
      </c>
      <c r="F61" s="30">
        <v>528</v>
      </c>
      <c r="G61" s="30">
        <v>12</v>
      </c>
      <c r="H61" s="30">
        <v>1500</v>
      </c>
      <c r="I61" s="30">
        <v>18000</v>
      </c>
      <c r="K61" s="86"/>
    </row>
    <row r="62" spans="2:11" x14ac:dyDescent="0.3">
      <c r="B62" s="43">
        <v>42670</v>
      </c>
      <c r="C62" s="30" t="s">
        <v>8</v>
      </c>
      <c r="D62" s="30" t="s">
        <v>78</v>
      </c>
      <c r="E62" s="30">
        <v>1465</v>
      </c>
      <c r="F62" s="30">
        <v>1456</v>
      </c>
      <c r="G62" s="30">
        <v>9</v>
      </c>
      <c r="H62" s="30">
        <v>500</v>
      </c>
      <c r="I62" s="30">
        <v>4500</v>
      </c>
      <c r="K62" s="86"/>
    </row>
    <row r="63" spans="2:11" x14ac:dyDescent="0.3">
      <c r="B63" s="43">
        <v>42671</v>
      </c>
      <c r="C63" s="30" t="s">
        <v>8</v>
      </c>
      <c r="D63" s="30" t="s">
        <v>160</v>
      </c>
      <c r="E63" s="30">
        <v>581.5</v>
      </c>
      <c r="F63" s="30">
        <v>577.5</v>
      </c>
      <c r="G63" s="30">
        <v>4</v>
      </c>
      <c r="H63" s="30">
        <v>1000</v>
      </c>
      <c r="I63" s="30">
        <v>4000</v>
      </c>
      <c r="K63" s="86"/>
    </row>
    <row r="64" spans="2:11" x14ac:dyDescent="0.3">
      <c r="B64" s="87"/>
      <c r="C64" s="30"/>
      <c r="D64" s="30"/>
      <c r="E64" s="30"/>
      <c r="F64" s="30"/>
      <c r="G64" s="30"/>
      <c r="H64" s="30"/>
      <c r="I64" s="30"/>
      <c r="K64" s="86"/>
    </row>
    <row r="65" spans="2:11" ht="21" x14ac:dyDescent="0.4">
      <c r="B65" s="43"/>
      <c r="C65" s="30"/>
      <c r="D65" s="30"/>
      <c r="E65" s="30"/>
      <c r="F65" s="30"/>
      <c r="G65" s="30"/>
      <c r="H65" s="30"/>
      <c r="I65" s="112">
        <v>89650</v>
      </c>
      <c r="K65" s="86"/>
    </row>
    <row r="66" spans="2:11" x14ac:dyDescent="0.3">
      <c r="B66" s="87"/>
      <c r="C66" s="30"/>
      <c r="D66" s="30"/>
      <c r="E66" s="30"/>
      <c r="F66" s="30"/>
      <c r="G66" s="30"/>
      <c r="H66" s="30"/>
      <c r="I66" s="30"/>
      <c r="K66" s="86"/>
    </row>
    <row r="67" spans="2:11" ht="15.6" x14ac:dyDescent="0.3">
      <c r="B67" s="48" t="s">
        <v>63</v>
      </c>
      <c r="C67" s="48"/>
      <c r="D67" s="48"/>
      <c r="E67" s="48"/>
      <c r="F67" s="48"/>
      <c r="G67" s="48"/>
      <c r="H67" s="48"/>
      <c r="I67" s="48"/>
      <c r="K67" s="86"/>
    </row>
    <row r="68" spans="2:11" x14ac:dyDescent="0.3">
      <c r="B68" s="43">
        <v>42646</v>
      </c>
      <c r="C68" s="2" t="s">
        <v>9</v>
      </c>
      <c r="D68" s="2" t="s">
        <v>39</v>
      </c>
      <c r="E68" s="41" t="s">
        <v>1835</v>
      </c>
      <c r="F68" s="40" t="s">
        <v>1836</v>
      </c>
      <c r="G68" s="40" t="s">
        <v>934</v>
      </c>
      <c r="H68" s="30">
        <v>150</v>
      </c>
      <c r="I68" s="41" t="s">
        <v>1532</v>
      </c>
      <c r="K68" s="86"/>
    </row>
    <row r="69" spans="2:11" x14ac:dyDescent="0.3">
      <c r="B69" s="43">
        <v>42647</v>
      </c>
      <c r="C69" s="30" t="s">
        <v>8</v>
      </c>
      <c r="D69" s="2" t="s">
        <v>39</v>
      </c>
      <c r="E69" s="2">
        <v>8780</v>
      </c>
      <c r="F69" s="30">
        <v>8765</v>
      </c>
      <c r="G69" s="30">
        <v>15</v>
      </c>
      <c r="H69" s="30">
        <v>150</v>
      </c>
      <c r="I69" s="30">
        <v>2250</v>
      </c>
      <c r="K69" s="86"/>
    </row>
    <row r="70" spans="2:11" x14ac:dyDescent="0.3">
      <c r="B70" s="43">
        <v>42648</v>
      </c>
      <c r="C70" s="30" t="s">
        <v>8</v>
      </c>
      <c r="D70" s="2" t="s">
        <v>39</v>
      </c>
      <c r="E70" s="2">
        <v>8795</v>
      </c>
      <c r="F70" s="30">
        <v>8755</v>
      </c>
      <c r="G70" s="30">
        <v>40</v>
      </c>
      <c r="H70" s="30">
        <v>150</v>
      </c>
      <c r="I70" s="30">
        <v>6000</v>
      </c>
    </row>
    <row r="71" spans="2:11" x14ac:dyDescent="0.3">
      <c r="B71" s="43">
        <v>42649</v>
      </c>
      <c r="C71" s="30" t="s">
        <v>8</v>
      </c>
      <c r="D71" s="2" t="s">
        <v>39</v>
      </c>
      <c r="E71" s="2">
        <v>8790</v>
      </c>
      <c r="F71" s="30">
        <v>8725</v>
      </c>
      <c r="G71" s="30">
        <v>65</v>
      </c>
      <c r="H71" s="30">
        <v>150</v>
      </c>
      <c r="I71" s="30">
        <v>9750</v>
      </c>
    </row>
    <row r="72" spans="2:11" x14ac:dyDescent="0.3">
      <c r="B72" s="43">
        <v>42650</v>
      </c>
      <c r="C72" s="30" t="s">
        <v>8</v>
      </c>
      <c r="D72" s="2" t="s">
        <v>39</v>
      </c>
      <c r="E72" s="30">
        <v>8715</v>
      </c>
      <c r="F72" s="30">
        <v>8695</v>
      </c>
      <c r="G72" s="30">
        <v>20</v>
      </c>
      <c r="H72" s="30">
        <v>150</v>
      </c>
      <c r="I72" s="30">
        <v>3000</v>
      </c>
    </row>
    <row r="73" spans="2:11" x14ac:dyDescent="0.3">
      <c r="B73" s="43">
        <v>42653</v>
      </c>
      <c r="C73" s="30" t="s">
        <v>8</v>
      </c>
      <c r="D73" s="2" t="s">
        <v>39</v>
      </c>
      <c r="E73" s="30">
        <v>8740</v>
      </c>
      <c r="F73" s="30">
        <v>8735</v>
      </c>
      <c r="G73" s="30">
        <v>5</v>
      </c>
      <c r="H73" s="30">
        <v>150</v>
      </c>
      <c r="I73" s="30">
        <v>750</v>
      </c>
    </row>
    <row r="74" spans="2:11" x14ac:dyDescent="0.3">
      <c r="B74" s="43">
        <v>42656</v>
      </c>
      <c r="C74" s="30" t="s">
        <v>8</v>
      </c>
      <c r="D74" s="2" t="s">
        <v>39</v>
      </c>
      <c r="E74" s="30">
        <v>8650</v>
      </c>
      <c r="F74" s="30">
        <v>8585</v>
      </c>
      <c r="G74" s="30">
        <v>65</v>
      </c>
      <c r="H74" s="30">
        <v>150</v>
      </c>
      <c r="I74" s="30">
        <v>9750</v>
      </c>
      <c r="K74" s="86"/>
    </row>
    <row r="75" spans="2:11" x14ac:dyDescent="0.3">
      <c r="B75" s="43">
        <v>42657</v>
      </c>
      <c r="C75" s="30" t="s">
        <v>8</v>
      </c>
      <c r="D75" s="2" t="s">
        <v>39</v>
      </c>
      <c r="E75" s="30">
        <v>8580</v>
      </c>
      <c r="F75" s="30">
        <v>8590</v>
      </c>
      <c r="G75" s="30">
        <v>-10</v>
      </c>
      <c r="H75" s="30">
        <v>150</v>
      </c>
      <c r="I75" s="30">
        <v>-1500</v>
      </c>
      <c r="K75" s="86"/>
    </row>
    <row r="76" spans="2:11" x14ac:dyDescent="0.3">
      <c r="B76" s="43">
        <v>42660</v>
      </c>
      <c r="C76" s="30" t="s">
        <v>8</v>
      </c>
      <c r="D76" s="2" t="s">
        <v>39</v>
      </c>
      <c r="E76" s="30">
        <v>8580</v>
      </c>
      <c r="F76" s="30">
        <v>8515</v>
      </c>
      <c r="G76" s="30">
        <v>65</v>
      </c>
      <c r="H76" s="30">
        <v>150</v>
      </c>
      <c r="I76" s="30">
        <v>9750</v>
      </c>
      <c r="K76" s="86"/>
    </row>
    <row r="77" spans="2:11" x14ac:dyDescent="0.3">
      <c r="B77" s="43">
        <v>42661</v>
      </c>
      <c r="C77" s="30" t="s">
        <v>8</v>
      </c>
      <c r="D77" s="2" t="s">
        <v>39</v>
      </c>
      <c r="E77" s="30">
        <v>8580</v>
      </c>
      <c r="F77" s="30">
        <v>8615</v>
      </c>
      <c r="G77" s="30">
        <v>-35</v>
      </c>
      <c r="H77" s="30">
        <v>150</v>
      </c>
      <c r="I77" s="30">
        <v>-5250</v>
      </c>
      <c r="K77" s="86"/>
    </row>
    <row r="78" spans="2:11" x14ac:dyDescent="0.3">
      <c r="B78" s="43">
        <v>42662</v>
      </c>
      <c r="C78" s="30" t="s">
        <v>8</v>
      </c>
      <c r="D78" s="2" t="s">
        <v>39</v>
      </c>
      <c r="E78" s="30">
        <v>8670</v>
      </c>
      <c r="F78" s="30">
        <v>8645</v>
      </c>
      <c r="G78" s="30">
        <v>25</v>
      </c>
      <c r="H78" s="30">
        <v>150</v>
      </c>
      <c r="I78" s="30">
        <v>3750</v>
      </c>
      <c r="K78" s="86"/>
    </row>
    <row r="79" spans="2:11" x14ac:dyDescent="0.3">
      <c r="B79" s="43">
        <v>42663</v>
      </c>
      <c r="C79" s="30" t="s">
        <v>8</v>
      </c>
      <c r="D79" s="2" t="s">
        <v>39</v>
      </c>
      <c r="E79" s="30">
        <v>8690</v>
      </c>
      <c r="F79" s="30">
        <v>8700</v>
      </c>
      <c r="G79" s="30">
        <v>-10</v>
      </c>
      <c r="H79" s="30">
        <v>150</v>
      </c>
      <c r="I79" s="30">
        <v>-1500</v>
      </c>
      <c r="K79" s="86"/>
    </row>
    <row r="80" spans="2:11" x14ac:dyDescent="0.3">
      <c r="B80" s="43">
        <v>42664</v>
      </c>
      <c r="C80" s="30" t="s">
        <v>8</v>
      </c>
      <c r="D80" s="2" t="s">
        <v>39</v>
      </c>
      <c r="E80" s="30">
        <v>8670</v>
      </c>
      <c r="F80" s="30">
        <v>8655</v>
      </c>
      <c r="G80" s="30">
        <v>15</v>
      </c>
      <c r="H80" s="30">
        <v>150</v>
      </c>
      <c r="I80" s="30">
        <v>2250</v>
      </c>
      <c r="K80" s="86"/>
    </row>
    <row r="81" spans="2:11" x14ac:dyDescent="0.3">
      <c r="B81" s="43">
        <v>42667</v>
      </c>
      <c r="C81" s="30" t="s">
        <v>8</v>
      </c>
      <c r="D81" s="2" t="s">
        <v>39</v>
      </c>
      <c r="E81" s="30">
        <v>8705</v>
      </c>
      <c r="F81" s="30">
        <v>8740</v>
      </c>
      <c r="G81" s="30">
        <v>-35</v>
      </c>
      <c r="H81" s="30">
        <v>150</v>
      </c>
      <c r="I81" s="30">
        <v>-5250</v>
      </c>
      <c r="K81" s="86"/>
    </row>
    <row r="82" spans="2:11" x14ac:dyDescent="0.3">
      <c r="B82" s="43">
        <v>42668</v>
      </c>
      <c r="C82" s="30" t="s">
        <v>8</v>
      </c>
      <c r="D82" s="2" t="s">
        <v>39</v>
      </c>
      <c r="E82" s="30">
        <v>8670</v>
      </c>
      <c r="F82" s="30">
        <v>8705</v>
      </c>
      <c r="G82" s="30">
        <v>-35</v>
      </c>
      <c r="H82" s="30">
        <v>150</v>
      </c>
      <c r="I82" s="30">
        <v>-5250</v>
      </c>
      <c r="K82" s="86"/>
    </row>
    <row r="83" spans="2:11" x14ac:dyDescent="0.3">
      <c r="B83" s="43">
        <v>42669</v>
      </c>
      <c r="C83" s="30" t="s">
        <v>8</v>
      </c>
      <c r="D83" s="2" t="s">
        <v>39</v>
      </c>
      <c r="E83" s="30">
        <v>8645</v>
      </c>
      <c r="F83" s="30">
        <v>8620</v>
      </c>
      <c r="G83" s="30">
        <v>25</v>
      </c>
      <c r="H83" s="30">
        <v>150</v>
      </c>
      <c r="I83" s="30">
        <v>3750</v>
      </c>
      <c r="K83" s="86"/>
    </row>
    <row r="84" spans="2:11" x14ac:dyDescent="0.3">
      <c r="B84" s="43">
        <v>42670</v>
      </c>
      <c r="C84" s="30" t="s">
        <v>8</v>
      </c>
      <c r="D84" s="2" t="s">
        <v>39</v>
      </c>
      <c r="E84" s="30">
        <v>8580</v>
      </c>
      <c r="F84" s="30">
        <v>8555</v>
      </c>
      <c r="G84" s="30">
        <v>25</v>
      </c>
      <c r="H84" s="30">
        <v>150</v>
      </c>
      <c r="I84" s="30">
        <v>3750</v>
      </c>
      <c r="K84" s="86"/>
    </row>
    <row r="85" spans="2:11" x14ac:dyDescent="0.3">
      <c r="B85" s="43">
        <v>42671</v>
      </c>
      <c r="C85" s="30" t="s">
        <v>8</v>
      </c>
      <c r="D85" s="2" t="s">
        <v>39</v>
      </c>
      <c r="E85" s="30">
        <v>8660</v>
      </c>
      <c r="F85" s="30">
        <v>8635</v>
      </c>
      <c r="G85" s="30">
        <v>25</v>
      </c>
      <c r="H85" s="30">
        <v>150</v>
      </c>
      <c r="I85" s="30">
        <v>3750</v>
      </c>
      <c r="K85" s="86"/>
    </row>
    <row r="86" spans="2:11" x14ac:dyDescent="0.3">
      <c r="B86" s="87"/>
      <c r="C86" s="30"/>
      <c r="D86" s="2"/>
      <c r="E86" s="30"/>
      <c r="F86" s="30"/>
      <c r="G86" s="30"/>
      <c r="H86" s="30"/>
      <c r="I86" s="30"/>
      <c r="K86" s="86"/>
    </row>
    <row r="87" spans="2:11" ht="21" x14ac:dyDescent="0.4">
      <c r="B87" s="43"/>
      <c r="C87" s="30"/>
      <c r="D87" s="2"/>
      <c r="E87" s="30"/>
      <c r="F87" s="30"/>
      <c r="G87" s="30"/>
      <c r="H87" s="30"/>
      <c r="I87" s="112">
        <v>47250</v>
      </c>
      <c r="K87" s="86"/>
    </row>
    <row r="88" spans="2:11" ht="18" x14ac:dyDescent="0.35">
      <c r="B88" s="43"/>
      <c r="C88" s="30"/>
      <c r="D88" s="2"/>
      <c r="E88" s="30"/>
      <c r="F88" s="30"/>
      <c r="G88" s="30"/>
      <c r="H88" s="30"/>
      <c r="I88" s="76"/>
      <c r="K88" s="86"/>
    </row>
    <row r="89" spans="2:11" ht="15.6" x14ac:dyDescent="0.3">
      <c r="B89" s="48" t="s">
        <v>991</v>
      </c>
      <c r="C89" s="61"/>
      <c r="D89" s="61"/>
      <c r="E89" s="61"/>
      <c r="F89" s="61"/>
      <c r="G89" s="61"/>
      <c r="H89" s="61"/>
      <c r="I89" s="61"/>
      <c r="K89" s="86"/>
    </row>
    <row r="90" spans="2:11" x14ac:dyDescent="0.3">
      <c r="B90" s="43">
        <v>42646</v>
      </c>
      <c r="C90" s="3" t="s">
        <v>9</v>
      </c>
      <c r="D90" s="3" t="s">
        <v>1804</v>
      </c>
      <c r="E90" s="41" t="s">
        <v>626</v>
      </c>
      <c r="F90" s="41" t="s">
        <v>528</v>
      </c>
      <c r="G90" s="41" t="s">
        <v>952</v>
      </c>
      <c r="H90" s="30">
        <v>300</v>
      </c>
      <c r="I90" s="8">
        <v>6000</v>
      </c>
      <c r="K90" s="86"/>
    </row>
    <row r="91" spans="2:11" x14ac:dyDescent="0.3">
      <c r="B91" s="43">
        <v>42647</v>
      </c>
      <c r="C91" s="3" t="s">
        <v>9</v>
      </c>
      <c r="D91" s="3" t="s">
        <v>1719</v>
      </c>
      <c r="E91" s="30">
        <v>135</v>
      </c>
      <c r="F91" s="30">
        <v>115</v>
      </c>
      <c r="G91" s="30">
        <v>-20</v>
      </c>
      <c r="H91" s="30">
        <v>300</v>
      </c>
      <c r="I91" s="8">
        <v>-6000</v>
      </c>
      <c r="K91" s="86"/>
    </row>
    <row r="92" spans="2:11" x14ac:dyDescent="0.3">
      <c r="B92" s="43">
        <v>42648</v>
      </c>
      <c r="C92" s="3" t="s">
        <v>9</v>
      </c>
      <c r="D92" s="3" t="s">
        <v>1719</v>
      </c>
      <c r="E92" s="30">
        <v>120</v>
      </c>
      <c r="F92" s="30">
        <v>135</v>
      </c>
      <c r="G92" s="30">
        <v>15</v>
      </c>
      <c r="H92" s="30">
        <v>300</v>
      </c>
      <c r="I92" s="8">
        <v>4500</v>
      </c>
    </row>
    <row r="93" spans="2:11" x14ac:dyDescent="0.3">
      <c r="B93" s="43">
        <v>42649</v>
      </c>
      <c r="C93" s="3" t="s">
        <v>9</v>
      </c>
      <c r="D93" s="3" t="s">
        <v>1719</v>
      </c>
      <c r="E93" s="30">
        <v>115</v>
      </c>
      <c r="F93" s="30">
        <v>150</v>
      </c>
      <c r="G93" s="30">
        <v>35</v>
      </c>
      <c r="H93" s="30">
        <v>300</v>
      </c>
      <c r="I93" s="8">
        <v>10500</v>
      </c>
    </row>
    <row r="94" spans="2:11" x14ac:dyDescent="0.3">
      <c r="B94" s="43">
        <v>42650</v>
      </c>
      <c r="C94" s="3" t="s">
        <v>9</v>
      </c>
      <c r="D94" s="30" t="s">
        <v>1719</v>
      </c>
      <c r="E94" s="30">
        <v>145</v>
      </c>
      <c r="F94" s="30">
        <v>160</v>
      </c>
      <c r="G94" s="30">
        <v>15</v>
      </c>
      <c r="H94" s="30">
        <v>300</v>
      </c>
      <c r="I94" s="8">
        <v>4500</v>
      </c>
    </row>
    <row r="95" spans="2:11" x14ac:dyDescent="0.3">
      <c r="B95" s="43">
        <v>42653</v>
      </c>
      <c r="C95" s="3" t="s">
        <v>9</v>
      </c>
      <c r="D95" s="30" t="s">
        <v>1719</v>
      </c>
      <c r="E95" s="30">
        <v>125</v>
      </c>
      <c r="F95" s="30">
        <v>127</v>
      </c>
      <c r="G95" s="30">
        <v>2</v>
      </c>
      <c r="H95" s="30">
        <v>300</v>
      </c>
      <c r="I95" s="8">
        <v>600</v>
      </c>
    </row>
    <row r="96" spans="2:11" x14ac:dyDescent="0.3">
      <c r="B96" s="43">
        <v>42656</v>
      </c>
      <c r="C96" s="3" t="s">
        <v>9</v>
      </c>
      <c r="D96" s="30" t="s">
        <v>1683</v>
      </c>
      <c r="E96" s="30">
        <v>115</v>
      </c>
      <c r="F96" s="30">
        <v>150</v>
      </c>
      <c r="G96" s="30">
        <v>35</v>
      </c>
      <c r="H96" s="30">
        <v>300</v>
      </c>
      <c r="I96" s="8">
        <v>10500</v>
      </c>
    </row>
    <row r="97" spans="2:9" x14ac:dyDescent="0.3">
      <c r="B97" s="43">
        <v>42657</v>
      </c>
      <c r="C97" s="3" t="s">
        <v>9</v>
      </c>
      <c r="D97" s="30" t="s">
        <v>1683</v>
      </c>
      <c r="E97" s="30">
        <v>155</v>
      </c>
      <c r="F97" s="30">
        <v>135</v>
      </c>
      <c r="G97" s="30">
        <v>-20</v>
      </c>
      <c r="H97" s="30">
        <v>300</v>
      </c>
      <c r="I97" s="8">
        <v>-6000</v>
      </c>
    </row>
    <row r="98" spans="2:9" x14ac:dyDescent="0.3">
      <c r="B98" s="43">
        <v>42660</v>
      </c>
      <c r="C98" s="3" t="s">
        <v>9</v>
      </c>
      <c r="D98" s="30" t="s">
        <v>1683</v>
      </c>
      <c r="E98" s="30">
        <v>150</v>
      </c>
      <c r="F98" s="30">
        <v>185</v>
      </c>
      <c r="G98" s="30">
        <v>35</v>
      </c>
      <c r="H98" s="30">
        <v>300</v>
      </c>
      <c r="I98" s="8">
        <v>10500</v>
      </c>
    </row>
    <row r="99" spans="2:9" x14ac:dyDescent="0.3">
      <c r="B99" s="43">
        <v>42661</v>
      </c>
      <c r="C99" s="3" t="s">
        <v>9</v>
      </c>
      <c r="D99" s="30" t="s">
        <v>1683</v>
      </c>
      <c r="E99" s="30">
        <v>145</v>
      </c>
      <c r="F99" s="30">
        <v>125</v>
      </c>
      <c r="G99" s="30">
        <v>-20</v>
      </c>
      <c r="H99" s="30">
        <v>300</v>
      </c>
      <c r="I99" s="8">
        <v>-6000</v>
      </c>
    </row>
    <row r="100" spans="2:9" x14ac:dyDescent="0.3">
      <c r="B100" s="43">
        <v>42662</v>
      </c>
      <c r="C100" s="3" t="s">
        <v>9</v>
      </c>
      <c r="D100" s="30" t="s">
        <v>1719</v>
      </c>
      <c r="E100" s="30">
        <v>155</v>
      </c>
      <c r="F100" s="30">
        <v>170</v>
      </c>
      <c r="G100" s="30">
        <v>15</v>
      </c>
      <c r="H100" s="30">
        <v>300</v>
      </c>
      <c r="I100" s="8">
        <v>4500</v>
      </c>
    </row>
    <row r="101" spans="2:9" x14ac:dyDescent="0.3">
      <c r="B101" s="43">
        <v>42663</v>
      </c>
      <c r="C101" s="3" t="s">
        <v>9</v>
      </c>
      <c r="D101" s="30" t="s">
        <v>1719</v>
      </c>
      <c r="E101" s="30">
        <v>115</v>
      </c>
      <c r="F101" s="30">
        <v>130</v>
      </c>
      <c r="G101" s="30">
        <v>15</v>
      </c>
      <c r="H101" s="30">
        <v>300</v>
      </c>
      <c r="I101" s="8">
        <v>4500</v>
      </c>
    </row>
    <row r="102" spans="2:9" x14ac:dyDescent="0.3">
      <c r="B102" s="43">
        <v>42664</v>
      </c>
      <c r="C102" s="3" t="s">
        <v>9</v>
      </c>
      <c r="D102" s="30" t="s">
        <v>1719</v>
      </c>
      <c r="E102" s="30">
        <v>125</v>
      </c>
      <c r="F102" s="30">
        <v>150</v>
      </c>
      <c r="G102" s="30">
        <v>25</v>
      </c>
      <c r="H102" s="30">
        <v>300</v>
      </c>
      <c r="I102" s="8">
        <v>7500</v>
      </c>
    </row>
    <row r="103" spans="2:9" x14ac:dyDescent="0.3">
      <c r="B103" s="43">
        <v>42667</v>
      </c>
      <c r="C103" s="3" t="s">
        <v>9</v>
      </c>
      <c r="D103" s="30" t="s">
        <v>1719</v>
      </c>
      <c r="E103" s="30">
        <v>105</v>
      </c>
      <c r="F103" s="30">
        <v>85</v>
      </c>
      <c r="G103" s="30">
        <v>-20</v>
      </c>
      <c r="H103" s="30">
        <v>300</v>
      </c>
      <c r="I103" s="8">
        <v>-6000</v>
      </c>
    </row>
    <row r="104" spans="2:9" x14ac:dyDescent="0.3">
      <c r="B104" s="43">
        <v>42668</v>
      </c>
      <c r="C104" s="3" t="s">
        <v>9</v>
      </c>
      <c r="D104" s="30" t="s">
        <v>1719</v>
      </c>
      <c r="E104" s="30">
        <v>135</v>
      </c>
      <c r="F104" s="30">
        <v>115</v>
      </c>
      <c r="G104" s="30">
        <v>-20</v>
      </c>
      <c r="H104" s="30">
        <v>300</v>
      </c>
      <c r="I104" s="8">
        <v>-6000</v>
      </c>
    </row>
    <row r="105" spans="2:9" x14ac:dyDescent="0.3">
      <c r="B105" s="43">
        <v>42669</v>
      </c>
      <c r="C105" s="3" t="s">
        <v>9</v>
      </c>
      <c r="D105" s="28" t="s">
        <v>1719</v>
      </c>
      <c r="E105" s="49" t="s">
        <v>226</v>
      </c>
      <c r="F105" s="49" t="s">
        <v>358</v>
      </c>
      <c r="G105" s="49" t="s">
        <v>945</v>
      </c>
      <c r="H105" s="30">
        <v>300</v>
      </c>
      <c r="I105" s="8">
        <v>10500</v>
      </c>
    </row>
    <row r="106" spans="2:9" x14ac:dyDescent="0.3">
      <c r="B106" s="43">
        <v>42670</v>
      </c>
      <c r="C106" s="3" t="s">
        <v>9</v>
      </c>
      <c r="D106" s="28" t="s">
        <v>1683</v>
      </c>
      <c r="E106" s="49" t="s">
        <v>228</v>
      </c>
      <c r="F106" s="49" t="s">
        <v>626</v>
      </c>
      <c r="G106" s="49" t="s">
        <v>972</v>
      </c>
      <c r="H106" s="30">
        <v>300</v>
      </c>
      <c r="I106" s="8">
        <v>9000</v>
      </c>
    </row>
    <row r="107" spans="2:9" x14ac:dyDescent="0.3">
      <c r="B107" s="43">
        <v>42671</v>
      </c>
      <c r="C107" s="3" t="s">
        <v>9</v>
      </c>
      <c r="D107" s="28" t="s">
        <v>1683</v>
      </c>
      <c r="E107" s="49" t="s">
        <v>612</v>
      </c>
      <c r="F107" s="49" t="s">
        <v>229</v>
      </c>
      <c r="G107" s="49" t="s">
        <v>951</v>
      </c>
      <c r="H107" s="30">
        <v>300</v>
      </c>
      <c r="I107" s="8">
        <v>4500</v>
      </c>
    </row>
    <row r="108" spans="2:9" x14ac:dyDescent="0.3">
      <c r="B108" s="87"/>
      <c r="C108" s="3"/>
      <c r="D108" s="28"/>
      <c r="E108" s="49"/>
      <c r="F108" s="49"/>
      <c r="G108" s="49"/>
      <c r="H108" s="30"/>
      <c r="I108" s="8"/>
    </row>
    <row r="109" spans="2:9" ht="21" x14ac:dyDescent="0.3">
      <c r="B109" s="43"/>
      <c r="C109" s="3"/>
      <c r="D109" s="28"/>
      <c r="E109" s="49"/>
      <c r="F109" s="49"/>
      <c r="G109" s="49"/>
      <c r="H109" s="30"/>
      <c r="I109" s="128">
        <v>57600</v>
      </c>
    </row>
    <row r="110" spans="2:9" x14ac:dyDescent="0.3">
      <c r="B110" s="1"/>
      <c r="C110" s="28"/>
      <c r="D110" s="28"/>
      <c r="E110" s="81"/>
      <c r="F110" s="81"/>
      <c r="G110" s="81"/>
      <c r="H110" s="81"/>
      <c r="I110" s="81"/>
    </row>
    <row r="111" spans="2:9" ht="15.6" x14ac:dyDescent="0.3">
      <c r="B111" s="48" t="s">
        <v>926</v>
      </c>
      <c r="C111" s="48"/>
      <c r="D111" s="48"/>
      <c r="E111" s="48"/>
      <c r="F111" s="48"/>
      <c r="G111" s="48"/>
      <c r="H111" s="48"/>
      <c r="I111" s="48"/>
    </row>
    <row r="112" spans="2:9" x14ac:dyDescent="0.3">
      <c r="B112" s="43">
        <v>42646</v>
      </c>
      <c r="C112" s="30" t="s">
        <v>9</v>
      </c>
      <c r="D112" s="30" t="s">
        <v>301</v>
      </c>
      <c r="E112" s="30">
        <v>19600</v>
      </c>
      <c r="F112" s="30">
        <v>19700</v>
      </c>
      <c r="G112" s="30">
        <v>100</v>
      </c>
      <c r="H112" s="30">
        <v>160</v>
      </c>
      <c r="I112" s="30">
        <v>16000</v>
      </c>
    </row>
    <row r="113" spans="2:9" x14ac:dyDescent="0.3">
      <c r="B113" s="43">
        <v>42647</v>
      </c>
      <c r="C113" s="30" t="s">
        <v>8</v>
      </c>
      <c r="D113" s="30" t="s">
        <v>301</v>
      </c>
      <c r="E113" s="30">
        <v>19650</v>
      </c>
      <c r="F113" s="30">
        <v>19850</v>
      </c>
      <c r="G113" s="30">
        <v>-200</v>
      </c>
      <c r="H113" s="30">
        <v>160</v>
      </c>
      <c r="I113" s="30">
        <v>-32000</v>
      </c>
    </row>
    <row r="114" spans="2:9" x14ac:dyDescent="0.3">
      <c r="B114" s="43">
        <v>42648</v>
      </c>
      <c r="C114" s="30" t="s">
        <v>8</v>
      </c>
      <c r="D114" s="30" t="s">
        <v>301</v>
      </c>
      <c r="E114" s="30">
        <v>19780</v>
      </c>
      <c r="F114" s="30">
        <v>19630</v>
      </c>
      <c r="G114" s="30">
        <v>150</v>
      </c>
      <c r="H114" s="30">
        <v>160</v>
      </c>
      <c r="I114" s="30">
        <v>24000</v>
      </c>
    </row>
    <row r="115" spans="2:9" x14ac:dyDescent="0.3">
      <c r="B115" s="43">
        <v>42649</v>
      </c>
      <c r="C115" s="30" t="s">
        <v>8</v>
      </c>
      <c r="D115" s="30" t="s">
        <v>301</v>
      </c>
      <c r="E115" s="30">
        <v>19630</v>
      </c>
      <c r="F115" s="30">
        <v>19420</v>
      </c>
      <c r="G115" s="30">
        <v>210</v>
      </c>
      <c r="H115" s="30">
        <v>160</v>
      </c>
      <c r="I115" s="30">
        <v>33600</v>
      </c>
    </row>
    <row r="116" spans="2:9" x14ac:dyDescent="0.3">
      <c r="B116" s="43">
        <v>42650</v>
      </c>
      <c r="C116" s="30" t="s">
        <v>8</v>
      </c>
      <c r="D116" s="30" t="s">
        <v>301</v>
      </c>
      <c r="E116" s="30">
        <v>19500</v>
      </c>
      <c r="F116" s="30">
        <v>19410</v>
      </c>
      <c r="G116" s="30">
        <v>90</v>
      </c>
      <c r="H116" s="30">
        <v>160</v>
      </c>
      <c r="I116" s="30">
        <v>14400</v>
      </c>
    </row>
    <row r="117" spans="2:9" x14ac:dyDescent="0.3">
      <c r="B117" s="43">
        <v>42653</v>
      </c>
      <c r="C117" s="30" t="s">
        <v>8</v>
      </c>
      <c r="D117" s="30" t="s">
        <v>301</v>
      </c>
      <c r="E117" s="30">
        <v>19530</v>
      </c>
      <c r="F117" s="30">
        <v>19430</v>
      </c>
      <c r="G117" s="30">
        <v>100</v>
      </c>
      <c r="H117" s="30">
        <v>160</v>
      </c>
      <c r="I117" s="30">
        <v>16000</v>
      </c>
    </row>
    <row r="118" spans="2:9" x14ac:dyDescent="0.3">
      <c r="B118" s="43">
        <v>42656</v>
      </c>
      <c r="C118" s="30" t="s">
        <v>8</v>
      </c>
      <c r="D118" s="30" t="s">
        <v>301</v>
      </c>
      <c r="E118" s="30">
        <v>19200</v>
      </c>
      <c r="F118" s="30">
        <v>18900</v>
      </c>
      <c r="G118" s="30">
        <v>300</v>
      </c>
      <c r="H118" s="30">
        <v>160</v>
      </c>
      <c r="I118" s="30">
        <v>48000</v>
      </c>
    </row>
    <row r="119" spans="2:9" x14ac:dyDescent="0.3">
      <c r="B119" s="43">
        <v>42657</v>
      </c>
      <c r="C119" s="30" t="s">
        <v>8</v>
      </c>
      <c r="D119" s="30" t="s">
        <v>301</v>
      </c>
      <c r="E119" s="30">
        <v>19000</v>
      </c>
      <c r="F119" s="30">
        <v>19050</v>
      </c>
      <c r="G119" s="30">
        <v>-50</v>
      </c>
      <c r="H119" s="30">
        <v>160</v>
      </c>
      <c r="I119" s="30">
        <v>-8000</v>
      </c>
    </row>
    <row r="120" spans="2:9" x14ac:dyDescent="0.3">
      <c r="B120" s="43">
        <v>42660</v>
      </c>
      <c r="C120" s="30" t="s">
        <v>8</v>
      </c>
      <c r="D120" s="30" t="s">
        <v>301</v>
      </c>
      <c r="E120" s="30">
        <v>19100</v>
      </c>
      <c r="F120" s="30">
        <v>19040</v>
      </c>
      <c r="G120" s="30">
        <v>60</v>
      </c>
      <c r="H120" s="30">
        <v>160</v>
      </c>
      <c r="I120" s="30">
        <v>9600</v>
      </c>
    </row>
    <row r="121" spans="2:9" x14ac:dyDescent="0.3">
      <c r="B121" s="43">
        <v>42661</v>
      </c>
      <c r="C121" s="30" t="s">
        <v>8</v>
      </c>
      <c r="D121" s="30" t="s">
        <v>301</v>
      </c>
      <c r="E121" s="30">
        <v>19220</v>
      </c>
      <c r="F121" s="30">
        <v>19420</v>
      </c>
      <c r="G121" s="30">
        <v>-200</v>
      </c>
      <c r="H121" s="30">
        <v>160</v>
      </c>
      <c r="I121" s="30">
        <v>-32000</v>
      </c>
    </row>
    <row r="122" spans="2:9" x14ac:dyDescent="0.3">
      <c r="B122" s="43">
        <v>42662</v>
      </c>
      <c r="C122" s="30" t="s">
        <v>8</v>
      </c>
      <c r="D122" s="30" t="s">
        <v>301</v>
      </c>
      <c r="E122" s="30">
        <v>19450</v>
      </c>
      <c r="F122" s="30">
        <v>19355</v>
      </c>
      <c r="G122" s="30">
        <v>95</v>
      </c>
      <c r="H122" s="30">
        <v>160</v>
      </c>
      <c r="I122" s="30">
        <v>15200</v>
      </c>
    </row>
    <row r="123" spans="2:9" x14ac:dyDescent="0.3">
      <c r="B123" s="43">
        <v>42663</v>
      </c>
      <c r="C123" s="30" t="s">
        <v>8</v>
      </c>
      <c r="D123" s="30" t="s">
        <v>301</v>
      </c>
      <c r="E123" s="30">
        <v>19670</v>
      </c>
      <c r="F123" s="30">
        <v>19620</v>
      </c>
      <c r="G123" s="30">
        <v>50</v>
      </c>
      <c r="H123" s="30">
        <v>160</v>
      </c>
      <c r="I123" s="30">
        <v>8000</v>
      </c>
    </row>
    <row r="124" spans="2:9" x14ac:dyDescent="0.3">
      <c r="B124" s="43">
        <v>42664</v>
      </c>
      <c r="C124" s="30" t="s">
        <v>8</v>
      </c>
      <c r="D124" s="30" t="s">
        <v>301</v>
      </c>
      <c r="E124" s="30">
        <v>19580</v>
      </c>
      <c r="F124" s="30">
        <v>19530</v>
      </c>
      <c r="G124" s="30">
        <v>50</v>
      </c>
      <c r="H124" s="30">
        <v>160</v>
      </c>
      <c r="I124" s="30">
        <v>8000</v>
      </c>
    </row>
    <row r="125" spans="2:9" x14ac:dyDescent="0.3">
      <c r="B125" s="43">
        <v>42667</v>
      </c>
      <c r="C125" s="30" t="s">
        <v>8</v>
      </c>
      <c r="D125" s="30" t="s">
        <v>301</v>
      </c>
      <c r="E125" s="30">
        <v>19820</v>
      </c>
      <c r="F125" s="30">
        <v>19820</v>
      </c>
      <c r="G125" s="30">
        <v>0</v>
      </c>
      <c r="H125" s="30">
        <v>160</v>
      </c>
      <c r="I125" s="30">
        <v>0</v>
      </c>
    </row>
    <row r="126" spans="2:9" x14ac:dyDescent="0.3">
      <c r="B126" s="43">
        <v>42668</v>
      </c>
      <c r="C126" s="30" t="s">
        <v>8</v>
      </c>
      <c r="D126" s="30" t="s">
        <v>301</v>
      </c>
      <c r="E126" s="30">
        <v>19760</v>
      </c>
      <c r="F126" s="30">
        <v>19715</v>
      </c>
      <c r="G126" s="30">
        <v>45</v>
      </c>
      <c r="H126" s="30">
        <v>160</v>
      </c>
      <c r="I126" s="30">
        <v>7200</v>
      </c>
    </row>
    <row r="127" spans="2:9" x14ac:dyDescent="0.3">
      <c r="B127" s="43">
        <v>42669</v>
      </c>
      <c r="C127" s="30" t="s">
        <v>8</v>
      </c>
      <c r="D127" s="30" t="s">
        <v>301</v>
      </c>
      <c r="E127" s="30">
        <v>19610</v>
      </c>
      <c r="F127" s="30">
        <v>19470</v>
      </c>
      <c r="G127" s="30">
        <v>140</v>
      </c>
      <c r="H127" s="30">
        <v>160</v>
      </c>
      <c r="I127" s="30">
        <v>22400</v>
      </c>
    </row>
    <row r="128" spans="2:9" x14ac:dyDescent="0.3">
      <c r="B128" s="43">
        <v>42670</v>
      </c>
      <c r="C128" s="30" t="s">
        <v>8</v>
      </c>
      <c r="D128" s="30" t="s">
        <v>301</v>
      </c>
      <c r="E128" s="30">
        <v>19330</v>
      </c>
      <c r="F128" s="30">
        <v>19275</v>
      </c>
      <c r="G128" s="30">
        <v>55</v>
      </c>
      <c r="H128" s="30">
        <v>160</v>
      </c>
      <c r="I128" s="30">
        <v>8800</v>
      </c>
    </row>
    <row r="129" spans="1:36" x14ac:dyDescent="0.3">
      <c r="B129" s="43">
        <v>42671</v>
      </c>
      <c r="C129" s="30" t="s">
        <v>8</v>
      </c>
      <c r="D129" s="30" t="s">
        <v>301</v>
      </c>
      <c r="E129" s="30">
        <v>19620</v>
      </c>
      <c r="F129" s="30">
        <v>19530</v>
      </c>
      <c r="G129" s="30">
        <v>90</v>
      </c>
      <c r="H129" s="30">
        <v>160</v>
      </c>
      <c r="I129" s="94">
        <v>14400</v>
      </c>
    </row>
    <row r="130" spans="1:36" x14ac:dyDescent="0.3">
      <c r="B130" s="87"/>
      <c r="C130" s="30"/>
      <c r="D130" s="30"/>
      <c r="E130" s="88"/>
      <c r="F130" s="88"/>
      <c r="G130" s="88"/>
      <c r="H130" s="88"/>
      <c r="I130" s="88"/>
    </row>
    <row r="131" spans="1:36" x14ac:dyDescent="0.3">
      <c r="B131" s="43"/>
      <c r="C131" s="30"/>
      <c r="D131" s="30"/>
      <c r="E131" s="30"/>
      <c r="F131" s="30"/>
      <c r="G131" s="30"/>
      <c r="H131" s="30"/>
      <c r="I131" s="30"/>
    </row>
    <row r="132" spans="1:36" ht="21" x14ac:dyDescent="0.4">
      <c r="B132" s="43"/>
      <c r="C132" s="30"/>
      <c r="D132" s="30"/>
      <c r="E132" s="30"/>
      <c r="F132" s="30"/>
      <c r="G132" s="30"/>
      <c r="H132" s="30"/>
      <c r="I132" s="112">
        <v>173600</v>
      </c>
    </row>
    <row r="133" spans="1:36" s="30" customFormat="1" x14ac:dyDescent="0.3">
      <c r="A133" s="9"/>
      <c r="B133" s="43"/>
      <c r="J133" s="9"/>
    </row>
    <row r="134" spans="1:36" s="99" customFormat="1" ht="18" x14ac:dyDescent="0.35">
      <c r="B134" s="285" t="s">
        <v>1076</v>
      </c>
      <c r="C134" s="286"/>
      <c r="D134" s="286"/>
      <c r="E134" s="286"/>
      <c r="F134" s="286"/>
      <c r="G134" s="286"/>
      <c r="H134" s="286"/>
      <c r="I134" s="287"/>
      <c r="K134" s="10"/>
      <c r="L134" s="10"/>
      <c r="M134" s="10"/>
      <c r="N134" s="10"/>
      <c r="O134" s="1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</row>
    <row r="135" spans="1:36" x14ac:dyDescent="0.3">
      <c r="B135" s="43">
        <v>42646</v>
      </c>
      <c r="C135" s="30" t="s">
        <v>9</v>
      </c>
      <c r="D135" s="30" t="s">
        <v>1837</v>
      </c>
      <c r="E135" s="30">
        <v>45</v>
      </c>
      <c r="F135" s="30">
        <v>52.5</v>
      </c>
      <c r="G135" s="30">
        <v>7.5</v>
      </c>
      <c r="H135" s="30">
        <v>500</v>
      </c>
      <c r="I135" s="30">
        <v>3750</v>
      </c>
    </row>
    <row r="136" spans="1:36" ht="18" x14ac:dyDescent="0.35">
      <c r="B136" s="43">
        <v>42647</v>
      </c>
      <c r="C136" s="30" t="s">
        <v>9</v>
      </c>
      <c r="D136" s="30" t="s">
        <v>1491</v>
      </c>
      <c r="E136" s="30">
        <v>32</v>
      </c>
      <c r="F136" s="30">
        <v>36</v>
      </c>
      <c r="G136" s="30">
        <v>4</v>
      </c>
      <c r="H136" s="30">
        <v>500</v>
      </c>
      <c r="I136" s="30">
        <v>2000</v>
      </c>
      <c r="K136" s="100"/>
      <c r="L136" s="100"/>
      <c r="M136" s="100"/>
      <c r="N136" s="100"/>
      <c r="O136" s="100"/>
    </row>
    <row r="137" spans="1:36" x14ac:dyDescent="0.3">
      <c r="B137" s="43">
        <v>42648</v>
      </c>
      <c r="C137" s="30" t="s">
        <v>9</v>
      </c>
      <c r="D137" s="30" t="s">
        <v>1491</v>
      </c>
      <c r="E137" s="30">
        <v>35</v>
      </c>
      <c r="F137" s="30">
        <v>31</v>
      </c>
      <c r="G137" s="30">
        <v>-4</v>
      </c>
      <c r="H137" s="30">
        <v>500</v>
      </c>
      <c r="I137" s="30">
        <v>-2000</v>
      </c>
      <c r="K137" s="10">
        <v>4</v>
      </c>
      <c r="L137" s="30"/>
    </row>
    <row r="138" spans="1:36" x14ac:dyDescent="0.3">
      <c r="B138" s="43">
        <v>42649</v>
      </c>
      <c r="C138" s="30" t="s">
        <v>9</v>
      </c>
      <c r="D138" s="30" t="s">
        <v>1838</v>
      </c>
      <c r="E138" s="30">
        <v>30</v>
      </c>
      <c r="F138" s="30">
        <v>45</v>
      </c>
      <c r="G138" s="30">
        <v>15</v>
      </c>
      <c r="H138" s="30">
        <v>500</v>
      </c>
      <c r="I138" s="30">
        <v>7500</v>
      </c>
      <c r="L138" s="30"/>
    </row>
    <row r="139" spans="1:36" x14ac:dyDescent="0.3">
      <c r="B139" s="43">
        <v>42650</v>
      </c>
      <c r="C139" s="30" t="s">
        <v>9</v>
      </c>
      <c r="D139" s="30" t="s">
        <v>1839</v>
      </c>
      <c r="E139" s="30">
        <v>74</v>
      </c>
      <c r="F139" s="30">
        <v>70</v>
      </c>
      <c r="G139" s="30">
        <v>-4</v>
      </c>
      <c r="H139" s="30">
        <v>200</v>
      </c>
      <c r="I139" s="30">
        <v>-800</v>
      </c>
      <c r="L139" s="30"/>
    </row>
    <row r="140" spans="1:36" x14ac:dyDescent="0.3">
      <c r="B140" s="43">
        <v>42653</v>
      </c>
      <c r="C140" s="30" t="s">
        <v>9</v>
      </c>
      <c r="D140" s="30" t="s">
        <v>1534</v>
      </c>
      <c r="E140" s="30">
        <v>16</v>
      </c>
      <c r="F140" s="30">
        <v>19</v>
      </c>
      <c r="G140" s="30">
        <v>3</v>
      </c>
      <c r="H140" s="30">
        <v>1200</v>
      </c>
      <c r="I140" s="30">
        <v>3600</v>
      </c>
      <c r="L140" s="30"/>
    </row>
    <row r="141" spans="1:36" x14ac:dyDescent="0.3">
      <c r="B141" s="43">
        <v>42656</v>
      </c>
      <c r="C141" s="30" t="s">
        <v>9</v>
      </c>
      <c r="D141" s="30" t="s">
        <v>1844</v>
      </c>
      <c r="E141" s="30">
        <v>15</v>
      </c>
      <c r="F141" s="30">
        <v>23</v>
      </c>
      <c r="G141" s="30">
        <v>8</v>
      </c>
      <c r="H141" s="30">
        <v>1200</v>
      </c>
      <c r="I141" s="30">
        <v>9600</v>
      </c>
      <c r="L141" s="30"/>
    </row>
    <row r="142" spans="1:36" x14ac:dyDescent="0.3">
      <c r="B142" s="43">
        <v>42657</v>
      </c>
      <c r="C142" s="30" t="s">
        <v>9</v>
      </c>
      <c r="D142" s="30" t="s">
        <v>1845</v>
      </c>
      <c r="E142" s="30">
        <v>13</v>
      </c>
      <c r="F142" s="30">
        <v>12.5</v>
      </c>
      <c r="G142" s="30">
        <v>-0.5</v>
      </c>
      <c r="H142" s="30">
        <v>1200</v>
      </c>
      <c r="I142" s="30">
        <v>600</v>
      </c>
      <c r="L142" s="30"/>
    </row>
    <row r="143" spans="1:36" x14ac:dyDescent="0.3">
      <c r="B143" s="43">
        <v>42660</v>
      </c>
      <c r="C143" s="30" t="s">
        <v>9</v>
      </c>
      <c r="D143" s="30" t="s">
        <v>1848</v>
      </c>
      <c r="E143" s="30">
        <v>32</v>
      </c>
      <c r="F143" s="30">
        <v>36.5</v>
      </c>
      <c r="G143" s="30">
        <v>4.5</v>
      </c>
      <c r="H143" s="30">
        <v>700</v>
      </c>
      <c r="I143" s="30">
        <v>3150</v>
      </c>
    </row>
    <row r="144" spans="1:36" x14ac:dyDescent="0.3">
      <c r="B144" s="43">
        <v>42660</v>
      </c>
      <c r="C144" s="30" t="s">
        <v>9</v>
      </c>
      <c r="D144" s="30" t="s">
        <v>1849</v>
      </c>
      <c r="E144" s="30">
        <v>21</v>
      </c>
      <c r="F144" s="30">
        <v>23.5</v>
      </c>
      <c r="G144" s="30">
        <v>2.5</v>
      </c>
      <c r="H144" s="30">
        <v>1200</v>
      </c>
      <c r="I144" s="30">
        <v>3000</v>
      </c>
    </row>
    <row r="145" spans="2:9" x14ac:dyDescent="0.3">
      <c r="B145" s="43">
        <v>42661</v>
      </c>
      <c r="C145" s="30" t="s">
        <v>9</v>
      </c>
      <c r="D145" s="30" t="s">
        <v>1845</v>
      </c>
      <c r="E145" s="30">
        <v>12</v>
      </c>
      <c r="F145" s="30">
        <v>13.5</v>
      </c>
      <c r="G145" s="30">
        <v>1.5</v>
      </c>
      <c r="H145" s="30">
        <v>1200</v>
      </c>
      <c r="I145" s="30">
        <v>1800</v>
      </c>
    </row>
    <row r="146" spans="2:9" x14ac:dyDescent="0.3">
      <c r="B146" s="43">
        <v>42662</v>
      </c>
      <c r="C146" s="30" t="s">
        <v>9</v>
      </c>
      <c r="D146" s="30" t="s">
        <v>1813</v>
      </c>
      <c r="E146" s="30">
        <v>7</v>
      </c>
      <c r="F146" s="30">
        <v>8</v>
      </c>
      <c r="G146" s="30">
        <v>1</v>
      </c>
      <c r="H146" s="30">
        <v>2500</v>
      </c>
      <c r="I146" s="30">
        <v>2500</v>
      </c>
    </row>
    <row r="147" spans="2:9" x14ac:dyDescent="0.3">
      <c r="B147" s="43">
        <v>42663</v>
      </c>
      <c r="C147" s="30" t="s">
        <v>9</v>
      </c>
      <c r="D147" s="30" t="s">
        <v>1562</v>
      </c>
      <c r="E147" s="30">
        <v>25</v>
      </c>
      <c r="F147" s="30">
        <v>15</v>
      </c>
      <c r="G147" s="30">
        <v>-10</v>
      </c>
      <c r="H147" s="30">
        <v>500</v>
      </c>
      <c r="I147" s="30">
        <v>-5000</v>
      </c>
    </row>
    <row r="148" spans="2:9" x14ac:dyDescent="0.3">
      <c r="B148" s="43">
        <v>42664</v>
      </c>
      <c r="C148" s="30" t="s">
        <v>9</v>
      </c>
      <c r="D148" s="30" t="s">
        <v>1850</v>
      </c>
      <c r="E148" s="30">
        <v>15</v>
      </c>
      <c r="F148" s="30">
        <v>22</v>
      </c>
      <c r="G148" s="30">
        <v>7</v>
      </c>
      <c r="H148" s="30">
        <v>500</v>
      </c>
      <c r="I148" s="30">
        <v>3500</v>
      </c>
    </row>
    <row r="149" spans="2:9" x14ac:dyDescent="0.3">
      <c r="B149" s="43">
        <v>42667</v>
      </c>
      <c r="C149" s="30" t="s">
        <v>9</v>
      </c>
      <c r="D149" s="30" t="s">
        <v>1845</v>
      </c>
      <c r="E149" s="30">
        <v>13</v>
      </c>
      <c r="F149" s="30">
        <v>13</v>
      </c>
      <c r="G149" s="30">
        <v>0</v>
      </c>
      <c r="H149" s="30">
        <v>1200</v>
      </c>
      <c r="I149" s="30">
        <v>0</v>
      </c>
    </row>
    <row r="150" spans="2:9" x14ac:dyDescent="0.3">
      <c r="B150" s="43">
        <v>42668</v>
      </c>
      <c r="C150" s="30" t="s">
        <v>9</v>
      </c>
      <c r="D150" s="30" t="s">
        <v>1851</v>
      </c>
      <c r="E150" s="30">
        <v>6.5</v>
      </c>
      <c r="F150" s="30">
        <v>7.2</v>
      </c>
      <c r="G150" s="30">
        <v>0.7</v>
      </c>
      <c r="H150" s="30">
        <v>2500</v>
      </c>
      <c r="I150" s="30">
        <v>1750</v>
      </c>
    </row>
    <row r="151" spans="2:9" x14ac:dyDescent="0.3">
      <c r="B151" s="43">
        <v>42669</v>
      </c>
      <c r="C151" s="30" t="s">
        <v>9</v>
      </c>
      <c r="D151" s="30" t="s">
        <v>1469</v>
      </c>
      <c r="E151" s="30">
        <v>7.5</v>
      </c>
      <c r="F151" s="30">
        <v>6.8</v>
      </c>
      <c r="G151" s="30">
        <v>-0.7</v>
      </c>
      <c r="H151" s="30">
        <v>1200</v>
      </c>
      <c r="I151" s="30">
        <v>-840</v>
      </c>
    </row>
    <row r="152" spans="2:9" x14ac:dyDescent="0.3">
      <c r="B152" s="43">
        <v>42670</v>
      </c>
      <c r="C152" s="30" t="s">
        <v>9</v>
      </c>
      <c r="D152" s="30" t="s">
        <v>1848</v>
      </c>
      <c r="E152" s="30">
        <v>8</v>
      </c>
      <c r="F152" s="30">
        <v>17</v>
      </c>
      <c r="G152" s="30">
        <v>9</v>
      </c>
      <c r="H152" s="30">
        <v>700</v>
      </c>
      <c r="I152" s="30">
        <v>6300</v>
      </c>
    </row>
    <row r="153" spans="2:9" x14ac:dyDescent="0.3">
      <c r="B153" s="87">
        <v>42671</v>
      </c>
      <c r="C153" s="30" t="s">
        <v>9</v>
      </c>
      <c r="D153" s="30" t="s">
        <v>1852</v>
      </c>
      <c r="E153" s="30">
        <v>16</v>
      </c>
      <c r="F153" s="30">
        <v>18.5</v>
      </c>
      <c r="G153" s="30">
        <v>2.5</v>
      </c>
      <c r="H153" s="30">
        <v>1200</v>
      </c>
      <c r="I153" s="30">
        <v>3000</v>
      </c>
    </row>
    <row r="154" spans="2:9" x14ac:dyDescent="0.3">
      <c r="B154" s="43"/>
      <c r="C154" s="30"/>
      <c r="D154" s="30"/>
      <c r="E154" s="30"/>
      <c r="F154" s="30"/>
      <c r="G154" s="30"/>
      <c r="H154" s="30"/>
      <c r="I154" s="30"/>
    </row>
    <row r="156" spans="2:9" ht="21" x14ac:dyDescent="0.4">
      <c r="I156" s="112">
        <v>43410</v>
      </c>
    </row>
    <row r="158" spans="2:9" ht="18" x14ac:dyDescent="0.35">
      <c r="B158" s="285" t="s">
        <v>1152</v>
      </c>
      <c r="C158" s="286"/>
      <c r="D158" s="286"/>
      <c r="E158" s="286"/>
      <c r="F158" s="286"/>
      <c r="G158" s="286"/>
      <c r="H158" s="286"/>
      <c r="I158" s="287"/>
    </row>
    <row r="159" spans="2:9" x14ac:dyDescent="0.3">
      <c r="B159" s="43">
        <v>42646</v>
      </c>
      <c r="C159" s="30" t="s">
        <v>9</v>
      </c>
      <c r="D159" s="30" t="s">
        <v>1840</v>
      </c>
      <c r="E159" s="30">
        <v>430</v>
      </c>
      <c r="F159" s="30">
        <v>445</v>
      </c>
      <c r="G159" s="30">
        <v>15</v>
      </c>
      <c r="H159" s="30">
        <v>160</v>
      </c>
      <c r="I159" s="30">
        <v>2400</v>
      </c>
    </row>
    <row r="160" spans="2:9" x14ac:dyDescent="0.3">
      <c r="B160" s="43">
        <v>42647</v>
      </c>
      <c r="C160" s="30" t="s">
        <v>9</v>
      </c>
      <c r="D160" s="30" t="s">
        <v>1765</v>
      </c>
      <c r="E160" s="30">
        <v>350</v>
      </c>
      <c r="F160" s="30">
        <v>250</v>
      </c>
      <c r="G160" s="30">
        <v>-100</v>
      </c>
      <c r="H160" s="30">
        <v>160</v>
      </c>
      <c r="I160" s="30">
        <v>-16000</v>
      </c>
    </row>
    <row r="161" spans="1:10" x14ac:dyDescent="0.3">
      <c r="B161" s="43">
        <v>42648</v>
      </c>
      <c r="C161" s="30" t="s">
        <v>9</v>
      </c>
      <c r="D161" s="30" t="s">
        <v>1765</v>
      </c>
      <c r="E161" s="30">
        <v>260</v>
      </c>
      <c r="F161" s="30">
        <v>340</v>
      </c>
      <c r="G161" s="30">
        <v>80</v>
      </c>
      <c r="H161" s="30">
        <v>160</v>
      </c>
      <c r="I161" s="30">
        <v>12800</v>
      </c>
    </row>
    <row r="162" spans="1:10" x14ac:dyDescent="0.3">
      <c r="B162" s="43">
        <v>42649</v>
      </c>
      <c r="C162" s="30" t="s">
        <v>9</v>
      </c>
      <c r="D162" s="30" t="s">
        <v>1765</v>
      </c>
      <c r="E162" s="30">
        <v>310</v>
      </c>
      <c r="F162" s="30">
        <v>400</v>
      </c>
      <c r="G162" s="30">
        <v>90</v>
      </c>
      <c r="H162" s="30">
        <v>160</v>
      </c>
      <c r="I162" s="30">
        <v>14400</v>
      </c>
    </row>
    <row r="163" spans="1:10" x14ac:dyDescent="0.3">
      <c r="B163" s="43">
        <v>42650</v>
      </c>
      <c r="C163" s="30" t="s">
        <v>9</v>
      </c>
      <c r="D163" s="30" t="s">
        <v>1765</v>
      </c>
      <c r="E163" s="30">
        <v>350</v>
      </c>
      <c r="F163" s="30">
        <v>380</v>
      </c>
      <c r="G163" s="30">
        <v>30</v>
      </c>
      <c r="H163" s="30">
        <v>160</v>
      </c>
      <c r="I163" s="30">
        <v>4800</v>
      </c>
    </row>
    <row r="164" spans="1:10" x14ac:dyDescent="0.3">
      <c r="B164" s="43">
        <v>42653</v>
      </c>
      <c r="C164" s="30" t="s">
        <v>9</v>
      </c>
      <c r="D164" s="30" t="s">
        <v>1765</v>
      </c>
      <c r="E164" s="30">
        <v>320</v>
      </c>
      <c r="F164" s="30">
        <v>365</v>
      </c>
      <c r="G164" s="30">
        <v>45</v>
      </c>
      <c r="H164" s="30">
        <v>160</v>
      </c>
      <c r="I164" s="30">
        <v>7200</v>
      </c>
    </row>
    <row r="165" spans="1:10" x14ac:dyDescent="0.3">
      <c r="B165" s="43">
        <v>42656</v>
      </c>
      <c r="C165" s="30" t="s">
        <v>9</v>
      </c>
      <c r="D165" s="30" t="s">
        <v>1760</v>
      </c>
      <c r="E165" s="30">
        <v>310</v>
      </c>
      <c r="F165" s="30">
        <v>470</v>
      </c>
      <c r="G165" s="30">
        <v>160</v>
      </c>
      <c r="H165" s="30">
        <v>160</v>
      </c>
      <c r="I165" s="30">
        <v>25600</v>
      </c>
    </row>
    <row r="166" spans="1:10" x14ac:dyDescent="0.3">
      <c r="B166" s="43">
        <v>42657</v>
      </c>
      <c r="C166" s="30" t="s">
        <v>9</v>
      </c>
      <c r="D166" s="30" t="s">
        <v>1692</v>
      </c>
      <c r="E166" s="30">
        <v>250</v>
      </c>
      <c r="F166" s="30">
        <v>225</v>
      </c>
      <c r="G166" s="30">
        <v>-25</v>
      </c>
      <c r="H166" s="30">
        <v>160</v>
      </c>
      <c r="I166" s="30">
        <v>-4000</v>
      </c>
    </row>
    <row r="167" spans="1:10" x14ac:dyDescent="0.3">
      <c r="B167" s="43">
        <v>42660</v>
      </c>
      <c r="C167" s="30" t="s">
        <v>9</v>
      </c>
      <c r="D167" s="30" t="s">
        <v>1769</v>
      </c>
      <c r="E167" s="30">
        <v>310</v>
      </c>
      <c r="F167" s="30">
        <v>290</v>
      </c>
      <c r="G167" s="30">
        <v>-20</v>
      </c>
      <c r="H167" s="30">
        <v>160</v>
      </c>
      <c r="I167" s="30">
        <v>-3200</v>
      </c>
    </row>
    <row r="168" spans="1:10" x14ac:dyDescent="0.3">
      <c r="B168" s="43">
        <v>42661</v>
      </c>
      <c r="C168" s="30" t="s">
        <v>11</v>
      </c>
      <c r="D168" s="30" t="s">
        <v>1769</v>
      </c>
      <c r="E168" s="30">
        <v>200</v>
      </c>
      <c r="F168" s="30">
        <v>120</v>
      </c>
      <c r="G168" s="30">
        <v>-80</v>
      </c>
      <c r="H168" s="30">
        <v>160</v>
      </c>
      <c r="I168" s="30">
        <v>-12800</v>
      </c>
    </row>
    <row r="169" spans="1:10" x14ac:dyDescent="0.3">
      <c r="B169" s="43">
        <v>42662</v>
      </c>
      <c r="C169" s="30" t="s">
        <v>9</v>
      </c>
      <c r="D169" s="30" t="s">
        <v>1764</v>
      </c>
      <c r="E169" s="30">
        <v>210</v>
      </c>
      <c r="F169" s="30">
        <v>270</v>
      </c>
      <c r="G169" s="30">
        <v>60</v>
      </c>
      <c r="H169" s="30">
        <v>160</v>
      </c>
      <c r="I169" s="30">
        <v>9600</v>
      </c>
    </row>
    <row r="170" spans="1:10" x14ac:dyDescent="0.3">
      <c r="B170" s="43">
        <v>42663</v>
      </c>
      <c r="C170" s="30" t="s">
        <v>9</v>
      </c>
      <c r="D170" s="30" t="s">
        <v>1817</v>
      </c>
      <c r="E170" s="30">
        <v>190</v>
      </c>
      <c r="F170" s="30">
        <v>225</v>
      </c>
      <c r="G170" s="30">
        <v>35</v>
      </c>
      <c r="H170" s="30">
        <v>160</v>
      </c>
      <c r="I170" s="30">
        <v>5600</v>
      </c>
    </row>
    <row r="171" spans="1:10" x14ac:dyDescent="0.3">
      <c r="B171" s="87">
        <v>42664</v>
      </c>
      <c r="C171" s="30" t="s">
        <v>9</v>
      </c>
      <c r="D171" s="30" t="s">
        <v>1817</v>
      </c>
      <c r="E171" s="30">
        <v>220</v>
      </c>
      <c r="F171" s="30">
        <v>250</v>
      </c>
      <c r="G171" s="30">
        <v>30</v>
      </c>
      <c r="H171" s="30">
        <v>160</v>
      </c>
      <c r="I171" s="30">
        <v>4800</v>
      </c>
    </row>
    <row r="172" spans="1:10" s="30" customFormat="1" x14ac:dyDescent="0.3">
      <c r="A172" s="9"/>
      <c r="B172" s="43">
        <v>42667</v>
      </c>
      <c r="C172" s="30" t="s">
        <v>9</v>
      </c>
      <c r="D172" s="30" t="s">
        <v>1799</v>
      </c>
      <c r="E172" s="30">
        <v>180</v>
      </c>
      <c r="F172" s="30">
        <v>180</v>
      </c>
      <c r="G172" s="30">
        <v>0</v>
      </c>
      <c r="H172" s="30">
        <v>160</v>
      </c>
      <c r="I172" s="30">
        <v>0</v>
      </c>
      <c r="J172" s="9"/>
    </row>
    <row r="173" spans="1:10" s="30" customFormat="1" x14ac:dyDescent="0.3">
      <c r="A173" s="9"/>
      <c r="B173" s="43">
        <v>42668</v>
      </c>
      <c r="C173" s="30" t="s">
        <v>9</v>
      </c>
      <c r="D173" s="30" t="s">
        <v>1799</v>
      </c>
      <c r="E173" s="30">
        <v>210</v>
      </c>
      <c r="F173" s="30">
        <v>240</v>
      </c>
      <c r="G173" s="30">
        <v>30</v>
      </c>
      <c r="H173" s="30">
        <v>160</v>
      </c>
      <c r="I173" s="30">
        <v>4800</v>
      </c>
      <c r="J173" s="9"/>
    </row>
    <row r="174" spans="1:10" s="30" customFormat="1" x14ac:dyDescent="0.3">
      <c r="A174" s="9"/>
      <c r="B174" s="43">
        <v>42669</v>
      </c>
      <c r="C174" s="30" t="s">
        <v>9</v>
      </c>
      <c r="D174" s="30" t="s">
        <v>1816</v>
      </c>
      <c r="E174" s="30">
        <v>200</v>
      </c>
      <c r="F174" s="30">
        <v>350</v>
      </c>
      <c r="G174" s="30">
        <v>150</v>
      </c>
      <c r="H174" s="30">
        <v>160</v>
      </c>
      <c r="I174" s="30">
        <v>24000</v>
      </c>
      <c r="J174" s="9"/>
    </row>
    <row r="175" spans="1:10" s="30" customFormat="1" x14ac:dyDescent="0.3">
      <c r="A175" s="9"/>
      <c r="B175" s="43">
        <v>42670</v>
      </c>
      <c r="C175" s="30" t="s">
        <v>9</v>
      </c>
      <c r="D175" s="30" t="s">
        <v>1764</v>
      </c>
      <c r="E175" s="30">
        <v>170</v>
      </c>
      <c r="F175" s="30">
        <v>250</v>
      </c>
      <c r="G175" s="30">
        <v>80</v>
      </c>
      <c r="H175" s="30">
        <v>160</v>
      </c>
      <c r="I175" s="30">
        <v>12800</v>
      </c>
      <c r="J175" s="9"/>
    </row>
    <row r="176" spans="1:10" s="30" customFormat="1" x14ac:dyDescent="0.3">
      <c r="A176" s="9"/>
      <c r="B176" s="43">
        <v>42671</v>
      </c>
      <c r="C176" s="30" t="s">
        <v>9</v>
      </c>
      <c r="D176" s="30" t="s">
        <v>1765</v>
      </c>
      <c r="E176" s="30">
        <v>360</v>
      </c>
      <c r="F176" s="30">
        <v>400</v>
      </c>
      <c r="G176" s="30">
        <v>40</v>
      </c>
      <c r="H176" s="30">
        <v>160</v>
      </c>
      <c r="I176" s="30">
        <v>6400</v>
      </c>
      <c r="J176" s="9"/>
    </row>
    <row r="177" spans="1:10" s="30" customFormat="1" x14ac:dyDescent="0.3">
      <c r="A177" s="9"/>
      <c r="B177" s="43"/>
      <c r="J177" s="9"/>
    </row>
    <row r="178" spans="1:10" s="30" customFormat="1" x14ac:dyDescent="0.3">
      <c r="A178" s="9"/>
      <c r="B178" s="43"/>
      <c r="J178" s="9"/>
    </row>
    <row r="179" spans="1:10" s="30" customFormat="1" ht="21" x14ac:dyDescent="0.4">
      <c r="A179" s="9"/>
      <c r="B179" s="43"/>
      <c r="I179" s="112">
        <v>99200</v>
      </c>
      <c r="J179" s="9"/>
    </row>
    <row r="180" spans="1:10" s="30" customFormat="1" x14ac:dyDescent="0.3">
      <c r="A180" s="9"/>
      <c r="B180" s="43"/>
      <c r="J180" s="9"/>
    </row>
    <row r="181" spans="1:10" ht="23.4" x14ac:dyDescent="0.45">
      <c r="I181" s="125"/>
    </row>
  </sheetData>
  <mergeCells count="5">
    <mergeCell ref="B134:I134"/>
    <mergeCell ref="B158:I158"/>
    <mergeCell ref="B1:I1"/>
    <mergeCell ref="B2:I2"/>
    <mergeCell ref="B3:I3"/>
  </mergeCells>
  <hyperlinks>
    <hyperlink ref="K2" location="'MASTER '!A1" display="Back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J182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1853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42681</v>
      </c>
      <c r="C6" s="2" t="s">
        <v>11</v>
      </c>
      <c r="D6" s="2" t="s">
        <v>1854</v>
      </c>
      <c r="E6" s="90" t="s">
        <v>582</v>
      </c>
      <c r="F6" s="91" t="s">
        <v>574</v>
      </c>
      <c r="G6" s="91" t="s">
        <v>922</v>
      </c>
      <c r="H6" s="92">
        <f>300000/E6</f>
        <v>2222.2222222222222</v>
      </c>
      <c r="I6" s="93">
        <f>H6*G6</f>
        <v>-2222.2222222222222</v>
      </c>
      <c r="L6" s="16"/>
    </row>
    <row r="7" spans="1:15" x14ac:dyDescent="0.3">
      <c r="B7" s="43">
        <v>42681</v>
      </c>
      <c r="C7" s="2" t="s">
        <v>8</v>
      </c>
      <c r="D7" s="2" t="s">
        <v>341</v>
      </c>
      <c r="E7" s="41" t="s">
        <v>1855</v>
      </c>
      <c r="F7" s="40" t="s">
        <v>1856</v>
      </c>
      <c r="G7" s="40" t="s">
        <v>1120</v>
      </c>
      <c r="H7" s="92">
        <f t="shared" ref="H7:H39" si="0">300000/E7</f>
        <v>1006.7114093959732</v>
      </c>
      <c r="I7" s="93">
        <f t="shared" ref="I7:I39" si="1">H7*G7</f>
        <v>1510.0671140939598</v>
      </c>
      <c r="L7" s="16"/>
    </row>
    <row r="8" spans="1:15" x14ac:dyDescent="0.3">
      <c r="B8" s="43">
        <v>42682</v>
      </c>
      <c r="C8" s="2" t="s">
        <v>9</v>
      </c>
      <c r="D8" s="2" t="s">
        <v>107</v>
      </c>
      <c r="E8" s="41" t="s">
        <v>1864</v>
      </c>
      <c r="F8" s="40" t="s">
        <v>1865</v>
      </c>
      <c r="G8" s="40" t="s">
        <v>1025</v>
      </c>
      <c r="H8" s="92">
        <f t="shared" si="0"/>
        <v>104.89510489510489</v>
      </c>
      <c r="I8" s="93">
        <f t="shared" si="1"/>
        <v>1048.951048951049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42682</v>
      </c>
      <c r="C9" s="2" t="s">
        <v>8</v>
      </c>
      <c r="D9" s="2" t="s">
        <v>192</v>
      </c>
      <c r="E9" s="41" t="s">
        <v>1866</v>
      </c>
      <c r="F9" s="40" t="s">
        <v>1867</v>
      </c>
      <c r="G9" s="40" t="s">
        <v>1868</v>
      </c>
      <c r="H9" s="92">
        <f t="shared" si="0"/>
        <v>1010.10101010101</v>
      </c>
      <c r="I9" s="93">
        <f t="shared" si="1"/>
        <v>1717.1717171717171</v>
      </c>
      <c r="K9" s="66"/>
      <c r="L9" s="67"/>
      <c r="M9" s="67"/>
      <c r="N9" s="67"/>
      <c r="O9" s="67"/>
    </row>
    <row r="10" spans="1:15" x14ac:dyDescent="0.3">
      <c r="B10" s="43">
        <v>42683</v>
      </c>
      <c r="C10" s="2" t="s">
        <v>9</v>
      </c>
      <c r="D10" s="2" t="s">
        <v>834</v>
      </c>
      <c r="E10" s="41" t="s">
        <v>706</v>
      </c>
      <c r="F10" s="40" t="s">
        <v>1054</v>
      </c>
      <c r="G10" s="40" t="s">
        <v>925</v>
      </c>
      <c r="H10" s="92">
        <f t="shared" si="0"/>
        <v>1428.5714285714287</v>
      </c>
      <c r="I10" s="93">
        <f t="shared" si="1"/>
        <v>7142.8571428571431</v>
      </c>
      <c r="K10" s="16" t="s">
        <v>449</v>
      </c>
      <c r="L10" s="30">
        <v>34</v>
      </c>
      <c r="M10" s="30">
        <v>29</v>
      </c>
      <c r="N10" s="30">
        <v>5</v>
      </c>
      <c r="O10" s="30">
        <v>0</v>
      </c>
    </row>
    <row r="11" spans="1:15" x14ac:dyDescent="0.3">
      <c r="B11" s="43">
        <v>42683</v>
      </c>
      <c r="C11" s="2" t="s">
        <v>8</v>
      </c>
      <c r="D11" s="2" t="s">
        <v>139</v>
      </c>
      <c r="E11" s="41" t="s">
        <v>1869</v>
      </c>
      <c r="F11" s="40" t="s">
        <v>1466</v>
      </c>
      <c r="G11" s="40" t="s">
        <v>961</v>
      </c>
      <c r="H11" s="92">
        <f t="shared" si="0"/>
        <v>256.41025641025641</v>
      </c>
      <c r="I11" s="93">
        <f t="shared" si="1"/>
        <v>6410.2564102564102</v>
      </c>
      <c r="K11" s="16"/>
      <c r="L11" s="30"/>
      <c r="M11" s="30"/>
      <c r="N11" s="30"/>
      <c r="O11" s="30"/>
    </row>
    <row r="12" spans="1:15" x14ac:dyDescent="0.3">
      <c r="B12" s="43">
        <v>42684</v>
      </c>
      <c r="C12" s="2" t="s">
        <v>9</v>
      </c>
      <c r="D12" s="2" t="s">
        <v>139</v>
      </c>
      <c r="E12" s="41" t="s">
        <v>1193</v>
      </c>
      <c r="F12" s="40" t="s">
        <v>1437</v>
      </c>
      <c r="G12" s="40" t="s">
        <v>961</v>
      </c>
      <c r="H12" s="92">
        <f t="shared" si="0"/>
        <v>236.22047244094489</v>
      </c>
      <c r="I12" s="93">
        <f t="shared" si="1"/>
        <v>5905.5118110236226</v>
      </c>
      <c r="K12" s="16" t="s">
        <v>450</v>
      </c>
      <c r="L12" s="30">
        <v>17</v>
      </c>
      <c r="M12" s="30">
        <v>13</v>
      </c>
      <c r="N12" s="30">
        <v>2</v>
      </c>
      <c r="O12" s="30">
        <v>2</v>
      </c>
    </row>
    <row r="13" spans="1:15" x14ac:dyDescent="0.3">
      <c r="B13" s="43">
        <v>42684</v>
      </c>
      <c r="C13" s="2" t="s">
        <v>8</v>
      </c>
      <c r="D13" s="2" t="s">
        <v>139</v>
      </c>
      <c r="E13" s="41" t="s">
        <v>633</v>
      </c>
      <c r="F13" s="40" t="s">
        <v>1214</v>
      </c>
      <c r="G13" s="40" t="s">
        <v>961</v>
      </c>
      <c r="H13" s="92">
        <f t="shared" si="0"/>
        <v>234.375</v>
      </c>
      <c r="I13" s="93">
        <f t="shared" si="1"/>
        <v>5859.375</v>
      </c>
      <c r="K13" s="16"/>
      <c r="L13" s="30"/>
      <c r="M13" s="30"/>
      <c r="N13" s="30"/>
      <c r="O13" s="30"/>
    </row>
    <row r="14" spans="1:15" x14ac:dyDescent="0.3">
      <c r="B14" s="43">
        <v>42685</v>
      </c>
      <c r="C14" s="2" t="s">
        <v>11</v>
      </c>
      <c r="D14" s="2" t="s">
        <v>834</v>
      </c>
      <c r="E14" s="41" t="s">
        <v>1873</v>
      </c>
      <c r="F14" s="40" t="s">
        <v>1874</v>
      </c>
      <c r="G14" s="40" t="s">
        <v>925</v>
      </c>
      <c r="H14" s="92">
        <f t="shared" si="0"/>
        <v>1321.5859030837005</v>
      </c>
      <c r="I14" s="93">
        <f t="shared" si="1"/>
        <v>6607.929515418502</v>
      </c>
      <c r="K14" s="16" t="s">
        <v>451</v>
      </c>
      <c r="L14" s="30">
        <v>17</v>
      </c>
      <c r="M14" s="30">
        <v>14</v>
      </c>
      <c r="N14" s="30">
        <v>3</v>
      </c>
      <c r="O14" s="30">
        <v>0</v>
      </c>
    </row>
    <row r="15" spans="1:15" x14ac:dyDescent="0.3">
      <c r="B15" s="43">
        <v>42685</v>
      </c>
      <c r="C15" s="2" t="s">
        <v>8</v>
      </c>
      <c r="D15" s="2" t="s">
        <v>139</v>
      </c>
      <c r="E15" s="41" t="s">
        <v>659</v>
      </c>
      <c r="F15" s="40" t="s">
        <v>1875</v>
      </c>
      <c r="G15" s="40" t="s">
        <v>1181</v>
      </c>
      <c r="H15" s="92">
        <f t="shared" si="0"/>
        <v>240.57738572574178</v>
      </c>
      <c r="I15" s="93">
        <f t="shared" si="1"/>
        <v>5292.7024859663188</v>
      </c>
      <c r="K15" s="16"/>
      <c r="M15" s="30"/>
      <c r="N15" s="30"/>
      <c r="O15" s="30"/>
    </row>
    <row r="16" spans="1:15" x14ac:dyDescent="0.3">
      <c r="B16" s="43">
        <v>42689</v>
      </c>
      <c r="C16" s="2" t="s">
        <v>9</v>
      </c>
      <c r="D16" s="2" t="s">
        <v>78</v>
      </c>
      <c r="E16" s="41" t="s">
        <v>1858</v>
      </c>
      <c r="F16" s="40" t="s">
        <v>1878</v>
      </c>
      <c r="G16" s="40" t="s">
        <v>961</v>
      </c>
      <c r="H16" s="92">
        <f t="shared" si="0"/>
        <v>217.39130434782609</v>
      </c>
      <c r="I16" s="93">
        <f t="shared" si="1"/>
        <v>5434.782608695652</v>
      </c>
      <c r="K16" s="16" t="s">
        <v>1176</v>
      </c>
      <c r="L16" s="30">
        <v>17</v>
      </c>
      <c r="M16" s="30">
        <v>12</v>
      </c>
      <c r="N16" s="30">
        <v>5</v>
      </c>
      <c r="O16" s="30">
        <v>0</v>
      </c>
    </row>
    <row r="17" spans="2:15" x14ac:dyDescent="0.3">
      <c r="B17" s="43">
        <v>42689</v>
      </c>
      <c r="C17" s="2" t="s">
        <v>8</v>
      </c>
      <c r="D17" s="2" t="s">
        <v>139</v>
      </c>
      <c r="E17" s="41" t="s">
        <v>1015</v>
      </c>
      <c r="F17" s="40" t="s">
        <v>1869</v>
      </c>
      <c r="G17" s="40" t="s">
        <v>1181</v>
      </c>
      <c r="H17" s="92">
        <f t="shared" si="0"/>
        <v>251.6778523489933</v>
      </c>
      <c r="I17" s="93">
        <f t="shared" si="1"/>
        <v>5536.9127516778526</v>
      </c>
      <c r="L17" s="30"/>
      <c r="M17" s="30"/>
      <c r="N17" s="30"/>
      <c r="O17" s="30"/>
    </row>
    <row r="18" spans="2:15" x14ac:dyDescent="0.3">
      <c r="B18" s="43">
        <v>42690</v>
      </c>
      <c r="C18" s="2" t="s">
        <v>9</v>
      </c>
      <c r="D18" s="28" t="s">
        <v>834</v>
      </c>
      <c r="E18" s="30">
        <v>209</v>
      </c>
      <c r="F18" s="30">
        <v>211.5</v>
      </c>
      <c r="G18" s="30">
        <v>2.5</v>
      </c>
      <c r="H18" s="92">
        <f t="shared" si="0"/>
        <v>1435.4066985645934</v>
      </c>
      <c r="I18" s="93">
        <f t="shared" si="1"/>
        <v>3588.5167464114834</v>
      </c>
      <c r="K18" s="16" t="s">
        <v>41</v>
      </c>
      <c r="L18" s="30">
        <v>17</v>
      </c>
      <c r="M18" s="30">
        <v>15</v>
      </c>
      <c r="N18" s="30">
        <v>2</v>
      </c>
      <c r="O18" s="30">
        <v>0</v>
      </c>
    </row>
    <row r="19" spans="2:15" x14ac:dyDescent="0.3">
      <c r="B19" s="43">
        <v>42690</v>
      </c>
      <c r="C19" s="2" t="s">
        <v>8</v>
      </c>
      <c r="D19" s="28" t="s">
        <v>139</v>
      </c>
      <c r="E19" s="30">
        <v>1162</v>
      </c>
      <c r="F19" s="30">
        <v>1140</v>
      </c>
      <c r="G19" s="30">
        <v>22</v>
      </c>
      <c r="H19" s="92">
        <f t="shared" si="0"/>
        <v>258.17555938037867</v>
      </c>
      <c r="I19" s="93">
        <f t="shared" si="1"/>
        <v>5679.8623063683308</v>
      </c>
      <c r="K19" s="16"/>
      <c r="L19" s="30"/>
      <c r="M19" s="30"/>
      <c r="N19" s="30"/>
      <c r="O19" s="30"/>
    </row>
    <row r="20" spans="2:15" x14ac:dyDescent="0.3">
      <c r="B20" s="43">
        <v>42691</v>
      </c>
      <c r="C20" s="2" t="s">
        <v>11</v>
      </c>
      <c r="D20" s="28" t="s">
        <v>834</v>
      </c>
      <c r="E20" s="30">
        <v>209.5</v>
      </c>
      <c r="F20" s="30">
        <v>216</v>
      </c>
      <c r="G20" s="30">
        <v>6.5</v>
      </c>
      <c r="H20" s="92">
        <f t="shared" si="0"/>
        <v>1431.9809069212411</v>
      </c>
      <c r="I20" s="93">
        <f t="shared" si="1"/>
        <v>9307.8758949880666</v>
      </c>
      <c r="K20" s="16" t="s">
        <v>1175</v>
      </c>
      <c r="L20" s="30">
        <v>17</v>
      </c>
      <c r="M20" s="30">
        <v>12</v>
      </c>
      <c r="N20" s="30">
        <v>3</v>
      </c>
      <c r="O20" s="30">
        <v>2</v>
      </c>
    </row>
    <row r="21" spans="2:15" x14ac:dyDescent="0.3">
      <c r="B21" s="43">
        <v>42691</v>
      </c>
      <c r="C21" s="2" t="s">
        <v>8</v>
      </c>
      <c r="D21" s="28" t="s">
        <v>192</v>
      </c>
      <c r="E21" s="30">
        <v>324</v>
      </c>
      <c r="F21" s="30">
        <v>322.5</v>
      </c>
      <c r="G21" s="30">
        <v>1.5</v>
      </c>
      <c r="H21" s="92">
        <f t="shared" si="0"/>
        <v>925.92592592592598</v>
      </c>
      <c r="I21" s="93">
        <f t="shared" si="1"/>
        <v>1388.8888888888889</v>
      </c>
      <c r="K21" s="16"/>
      <c r="L21" s="30"/>
      <c r="M21" s="30"/>
      <c r="N21" s="30"/>
      <c r="O21" s="30"/>
    </row>
    <row r="22" spans="2:15" x14ac:dyDescent="0.3">
      <c r="B22" s="43">
        <v>42692</v>
      </c>
      <c r="C22" s="2" t="s">
        <v>9</v>
      </c>
      <c r="D22" s="28" t="s">
        <v>78</v>
      </c>
      <c r="E22" s="30">
        <v>1370</v>
      </c>
      <c r="F22" s="30">
        <v>1380</v>
      </c>
      <c r="G22" s="30">
        <v>10</v>
      </c>
      <c r="H22" s="92">
        <f t="shared" si="0"/>
        <v>218.97810218978103</v>
      </c>
      <c r="I22" s="93">
        <f t="shared" si="1"/>
        <v>2189.7810218978102</v>
      </c>
      <c r="K22" s="16" t="s">
        <v>1090</v>
      </c>
      <c r="L22" s="30">
        <v>17</v>
      </c>
      <c r="M22" s="30">
        <v>13</v>
      </c>
      <c r="N22" s="30">
        <v>3</v>
      </c>
      <c r="O22" s="30">
        <v>1</v>
      </c>
    </row>
    <row r="23" spans="2:15" x14ac:dyDescent="0.3">
      <c r="B23" s="43">
        <v>42692</v>
      </c>
      <c r="C23" s="2" t="s">
        <v>8</v>
      </c>
      <c r="D23" s="28" t="s">
        <v>95</v>
      </c>
      <c r="E23" s="30">
        <v>265</v>
      </c>
      <c r="F23" s="30">
        <v>268</v>
      </c>
      <c r="G23" s="30">
        <v>-3</v>
      </c>
      <c r="H23" s="92">
        <f t="shared" si="0"/>
        <v>1132.0754716981132</v>
      </c>
      <c r="I23" s="93">
        <f t="shared" si="1"/>
        <v>-3396.2264150943397</v>
      </c>
      <c r="L23" s="30"/>
      <c r="M23" s="30"/>
      <c r="N23" s="30"/>
      <c r="O23" s="30"/>
    </row>
    <row r="24" spans="2:15" x14ac:dyDescent="0.3">
      <c r="B24" s="43">
        <v>42695</v>
      </c>
      <c r="C24" s="2" t="s">
        <v>9</v>
      </c>
      <c r="D24" s="28" t="s">
        <v>834</v>
      </c>
      <c r="E24" s="30">
        <v>204</v>
      </c>
      <c r="F24" s="30">
        <v>205</v>
      </c>
      <c r="G24" s="30">
        <v>1</v>
      </c>
      <c r="H24" s="92">
        <f t="shared" si="0"/>
        <v>1470.5882352941176</v>
      </c>
      <c r="I24" s="93">
        <f t="shared" si="1"/>
        <v>1470.5882352941176</v>
      </c>
      <c r="K24" s="16" t="s">
        <v>946</v>
      </c>
      <c r="L24" s="21">
        <v>136</v>
      </c>
      <c r="M24" s="21">
        <v>108</v>
      </c>
      <c r="N24" s="21">
        <v>23</v>
      </c>
      <c r="O24" s="21">
        <v>5</v>
      </c>
    </row>
    <row r="25" spans="2:15" x14ac:dyDescent="0.3">
      <c r="B25" s="43">
        <v>42695</v>
      </c>
      <c r="C25" s="2" t="s">
        <v>8</v>
      </c>
      <c r="D25" s="28" t="s">
        <v>78</v>
      </c>
      <c r="E25" s="30">
        <v>1365</v>
      </c>
      <c r="F25" s="30">
        <v>1340</v>
      </c>
      <c r="G25" s="30">
        <v>25</v>
      </c>
      <c r="H25" s="92">
        <f t="shared" si="0"/>
        <v>219.78021978021977</v>
      </c>
      <c r="I25" s="93">
        <f t="shared" si="1"/>
        <v>5494.5054945054944</v>
      </c>
      <c r="L25" s="16"/>
    </row>
    <row r="26" spans="2:15" x14ac:dyDescent="0.3">
      <c r="B26" s="43">
        <v>42696</v>
      </c>
      <c r="C26" s="2" t="s">
        <v>9</v>
      </c>
      <c r="D26" s="28" t="s">
        <v>834</v>
      </c>
      <c r="E26" s="30">
        <v>203</v>
      </c>
      <c r="F26" s="30">
        <v>208</v>
      </c>
      <c r="G26" s="30">
        <v>5</v>
      </c>
      <c r="H26" s="92">
        <f t="shared" si="0"/>
        <v>1477.8325123152708</v>
      </c>
      <c r="I26" s="93">
        <f t="shared" si="1"/>
        <v>7389.1625615763542</v>
      </c>
      <c r="L26" s="28"/>
      <c r="M26" s="30"/>
      <c r="N26" s="30"/>
      <c r="O26" s="30"/>
    </row>
    <row r="27" spans="2:15" x14ac:dyDescent="0.3">
      <c r="B27" s="43">
        <v>42696</v>
      </c>
      <c r="C27" s="2" t="s">
        <v>8</v>
      </c>
      <c r="D27" s="28" t="s">
        <v>78</v>
      </c>
      <c r="E27" s="30">
        <v>1332</v>
      </c>
      <c r="F27" s="30">
        <v>1310</v>
      </c>
      <c r="G27" s="30">
        <v>22</v>
      </c>
      <c r="H27" s="92">
        <f t="shared" si="0"/>
        <v>225.22522522522522</v>
      </c>
      <c r="I27" s="93">
        <f t="shared" si="1"/>
        <v>4954.9549549549547</v>
      </c>
      <c r="L27" s="68" t="s">
        <v>1893</v>
      </c>
      <c r="M27" s="83"/>
      <c r="N27" s="126">
        <v>0.8</v>
      </c>
      <c r="O27" s="30"/>
    </row>
    <row r="28" spans="2:15" x14ac:dyDescent="0.3">
      <c r="B28" s="43">
        <v>42697</v>
      </c>
      <c r="C28" s="2" t="s">
        <v>11</v>
      </c>
      <c r="D28" s="28" t="s">
        <v>834</v>
      </c>
      <c r="E28" s="30">
        <v>213</v>
      </c>
      <c r="F28" s="30">
        <v>217.5</v>
      </c>
      <c r="G28" s="30">
        <v>4.5</v>
      </c>
      <c r="H28" s="92">
        <f t="shared" si="0"/>
        <v>1408.4507042253522</v>
      </c>
      <c r="I28" s="93">
        <f t="shared" si="1"/>
        <v>6338.0281690140846</v>
      </c>
      <c r="L28" s="68" t="s">
        <v>1894</v>
      </c>
      <c r="M28" s="83"/>
      <c r="N28" s="126"/>
      <c r="O28" s="30"/>
    </row>
    <row r="29" spans="2:15" x14ac:dyDescent="0.3">
      <c r="B29" s="43">
        <v>42697</v>
      </c>
      <c r="C29" s="2" t="s">
        <v>8</v>
      </c>
      <c r="D29" s="28" t="s">
        <v>139</v>
      </c>
      <c r="E29" s="30">
        <v>1225</v>
      </c>
      <c r="F29" s="30">
        <v>1119</v>
      </c>
      <c r="G29" s="30">
        <v>6</v>
      </c>
      <c r="H29" s="92">
        <f t="shared" si="0"/>
        <v>244.89795918367346</v>
      </c>
      <c r="I29" s="93">
        <f t="shared" si="1"/>
        <v>1469.3877551020407</v>
      </c>
      <c r="L29" s="49"/>
      <c r="M29" s="30"/>
      <c r="N29" s="30"/>
      <c r="O29" s="30"/>
    </row>
    <row r="30" spans="2:15" x14ac:dyDescent="0.3">
      <c r="B30" s="43">
        <v>42698</v>
      </c>
      <c r="C30" s="2" t="s">
        <v>9</v>
      </c>
      <c r="D30" s="28" t="s">
        <v>834</v>
      </c>
      <c r="E30" s="30">
        <v>220</v>
      </c>
      <c r="F30" s="30">
        <v>223</v>
      </c>
      <c r="G30" s="30">
        <v>3</v>
      </c>
      <c r="H30" s="92">
        <f t="shared" si="0"/>
        <v>1363.6363636363637</v>
      </c>
      <c r="I30" s="93">
        <f t="shared" si="1"/>
        <v>4090.909090909091</v>
      </c>
      <c r="L30" s="49"/>
      <c r="M30" s="30"/>
      <c r="N30" s="30"/>
      <c r="O30" s="30"/>
    </row>
    <row r="31" spans="2:15" x14ac:dyDescent="0.3">
      <c r="B31" s="43">
        <v>42698</v>
      </c>
      <c r="C31" s="2" t="s">
        <v>8</v>
      </c>
      <c r="D31" s="28" t="s">
        <v>139</v>
      </c>
      <c r="E31" s="30">
        <v>1120</v>
      </c>
      <c r="F31" s="30">
        <v>1115</v>
      </c>
      <c r="G31" s="30">
        <v>5</v>
      </c>
      <c r="H31" s="92">
        <f t="shared" si="0"/>
        <v>267.85714285714283</v>
      </c>
      <c r="I31" s="93">
        <f t="shared" si="1"/>
        <v>1339.2857142857142</v>
      </c>
      <c r="L31" s="49"/>
      <c r="M31" s="30"/>
      <c r="N31" s="30"/>
      <c r="O31" s="30"/>
    </row>
    <row r="32" spans="2:15" x14ac:dyDescent="0.3">
      <c r="B32" s="43">
        <v>42699</v>
      </c>
      <c r="C32" s="2" t="s">
        <v>9</v>
      </c>
      <c r="D32" s="28" t="s">
        <v>78</v>
      </c>
      <c r="E32" s="30">
        <v>1350</v>
      </c>
      <c r="F32" s="30">
        <v>1375</v>
      </c>
      <c r="G32" s="30">
        <v>25</v>
      </c>
      <c r="H32" s="92">
        <f t="shared" si="0"/>
        <v>222.22222222222223</v>
      </c>
      <c r="I32" s="93">
        <f t="shared" si="1"/>
        <v>5555.5555555555557</v>
      </c>
      <c r="L32" s="16"/>
    </row>
    <row r="33" spans="2:13" x14ac:dyDescent="0.3">
      <c r="B33" s="43">
        <v>42699</v>
      </c>
      <c r="C33" s="2" t="s">
        <v>8</v>
      </c>
      <c r="D33" s="28" t="s">
        <v>58</v>
      </c>
      <c r="E33" s="30">
        <v>468</v>
      </c>
      <c r="F33" s="30">
        <v>465.6</v>
      </c>
      <c r="G33" s="30">
        <v>2.4</v>
      </c>
      <c r="H33" s="92">
        <f t="shared" si="0"/>
        <v>641.02564102564099</v>
      </c>
      <c r="I33" s="93">
        <f t="shared" si="1"/>
        <v>1538.4615384615383</v>
      </c>
      <c r="L33" s="16"/>
    </row>
    <row r="34" spans="2:13" x14ac:dyDescent="0.3">
      <c r="B34" s="43">
        <v>42702</v>
      </c>
      <c r="C34" s="2" t="s">
        <v>11</v>
      </c>
      <c r="D34" s="30" t="s">
        <v>192</v>
      </c>
      <c r="E34" s="30">
        <v>306</v>
      </c>
      <c r="F34" s="30">
        <v>311</v>
      </c>
      <c r="G34" s="30">
        <v>5</v>
      </c>
      <c r="H34" s="92">
        <f t="shared" si="0"/>
        <v>980.39215686274508</v>
      </c>
      <c r="I34" s="93">
        <f t="shared" si="1"/>
        <v>4901.9607843137255</v>
      </c>
      <c r="L34" s="41"/>
    </row>
    <row r="35" spans="2:13" x14ac:dyDescent="0.3">
      <c r="B35" s="43">
        <v>42702</v>
      </c>
      <c r="C35" s="2" t="s">
        <v>8</v>
      </c>
      <c r="D35" s="30" t="s">
        <v>78</v>
      </c>
      <c r="E35" s="30">
        <v>1360</v>
      </c>
      <c r="F35" s="30">
        <v>1350</v>
      </c>
      <c r="G35" s="30">
        <v>10</v>
      </c>
      <c r="H35" s="92">
        <f t="shared" si="0"/>
        <v>220.58823529411765</v>
      </c>
      <c r="I35" s="93">
        <f t="shared" si="1"/>
        <v>2205.8823529411766</v>
      </c>
      <c r="L35" s="41"/>
    </row>
    <row r="36" spans="2:13" x14ac:dyDescent="0.3">
      <c r="B36" s="43">
        <v>42703</v>
      </c>
      <c r="C36" s="2" t="s">
        <v>9</v>
      </c>
      <c r="D36" s="30" t="s">
        <v>78</v>
      </c>
      <c r="E36" s="30">
        <v>1365</v>
      </c>
      <c r="F36" s="30">
        <v>1350</v>
      </c>
      <c r="G36" s="30">
        <v>-15</v>
      </c>
      <c r="H36" s="92">
        <f t="shared" si="0"/>
        <v>219.78021978021977</v>
      </c>
      <c r="I36" s="93">
        <f t="shared" si="1"/>
        <v>-3296.7032967032965</v>
      </c>
      <c r="M36" s="30"/>
    </row>
    <row r="37" spans="2:13" x14ac:dyDescent="0.3">
      <c r="B37" s="43">
        <v>42703</v>
      </c>
      <c r="C37" s="2" t="s">
        <v>8</v>
      </c>
      <c r="D37" s="30" t="s">
        <v>834</v>
      </c>
      <c r="E37" s="30">
        <v>228</v>
      </c>
      <c r="F37" s="30">
        <v>229</v>
      </c>
      <c r="G37" s="30">
        <v>-1</v>
      </c>
      <c r="H37" s="92">
        <f t="shared" si="0"/>
        <v>1315.7894736842106</v>
      </c>
      <c r="I37" s="93">
        <f t="shared" si="1"/>
        <v>-1315.7894736842106</v>
      </c>
      <c r="M37" s="30"/>
    </row>
    <row r="38" spans="2:13" x14ac:dyDescent="0.3">
      <c r="B38" s="43">
        <v>42704</v>
      </c>
      <c r="C38" s="2" t="s">
        <v>9</v>
      </c>
      <c r="D38" s="30" t="s">
        <v>105</v>
      </c>
      <c r="E38" s="30">
        <v>139.5</v>
      </c>
      <c r="F38" s="30">
        <v>138.5</v>
      </c>
      <c r="G38" s="30">
        <v>-1</v>
      </c>
      <c r="H38" s="92">
        <f t="shared" si="0"/>
        <v>2150.5376344086021</v>
      </c>
      <c r="I38" s="93">
        <f t="shared" si="1"/>
        <v>-2150.5376344086021</v>
      </c>
      <c r="M38" s="30"/>
    </row>
    <row r="39" spans="2:13" x14ac:dyDescent="0.3">
      <c r="B39" s="43">
        <v>42704</v>
      </c>
      <c r="C39" s="2" t="s">
        <v>8</v>
      </c>
      <c r="D39" s="30" t="s">
        <v>31</v>
      </c>
      <c r="E39" s="30">
        <v>991</v>
      </c>
      <c r="F39" s="30">
        <v>988</v>
      </c>
      <c r="G39" s="30">
        <v>3</v>
      </c>
      <c r="H39" s="92">
        <f t="shared" si="0"/>
        <v>302.72452068617559</v>
      </c>
      <c r="I39" s="93">
        <f t="shared" si="1"/>
        <v>908.17356205852684</v>
      </c>
      <c r="M39" s="30"/>
    </row>
    <row r="40" spans="2:13" x14ac:dyDescent="0.3">
      <c r="B40" s="87"/>
      <c r="C40" s="2"/>
      <c r="D40" s="30"/>
      <c r="E40" s="30"/>
      <c r="F40" s="30"/>
      <c r="G40" s="30"/>
      <c r="H40" s="5"/>
      <c r="I40" s="81"/>
      <c r="M40" s="30"/>
    </row>
    <row r="41" spans="2:13" ht="18" x14ac:dyDescent="0.35">
      <c r="B41" s="43"/>
      <c r="C41" s="2"/>
      <c r="D41" s="30"/>
      <c r="E41" s="30"/>
      <c r="F41" s="30"/>
      <c r="G41" s="30"/>
      <c r="H41" s="5"/>
      <c r="I41" s="82">
        <v>114198</v>
      </c>
      <c r="M41" s="30"/>
    </row>
    <row r="42" spans="2:13" x14ac:dyDescent="0.3">
      <c r="B42" s="43"/>
      <c r="C42" s="2"/>
      <c r="D42" s="30"/>
      <c r="E42" s="30"/>
      <c r="F42" s="30"/>
      <c r="G42" s="30"/>
      <c r="H42" s="5"/>
      <c r="I42" s="81"/>
      <c r="M42" s="30"/>
    </row>
    <row r="43" spans="2:13" x14ac:dyDescent="0.3">
      <c r="B43" s="43"/>
      <c r="C43" s="30"/>
      <c r="D43" s="28"/>
      <c r="E43" s="30"/>
      <c r="F43" s="30"/>
      <c r="G43" s="30"/>
      <c r="H43" s="5"/>
      <c r="I43" s="81"/>
      <c r="M43" s="30"/>
    </row>
    <row r="44" spans="2:13" ht="21" x14ac:dyDescent="0.4">
      <c r="B44" s="87"/>
      <c r="C44" s="2"/>
      <c r="D44" s="28"/>
      <c r="E44" s="30"/>
      <c r="F44" s="30"/>
      <c r="G44" s="30"/>
      <c r="H44" s="30"/>
      <c r="I44" s="127"/>
      <c r="M44" s="30"/>
    </row>
    <row r="45" spans="2:13" x14ac:dyDescent="0.3">
      <c r="B45" s="87"/>
      <c r="C45" s="2"/>
      <c r="D45" s="28"/>
      <c r="E45" s="30"/>
      <c r="F45" s="30"/>
      <c r="G45" s="30"/>
      <c r="H45" s="30"/>
      <c r="I45" s="88"/>
      <c r="M45" s="30"/>
    </row>
    <row r="46" spans="2:13" ht="15.6" x14ac:dyDescent="0.3">
      <c r="B46" s="48" t="s">
        <v>62</v>
      </c>
      <c r="C46" s="48"/>
      <c r="D46" s="48"/>
      <c r="E46" s="48"/>
      <c r="F46" s="48"/>
      <c r="G46" s="48"/>
      <c r="H46" s="48"/>
      <c r="I46" s="48"/>
      <c r="M46" s="30"/>
    </row>
    <row r="47" spans="2:13" x14ac:dyDescent="0.3">
      <c r="B47" s="43">
        <v>42681</v>
      </c>
      <c r="C47" s="2" t="s">
        <v>8</v>
      </c>
      <c r="D47" s="2" t="s">
        <v>129</v>
      </c>
      <c r="E47" s="41" t="s">
        <v>1857</v>
      </c>
      <c r="F47" s="40" t="s">
        <v>1858</v>
      </c>
      <c r="G47" s="40" t="s">
        <v>994</v>
      </c>
      <c r="H47" s="5">
        <v>500</v>
      </c>
      <c r="I47" s="40" t="s">
        <v>518</v>
      </c>
      <c r="M47" s="30"/>
    </row>
    <row r="48" spans="2:13" x14ac:dyDescent="0.3">
      <c r="B48" s="43">
        <v>42682</v>
      </c>
      <c r="C48" s="2" t="s">
        <v>9</v>
      </c>
      <c r="D48" s="2" t="s">
        <v>345</v>
      </c>
      <c r="E48" s="41" t="s">
        <v>1862</v>
      </c>
      <c r="F48" s="40" t="s">
        <v>849</v>
      </c>
      <c r="G48" s="40" t="s">
        <v>1025</v>
      </c>
      <c r="H48" s="5">
        <v>250</v>
      </c>
      <c r="I48" s="30">
        <f t="shared" ref="I48:I63" si="2">H48*G48</f>
        <v>2500</v>
      </c>
    </row>
    <row r="49" spans="2:11" x14ac:dyDescent="0.3">
      <c r="B49" s="43">
        <v>42683</v>
      </c>
      <c r="C49" s="30" t="s">
        <v>8</v>
      </c>
      <c r="D49" s="30" t="s">
        <v>139</v>
      </c>
      <c r="E49" s="30">
        <v>1155</v>
      </c>
      <c r="F49" s="30">
        <v>1145</v>
      </c>
      <c r="G49" s="30">
        <v>10</v>
      </c>
      <c r="H49" s="30">
        <v>700</v>
      </c>
      <c r="I49" s="30">
        <f t="shared" si="2"/>
        <v>7000</v>
      </c>
    </row>
    <row r="50" spans="2:11" x14ac:dyDescent="0.3">
      <c r="B50" s="43">
        <v>42684</v>
      </c>
      <c r="C50" s="30" t="s">
        <v>9</v>
      </c>
      <c r="D50" s="30" t="s">
        <v>58</v>
      </c>
      <c r="E50" s="30">
        <v>504</v>
      </c>
      <c r="F50" s="30">
        <v>513</v>
      </c>
      <c r="G50" s="30">
        <v>9</v>
      </c>
      <c r="H50" s="30">
        <v>1200</v>
      </c>
      <c r="I50" s="30">
        <f t="shared" si="2"/>
        <v>10800</v>
      </c>
    </row>
    <row r="51" spans="2:11" x14ac:dyDescent="0.3">
      <c r="B51" s="43">
        <v>42685</v>
      </c>
      <c r="C51" s="30" t="s">
        <v>9</v>
      </c>
      <c r="D51" s="30" t="s">
        <v>78</v>
      </c>
      <c r="E51" s="30">
        <v>1400</v>
      </c>
      <c r="F51" s="30">
        <v>1410</v>
      </c>
      <c r="G51" s="30">
        <v>10</v>
      </c>
      <c r="H51" s="30">
        <v>500</v>
      </c>
      <c r="I51" s="30">
        <f t="shared" si="2"/>
        <v>5000</v>
      </c>
    </row>
    <row r="52" spans="2:11" x14ac:dyDescent="0.3">
      <c r="B52" s="43">
        <v>42689</v>
      </c>
      <c r="C52" s="30" t="s">
        <v>8</v>
      </c>
      <c r="D52" s="30" t="s">
        <v>129</v>
      </c>
      <c r="E52" s="30">
        <v>1215</v>
      </c>
      <c r="F52" s="30">
        <v>1206</v>
      </c>
      <c r="G52" s="30">
        <v>9</v>
      </c>
      <c r="H52" s="30">
        <v>500</v>
      </c>
      <c r="I52" s="30">
        <f t="shared" si="2"/>
        <v>4500</v>
      </c>
    </row>
    <row r="53" spans="2:11" x14ac:dyDescent="0.3">
      <c r="B53" s="43">
        <v>42690</v>
      </c>
      <c r="C53" s="30" t="s">
        <v>8</v>
      </c>
      <c r="D53" s="30" t="s">
        <v>58</v>
      </c>
      <c r="E53" s="30">
        <v>474</v>
      </c>
      <c r="F53" s="30">
        <v>479</v>
      </c>
      <c r="G53" s="30">
        <v>-5</v>
      </c>
      <c r="H53" s="30">
        <v>1200</v>
      </c>
      <c r="I53" s="30">
        <f t="shared" si="2"/>
        <v>-6000</v>
      </c>
      <c r="K53" s="86"/>
    </row>
    <row r="54" spans="2:11" x14ac:dyDescent="0.3">
      <c r="B54" s="43">
        <v>42691</v>
      </c>
      <c r="C54" s="30" t="s">
        <v>8</v>
      </c>
      <c r="D54" s="30" t="s">
        <v>78</v>
      </c>
      <c r="E54" s="30">
        <v>1370</v>
      </c>
      <c r="F54" s="30">
        <v>1360</v>
      </c>
      <c r="G54" s="30">
        <v>10</v>
      </c>
      <c r="H54" s="30">
        <v>500</v>
      </c>
      <c r="I54" s="30">
        <f t="shared" si="2"/>
        <v>5000</v>
      </c>
      <c r="K54" s="86"/>
    </row>
    <row r="55" spans="2:11" x14ac:dyDescent="0.3">
      <c r="B55" s="43">
        <v>42692</v>
      </c>
      <c r="C55" s="30" t="s">
        <v>8</v>
      </c>
      <c r="D55" s="30" t="s">
        <v>139</v>
      </c>
      <c r="E55" s="30">
        <v>1370</v>
      </c>
      <c r="F55" s="30">
        <v>1365</v>
      </c>
      <c r="G55" s="30">
        <v>5</v>
      </c>
      <c r="H55" s="30">
        <v>700</v>
      </c>
      <c r="I55" s="30">
        <f t="shared" si="2"/>
        <v>3500</v>
      </c>
      <c r="K55" s="86"/>
    </row>
    <row r="56" spans="2:11" x14ac:dyDescent="0.3">
      <c r="B56" s="43">
        <v>42695</v>
      </c>
      <c r="C56" s="30" t="s">
        <v>8</v>
      </c>
      <c r="D56" s="30" t="s">
        <v>139</v>
      </c>
      <c r="E56" s="30">
        <v>1360</v>
      </c>
      <c r="F56" s="30">
        <v>1135</v>
      </c>
      <c r="G56" s="30">
        <v>25</v>
      </c>
      <c r="H56" s="30">
        <v>700</v>
      </c>
      <c r="I56" s="30">
        <f t="shared" si="2"/>
        <v>17500</v>
      </c>
      <c r="K56" s="86"/>
    </row>
    <row r="57" spans="2:11" x14ac:dyDescent="0.3">
      <c r="B57" s="43">
        <v>42696</v>
      </c>
      <c r="C57" s="30" t="s">
        <v>8</v>
      </c>
      <c r="D57" s="30" t="s">
        <v>139</v>
      </c>
      <c r="E57" s="30">
        <v>1110</v>
      </c>
      <c r="F57" s="30">
        <v>1100</v>
      </c>
      <c r="G57" s="30">
        <v>10</v>
      </c>
      <c r="H57" s="30">
        <v>700</v>
      </c>
      <c r="I57" s="30">
        <f t="shared" si="2"/>
        <v>7000</v>
      </c>
      <c r="K57" s="86"/>
    </row>
    <row r="58" spans="2:11" x14ac:dyDescent="0.3">
      <c r="B58" s="43">
        <v>42697</v>
      </c>
      <c r="C58" s="30" t="s">
        <v>8</v>
      </c>
      <c r="D58" s="30" t="s">
        <v>139</v>
      </c>
      <c r="E58" s="30">
        <v>1230</v>
      </c>
      <c r="F58" s="30">
        <v>1220.5</v>
      </c>
      <c r="G58" s="30">
        <v>9.5</v>
      </c>
      <c r="H58" s="30">
        <v>700</v>
      </c>
      <c r="I58" s="30">
        <f t="shared" si="2"/>
        <v>6650</v>
      </c>
      <c r="K58" s="86"/>
    </row>
    <row r="59" spans="2:11" x14ac:dyDescent="0.3">
      <c r="B59" s="43">
        <v>42698</v>
      </c>
      <c r="C59" s="30" t="s">
        <v>8</v>
      </c>
      <c r="D59" s="30" t="s">
        <v>139</v>
      </c>
      <c r="E59" s="30">
        <v>1115</v>
      </c>
      <c r="F59" s="30">
        <v>1118</v>
      </c>
      <c r="G59" s="30">
        <v>-3</v>
      </c>
      <c r="H59" s="30">
        <v>700</v>
      </c>
      <c r="I59" s="30">
        <f t="shared" si="2"/>
        <v>-2100</v>
      </c>
      <c r="K59" s="86"/>
    </row>
    <row r="60" spans="2:11" x14ac:dyDescent="0.3">
      <c r="B60" s="43">
        <v>42699</v>
      </c>
      <c r="C60" s="30" t="s">
        <v>8</v>
      </c>
      <c r="D60" s="30" t="s">
        <v>1884</v>
      </c>
      <c r="E60" s="30">
        <v>260</v>
      </c>
      <c r="F60" s="30">
        <v>258.5</v>
      </c>
      <c r="G60" s="30">
        <v>1.5</v>
      </c>
      <c r="H60" s="30">
        <v>2500</v>
      </c>
      <c r="I60" s="30">
        <f t="shared" si="2"/>
        <v>3750</v>
      </c>
      <c r="K60" s="86"/>
    </row>
    <row r="61" spans="2:11" x14ac:dyDescent="0.3">
      <c r="B61" s="43">
        <v>42702</v>
      </c>
      <c r="C61" s="30" t="s">
        <v>8</v>
      </c>
      <c r="D61" s="30" t="s">
        <v>1884</v>
      </c>
      <c r="E61" s="30">
        <v>256</v>
      </c>
      <c r="F61" s="30">
        <v>256</v>
      </c>
      <c r="G61" s="30">
        <v>0</v>
      </c>
      <c r="H61" s="30">
        <v>2500</v>
      </c>
      <c r="I61" s="30">
        <f t="shared" si="2"/>
        <v>0</v>
      </c>
      <c r="K61" s="86"/>
    </row>
    <row r="62" spans="2:11" x14ac:dyDescent="0.3">
      <c r="B62" s="43">
        <v>42703</v>
      </c>
      <c r="C62" s="30" t="s">
        <v>8</v>
      </c>
      <c r="D62" s="30" t="s">
        <v>531</v>
      </c>
      <c r="E62" s="30">
        <v>476</v>
      </c>
      <c r="F62" s="30">
        <v>473</v>
      </c>
      <c r="G62" s="30">
        <v>3</v>
      </c>
      <c r="H62" s="30">
        <v>800</v>
      </c>
      <c r="I62" s="30">
        <f t="shared" si="2"/>
        <v>2400</v>
      </c>
      <c r="K62" s="86"/>
    </row>
    <row r="63" spans="2:11" x14ac:dyDescent="0.3">
      <c r="B63" s="43">
        <v>42704</v>
      </c>
      <c r="C63" s="30" t="s">
        <v>8</v>
      </c>
      <c r="D63" s="30" t="s">
        <v>109</v>
      </c>
      <c r="E63" s="30">
        <v>1190</v>
      </c>
      <c r="F63" s="30">
        <v>1186</v>
      </c>
      <c r="G63" s="30">
        <v>4</v>
      </c>
      <c r="H63" s="30">
        <v>500</v>
      </c>
      <c r="I63" s="30">
        <f t="shared" si="2"/>
        <v>2000</v>
      </c>
      <c r="K63" s="86"/>
    </row>
    <row r="64" spans="2:11" x14ac:dyDescent="0.3">
      <c r="C64" s="30"/>
      <c r="D64" s="30"/>
      <c r="E64" s="30"/>
      <c r="F64" s="30"/>
      <c r="G64" s="30"/>
      <c r="H64" s="30"/>
      <c r="I64" s="30">
        <f>H64*G64</f>
        <v>0</v>
      </c>
      <c r="K64" s="86"/>
    </row>
    <row r="65" spans="2:11" x14ac:dyDescent="0.3">
      <c r="C65" s="30"/>
      <c r="D65" s="30"/>
      <c r="E65" s="30"/>
      <c r="F65" s="30"/>
      <c r="G65" s="30"/>
      <c r="H65" s="30"/>
      <c r="I65" s="30"/>
      <c r="K65" s="86"/>
    </row>
    <row r="66" spans="2:11" ht="21" x14ac:dyDescent="0.4">
      <c r="B66" s="43"/>
      <c r="C66" s="30"/>
      <c r="D66" s="30"/>
      <c r="E66" s="30"/>
      <c r="F66" s="30"/>
      <c r="G66" s="30"/>
      <c r="H66" s="30"/>
      <c r="I66" s="129" t="s">
        <v>1887</v>
      </c>
      <c r="K66" s="86"/>
    </row>
    <row r="67" spans="2:11" ht="21" x14ac:dyDescent="0.4">
      <c r="B67" s="43"/>
      <c r="C67" s="30"/>
      <c r="D67" s="30"/>
      <c r="E67" s="30"/>
      <c r="F67" s="30"/>
      <c r="G67" s="30"/>
      <c r="H67" s="30"/>
      <c r="I67" s="112"/>
      <c r="K67" s="86"/>
    </row>
    <row r="68" spans="2:11" x14ac:dyDescent="0.3">
      <c r="B68" s="87"/>
      <c r="C68" s="30"/>
      <c r="D68" s="30"/>
      <c r="E68" s="30"/>
      <c r="F68" s="30"/>
      <c r="G68" s="30"/>
      <c r="H68" s="30"/>
      <c r="I68" s="30"/>
      <c r="K68" s="86"/>
    </row>
    <row r="69" spans="2:11" ht="15.6" x14ac:dyDescent="0.3">
      <c r="B69" s="48" t="s">
        <v>63</v>
      </c>
      <c r="C69" s="48"/>
      <c r="D69" s="48"/>
      <c r="E69" s="48"/>
      <c r="F69" s="48"/>
      <c r="G69" s="48"/>
      <c r="H69" s="48"/>
      <c r="I69" s="48"/>
      <c r="K69" s="86"/>
    </row>
    <row r="70" spans="2:11" x14ac:dyDescent="0.3">
      <c r="B70" s="43">
        <v>42681</v>
      </c>
      <c r="C70" s="2" t="s">
        <v>8</v>
      </c>
      <c r="D70" s="2" t="s">
        <v>39</v>
      </c>
      <c r="E70" s="41" t="s">
        <v>1859</v>
      </c>
      <c r="F70" s="40" t="s">
        <v>1860</v>
      </c>
      <c r="G70" s="40" t="s">
        <v>945</v>
      </c>
      <c r="H70" s="30">
        <v>150</v>
      </c>
      <c r="I70" s="41" t="s">
        <v>683</v>
      </c>
      <c r="K70" s="86"/>
    </row>
    <row r="71" spans="2:11" x14ac:dyDescent="0.3">
      <c r="B71" s="43">
        <v>42682</v>
      </c>
      <c r="C71" s="30" t="s">
        <v>8</v>
      </c>
      <c r="D71" s="2" t="s">
        <v>39</v>
      </c>
      <c r="E71" s="2">
        <v>8540</v>
      </c>
      <c r="F71" s="30">
        <v>8515</v>
      </c>
      <c r="G71" s="30">
        <v>25</v>
      </c>
      <c r="H71" s="30">
        <v>150</v>
      </c>
      <c r="I71" s="30">
        <f t="shared" ref="I71:I85" si="3">H71*G71</f>
        <v>3750</v>
      </c>
      <c r="K71" s="86"/>
    </row>
    <row r="72" spans="2:11" x14ac:dyDescent="0.3">
      <c r="B72" s="43">
        <v>42683</v>
      </c>
      <c r="C72" s="30" t="s">
        <v>9</v>
      </c>
      <c r="D72" s="2" t="s">
        <v>39</v>
      </c>
      <c r="E72" s="2">
        <v>8350</v>
      </c>
      <c r="F72" s="30">
        <v>8450</v>
      </c>
      <c r="G72" s="30">
        <v>100</v>
      </c>
      <c r="H72" s="30">
        <v>150</v>
      </c>
      <c r="I72" s="30">
        <f t="shared" si="3"/>
        <v>15000</v>
      </c>
    </row>
    <row r="73" spans="2:11" x14ac:dyDescent="0.3">
      <c r="B73" s="43">
        <v>42684</v>
      </c>
      <c r="C73" s="30" t="s">
        <v>9</v>
      </c>
      <c r="D73" s="2" t="s">
        <v>39</v>
      </c>
      <c r="E73" s="2">
        <v>8605</v>
      </c>
      <c r="F73" s="30">
        <v>8570</v>
      </c>
      <c r="G73" s="30">
        <v>-35</v>
      </c>
      <c r="H73" s="30">
        <v>150</v>
      </c>
      <c r="I73" s="30">
        <f t="shared" si="3"/>
        <v>-5250</v>
      </c>
    </row>
    <row r="74" spans="2:11" x14ac:dyDescent="0.3">
      <c r="B74" s="43">
        <v>42685</v>
      </c>
      <c r="C74" s="30" t="s">
        <v>8</v>
      </c>
      <c r="D74" s="2" t="s">
        <v>39</v>
      </c>
      <c r="E74" s="30">
        <v>8425</v>
      </c>
      <c r="F74" s="30">
        <v>8360</v>
      </c>
      <c r="G74" s="30">
        <v>65</v>
      </c>
      <c r="H74" s="30">
        <v>150</v>
      </c>
      <c r="I74" s="30">
        <f t="shared" si="3"/>
        <v>9750</v>
      </c>
    </row>
    <row r="75" spans="2:11" x14ac:dyDescent="0.3">
      <c r="B75" s="43">
        <v>42689</v>
      </c>
      <c r="C75" s="30" t="s">
        <v>8</v>
      </c>
      <c r="D75" s="2" t="s">
        <v>39</v>
      </c>
      <c r="E75" s="30">
        <v>8220</v>
      </c>
      <c r="F75" s="30">
        <v>8150</v>
      </c>
      <c r="G75" s="30">
        <v>70</v>
      </c>
      <c r="H75" s="30">
        <v>150</v>
      </c>
      <c r="I75" s="30">
        <f t="shared" si="3"/>
        <v>10500</v>
      </c>
    </row>
    <row r="76" spans="2:11" x14ac:dyDescent="0.3">
      <c r="B76" s="43">
        <v>42690</v>
      </c>
      <c r="C76" s="30" t="s">
        <v>8</v>
      </c>
      <c r="D76" s="2" t="s">
        <v>39</v>
      </c>
      <c r="E76" s="30">
        <v>8155</v>
      </c>
      <c r="F76" s="30">
        <v>8125</v>
      </c>
      <c r="G76" s="30">
        <v>30</v>
      </c>
      <c r="H76" s="30">
        <v>150</v>
      </c>
      <c r="I76" s="30">
        <f t="shared" si="3"/>
        <v>4500</v>
      </c>
      <c r="K76" s="86"/>
    </row>
    <row r="77" spans="2:11" x14ac:dyDescent="0.3">
      <c r="B77" s="43">
        <v>42691</v>
      </c>
      <c r="C77" s="30" t="s">
        <v>8</v>
      </c>
      <c r="D77" s="2" t="s">
        <v>39</v>
      </c>
      <c r="E77" s="30">
        <v>8130</v>
      </c>
      <c r="F77" s="30">
        <v>8070</v>
      </c>
      <c r="G77" s="30">
        <v>60</v>
      </c>
      <c r="H77" s="30">
        <v>150</v>
      </c>
      <c r="I77" s="30">
        <f t="shared" si="3"/>
        <v>9000</v>
      </c>
      <c r="K77" s="86"/>
    </row>
    <row r="78" spans="2:11" x14ac:dyDescent="0.3">
      <c r="B78" s="43">
        <v>42692</v>
      </c>
      <c r="C78" s="30" t="s">
        <v>8</v>
      </c>
      <c r="D78" s="2" t="s">
        <v>39</v>
      </c>
      <c r="E78" s="30">
        <v>8090</v>
      </c>
      <c r="F78" s="30">
        <v>8075</v>
      </c>
      <c r="G78" s="30">
        <v>15</v>
      </c>
      <c r="H78" s="30">
        <v>150</v>
      </c>
      <c r="I78" s="30">
        <f t="shared" si="3"/>
        <v>2250</v>
      </c>
      <c r="K78" s="86"/>
    </row>
    <row r="79" spans="2:11" x14ac:dyDescent="0.3">
      <c r="B79" s="43">
        <v>42695</v>
      </c>
      <c r="C79" s="30" t="s">
        <v>8</v>
      </c>
      <c r="D79" s="2" t="s">
        <v>39</v>
      </c>
      <c r="E79" s="30">
        <v>8030</v>
      </c>
      <c r="F79" s="30">
        <v>7960</v>
      </c>
      <c r="G79" s="30">
        <v>70</v>
      </c>
      <c r="H79" s="30">
        <v>150</v>
      </c>
      <c r="I79" s="30">
        <f t="shared" si="3"/>
        <v>10500</v>
      </c>
      <c r="K79" s="86"/>
    </row>
    <row r="80" spans="2:11" x14ac:dyDescent="0.3">
      <c r="B80" s="43">
        <v>42696</v>
      </c>
      <c r="C80" s="30" t="s">
        <v>8</v>
      </c>
      <c r="D80" s="2" t="s">
        <v>39</v>
      </c>
      <c r="E80" s="30">
        <v>7980</v>
      </c>
      <c r="F80" s="30">
        <v>7940</v>
      </c>
      <c r="G80" s="30">
        <v>40</v>
      </c>
      <c r="H80" s="30">
        <v>150</v>
      </c>
      <c r="I80" s="30">
        <f t="shared" si="3"/>
        <v>6000</v>
      </c>
      <c r="K80" s="86"/>
    </row>
    <row r="81" spans="2:11" x14ac:dyDescent="0.3">
      <c r="B81" s="43">
        <v>42697</v>
      </c>
      <c r="C81" s="30" t="s">
        <v>8</v>
      </c>
      <c r="D81" s="2" t="s">
        <v>39</v>
      </c>
      <c r="E81" s="30">
        <v>7995</v>
      </c>
      <c r="F81" s="30">
        <v>7975</v>
      </c>
      <c r="G81" s="30">
        <v>20</v>
      </c>
      <c r="H81" s="30">
        <v>150</v>
      </c>
      <c r="I81" s="30">
        <f t="shared" si="3"/>
        <v>3000</v>
      </c>
      <c r="K81" s="86"/>
    </row>
    <row r="82" spans="2:11" x14ac:dyDescent="0.3">
      <c r="B82" s="43">
        <v>42698</v>
      </c>
      <c r="C82" s="30" t="s">
        <v>8</v>
      </c>
      <c r="D82" s="2" t="s">
        <v>39</v>
      </c>
      <c r="E82" s="30">
        <v>7980</v>
      </c>
      <c r="F82" s="30">
        <v>7950</v>
      </c>
      <c r="G82" s="30">
        <v>30</v>
      </c>
      <c r="H82" s="30">
        <v>150</v>
      </c>
      <c r="I82" s="30">
        <f t="shared" si="3"/>
        <v>4500</v>
      </c>
      <c r="K82" s="86"/>
    </row>
    <row r="83" spans="2:11" x14ac:dyDescent="0.3">
      <c r="B83" s="43">
        <v>42699</v>
      </c>
      <c r="C83" s="30" t="s">
        <v>8</v>
      </c>
      <c r="D83" s="2" t="s">
        <v>39</v>
      </c>
      <c r="E83" s="30">
        <v>8040</v>
      </c>
      <c r="F83" s="30">
        <v>8075</v>
      </c>
      <c r="G83" s="30">
        <v>-35</v>
      </c>
      <c r="H83" s="30">
        <v>150</v>
      </c>
      <c r="I83" s="30">
        <f t="shared" si="3"/>
        <v>-5250</v>
      </c>
      <c r="K83" s="86"/>
    </row>
    <row r="84" spans="2:11" x14ac:dyDescent="0.3">
      <c r="B84" s="43">
        <v>42702</v>
      </c>
      <c r="C84" s="30" t="s">
        <v>8</v>
      </c>
      <c r="D84" s="2" t="s">
        <v>39</v>
      </c>
      <c r="E84" s="30">
        <v>8125</v>
      </c>
      <c r="F84" s="30">
        <v>8160</v>
      </c>
      <c r="G84" s="30">
        <v>-35</v>
      </c>
      <c r="H84" s="30">
        <v>150</v>
      </c>
      <c r="I84" s="30">
        <f t="shared" si="3"/>
        <v>-5250</v>
      </c>
      <c r="K84" s="86"/>
    </row>
    <row r="85" spans="2:11" x14ac:dyDescent="0.3">
      <c r="B85" s="43">
        <v>42703</v>
      </c>
      <c r="C85" s="30" t="s">
        <v>8</v>
      </c>
      <c r="D85" s="2" t="s">
        <v>39</v>
      </c>
      <c r="E85" s="30">
        <v>8210</v>
      </c>
      <c r="F85" s="30">
        <v>8160</v>
      </c>
      <c r="G85" s="30">
        <v>50</v>
      </c>
      <c r="H85" s="30">
        <v>150</v>
      </c>
      <c r="I85" s="30">
        <f t="shared" si="3"/>
        <v>7500</v>
      </c>
      <c r="K85" s="86"/>
    </row>
    <row r="86" spans="2:11" x14ac:dyDescent="0.3">
      <c r="B86" s="43">
        <v>42704</v>
      </c>
      <c r="C86" s="30" t="s">
        <v>8</v>
      </c>
      <c r="D86" s="2" t="s">
        <v>39</v>
      </c>
      <c r="E86" s="30">
        <v>8200</v>
      </c>
      <c r="F86" s="30">
        <v>8185</v>
      </c>
      <c r="G86" s="30">
        <v>15</v>
      </c>
      <c r="H86" s="30">
        <v>150</v>
      </c>
      <c r="I86" s="30">
        <f>H86*G86</f>
        <v>2250</v>
      </c>
      <c r="K86" s="86"/>
    </row>
    <row r="87" spans="2:11" x14ac:dyDescent="0.3">
      <c r="B87" s="43"/>
      <c r="C87" s="30"/>
      <c r="D87" s="2"/>
      <c r="E87" s="30"/>
      <c r="F87" s="30"/>
      <c r="G87" s="30"/>
      <c r="H87" s="30"/>
      <c r="I87" s="30"/>
      <c r="K87" s="86"/>
    </row>
    <row r="88" spans="2:11" x14ac:dyDescent="0.3">
      <c r="B88" s="87"/>
      <c r="C88" s="30"/>
      <c r="D88" s="40"/>
      <c r="E88" s="30"/>
      <c r="F88" s="30"/>
      <c r="G88" s="30"/>
      <c r="H88" s="30"/>
      <c r="I88" s="30"/>
      <c r="K88" s="86"/>
    </row>
    <row r="89" spans="2:11" ht="21" x14ac:dyDescent="0.4">
      <c r="B89" s="43"/>
      <c r="C89" s="30"/>
      <c r="D89" s="2"/>
      <c r="E89" s="30"/>
      <c r="F89" s="30"/>
      <c r="G89" s="30"/>
      <c r="H89" s="30"/>
      <c r="I89" s="129" t="s">
        <v>1892</v>
      </c>
      <c r="K89" s="86"/>
    </row>
    <row r="90" spans="2:11" ht="18" x14ac:dyDescent="0.35">
      <c r="B90" s="43"/>
      <c r="C90" s="30"/>
      <c r="D90" s="2"/>
      <c r="E90" s="30"/>
      <c r="F90" s="30"/>
      <c r="G90" s="30"/>
      <c r="H90" s="30"/>
      <c r="I90" s="76"/>
      <c r="K90" s="86"/>
    </row>
    <row r="91" spans="2:11" ht="15.6" x14ac:dyDescent="0.3">
      <c r="B91" s="48" t="s">
        <v>991</v>
      </c>
      <c r="C91" s="61"/>
      <c r="D91" s="61"/>
      <c r="E91" s="61"/>
      <c r="F91" s="61"/>
      <c r="G91" s="61"/>
      <c r="H91" s="61"/>
      <c r="I91" s="61"/>
      <c r="K91" s="86"/>
    </row>
    <row r="92" spans="2:11" x14ac:dyDescent="0.3">
      <c r="B92" s="43">
        <v>42681</v>
      </c>
      <c r="C92" s="3" t="s">
        <v>9</v>
      </c>
      <c r="D92" s="3" t="s">
        <v>1639</v>
      </c>
      <c r="E92" s="41" t="s">
        <v>626</v>
      </c>
      <c r="F92" s="41" t="s">
        <v>513</v>
      </c>
      <c r="G92" s="41" t="s">
        <v>951</v>
      </c>
      <c r="H92" s="30">
        <v>300</v>
      </c>
      <c r="I92" s="8">
        <f>H92*G92</f>
        <v>4500</v>
      </c>
      <c r="K92" s="86"/>
    </row>
    <row r="93" spans="2:11" x14ac:dyDescent="0.3">
      <c r="B93" s="43">
        <v>42682</v>
      </c>
      <c r="C93" s="3" t="s">
        <v>9</v>
      </c>
      <c r="D93" s="3" t="s">
        <v>1639</v>
      </c>
      <c r="E93" s="30">
        <v>150</v>
      </c>
      <c r="F93" s="30">
        <v>170</v>
      </c>
      <c r="G93" s="30">
        <v>20</v>
      </c>
      <c r="H93" s="30">
        <v>300</v>
      </c>
      <c r="I93" s="8">
        <f t="shared" ref="I93:I108" si="4">H93*G93</f>
        <v>6000</v>
      </c>
      <c r="K93" s="86"/>
    </row>
    <row r="94" spans="2:11" x14ac:dyDescent="0.3">
      <c r="B94" s="43">
        <v>42683</v>
      </c>
      <c r="C94" s="3" t="s">
        <v>9</v>
      </c>
      <c r="D94" s="3" t="s">
        <v>983</v>
      </c>
      <c r="E94" s="30">
        <v>160</v>
      </c>
      <c r="F94" s="30">
        <v>200</v>
      </c>
      <c r="G94" s="30">
        <v>40</v>
      </c>
      <c r="H94" s="30">
        <v>300</v>
      </c>
      <c r="I94" s="8">
        <f t="shared" si="4"/>
        <v>12000</v>
      </c>
    </row>
    <row r="95" spans="2:11" x14ac:dyDescent="0.3">
      <c r="B95" s="43">
        <v>42684</v>
      </c>
      <c r="C95" s="3" t="s">
        <v>9</v>
      </c>
      <c r="D95" s="3" t="s">
        <v>1640</v>
      </c>
      <c r="E95" s="30">
        <v>155</v>
      </c>
      <c r="F95" s="30">
        <v>140</v>
      </c>
      <c r="G95" s="30">
        <v>-15</v>
      </c>
      <c r="H95" s="30">
        <v>300</v>
      </c>
      <c r="I95" s="8">
        <f t="shared" si="4"/>
        <v>-4500</v>
      </c>
    </row>
    <row r="96" spans="2:11" x14ac:dyDescent="0.3">
      <c r="B96" s="43">
        <v>42685</v>
      </c>
      <c r="C96" s="3" t="s">
        <v>9</v>
      </c>
      <c r="D96" s="30" t="s">
        <v>1876</v>
      </c>
      <c r="E96" s="30">
        <v>140</v>
      </c>
      <c r="F96" s="30">
        <v>175</v>
      </c>
      <c r="G96" s="30">
        <v>35</v>
      </c>
      <c r="H96" s="30">
        <v>300</v>
      </c>
      <c r="I96" s="8">
        <f t="shared" si="4"/>
        <v>10500</v>
      </c>
    </row>
    <row r="97" spans="2:9" x14ac:dyDescent="0.3">
      <c r="B97" s="43">
        <v>42689</v>
      </c>
      <c r="C97" s="3" t="s">
        <v>9</v>
      </c>
      <c r="D97" s="30" t="s">
        <v>977</v>
      </c>
      <c r="E97" s="30">
        <v>110</v>
      </c>
      <c r="F97" s="30">
        <v>150</v>
      </c>
      <c r="G97" s="30">
        <v>40</v>
      </c>
      <c r="H97" s="30">
        <v>300</v>
      </c>
      <c r="I97" s="8">
        <f t="shared" si="4"/>
        <v>12000</v>
      </c>
    </row>
    <row r="98" spans="2:9" x14ac:dyDescent="0.3">
      <c r="B98" s="43">
        <v>42690</v>
      </c>
      <c r="C98" s="3" t="s">
        <v>9</v>
      </c>
      <c r="D98" s="30" t="s">
        <v>977</v>
      </c>
      <c r="E98" s="30">
        <v>135</v>
      </c>
      <c r="F98" s="30">
        <v>150</v>
      </c>
      <c r="G98" s="30">
        <v>15</v>
      </c>
      <c r="H98" s="30">
        <v>300</v>
      </c>
      <c r="I98" s="8">
        <f t="shared" si="4"/>
        <v>4500</v>
      </c>
    </row>
    <row r="99" spans="2:9" x14ac:dyDescent="0.3">
      <c r="B99" s="43">
        <v>42691</v>
      </c>
      <c r="C99" s="3" t="s">
        <v>9</v>
      </c>
      <c r="D99" s="30" t="s">
        <v>977</v>
      </c>
      <c r="E99" s="30">
        <v>123</v>
      </c>
      <c r="F99" s="30">
        <v>160</v>
      </c>
      <c r="G99" s="30">
        <v>37</v>
      </c>
      <c r="H99" s="30">
        <v>300</v>
      </c>
      <c r="I99" s="8">
        <f t="shared" si="4"/>
        <v>11100</v>
      </c>
    </row>
    <row r="100" spans="2:9" x14ac:dyDescent="0.3">
      <c r="B100" s="43">
        <v>42692</v>
      </c>
      <c r="C100" s="3" t="s">
        <v>9</v>
      </c>
      <c r="D100" s="30" t="s">
        <v>977</v>
      </c>
      <c r="E100" s="30">
        <v>145</v>
      </c>
      <c r="F100" s="30">
        <v>120</v>
      </c>
      <c r="G100" s="30">
        <v>-25</v>
      </c>
      <c r="H100" s="30">
        <v>300</v>
      </c>
      <c r="I100" s="8">
        <f t="shared" si="4"/>
        <v>-7500</v>
      </c>
    </row>
    <row r="101" spans="2:9" x14ac:dyDescent="0.3">
      <c r="B101" s="43">
        <v>42695</v>
      </c>
      <c r="C101" s="3" t="s">
        <v>9</v>
      </c>
      <c r="D101" s="30" t="s">
        <v>977</v>
      </c>
      <c r="E101" s="30">
        <v>180</v>
      </c>
      <c r="F101" s="30">
        <v>230</v>
      </c>
      <c r="G101" s="30">
        <v>50</v>
      </c>
      <c r="H101" s="30">
        <v>300</v>
      </c>
      <c r="I101" s="8">
        <f t="shared" si="4"/>
        <v>15000</v>
      </c>
    </row>
    <row r="102" spans="2:9" x14ac:dyDescent="0.3">
      <c r="B102" s="43">
        <v>42696</v>
      </c>
      <c r="C102" s="3" t="s">
        <v>9</v>
      </c>
      <c r="D102" s="30" t="s">
        <v>980</v>
      </c>
      <c r="E102" s="30">
        <v>150</v>
      </c>
      <c r="F102" s="30">
        <v>164.5</v>
      </c>
      <c r="G102" s="30">
        <v>14.5</v>
      </c>
      <c r="H102" s="30">
        <v>300</v>
      </c>
      <c r="I102" s="8">
        <f t="shared" si="4"/>
        <v>4350</v>
      </c>
    </row>
    <row r="103" spans="2:9" x14ac:dyDescent="0.3">
      <c r="B103" s="43">
        <v>42697</v>
      </c>
      <c r="C103" s="3" t="s">
        <v>9</v>
      </c>
      <c r="D103" s="30" t="s">
        <v>980</v>
      </c>
      <c r="E103" s="30">
        <v>110</v>
      </c>
      <c r="F103" s="30">
        <v>125</v>
      </c>
      <c r="G103" s="30">
        <v>15</v>
      </c>
      <c r="H103" s="30">
        <v>300</v>
      </c>
      <c r="I103" s="8">
        <f t="shared" si="4"/>
        <v>4500</v>
      </c>
    </row>
    <row r="104" spans="2:9" x14ac:dyDescent="0.3">
      <c r="B104" s="43">
        <v>42698</v>
      </c>
      <c r="C104" s="3" t="s">
        <v>9</v>
      </c>
      <c r="D104" s="30" t="s">
        <v>980</v>
      </c>
      <c r="E104" s="30">
        <v>125</v>
      </c>
      <c r="F104" s="30">
        <v>100</v>
      </c>
      <c r="G104" s="30">
        <v>-25</v>
      </c>
      <c r="H104" s="30">
        <v>300</v>
      </c>
      <c r="I104" s="8">
        <f t="shared" si="4"/>
        <v>-7500</v>
      </c>
    </row>
    <row r="105" spans="2:9" x14ac:dyDescent="0.3">
      <c r="B105" s="43">
        <v>42699</v>
      </c>
      <c r="C105" s="3" t="s">
        <v>9</v>
      </c>
      <c r="D105" s="30" t="s">
        <v>980</v>
      </c>
      <c r="E105" s="30">
        <v>180</v>
      </c>
      <c r="F105" s="30">
        <v>150</v>
      </c>
      <c r="G105" s="30">
        <v>-30</v>
      </c>
      <c r="H105" s="30">
        <v>300</v>
      </c>
      <c r="I105" s="8">
        <f t="shared" si="4"/>
        <v>-9000</v>
      </c>
    </row>
    <row r="106" spans="2:9" x14ac:dyDescent="0.3">
      <c r="B106" s="43">
        <v>42702</v>
      </c>
      <c r="C106" s="3" t="s">
        <v>9</v>
      </c>
      <c r="D106" s="30" t="s">
        <v>977</v>
      </c>
      <c r="E106" s="30">
        <v>165</v>
      </c>
      <c r="F106" s="30">
        <v>180</v>
      </c>
      <c r="G106" s="30">
        <v>15</v>
      </c>
      <c r="H106" s="30">
        <v>300</v>
      </c>
      <c r="I106" s="8">
        <f t="shared" si="4"/>
        <v>4500</v>
      </c>
    </row>
    <row r="107" spans="2:9" x14ac:dyDescent="0.3">
      <c r="B107" s="43">
        <v>42703</v>
      </c>
      <c r="C107" s="3" t="s">
        <v>9</v>
      </c>
      <c r="D107" s="28" t="s">
        <v>977</v>
      </c>
      <c r="E107" s="49" t="s">
        <v>232</v>
      </c>
      <c r="F107" s="49" t="s">
        <v>226</v>
      </c>
      <c r="G107" s="49" t="s">
        <v>951</v>
      </c>
      <c r="H107" s="30">
        <v>300</v>
      </c>
      <c r="I107" s="8">
        <f t="shared" si="4"/>
        <v>4500</v>
      </c>
    </row>
    <row r="108" spans="2:9" x14ac:dyDescent="0.3">
      <c r="B108" s="43">
        <v>42704</v>
      </c>
      <c r="C108" s="3" t="s">
        <v>9</v>
      </c>
      <c r="D108" s="28" t="s">
        <v>977</v>
      </c>
      <c r="E108" s="49" t="s">
        <v>582</v>
      </c>
      <c r="F108" s="49" t="s">
        <v>523</v>
      </c>
      <c r="G108" s="49" t="s">
        <v>917</v>
      </c>
      <c r="H108" s="30">
        <v>300</v>
      </c>
      <c r="I108" s="8">
        <f t="shared" si="4"/>
        <v>-6000</v>
      </c>
    </row>
    <row r="109" spans="2:9" x14ac:dyDescent="0.3">
      <c r="B109" s="43"/>
      <c r="C109" s="3"/>
      <c r="D109" s="28"/>
      <c r="E109" s="49"/>
      <c r="F109" s="49"/>
      <c r="G109" s="49"/>
      <c r="H109" s="30"/>
      <c r="I109" s="8"/>
    </row>
    <row r="110" spans="2:9" x14ac:dyDescent="0.3">
      <c r="B110" s="87"/>
      <c r="C110" s="3"/>
      <c r="D110" s="28"/>
      <c r="E110" s="49"/>
      <c r="F110" s="49"/>
      <c r="G110" s="49"/>
      <c r="H110" s="30"/>
      <c r="I110" s="8"/>
    </row>
    <row r="111" spans="2:9" ht="21" x14ac:dyDescent="0.3">
      <c r="B111" s="43"/>
      <c r="C111" s="3"/>
      <c r="D111" s="28"/>
      <c r="E111" s="49"/>
      <c r="F111" s="49"/>
      <c r="G111" s="49"/>
      <c r="H111" s="30"/>
      <c r="I111" s="128">
        <f>SUM(I92:I108)</f>
        <v>58950</v>
      </c>
    </row>
    <row r="112" spans="2:9" x14ac:dyDescent="0.3">
      <c r="B112" s="1"/>
      <c r="C112" s="28"/>
      <c r="D112" s="28"/>
      <c r="E112" s="81"/>
      <c r="F112" s="81"/>
      <c r="G112" s="81"/>
      <c r="H112" s="81"/>
      <c r="I112" s="81"/>
    </row>
    <row r="113" spans="2:9" ht="15.6" x14ac:dyDescent="0.3">
      <c r="B113" s="48" t="s">
        <v>926</v>
      </c>
      <c r="C113" s="48"/>
      <c r="D113" s="48"/>
      <c r="E113" s="48"/>
      <c r="F113" s="48"/>
      <c r="G113" s="48"/>
      <c r="H113" s="48"/>
      <c r="I113" s="48"/>
    </row>
    <row r="114" spans="2:9" x14ac:dyDescent="0.3">
      <c r="B114" s="43">
        <v>42681</v>
      </c>
      <c r="C114" s="30" t="s">
        <v>8</v>
      </c>
      <c r="D114" s="30" t="s">
        <v>301</v>
      </c>
      <c r="E114" s="30">
        <v>19350</v>
      </c>
      <c r="F114" s="30">
        <v>19400</v>
      </c>
      <c r="G114" s="30">
        <v>-50</v>
      </c>
      <c r="H114" s="30">
        <v>160</v>
      </c>
      <c r="I114" s="30">
        <f>H114*G114</f>
        <v>-8000</v>
      </c>
    </row>
    <row r="115" spans="2:9" x14ac:dyDescent="0.3">
      <c r="B115" s="43">
        <v>42682</v>
      </c>
      <c r="C115" s="30" t="s">
        <v>8</v>
      </c>
      <c r="D115" s="30" t="s">
        <v>301</v>
      </c>
      <c r="E115" s="30">
        <v>19420</v>
      </c>
      <c r="F115" s="30">
        <v>19380</v>
      </c>
      <c r="G115" s="30">
        <v>50</v>
      </c>
      <c r="H115" s="30">
        <v>160</v>
      </c>
      <c r="I115" s="30">
        <f t="shared" ref="I115:I130" si="5">H115*G115</f>
        <v>8000</v>
      </c>
    </row>
    <row r="116" spans="2:9" x14ac:dyDescent="0.3">
      <c r="B116" s="43">
        <v>42683</v>
      </c>
      <c r="C116" s="30" t="s">
        <v>9</v>
      </c>
      <c r="D116" s="30" t="s">
        <v>301</v>
      </c>
      <c r="E116" s="30">
        <v>19100</v>
      </c>
      <c r="F116" s="30">
        <v>19400</v>
      </c>
      <c r="G116" s="30">
        <v>300</v>
      </c>
      <c r="H116" s="30">
        <v>160</v>
      </c>
      <c r="I116" s="30">
        <f t="shared" si="5"/>
        <v>48000</v>
      </c>
    </row>
    <row r="117" spans="2:9" x14ac:dyDescent="0.3">
      <c r="B117" s="43">
        <v>42684</v>
      </c>
      <c r="C117" s="30" t="s">
        <v>8</v>
      </c>
      <c r="D117" s="30" t="s">
        <v>301</v>
      </c>
      <c r="E117" s="30">
        <v>20030</v>
      </c>
      <c r="F117" s="30">
        <v>20230</v>
      </c>
      <c r="G117" s="30">
        <v>-200</v>
      </c>
      <c r="H117" s="30">
        <v>160</v>
      </c>
      <c r="I117" s="30">
        <f t="shared" si="5"/>
        <v>-32000</v>
      </c>
    </row>
    <row r="118" spans="2:9" x14ac:dyDescent="0.3">
      <c r="B118" s="43">
        <v>42685</v>
      </c>
      <c r="C118" s="30" t="s">
        <v>8</v>
      </c>
      <c r="D118" s="30" t="s">
        <v>301</v>
      </c>
      <c r="E118" s="30">
        <v>20050</v>
      </c>
      <c r="F118" s="30">
        <v>19800</v>
      </c>
      <c r="G118" s="30">
        <v>250</v>
      </c>
      <c r="H118" s="30">
        <v>160</v>
      </c>
      <c r="I118" s="30">
        <f t="shared" si="5"/>
        <v>40000</v>
      </c>
    </row>
    <row r="119" spans="2:9" x14ac:dyDescent="0.3">
      <c r="B119" s="43">
        <v>42689</v>
      </c>
      <c r="C119" s="30" t="s">
        <v>8</v>
      </c>
      <c r="D119" s="30" t="s">
        <v>301</v>
      </c>
      <c r="E119" s="30">
        <v>19830</v>
      </c>
      <c r="F119" s="30">
        <v>19530</v>
      </c>
      <c r="G119" s="30">
        <v>300</v>
      </c>
      <c r="H119" s="30">
        <v>160</v>
      </c>
      <c r="I119" s="30">
        <f t="shared" si="5"/>
        <v>48000</v>
      </c>
    </row>
    <row r="120" spans="2:9" x14ac:dyDescent="0.3">
      <c r="B120" s="43">
        <v>42690</v>
      </c>
      <c r="C120" s="30" t="s">
        <v>8</v>
      </c>
      <c r="D120" s="30" t="s">
        <v>301</v>
      </c>
      <c r="E120" s="30">
        <v>19350</v>
      </c>
      <c r="F120" s="30">
        <v>19150</v>
      </c>
      <c r="G120" s="30">
        <v>200</v>
      </c>
      <c r="H120" s="30">
        <v>160</v>
      </c>
      <c r="I120" s="30">
        <f t="shared" si="5"/>
        <v>32000</v>
      </c>
    </row>
    <row r="121" spans="2:9" x14ac:dyDescent="0.3">
      <c r="B121" s="43">
        <v>42691</v>
      </c>
      <c r="C121" s="30" t="s">
        <v>8</v>
      </c>
      <c r="D121" s="30" t="s">
        <v>301</v>
      </c>
      <c r="E121" s="30">
        <v>19300</v>
      </c>
      <c r="F121" s="30">
        <v>19050</v>
      </c>
      <c r="G121" s="30">
        <v>250</v>
      </c>
      <c r="H121" s="30">
        <v>160</v>
      </c>
      <c r="I121" s="30">
        <f t="shared" si="5"/>
        <v>40000</v>
      </c>
    </row>
    <row r="122" spans="2:9" x14ac:dyDescent="0.3">
      <c r="B122" s="43">
        <v>42692</v>
      </c>
      <c r="C122" s="30" t="s">
        <v>8</v>
      </c>
      <c r="D122" s="30" t="s">
        <v>301</v>
      </c>
      <c r="E122" s="30">
        <v>19100</v>
      </c>
      <c r="F122" s="30">
        <v>18950</v>
      </c>
      <c r="G122" s="30">
        <v>150</v>
      </c>
      <c r="H122" s="30">
        <v>160</v>
      </c>
      <c r="I122" s="30">
        <f t="shared" si="5"/>
        <v>24000</v>
      </c>
    </row>
    <row r="123" spans="2:9" x14ac:dyDescent="0.3">
      <c r="B123" s="43">
        <v>42695</v>
      </c>
      <c r="C123" s="30" t="s">
        <v>8</v>
      </c>
      <c r="D123" s="30" t="s">
        <v>301</v>
      </c>
      <c r="E123" s="30">
        <v>18780</v>
      </c>
      <c r="F123" s="30">
        <v>18480</v>
      </c>
      <c r="G123" s="30">
        <v>300</v>
      </c>
      <c r="H123" s="30">
        <v>160</v>
      </c>
      <c r="I123" s="30">
        <f t="shared" si="5"/>
        <v>48000</v>
      </c>
    </row>
    <row r="124" spans="2:9" x14ac:dyDescent="0.3">
      <c r="B124" s="43">
        <v>42696</v>
      </c>
      <c r="C124" s="30" t="s">
        <v>8</v>
      </c>
      <c r="D124" s="30" t="s">
        <v>301</v>
      </c>
      <c r="E124" s="30">
        <v>18550</v>
      </c>
      <c r="F124" s="30">
        <v>18400</v>
      </c>
      <c r="G124" s="30">
        <v>150</v>
      </c>
      <c r="H124" s="30">
        <v>160</v>
      </c>
      <c r="I124" s="30">
        <f t="shared" si="5"/>
        <v>24000</v>
      </c>
    </row>
    <row r="125" spans="2:9" x14ac:dyDescent="0.3">
      <c r="B125" s="43">
        <v>42697</v>
      </c>
      <c r="C125" s="30" t="s">
        <v>8</v>
      </c>
      <c r="D125" s="30" t="s">
        <v>301</v>
      </c>
      <c r="E125" s="30">
        <v>18530</v>
      </c>
      <c r="F125" s="30">
        <v>18480</v>
      </c>
      <c r="G125" s="30">
        <v>50</v>
      </c>
      <c r="H125" s="30">
        <v>160</v>
      </c>
      <c r="I125" s="30">
        <f t="shared" si="5"/>
        <v>8000</v>
      </c>
    </row>
    <row r="126" spans="2:9" x14ac:dyDescent="0.3">
      <c r="B126" s="43">
        <v>42698</v>
      </c>
      <c r="C126" s="30" t="s">
        <v>8</v>
      </c>
      <c r="D126" s="30" t="s">
        <v>301</v>
      </c>
      <c r="E126" s="30">
        <v>18400</v>
      </c>
      <c r="F126" s="30">
        <v>18250</v>
      </c>
      <c r="G126" s="30">
        <v>150</v>
      </c>
      <c r="H126" s="30">
        <v>160</v>
      </c>
      <c r="I126" s="30">
        <f t="shared" si="5"/>
        <v>24000</v>
      </c>
    </row>
    <row r="127" spans="2:9" x14ac:dyDescent="0.3">
      <c r="B127" s="43">
        <v>42699</v>
      </c>
      <c r="C127" s="30" t="s">
        <v>8</v>
      </c>
      <c r="D127" s="30" t="s">
        <v>301</v>
      </c>
      <c r="E127" s="30">
        <v>18450</v>
      </c>
      <c r="F127" s="30">
        <v>18400</v>
      </c>
      <c r="G127" s="30">
        <v>50</v>
      </c>
      <c r="H127" s="30">
        <v>160</v>
      </c>
      <c r="I127" s="30">
        <f t="shared" si="5"/>
        <v>8000</v>
      </c>
    </row>
    <row r="128" spans="2:9" x14ac:dyDescent="0.3">
      <c r="B128" s="43">
        <v>42702</v>
      </c>
      <c r="C128" s="30" t="s">
        <v>8</v>
      </c>
      <c r="D128" s="30" t="s">
        <v>301</v>
      </c>
      <c r="E128" s="30">
        <v>18360</v>
      </c>
      <c r="F128" s="30">
        <v>18355</v>
      </c>
      <c r="G128" s="30">
        <v>5</v>
      </c>
      <c r="H128" s="30">
        <v>160</v>
      </c>
      <c r="I128" s="30">
        <f t="shared" si="5"/>
        <v>800</v>
      </c>
    </row>
    <row r="129" spans="1:15" x14ac:dyDescent="0.3">
      <c r="B129" s="43">
        <v>42703</v>
      </c>
      <c r="C129" s="30" t="s">
        <v>8</v>
      </c>
      <c r="D129" s="30" t="s">
        <v>301</v>
      </c>
      <c r="E129" s="30">
        <v>18400</v>
      </c>
      <c r="F129" s="30">
        <v>18260</v>
      </c>
      <c r="G129" s="30">
        <v>140</v>
      </c>
      <c r="H129" s="30">
        <v>160</v>
      </c>
      <c r="I129" s="30">
        <f t="shared" si="5"/>
        <v>22400</v>
      </c>
    </row>
    <row r="130" spans="1:15" x14ac:dyDescent="0.3">
      <c r="B130" s="43">
        <v>42704</v>
      </c>
      <c r="C130" s="30" t="s">
        <v>8</v>
      </c>
      <c r="D130" s="30" t="s">
        <v>301</v>
      </c>
      <c r="E130" s="30">
        <v>18450</v>
      </c>
      <c r="F130" s="30">
        <v>18400</v>
      </c>
      <c r="G130" s="30">
        <v>50</v>
      </c>
      <c r="H130" s="30">
        <v>160</v>
      </c>
      <c r="I130" s="30">
        <f t="shared" si="5"/>
        <v>8000</v>
      </c>
    </row>
    <row r="131" spans="1:15" x14ac:dyDescent="0.3">
      <c r="B131" s="43"/>
      <c r="C131" s="30"/>
      <c r="D131" s="30"/>
      <c r="E131" s="30"/>
      <c r="F131" s="30"/>
      <c r="G131" s="30"/>
      <c r="H131" s="30"/>
      <c r="I131" s="94"/>
    </row>
    <row r="132" spans="1:15" x14ac:dyDescent="0.3">
      <c r="B132" s="87"/>
      <c r="C132" s="30"/>
      <c r="D132" s="30"/>
      <c r="E132" s="88"/>
      <c r="F132" s="88"/>
      <c r="G132" s="88"/>
      <c r="H132" s="88"/>
      <c r="I132" s="88"/>
    </row>
    <row r="133" spans="1:15" x14ac:dyDescent="0.3">
      <c r="B133" s="43"/>
      <c r="C133" s="30"/>
      <c r="D133" s="30"/>
      <c r="E133" s="30"/>
      <c r="F133" s="30"/>
      <c r="G133" s="30"/>
      <c r="H133" s="30"/>
      <c r="I133" s="30"/>
    </row>
    <row r="134" spans="1:15" ht="21" x14ac:dyDescent="0.4">
      <c r="B134" s="43"/>
      <c r="C134" s="30"/>
      <c r="D134" s="30"/>
      <c r="E134" s="30"/>
      <c r="F134" s="30"/>
      <c r="G134" s="30"/>
      <c r="H134" s="30"/>
      <c r="I134" s="112">
        <f>SUM(I114:I130)</f>
        <v>343200</v>
      </c>
    </row>
    <row r="135" spans="1:15" s="30" customFormat="1" x14ac:dyDescent="0.3">
      <c r="A135" s="9"/>
      <c r="B135" s="43"/>
      <c r="J135" s="9"/>
    </row>
    <row r="136" spans="1:15" ht="18" x14ac:dyDescent="0.35">
      <c r="B136" s="285" t="s">
        <v>1152</v>
      </c>
      <c r="C136" s="286"/>
      <c r="D136" s="286"/>
      <c r="E136" s="286"/>
      <c r="F136" s="286"/>
      <c r="G136" s="286"/>
      <c r="H136" s="286"/>
      <c r="I136" s="287"/>
    </row>
    <row r="137" spans="1:15" x14ac:dyDescent="0.3">
      <c r="B137" s="43">
        <v>42681</v>
      </c>
      <c r="C137" s="30" t="s">
        <v>9</v>
      </c>
      <c r="D137" s="30" t="s">
        <v>1760</v>
      </c>
      <c r="E137" s="30">
        <v>340</v>
      </c>
      <c r="F137" s="30">
        <v>320</v>
      </c>
      <c r="G137" s="30">
        <v>-20</v>
      </c>
      <c r="H137" s="30">
        <v>160</v>
      </c>
      <c r="I137" s="30">
        <f>H137*G137</f>
        <v>-3200</v>
      </c>
    </row>
    <row r="138" spans="1:15" ht="18" x14ac:dyDescent="0.35">
      <c r="B138" s="43">
        <v>42682</v>
      </c>
      <c r="C138" s="30" t="s">
        <v>9</v>
      </c>
      <c r="D138" s="30" t="s">
        <v>1760</v>
      </c>
      <c r="E138" s="30">
        <v>300</v>
      </c>
      <c r="F138" s="30">
        <v>270</v>
      </c>
      <c r="G138" s="30">
        <v>-30</v>
      </c>
      <c r="H138" s="30">
        <v>160</v>
      </c>
      <c r="I138" s="30">
        <f t="shared" ref="I138:I153" si="6">H138*G138</f>
        <v>-4800</v>
      </c>
      <c r="K138" s="100"/>
      <c r="L138" s="100"/>
      <c r="M138" s="100"/>
      <c r="N138" s="100"/>
      <c r="O138" s="100"/>
    </row>
    <row r="139" spans="1:15" x14ac:dyDescent="0.3">
      <c r="B139" s="43">
        <v>42683</v>
      </c>
      <c r="C139" s="30" t="s">
        <v>9</v>
      </c>
      <c r="D139" s="30" t="s">
        <v>1691</v>
      </c>
      <c r="E139" s="30">
        <v>370</v>
      </c>
      <c r="F139" s="30">
        <v>530</v>
      </c>
      <c r="G139" s="30">
        <v>160</v>
      </c>
      <c r="H139" s="30">
        <v>160</v>
      </c>
      <c r="I139" s="30">
        <f t="shared" si="6"/>
        <v>25600</v>
      </c>
      <c r="L139" s="30"/>
    </row>
    <row r="140" spans="1:15" x14ac:dyDescent="0.3">
      <c r="B140" s="43">
        <v>42684</v>
      </c>
      <c r="C140" s="30" t="s">
        <v>9</v>
      </c>
      <c r="D140" s="30" t="s">
        <v>1871</v>
      </c>
      <c r="E140" s="30">
        <v>250</v>
      </c>
      <c r="F140" s="30">
        <v>180</v>
      </c>
      <c r="G140" s="30">
        <v>-70</v>
      </c>
      <c r="H140" s="30">
        <v>160</v>
      </c>
      <c r="I140" s="30">
        <f t="shared" si="6"/>
        <v>-11200</v>
      </c>
      <c r="L140" s="30"/>
    </row>
    <row r="141" spans="1:15" x14ac:dyDescent="0.3">
      <c r="B141" s="43">
        <v>42685</v>
      </c>
      <c r="C141" s="30" t="s">
        <v>9</v>
      </c>
      <c r="D141" s="30" t="s">
        <v>1871</v>
      </c>
      <c r="E141" s="30">
        <v>300</v>
      </c>
      <c r="F141" s="30">
        <v>410</v>
      </c>
      <c r="G141" s="30">
        <v>100</v>
      </c>
      <c r="H141" s="30">
        <v>160</v>
      </c>
      <c r="I141" s="30">
        <f t="shared" si="6"/>
        <v>16000</v>
      </c>
      <c r="L141" s="30"/>
    </row>
    <row r="142" spans="1:15" x14ac:dyDescent="0.3">
      <c r="B142" s="43">
        <v>42689</v>
      </c>
      <c r="C142" s="30" t="s">
        <v>9</v>
      </c>
      <c r="D142" s="30" t="s">
        <v>1816</v>
      </c>
      <c r="E142" s="30">
        <v>330</v>
      </c>
      <c r="F142" s="30">
        <v>480</v>
      </c>
      <c r="G142" s="30">
        <v>150</v>
      </c>
      <c r="H142" s="30">
        <v>160</v>
      </c>
      <c r="I142" s="30">
        <f t="shared" si="6"/>
        <v>24000</v>
      </c>
      <c r="L142" s="30"/>
    </row>
    <row r="143" spans="1:15" x14ac:dyDescent="0.3">
      <c r="B143" s="43">
        <v>42690</v>
      </c>
      <c r="C143" s="30" t="s">
        <v>9</v>
      </c>
      <c r="D143" s="30" t="s">
        <v>1760</v>
      </c>
      <c r="E143" s="30">
        <v>320</v>
      </c>
      <c r="F143" s="30">
        <v>380</v>
      </c>
      <c r="G143" s="30">
        <v>60</v>
      </c>
      <c r="H143" s="30">
        <v>160</v>
      </c>
      <c r="I143" s="30">
        <f t="shared" si="6"/>
        <v>9600</v>
      </c>
      <c r="L143" s="30"/>
    </row>
    <row r="144" spans="1:15" x14ac:dyDescent="0.3">
      <c r="B144" s="43">
        <v>42691</v>
      </c>
      <c r="C144" s="30" t="s">
        <v>9</v>
      </c>
      <c r="D144" s="30" t="s">
        <v>1760</v>
      </c>
      <c r="E144" s="30">
        <v>280</v>
      </c>
      <c r="F144" s="30">
        <v>400</v>
      </c>
      <c r="G144" s="30">
        <v>120</v>
      </c>
      <c r="H144" s="30">
        <v>160</v>
      </c>
      <c r="I144" s="30">
        <f t="shared" si="6"/>
        <v>19200</v>
      </c>
      <c r="L144" s="30"/>
    </row>
    <row r="145" spans="2:36" x14ac:dyDescent="0.3">
      <c r="B145" s="43">
        <v>42692</v>
      </c>
      <c r="C145" s="30" t="s">
        <v>9</v>
      </c>
      <c r="D145" s="30" t="s">
        <v>1760</v>
      </c>
      <c r="E145" s="30">
        <v>330</v>
      </c>
      <c r="F145" s="30">
        <v>400</v>
      </c>
      <c r="G145" s="30">
        <v>70</v>
      </c>
      <c r="H145" s="30">
        <v>160</v>
      </c>
      <c r="I145" s="30">
        <f t="shared" si="6"/>
        <v>11200</v>
      </c>
    </row>
    <row r="146" spans="2:36" x14ac:dyDescent="0.3">
      <c r="B146" s="43">
        <v>42695</v>
      </c>
      <c r="C146" s="30" t="s">
        <v>9</v>
      </c>
      <c r="D146" s="30" t="s">
        <v>1692</v>
      </c>
      <c r="E146" s="30">
        <v>300</v>
      </c>
      <c r="F146" s="30">
        <v>460</v>
      </c>
      <c r="G146" s="30">
        <v>160</v>
      </c>
      <c r="H146" s="30">
        <v>160</v>
      </c>
      <c r="I146" s="30">
        <f t="shared" si="6"/>
        <v>25600</v>
      </c>
    </row>
    <row r="147" spans="2:36" x14ac:dyDescent="0.3">
      <c r="B147" s="43">
        <v>42696</v>
      </c>
      <c r="C147" s="30" t="s">
        <v>9</v>
      </c>
      <c r="D147" s="30" t="s">
        <v>1753</v>
      </c>
      <c r="E147" s="30">
        <v>200</v>
      </c>
      <c r="F147" s="30">
        <v>300</v>
      </c>
      <c r="G147" s="30">
        <v>100</v>
      </c>
      <c r="H147" s="30">
        <v>160</v>
      </c>
      <c r="I147" s="30">
        <f t="shared" si="6"/>
        <v>16000</v>
      </c>
    </row>
    <row r="148" spans="2:36" x14ac:dyDescent="0.3">
      <c r="B148" s="43">
        <v>42697</v>
      </c>
      <c r="C148" s="30" t="s">
        <v>9</v>
      </c>
      <c r="D148" s="30" t="s">
        <v>1753</v>
      </c>
      <c r="E148" s="30">
        <v>170</v>
      </c>
      <c r="F148" s="30">
        <v>200</v>
      </c>
      <c r="G148" s="30">
        <v>30</v>
      </c>
      <c r="H148" s="30">
        <v>160</v>
      </c>
      <c r="I148" s="30">
        <f t="shared" si="6"/>
        <v>4800</v>
      </c>
    </row>
    <row r="149" spans="2:36" x14ac:dyDescent="0.3">
      <c r="B149" s="43">
        <v>42698</v>
      </c>
      <c r="C149" s="30" t="s">
        <v>9</v>
      </c>
      <c r="D149" s="30" t="s">
        <v>1753</v>
      </c>
      <c r="E149" s="30">
        <v>220</v>
      </c>
      <c r="F149" s="30">
        <v>350</v>
      </c>
      <c r="G149" s="30">
        <v>130</v>
      </c>
      <c r="H149" s="30">
        <v>160</v>
      </c>
      <c r="I149" s="30">
        <f t="shared" si="6"/>
        <v>20800</v>
      </c>
    </row>
    <row r="150" spans="2:36" x14ac:dyDescent="0.3">
      <c r="B150" s="43">
        <v>42699</v>
      </c>
      <c r="C150" s="30" t="s">
        <v>9</v>
      </c>
      <c r="D150" s="30" t="s">
        <v>1885</v>
      </c>
      <c r="E150" s="30">
        <v>430</v>
      </c>
      <c r="F150" s="30">
        <v>460</v>
      </c>
      <c r="G150" s="30">
        <v>30</v>
      </c>
      <c r="H150" s="30">
        <v>160</v>
      </c>
      <c r="I150" s="30">
        <f t="shared" si="6"/>
        <v>4800</v>
      </c>
    </row>
    <row r="151" spans="2:36" x14ac:dyDescent="0.3">
      <c r="B151" s="43">
        <v>42702</v>
      </c>
      <c r="C151" s="30" t="s">
        <v>9</v>
      </c>
      <c r="D151" s="30" t="s">
        <v>1888</v>
      </c>
      <c r="E151" s="30">
        <v>450</v>
      </c>
      <c r="F151" s="30">
        <v>440</v>
      </c>
      <c r="G151" s="30">
        <v>-10</v>
      </c>
      <c r="H151" s="30">
        <v>160</v>
      </c>
      <c r="I151" s="30">
        <f t="shared" si="6"/>
        <v>-1600</v>
      </c>
    </row>
    <row r="152" spans="2:36" x14ac:dyDescent="0.3">
      <c r="B152" s="43">
        <v>42703</v>
      </c>
      <c r="C152" s="30" t="s">
        <v>9</v>
      </c>
      <c r="D152" s="30" t="s">
        <v>1888</v>
      </c>
      <c r="E152" s="30">
        <v>410</v>
      </c>
      <c r="F152" s="30">
        <v>490</v>
      </c>
      <c r="G152" s="30">
        <v>80</v>
      </c>
      <c r="H152" s="30">
        <v>160</v>
      </c>
      <c r="I152" s="30">
        <f t="shared" si="6"/>
        <v>12800</v>
      </c>
    </row>
    <row r="153" spans="2:36" x14ac:dyDescent="0.3">
      <c r="B153" s="43">
        <v>42704</v>
      </c>
      <c r="C153" s="30" t="s">
        <v>9</v>
      </c>
      <c r="D153" s="30" t="s">
        <v>1888</v>
      </c>
      <c r="E153" s="30">
        <v>380</v>
      </c>
      <c r="F153" s="30">
        <v>300</v>
      </c>
      <c r="G153" s="30">
        <v>-80</v>
      </c>
      <c r="H153" s="30">
        <v>160</v>
      </c>
      <c r="I153" s="30">
        <f t="shared" si="6"/>
        <v>-12800</v>
      </c>
    </row>
    <row r="154" spans="2:36" x14ac:dyDescent="0.3">
      <c r="B154" s="43"/>
      <c r="C154" s="30"/>
      <c r="D154" s="30"/>
      <c r="E154" s="30"/>
      <c r="F154" s="30"/>
      <c r="G154" s="30"/>
      <c r="H154" s="30"/>
      <c r="I154" s="30"/>
    </row>
    <row r="155" spans="2:36" x14ac:dyDescent="0.3">
      <c r="B155" s="87"/>
      <c r="C155" s="30"/>
      <c r="D155" s="30"/>
      <c r="E155" s="30"/>
      <c r="F155" s="30"/>
      <c r="G155" s="30"/>
      <c r="H155" s="30"/>
      <c r="I155" s="30"/>
    </row>
    <row r="156" spans="2:36" ht="18" x14ac:dyDescent="0.35">
      <c r="B156" s="43"/>
      <c r="C156" s="30"/>
      <c r="D156" s="30"/>
      <c r="E156" s="30"/>
      <c r="F156" s="30"/>
      <c r="G156" s="30"/>
      <c r="H156" s="30"/>
      <c r="I156" s="72">
        <f>SUM(I137:I153)</f>
        <v>156800</v>
      </c>
    </row>
    <row r="158" spans="2:36" ht="21" x14ac:dyDescent="0.4">
      <c r="I158" s="112"/>
    </row>
    <row r="159" spans="2:36" s="99" customFormat="1" ht="18" x14ac:dyDescent="0.35">
      <c r="B159" s="285" t="s">
        <v>1076</v>
      </c>
      <c r="C159" s="286"/>
      <c r="D159" s="286"/>
      <c r="E159" s="286"/>
      <c r="F159" s="286"/>
      <c r="G159" s="286"/>
      <c r="H159" s="286"/>
      <c r="I159" s="287"/>
      <c r="K159" s="10"/>
      <c r="L159" s="10"/>
      <c r="M159" s="10"/>
      <c r="N159" s="10"/>
      <c r="O159" s="1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</row>
    <row r="160" spans="2:36" x14ac:dyDescent="0.3">
      <c r="B160" s="43">
        <v>42681</v>
      </c>
      <c r="C160" s="30" t="s">
        <v>9</v>
      </c>
      <c r="D160" s="30" t="s">
        <v>1861</v>
      </c>
      <c r="E160" s="30">
        <v>16</v>
      </c>
      <c r="F160" s="30">
        <v>18</v>
      </c>
      <c r="G160" s="30">
        <v>2</v>
      </c>
      <c r="H160" s="30">
        <v>1100</v>
      </c>
      <c r="I160" s="30">
        <f>H160*G160</f>
        <v>2200</v>
      </c>
    </row>
    <row r="161" spans="1:10" x14ac:dyDescent="0.3">
      <c r="B161" s="43">
        <v>42682</v>
      </c>
      <c r="C161" s="30" t="s">
        <v>9</v>
      </c>
      <c r="D161" s="30" t="s">
        <v>1863</v>
      </c>
      <c r="E161" s="30">
        <v>12</v>
      </c>
      <c r="F161" s="30">
        <v>13.5</v>
      </c>
      <c r="G161" s="30">
        <v>1.5</v>
      </c>
      <c r="H161" s="30">
        <v>3000</v>
      </c>
      <c r="I161" s="30">
        <f t="shared" ref="I161:I176" si="7">H161*G161</f>
        <v>4500</v>
      </c>
    </row>
    <row r="162" spans="1:10" x14ac:dyDescent="0.3">
      <c r="B162" s="43">
        <v>42683</v>
      </c>
      <c r="C162" s="30" t="s">
        <v>9</v>
      </c>
      <c r="D162" s="30" t="s">
        <v>1870</v>
      </c>
      <c r="E162" s="30">
        <v>16</v>
      </c>
      <c r="F162" s="30">
        <v>21</v>
      </c>
      <c r="G162" s="30">
        <v>5</v>
      </c>
      <c r="H162" s="30">
        <v>1200</v>
      </c>
      <c r="I162" s="30">
        <f t="shared" si="7"/>
        <v>6000</v>
      </c>
    </row>
    <row r="163" spans="1:10" x14ac:dyDescent="0.3">
      <c r="B163" s="43">
        <v>42684</v>
      </c>
      <c r="C163" s="30" t="s">
        <v>9</v>
      </c>
      <c r="D163" s="30" t="s">
        <v>1872</v>
      </c>
      <c r="E163" s="30">
        <v>25</v>
      </c>
      <c r="F163" s="30">
        <v>32</v>
      </c>
      <c r="G163" s="30">
        <v>7</v>
      </c>
      <c r="H163" s="30">
        <v>500</v>
      </c>
      <c r="I163" s="30">
        <f t="shared" si="7"/>
        <v>3500</v>
      </c>
    </row>
    <row r="164" spans="1:10" x14ac:dyDescent="0.3">
      <c r="B164" s="43">
        <v>42685</v>
      </c>
      <c r="C164" s="30" t="s">
        <v>9</v>
      </c>
      <c r="D164" s="30" t="s">
        <v>1877</v>
      </c>
      <c r="E164" s="30">
        <v>34</v>
      </c>
      <c r="F164" s="30">
        <v>42</v>
      </c>
      <c r="G164" s="30">
        <v>8</v>
      </c>
      <c r="H164" s="30">
        <v>500</v>
      </c>
      <c r="I164" s="30">
        <f t="shared" si="7"/>
        <v>4000</v>
      </c>
    </row>
    <row r="165" spans="1:10" x14ac:dyDescent="0.3">
      <c r="B165" s="43">
        <v>42689</v>
      </c>
      <c r="C165" s="30" t="s">
        <v>9</v>
      </c>
      <c r="D165" s="30" t="s">
        <v>1879</v>
      </c>
      <c r="E165" s="30">
        <v>36</v>
      </c>
      <c r="F165" s="30">
        <v>60</v>
      </c>
      <c r="G165" s="30">
        <v>24</v>
      </c>
      <c r="H165" s="30">
        <v>700</v>
      </c>
      <c r="I165" s="30">
        <f t="shared" si="7"/>
        <v>16800</v>
      </c>
    </row>
    <row r="166" spans="1:10" x14ac:dyDescent="0.3">
      <c r="B166" s="43">
        <v>42690</v>
      </c>
      <c r="C166" s="30" t="s">
        <v>9</v>
      </c>
      <c r="D166" s="30" t="s">
        <v>1880</v>
      </c>
      <c r="E166" s="30">
        <v>40</v>
      </c>
      <c r="F166" s="30">
        <v>50</v>
      </c>
      <c r="G166" s="30">
        <v>10</v>
      </c>
      <c r="H166" s="30">
        <v>700</v>
      </c>
      <c r="I166" s="30">
        <f t="shared" si="7"/>
        <v>7000</v>
      </c>
    </row>
    <row r="167" spans="1:10" x14ac:dyDescent="0.3">
      <c r="B167" s="43">
        <v>42691</v>
      </c>
      <c r="C167" s="30" t="s">
        <v>9</v>
      </c>
      <c r="D167" s="30" t="s">
        <v>1881</v>
      </c>
      <c r="E167" s="30">
        <v>37</v>
      </c>
      <c r="F167" s="30">
        <v>39</v>
      </c>
      <c r="G167" s="30">
        <v>3</v>
      </c>
      <c r="H167" s="30">
        <v>500</v>
      </c>
      <c r="I167" s="30">
        <f t="shared" si="7"/>
        <v>1500</v>
      </c>
    </row>
    <row r="168" spans="1:10" x14ac:dyDescent="0.3">
      <c r="B168" s="43">
        <v>42692</v>
      </c>
      <c r="C168" s="30" t="s">
        <v>9</v>
      </c>
      <c r="D168" s="30" t="s">
        <v>1882</v>
      </c>
      <c r="E168" s="30">
        <v>6.5</v>
      </c>
      <c r="F168" s="30">
        <v>7.3</v>
      </c>
      <c r="G168" s="30">
        <v>0.8</v>
      </c>
      <c r="H168" s="30">
        <v>3000</v>
      </c>
      <c r="I168" s="30">
        <f t="shared" si="7"/>
        <v>2400</v>
      </c>
    </row>
    <row r="169" spans="1:10" x14ac:dyDescent="0.3">
      <c r="B169" s="43">
        <v>42695</v>
      </c>
      <c r="C169" s="30" t="s">
        <v>9</v>
      </c>
      <c r="D169" s="30" t="s">
        <v>1880</v>
      </c>
      <c r="E169" s="30">
        <v>19</v>
      </c>
      <c r="F169" s="30">
        <v>35</v>
      </c>
      <c r="G169" s="30">
        <v>16</v>
      </c>
      <c r="H169" s="30">
        <v>700</v>
      </c>
      <c r="I169" s="30">
        <f t="shared" si="7"/>
        <v>11200</v>
      </c>
    </row>
    <row r="170" spans="1:10" x14ac:dyDescent="0.3">
      <c r="B170" s="43">
        <v>42696</v>
      </c>
      <c r="C170" s="30" t="s">
        <v>9</v>
      </c>
      <c r="D170" s="30" t="s">
        <v>1883</v>
      </c>
      <c r="E170" s="30">
        <v>23</v>
      </c>
      <c r="F170" s="30">
        <v>33</v>
      </c>
      <c r="G170" s="30">
        <v>10</v>
      </c>
      <c r="H170" s="30">
        <v>700</v>
      </c>
      <c r="I170" s="30">
        <f t="shared" si="7"/>
        <v>7000</v>
      </c>
    </row>
    <row r="171" spans="1:10" x14ac:dyDescent="0.3">
      <c r="B171" s="43">
        <v>42697</v>
      </c>
      <c r="C171" s="30" t="s">
        <v>9</v>
      </c>
      <c r="D171" s="30" t="s">
        <v>1883</v>
      </c>
      <c r="E171" s="30">
        <v>12</v>
      </c>
      <c r="F171" s="30">
        <v>9</v>
      </c>
      <c r="G171" s="30">
        <v>-3</v>
      </c>
      <c r="H171" s="30">
        <v>700</v>
      </c>
      <c r="I171" s="30">
        <f t="shared" si="7"/>
        <v>-2100</v>
      </c>
    </row>
    <row r="172" spans="1:10" x14ac:dyDescent="0.3">
      <c r="B172" s="43">
        <v>42698</v>
      </c>
      <c r="C172" s="30" t="s">
        <v>9</v>
      </c>
      <c r="D172" s="30" t="s">
        <v>1883</v>
      </c>
      <c r="E172" s="30">
        <v>12</v>
      </c>
      <c r="F172" s="30">
        <v>6</v>
      </c>
      <c r="G172" s="30">
        <v>-6</v>
      </c>
      <c r="H172" s="30">
        <v>700</v>
      </c>
      <c r="I172" s="30">
        <f t="shared" si="7"/>
        <v>-4200</v>
      </c>
    </row>
    <row r="173" spans="1:10" s="30" customFormat="1" x14ac:dyDescent="0.3">
      <c r="A173" s="9"/>
      <c r="B173" s="43">
        <v>42699</v>
      </c>
      <c r="C173" s="30" t="s">
        <v>9</v>
      </c>
      <c r="D173" s="30" t="s">
        <v>1886</v>
      </c>
      <c r="E173" s="30">
        <v>17</v>
      </c>
      <c r="F173" s="30">
        <v>16.5</v>
      </c>
      <c r="G173" s="30">
        <v>-0.5</v>
      </c>
      <c r="H173" s="30">
        <v>1200</v>
      </c>
      <c r="I173" s="30">
        <f t="shared" si="7"/>
        <v>-600</v>
      </c>
      <c r="J173" s="9"/>
    </row>
    <row r="174" spans="1:10" s="30" customFormat="1" x14ac:dyDescent="0.3">
      <c r="A174" s="9"/>
      <c r="B174" s="43">
        <v>42702</v>
      </c>
      <c r="C174" s="30" t="s">
        <v>9</v>
      </c>
      <c r="D174" s="30" t="s">
        <v>1889</v>
      </c>
      <c r="E174" s="30">
        <v>34</v>
      </c>
      <c r="F174" s="30">
        <v>38.5</v>
      </c>
      <c r="G174" s="30">
        <v>4.5</v>
      </c>
      <c r="H174" s="30">
        <v>500</v>
      </c>
      <c r="I174" s="30">
        <f t="shared" si="7"/>
        <v>2250</v>
      </c>
      <c r="J174" s="9"/>
    </row>
    <row r="175" spans="1:10" s="30" customFormat="1" x14ac:dyDescent="0.3">
      <c r="A175" s="9"/>
      <c r="B175" s="43">
        <v>42703</v>
      </c>
      <c r="C175" s="30" t="s">
        <v>9</v>
      </c>
      <c r="D175" s="30" t="s">
        <v>1890</v>
      </c>
      <c r="E175" s="30">
        <v>10</v>
      </c>
      <c r="F175" s="30">
        <v>9</v>
      </c>
      <c r="G175" s="30">
        <v>-1</v>
      </c>
      <c r="H175" s="30">
        <v>2500</v>
      </c>
      <c r="I175" s="30">
        <f t="shared" si="7"/>
        <v>-2500</v>
      </c>
      <c r="J175" s="9"/>
    </row>
    <row r="176" spans="1:10" s="30" customFormat="1" x14ac:dyDescent="0.3">
      <c r="A176" s="9"/>
      <c r="B176" s="43">
        <v>42704</v>
      </c>
      <c r="C176" s="30" t="s">
        <v>9</v>
      </c>
      <c r="D176" s="30" t="s">
        <v>1891</v>
      </c>
      <c r="E176" s="30">
        <v>25</v>
      </c>
      <c r="F176" s="30">
        <v>25</v>
      </c>
      <c r="G176" s="30">
        <v>0</v>
      </c>
      <c r="H176" s="30">
        <v>500</v>
      </c>
      <c r="I176" s="30">
        <f t="shared" si="7"/>
        <v>0</v>
      </c>
      <c r="J176" s="9"/>
    </row>
    <row r="177" spans="1:10" s="30" customFormat="1" x14ac:dyDescent="0.3">
      <c r="A177" s="9"/>
      <c r="B177" s="43"/>
      <c r="J177" s="9"/>
    </row>
    <row r="178" spans="1:10" s="30" customFormat="1" ht="18" x14ac:dyDescent="0.35">
      <c r="A178" s="9"/>
      <c r="B178" s="43"/>
      <c r="I178" s="72">
        <f>SUM(I160:I176)</f>
        <v>58950</v>
      </c>
      <c r="J178" s="9"/>
    </row>
    <row r="179" spans="1:10" s="30" customFormat="1" x14ac:dyDescent="0.3">
      <c r="A179" s="9"/>
      <c r="B179" s="43"/>
      <c r="J179" s="9"/>
    </row>
    <row r="180" spans="1:10" s="30" customFormat="1" ht="21" x14ac:dyDescent="0.4">
      <c r="A180" s="9"/>
      <c r="B180" s="43"/>
      <c r="I180" s="112"/>
      <c r="J180" s="9"/>
    </row>
    <row r="181" spans="1:10" s="30" customFormat="1" x14ac:dyDescent="0.3">
      <c r="A181" s="9"/>
      <c r="B181" s="43"/>
      <c r="J181" s="9"/>
    </row>
    <row r="182" spans="1:10" ht="23.4" x14ac:dyDescent="0.45">
      <c r="I182" s="125"/>
    </row>
  </sheetData>
  <mergeCells count="5">
    <mergeCell ref="B1:I1"/>
    <mergeCell ref="B2:I2"/>
    <mergeCell ref="B3:I3"/>
    <mergeCell ref="B159:I159"/>
    <mergeCell ref="B136:I136"/>
  </mergeCells>
  <hyperlinks>
    <hyperlink ref="K2" location="'MASTER '!A1" display="Back" xr:uid="{00000000-0004-0000-2B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210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1895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42705</v>
      </c>
      <c r="C6" s="2" t="s">
        <v>11</v>
      </c>
      <c r="D6" s="2" t="s">
        <v>78</v>
      </c>
      <c r="E6" s="90" t="s">
        <v>1071</v>
      </c>
      <c r="F6" s="91" t="s">
        <v>1896</v>
      </c>
      <c r="G6" s="91" t="s">
        <v>951</v>
      </c>
      <c r="H6" s="92">
        <v>216.60649819494586</v>
      </c>
      <c r="I6" s="93">
        <v>3249.097472924188</v>
      </c>
      <c r="L6" s="16"/>
    </row>
    <row r="7" spans="1:15" x14ac:dyDescent="0.3">
      <c r="B7" s="43">
        <v>42705</v>
      </c>
      <c r="C7" s="2" t="s">
        <v>8</v>
      </c>
      <c r="D7" s="2" t="s">
        <v>113</v>
      </c>
      <c r="E7" s="41" t="s">
        <v>626</v>
      </c>
      <c r="F7" s="40" t="s">
        <v>1897</v>
      </c>
      <c r="G7" s="40" t="s">
        <v>959</v>
      </c>
      <c r="H7" s="92">
        <v>2000</v>
      </c>
      <c r="I7" s="93">
        <v>6000</v>
      </c>
      <c r="L7" s="16"/>
    </row>
    <row r="8" spans="1:15" x14ac:dyDescent="0.3">
      <c r="B8" s="43">
        <v>42706</v>
      </c>
      <c r="C8" s="2" t="s">
        <v>9</v>
      </c>
      <c r="D8" s="2" t="s">
        <v>834</v>
      </c>
      <c r="E8" s="41" t="s">
        <v>437</v>
      </c>
      <c r="F8" s="40" t="s">
        <v>1478</v>
      </c>
      <c r="G8" s="40" t="s">
        <v>1269</v>
      </c>
      <c r="H8" s="92">
        <v>1327.4336283185842</v>
      </c>
      <c r="I8" s="93">
        <v>-3982.3008849557527</v>
      </c>
      <c r="K8" s="66" t="s">
        <v>453</v>
      </c>
      <c r="L8" s="67" t="s">
        <v>448</v>
      </c>
      <c r="M8" s="67" t="s">
        <v>454</v>
      </c>
      <c r="N8" s="67" t="s">
        <v>455</v>
      </c>
      <c r="O8" s="67" t="s">
        <v>456</v>
      </c>
    </row>
    <row r="9" spans="1:15" x14ac:dyDescent="0.3">
      <c r="B9" s="43">
        <v>42706</v>
      </c>
      <c r="C9" s="2" t="s">
        <v>8</v>
      </c>
      <c r="D9" s="2" t="s">
        <v>113</v>
      </c>
      <c r="E9" s="41" t="s">
        <v>612</v>
      </c>
      <c r="F9" s="40" t="s">
        <v>1898</v>
      </c>
      <c r="G9" s="40" t="s">
        <v>1784</v>
      </c>
      <c r="H9" s="92">
        <v>2068.9655172413795</v>
      </c>
      <c r="I9" s="93">
        <v>6620.6896551724149</v>
      </c>
      <c r="K9" s="66"/>
      <c r="L9" s="67"/>
      <c r="M9" s="67"/>
      <c r="N9" s="67"/>
      <c r="O9" s="67"/>
    </row>
    <row r="10" spans="1:15" x14ac:dyDescent="0.3">
      <c r="B10" s="43">
        <v>42709</v>
      </c>
      <c r="C10" s="2" t="s">
        <v>11</v>
      </c>
      <c r="D10" s="2" t="s">
        <v>834</v>
      </c>
      <c r="E10" s="41" t="s">
        <v>1478</v>
      </c>
      <c r="F10" s="40" t="s">
        <v>1873</v>
      </c>
      <c r="G10" s="40" t="s">
        <v>997</v>
      </c>
      <c r="H10" s="92">
        <v>1345.2914798206277</v>
      </c>
      <c r="I10" s="93">
        <v>5381.1659192825109</v>
      </c>
      <c r="K10" s="16" t="s">
        <v>449</v>
      </c>
      <c r="L10" s="30">
        <v>45</v>
      </c>
      <c r="M10" s="30">
        <v>33</v>
      </c>
      <c r="N10" s="30">
        <v>12</v>
      </c>
      <c r="O10" s="30">
        <v>0</v>
      </c>
    </row>
    <row r="11" spans="1:15" x14ac:dyDescent="0.3">
      <c r="B11" s="43">
        <v>42709</v>
      </c>
      <c r="C11" s="2" t="s">
        <v>8</v>
      </c>
      <c r="D11" s="2" t="s">
        <v>78</v>
      </c>
      <c r="E11" s="41" t="s">
        <v>1041</v>
      </c>
      <c r="F11" s="40" t="s">
        <v>1899</v>
      </c>
      <c r="G11" s="40" t="s">
        <v>1025</v>
      </c>
      <c r="H11" s="92">
        <v>220.58823529411765</v>
      </c>
      <c r="I11" s="93">
        <v>2205.8823529411766</v>
      </c>
      <c r="K11" s="16"/>
      <c r="L11" s="30"/>
      <c r="M11" s="30"/>
      <c r="N11" s="30"/>
      <c r="O11" s="30"/>
    </row>
    <row r="12" spans="1:15" x14ac:dyDescent="0.3">
      <c r="B12" s="43">
        <v>42710</v>
      </c>
      <c r="C12" s="2" t="s">
        <v>9</v>
      </c>
      <c r="D12" s="2" t="s">
        <v>78</v>
      </c>
      <c r="E12" s="41" t="s">
        <v>1773</v>
      </c>
      <c r="F12" s="40" t="s">
        <v>1565</v>
      </c>
      <c r="G12" s="40" t="s">
        <v>1405</v>
      </c>
      <c r="H12" s="92">
        <v>218.97810218978103</v>
      </c>
      <c r="I12" s="93">
        <v>-875.91240875912411</v>
      </c>
      <c r="K12" s="16" t="s">
        <v>450</v>
      </c>
      <c r="L12" s="30">
        <v>23</v>
      </c>
      <c r="M12" s="30">
        <v>17</v>
      </c>
      <c r="N12" s="30">
        <v>6</v>
      </c>
      <c r="O12" s="30">
        <v>0</v>
      </c>
    </row>
    <row r="13" spans="1:15" x14ac:dyDescent="0.3">
      <c r="B13" s="43">
        <v>42710</v>
      </c>
      <c r="C13" s="2" t="s">
        <v>9</v>
      </c>
      <c r="D13" s="2" t="s">
        <v>139</v>
      </c>
      <c r="E13" s="41" t="s">
        <v>1658</v>
      </c>
      <c r="F13" s="40" t="s">
        <v>1215</v>
      </c>
      <c r="G13" s="40" t="s">
        <v>952</v>
      </c>
      <c r="H13" s="92">
        <v>253.16455696202533</v>
      </c>
      <c r="I13" s="93">
        <v>5063.2911392405067</v>
      </c>
      <c r="K13" s="16"/>
      <c r="L13" s="30"/>
      <c r="M13" s="30"/>
      <c r="N13" s="30"/>
      <c r="O13" s="30"/>
    </row>
    <row r="14" spans="1:15" x14ac:dyDescent="0.3">
      <c r="B14" s="43">
        <v>42711</v>
      </c>
      <c r="C14" s="2" t="s">
        <v>11</v>
      </c>
      <c r="D14" s="2" t="s">
        <v>139</v>
      </c>
      <c r="E14" s="41" t="s">
        <v>1900</v>
      </c>
      <c r="F14" s="40" t="s">
        <v>817</v>
      </c>
      <c r="G14" s="40" t="s">
        <v>489</v>
      </c>
      <c r="H14" s="92">
        <v>249.37655860349128</v>
      </c>
      <c r="I14" s="93">
        <v>4239.4014962593519</v>
      </c>
      <c r="K14" s="16" t="s">
        <v>451</v>
      </c>
      <c r="L14" s="30">
        <v>22</v>
      </c>
      <c r="M14" s="30">
        <v>16</v>
      </c>
      <c r="N14" s="30">
        <v>5</v>
      </c>
      <c r="O14" s="30">
        <v>1</v>
      </c>
    </row>
    <row r="15" spans="1:15" x14ac:dyDescent="0.3">
      <c r="B15" s="43">
        <v>42711</v>
      </c>
      <c r="C15" s="2" t="s">
        <v>8</v>
      </c>
      <c r="D15" s="2" t="s">
        <v>192</v>
      </c>
      <c r="E15" s="41" t="s">
        <v>1118</v>
      </c>
      <c r="F15" s="40" t="s">
        <v>1419</v>
      </c>
      <c r="G15" s="40" t="s">
        <v>1011</v>
      </c>
      <c r="H15" s="92">
        <v>952.38095238095241</v>
      </c>
      <c r="I15" s="93">
        <v>6666.666666666667</v>
      </c>
      <c r="K15" s="16"/>
      <c r="M15" s="30"/>
      <c r="N15" s="30"/>
      <c r="O15" s="30"/>
    </row>
    <row r="16" spans="1:15" x14ac:dyDescent="0.3">
      <c r="B16" s="43">
        <v>42712</v>
      </c>
      <c r="C16" s="2" t="s">
        <v>9</v>
      </c>
      <c r="D16" s="2" t="s">
        <v>19</v>
      </c>
      <c r="E16" s="41" t="s">
        <v>561</v>
      </c>
      <c r="F16" s="40" t="s">
        <v>1901</v>
      </c>
      <c r="G16" s="40" t="s">
        <v>1902</v>
      </c>
      <c r="H16" s="92">
        <v>1153.8461538461538</v>
      </c>
      <c r="I16" s="93">
        <v>-230.76923076923077</v>
      </c>
      <c r="K16" s="16" t="s">
        <v>1176</v>
      </c>
      <c r="L16" s="30">
        <v>22</v>
      </c>
      <c r="M16" s="30">
        <v>15</v>
      </c>
      <c r="N16" s="30">
        <v>5</v>
      </c>
      <c r="O16" s="30">
        <v>2</v>
      </c>
    </row>
    <row r="17" spans="2:15" x14ac:dyDescent="0.3">
      <c r="B17" s="43">
        <v>42712</v>
      </c>
      <c r="C17" s="2" t="s">
        <v>8</v>
      </c>
      <c r="D17" s="2" t="s">
        <v>146</v>
      </c>
      <c r="E17" s="41" t="s">
        <v>1903</v>
      </c>
      <c r="F17" s="40" t="s">
        <v>1904</v>
      </c>
      <c r="G17" s="40" t="s">
        <v>920</v>
      </c>
      <c r="H17" s="92">
        <v>1846.1538461538462</v>
      </c>
      <c r="I17" s="93">
        <v>1846.1538461538462</v>
      </c>
      <c r="L17" s="30"/>
      <c r="M17" s="30"/>
      <c r="N17" s="30"/>
      <c r="O17" s="30"/>
    </row>
    <row r="18" spans="2:15" x14ac:dyDescent="0.3">
      <c r="B18" s="43">
        <v>42713</v>
      </c>
      <c r="C18" s="2" t="s">
        <v>9</v>
      </c>
      <c r="D18" s="2" t="s">
        <v>290</v>
      </c>
      <c r="E18" s="41" t="s">
        <v>1905</v>
      </c>
      <c r="F18" s="40" t="s">
        <v>701</v>
      </c>
      <c r="G18" s="40" t="s">
        <v>997</v>
      </c>
      <c r="H18" s="92">
        <v>849.85835694050991</v>
      </c>
      <c r="I18" s="93">
        <v>3399.4334277620396</v>
      </c>
      <c r="L18" s="30"/>
      <c r="M18" s="30"/>
      <c r="N18" s="30"/>
      <c r="O18" s="30"/>
    </row>
    <row r="19" spans="2:15" x14ac:dyDescent="0.3">
      <c r="B19" s="43">
        <v>42713</v>
      </c>
      <c r="C19" s="2" t="s">
        <v>11</v>
      </c>
      <c r="D19" s="28" t="s">
        <v>834</v>
      </c>
      <c r="E19" s="30">
        <v>224</v>
      </c>
      <c r="F19" s="30">
        <v>246</v>
      </c>
      <c r="G19" s="30">
        <v>2</v>
      </c>
      <c r="H19" s="92">
        <v>1339.2857142857142</v>
      </c>
      <c r="I19" s="93">
        <v>2678.5714285714284</v>
      </c>
      <c r="K19" s="16" t="s">
        <v>41</v>
      </c>
      <c r="L19" s="30">
        <v>22</v>
      </c>
      <c r="M19" s="30">
        <v>16</v>
      </c>
      <c r="N19" s="30">
        <v>3</v>
      </c>
      <c r="O19" s="30">
        <v>3</v>
      </c>
    </row>
    <row r="20" spans="2:15" x14ac:dyDescent="0.3">
      <c r="B20" s="43">
        <v>42713</v>
      </c>
      <c r="C20" s="2" t="s">
        <v>8</v>
      </c>
      <c r="D20" s="28" t="s">
        <v>1755</v>
      </c>
      <c r="E20" s="30">
        <v>365</v>
      </c>
      <c r="F20" s="30">
        <v>356</v>
      </c>
      <c r="G20" s="30">
        <v>9</v>
      </c>
      <c r="H20" s="92">
        <v>821.91780821917803</v>
      </c>
      <c r="I20" s="93">
        <v>7397.2602739726026</v>
      </c>
      <c r="K20" s="16"/>
      <c r="L20" s="30"/>
      <c r="M20" s="30"/>
      <c r="N20" s="30"/>
      <c r="O20" s="30"/>
    </row>
    <row r="21" spans="2:15" x14ac:dyDescent="0.3">
      <c r="B21" s="43">
        <v>42716</v>
      </c>
      <c r="C21" s="2" t="s">
        <v>9</v>
      </c>
      <c r="D21" s="28" t="s">
        <v>834</v>
      </c>
      <c r="E21" s="30">
        <v>245</v>
      </c>
      <c r="F21" s="30">
        <v>248</v>
      </c>
      <c r="G21" s="30">
        <v>3</v>
      </c>
      <c r="H21" s="92">
        <v>1224.4897959183672</v>
      </c>
      <c r="I21" s="93">
        <v>3673.4693877551017</v>
      </c>
      <c r="K21" s="16" t="s">
        <v>1175</v>
      </c>
      <c r="L21" s="30">
        <v>22</v>
      </c>
      <c r="M21" s="30">
        <v>16</v>
      </c>
      <c r="N21" s="30">
        <v>6</v>
      </c>
      <c r="O21" s="30">
        <v>0</v>
      </c>
    </row>
    <row r="22" spans="2:15" x14ac:dyDescent="0.3">
      <c r="B22" s="43">
        <v>42716</v>
      </c>
      <c r="C22" s="2" t="s">
        <v>8</v>
      </c>
      <c r="D22" s="28" t="s">
        <v>1755</v>
      </c>
      <c r="E22" s="30">
        <v>357</v>
      </c>
      <c r="F22" s="30">
        <v>350</v>
      </c>
      <c r="G22" s="30">
        <v>7</v>
      </c>
      <c r="H22" s="92">
        <v>840.33613445378148</v>
      </c>
      <c r="I22" s="93">
        <v>5882.3529411764703</v>
      </c>
      <c r="K22" s="16"/>
      <c r="L22" s="30"/>
      <c r="M22" s="30"/>
      <c r="N22" s="30"/>
      <c r="O22" s="30"/>
    </row>
    <row r="23" spans="2:15" x14ac:dyDescent="0.3">
      <c r="B23" s="43">
        <v>42717</v>
      </c>
      <c r="C23" s="2" t="s">
        <v>11</v>
      </c>
      <c r="D23" s="28" t="s">
        <v>184</v>
      </c>
      <c r="E23" s="30">
        <v>462</v>
      </c>
      <c r="F23" s="30">
        <v>464</v>
      </c>
      <c r="G23" s="30">
        <v>2</v>
      </c>
      <c r="H23" s="92">
        <v>649.35064935064941</v>
      </c>
      <c r="I23" s="93">
        <v>1298.7012987012988</v>
      </c>
      <c r="K23" s="16" t="s">
        <v>1090</v>
      </c>
      <c r="L23" s="30">
        <v>22</v>
      </c>
      <c r="M23" s="30">
        <v>15</v>
      </c>
      <c r="N23" s="30">
        <v>7</v>
      </c>
      <c r="O23" s="30">
        <v>0</v>
      </c>
    </row>
    <row r="24" spans="2:15" x14ac:dyDescent="0.3">
      <c r="B24" s="43">
        <v>42717</v>
      </c>
      <c r="C24" s="2" t="s">
        <v>8</v>
      </c>
      <c r="D24" s="28" t="s">
        <v>37</v>
      </c>
      <c r="E24" s="30">
        <v>177</v>
      </c>
      <c r="F24" s="30">
        <v>175.7</v>
      </c>
      <c r="G24" s="30">
        <v>1.3</v>
      </c>
      <c r="H24" s="92">
        <v>1694.9152542372881</v>
      </c>
      <c r="I24" s="93">
        <v>2203.3898305084745</v>
      </c>
      <c r="L24" s="30"/>
      <c r="M24" s="30"/>
      <c r="N24" s="30"/>
      <c r="O24" s="30"/>
    </row>
    <row r="25" spans="2:15" x14ac:dyDescent="0.3">
      <c r="B25" s="43">
        <v>42718</v>
      </c>
      <c r="C25" s="2" t="s">
        <v>9</v>
      </c>
      <c r="D25" s="28" t="s">
        <v>834</v>
      </c>
      <c r="E25" s="30">
        <v>239</v>
      </c>
      <c r="F25" s="30">
        <v>236</v>
      </c>
      <c r="G25" s="30">
        <v>-3</v>
      </c>
      <c r="H25" s="92">
        <v>1255.2301255230125</v>
      </c>
      <c r="I25" s="93">
        <v>-3765.6903765690377</v>
      </c>
      <c r="K25" s="16" t="s">
        <v>946</v>
      </c>
      <c r="L25" s="21">
        <v>178</v>
      </c>
      <c r="M25" s="21">
        <v>128</v>
      </c>
      <c r="N25" s="21">
        <v>44</v>
      </c>
      <c r="O25" s="21">
        <v>6</v>
      </c>
    </row>
    <row r="26" spans="2:15" x14ac:dyDescent="0.3">
      <c r="B26" s="43">
        <v>42718</v>
      </c>
      <c r="C26" s="2" t="s">
        <v>8</v>
      </c>
      <c r="D26" s="28" t="s">
        <v>19</v>
      </c>
      <c r="E26" s="30">
        <v>264.5</v>
      </c>
      <c r="F26" s="30">
        <v>262.5</v>
      </c>
      <c r="G26" s="30">
        <v>2</v>
      </c>
      <c r="H26" s="92">
        <v>1134.2155009451797</v>
      </c>
      <c r="I26" s="93">
        <v>2268.4310018903593</v>
      </c>
      <c r="L26" s="16"/>
    </row>
    <row r="27" spans="2:15" x14ac:dyDescent="0.3">
      <c r="B27" s="43">
        <v>42719</v>
      </c>
      <c r="C27" s="2" t="s">
        <v>11</v>
      </c>
      <c r="D27" s="28" t="s">
        <v>834</v>
      </c>
      <c r="E27" s="30">
        <v>237</v>
      </c>
      <c r="F27" s="30">
        <v>239.2</v>
      </c>
      <c r="G27" s="30">
        <v>2.2000000000000002</v>
      </c>
      <c r="H27" s="92">
        <v>1265.8227848101267</v>
      </c>
      <c r="I27" s="93">
        <v>2784.8101265822788</v>
      </c>
      <c r="L27" s="28"/>
      <c r="M27" s="30"/>
      <c r="N27" s="30"/>
      <c r="O27" s="30"/>
    </row>
    <row r="28" spans="2:15" x14ac:dyDescent="0.3">
      <c r="B28" s="43">
        <v>42719</v>
      </c>
      <c r="C28" s="2" t="s">
        <v>8</v>
      </c>
      <c r="D28" s="28" t="s">
        <v>146</v>
      </c>
      <c r="E28" s="30">
        <v>162.5</v>
      </c>
      <c r="F28" s="30">
        <v>160</v>
      </c>
      <c r="G28" s="30">
        <v>2.5</v>
      </c>
      <c r="H28" s="92">
        <v>1846.1538461538462</v>
      </c>
      <c r="I28" s="93">
        <v>4615.3846153846152</v>
      </c>
      <c r="L28" s="68" t="s">
        <v>1893</v>
      </c>
      <c r="M28" s="83"/>
      <c r="N28" s="126">
        <v>0.72</v>
      </c>
      <c r="O28" s="30"/>
    </row>
    <row r="29" spans="2:15" x14ac:dyDescent="0.3">
      <c r="B29" s="43">
        <v>42720</v>
      </c>
      <c r="C29" s="2" t="s">
        <v>9</v>
      </c>
      <c r="D29" s="28" t="s">
        <v>275</v>
      </c>
      <c r="E29" s="30">
        <v>613</v>
      </c>
      <c r="F29" s="30">
        <v>605</v>
      </c>
      <c r="G29" s="30">
        <v>-8</v>
      </c>
      <c r="H29" s="92">
        <v>489.39641109298532</v>
      </c>
      <c r="I29" s="93">
        <v>-3915.1712887438825</v>
      </c>
      <c r="L29" s="68" t="s">
        <v>1894</v>
      </c>
      <c r="M29" s="83"/>
      <c r="N29" s="126"/>
      <c r="O29" s="30"/>
    </row>
    <row r="30" spans="2:15" x14ac:dyDescent="0.3">
      <c r="B30" s="43">
        <v>42720</v>
      </c>
      <c r="C30" s="2" t="s">
        <v>8</v>
      </c>
      <c r="D30" s="28" t="s">
        <v>113</v>
      </c>
      <c r="E30" s="30">
        <v>138.5</v>
      </c>
      <c r="F30" s="30">
        <v>136.9</v>
      </c>
      <c r="G30" s="30">
        <v>1.6</v>
      </c>
      <c r="H30" s="92">
        <v>2166.0649819494583</v>
      </c>
      <c r="I30" s="93">
        <v>3465.7039711191337</v>
      </c>
      <c r="L30" s="49"/>
      <c r="M30" s="30"/>
      <c r="N30" s="30"/>
      <c r="O30" s="30"/>
    </row>
    <row r="31" spans="2:15" x14ac:dyDescent="0.3">
      <c r="B31" s="43">
        <v>42723</v>
      </c>
      <c r="C31" s="2" t="s">
        <v>11</v>
      </c>
      <c r="D31" s="28" t="s">
        <v>184</v>
      </c>
      <c r="E31" s="30">
        <v>465</v>
      </c>
      <c r="F31" s="30">
        <v>463</v>
      </c>
      <c r="G31" s="30">
        <v>-2</v>
      </c>
      <c r="H31" s="92">
        <v>645.16129032258061</v>
      </c>
      <c r="I31" s="93">
        <v>-1290.3225806451612</v>
      </c>
      <c r="L31" s="49"/>
      <c r="M31" s="30"/>
      <c r="N31" s="30"/>
      <c r="O31" s="30"/>
    </row>
    <row r="32" spans="2:15" x14ac:dyDescent="0.3">
      <c r="B32" s="43">
        <v>42723</v>
      </c>
      <c r="C32" s="2" t="s">
        <v>8</v>
      </c>
      <c r="D32" s="28" t="s">
        <v>113</v>
      </c>
      <c r="E32" s="30">
        <v>135</v>
      </c>
      <c r="F32" s="30">
        <v>133.5</v>
      </c>
      <c r="G32" s="30">
        <v>1.5</v>
      </c>
      <c r="H32" s="92">
        <v>2222.2222222222222</v>
      </c>
      <c r="I32" s="93">
        <v>3333.333333333333</v>
      </c>
      <c r="L32" s="49"/>
      <c r="M32" s="30"/>
      <c r="N32" s="30"/>
      <c r="O32" s="30"/>
    </row>
    <row r="33" spans="2:13" x14ac:dyDescent="0.3">
      <c r="B33" s="43">
        <v>42724</v>
      </c>
      <c r="C33" s="2" t="s">
        <v>9</v>
      </c>
      <c r="D33" s="28" t="s">
        <v>435</v>
      </c>
      <c r="E33" s="30">
        <v>201</v>
      </c>
      <c r="F33" s="30">
        <v>198</v>
      </c>
      <c r="G33" s="30">
        <v>-3</v>
      </c>
      <c r="H33" s="92">
        <v>1492.5373134328358</v>
      </c>
      <c r="I33" s="93">
        <v>-4477.6119402985078</v>
      </c>
      <c r="L33" s="16"/>
    </row>
    <row r="34" spans="2:13" x14ac:dyDescent="0.3">
      <c r="B34" s="43">
        <v>42724</v>
      </c>
      <c r="C34" s="2" t="s">
        <v>8</v>
      </c>
      <c r="D34" s="28" t="s">
        <v>19</v>
      </c>
      <c r="E34" s="30">
        <v>261</v>
      </c>
      <c r="F34" s="30">
        <v>254</v>
      </c>
      <c r="G34" s="30">
        <v>7</v>
      </c>
      <c r="H34" s="92">
        <v>1149.4252873563219</v>
      </c>
      <c r="I34" s="93">
        <v>8045.977011494253</v>
      </c>
      <c r="L34" s="16"/>
    </row>
    <row r="35" spans="2:13" x14ac:dyDescent="0.3">
      <c r="B35" s="43">
        <v>42725</v>
      </c>
      <c r="C35" s="2" t="s">
        <v>11</v>
      </c>
      <c r="D35" s="30" t="s">
        <v>834</v>
      </c>
      <c r="E35" s="30">
        <v>226</v>
      </c>
      <c r="F35" s="30">
        <v>227.5</v>
      </c>
      <c r="G35" s="30">
        <v>1.5</v>
      </c>
      <c r="H35" s="92">
        <v>1327.4336283185842</v>
      </c>
      <c r="I35" s="93">
        <v>1991.1504424778764</v>
      </c>
      <c r="L35" s="41"/>
    </row>
    <row r="36" spans="2:13" x14ac:dyDescent="0.3">
      <c r="B36" s="43">
        <v>42725</v>
      </c>
      <c r="C36" s="2" t="s">
        <v>8</v>
      </c>
      <c r="D36" s="30" t="s">
        <v>828</v>
      </c>
      <c r="E36" s="30">
        <v>1153</v>
      </c>
      <c r="F36" s="30">
        <v>1165</v>
      </c>
      <c r="G36" s="30">
        <v>-12</v>
      </c>
      <c r="H36" s="92">
        <v>260.19080659150046</v>
      </c>
      <c r="I36" s="93">
        <v>-3122.2896790980058</v>
      </c>
      <c r="L36" s="41"/>
    </row>
    <row r="37" spans="2:13" x14ac:dyDescent="0.3">
      <c r="B37" s="43">
        <v>42726</v>
      </c>
      <c r="C37" s="2" t="s">
        <v>9</v>
      </c>
      <c r="D37" s="30" t="s">
        <v>1915</v>
      </c>
      <c r="E37" s="30">
        <v>1330</v>
      </c>
      <c r="F37" s="30">
        <v>1315</v>
      </c>
      <c r="G37" s="30">
        <v>-15</v>
      </c>
      <c r="H37" s="92">
        <v>225.5639097744361</v>
      </c>
      <c r="I37" s="93">
        <v>-3383.4586466165415</v>
      </c>
      <c r="M37" s="30"/>
    </row>
    <row r="38" spans="2:13" x14ac:dyDescent="0.3">
      <c r="B38" s="43">
        <v>42726</v>
      </c>
      <c r="C38" s="2" t="s">
        <v>8</v>
      </c>
      <c r="D38" s="30" t="s">
        <v>834</v>
      </c>
      <c r="E38" s="30">
        <v>220</v>
      </c>
      <c r="F38" s="30">
        <v>215.1</v>
      </c>
      <c r="G38" s="30">
        <v>4.9000000000000004</v>
      </c>
      <c r="H38" s="92">
        <v>1363.6363636363637</v>
      </c>
      <c r="I38" s="93">
        <v>6681.8181818181829</v>
      </c>
      <c r="M38" s="30"/>
    </row>
    <row r="39" spans="2:13" x14ac:dyDescent="0.3">
      <c r="B39" s="43">
        <v>42727</v>
      </c>
      <c r="C39" s="2" t="s">
        <v>11</v>
      </c>
      <c r="D39" s="30" t="s">
        <v>275</v>
      </c>
      <c r="E39" s="30">
        <v>614</v>
      </c>
      <c r="F39" s="30">
        <v>611</v>
      </c>
      <c r="G39" s="30">
        <v>-3</v>
      </c>
      <c r="H39" s="92">
        <v>488.59934853420197</v>
      </c>
      <c r="I39" s="93">
        <v>-1465.798045602606</v>
      </c>
      <c r="M39" s="30"/>
    </row>
    <row r="40" spans="2:13" x14ac:dyDescent="0.3">
      <c r="B40" s="43">
        <v>42727</v>
      </c>
      <c r="C40" s="2" t="s">
        <v>8</v>
      </c>
      <c r="D40" s="30" t="s">
        <v>834</v>
      </c>
      <c r="E40" s="30">
        <v>213</v>
      </c>
      <c r="F40" s="30">
        <v>211.7</v>
      </c>
      <c r="G40" s="30">
        <v>1.3</v>
      </c>
      <c r="H40" s="92">
        <v>1408.4507042253522</v>
      </c>
      <c r="I40" s="93">
        <v>1830.9859154929579</v>
      </c>
      <c r="M40" s="30"/>
    </row>
    <row r="41" spans="2:13" x14ac:dyDescent="0.3">
      <c r="B41" s="43">
        <v>42730</v>
      </c>
      <c r="C41" s="2" t="s">
        <v>9</v>
      </c>
      <c r="D41" s="30" t="s">
        <v>58</v>
      </c>
      <c r="E41" s="30">
        <v>433</v>
      </c>
      <c r="F41" s="30">
        <v>432</v>
      </c>
      <c r="G41" s="30">
        <v>-1</v>
      </c>
      <c r="H41" s="92">
        <v>692.84064665127016</v>
      </c>
      <c r="I41" s="93">
        <v>-692.84064665127016</v>
      </c>
      <c r="M41" s="30"/>
    </row>
    <row r="42" spans="2:13" x14ac:dyDescent="0.3">
      <c r="B42" s="43">
        <v>42730</v>
      </c>
      <c r="C42" s="2" t="s">
        <v>8</v>
      </c>
      <c r="D42" s="30" t="s">
        <v>834</v>
      </c>
      <c r="E42" s="30">
        <v>210</v>
      </c>
      <c r="F42" s="30">
        <v>207</v>
      </c>
      <c r="G42" s="30">
        <v>3</v>
      </c>
      <c r="H42" s="92">
        <v>1428.5714285714287</v>
      </c>
      <c r="I42" s="93">
        <v>4285.7142857142862</v>
      </c>
      <c r="M42" s="30"/>
    </row>
    <row r="43" spans="2:13" x14ac:dyDescent="0.3">
      <c r="B43" s="43">
        <v>42731</v>
      </c>
      <c r="C43" s="2" t="s">
        <v>11</v>
      </c>
      <c r="D43" s="30" t="s">
        <v>113</v>
      </c>
      <c r="E43" s="30">
        <v>122</v>
      </c>
      <c r="F43" s="30">
        <v>125</v>
      </c>
      <c r="G43" s="30">
        <v>3</v>
      </c>
      <c r="H43" s="92">
        <v>2459.0163934426228</v>
      </c>
      <c r="I43" s="93">
        <v>7377.0491803278683</v>
      </c>
      <c r="M43" s="30"/>
    </row>
    <row r="44" spans="2:13" x14ac:dyDescent="0.3">
      <c r="B44" s="43">
        <v>42731</v>
      </c>
      <c r="C44" s="2" t="s">
        <v>8</v>
      </c>
      <c r="D44" s="30" t="s">
        <v>48</v>
      </c>
      <c r="E44" s="30">
        <v>148</v>
      </c>
      <c r="F44" s="30">
        <v>146.30000000000001</v>
      </c>
      <c r="G44" s="30">
        <v>1.7</v>
      </c>
      <c r="H44" s="92">
        <v>2027.0270270270271</v>
      </c>
      <c r="I44" s="93">
        <v>3445.9459459459458</v>
      </c>
      <c r="M44" s="30"/>
    </row>
    <row r="45" spans="2:13" x14ac:dyDescent="0.3">
      <c r="B45" s="43">
        <v>42732</v>
      </c>
      <c r="C45" s="2" t="s">
        <v>9</v>
      </c>
      <c r="D45" s="30" t="s">
        <v>113</v>
      </c>
      <c r="E45" s="30">
        <v>124</v>
      </c>
      <c r="F45" s="30">
        <v>126</v>
      </c>
      <c r="G45" s="30">
        <v>2</v>
      </c>
      <c r="H45" s="92">
        <v>2419.3548387096776</v>
      </c>
      <c r="I45" s="93">
        <v>4838.7096774193551</v>
      </c>
      <c r="M45" s="30"/>
    </row>
    <row r="46" spans="2:13" x14ac:dyDescent="0.3">
      <c r="B46" s="43">
        <v>42732</v>
      </c>
      <c r="C46" s="2" t="s">
        <v>8</v>
      </c>
      <c r="D46" s="30" t="s">
        <v>25</v>
      </c>
      <c r="E46" s="30">
        <v>388</v>
      </c>
      <c r="F46" s="30">
        <v>389</v>
      </c>
      <c r="G46" s="30">
        <v>-1</v>
      </c>
      <c r="H46" s="92">
        <v>773.19587628865975</v>
      </c>
      <c r="I46" s="93">
        <v>-773.19587628865975</v>
      </c>
      <c r="M46" s="30"/>
    </row>
    <row r="47" spans="2:13" x14ac:dyDescent="0.3">
      <c r="B47" s="43">
        <v>42733</v>
      </c>
      <c r="C47" s="2" t="s">
        <v>11</v>
      </c>
      <c r="D47" s="30" t="s">
        <v>13</v>
      </c>
      <c r="E47" s="30">
        <v>455</v>
      </c>
      <c r="F47" s="30">
        <v>460</v>
      </c>
      <c r="G47" s="30">
        <v>5</v>
      </c>
      <c r="H47" s="92">
        <v>659.34065934065939</v>
      </c>
      <c r="I47" s="93">
        <v>3296.7032967032969</v>
      </c>
      <c r="M47" s="30"/>
    </row>
    <row r="48" spans="2:13" x14ac:dyDescent="0.3">
      <c r="B48" s="43">
        <v>42733</v>
      </c>
      <c r="C48" s="2" t="s">
        <v>8</v>
      </c>
      <c r="D48" s="30" t="s">
        <v>112</v>
      </c>
      <c r="E48" s="30">
        <v>440</v>
      </c>
      <c r="F48" s="30">
        <v>437.5</v>
      </c>
      <c r="G48" s="30">
        <v>2.5</v>
      </c>
      <c r="H48" s="92">
        <v>681.81818181818187</v>
      </c>
      <c r="I48" s="93">
        <v>1704.5454545454547</v>
      </c>
      <c r="M48" s="30"/>
    </row>
    <row r="49" spans="2:13" x14ac:dyDescent="0.3">
      <c r="B49" s="43">
        <v>42734</v>
      </c>
      <c r="C49" s="2" t="s">
        <v>9</v>
      </c>
      <c r="D49" s="30" t="s">
        <v>13</v>
      </c>
      <c r="E49" s="30">
        <v>466</v>
      </c>
      <c r="F49" s="30">
        <v>471</v>
      </c>
      <c r="G49" s="30">
        <v>5</v>
      </c>
      <c r="H49" s="92">
        <v>643.77682403433471</v>
      </c>
      <c r="I49" s="93">
        <v>3218.8841201716737</v>
      </c>
      <c r="M49" s="30"/>
    </row>
    <row r="50" spans="2:13" x14ac:dyDescent="0.3">
      <c r="B50" s="43">
        <v>42734</v>
      </c>
      <c r="C50" s="2" t="s">
        <v>8</v>
      </c>
      <c r="D50" s="30" t="s">
        <v>834</v>
      </c>
      <c r="E50" s="30">
        <v>217</v>
      </c>
      <c r="F50" s="30">
        <v>215</v>
      </c>
      <c r="G50" s="30">
        <v>2</v>
      </c>
      <c r="H50" s="92">
        <v>1382.4884792626729</v>
      </c>
      <c r="I50" s="93">
        <v>2764.9769585253457</v>
      </c>
      <c r="M50" s="30"/>
    </row>
    <row r="51" spans="2:13" ht="18" x14ac:dyDescent="0.35">
      <c r="B51" s="43"/>
      <c r="C51" s="2"/>
      <c r="D51" s="30"/>
      <c r="E51" s="30"/>
      <c r="F51" s="30"/>
      <c r="G51" s="30"/>
      <c r="H51" s="5"/>
      <c r="I51" s="82">
        <v>105780</v>
      </c>
      <c r="M51" s="30"/>
    </row>
    <row r="52" spans="2:13" x14ac:dyDescent="0.3">
      <c r="B52" s="43"/>
      <c r="C52" s="2"/>
      <c r="D52" s="30"/>
      <c r="E52" s="30"/>
      <c r="F52" s="30"/>
      <c r="G52" s="30"/>
      <c r="H52" s="5"/>
      <c r="I52" s="81"/>
      <c r="M52" s="30"/>
    </row>
    <row r="53" spans="2:13" x14ac:dyDescent="0.3">
      <c r="B53" s="87"/>
      <c r="C53" s="2"/>
      <c r="D53" s="28"/>
      <c r="E53" s="30"/>
      <c r="F53" s="30"/>
      <c r="G53" s="30"/>
      <c r="H53" s="30"/>
      <c r="I53" s="88"/>
      <c r="M53" s="30"/>
    </row>
    <row r="54" spans="2:13" ht="15.6" x14ac:dyDescent="0.3">
      <c r="B54" s="48" t="s">
        <v>62</v>
      </c>
      <c r="C54" s="48"/>
      <c r="D54" s="48"/>
      <c r="E54" s="48"/>
      <c r="F54" s="48"/>
      <c r="G54" s="48"/>
      <c r="H54" s="48"/>
      <c r="I54" s="48"/>
      <c r="M54" s="30"/>
    </row>
    <row r="55" spans="2:13" x14ac:dyDescent="0.3">
      <c r="B55" s="43">
        <v>42705</v>
      </c>
      <c r="C55" s="2" t="s">
        <v>8</v>
      </c>
      <c r="D55" s="2" t="s">
        <v>58</v>
      </c>
      <c r="E55" s="41" t="s">
        <v>1339</v>
      </c>
      <c r="F55" s="40" t="s">
        <v>1906</v>
      </c>
      <c r="G55" s="40" t="s">
        <v>1505</v>
      </c>
      <c r="H55" s="5">
        <v>1200</v>
      </c>
      <c r="I55" s="40" t="s">
        <v>460</v>
      </c>
      <c r="M55" s="30"/>
    </row>
    <row r="56" spans="2:13" x14ac:dyDescent="0.3">
      <c r="B56" s="43">
        <v>42706</v>
      </c>
      <c r="C56" s="2" t="s">
        <v>8</v>
      </c>
      <c r="D56" s="2" t="s">
        <v>19</v>
      </c>
      <c r="E56" s="41" t="s">
        <v>1737</v>
      </c>
      <c r="F56" s="40" t="s">
        <v>759</v>
      </c>
      <c r="G56" s="40" t="s">
        <v>1269</v>
      </c>
      <c r="H56" s="5">
        <v>3000</v>
      </c>
      <c r="I56" s="30">
        <v>-9000</v>
      </c>
    </row>
    <row r="57" spans="2:13" x14ac:dyDescent="0.3">
      <c r="B57" s="43">
        <v>42709</v>
      </c>
      <c r="C57" s="30" t="s">
        <v>8</v>
      </c>
      <c r="D57" s="30" t="s">
        <v>371</v>
      </c>
      <c r="E57" s="30">
        <v>270.5</v>
      </c>
      <c r="F57" s="30">
        <v>268.60000000000002</v>
      </c>
      <c r="G57" s="30">
        <v>1.9</v>
      </c>
      <c r="H57" s="30">
        <v>2500</v>
      </c>
      <c r="I57" s="30">
        <v>4750</v>
      </c>
    </row>
    <row r="58" spans="2:13" x14ac:dyDescent="0.3">
      <c r="B58" s="43">
        <v>42710</v>
      </c>
      <c r="C58" s="30" t="s">
        <v>8</v>
      </c>
      <c r="D58" s="30" t="s">
        <v>192</v>
      </c>
      <c r="E58" s="30">
        <v>314.5</v>
      </c>
      <c r="F58" s="30">
        <v>317.5</v>
      </c>
      <c r="G58" s="30">
        <v>-3</v>
      </c>
      <c r="H58" s="30">
        <v>3000</v>
      </c>
      <c r="I58" s="30">
        <v>-9000</v>
      </c>
    </row>
    <row r="59" spans="2:13" x14ac:dyDescent="0.3">
      <c r="B59" s="43">
        <v>42711</v>
      </c>
      <c r="C59" s="30" t="s">
        <v>8</v>
      </c>
      <c r="D59" s="30" t="s">
        <v>815</v>
      </c>
      <c r="E59" s="30">
        <v>1082</v>
      </c>
      <c r="F59" s="30">
        <v>1080</v>
      </c>
      <c r="G59" s="30">
        <v>2</v>
      </c>
      <c r="H59" s="30">
        <v>500</v>
      </c>
      <c r="I59" s="30">
        <v>1000</v>
      </c>
    </row>
    <row r="60" spans="2:13" x14ac:dyDescent="0.3">
      <c r="B60" s="43">
        <v>42711</v>
      </c>
      <c r="C60" s="30" t="s">
        <v>9</v>
      </c>
      <c r="D60" s="30" t="s">
        <v>275</v>
      </c>
      <c r="E60" s="30">
        <v>627</v>
      </c>
      <c r="F60" s="30">
        <v>635</v>
      </c>
      <c r="G60" s="30">
        <v>8</v>
      </c>
      <c r="H60" s="30">
        <v>1200</v>
      </c>
      <c r="I60" s="30">
        <v>9600</v>
      </c>
    </row>
    <row r="61" spans="2:13" x14ac:dyDescent="0.3">
      <c r="B61" s="43">
        <v>42712</v>
      </c>
      <c r="C61" s="30" t="s">
        <v>8</v>
      </c>
      <c r="D61" s="30" t="s">
        <v>1755</v>
      </c>
      <c r="E61" s="30">
        <v>375</v>
      </c>
      <c r="F61" s="30">
        <v>371</v>
      </c>
      <c r="G61" s="30">
        <v>4</v>
      </c>
      <c r="H61" s="30">
        <v>1400</v>
      </c>
      <c r="I61" s="30">
        <v>5600</v>
      </c>
    </row>
    <row r="62" spans="2:13" x14ac:dyDescent="0.3">
      <c r="B62" s="43">
        <v>42713</v>
      </c>
      <c r="C62" s="30" t="s">
        <v>8</v>
      </c>
      <c r="D62" s="30" t="s">
        <v>1755</v>
      </c>
      <c r="E62" s="30">
        <v>365</v>
      </c>
      <c r="F62" s="30">
        <v>358</v>
      </c>
      <c r="G62" s="30">
        <v>7</v>
      </c>
      <c r="H62" s="30">
        <v>1400</v>
      </c>
      <c r="I62" s="30">
        <v>9800</v>
      </c>
      <c r="K62" s="86"/>
    </row>
    <row r="63" spans="2:13" x14ac:dyDescent="0.3">
      <c r="B63" s="43">
        <v>42716</v>
      </c>
      <c r="C63" s="30" t="s">
        <v>8</v>
      </c>
      <c r="D63" s="30" t="s">
        <v>1755</v>
      </c>
      <c r="E63" s="30">
        <v>357</v>
      </c>
      <c r="F63" s="30">
        <v>352</v>
      </c>
      <c r="G63" s="30">
        <v>5</v>
      </c>
      <c r="H63" s="30">
        <v>1400</v>
      </c>
      <c r="I63" s="30">
        <v>7000</v>
      </c>
      <c r="K63" s="86"/>
    </row>
    <row r="64" spans="2:13" x14ac:dyDescent="0.3">
      <c r="B64" s="43">
        <v>42717</v>
      </c>
      <c r="C64" s="30" t="s">
        <v>8</v>
      </c>
      <c r="D64" s="30" t="s">
        <v>371</v>
      </c>
      <c r="E64" s="30">
        <v>267</v>
      </c>
      <c r="F64" s="30">
        <v>262.60000000000002</v>
      </c>
      <c r="G64" s="30">
        <v>4.4000000000000004</v>
      </c>
      <c r="H64" s="30">
        <v>2500</v>
      </c>
      <c r="I64" s="30">
        <v>11000</v>
      </c>
      <c r="K64" s="86"/>
    </row>
    <row r="65" spans="2:11" x14ac:dyDescent="0.3">
      <c r="B65" s="43">
        <v>42718</v>
      </c>
      <c r="C65" s="30" t="s">
        <v>8</v>
      </c>
      <c r="D65" s="30" t="s">
        <v>371</v>
      </c>
      <c r="E65" s="30">
        <v>266</v>
      </c>
      <c r="F65" s="30">
        <v>261</v>
      </c>
      <c r="G65" s="30">
        <v>5</v>
      </c>
      <c r="H65" s="30">
        <v>2500</v>
      </c>
      <c r="I65" s="30">
        <v>12500</v>
      </c>
      <c r="K65" s="86"/>
    </row>
    <row r="66" spans="2:11" x14ac:dyDescent="0.3">
      <c r="B66" s="43">
        <v>42719</v>
      </c>
      <c r="C66" s="30" t="s">
        <v>8</v>
      </c>
      <c r="D66" s="30" t="s">
        <v>371</v>
      </c>
      <c r="E66" s="30">
        <v>266</v>
      </c>
      <c r="F66" s="30">
        <v>264</v>
      </c>
      <c r="G66" s="30">
        <v>2</v>
      </c>
      <c r="H66" s="30">
        <v>2500</v>
      </c>
      <c r="I66" s="30">
        <v>5000</v>
      </c>
      <c r="K66" s="86"/>
    </row>
    <row r="67" spans="2:11" x14ac:dyDescent="0.3">
      <c r="B67" s="43">
        <v>42720</v>
      </c>
      <c r="C67" s="30" t="s">
        <v>8</v>
      </c>
      <c r="D67" s="30" t="s">
        <v>85</v>
      </c>
      <c r="E67" s="30">
        <v>315</v>
      </c>
      <c r="F67" s="30">
        <v>309.5</v>
      </c>
      <c r="G67" s="30">
        <v>5.5</v>
      </c>
      <c r="H67" s="30">
        <v>2500</v>
      </c>
      <c r="I67" s="30">
        <v>13750</v>
      </c>
      <c r="K67" s="86"/>
    </row>
    <row r="68" spans="2:11" x14ac:dyDescent="0.3">
      <c r="B68" s="43">
        <v>42723</v>
      </c>
      <c r="C68" s="30" t="s">
        <v>8</v>
      </c>
      <c r="D68" s="30" t="s">
        <v>1916</v>
      </c>
      <c r="E68" s="30">
        <v>1295</v>
      </c>
      <c r="F68" s="30">
        <v>1304</v>
      </c>
      <c r="G68" s="30">
        <v>-9</v>
      </c>
      <c r="H68" s="30">
        <v>500</v>
      </c>
      <c r="I68" s="30">
        <v>-4500</v>
      </c>
      <c r="K68" s="86"/>
    </row>
    <row r="69" spans="2:11" x14ac:dyDescent="0.3">
      <c r="B69" s="43">
        <v>42724</v>
      </c>
      <c r="C69" s="30" t="s">
        <v>8</v>
      </c>
      <c r="D69" s="30" t="s">
        <v>1755</v>
      </c>
      <c r="E69" s="30">
        <v>344</v>
      </c>
      <c r="F69" s="30">
        <v>336.5</v>
      </c>
      <c r="G69" s="30">
        <v>7.5</v>
      </c>
      <c r="H69" s="30">
        <v>1400</v>
      </c>
      <c r="I69" s="30">
        <v>10500</v>
      </c>
      <c r="K69" s="86"/>
    </row>
    <row r="70" spans="2:11" x14ac:dyDescent="0.3">
      <c r="B70" s="43">
        <v>42725</v>
      </c>
      <c r="C70" s="30" t="s">
        <v>8</v>
      </c>
      <c r="D70" s="30" t="s">
        <v>1755</v>
      </c>
      <c r="E70" s="30">
        <v>344</v>
      </c>
      <c r="F70" s="30">
        <v>336.5</v>
      </c>
      <c r="G70" s="30">
        <v>7.5</v>
      </c>
      <c r="H70" s="30">
        <v>1400</v>
      </c>
      <c r="I70" s="30">
        <v>10500</v>
      </c>
      <c r="K70" s="86"/>
    </row>
    <row r="71" spans="2:11" x14ac:dyDescent="0.3">
      <c r="B71" s="43">
        <v>42726</v>
      </c>
      <c r="C71" s="30" t="s">
        <v>8</v>
      </c>
      <c r="D71" s="30" t="s">
        <v>19</v>
      </c>
      <c r="E71" s="30">
        <v>251</v>
      </c>
      <c r="F71" s="30">
        <v>249</v>
      </c>
      <c r="G71" s="30">
        <v>2</v>
      </c>
      <c r="H71" s="30">
        <v>3000</v>
      </c>
      <c r="I71" s="30">
        <v>6000</v>
      </c>
      <c r="K71" s="86"/>
    </row>
    <row r="72" spans="2:11" x14ac:dyDescent="0.3">
      <c r="B72" s="43">
        <v>42727</v>
      </c>
      <c r="C72" s="30" t="s">
        <v>8</v>
      </c>
      <c r="D72" s="30" t="s">
        <v>58</v>
      </c>
      <c r="E72" s="30">
        <v>443</v>
      </c>
      <c r="F72" s="30">
        <v>438</v>
      </c>
      <c r="G72" s="30">
        <v>5</v>
      </c>
      <c r="H72" s="30">
        <v>1200</v>
      </c>
      <c r="I72" s="30">
        <v>6000</v>
      </c>
      <c r="K72" s="86"/>
    </row>
    <row r="73" spans="2:11" x14ac:dyDescent="0.3">
      <c r="B73" s="43">
        <v>42730</v>
      </c>
      <c r="C73" s="30" t="s">
        <v>8</v>
      </c>
      <c r="D73" s="30" t="s">
        <v>1755</v>
      </c>
      <c r="E73" s="30">
        <v>333</v>
      </c>
      <c r="F73" s="30">
        <v>326</v>
      </c>
      <c r="G73" s="30">
        <v>7</v>
      </c>
      <c r="H73" s="30">
        <v>1400</v>
      </c>
      <c r="I73" s="30">
        <v>9800</v>
      </c>
      <c r="K73" s="86"/>
    </row>
    <row r="74" spans="2:11" x14ac:dyDescent="0.3">
      <c r="B74" s="43">
        <v>42731</v>
      </c>
      <c r="C74" s="30" t="s">
        <v>8</v>
      </c>
      <c r="D74" s="30" t="s">
        <v>124</v>
      </c>
      <c r="E74" s="30">
        <v>459</v>
      </c>
      <c r="F74" s="30">
        <v>465</v>
      </c>
      <c r="G74" s="30">
        <v>-6</v>
      </c>
      <c r="H74" s="30">
        <v>1500</v>
      </c>
      <c r="I74" s="30">
        <v>-9000</v>
      </c>
      <c r="K74" s="86"/>
    </row>
    <row r="75" spans="2:11" x14ac:dyDescent="0.3">
      <c r="B75" s="43">
        <v>42732</v>
      </c>
      <c r="C75" s="30" t="s">
        <v>8</v>
      </c>
      <c r="D75" s="30" t="s">
        <v>139</v>
      </c>
      <c r="E75" s="30">
        <v>1132</v>
      </c>
      <c r="F75" s="30">
        <v>1112</v>
      </c>
      <c r="G75" s="30">
        <v>20</v>
      </c>
      <c r="H75" s="30">
        <v>700</v>
      </c>
      <c r="I75" s="30">
        <v>14000</v>
      </c>
      <c r="K75" s="86"/>
    </row>
    <row r="76" spans="2:11" x14ac:dyDescent="0.3">
      <c r="B76" s="43">
        <v>42733</v>
      </c>
      <c r="C76" s="30" t="s">
        <v>8</v>
      </c>
      <c r="D76" s="30" t="s">
        <v>112</v>
      </c>
      <c r="E76" s="30">
        <v>439</v>
      </c>
      <c r="F76" s="30">
        <v>444</v>
      </c>
      <c r="G76" s="30">
        <v>-5</v>
      </c>
      <c r="H76" s="30">
        <v>1300</v>
      </c>
      <c r="I76" s="30">
        <v>-6500</v>
      </c>
      <c r="K76" s="86"/>
    </row>
    <row r="77" spans="2:11" x14ac:dyDescent="0.3">
      <c r="B77" s="43">
        <v>42734</v>
      </c>
      <c r="C77" s="30" t="s">
        <v>8</v>
      </c>
      <c r="D77" s="30" t="s">
        <v>1755</v>
      </c>
      <c r="E77" s="30">
        <v>339</v>
      </c>
      <c r="F77" s="30">
        <v>343</v>
      </c>
      <c r="G77" s="30">
        <v>-4</v>
      </c>
      <c r="H77" s="30">
        <v>1400</v>
      </c>
      <c r="I77" s="30">
        <v>-5600</v>
      </c>
      <c r="K77" s="86"/>
    </row>
    <row r="78" spans="2:11" ht="21" x14ac:dyDescent="0.4">
      <c r="B78" s="43"/>
      <c r="C78" s="30"/>
      <c r="D78" s="30"/>
      <c r="E78" s="30"/>
      <c r="F78" s="30"/>
      <c r="G78" s="30"/>
      <c r="H78" s="30"/>
      <c r="I78" s="129" t="s">
        <v>1925</v>
      </c>
      <c r="K78" s="86"/>
    </row>
    <row r="79" spans="2:11" ht="21" x14ac:dyDescent="0.4">
      <c r="B79" s="43"/>
      <c r="C79" s="30"/>
      <c r="D79" s="30"/>
      <c r="E79" s="30"/>
      <c r="F79" s="30"/>
      <c r="G79" s="30"/>
      <c r="H79" s="30"/>
      <c r="I79" s="112"/>
      <c r="K79" s="86"/>
    </row>
    <row r="80" spans="2:11" x14ac:dyDescent="0.3">
      <c r="B80" s="87"/>
      <c r="C80" s="30"/>
      <c r="D80" s="30"/>
      <c r="E80" s="30"/>
      <c r="F80" s="30"/>
      <c r="G80" s="30"/>
      <c r="H80" s="30"/>
      <c r="I80" s="30"/>
      <c r="K80" s="86"/>
    </row>
    <row r="81" spans="2:11" ht="15.6" x14ac:dyDescent="0.3">
      <c r="B81" s="48" t="s">
        <v>63</v>
      </c>
      <c r="C81" s="48"/>
      <c r="D81" s="48"/>
      <c r="E81" s="48"/>
      <c r="F81" s="48"/>
      <c r="G81" s="48"/>
      <c r="H81" s="48"/>
      <c r="I81" s="48"/>
      <c r="K81" s="86"/>
    </row>
    <row r="82" spans="2:11" x14ac:dyDescent="0.3">
      <c r="B82" s="43">
        <v>42705</v>
      </c>
      <c r="C82" s="2" t="s">
        <v>8</v>
      </c>
      <c r="D82" s="2" t="s">
        <v>39</v>
      </c>
      <c r="E82" s="41" t="s">
        <v>1907</v>
      </c>
      <c r="F82" s="40" t="s">
        <v>1908</v>
      </c>
      <c r="G82" s="40" t="s">
        <v>945</v>
      </c>
      <c r="H82" s="30">
        <v>150</v>
      </c>
      <c r="I82" s="41" t="s">
        <v>683</v>
      </c>
      <c r="K82" s="86"/>
    </row>
    <row r="83" spans="2:11" x14ac:dyDescent="0.3">
      <c r="B83" s="43">
        <v>42706</v>
      </c>
      <c r="C83" s="30" t="s">
        <v>8</v>
      </c>
      <c r="D83" s="2" t="s">
        <v>39</v>
      </c>
      <c r="E83" s="2">
        <v>8160</v>
      </c>
      <c r="F83" s="30">
        <v>8100</v>
      </c>
      <c r="G83" s="30">
        <v>60</v>
      </c>
      <c r="H83" s="30">
        <v>150</v>
      </c>
      <c r="I83" s="30">
        <v>9000</v>
      </c>
      <c r="K83" s="86"/>
    </row>
    <row r="84" spans="2:11" x14ac:dyDescent="0.3">
      <c r="B84" s="43">
        <v>42709</v>
      </c>
      <c r="C84" s="30" t="s">
        <v>8</v>
      </c>
      <c r="D84" s="2" t="s">
        <v>39</v>
      </c>
      <c r="E84" s="2">
        <v>8110</v>
      </c>
      <c r="F84" s="30">
        <v>8085</v>
      </c>
      <c r="G84" s="30">
        <v>25</v>
      </c>
      <c r="H84" s="30">
        <v>150</v>
      </c>
      <c r="I84" s="30">
        <v>3750</v>
      </c>
    </row>
    <row r="85" spans="2:11" x14ac:dyDescent="0.3">
      <c r="B85" s="43">
        <v>42710</v>
      </c>
      <c r="C85" s="30" t="s">
        <v>8</v>
      </c>
      <c r="D85" s="2" t="s">
        <v>39</v>
      </c>
      <c r="E85" s="2">
        <v>8185</v>
      </c>
      <c r="F85" s="30">
        <v>8160</v>
      </c>
      <c r="G85" s="30">
        <v>25</v>
      </c>
      <c r="H85" s="30">
        <v>150</v>
      </c>
      <c r="I85" s="30">
        <v>3750</v>
      </c>
    </row>
    <row r="86" spans="2:11" x14ac:dyDescent="0.3">
      <c r="B86" s="43">
        <v>42711</v>
      </c>
      <c r="C86" s="30" t="s">
        <v>8</v>
      </c>
      <c r="D86" s="2" t="s">
        <v>39</v>
      </c>
      <c r="E86" s="30">
        <v>8180</v>
      </c>
      <c r="F86" s="30">
        <v>8110</v>
      </c>
      <c r="G86" s="30">
        <v>70</v>
      </c>
      <c r="H86" s="30">
        <v>150</v>
      </c>
      <c r="I86" s="30">
        <v>10500</v>
      </c>
    </row>
    <row r="87" spans="2:11" x14ac:dyDescent="0.3">
      <c r="B87" s="43">
        <v>42712</v>
      </c>
      <c r="C87" s="30" t="s">
        <v>9</v>
      </c>
      <c r="D87" s="2" t="s">
        <v>39</v>
      </c>
      <c r="E87" s="30">
        <v>8235</v>
      </c>
      <c r="F87" s="30">
        <v>8260</v>
      </c>
      <c r="G87" s="30">
        <v>25</v>
      </c>
      <c r="H87" s="30">
        <v>150</v>
      </c>
      <c r="I87" s="30">
        <v>3750</v>
      </c>
    </row>
    <row r="88" spans="2:11" x14ac:dyDescent="0.3">
      <c r="B88" s="43">
        <v>42713</v>
      </c>
      <c r="C88" s="30" t="s">
        <v>8</v>
      </c>
      <c r="D88" s="2" t="s">
        <v>39</v>
      </c>
      <c r="E88" s="30">
        <v>8270</v>
      </c>
      <c r="F88" s="30">
        <v>8270</v>
      </c>
      <c r="G88" s="30">
        <v>0</v>
      </c>
      <c r="H88" s="30">
        <v>150</v>
      </c>
      <c r="I88" s="30">
        <v>0</v>
      </c>
      <c r="K88" s="86"/>
    </row>
    <row r="89" spans="2:11" x14ac:dyDescent="0.3">
      <c r="B89" s="43">
        <v>42716</v>
      </c>
      <c r="C89" s="30" t="s">
        <v>8</v>
      </c>
      <c r="D89" s="2" t="s">
        <v>39</v>
      </c>
      <c r="E89" s="30">
        <v>8230</v>
      </c>
      <c r="F89" s="30">
        <v>8175</v>
      </c>
      <c r="G89" s="30">
        <v>55</v>
      </c>
      <c r="H89" s="30">
        <v>150</v>
      </c>
      <c r="I89" s="30">
        <v>8250</v>
      </c>
      <c r="K89" s="86"/>
    </row>
    <row r="90" spans="2:11" x14ac:dyDescent="0.3">
      <c r="B90" s="43">
        <v>42717</v>
      </c>
      <c r="C90" s="30" t="s">
        <v>8</v>
      </c>
      <c r="D90" s="2" t="s">
        <v>39</v>
      </c>
      <c r="E90" s="30">
        <v>8185</v>
      </c>
      <c r="F90" s="30">
        <v>8220</v>
      </c>
      <c r="G90" s="30">
        <v>-35</v>
      </c>
      <c r="H90" s="30">
        <v>150</v>
      </c>
      <c r="I90" s="30">
        <v>-5250</v>
      </c>
      <c r="K90" s="86"/>
    </row>
    <row r="91" spans="2:11" x14ac:dyDescent="0.3">
      <c r="B91" s="43">
        <v>42718</v>
      </c>
      <c r="C91" s="30" t="s">
        <v>8</v>
      </c>
      <c r="D91" s="2" t="s">
        <v>39</v>
      </c>
      <c r="E91" s="30">
        <v>8210</v>
      </c>
      <c r="F91" s="30">
        <v>8175</v>
      </c>
      <c r="G91" s="30">
        <v>35</v>
      </c>
      <c r="H91" s="30">
        <v>150</v>
      </c>
      <c r="I91" s="30">
        <v>5250</v>
      </c>
      <c r="K91" s="86"/>
    </row>
    <row r="92" spans="2:11" x14ac:dyDescent="0.3">
      <c r="B92" s="43">
        <v>42719</v>
      </c>
      <c r="C92" s="30" t="s">
        <v>8</v>
      </c>
      <c r="D92" s="2" t="s">
        <v>39</v>
      </c>
      <c r="E92" s="30">
        <v>8225</v>
      </c>
      <c r="F92" s="30">
        <v>8180</v>
      </c>
      <c r="G92" s="30">
        <v>45</v>
      </c>
      <c r="H92" s="30">
        <v>150</v>
      </c>
      <c r="I92" s="30">
        <v>6750</v>
      </c>
      <c r="K92" s="86"/>
    </row>
    <row r="93" spans="2:11" x14ac:dyDescent="0.3">
      <c r="B93" s="43">
        <v>42720</v>
      </c>
      <c r="C93" s="30" t="s">
        <v>8</v>
      </c>
      <c r="D93" s="2" t="s">
        <v>39</v>
      </c>
      <c r="E93" s="30">
        <v>8155</v>
      </c>
      <c r="F93" s="30">
        <v>8140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42723</v>
      </c>
      <c r="C94" s="30" t="s">
        <v>8</v>
      </c>
      <c r="D94" s="2" t="s">
        <v>39</v>
      </c>
      <c r="E94" s="30">
        <v>8145</v>
      </c>
      <c r="F94" s="30">
        <v>8120</v>
      </c>
      <c r="G94" s="30">
        <v>25</v>
      </c>
      <c r="H94" s="30">
        <v>150</v>
      </c>
      <c r="I94" s="30">
        <v>3750</v>
      </c>
      <c r="K94" s="86"/>
    </row>
    <row r="95" spans="2:11" x14ac:dyDescent="0.3">
      <c r="B95" s="43">
        <v>42724</v>
      </c>
      <c r="C95" s="30" t="s">
        <v>8</v>
      </c>
      <c r="D95" s="2" t="s">
        <v>39</v>
      </c>
      <c r="E95" s="30">
        <v>8125</v>
      </c>
      <c r="F95" s="30">
        <v>8085</v>
      </c>
      <c r="G95" s="30">
        <v>40</v>
      </c>
      <c r="H95" s="30">
        <v>150</v>
      </c>
      <c r="I95" s="30">
        <v>6000</v>
      </c>
      <c r="K95" s="86"/>
    </row>
    <row r="96" spans="2:11" x14ac:dyDescent="0.3">
      <c r="B96" s="43">
        <v>42725</v>
      </c>
      <c r="C96" s="30" t="s">
        <v>8</v>
      </c>
      <c r="D96" s="2" t="s">
        <v>39</v>
      </c>
      <c r="E96" s="30">
        <v>8110</v>
      </c>
      <c r="F96" s="30">
        <v>8075</v>
      </c>
      <c r="G96" s="30">
        <v>35</v>
      </c>
      <c r="H96" s="30">
        <v>150</v>
      </c>
      <c r="I96" s="30">
        <v>5250</v>
      </c>
      <c r="K96" s="86"/>
    </row>
    <row r="97" spans="2:11" x14ac:dyDescent="0.3">
      <c r="B97" s="43">
        <v>42726</v>
      </c>
      <c r="C97" s="30" t="s">
        <v>8</v>
      </c>
      <c r="D97" s="2" t="s">
        <v>39</v>
      </c>
      <c r="E97" s="30">
        <v>8020</v>
      </c>
      <c r="F97" s="30">
        <v>7985</v>
      </c>
      <c r="G97" s="30">
        <v>35</v>
      </c>
      <c r="H97" s="30">
        <v>150</v>
      </c>
      <c r="I97" s="30">
        <v>5250</v>
      </c>
      <c r="K97" s="86"/>
    </row>
    <row r="98" spans="2:11" x14ac:dyDescent="0.3">
      <c r="B98" s="43">
        <v>42727</v>
      </c>
      <c r="C98" s="30" t="s">
        <v>8</v>
      </c>
      <c r="D98" s="2" t="s">
        <v>39</v>
      </c>
      <c r="E98" s="30">
        <v>7965</v>
      </c>
      <c r="F98" s="30">
        <v>8000</v>
      </c>
      <c r="G98" s="30">
        <v>-35</v>
      </c>
      <c r="H98" s="30">
        <v>150</v>
      </c>
      <c r="I98" s="30">
        <v>-5250</v>
      </c>
      <c r="K98" s="86"/>
    </row>
    <row r="99" spans="2:11" x14ac:dyDescent="0.3">
      <c r="B99" s="43">
        <v>42730</v>
      </c>
      <c r="C99" s="30" t="s">
        <v>8</v>
      </c>
      <c r="D99" s="2" t="s">
        <v>39</v>
      </c>
      <c r="E99" s="30">
        <v>7925</v>
      </c>
      <c r="F99" s="30">
        <v>7900</v>
      </c>
      <c r="G99" s="30">
        <v>25</v>
      </c>
      <c r="H99" s="30">
        <v>150</v>
      </c>
      <c r="I99" s="30">
        <v>3750</v>
      </c>
      <c r="K99" s="86"/>
    </row>
    <row r="100" spans="2:11" x14ac:dyDescent="0.3">
      <c r="B100" s="43">
        <v>42731</v>
      </c>
      <c r="C100" s="30" t="s">
        <v>8</v>
      </c>
      <c r="D100" s="2" t="s">
        <v>39</v>
      </c>
      <c r="E100" s="30">
        <v>7940</v>
      </c>
      <c r="F100" s="30">
        <v>7975</v>
      </c>
      <c r="G100" s="30">
        <v>-35</v>
      </c>
      <c r="H100" s="30">
        <v>150</v>
      </c>
      <c r="I100" s="30">
        <v>-5250</v>
      </c>
      <c r="K100" s="86"/>
    </row>
    <row r="101" spans="2:11" x14ac:dyDescent="0.3">
      <c r="B101" s="43">
        <v>42732</v>
      </c>
      <c r="C101" s="30" t="s">
        <v>8</v>
      </c>
      <c r="D101" s="2" t="s">
        <v>39</v>
      </c>
      <c r="E101" s="30">
        <v>8065</v>
      </c>
      <c r="F101" s="30">
        <v>8100</v>
      </c>
      <c r="G101" s="30">
        <v>-35</v>
      </c>
      <c r="H101" s="30">
        <v>150</v>
      </c>
      <c r="I101" s="30">
        <v>-5250</v>
      </c>
      <c r="K101" s="86"/>
    </row>
    <row r="102" spans="2:11" x14ac:dyDescent="0.3">
      <c r="B102" s="43">
        <v>42733</v>
      </c>
      <c r="C102" s="30" t="s">
        <v>8</v>
      </c>
      <c r="D102" s="2" t="s">
        <v>39</v>
      </c>
      <c r="E102" s="30">
        <v>8050</v>
      </c>
      <c r="F102" s="30">
        <v>8085</v>
      </c>
      <c r="G102" s="30">
        <v>-35</v>
      </c>
      <c r="H102" s="30">
        <v>150</v>
      </c>
      <c r="I102" s="30">
        <v>-5250</v>
      </c>
      <c r="K102" s="86"/>
    </row>
    <row r="103" spans="2:11" x14ac:dyDescent="0.3">
      <c r="B103" s="43">
        <v>42734</v>
      </c>
      <c r="C103" s="30" t="s">
        <v>8</v>
      </c>
      <c r="D103" s="2" t="s">
        <v>39</v>
      </c>
      <c r="E103" s="30">
        <v>8185</v>
      </c>
      <c r="F103" s="30">
        <v>8170</v>
      </c>
      <c r="G103" s="30">
        <v>15</v>
      </c>
      <c r="H103" s="30">
        <v>150</v>
      </c>
      <c r="I103" s="30">
        <v>2250</v>
      </c>
      <c r="K103" s="86"/>
    </row>
    <row r="104" spans="2:11" ht="21" x14ac:dyDescent="0.4">
      <c r="B104" s="43"/>
      <c r="C104" s="30"/>
      <c r="D104" s="2"/>
      <c r="E104" s="30"/>
      <c r="F104" s="30"/>
      <c r="G104" s="30"/>
      <c r="H104" s="30"/>
      <c r="I104" s="129" t="s">
        <v>1926</v>
      </c>
      <c r="K104" s="86"/>
    </row>
    <row r="105" spans="2:11" ht="21" x14ac:dyDescent="0.4">
      <c r="B105" s="43"/>
      <c r="C105" s="30"/>
      <c r="D105" s="2"/>
      <c r="E105" s="30"/>
      <c r="F105" s="30"/>
      <c r="G105" s="30"/>
      <c r="H105" s="30"/>
      <c r="I105" s="129"/>
      <c r="K105" s="86"/>
    </row>
    <row r="106" spans="2:11" ht="18" x14ac:dyDescent="0.35">
      <c r="B106" s="43"/>
      <c r="C106" s="30"/>
      <c r="D106" s="2"/>
      <c r="E106" s="30"/>
      <c r="F106" s="30"/>
      <c r="G106" s="30"/>
      <c r="H106" s="30"/>
      <c r="I106" s="76"/>
      <c r="K106" s="86"/>
    </row>
    <row r="107" spans="2:11" ht="15.6" x14ac:dyDescent="0.3">
      <c r="B107" s="48" t="s">
        <v>991</v>
      </c>
      <c r="C107" s="61"/>
      <c r="D107" s="61"/>
      <c r="E107" s="61"/>
      <c r="F107" s="61"/>
      <c r="G107" s="61"/>
      <c r="H107" s="61"/>
      <c r="I107" s="61"/>
      <c r="K107" s="86"/>
    </row>
    <row r="108" spans="2:11" x14ac:dyDescent="0.3">
      <c r="B108" s="43">
        <v>42705</v>
      </c>
      <c r="C108" s="3" t="s">
        <v>9</v>
      </c>
      <c r="D108" s="3" t="s">
        <v>983</v>
      </c>
      <c r="E108" s="41" t="s">
        <v>229</v>
      </c>
      <c r="F108" s="41" t="s">
        <v>854</v>
      </c>
      <c r="G108" s="41" t="s">
        <v>951</v>
      </c>
      <c r="H108" s="30">
        <v>300</v>
      </c>
      <c r="I108" s="8">
        <v>4500</v>
      </c>
      <c r="K108" s="86"/>
    </row>
    <row r="109" spans="2:11" x14ac:dyDescent="0.3">
      <c r="B109" s="43">
        <v>42706</v>
      </c>
      <c r="C109" s="3" t="s">
        <v>9</v>
      </c>
      <c r="D109" s="3" t="s">
        <v>977</v>
      </c>
      <c r="E109" s="30">
        <v>155</v>
      </c>
      <c r="F109" s="30">
        <v>180</v>
      </c>
      <c r="G109" s="30">
        <v>25</v>
      </c>
      <c r="H109" s="30">
        <v>300</v>
      </c>
      <c r="I109" s="8">
        <v>7500</v>
      </c>
      <c r="K109" s="86"/>
    </row>
    <row r="110" spans="2:11" x14ac:dyDescent="0.3">
      <c r="B110" s="43">
        <v>42709</v>
      </c>
      <c r="C110" s="3" t="s">
        <v>9</v>
      </c>
      <c r="D110" s="3" t="s">
        <v>980</v>
      </c>
      <c r="E110" s="30">
        <v>135</v>
      </c>
      <c r="F110" s="30">
        <v>145</v>
      </c>
      <c r="G110" s="30">
        <v>10</v>
      </c>
      <c r="H110" s="30">
        <v>300</v>
      </c>
      <c r="I110" s="8">
        <v>3000</v>
      </c>
    </row>
    <row r="111" spans="2:11" x14ac:dyDescent="0.3">
      <c r="B111" s="43">
        <v>42710</v>
      </c>
      <c r="C111" s="3" t="s">
        <v>9</v>
      </c>
      <c r="D111" s="3" t="s">
        <v>977</v>
      </c>
      <c r="E111" s="30">
        <v>133</v>
      </c>
      <c r="F111" s="30">
        <v>143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42711</v>
      </c>
      <c r="C112" s="3" t="s">
        <v>9</v>
      </c>
      <c r="D112" s="30" t="s">
        <v>977</v>
      </c>
      <c r="E112" s="30">
        <v>130</v>
      </c>
      <c r="F112" s="30">
        <v>170</v>
      </c>
      <c r="G112" s="30">
        <v>40</v>
      </c>
      <c r="H112" s="30">
        <v>300</v>
      </c>
      <c r="I112" s="8">
        <v>12000</v>
      </c>
    </row>
    <row r="113" spans="2:9" x14ac:dyDescent="0.3">
      <c r="B113" s="43">
        <v>42712</v>
      </c>
      <c r="C113" s="3" t="s">
        <v>9</v>
      </c>
      <c r="D113" s="30" t="s">
        <v>977</v>
      </c>
      <c r="E113" s="30">
        <v>125</v>
      </c>
      <c r="F113" s="30">
        <v>142</v>
      </c>
      <c r="G113" s="30">
        <v>17</v>
      </c>
      <c r="H113" s="30">
        <v>300</v>
      </c>
      <c r="I113" s="8">
        <v>5100</v>
      </c>
    </row>
    <row r="114" spans="2:9" x14ac:dyDescent="0.3">
      <c r="B114" s="43">
        <v>42713</v>
      </c>
      <c r="C114" s="3" t="s">
        <v>9</v>
      </c>
      <c r="D114" s="30" t="s">
        <v>983</v>
      </c>
      <c r="E114" s="30">
        <v>115</v>
      </c>
      <c r="F114" s="30">
        <v>113</v>
      </c>
      <c r="G114" s="30">
        <v>-2</v>
      </c>
      <c r="H114" s="30">
        <v>300</v>
      </c>
      <c r="I114" s="8">
        <v>-600</v>
      </c>
    </row>
    <row r="115" spans="2:9" x14ac:dyDescent="0.3">
      <c r="B115" s="43">
        <v>42716</v>
      </c>
      <c r="C115" s="3" t="s">
        <v>9</v>
      </c>
      <c r="D115" s="30" t="s">
        <v>983</v>
      </c>
      <c r="E115" s="30">
        <v>135</v>
      </c>
      <c r="F115" s="30">
        <v>175</v>
      </c>
      <c r="G115" s="30">
        <v>40</v>
      </c>
      <c r="H115" s="30">
        <v>300</v>
      </c>
      <c r="I115" s="8">
        <v>12000</v>
      </c>
    </row>
    <row r="116" spans="2:9" x14ac:dyDescent="0.3">
      <c r="B116" s="43">
        <v>42717</v>
      </c>
      <c r="C116" s="3" t="s">
        <v>9</v>
      </c>
      <c r="D116" s="30" t="s">
        <v>977</v>
      </c>
      <c r="E116" s="30">
        <v>110</v>
      </c>
      <c r="F116" s="30">
        <v>90</v>
      </c>
      <c r="G116" s="30">
        <v>-20</v>
      </c>
      <c r="H116" s="30">
        <v>300</v>
      </c>
      <c r="I116" s="8">
        <v>-6000</v>
      </c>
    </row>
    <row r="117" spans="2:9" x14ac:dyDescent="0.3">
      <c r="B117" s="43">
        <v>42718</v>
      </c>
      <c r="C117" s="3" t="s">
        <v>9</v>
      </c>
      <c r="D117" s="30" t="s">
        <v>977</v>
      </c>
      <c r="E117" s="30">
        <v>95</v>
      </c>
      <c r="F117" s="30">
        <v>110</v>
      </c>
      <c r="G117" s="30">
        <v>15</v>
      </c>
      <c r="H117" s="30">
        <v>300</v>
      </c>
      <c r="I117" s="8">
        <v>4500</v>
      </c>
    </row>
    <row r="118" spans="2:9" x14ac:dyDescent="0.3">
      <c r="B118" s="43">
        <v>42719</v>
      </c>
      <c r="C118" s="3" t="s">
        <v>9</v>
      </c>
      <c r="D118" s="30" t="s">
        <v>983</v>
      </c>
      <c r="E118" s="30">
        <v>130</v>
      </c>
      <c r="F118" s="30">
        <v>160</v>
      </c>
      <c r="G118" s="30">
        <v>30</v>
      </c>
      <c r="H118" s="30">
        <v>300</v>
      </c>
      <c r="I118" s="8">
        <v>9000</v>
      </c>
    </row>
    <row r="119" spans="2:9" x14ac:dyDescent="0.3">
      <c r="B119" s="43">
        <v>42720</v>
      </c>
      <c r="C119" s="3" t="s">
        <v>9</v>
      </c>
      <c r="D119" s="30" t="s">
        <v>977</v>
      </c>
      <c r="E119" s="30">
        <v>110</v>
      </c>
      <c r="F119" s="30">
        <v>110</v>
      </c>
      <c r="G119" s="30">
        <v>0</v>
      </c>
      <c r="H119" s="30">
        <v>300</v>
      </c>
      <c r="I119" s="8">
        <v>0</v>
      </c>
    </row>
    <row r="120" spans="2:9" x14ac:dyDescent="0.3">
      <c r="B120" s="43">
        <v>42723</v>
      </c>
      <c r="C120" s="3" t="s">
        <v>9</v>
      </c>
      <c r="D120" s="30" t="s">
        <v>977</v>
      </c>
      <c r="E120" s="30">
        <v>100</v>
      </c>
      <c r="F120" s="30">
        <v>115</v>
      </c>
      <c r="G120" s="30">
        <v>15</v>
      </c>
      <c r="H120" s="30">
        <v>300</v>
      </c>
      <c r="I120" s="8">
        <v>4500</v>
      </c>
    </row>
    <row r="121" spans="2:9" x14ac:dyDescent="0.3">
      <c r="B121" s="43">
        <v>42724</v>
      </c>
      <c r="C121" s="3" t="s">
        <v>9</v>
      </c>
      <c r="D121" s="30" t="s">
        <v>977</v>
      </c>
      <c r="E121" s="30">
        <v>100</v>
      </c>
      <c r="F121" s="30">
        <v>135</v>
      </c>
      <c r="G121" s="30">
        <v>35</v>
      </c>
      <c r="H121" s="30">
        <v>300</v>
      </c>
      <c r="I121" s="8">
        <v>10500</v>
      </c>
    </row>
    <row r="122" spans="2:9" x14ac:dyDescent="0.3">
      <c r="B122" s="43">
        <v>42725</v>
      </c>
      <c r="C122" s="3" t="s">
        <v>9</v>
      </c>
      <c r="D122" s="30" t="s">
        <v>977</v>
      </c>
      <c r="E122" s="30">
        <v>110</v>
      </c>
      <c r="F122" s="30">
        <v>133</v>
      </c>
      <c r="G122" s="30">
        <v>23</v>
      </c>
      <c r="H122" s="30">
        <v>300</v>
      </c>
      <c r="I122" s="8">
        <v>6900</v>
      </c>
    </row>
    <row r="123" spans="2:9" x14ac:dyDescent="0.3">
      <c r="B123" s="43">
        <v>42726</v>
      </c>
      <c r="C123" s="3" t="s">
        <v>9</v>
      </c>
      <c r="D123" s="28" t="s">
        <v>1917</v>
      </c>
      <c r="E123" s="49" t="s">
        <v>217</v>
      </c>
      <c r="F123" s="49" t="s">
        <v>524</v>
      </c>
      <c r="G123" s="49" t="s">
        <v>961</v>
      </c>
      <c r="H123" s="30">
        <v>300</v>
      </c>
      <c r="I123" s="8">
        <v>7500</v>
      </c>
    </row>
    <row r="124" spans="2:9" x14ac:dyDescent="0.3">
      <c r="B124" s="43">
        <v>42727</v>
      </c>
      <c r="C124" s="3" t="s">
        <v>9</v>
      </c>
      <c r="D124" s="28" t="s">
        <v>980</v>
      </c>
      <c r="E124" s="49" t="s">
        <v>228</v>
      </c>
      <c r="F124" s="49" t="s">
        <v>217</v>
      </c>
      <c r="G124" s="49" t="s">
        <v>917</v>
      </c>
      <c r="H124" s="30">
        <v>300</v>
      </c>
      <c r="I124" s="8">
        <v>-6000</v>
      </c>
    </row>
    <row r="125" spans="2:9" x14ac:dyDescent="0.3">
      <c r="B125" s="43">
        <v>42730</v>
      </c>
      <c r="C125" s="3" t="s">
        <v>9</v>
      </c>
      <c r="D125" s="28" t="s">
        <v>960</v>
      </c>
      <c r="E125" s="49" t="s">
        <v>217</v>
      </c>
      <c r="F125" s="49" t="s">
        <v>420</v>
      </c>
      <c r="G125" s="49" t="s">
        <v>1025</v>
      </c>
      <c r="H125" s="30">
        <v>300</v>
      </c>
      <c r="I125" s="8">
        <v>3000</v>
      </c>
    </row>
    <row r="126" spans="2:9" x14ac:dyDescent="0.3">
      <c r="B126" s="43">
        <v>42731</v>
      </c>
      <c r="C126" s="3" t="s">
        <v>9</v>
      </c>
      <c r="D126" s="28" t="s">
        <v>980</v>
      </c>
      <c r="E126" s="49" t="s">
        <v>626</v>
      </c>
      <c r="F126" s="49" t="s">
        <v>229</v>
      </c>
      <c r="G126" s="49" t="s">
        <v>1025</v>
      </c>
      <c r="H126" s="30">
        <v>300</v>
      </c>
      <c r="I126" s="8">
        <v>3000</v>
      </c>
    </row>
    <row r="127" spans="2:9" x14ac:dyDescent="0.3">
      <c r="B127" s="43">
        <v>42732</v>
      </c>
      <c r="C127" s="3" t="s">
        <v>9</v>
      </c>
      <c r="D127" s="28" t="s">
        <v>977</v>
      </c>
      <c r="E127" s="49" t="s">
        <v>232</v>
      </c>
      <c r="F127" s="49" t="s">
        <v>228</v>
      </c>
      <c r="G127" s="49" t="s">
        <v>917</v>
      </c>
      <c r="H127" s="30">
        <v>300</v>
      </c>
      <c r="I127" s="8">
        <v>-6000</v>
      </c>
    </row>
    <row r="128" spans="2:9" x14ac:dyDescent="0.3">
      <c r="B128" s="43">
        <v>42733</v>
      </c>
      <c r="C128" s="3" t="s">
        <v>9</v>
      </c>
      <c r="D128" s="28" t="s">
        <v>977</v>
      </c>
      <c r="E128" s="49" t="s">
        <v>226</v>
      </c>
      <c r="F128" s="49" t="s">
        <v>582</v>
      </c>
      <c r="G128" s="49" t="s">
        <v>917</v>
      </c>
      <c r="H128" s="30">
        <v>300</v>
      </c>
      <c r="I128" s="8">
        <v>-6000</v>
      </c>
    </row>
    <row r="129" spans="2:9" x14ac:dyDescent="0.3">
      <c r="B129" s="43">
        <v>42734</v>
      </c>
      <c r="C129" s="3" t="s">
        <v>9</v>
      </c>
      <c r="D129" s="28" t="s">
        <v>1927</v>
      </c>
      <c r="E129" s="49" t="s">
        <v>524</v>
      </c>
      <c r="F129" s="49" t="s">
        <v>524</v>
      </c>
      <c r="G129" s="49" t="s">
        <v>756</v>
      </c>
      <c r="H129" s="30">
        <v>300</v>
      </c>
      <c r="I129" s="8">
        <v>0</v>
      </c>
    </row>
    <row r="130" spans="2:9" ht="21" x14ac:dyDescent="0.3">
      <c r="C130" s="3"/>
      <c r="D130" s="28"/>
      <c r="E130" s="49"/>
      <c r="F130" s="49"/>
      <c r="G130" s="49"/>
      <c r="H130" s="30"/>
      <c r="I130" s="128">
        <v>71400</v>
      </c>
    </row>
    <row r="131" spans="2:9" ht="21" x14ac:dyDescent="0.3">
      <c r="C131" s="3"/>
      <c r="D131" s="28"/>
      <c r="E131" s="49"/>
      <c r="F131" s="49"/>
      <c r="G131" s="49"/>
      <c r="H131" s="30"/>
      <c r="I131" s="128"/>
    </row>
    <row r="132" spans="2:9" x14ac:dyDescent="0.3">
      <c r="B132" s="1"/>
      <c r="C132" s="28"/>
      <c r="D132" s="28"/>
      <c r="E132" s="81"/>
      <c r="F132" s="81"/>
      <c r="G132" s="81"/>
      <c r="H132" s="81"/>
      <c r="I132" s="81"/>
    </row>
    <row r="133" spans="2:9" ht="15.6" x14ac:dyDescent="0.3">
      <c r="B133" s="48" t="s">
        <v>926</v>
      </c>
      <c r="C133" s="48"/>
      <c r="D133" s="48"/>
      <c r="E133" s="48"/>
      <c r="F133" s="48"/>
      <c r="G133" s="48"/>
      <c r="H133" s="48"/>
      <c r="I133" s="48"/>
    </row>
    <row r="134" spans="2:9" x14ac:dyDescent="0.3">
      <c r="B134" s="43">
        <v>42705</v>
      </c>
      <c r="C134" s="30" t="s">
        <v>8</v>
      </c>
      <c r="D134" s="30" t="s">
        <v>301</v>
      </c>
      <c r="E134" s="30">
        <v>18650</v>
      </c>
      <c r="F134" s="30">
        <v>18470</v>
      </c>
      <c r="G134" s="30">
        <v>180</v>
      </c>
      <c r="H134" s="30">
        <v>160</v>
      </c>
      <c r="I134" s="30">
        <v>28800</v>
      </c>
    </row>
    <row r="135" spans="2:9" x14ac:dyDescent="0.3">
      <c r="B135" s="43">
        <v>42706</v>
      </c>
      <c r="C135" s="30" t="s">
        <v>8</v>
      </c>
      <c r="D135" s="30" t="s">
        <v>301</v>
      </c>
      <c r="E135" s="30">
        <v>18320</v>
      </c>
      <c r="F135" s="30">
        <v>18260</v>
      </c>
      <c r="G135" s="30">
        <v>60</v>
      </c>
      <c r="H135" s="30">
        <v>160</v>
      </c>
      <c r="I135" s="30">
        <v>9600</v>
      </c>
    </row>
    <row r="136" spans="2:9" x14ac:dyDescent="0.3">
      <c r="B136" s="43">
        <v>42709</v>
      </c>
      <c r="C136" s="30" t="s">
        <v>8</v>
      </c>
      <c r="D136" s="30" t="s">
        <v>301</v>
      </c>
      <c r="E136" s="30">
        <v>18320</v>
      </c>
      <c r="F136" s="30">
        <v>18270</v>
      </c>
      <c r="G136" s="30">
        <v>50</v>
      </c>
      <c r="H136" s="30">
        <v>160</v>
      </c>
      <c r="I136" s="30">
        <v>8000</v>
      </c>
    </row>
    <row r="137" spans="2:9" x14ac:dyDescent="0.3">
      <c r="B137" s="43">
        <v>42710</v>
      </c>
      <c r="C137" s="30" t="s">
        <v>8</v>
      </c>
      <c r="D137" s="30" t="s">
        <v>301</v>
      </c>
      <c r="E137" s="30">
        <v>18450</v>
      </c>
      <c r="F137" s="30">
        <v>18480</v>
      </c>
      <c r="G137" s="30">
        <v>-30</v>
      </c>
      <c r="H137" s="30">
        <v>160</v>
      </c>
      <c r="I137" s="30">
        <v>-4800</v>
      </c>
    </row>
    <row r="138" spans="2:9" x14ac:dyDescent="0.3">
      <c r="B138" s="43">
        <v>42711</v>
      </c>
      <c r="C138" s="30" t="s">
        <v>8</v>
      </c>
      <c r="D138" s="30" t="s">
        <v>301</v>
      </c>
      <c r="E138" s="30">
        <v>18530</v>
      </c>
      <c r="F138" s="30">
        <v>18230</v>
      </c>
      <c r="G138" s="30">
        <v>300</v>
      </c>
      <c r="H138" s="30">
        <v>160</v>
      </c>
      <c r="I138" s="30">
        <v>48000</v>
      </c>
    </row>
    <row r="139" spans="2:9" x14ac:dyDescent="0.3">
      <c r="B139" s="43">
        <v>42712</v>
      </c>
      <c r="C139" s="30" t="s">
        <v>9</v>
      </c>
      <c r="D139" s="30" t="s">
        <v>301</v>
      </c>
      <c r="E139" s="30">
        <v>18500</v>
      </c>
      <c r="F139" s="30">
        <v>18600</v>
      </c>
      <c r="G139" s="30">
        <v>100</v>
      </c>
      <c r="H139" s="30">
        <v>160</v>
      </c>
      <c r="I139" s="30">
        <v>16000</v>
      </c>
    </row>
    <row r="140" spans="2:9" x14ac:dyDescent="0.3">
      <c r="B140" s="43">
        <v>42713</v>
      </c>
      <c r="C140" s="30" t="s">
        <v>8</v>
      </c>
      <c r="D140" s="30" t="s">
        <v>301</v>
      </c>
      <c r="E140" s="30">
        <v>18500</v>
      </c>
      <c r="F140" s="30">
        <v>18700</v>
      </c>
      <c r="G140" s="30">
        <v>-200</v>
      </c>
      <c r="H140" s="30">
        <v>160</v>
      </c>
      <c r="I140" s="30">
        <v>-32000</v>
      </c>
    </row>
    <row r="141" spans="2:9" x14ac:dyDescent="0.3">
      <c r="B141" s="43">
        <v>42716</v>
      </c>
      <c r="C141" s="30" t="s">
        <v>8</v>
      </c>
      <c r="D141" s="30" t="s">
        <v>301</v>
      </c>
      <c r="E141" s="30">
        <v>18600</v>
      </c>
      <c r="F141" s="30">
        <v>18400</v>
      </c>
      <c r="G141" s="30">
        <v>200</v>
      </c>
      <c r="H141" s="30">
        <v>160</v>
      </c>
      <c r="I141" s="30">
        <v>32000</v>
      </c>
    </row>
    <row r="142" spans="2:9" x14ac:dyDescent="0.3">
      <c r="B142" s="43">
        <v>42717</v>
      </c>
      <c r="C142" s="30" t="s">
        <v>8</v>
      </c>
      <c r="D142" s="30" t="s">
        <v>301</v>
      </c>
      <c r="E142" s="30">
        <v>18400</v>
      </c>
      <c r="F142" s="30">
        <v>18350</v>
      </c>
      <c r="G142" s="30">
        <v>50</v>
      </c>
      <c r="H142" s="30">
        <v>160</v>
      </c>
      <c r="I142" s="30">
        <v>8000</v>
      </c>
    </row>
    <row r="143" spans="2:9" x14ac:dyDescent="0.3">
      <c r="B143" s="43">
        <v>42718</v>
      </c>
      <c r="C143" s="30" t="s">
        <v>8</v>
      </c>
      <c r="D143" s="30" t="s">
        <v>301</v>
      </c>
      <c r="E143" s="30">
        <v>18440</v>
      </c>
      <c r="F143" s="30">
        <v>18355</v>
      </c>
      <c r="G143" s="30">
        <v>85</v>
      </c>
      <c r="H143" s="30">
        <v>160</v>
      </c>
      <c r="I143" s="30">
        <v>13600</v>
      </c>
    </row>
    <row r="144" spans="2:9" x14ac:dyDescent="0.3">
      <c r="B144" s="43">
        <v>42719</v>
      </c>
      <c r="C144" s="30" t="s">
        <v>8</v>
      </c>
      <c r="D144" s="30" t="s">
        <v>301</v>
      </c>
      <c r="E144" s="30">
        <v>18530</v>
      </c>
      <c r="F144" s="30">
        <v>18380</v>
      </c>
      <c r="G144" s="30">
        <v>150</v>
      </c>
      <c r="H144" s="30">
        <v>160</v>
      </c>
      <c r="I144" s="30">
        <v>24000</v>
      </c>
    </row>
    <row r="145" spans="1:10" x14ac:dyDescent="0.3">
      <c r="B145" s="43">
        <v>42720</v>
      </c>
      <c r="C145" s="30" t="s">
        <v>8</v>
      </c>
      <c r="D145" s="30" t="s">
        <v>301</v>
      </c>
      <c r="E145" s="30">
        <v>18360</v>
      </c>
      <c r="F145" s="30">
        <v>18300</v>
      </c>
      <c r="G145" s="30">
        <v>60</v>
      </c>
      <c r="H145" s="30">
        <v>160</v>
      </c>
      <c r="I145" s="30">
        <v>9600</v>
      </c>
    </row>
    <row r="146" spans="1:10" x14ac:dyDescent="0.3">
      <c r="B146" s="43">
        <v>42723</v>
      </c>
      <c r="C146" s="30" t="s">
        <v>8</v>
      </c>
      <c r="D146" s="30" t="s">
        <v>301</v>
      </c>
      <c r="E146" s="30">
        <v>18300</v>
      </c>
      <c r="F146" s="30">
        <v>18300</v>
      </c>
      <c r="G146" s="30">
        <v>0</v>
      </c>
      <c r="H146" s="30">
        <v>160</v>
      </c>
      <c r="I146" s="30">
        <v>0</v>
      </c>
    </row>
    <row r="147" spans="1:10" x14ac:dyDescent="0.3">
      <c r="B147" s="43">
        <v>42724</v>
      </c>
      <c r="C147" s="30" t="s">
        <v>8</v>
      </c>
      <c r="D147" s="30" t="s">
        <v>301</v>
      </c>
      <c r="E147" s="30">
        <v>18280</v>
      </c>
      <c r="F147" s="30">
        <v>18070</v>
      </c>
      <c r="G147" s="30">
        <v>210</v>
      </c>
      <c r="H147" s="30">
        <v>160</v>
      </c>
      <c r="I147" s="30">
        <v>33600</v>
      </c>
    </row>
    <row r="148" spans="1:10" x14ac:dyDescent="0.3">
      <c r="B148" s="43">
        <v>42725</v>
      </c>
      <c r="C148" s="30" t="s">
        <v>8</v>
      </c>
      <c r="D148" s="30" t="s">
        <v>301</v>
      </c>
      <c r="E148" s="30">
        <v>18160</v>
      </c>
      <c r="F148" s="30">
        <v>18100</v>
      </c>
      <c r="G148" s="30">
        <v>60</v>
      </c>
      <c r="H148" s="30">
        <v>160</v>
      </c>
      <c r="I148" s="30">
        <v>9600</v>
      </c>
    </row>
    <row r="149" spans="1:10" x14ac:dyDescent="0.3">
      <c r="B149" s="43">
        <v>42726</v>
      </c>
      <c r="C149" s="30" t="s">
        <v>8</v>
      </c>
      <c r="D149" s="30" t="s">
        <v>301</v>
      </c>
      <c r="E149" s="30">
        <v>17950</v>
      </c>
      <c r="F149" s="30">
        <v>17900</v>
      </c>
      <c r="G149" s="30">
        <v>50</v>
      </c>
      <c r="H149" s="30">
        <v>160</v>
      </c>
      <c r="I149" s="30">
        <v>8000</v>
      </c>
    </row>
    <row r="150" spans="1:10" x14ac:dyDescent="0.3">
      <c r="B150" s="43">
        <v>42727</v>
      </c>
      <c r="C150" s="30" t="s">
        <v>8</v>
      </c>
      <c r="D150" s="30" t="s">
        <v>301</v>
      </c>
      <c r="E150" s="30">
        <v>17880</v>
      </c>
      <c r="F150" s="30">
        <v>17880</v>
      </c>
      <c r="G150" s="30">
        <v>0</v>
      </c>
      <c r="H150" s="30">
        <v>160</v>
      </c>
      <c r="I150" s="30">
        <v>0</v>
      </c>
    </row>
    <row r="151" spans="1:10" x14ac:dyDescent="0.3">
      <c r="B151" s="43">
        <v>42730</v>
      </c>
      <c r="C151" s="30" t="s">
        <v>8</v>
      </c>
      <c r="D151" s="30" t="s">
        <v>301</v>
      </c>
      <c r="E151" s="30">
        <v>17700</v>
      </c>
      <c r="F151" s="30">
        <v>17660</v>
      </c>
      <c r="G151" s="30">
        <v>40</v>
      </c>
      <c r="H151" s="30">
        <v>160</v>
      </c>
      <c r="I151" s="30">
        <v>6400</v>
      </c>
    </row>
    <row r="152" spans="1:10" x14ac:dyDescent="0.3">
      <c r="B152" s="43">
        <v>42731</v>
      </c>
      <c r="C152" s="30" t="s">
        <v>8</v>
      </c>
      <c r="D152" s="30" t="s">
        <v>301</v>
      </c>
      <c r="E152" s="30">
        <v>17680</v>
      </c>
      <c r="F152" s="30">
        <v>17880</v>
      </c>
      <c r="G152" s="30">
        <v>-200</v>
      </c>
      <c r="H152" s="30">
        <v>160</v>
      </c>
      <c r="I152" s="30">
        <v>-32000</v>
      </c>
    </row>
    <row r="153" spans="1:10" x14ac:dyDescent="0.3">
      <c r="B153" s="43">
        <v>42732</v>
      </c>
      <c r="C153" s="30" t="s">
        <v>8</v>
      </c>
      <c r="D153" s="30" t="s">
        <v>301</v>
      </c>
      <c r="E153" s="30">
        <v>17950</v>
      </c>
      <c r="F153" s="30">
        <v>17850</v>
      </c>
      <c r="G153" s="30">
        <v>100</v>
      </c>
      <c r="H153" s="30">
        <v>160</v>
      </c>
      <c r="I153" s="30">
        <v>16000</v>
      </c>
    </row>
    <row r="154" spans="1:10" x14ac:dyDescent="0.3">
      <c r="B154" s="43">
        <v>42733</v>
      </c>
      <c r="C154" s="30" t="s">
        <v>8</v>
      </c>
      <c r="D154" s="30" t="s">
        <v>301</v>
      </c>
      <c r="E154" s="30">
        <v>17900</v>
      </c>
      <c r="F154" s="30">
        <v>17850</v>
      </c>
      <c r="G154" s="30">
        <v>50</v>
      </c>
      <c r="H154" s="30">
        <v>160</v>
      </c>
      <c r="I154" s="30">
        <v>8000</v>
      </c>
    </row>
    <row r="155" spans="1:10" x14ac:dyDescent="0.3">
      <c r="B155" s="43">
        <v>42734</v>
      </c>
      <c r="C155" s="30" t="s">
        <v>8</v>
      </c>
      <c r="D155" s="30" t="s">
        <v>301</v>
      </c>
      <c r="E155" s="88">
        <v>18200</v>
      </c>
      <c r="F155" s="88">
        <v>18200</v>
      </c>
      <c r="G155" s="88">
        <v>0</v>
      </c>
      <c r="H155" s="88">
        <v>160</v>
      </c>
      <c r="I155" s="88">
        <v>0</v>
      </c>
    </row>
    <row r="156" spans="1:10" ht="21" x14ac:dyDescent="0.4">
      <c r="B156" s="43"/>
      <c r="C156" s="30"/>
      <c r="D156" s="30"/>
      <c r="E156" s="30"/>
      <c r="F156" s="30"/>
      <c r="G156" s="30"/>
      <c r="H156" s="30"/>
      <c r="I156" s="112">
        <v>210400</v>
      </c>
    </row>
    <row r="157" spans="1:10" ht="21" x14ac:dyDescent="0.4">
      <c r="B157" s="43"/>
      <c r="C157" s="30"/>
      <c r="D157" s="30"/>
      <c r="E157" s="30"/>
      <c r="F157" s="30"/>
      <c r="G157" s="30"/>
      <c r="H157" s="30"/>
      <c r="I157" s="112"/>
    </row>
    <row r="158" spans="1:10" s="30" customFormat="1" x14ac:dyDescent="0.3">
      <c r="A158" s="9"/>
      <c r="B158" s="43"/>
      <c r="J158" s="9"/>
    </row>
    <row r="159" spans="1:10" s="130" customFormat="1" ht="18" x14ac:dyDescent="0.35">
      <c r="B159" s="299" t="s">
        <v>1152</v>
      </c>
      <c r="C159" s="300"/>
      <c r="D159" s="300"/>
      <c r="E159" s="300"/>
      <c r="F159" s="300"/>
      <c r="G159" s="300"/>
      <c r="H159" s="300"/>
      <c r="I159" s="301"/>
    </row>
    <row r="160" spans="1:10" x14ac:dyDescent="0.3">
      <c r="B160" s="43">
        <v>42705</v>
      </c>
      <c r="C160" s="30" t="s">
        <v>9</v>
      </c>
      <c r="D160" s="30" t="s">
        <v>1753</v>
      </c>
      <c r="E160" s="30">
        <v>430</v>
      </c>
      <c r="F160" s="30">
        <v>500</v>
      </c>
      <c r="G160" s="30">
        <v>70</v>
      </c>
      <c r="H160" s="30">
        <v>160</v>
      </c>
      <c r="I160" s="30">
        <v>11200</v>
      </c>
    </row>
    <row r="161" spans="2:15" ht="18" x14ac:dyDescent="0.35">
      <c r="B161" s="43">
        <v>42706</v>
      </c>
      <c r="C161" s="30" t="s">
        <v>9</v>
      </c>
      <c r="D161" s="30" t="s">
        <v>1909</v>
      </c>
      <c r="E161" s="30">
        <v>400</v>
      </c>
      <c r="F161" s="30">
        <v>435</v>
      </c>
      <c r="G161" s="30">
        <v>35</v>
      </c>
      <c r="H161" s="30">
        <v>160</v>
      </c>
      <c r="I161" s="30">
        <v>5600</v>
      </c>
      <c r="K161" s="100"/>
      <c r="L161" s="100"/>
      <c r="M161" s="100"/>
      <c r="N161" s="100"/>
      <c r="O161" s="100"/>
    </row>
    <row r="162" spans="2:15" x14ac:dyDescent="0.3">
      <c r="B162" s="43">
        <v>42709</v>
      </c>
      <c r="C162" s="30" t="s">
        <v>9</v>
      </c>
      <c r="D162" s="30" t="s">
        <v>1888</v>
      </c>
      <c r="E162" s="30">
        <v>430</v>
      </c>
      <c r="F162" s="30">
        <v>460</v>
      </c>
      <c r="G162" s="30">
        <v>30</v>
      </c>
      <c r="H162" s="30">
        <v>160</v>
      </c>
      <c r="I162" s="30">
        <v>4800</v>
      </c>
      <c r="L162" s="30"/>
    </row>
    <row r="163" spans="2:15" x14ac:dyDescent="0.3">
      <c r="B163" s="43">
        <v>42710</v>
      </c>
      <c r="C163" s="30" t="s">
        <v>9</v>
      </c>
      <c r="D163" s="30" t="s">
        <v>1885</v>
      </c>
      <c r="E163" s="30">
        <v>400</v>
      </c>
      <c r="F163" s="30">
        <v>370</v>
      </c>
      <c r="G163" s="30">
        <v>-30</v>
      </c>
      <c r="H163" s="30">
        <v>160</v>
      </c>
      <c r="I163" s="30">
        <v>-4800</v>
      </c>
      <c r="L163" s="30"/>
    </row>
    <row r="164" spans="2:15" x14ac:dyDescent="0.3">
      <c r="B164" s="43">
        <v>42711</v>
      </c>
      <c r="C164" s="30" t="s">
        <v>9</v>
      </c>
      <c r="D164" s="30" t="s">
        <v>1652</v>
      </c>
      <c r="E164" s="30">
        <v>370</v>
      </c>
      <c r="F164" s="30">
        <v>600</v>
      </c>
      <c r="G164" s="30">
        <v>230</v>
      </c>
      <c r="H164" s="30">
        <v>160</v>
      </c>
      <c r="I164" s="30">
        <v>36800</v>
      </c>
      <c r="L164" s="30"/>
    </row>
    <row r="165" spans="2:15" x14ac:dyDescent="0.3">
      <c r="B165" s="43">
        <v>42712</v>
      </c>
      <c r="C165" s="30" t="s">
        <v>9</v>
      </c>
      <c r="D165" s="30" t="s">
        <v>1910</v>
      </c>
      <c r="E165" s="30">
        <v>350</v>
      </c>
      <c r="F165" s="30">
        <v>380</v>
      </c>
      <c r="G165" s="30">
        <v>30</v>
      </c>
      <c r="H165" s="30">
        <v>160</v>
      </c>
      <c r="I165" s="30">
        <v>4800</v>
      </c>
      <c r="L165" s="30"/>
    </row>
    <row r="166" spans="2:15" x14ac:dyDescent="0.3">
      <c r="B166" s="43">
        <v>42713</v>
      </c>
      <c r="C166" s="30" t="s">
        <v>9</v>
      </c>
      <c r="D166" s="30" t="s">
        <v>1652</v>
      </c>
      <c r="E166" s="30">
        <v>330</v>
      </c>
      <c r="F166" s="30">
        <v>250</v>
      </c>
      <c r="G166" s="30">
        <v>-200</v>
      </c>
      <c r="H166" s="30">
        <v>160</v>
      </c>
      <c r="I166" s="30">
        <v>-32000</v>
      </c>
      <c r="L166" s="30"/>
    </row>
    <row r="167" spans="2:15" x14ac:dyDescent="0.3">
      <c r="B167" s="43">
        <v>42716</v>
      </c>
      <c r="C167" s="30" t="s">
        <v>9</v>
      </c>
      <c r="D167" s="30" t="s">
        <v>1753</v>
      </c>
      <c r="E167" s="30">
        <v>320</v>
      </c>
      <c r="F167" s="30">
        <v>420</v>
      </c>
      <c r="G167" s="30">
        <v>100</v>
      </c>
      <c r="H167" s="30">
        <v>160</v>
      </c>
      <c r="I167" s="30">
        <v>16000</v>
      </c>
      <c r="L167" s="30"/>
    </row>
    <row r="168" spans="2:15" x14ac:dyDescent="0.3">
      <c r="B168" s="43">
        <v>42717</v>
      </c>
      <c r="C168" s="30" t="s">
        <v>9</v>
      </c>
      <c r="D168" s="30" t="s">
        <v>1885</v>
      </c>
      <c r="E168" s="30">
        <v>310</v>
      </c>
      <c r="F168" s="30">
        <v>340</v>
      </c>
      <c r="G168" s="30">
        <v>30</v>
      </c>
      <c r="H168" s="30">
        <v>160</v>
      </c>
      <c r="I168" s="30">
        <v>4800</v>
      </c>
    </row>
    <row r="169" spans="2:15" x14ac:dyDescent="0.3">
      <c r="B169" s="43">
        <v>42718</v>
      </c>
      <c r="C169" s="30" t="s">
        <v>9</v>
      </c>
      <c r="D169" s="30" t="s">
        <v>1885</v>
      </c>
      <c r="E169" s="30">
        <v>280</v>
      </c>
      <c r="F169" s="30">
        <v>325</v>
      </c>
      <c r="G169" s="30">
        <v>45</v>
      </c>
      <c r="H169" s="30">
        <v>160</v>
      </c>
      <c r="I169" s="30">
        <v>7200</v>
      </c>
    </row>
    <row r="170" spans="2:15" x14ac:dyDescent="0.3">
      <c r="B170" s="43">
        <v>42719</v>
      </c>
      <c r="C170" s="30" t="s">
        <v>9</v>
      </c>
      <c r="D170" s="30" t="s">
        <v>1652</v>
      </c>
      <c r="E170" s="30">
        <v>260</v>
      </c>
      <c r="F170" s="30">
        <v>340</v>
      </c>
      <c r="G170" s="30">
        <v>80</v>
      </c>
      <c r="H170" s="30">
        <v>160</v>
      </c>
      <c r="I170" s="30">
        <v>12800</v>
      </c>
    </row>
    <row r="171" spans="2:15" x14ac:dyDescent="0.3">
      <c r="B171" s="43">
        <v>42720</v>
      </c>
      <c r="C171" s="30" t="s">
        <v>9</v>
      </c>
      <c r="D171" s="30" t="s">
        <v>1652</v>
      </c>
      <c r="E171" s="30">
        <v>310</v>
      </c>
      <c r="F171" s="30">
        <v>335</v>
      </c>
      <c r="G171" s="30">
        <v>25</v>
      </c>
      <c r="H171" s="30">
        <v>160</v>
      </c>
      <c r="I171" s="30">
        <v>4000</v>
      </c>
    </row>
    <row r="172" spans="2:15" x14ac:dyDescent="0.3">
      <c r="B172" s="43">
        <v>42723</v>
      </c>
      <c r="C172" s="30" t="s">
        <v>9</v>
      </c>
      <c r="D172" s="30" t="s">
        <v>1652</v>
      </c>
      <c r="E172" s="30">
        <v>330</v>
      </c>
      <c r="F172" s="30">
        <v>300</v>
      </c>
      <c r="G172" s="30">
        <v>-30</v>
      </c>
      <c r="H172" s="30">
        <v>160</v>
      </c>
      <c r="I172" s="30">
        <v>-4800</v>
      </c>
    </row>
    <row r="173" spans="2:15" x14ac:dyDescent="0.3">
      <c r="B173" s="43">
        <v>42724</v>
      </c>
      <c r="C173" s="30" t="s">
        <v>9</v>
      </c>
      <c r="D173" s="30" t="s">
        <v>1652</v>
      </c>
      <c r="E173" s="30">
        <v>300</v>
      </c>
      <c r="F173" s="30">
        <v>450</v>
      </c>
      <c r="G173" s="30">
        <v>150</v>
      </c>
      <c r="H173" s="30">
        <v>160</v>
      </c>
      <c r="I173" s="30">
        <v>24000</v>
      </c>
    </row>
    <row r="174" spans="2:15" x14ac:dyDescent="0.3">
      <c r="B174" s="43">
        <v>42725</v>
      </c>
      <c r="C174" s="30" t="s">
        <v>9</v>
      </c>
      <c r="D174" s="30" t="s">
        <v>1888</v>
      </c>
      <c r="E174" s="30">
        <v>225</v>
      </c>
      <c r="F174" s="30">
        <v>270</v>
      </c>
      <c r="G174" s="30">
        <v>45</v>
      </c>
      <c r="H174" s="30">
        <v>160</v>
      </c>
      <c r="I174" s="30">
        <v>7200</v>
      </c>
    </row>
    <row r="175" spans="2:15" x14ac:dyDescent="0.3">
      <c r="B175" s="43">
        <v>42726</v>
      </c>
      <c r="C175" s="30" t="s">
        <v>9</v>
      </c>
      <c r="D175" s="30" t="s">
        <v>1918</v>
      </c>
      <c r="E175" s="30">
        <v>230</v>
      </c>
      <c r="F175" s="30">
        <v>260</v>
      </c>
      <c r="G175" s="30">
        <v>30</v>
      </c>
      <c r="H175" s="30">
        <v>160</v>
      </c>
      <c r="I175" s="30">
        <v>4800</v>
      </c>
    </row>
    <row r="176" spans="2:15" x14ac:dyDescent="0.3">
      <c r="B176" s="43">
        <v>42727</v>
      </c>
      <c r="C176" s="30" t="s">
        <v>9</v>
      </c>
      <c r="D176" s="30" t="s">
        <v>1918</v>
      </c>
      <c r="E176" s="30">
        <v>270</v>
      </c>
      <c r="F176" s="30">
        <v>200</v>
      </c>
      <c r="G176" s="30">
        <v>-70</v>
      </c>
      <c r="H176" s="30">
        <v>160</v>
      </c>
      <c r="I176" s="30">
        <v>-11200</v>
      </c>
    </row>
    <row r="177" spans="2:15" x14ac:dyDescent="0.3">
      <c r="B177" s="43">
        <v>42730</v>
      </c>
      <c r="C177" s="30" t="s">
        <v>9</v>
      </c>
      <c r="D177" s="30" t="s">
        <v>1605</v>
      </c>
      <c r="E177" s="30">
        <v>330</v>
      </c>
      <c r="F177" s="30">
        <v>350</v>
      </c>
      <c r="G177" s="30">
        <v>20</v>
      </c>
      <c r="H177" s="30">
        <v>160</v>
      </c>
      <c r="I177" s="30">
        <v>3200</v>
      </c>
    </row>
    <row r="178" spans="2:15" x14ac:dyDescent="0.3">
      <c r="B178" s="43">
        <v>42731</v>
      </c>
      <c r="C178" s="30" t="s">
        <v>9</v>
      </c>
      <c r="D178" s="30" t="s">
        <v>1605</v>
      </c>
      <c r="E178" s="30">
        <v>330</v>
      </c>
      <c r="F178" s="30">
        <v>250</v>
      </c>
      <c r="G178" s="30">
        <v>-80</v>
      </c>
      <c r="H178" s="30">
        <v>160</v>
      </c>
      <c r="I178" s="30">
        <v>-12800</v>
      </c>
    </row>
    <row r="179" spans="2:15" x14ac:dyDescent="0.3">
      <c r="B179" s="43">
        <v>42732</v>
      </c>
      <c r="C179" s="30" t="s">
        <v>9</v>
      </c>
      <c r="D179" s="30" t="s">
        <v>1918</v>
      </c>
      <c r="E179" s="30">
        <v>180</v>
      </c>
      <c r="F179" s="30">
        <v>100</v>
      </c>
      <c r="G179" s="30">
        <v>-80</v>
      </c>
      <c r="H179" s="30">
        <v>160</v>
      </c>
      <c r="I179" s="30">
        <v>-12800</v>
      </c>
    </row>
    <row r="180" spans="2:15" x14ac:dyDescent="0.3">
      <c r="B180" s="43">
        <v>42733</v>
      </c>
      <c r="C180" s="30" t="s">
        <v>9</v>
      </c>
      <c r="D180" s="30" t="s">
        <v>1918</v>
      </c>
      <c r="E180" s="30">
        <v>200</v>
      </c>
      <c r="F180" s="30">
        <v>260</v>
      </c>
      <c r="G180" s="30">
        <v>60</v>
      </c>
      <c r="H180" s="30">
        <v>160</v>
      </c>
      <c r="I180" s="30">
        <v>9600</v>
      </c>
    </row>
    <row r="181" spans="2:15" x14ac:dyDescent="0.3">
      <c r="B181" s="43">
        <v>42734</v>
      </c>
      <c r="C181" s="30" t="s">
        <v>9</v>
      </c>
      <c r="D181" s="30" t="s">
        <v>1928</v>
      </c>
      <c r="E181" s="30">
        <v>300</v>
      </c>
      <c r="F181" s="30">
        <v>310</v>
      </c>
      <c r="G181" s="30">
        <v>10</v>
      </c>
      <c r="H181" s="30">
        <v>160</v>
      </c>
      <c r="I181" s="30">
        <v>1600</v>
      </c>
    </row>
    <row r="182" spans="2:15" ht="18" x14ac:dyDescent="0.35">
      <c r="C182" s="30"/>
      <c r="D182" s="30"/>
      <c r="E182" s="30"/>
      <c r="F182" s="30"/>
      <c r="G182" s="30"/>
      <c r="H182" s="30"/>
      <c r="I182" s="72">
        <v>80000</v>
      </c>
    </row>
    <row r="183" spans="2:15" ht="18" x14ac:dyDescent="0.35">
      <c r="C183" s="30"/>
      <c r="D183" s="30"/>
      <c r="E183" s="30"/>
      <c r="F183" s="30"/>
      <c r="G183" s="30"/>
      <c r="H183" s="30"/>
      <c r="I183" s="72"/>
    </row>
    <row r="185" spans="2:15" s="131" customFormat="1" ht="18" x14ac:dyDescent="0.35">
      <c r="B185" s="299" t="s">
        <v>1076</v>
      </c>
      <c r="C185" s="300"/>
      <c r="D185" s="300"/>
      <c r="E185" s="300"/>
      <c r="F185" s="300"/>
      <c r="G185" s="300"/>
      <c r="H185" s="300"/>
      <c r="I185" s="301"/>
      <c r="K185" s="130"/>
      <c r="L185" s="130"/>
      <c r="M185" s="130"/>
      <c r="N185" s="130"/>
      <c r="O185" s="130"/>
    </row>
    <row r="186" spans="2:15" x14ac:dyDescent="0.3">
      <c r="B186" s="43">
        <v>42705</v>
      </c>
      <c r="C186" s="30" t="s">
        <v>9</v>
      </c>
      <c r="D186" s="30" t="s">
        <v>1886</v>
      </c>
      <c r="E186" s="30">
        <v>16</v>
      </c>
      <c r="F186" s="30">
        <v>18</v>
      </c>
      <c r="G186" s="30">
        <v>2</v>
      </c>
      <c r="H186" s="30">
        <v>1200</v>
      </c>
      <c r="I186" s="30">
        <v>2400</v>
      </c>
    </row>
    <row r="187" spans="2:15" x14ac:dyDescent="0.3">
      <c r="B187" s="43">
        <v>42706</v>
      </c>
      <c r="C187" s="30" t="s">
        <v>9</v>
      </c>
      <c r="D187" s="30" t="s">
        <v>1911</v>
      </c>
      <c r="E187" s="30">
        <v>7</v>
      </c>
      <c r="F187" s="30">
        <v>8.6</v>
      </c>
      <c r="G187" s="30">
        <v>1.6</v>
      </c>
      <c r="H187" s="30">
        <v>4000</v>
      </c>
      <c r="I187" s="30">
        <v>6400</v>
      </c>
    </row>
    <row r="188" spans="2:15" x14ac:dyDescent="0.3">
      <c r="B188" s="43">
        <v>42709</v>
      </c>
      <c r="C188" s="30" t="s">
        <v>9</v>
      </c>
      <c r="D188" s="30" t="s">
        <v>1889</v>
      </c>
      <c r="E188" s="30">
        <v>34</v>
      </c>
      <c r="F188" s="30">
        <v>33</v>
      </c>
      <c r="G188" s="30">
        <v>-1</v>
      </c>
      <c r="H188" s="30">
        <v>500</v>
      </c>
      <c r="I188" s="30">
        <v>-500</v>
      </c>
    </row>
    <row r="189" spans="2:15" x14ac:dyDescent="0.3">
      <c r="B189" s="43">
        <v>42710</v>
      </c>
      <c r="C189" s="30" t="s">
        <v>9</v>
      </c>
      <c r="D189" s="30" t="s">
        <v>1912</v>
      </c>
      <c r="E189" s="30">
        <v>39</v>
      </c>
      <c r="F189" s="30">
        <v>35</v>
      </c>
      <c r="G189" s="30">
        <v>-4</v>
      </c>
      <c r="H189" s="30">
        <v>500</v>
      </c>
      <c r="I189" s="30">
        <v>-2000</v>
      </c>
    </row>
    <row r="190" spans="2:15" x14ac:dyDescent="0.3">
      <c r="B190" s="43">
        <v>42711</v>
      </c>
      <c r="C190" s="30" t="s">
        <v>9</v>
      </c>
      <c r="D190" s="30" t="s">
        <v>1721</v>
      </c>
      <c r="E190" s="30">
        <v>40</v>
      </c>
      <c r="F190" s="30">
        <v>48</v>
      </c>
      <c r="G190" s="30">
        <v>8</v>
      </c>
      <c r="H190" s="30">
        <v>700</v>
      </c>
      <c r="I190" s="30">
        <v>5600</v>
      </c>
    </row>
    <row r="191" spans="2:15" x14ac:dyDescent="0.3">
      <c r="B191" s="43">
        <v>42712</v>
      </c>
      <c r="C191" s="30" t="s">
        <v>9</v>
      </c>
      <c r="D191" s="30" t="s">
        <v>1881</v>
      </c>
      <c r="E191" s="30">
        <v>31</v>
      </c>
      <c r="F191" s="30">
        <v>33</v>
      </c>
      <c r="G191" s="30">
        <v>2</v>
      </c>
      <c r="H191" s="30">
        <v>500</v>
      </c>
      <c r="I191" s="30">
        <v>1000</v>
      </c>
    </row>
    <row r="192" spans="2:15" x14ac:dyDescent="0.3">
      <c r="B192" s="43">
        <v>42713</v>
      </c>
      <c r="C192" s="30" t="s">
        <v>9</v>
      </c>
      <c r="D192" s="30" t="s">
        <v>1879</v>
      </c>
      <c r="E192" s="30">
        <v>29</v>
      </c>
      <c r="F192" s="30">
        <v>22</v>
      </c>
      <c r="G192" s="30">
        <v>-7</v>
      </c>
      <c r="H192" s="30">
        <v>700</v>
      </c>
      <c r="I192" s="30">
        <v>-4900</v>
      </c>
    </row>
    <row r="193" spans="1:10" x14ac:dyDescent="0.3">
      <c r="B193" s="43">
        <v>42716</v>
      </c>
      <c r="C193" s="30" t="s">
        <v>9</v>
      </c>
      <c r="D193" s="30" t="s">
        <v>1913</v>
      </c>
      <c r="E193" s="30">
        <v>9</v>
      </c>
      <c r="F193" s="30">
        <v>12</v>
      </c>
      <c r="G193" s="30">
        <v>3</v>
      </c>
      <c r="H193" s="30">
        <v>3000</v>
      </c>
      <c r="I193" s="30">
        <v>9000</v>
      </c>
    </row>
    <row r="194" spans="1:10" x14ac:dyDescent="0.3">
      <c r="B194" s="43">
        <v>42717</v>
      </c>
      <c r="C194" s="30" t="s">
        <v>9</v>
      </c>
      <c r="D194" s="30" t="s">
        <v>1879</v>
      </c>
      <c r="E194" s="30">
        <v>35</v>
      </c>
      <c r="F194" s="30">
        <v>25</v>
      </c>
      <c r="G194" s="30">
        <v>-10</v>
      </c>
      <c r="H194" s="30">
        <v>700</v>
      </c>
      <c r="I194" s="30">
        <v>-7000</v>
      </c>
    </row>
    <row r="195" spans="1:10" x14ac:dyDescent="0.3">
      <c r="B195" s="43">
        <v>42718</v>
      </c>
      <c r="C195" s="30" t="s">
        <v>9</v>
      </c>
      <c r="D195" s="30" t="s">
        <v>1912</v>
      </c>
      <c r="E195" s="30">
        <v>26</v>
      </c>
      <c r="F195" s="30">
        <v>24</v>
      </c>
      <c r="G195" s="30">
        <v>-2</v>
      </c>
      <c r="H195" s="30">
        <v>500</v>
      </c>
      <c r="I195" s="30">
        <v>-1000</v>
      </c>
    </row>
    <row r="196" spans="1:10" x14ac:dyDescent="0.3">
      <c r="B196" s="43">
        <v>42719</v>
      </c>
      <c r="C196" s="30" t="s">
        <v>9</v>
      </c>
      <c r="D196" s="30" t="s">
        <v>1914</v>
      </c>
      <c r="E196" s="30">
        <v>15</v>
      </c>
      <c r="F196" s="30">
        <v>20</v>
      </c>
      <c r="G196" s="30">
        <v>5</v>
      </c>
      <c r="H196" s="30">
        <v>1200</v>
      </c>
      <c r="I196" s="30">
        <v>6000</v>
      </c>
    </row>
    <row r="197" spans="1:10" x14ac:dyDescent="0.3">
      <c r="B197" s="43">
        <v>42720</v>
      </c>
      <c r="C197" s="30" t="s">
        <v>9</v>
      </c>
      <c r="D197" s="30" t="s">
        <v>1879</v>
      </c>
      <c r="E197" s="30">
        <v>31</v>
      </c>
      <c r="F197" s="30">
        <v>35</v>
      </c>
      <c r="G197" s="30">
        <v>4</v>
      </c>
      <c r="H197" s="30">
        <v>700</v>
      </c>
      <c r="I197" s="30">
        <v>2800</v>
      </c>
    </row>
    <row r="198" spans="1:10" x14ac:dyDescent="0.3">
      <c r="B198" s="43">
        <v>42723</v>
      </c>
      <c r="C198" s="30" t="s">
        <v>9</v>
      </c>
      <c r="D198" s="30" t="s">
        <v>1919</v>
      </c>
      <c r="E198" s="30">
        <v>10</v>
      </c>
      <c r="F198" s="30">
        <v>18</v>
      </c>
      <c r="G198" s="30">
        <v>8</v>
      </c>
      <c r="H198" s="30">
        <v>500</v>
      </c>
      <c r="I198" s="30">
        <v>4000</v>
      </c>
    </row>
    <row r="199" spans="1:10" s="30" customFormat="1" x14ac:dyDescent="0.3">
      <c r="A199" s="9"/>
      <c r="B199" s="43">
        <v>42724</v>
      </c>
      <c r="C199" s="30" t="s">
        <v>9</v>
      </c>
      <c r="D199" s="30" t="s">
        <v>1863</v>
      </c>
      <c r="E199" s="30">
        <v>8</v>
      </c>
      <c r="F199" s="30">
        <v>12</v>
      </c>
      <c r="G199" s="30">
        <v>4</v>
      </c>
      <c r="H199" s="30">
        <v>3000</v>
      </c>
      <c r="I199" s="30">
        <v>12000</v>
      </c>
      <c r="J199" s="9"/>
    </row>
    <row r="200" spans="1:10" s="30" customFormat="1" x14ac:dyDescent="0.3">
      <c r="A200" s="9"/>
      <c r="B200" s="43">
        <v>42725</v>
      </c>
      <c r="C200" s="30" t="s">
        <v>9</v>
      </c>
      <c r="D200" s="30" t="s">
        <v>1920</v>
      </c>
      <c r="E200" s="30">
        <v>27</v>
      </c>
      <c r="F200" s="30">
        <v>21</v>
      </c>
      <c r="G200" s="30">
        <v>-6</v>
      </c>
      <c r="H200" s="30">
        <v>700</v>
      </c>
      <c r="I200" s="30">
        <v>-4200</v>
      </c>
      <c r="J200" s="9"/>
    </row>
    <row r="201" spans="1:10" s="30" customFormat="1" x14ac:dyDescent="0.3">
      <c r="A201" s="9"/>
      <c r="B201" s="43">
        <v>42726</v>
      </c>
      <c r="C201" s="30" t="s">
        <v>9</v>
      </c>
      <c r="D201" s="30" t="s">
        <v>1921</v>
      </c>
      <c r="E201" s="30">
        <v>11</v>
      </c>
      <c r="F201" s="30">
        <v>9</v>
      </c>
      <c r="G201" s="30">
        <v>-2</v>
      </c>
      <c r="H201" s="30">
        <v>3000</v>
      </c>
      <c r="I201" s="30">
        <v>-6000</v>
      </c>
      <c r="J201" s="9"/>
    </row>
    <row r="202" spans="1:10" s="30" customFormat="1" x14ac:dyDescent="0.3">
      <c r="A202" s="9"/>
      <c r="B202" s="43">
        <v>42727</v>
      </c>
      <c r="C202" s="30" t="s">
        <v>9</v>
      </c>
      <c r="D202" s="30" t="s">
        <v>1922</v>
      </c>
      <c r="E202" s="30">
        <v>10</v>
      </c>
      <c r="F202" s="30">
        <v>13</v>
      </c>
      <c r="G202" s="30">
        <v>3</v>
      </c>
      <c r="H202" s="30">
        <v>500</v>
      </c>
      <c r="I202" s="30">
        <v>1500</v>
      </c>
      <c r="J202" s="9"/>
    </row>
    <row r="203" spans="1:10" s="30" customFormat="1" x14ac:dyDescent="0.3">
      <c r="A203" s="9"/>
      <c r="B203" s="43">
        <v>42730</v>
      </c>
      <c r="C203" s="30" t="s">
        <v>9</v>
      </c>
      <c r="D203" s="30" t="s">
        <v>1923</v>
      </c>
      <c r="E203" s="30">
        <v>16</v>
      </c>
      <c r="F203" s="30">
        <v>19</v>
      </c>
      <c r="G203" s="30">
        <v>3</v>
      </c>
      <c r="H203" s="30">
        <v>700</v>
      </c>
      <c r="I203" s="30">
        <v>2100</v>
      </c>
      <c r="J203" s="9"/>
    </row>
    <row r="204" spans="1:10" s="30" customFormat="1" x14ac:dyDescent="0.3">
      <c r="A204" s="9"/>
      <c r="B204" s="43">
        <v>42731</v>
      </c>
      <c r="C204" s="30" t="s">
        <v>9</v>
      </c>
      <c r="D204" s="30" t="s">
        <v>1924</v>
      </c>
      <c r="E204" s="30">
        <v>13</v>
      </c>
      <c r="F204" s="30">
        <v>19</v>
      </c>
      <c r="G204" s="30">
        <v>6</v>
      </c>
      <c r="H204" s="30">
        <v>500</v>
      </c>
      <c r="I204" s="30">
        <v>3000</v>
      </c>
      <c r="J204" s="9"/>
    </row>
    <row r="205" spans="1:10" s="30" customFormat="1" x14ac:dyDescent="0.3">
      <c r="A205" s="9"/>
      <c r="B205" s="43">
        <v>42732</v>
      </c>
      <c r="C205" s="30" t="s">
        <v>9</v>
      </c>
      <c r="D205" s="30" t="s">
        <v>1889</v>
      </c>
      <c r="E205" s="30">
        <v>14</v>
      </c>
      <c r="F205" s="30">
        <v>16</v>
      </c>
      <c r="G205" s="30">
        <v>2</v>
      </c>
      <c r="H205" s="30">
        <v>500</v>
      </c>
      <c r="I205" s="30">
        <v>1000</v>
      </c>
      <c r="J205" s="9"/>
    </row>
    <row r="206" spans="1:10" s="30" customFormat="1" ht="15.6" x14ac:dyDescent="0.3">
      <c r="A206" s="9"/>
      <c r="B206" s="43">
        <v>42733</v>
      </c>
      <c r="C206" s="30" t="s">
        <v>9</v>
      </c>
      <c r="D206" s="30" t="s">
        <v>1929</v>
      </c>
      <c r="E206" s="30">
        <v>27</v>
      </c>
      <c r="F206" s="30">
        <v>15</v>
      </c>
      <c r="G206" s="30">
        <v>-12</v>
      </c>
      <c r="H206" s="30">
        <v>125</v>
      </c>
      <c r="I206" s="77">
        <v>1500</v>
      </c>
      <c r="J206" s="9"/>
    </row>
    <row r="207" spans="1:10" s="30" customFormat="1" x14ac:dyDescent="0.3">
      <c r="A207" s="9"/>
      <c r="B207" s="43">
        <v>42734</v>
      </c>
      <c r="C207" s="30" t="s">
        <v>9</v>
      </c>
      <c r="D207" s="30" t="s">
        <v>1930</v>
      </c>
      <c r="E207" s="30">
        <v>16</v>
      </c>
      <c r="F207" s="30">
        <v>16.3</v>
      </c>
      <c r="G207" s="30">
        <v>0.3</v>
      </c>
      <c r="H207" s="30">
        <v>1200</v>
      </c>
      <c r="I207" s="30">
        <v>360</v>
      </c>
      <c r="J207" s="9"/>
    </row>
    <row r="208" spans="1:10" ht="18" x14ac:dyDescent="0.35">
      <c r="I208" s="72">
        <v>33060</v>
      </c>
    </row>
    <row r="209" spans="2:2" x14ac:dyDescent="0.3">
      <c r="B209" s="43"/>
    </row>
    <row r="210" spans="2:2" x14ac:dyDescent="0.3">
      <c r="B210" s="43"/>
    </row>
  </sheetData>
  <mergeCells count="5">
    <mergeCell ref="B185:I185"/>
    <mergeCell ref="B1:I1"/>
    <mergeCell ref="B2:I2"/>
    <mergeCell ref="B3:I3"/>
    <mergeCell ref="B159:I159"/>
  </mergeCells>
  <hyperlinks>
    <hyperlink ref="K2" location="'MASTER '!A1" display="Back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201"/>
  <sheetViews>
    <sheetView topLeftCell="A4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4.88671875" style="10" customWidth="1"/>
    <col min="12" max="12" width="12" style="10" customWidth="1"/>
    <col min="13" max="13" width="9.33203125" style="10" customWidth="1"/>
    <col min="14" max="14" width="8.33203125" style="10" customWidth="1"/>
    <col min="15" max="15" width="8" style="10" customWidth="1"/>
    <col min="16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2002</v>
      </c>
      <c r="C3" s="284"/>
      <c r="D3" s="284"/>
      <c r="E3" s="284"/>
      <c r="F3" s="284"/>
      <c r="G3" s="284"/>
      <c r="H3" s="284"/>
      <c r="I3" s="284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6" t="s">
        <v>449</v>
      </c>
      <c r="L5" s="30">
        <v>42</v>
      </c>
      <c r="M5" s="30">
        <v>34</v>
      </c>
      <c r="N5" s="30">
        <v>6</v>
      </c>
      <c r="O5" s="30">
        <v>2</v>
      </c>
    </row>
    <row r="6" spans="1:15" x14ac:dyDescent="0.3">
      <c r="B6" s="43">
        <v>42737</v>
      </c>
      <c r="C6" s="2" t="s">
        <v>9</v>
      </c>
      <c r="D6" s="2" t="s">
        <v>78</v>
      </c>
      <c r="E6" s="90" t="s">
        <v>1931</v>
      </c>
      <c r="F6" s="91" t="s">
        <v>1932</v>
      </c>
      <c r="G6" s="91" t="s">
        <v>1122</v>
      </c>
      <c r="H6" s="92">
        <v>221.72949002217294</v>
      </c>
      <c r="I6" s="93">
        <v>2660.7538802660752</v>
      </c>
      <c r="K6" s="16"/>
      <c r="L6" s="30"/>
      <c r="M6" s="30"/>
      <c r="N6" s="30"/>
      <c r="O6" s="30"/>
    </row>
    <row r="7" spans="1:15" x14ac:dyDescent="0.3">
      <c r="B7" s="43">
        <v>42737</v>
      </c>
      <c r="C7" s="2" t="s">
        <v>8</v>
      </c>
      <c r="D7" s="2" t="s">
        <v>58</v>
      </c>
      <c r="E7" s="41" t="s">
        <v>1933</v>
      </c>
      <c r="F7" s="40" t="s">
        <v>1934</v>
      </c>
      <c r="G7" s="40" t="s">
        <v>997</v>
      </c>
      <c r="H7" s="92">
        <v>672.64573991031386</v>
      </c>
      <c r="I7" s="93">
        <v>2690</v>
      </c>
      <c r="K7" s="16" t="s">
        <v>450</v>
      </c>
      <c r="L7" s="30">
        <v>21</v>
      </c>
      <c r="M7" s="30">
        <v>19</v>
      </c>
      <c r="N7" s="30">
        <v>2</v>
      </c>
      <c r="O7" s="30">
        <v>0</v>
      </c>
    </row>
    <row r="8" spans="1:15" x14ac:dyDescent="0.3">
      <c r="B8" s="43">
        <v>42738</v>
      </c>
      <c r="C8" s="2" t="s">
        <v>9</v>
      </c>
      <c r="D8" s="2" t="s">
        <v>78</v>
      </c>
      <c r="E8" s="41" t="s">
        <v>1038</v>
      </c>
      <c r="F8" s="40" t="s">
        <v>1935</v>
      </c>
      <c r="G8" s="40" t="s">
        <v>1025</v>
      </c>
      <c r="H8" s="92">
        <v>220.26431718061673</v>
      </c>
      <c r="I8" s="93">
        <v>2202.6431718061672</v>
      </c>
      <c r="K8" s="16"/>
      <c r="L8" s="30"/>
      <c r="M8" s="30"/>
      <c r="N8" s="30"/>
      <c r="O8" s="30"/>
    </row>
    <row r="9" spans="1:15" x14ac:dyDescent="0.3">
      <c r="B9" s="43">
        <v>42738</v>
      </c>
      <c r="C9" s="2" t="s">
        <v>8</v>
      </c>
      <c r="D9" s="2" t="s">
        <v>34</v>
      </c>
      <c r="E9" s="41" t="s">
        <v>1612</v>
      </c>
      <c r="F9" s="40" t="s">
        <v>1936</v>
      </c>
      <c r="G9" s="40" t="s">
        <v>1842</v>
      </c>
      <c r="H9" s="92">
        <v>1219.5121951219512</v>
      </c>
      <c r="I9" s="93">
        <v>1463.4146341463413</v>
      </c>
      <c r="K9" s="16" t="s">
        <v>451</v>
      </c>
      <c r="L9" s="30">
        <v>21</v>
      </c>
      <c r="M9" s="30">
        <v>14</v>
      </c>
      <c r="N9" s="30">
        <v>7</v>
      </c>
      <c r="O9" s="30">
        <v>0</v>
      </c>
    </row>
    <row r="10" spans="1:15" x14ac:dyDescent="0.3">
      <c r="B10" s="43">
        <v>42739</v>
      </c>
      <c r="C10" s="2" t="s">
        <v>9</v>
      </c>
      <c r="D10" s="2" t="s">
        <v>78</v>
      </c>
      <c r="E10" s="41" t="s">
        <v>1937</v>
      </c>
      <c r="F10" s="40" t="s">
        <v>1858</v>
      </c>
      <c r="G10" s="40" t="s">
        <v>925</v>
      </c>
      <c r="H10" s="92">
        <v>218.18181818181819</v>
      </c>
      <c r="I10" s="93">
        <v>1090.909090909091</v>
      </c>
      <c r="K10" s="16"/>
      <c r="M10" s="30"/>
      <c r="N10" s="30"/>
      <c r="O10" s="30"/>
    </row>
    <row r="11" spans="1:15" x14ac:dyDescent="0.3">
      <c r="B11" s="43">
        <v>42739</v>
      </c>
      <c r="C11" s="2" t="s">
        <v>8</v>
      </c>
      <c r="D11" s="2" t="s">
        <v>334</v>
      </c>
      <c r="E11" s="41" t="s">
        <v>1938</v>
      </c>
      <c r="F11" s="40" t="s">
        <v>1939</v>
      </c>
      <c r="G11" s="40" t="s">
        <v>1940</v>
      </c>
      <c r="H11" s="92">
        <v>872.09302325581393</v>
      </c>
      <c r="I11" s="93">
        <v>2441.8604651162786</v>
      </c>
      <c r="K11" s="16" t="s">
        <v>1176</v>
      </c>
      <c r="L11" s="30">
        <v>21</v>
      </c>
      <c r="M11" s="30">
        <v>11</v>
      </c>
      <c r="N11" s="30">
        <v>9</v>
      </c>
      <c r="O11" s="30">
        <v>1</v>
      </c>
    </row>
    <row r="12" spans="1:15" x14ac:dyDescent="0.3">
      <c r="B12" s="43">
        <v>42740</v>
      </c>
      <c r="C12" s="2" t="s">
        <v>9</v>
      </c>
      <c r="D12" s="2" t="s">
        <v>58</v>
      </c>
      <c r="E12" s="41" t="s">
        <v>1941</v>
      </c>
      <c r="F12" s="40" t="s">
        <v>1942</v>
      </c>
      <c r="G12" s="40" t="s">
        <v>925</v>
      </c>
      <c r="H12" s="92">
        <v>656.45514223194743</v>
      </c>
      <c r="I12" s="93">
        <v>3282.2757111597371</v>
      </c>
      <c r="L12" s="30"/>
      <c r="M12" s="30"/>
      <c r="N12" s="30"/>
      <c r="O12" s="30"/>
    </row>
    <row r="13" spans="1:15" x14ac:dyDescent="0.3">
      <c r="B13" s="43">
        <v>42740</v>
      </c>
      <c r="C13" s="2" t="s">
        <v>8</v>
      </c>
      <c r="D13" s="2" t="s">
        <v>168</v>
      </c>
      <c r="E13" s="41" t="s">
        <v>681</v>
      </c>
      <c r="F13" s="40" t="s">
        <v>642</v>
      </c>
      <c r="G13" s="40" t="s">
        <v>997</v>
      </c>
      <c r="H13" s="92">
        <v>859.59885386819485</v>
      </c>
      <c r="I13" s="93">
        <v>3438.3954154727794</v>
      </c>
      <c r="L13" s="30"/>
      <c r="M13" s="30"/>
      <c r="N13" s="30"/>
      <c r="O13" s="30"/>
    </row>
    <row r="14" spans="1:15" x14ac:dyDescent="0.3">
      <c r="B14" s="43">
        <v>42741</v>
      </c>
      <c r="C14" s="2" t="s">
        <v>9</v>
      </c>
      <c r="D14" s="2" t="s">
        <v>78</v>
      </c>
      <c r="E14" s="41" t="s">
        <v>1896</v>
      </c>
      <c r="F14" s="40" t="s">
        <v>1943</v>
      </c>
      <c r="G14" s="40" t="s">
        <v>1944</v>
      </c>
      <c r="H14" s="92">
        <v>214.28571428571428</v>
      </c>
      <c r="I14" s="93">
        <v>-1714.2857142857142</v>
      </c>
      <c r="K14" s="16" t="s">
        <v>41</v>
      </c>
      <c r="L14" s="30">
        <v>21</v>
      </c>
      <c r="M14" s="30">
        <v>16</v>
      </c>
      <c r="N14" s="30">
        <v>5</v>
      </c>
      <c r="O14" s="30">
        <v>0</v>
      </c>
    </row>
    <row r="15" spans="1:15" x14ac:dyDescent="0.3">
      <c r="B15" s="43">
        <v>42741</v>
      </c>
      <c r="C15" s="2" t="s">
        <v>8</v>
      </c>
      <c r="D15" s="2" t="s">
        <v>29</v>
      </c>
      <c r="E15" s="41" t="s">
        <v>1479</v>
      </c>
      <c r="F15" s="40" t="s">
        <v>1945</v>
      </c>
      <c r="G15" s="40" t="s">
        <v>1192</v>
      </c>
      <c r="H15" s="92">
        <v>365.85365853658539</v>
      </c>
      <c r="I15" s="93">
        <v>4756.0975609756097</v>
      </c>
      <c r="K15" s="16"/>
      <c r="L15" s="30"/>
      <c r="M15" s="30"/>
      <c r="N15" s="30"/>
      <c r="O15" s="30"/>
    </row>
    <row r="16" spans="1:15" x14ac:dyDescent="0.3">
      <c r="B16" s="43">
        <v>42744</v>
      </c>
      <c r="C16" s="2" t="s">
        <v>9</v>
      </c>
      <c r="D16" s="2" t="s">
        <v>834</v>
      </c>
      <c r="E16" s="41" t="s">
        <v>1874</v>
      </c>
      <c r="F16" s="40" t="s">
        <v>1615</v>
      </c>
      <c r="G16" s="40" t="s">
        <v>920</v>
      </c>
      <c r="H16" s="92">
        <v>1293.1034482758621</v>
      </c>
      <c r="I16" s="93">
        <v>1293.1034482758621</v>
      </c>
      <c r="K16" s="16" t="s">
        <v>1175</v>
      </c>
      <c r="L16" s="30">
        <v>21</v>
      </c>
      <c r="M16" s="30">
        <v>13</v>
      </c>
      <c r="N16" s="30">
        <v>7</v>
      </c>
      <c r="O16" s="30">
        <v>1</v>
      </c>
    </row>
    <row r="17" spans="2:15" x14ac:dyDescent="0.3">
      <c r="B17" s="43">
        <v>42744</v>
      </c>
      <c r="C17" s="2" t="s">
        <v>8</v>
      </c>
      <c r="D17" s="2" t="s">
        <v>19</v>
      </c>
      <c r="E17" s="41" t="s">
        <v>1738</v>
      </c>
      <c r="F17" s="40" t="s">
        <v>1738</v>
      </c>
      <c r="G17" s="40" t="s">
        <v>756</v>
      </c>
      <c r="H17" s="92">
        <v>1214.5748987854251</v>
      </c>
      <c r="I17" s="93">
        <v>0</v>
      </c>
      <c r="K17" s="16"/>
      <c r="L17" s="30"/>
      <c r="M17" s="30"/>
      <c r="N17" s="30"/>
      <c r="O17" s="30"/>
    </row>
    <row r="18" spans="2:15" x14ac:dyDescent="0.3">
      <c r="B18" s="43">
        <v>42745</v>
      </c>
      <c r="C18" s="2" t="s">
        <v>9</v>
      </c>
      <c r="D18" s="2" t="s">
        <v>834</v>
      </c>
      <c r="E18" s="41" t="s">
        <v>640</v>
      </c>
      <c r="F18" s="40" t="s">
        <v>1957</v>
      </c>
      <c r="G18" s="40" t="s">
        <v>1269</v>
      </c>
      <c r="H18" s="92">
        <v>1282.051282051282</v>
      </c>
      <c r="I18" s="93">
        <v>-3846.1538461538457</v>
      </c>
      <c r="K18" s="16" t="s">
        <v>1090</v>
      </c>
      <c r="L18" s="30">
        <v>21</v>
      </c>
      <c r="M18" s="30">
        <v>13</v>
      </c>
      <c r="N18" s="30">
        <v>7</v>
      </c>
      <c r="O18" s="30">
        <v>1</v>
      </c>
    </row>
    <row r="19" spans="2:15" x14ac:dyDescent="0.3">
      <c r="B19" s="43">
        <v>42745</v>
      </c>
      <c r="C19" s="2" t="s">
        <v>8</v>
      </c>
      <c r="D19" s="28" t="s">
        <v>78</v>
      </c>
      <c r="E19" s="30">
        <v>1385</v>
      </c>
      <c r="F19" s="30">
        <v>1378</v>
      </c>
      <c r="G19" s="30">
        <v>7</v>
      </c>
      <c r="H19" s="92">
        <v>216.60649819494586</v>
      </c>
      <c r="I19" s="93">
        <v>1516.2454873646211</v>
      </c>
      <c r="L19" s="30"/>
      <c r="M19" s="30"/>
      <c r="N19" s="30"/>
      <c r="O19" s="30"/>
    </row>
    <row r="20" spans="2:15" x14ac:dyDescent="0.3">
      <c r="B20" s="43">
        <v>42746</v>
      </c>
      <c r="C20" s="2" t="s">
        <v>9</v>
      </c>
      <c r="D20" s="28" t="s">
        <v>78</v>
      </c>
      <c r="E20" s="30">
        <v>1405</v>
      </c>
      <c r="F20" s="30">
        <v>1415</v>
      </c>
      <c r="G20" s="30">
        <v>10</v>
      </c>
      <c r="H20" s="92">
        <v>213.52313167259786</v>
      </c>
      <c r="I20" s="93">
        <v>2135.2313167259786</v>
      </c>
      <c r="K20" s="16" t="s">
        <v>946</v>
      </c>
      <c r="L20" s="21">
        <v>168</v>
      </c>
      <c r="M20" s="21">
        <v>120</v>
      </c>
      <c r="N20" s="21">
        <v>43</v>
      </c>
      <c r="O20" s="21">
        <v>5</v>
      </c>
    </row>
    <row r="21" spans="2:15" x14ac:dyDescent="0.3">
      <c r="B21" s="43">
        <v>42746</v>
      </c>
      <c r="C21" s="2" t="s">
        <v>8</v>
      </c>
      <c r="D21" s="28" t="s">
        <v>31</v>
      </c>
      <c r="E21" s="30">
        <v>1090</v>
      </c>
      <c r="F21" s="30">
        <v>1084</v>
      </c>
      <c r="G21" s="30">
        <v>6</v>
      </c>
      <c r="H21" s="92">
        <v>275.22935779816515</v>
      </c>
      <c r="I21" s="93">
        <v>1651.3761467889908</v>
      </c>
      <c r="L21" s="16"/>
    </row>
    <row r="22" spans="2:15" x14ac:dyDescent="0.3">
      <c r="B22" s="43">
        <v>42747</v>
      </c>
      <c r="C22" s="2" t="s">
        <v>9</v>
      </c>
      <c r="D22" s="28" t="s">
        <v>19</v>
      </c>
      <c r="E22" s="30">
        <v>254</v>
      </c>
      <c r="F22" s="30">
        <v>251</v>
      </c>
      <c r="G22" s="30">
        <v>-3</v>
      </c>
      <c r="H22" s="92">
        <v>1181.1023622047244</v>
      </c>
      <c r="I22" s="93">
        <v>-3543.3070866141734</v>
      </c>
      <c r="L22" s="68" t="s">
        <v>1893</v>
      </c>
      <c r="M22" s="135">
        <v>0.73599999999999999</v>
      </c>
      <c r="N22" s="126"/>
      <c r="O22" s="30"/>
    </row>
    <row r="23" spans="2:15" x14ac:dyDescent="0.3">
      <c r="B23" s="43">
        <v>42747</v>
      </c>
      <c r="C23" s="2" t="s">
        <v>8</v>
      </c>
      <c r="D23" s="28" t="s">
        <v>31</v>
      </c>
      <c r="E23" s="30">
        <v>1086</v>
      </c>
      <c r="F23" s="30">
        <v>1082</v>
      </c>
      <c r="G23" s="30">
        <v>4</v>
      </c>
      <c r="H23" s="92">
        <v>276.24309392265195</v>
      </c>
      <c r="I23" s="93">
        <v>1104.9723756906078</v>
      </c>
      <c r="L23" s="68" t="s">
        <v>1894</v>
      </c>
      <c r="M23" s="83"/>
      <c r="N23" s="126"/>
      <c r="O23" s="30"/>
    </row>
    <row r="24" spans="2:15" x14ac:dyDescent="0.3">
      <c r="B24" s="43">
        <v>42748</v>
      </c>
      <c r="C24" s="2" t="s">
        <v>9</v>
      </c>
      <c r="D24" s="28" t="s">
        <v>552</v>
      </c>
      <c r="E24" s="30">
        <v>1225</v>
      </c>
      <c r="F24" s="30">
        <v>1215</v>
      </c>
      <c r="G24" s="30">
        <v>-10</v>
      </c>
      <c r="H24" s="92">
        <v>244.89795918367346</v>
      </c>
      <c r="I24" s="93">
        <v>-2448.9795918367345</v>
      </c>
      <c r="L24" s="49"/>
      <c r="M24" s="30"/>
      <c r="N24" s="30"/>
      <c r="O24" s="30"/>
    </row>
    <row r="25" spans="2:15" x14ac:dyDescent="0.3">
      <c r="B25" s="43">
        <v>42748</v>
      </c>
      <c r="C25" s="2" t="s">
        <v>9</v>
      </c>
      <c r="D25" s="28" t="s">
        <v>175</v>
      </c>
      <c r="E25" s="30">
        <v>707</v>
      </c>
      <c r="F25" s="30">
        <v>713.5</v>
      </c>
      <c r="G25" s="30">
        <v>6.5</v>
      </c>
      <c r="H25" s="92">
        <v>424.3281471004243</v>
      </c>
      <c r="I25" s="93">
        <v>2758.1329561527582</v>
      </c>
      <c r="L25" s="49"/>
      <c r="M25" s="30"/>
      <c r="N25" s="30"/>
      <c r="O25" s="30"/>
    </row>
    <row r="26" spans="2:15" x14ac:dyDescent="0.3">
      <c r="B26" s="43">
        <v>42751</v>
      </c>
      <c r="C26" s="2" t="s">
        <v>9</v>
      </c>
      <c r="D26" s="28" t="s">
        <v>78</v>
      </c>
      <c r="E26" s="30">
        <v>1444</v>
      </c>
      <c r="F26" s="30">
        <v>1450</v>
      </c>
      <c r="G26" s="30">
        <v>6</v>
      </c>
      <c r="H26" s="92">
        <v>207.75623268698061</v>
      </c>
      <c r="I26" s="93">
        <v>1246.5373961218836</v>
      </c>
      <c r="L26" s="49"/>
      <c r="M26" s="30"/>
      <c r="N26" s="30"/>
      <c r="O26" s="30"/>
    </row>
    <row r="27" spans="2:15" x14ac:dyDescent="0.3">
      <c r="B27" s="43">
        <v>42751</v>
      </c>
      <c r="C27" s="2" t="s">
        <v>8</v>
      </c>
      <c r="D27" s="28" t="s">
        <v>113</v>
      </c>
      <c r="E27" s="30">
        <v>137.5</v>
      </c>
      <c r="F27" s="30">
        <v>136.80000000000001</v>
      </c>
      <c r="G27" s="30">
        <v>0.7</v>
      </c>
      <c r="H27" s="92">
        <v>2181.818181818182</v>
      </c>
      <c r="I27" s="93">
        <v>1527.2727272727273</v>
      </c>
      <c r="L27" s="16"/>
    </row>
    <row r="28" spans="2:15" x14ac:dyDescent="0.3">
      <c r="B28" s="43">
        <v>42752</v>
      </c>
      <c r="C28" s="2" t="s">
        <v>9</v>
      </c>
      <c r="D28" s="28" t="s">
        <v>113</v>
      </c>
      <c r="E28" s="30">
        <v>139</v>
      </c>
      <c r="F28" s="30">
        <v>140.19999999999999</v>
      </c>
      <c r="G28" s="30">
        <v>1.2</v>
      </c>
      <c r="H28" s="92">
        <v>2158.2733812949641</v>
      </c>
      <c r="I28" s="93">
        <v>2589.9280575539569</v>
      </c>
      <c r="L28" s="16"/>
    </row>
    <row r="29" spans="2:15" x14ac:dyDescent="0.3">
      <c r="B29" s="43">
        <v>42752</v>
      </c>
      <c r="C29" s="2" t="s">
        <v>9</v>
      </c>
      <c r="D29" s="28" t="s">
        <v>78</v>
      </c>
      <c r="E29" s="30">
        <v>1455</v>
      </c>
      <c r="F29" s="30">
        <v>1459</v>
      </c>
      <c r="G29" s="30">
        <v>4</v>
      </c>
      <c r="H29" s="92">
        <v>206.18556701030928</v>
      </c>
      <c r="I29" s="93">
        <v>824.74226804123714</v>
      </c>
      <c r="L29" s="41"/>
    </row>
    <row r="30" spans="2:15" x14ac:dyDescent="0.3">
      <c r="B30" s="43">
        <v>42753</v>
      </c>
      <c r="C30" s="2" t="s">
        <v>9</v>
      </c>
      <c r="D30" s="28" t="s">
        <v>834</v>
      </c>
      <c r="E30" s="30">
        <v>243</v>
      </c>
      <c r="F30" s="30">
        <v>246</v>
      </c>
      <c r="G30" s="30">
        <v>6</v>
      </c>
      <c r="H30" s="92">
        <v>1234.5679012345679</v>
      </c>
      <c r="I30" s="93">
        <v>7407.4074074074069</v>
      </c>
      <c r="L30" s="41"/>
    </row>
    <row r="31" spans="2:15" x14ac:dyDescent="0.3">
      <c r="B31" s="43">
        <v>42753</v>
      </c>
      <c r="C31" s="2" t="s">
        <v>8</v>
      </c>
      <c r="D31" s="28" t="s">
        <v>85</v>
      </c>
      <c r="E31" s="30">
        <v>314</v>
      </c>
      <c r="F31" s="30">
        <v>311.8</v>
      </c>
      <c r="G31" s="30">
        <v>2.2000000000000002</v>
      </c>
      <c r="H31" s="92">
        <v>955.41401273885356</v>
      </c>
      <c r="I31" s="93">
        <v>2101.9108280254782</v>
      </c>
      <c r="M31" s="30"/>
    </row>
    <row r="32" spans="2:15" x14ac:dyDescent="0.3">
      <c r="B32" s="43">
        <v>42754</v>
      </c>
      <c r="C32" s="2" t="s">
        <v>9</v>
      </c>
      <c r="D32" s="28" t="s">
        <v>629</v>
      </c>
      <c r="E32" s="30">
        <v>1207</v>
      </c>
      <c r="F32" s="30">
        <v>1211</v>
      </c>
      <c r="G32" s="30">
        <v>4</v>
      </c>
      <c r="H32" s="92">
        <v>248.55012427506213</v>
      </c>
      <c r="I32" s="93">
        <v>994.20049710024853</v>
      </c>
      <c r="M32" s="30"/>
    </row>
    <row r="33" spans="2:13" x14ac:dyDescent="0.3">
      <c r="B33" s="43">
        <v>42754</v>
      </c>
      <c r="C33" s="2" t="s">
        <v>8</v>
      </c>
      <c r="D33" s="28" t="s">
        <v>103</v>
      </c>
      <c r="E33" s="30">
        <v>132.5</v>
      </c>
      <c r="F33" s="30">
        <v>132.5</v>
      </c>
      <c r="G33" s="30">
        <v>0</v>
      </c>
      <c r="H33" s="92">
        <v>2264.1509433962265</v>
      </c>
      <c r="I33" s="93">
        <v>0</v>
      </c>
      <c r="M33" s="30"/>
    </row>
    <row r="34" spans="2:13" x14ac:dyDescent="0.3">
      <c r="B34" s="43">
        <v>42755</v>
      </c>
      <c r="C34" s="2" t="s">
        <v>9</v>
      </c>
      <c r="D34" s="28" t="s">
        <v>939</v>
      </c>
      <c r="E34" s="30">
        <v>489</v>
      </c>
      <c r="F34" s="30">
        <v>493</v>
      </c>
      <c r="G34" s="30">
        <v>4</v>
      </c>
      <c r="H34" s="92">
        <v>613.49693251533745</v>
      </c>
      <c r="I34" s="93">
        <v>2453.9877300613498</v>
      </c>
      <c r="M34" s="30"/>
    </row>
    <row r="35" spans="2:13" x14ac:dyDescent="0.3">
      <c r="B35" s="43">
        <v>42755</v>
      </c>
      <c r="C35" s="2" t="s">
        <v>8</v>
      </c>
      <c r="D35" s="30" t="s">
        <v>371</v>
      </c>
      <c r="E35" s="30">
        <v>287</v>
      </c>
      <c r="F35" s="30">
        <v>281</v>
      </c>
      <c r="G35" s="30">
        <v>6</v>
      </c>
      <c r="H35" s="92">
        <v>1045.2961672473868</v>
      </c>
      <c r="I35" s="93">
        <v>6271.7770034843215</v>
      </c>
      <c r="M35" s="30"/>
    </row>
    <row r="36" spans="2:13" x14ac:dyDescent="0.3">
      <c r="B36" s="43">
        <v>42758</v>
      </c>
      <c r="C36" s="2" t="s">
        <v>9</v>
      </c>
      <c r="D36" s="30" t="s">
        <v>58</v>
      </c>
      <c r="E36" s="30">
        <v>445</v>
      </c>
      <c r="F36" s="30">
        <v>448</v>
      </c>
      <c r="G36" s="30">
        <v>3</v>
      </c>
      <c r="H36" s="92">
        <v>674.15730337078651</v>
      </c>
      <c r="I36" s="93">
        <v>2022.4719101123596</v>
      </c>
      <c r="M36" s="30"/>
    </row>
    <row r="37" spans="2:13" x14ac:dyDescent="0.3">
      <c r="B37" s="43">
        <v>42758</v>
      </c>
      <c r="C37" s="2" t="s">
        <v>8</v>
      </c>
      <c r="D37" s="30" t="s">
        <v>78</v>
      </c>
      <c r="E37" s="30">
        <v>1405</v>
      </c>
      <c r="F37" s="30">
        <v>1383</v>
      </c>
      <c r="G37" s="30">
        <v>22</v>
      </c>
      <c r="H37" s="92">
        <v>213.52313167259786</v>
      </c>
      <c r="I37" s="93">
        <v>4697.5088967971533</v>
      </c>
      <c r="M37" s="30"/>
    </row>
    <row r="38" spans="2:13" x14ac:dyDescent="0.3">
      <c r="B38" s="43">
        <v>42759</v>
      </c>
      <c r="C38" s="2" t="s">
        <v>9</v>
      </c>
      <c r="D38" s="30" t="s">
        <v>139</v>
      </c>
      <c r="E38" s="30">
        <v>1400</v>
      </c>
      <c r="F38" s="30">
        <v>1885</v>
      </c>
      <c r="G38" s="30">
        <v>-15</v>
      </c>
      <c r="H38" s="92">
        <v>214.28571428571428</v>
      </c>
      <c r="I38" s="93">
        <v>-3214.2857142857142</v>
      </c>
      <c r="M38" s="30"/>
    </row>
    <row r="39" spans="2:13" x14ac:dyDescent="0.3">
      <c r="B39" s="43">
        <v>42759</v>
      </c>
      <c r="C39" s="2" t="s">
        <v>8</v>
      </c>
      <c r="D39" s="30" t="s">
        <v>51</v>
      </c>
      <c r="E39" s="30">
        <v>329</v>
      </c>
      <c r="F39" s="30">
        <v>323.5</v>
      </c>
      <c r="G39" s="30">
        <v>5.5</v>
      </c>
      <c r="H39" s="92">
        <v>911.854103343465</v>
      </c>
      <c r="I39" s="93">
        <v>5015.1975683890578</v>
      </c>
      <c r="M39" s="30"/>
    </row>
    <row r="40" spans="2:13" x14ac:dyDescent="0.3">
      <c r="B40" s="43">
        <v>42760</v>
      </c>
      <c r="C40" s="2" t="s">
        <v>9</v>
      </c>
      <c r="D40" s="30" t="s">
        <v>834</v>
      </c>
      <c r="E40" s="30">
        <v>255</v>
      </c>
      <c r="F40" s="30">
        <v>259</v>
      </c>
      <c r="G40" s="30">
        <v>4</v>
      </c>
      <c r="H40" s="92">
        <v>1176.4705882352941</v>
      </c>
      <c r="I40" s="93">
        <v>4705.8823529411766</v>
      </c>
      <c r="M40" s="30"/>
    </row>
    <row r="41" spans="2:13" x14ac:dyDescent="0.3">
      <c r="B41" s="43">
        <v>42760</v>
      </c>
      <c r="C41" s="2" t="s">
        <v>8</v>
      </c>
      <c r="D41" s="30" t="s">
        <v>51</v>
      </c>
      <c r="E41" s="30">
        <v>323</v>
      </c>
      <c r="F41" s="30">
        <v>321.3</v>
      </c>
      <c r="G41" s="30">
        <v>1.7</v>
      </c>
      <c r="H41" s="92">
        <v>928.79256965944273</v>
      </c>
      <c r="I41" s="93">
        <v>1578.9473684210527</v>
      </c>
      <c r="M41" s="30"/>
    </row>
    <row r="42" spans="2:13" x14ac:dyDescent="0.3">
      <c r="B42" s="43">
        <v>42762</v>
      </c>
      <c r="C42" s="2" t="s">
        <v>9</v>
      </c>
      <c r="D42" s="30" t="s">
        <v>58</v>
      </c>
      <c r="E42" s="30">
        <v>474</v>
      </c>
      <c r="F42" s="30">
        <v>477.5</v>
      </c>
      <c r="G42" s="30">
        <v>3.5</v>
      </c>
      <c r="H42" s="92">
        <v>632.91139240506334</v>
      </c>
      <c r="I42" s="93">
        <v>2215.1898734177216</v>
      </c>
      <c r="M42" s="30"/>
    </row>
    <row r="43" spans="2:13" x14ac:dyDescent="0.3">
      <c r="B43" s="43">
        <v>42762</v>
      </c>
      <c r="C43" s="2" t="s">
        <v>8</v>
      </c>
      <c r="D43" s="30" t="s">
        <v>78</v>
      </c>
      <c r="E43" s="30">
        <v>1460</v>
      </c>
      <c r="F43" s="30">
        <v>1435</v>
      </c>
      <c r="G43" s="30">
        <v>25</v>
      </c>
      <c r="H43" s="92">
        <v>205.47945205479451</v>
      </c>
      <c r="I43" s="93">
        <v>5136.9863013698623</v>
      </c>
      <c r="M43" s="30"/>
    </row>
    <row r="44" spans="2:13" x14ac:dyDescent="0.3">
      <c r="B44" s="43">
        <v>42765</v>
      </c>
      <c r="C44" s="2" t="s">
        <v>9</v>
      </c>
      <c r="D44" s="30" t="s">
        <v>58</v>
      </c>
      <c r="E44" s="30">
        <v>473</v>
      </c>
      <c r="F44" s="30">
        <v>475.5</v>
      </c>
      <c r="G44" s="30">
        <v>2.5</v>
      </c>
      <c r="H44" s="92">
        <v>634.24947145877377</v>
      </c>
      <c r="I44" s="93">
        <v>1585.6236786469344</v>
      </c>
      <c r="M44" s="30"/>
    </row>
    <row r="45" spans="2:13" x14ac:dyDescent="0.3">
      <c r="B45" s="43">
        <v>42765</v>
      </c>
      <c r="C45" s="2" t="s">
        <v>8</v>
      </c>
      <c r="D45" s="30" t="s">
        <v>95</v>
      </c>
      <c r="E45" s="30">
        <v>271</v>
      </c>
      <c r="F45" s="30">
        <v>270.7</v>
      </c>
      <c r="G45" s="30">
        <v>0.3</v>
      </c>
      <c r="H45" s="92">
        <v>1107.0110701107012</v>
      </c>
      <c r="I45" s="93">
        <v>332.10332103321036</v>
      </c>
      <c r="M45" s="30"/>
    </row>
    <row r="46" spans="2:13" x14ac:dyDescent="0.3">
      <c r="B46" s="43">
        <v>42766</v>
      </c>
      <c r="C46" s="2" t="s">
        <v>9</v>
      </c>
      <c r="D46" s="30" t="s">
        <v>129</v>
      </c>
      <c r="E46" s="30">
        <v>1370</v>
      </c>
      <c r="F46" s="30">
        <v>1385</v>
      </c>
      <c r="G46" s="30">
        <v>15</v>
      </c>
      <c r="H46" s="92">
        <v>218.97810218978103</v>
      </c>
      <c r="I46" s="93">
        <v>3284.6715328467153</v>
      </c>
      <c r="M46" s="30"/>
    </row>
    <row r="47" spans="2:13" x14ac:dyDescent="0.3">
      <c r="B47" s="43">
        <v>42766</v>
      </c>
      <c r="C47" s="2" t="s">
        <v>8</v>
      </c>
      <c r="D47" s="30" t="s">
        <v>78</v>
      </c>
      <c r="E47" s="30">
        <v>1430</v>
      </c>
      <c r="F47" s="30">
        <v>1445</v>
      </c>
      <c r="G47" s="30">
        <v>-15</v>
      </c>
      <c r="H47" s="92">
        <v>209.79020979020979</v>
      </c>
      <c r="I47" s="93">
        <v>-3146.8531468531469</v>
      </c>
    </row>
    <row r="48" spans="2:13" x14ac:dyDescent="0.3">
      <c r="B48" s="43"/>
      <c r="C48" s="2"/>
      <c r="D48" s="30"/>
      <c r="E48" s="30"/>
      <c r="F48" s="30"/>
      <c r="G48" s="30"/>
      <c r="H48" s="92"/>
      <c r="I48" s="93"/>
    </row>
    <row r="49" spans="2:11" ht="21" x14ac:dyDescent="0.4">
      <c r="B49" s="43"/>
      <c r="C49" s="2"/>
      <c r="D49" s="30"/>
      <c r="E49" s="30"/>
      <c r="F49" s="30"/>
      <c r="G49" s="30"/>
      <c r="H49" s="5"/>
      <c r="I49" s="127">
        <v>72564</v>
      </c>
    </row>
    <row r="50" spans="2:11" x14ac:dyDescent="0.3">
      <c r="B50" s="87"/>
      <c r="C50" s="2"/>
      <c r="D50" s="28"/>
      <c r="E50" s="30"/>
      <c r="F50" s="30"/>
      <c r="G50" s="30"/>
      <c r="H50" s="30"/>
      <c r="I50" s="88"/>
    </row>
    <row r="51" spans="2:11" ht="15.6" x14ac:dyDescent="0.3">
      <c r="B51" s="48" t="s">
        <v>62</v>
      </c>
      <c r="C51" s="48"/>
      <c r="D51" s="48"/>
      <c r="E51" s="48"/>
      <c r="F51" s="48"/>
      <c r="G51" s="48"/>
      <c r="H51" s="48"/>
      <c r="I51" s="48"/>
    </row>
    <row r="52" spans="2:11" x14ac:dyDescent="0.3">
      <c r="B52" s="43">
        <v>42737</v>
      </c>
      <c r="C52" s="2" t="s">
        <v>8</v>
      </c>
      <c r="D52" s="2" t="s">
        <v>139</v>
      </c>
      <c r="E52" s="41" t="s">
        <v>1466</v>
      </c>
      <c r="F52" s="40" t="s">
        <v>1946</v>
      </c>
      <c r="G52" s="40" t="s">
        <v>1040</v>
      </c>
      <c r="H52" s="5">
        <v>700</v>
      </c>
      <c r="I52" s="40" t="s">
        <v>1947</v>
      </c>
    </row>
    <row r="53" spans="2:11" x14ac:dyDescent="0.3">
      <c r="B53" s="43">
        <v>42738</v>
      </c>
      <c r="C53" s="2" t="s">
        <v>8</v>
      </c>
      <c r="D53" s="2" t="s">
        <v>629</v>
      </c>
      <c r="E53" s="41" t="s">
        <v>1948</v>
      </c>
      <c r="F53" s="40" t="s">
        <v>1949</v>
      </c>
      <c r="G53" s="40" t="s">
        <v>920</v>
      </c>
      <c r="H53" s="5">
        <v>500</v>
      </c>
      <c r="I53" s="30">
        <v>500</v>
      </c>
      <c r="K53" s="86"/>
    </row>
    <row r="54" spans="2:11" x14ac:dyDescent="0.3">
      <c r="B54" s="43">
        <v>42739</v>
      </c>
      <c r="C54" s="30" t="s">
        <v>8</v>
      </c>
      <c r="D54" s="30" t="s">
        <v>119</v>
      </c>
      <c r="E54" s="30">
        <v>707</v>
      </c>
      <c r="F54" s="30">
        <v>697.5</v>
      </c>
      <c r="G54" s="30">
        <v>9.5</v>
      </c>
      <c r="H54" s="30">
        <v>800</v>
      </c>
      <c r="I54" s="30">
        <v>7600</v>
      </c>
      <c r="K54" s="86"/>
    </row>
    <row r="55" spans="2:11" x14ac:dyDescent="0.3">
      <c r="B55" s="43">
        <v>42740</v>
      </c>
      <c r="C55" s="30" t="s">
        <v>8</v>
      </c>
      <c r="D55" s="30" t="s">
        <v>129</v>
      </c>
      <c r="E55" s="30">
        <v>1213</v>
      </c>
      <c r="F55" s="30">
        <v>1221</v>
      </c>
      <c r="G55" s="30">
        <v>-8</v>
      </c>
      <c r="H55" s="30">
        <v>500</v>
      </c>
      <c r="I55" s="30">
        <v>-4000</v>
      </c>
      <c r="K55" s="86"/>
    </row>
    <row r="56" spans="2:11" x14ac:dyDescent="0.3">
      <c r="B56" s="43">
        <v>42741</v>
      </c>
      <c r="C56" s="30" t="s">
        <v>8</v>
      </c>
      <c r="D56" s="30" t="s">
        <v>578</v>
      </c>
      <c r="E56" s="30">
        <v>975</v>
      </c>
      <c r="F56" s="30">
        <v>973.5</v>
      </c>
      <c r="G56" s="30">
        <v>1.5</v>
      </c>
      <c r="H56" s="30">
        <v>500</v>
      </c>
      <c r="I56" s="30">
        <v>750</v>
      </c>
      <c r="K56" s="86"/>
    </row>
    <row r="57" spans="2:11" x14ac:dyDescent="0.3">
      <c r="B57" s="43">
        <v>42744</v>
      </c>
      <c r="C57" s="30" t="s">
        <v>8</v>
      </c>
      <c r="D57" s="30" t="s">
        <v>58</v>
      </c>
      <c r="E57" s="30">
        <v>456</v>
      </c>
      <c r="F57" s="30">
        <v>453.8</v>
      </c>
      <c r="G57" s="30">
        <v>2.2000000000000002</v>
      </c>
      <c r="H57" s="30">
        <v>1200</v>
      </c>
      <c r="I57" s="30">
        <v>2640</v>
      </c>
      <c r="K57" s="86"/>
    </row>
    <row r="58" spans="2:11" x14ac:dyDescent="0.3">
      <c r="B58" s="43">
        <v>42745</v>
      </c>
      <c r="C58" s="30" t="s">
        <v>9</v>
      </c>
      <c r="D58" s="30" t="s">
        <v>31</v>
      </c>
      <c r="E58" s="30">
        <v>1090</v>
      </c>
      <c r="F58" s="30">
        <v>1094</v>
      </c>
      <c r="G58" s="30">
        <v>4</v>
      </c>
      <c r="H58" s="30">
        <v>500</v>
      </c>
      <c r="I58" s="30">
        <v>2000</v>
      </c>
      <c r="K58" s="86"/>
    </row>
    <row r="59" spans="2:11" x14ac:dyDescent="0.3">
      <c r="B59" s="43">
        <v>42746</v>
      </c>
      <c r="C59" s="30" t="s">
        <v>8</v>
      </c>
      <c r="D59" s="30" t="s">
        <v>29</v>
      </c>
      <c r="E59" s="30">
        <v>832</v>
      </c>
      <c r="F59" s="30">
        <v>828.5</v>
      </c>
      <c r="G59" s="30">
        <v>3.5</v>
      </c>
      <c r="H59" s="30">
        <v>700</v>
      </c>
      <c r="I59" s="30">
        <v>2450</v>
      </c>
      <c r="K59" s="86"/>
    </row>
    <row r="60" spans="2:11" x14ac:dyDescent="0.3">
      <c r="B60" s="43">
        <v>42747</v>
      </c>
      <c r="C60" s="30" t="s">
        <v>8</v>
      </c>
      <c r="D60" s="30" t="s">
        <v>552</v>
      </c>
      <c r="E60" s="30">
        <v>1218</v>
      </c>
      <c r="F60" s="30">
        <v>1212</v>
      </c>
      <c r="G60" s="30">
        <v>6</v>
      </c>
      <c r="H60" s="30">
        <v>600</v>
      </c>
      <c r="I60" s="30">
        <v>3600</v>
      </c>
      <c r="K60" s="86"/>
    </row>
    <row r="61" spans="2:11" x14ac:dyDescent="0.3">
      <c r="B61" s="43">
        <v>42748</v>
      </c>
      <c r="C61" s="30" t="s">
        <v>9</v>
      </c>
      <c r="D61" s="30" t="s">
        <v>78</v>
      </c>
      <c r="E61" s="30">
        <v>1444</v>
      </c>
      <c r="F61" s="30">
        <v>1446</v>
      </c>
      <c r="G61" s="30">
        <v>2</v>
      </c>
      <c r="H61" s="30">
        <v>500</v>
      </c>
      <c r="I61" s="30">
        <v>1000</v>
      </c>
      <c r="K61" s="86"/>
    </row>
    <row r="62" spans="2:11" x14ac:dyDescent="0.3">
      <c r="B62" s="43">
        <v>42751</v>
      </c>
      <c r="C62" s="30" t="s">
        <v>9</v>
      </c>
      <c r="D62" s="30" t="s">
        <v>58</v>
      </c>
      <c r="E62" s="30">
        <v>476</v>
      </c>
      <c r="F62" s="30">
        <v>480</v>
      </c>
      <c r="G62" s="30">
        <v>4</v>
      </c>
      <c r="H62" s="30">
        <v>1200</v>
      </c>
      <c r="I62" s="30">
        <v>4800</v>
      </c>
      <c r="K62" s="86"/>
    </row>
    <row r="63" spans="2:11" x14ac:dyDescent="0.3">
      <c r="B63" s="43">
        <v>42752</v>
      </c>
      <c r="C63" s="30" t="s">
        <v>9</v>
      </c>
      <c r="D63" s="30" t="s">
        <v>95</v>
      </c>
      <c r="E63" s="30">
        <v>271</v>
      </c>
      <c r="F63" s="30">
        <v>268</v>
      </c>
      <c r="G63" s="30">
        <v>-3</v>
      </c>
      <c r="H63" s="30">
        <v>2500</v>
      </c>
      <c r="I63" s="30">
        <v>-7500</v>
      </c>
      <c r="K63" s="86"/>
    </row>
    <row r="64" spans="2:11" x14ac:dyDescent="0.3">
      <c r="B64" s="43">
        <v>42753</v>
      </c>
      <c r="C64" s="30" t="s">
        <v>8</v>
      </c>
      <c r="D64" s="30" t="s">
        <v>31</v>
      </c>
      <c r="E64" s="30">
        <v>1040</v>
      </c>
      <c r="F64" s="30">
        <v>1034</v>
      </c>
      <c r="G64" s="30">
        <v>6</v>
      </c>
      <c r="H64" s="30">
        <v>500</v>
      </c>
      <c r="I64" s="30">
        <v>3000</v>
      </c>
      <c r="K64" s="86"/>
    </row>
    <row r="65" spans="2:11" x14ac:dyDescent="0.3">
      <c r="B65" s="43">
        <v>42754</v>
      </c>
      <c r="C65" s="30" t="s">
        <v>8</v>
      </c>
      <c r="D65" s="30" t="s">
        <v>371</v>
      </c>
      <c r="E65" s="30">
        <v>292</v>
      </c>
      <c r="F65" s="30">
        <v>290.8</v>
      </c>
      <c r="G65" s="30">
        <v>1.2</v>
      </c>
      <c r="H65" s="30">
        <v>2500</v>
      </c>
      <c r="I65" s="30">
        <v>3000</v>
      </c>
      <c r="K65" s="86"/>
    </row>
    <row r="66" spans="2:11" x14ac:dyDescent="0.3">
      <c r="B66" s="43">
        <v>42755</v>
      </c>
      <c r="C66" s="30" t="s">
        <v>8</v>
      </c>
      <c r="D66" s="30" t="s">
        <v>133</v>
      </c>
      <c r="E66" s="30">
        <v>1470</v>
      </c>
      <c r="F66" s="30">
        <v>1455</v>
      </c>
      <c r="G66" s="30">
        <v>15</v>
      </c>
      <c r="H66" s="30">
        <v>400</v>
      </c>
      <c r="I66" s="30">
        <v>6000</v>
      </c>
      <c r="K66" s="86"/>
    </row>
    <row r="67" spans="2:11" x14ac:dyDescent="0.3">
      <c r="B67" s="43">
        <v>42758</v>
      </c>
      <c r="C67" s="30" t="s">
        <v>8</v>
      </c>
      <c r="D67" s="30" t="s">
        <v>95</v>
      </c>
      <c r="E67" s="30">
        <v>257</v>
      </c>
      <c r="F67" s="30">
        <v>256</v>
      </c>
      <c r="G67" s="30">
        <v>1</v>
      </c>
      <c r="H67" s="30">
        <v>2500</v>
      </c>
      <c r="I67" s="30">
        <v>2500</v>
      </c>
      <c r="K67" s="86"/>
    </row>
    <row r="68" spans="2:11" x14ac:dyDescent="0.3">
      <c r="B68" s="43">
        <v>42759</v>
      </c>
      <c r="C68" s="30" t="s">
        <v>9</v>
      </c>
      <c r="D68" s="30" t="s">
        <v>78</v>
      </c>
      <c r="E68" s="30">
        <v>1420</v>
      </c>
      <c r="F68" s="30">
        <v>1425</v>
      </c>
      <c r="G68" s="30">
        <v>5</v>
      </c>
      <c r="H68" s="30">
        <v>500</v>
      </c>
      <c r="I68" s="30">
        <v>2500</v>
      </c>
      <c r="K68" s="86"/>
    </row>
    <row r="69" spans="2:11" x14ac:dyDescent="0.3">
      <c r="B69" s="43">
        <v>42760</v>
      </c>
      <c r="C69" s="30" t="s">
        <v>8</v>
      </c>
      <c r="D69" s="30" t="s">
        <v>31</v>
      </c>
      <c r="E69" s="30">
        <v>1024</v>
      </c>
      <c r="F69" s="30">
        <v>1016.5</v>
      </c>
      <c r="G69" s="30">
        <v>7.5</v>
      </c>
      <c r="H69" s="30">
        <v>500</v>
      </c>
      <c r="I69" s="30">
        <v>3750</v>
      </c>
      <c r="K69" s="86"/>
    </row>
    <row r="70" spans="2:11" x14ac:dyDescent="0.3">
      <c r="B70" s="43">
        <v>42762</v>
      </c>
      <c r="C70" s="30" t="s">
        <v>9</v>
      </c>
      <c r="D70" s="30" t="s">
        <v>129</v>
      </c>
      <c r="E70" s="30">
        <v>1360</v>
      </c>
      <c r="F70" s="30">
        <v>1380</v>
      </c>
      <c r="G70" s="30">
        <v>20</v>
      </c>
      <c r="H70" s="30">
        <v>500</v>
      </c>
      <c r="I70" s="30">
        <v>10000</v>
      </c>
      <c r="K70" s="86"/>
    </row>
    <row r="71" spans="2:11" x14ac:dyDescent="0.3">
      <c r="B71" s="43">
        <v>42765</v>
      </c>
      <c r="C71" s="30" t="s">
        <v>8</v>
      </c>
      <c r="D71" s="30" t="s">
        <v>175</v>
      </c>
      <c r="E71" s="30">
        <v>702</v>
      </c>
      <c r="F71" s="30">
        <v>697</v>
      </c>
      <c r="G71" s="30">
        <v>5</v>
      </c>
      <c r="H71" s="30">
        <v>700</v>
      </c>
      <c r="I71" s="30">
        <v>3500</v>
      </c>
      <c r="K71" s="86"/>
    </row>
    <row r="72" spans="2:11" x14ac:dyDescent="0.3">
      <c r="B72" s="43">
        <v>42766</v>
      </c>
      <c r="C72" s="30" t="s">
        <v>8</v>
      </c>
      <c r="D72" s="30" t="s">
        <v>58</v>
      </c>
      <c r="E72" s="30">
        <v>468</v>
      </c>
      <c r="F72" s="30">
        <v>467</v>
      </c>
      <c r="G72" s="30">
        <v>1</v>
      </c>
      <c r="H72" s="30">
        <v>1200</v>
      </c>
      <c r="I72" s="30">
        <v>1200</v>
      </c>
      <c r="K72" s="86"/>
    </row>
    <row r="73" spans="2:11" x14ac:dyDescent="0.3">
      <c r="C73" s="30"/>
      <c r="D73" s="30"/>
      <c r="E73" s="30"/>
      <c r="F73" s="30"/>
      <c r="G73" s="30"/>
      <c r="H73" s="30"/>
      <c r="I73" s="30"/>
    </row>
    <row r="74" spans="2:11" ht="21" x14ac:dyDescent="0.4">
      <c r="B74" s="43"/>
      <c r="C74" s="30"/>
      <c r="D74" s="30"/>
      <c r="E74" s="30"/>
      <c r="F74" s="30"/>
      <c r="G74" s="30"/>
      <c r="H74" s="30"/>
      <c r="I74" s="129" t="s">
        <v>1970</v>
      </c>
    </row>
    <row r="75" spans="2:11" x14ac:dyDescent="0.3">
      <c r="B75" s="87"/>
      <c r="C75" s="30"/>
      <c r="D75" s="30"/>
      <c r="E75" s="30"/>
      <c r="F75" s="30"/>
      <c r="G75" s="30"/>
      <c r="H75" s="30"/>
      <c r="I75" s="30"/>
    </row>
    <row r="76" spans="2:11" ht="15.6" x14ac:dyDescent="0.3">
      <c r="B76" s="48" t="s">
        <v>63</v>
      </c>
      <c r="C76" s="48"/>
      <c r="D76" s="48"/>
      <c r="E76" s="48"/>
      <c r="F76" s="48"/>
      <c r="G76" s="48"/>
      <c r="H76" s="48"/>
      <c r="I76" s="48"/>
    </row>
    <row r="77" spans="2:11" x14ac:dyDescent="0.3">
      <c r="B77" s="43">
        <v>42737</v>
      </c>
      <c r="C77" s="2" t="s">
        <v>8</v>
      </c>
      <c r="D77" s="2" t="s">
        <v>39</v>
      </c>
      <c r="E77" s="41" t="s">
        <v>1950</v>
      </c>
      <c r="F77" s="40" t="s">
        <v>1951</v>
      </c>
      <c r="G77" s="40" t="s">
        <v>1788</v>
      </c>
      <c r="H77" s="30">
        <v>150</v>
      </c>
      <c r="I77" s="41" t="s">
        <v>1789</v>
      </c>
      <c r="K77" s="86"/>
    </row>
    <row r="78" spans="2:11" x14ac:dyDescent="0.3">
      <c r="B78" s="43">
        <v>42738</v>
      </c>
      <c r="C78" s="30" t="s">
        <v>8</v>
      </c>
      <c r="D78" s="2" t="s">
        <v>39</v>
      </c>
      <c r="E78" s="2">
        <v>8220</v>
      </c>
      <c r="F78" s="30">
        <v>8185</v>
      </c>
      <c r="G78" s="30">
        <v>35</v>
      </c>
      <c r="H78" s="30">
        <v>150</v>
      </c>
      <c r="I78" s="30">
        <v>5250</v>
      </c>
      <c r="K78" s="86"/>
    </row>
    <row r="79" spans="2:11" x14ac:dyDescent="0.3">
      <c r="B79" s="43">
        <v>42739</v>
      </c>
      <c r="C79" s="30" t="s">
        <v>8</v>
      </c>
      <c r="D79" s="2" t="s">
        <v>39</v>
      </c>
      <c r="E79" s="2">
        <v>8215</v>
      </c>
      <c r="F79" s="30">
        <v>8190</v>
      </c>
      <c r="G79" s="30">
        <v>25</v>
      </c>
      <c r="H79" s="30">
        <v>150</v>
      </c>
      <c r="I79" s="30">
        <v>3750</v>
      </c>
      <c r="K79" s="86"/>
    </row>
    <row r="80" spans="2:11" x14ac:dyDescent="0.3">
      <c r="B80" s="43">
        <v>42740</v>
      </c>
      <c r="C80" s="30" t="s">
        <v>8</v>
      </c>
      <c r="D80" s="2" t="s">
        <v>39</v>
      </c>
      <c r="E80" s="2">
        <v>8285</v>
      </c>
      <c r="F80" s="30">
        <v>8268</v>
      </c>
      <c r="G80" s="30">
        <v>17</v>
      </c>
      <c r="H80" s="30">
        <v>150</v>
      </c>
      <c r="I80" s="30">
        <v>2550</v>
      </c>
      <c r="K80" s="86"/>
    </row>
    <row r="81" spans="2:11" x14ac:dyDescent="0.3">
      <c r="B81" s="43">
        <v>42741</v>
      </c>
      <c r="C81" s="30" t="s">
        <v>9</v>
      </c>
      <c r="D81" s="2" t="s">
        <v>39</v>
      </c>
      <c r="E81" s="30">
        <v>8320</v>
      </c>
      <c r="F81" s="30">
        <v>8285</v>
      </c>
      <c r="G81" s="30">
        <v>-35</v>
      </c>
      <c r="H81" s="30">
        <v>150</v>
      </c>
      <c r="I81" s="30">
        <v>-5250</v>
      </c>
      <c r="K81" s="86"/>
    </row>
    <row r="82" spans="2:11" x14ac:dyDescent="0.3">
      <c r="B82" s="43">
        <v>42744</v>
      </c>
      <c r="C82" s="30" t="s">
        <v>8</v>
      </c>
      <c r="D82" s="2" t="s">
        <v>39</v>
      </c>
      <c r="E82" s="30">
        <v>8255</v>
      </c>
      <c r="F82" s="30">
        <v>8250</v>
      </c>
      <c r="G82" s="30">
        <v>5</v>
      </c>
      <c r="H82" s="30">
        <v>150</v>
      </c>
      <c r="I82" s="30">
        <v>750</v>
      </c>
      <c r="K82" s="86"/>
    </row>
    <row r="83" spans="2:11" x14ac:dyDescent="0.3">
      <c r="B83" s="43">
        <v>42745</v>
      </c>
      <c r="C83" s="30" t="s">
        <v>8</v>
      </c>
      <c r="D83" s="2" t="s">
        <v>39</v>
      </c>
      <c r="E83" s="30">
        <v>8280</v>
      </c>
      <c r="F83" s="30">
        <v>8290</v>
      </c>
      <c r="G83" s="30">
        <v>-10</v>
      </c>
      <c r="H83" s="30">
        <v>150</v>
      </c>
      <c r="I83" s="30">
        <v>-1500</v>
      </c>
      <c r="K83" s="86"/>
    </row>
    <row r="84" spans="2:11" x14ac:dyDescent="0.3">
      <c r="B84" s="43">
        <v>42746</v>
      </c>
      <c r="C84" s="30" t="s">
        <v>9</v>
      </c>
      <c r="D84" s="2" t="s">
        <v>39</v>
      </c>
      <c r="E84" s="30">
        <v>8350</v>
      </c>
      <c r="F84" s="30">
        <v>8396</v>
      </c>
      <c r="G84" s="30">
        <v>46</v>
      </c>
      <c r="H84" s="30">
        <v>150</v>
      </c>
      <c r="I84" s="30">
        <v>6900</v>
      </c>
      <c r="K84" s="86"/>
    </row>
    <row r="85" spans="2:11" x14ac:dyDescent="0.3">
      <c r="B85" s="43">
        <v>42747</v>
      </c>
      <c r="C85" s="30" t="s">
        <v>8</v>
      </c>
      <c r="D85" s="2" t="s">
        <v>39</v>
      </c>
      <c r="E85" s="30">
        <v>8400</v>
      </c>
      <c r="F85" s="30">
        <v>8405</v>
      </c>
      <c r="G85" s="30">
        <v>-5</v>
      </c>
      <c r="H85" s="30">
        <v>150</v>
      </c>
      <c r="I85" s="30">
        <v>-750</v>
      </c>
      <c r="K85" s="86"/>
    </row>
    <row r="86" spans="2:11" x14ac:dyDescent="0.3">
      <c r="B86" s="43">
        <v>42748</v>
      </c>
      <c r="C86" s="30" t="s">
        <v>8</v>
      </c>
      <c r="D86" s="2" t="s">
        <v>39</v>
      </c>
      <c r="E86" s="30">
        <v>8405</v>
      </c>
      <c r="F86" s="30">
        <v>8393</v>
      </c>
      <c r="G86" s="30">
        <v>12</v>
      </c>
      <c r="H86" s="30">
        <v>150</v>
      </c>
      <c r="I86" s="30">
        <v>1800</v>
      </c>
      <c r="K86" s="86"/>
    </row>
    <row r="87" spans="2:11" x14ac:dyDescent="0.3">
      <c r="B87" s="43">
        <v>42751</v>
      </c>
      <c r="C87" s="30" t="s">
        <v>9</v>
      </c>
      <c r="D87" s="2" t="s">
        <v>39</v>
      </c>
      <c r="E87" s="30">
        <v>8400</v>
      </c>
      <c r="F87" s="30">
        <v>8435</v>
      </c>
      <c r="G87" s="30">
        <v>35</v>
      </c>
      <c r="H87" s="30">
        <v>150</v>
      </c>
      <c r="I87" s="30">
        <v>5250</v>
      </c>
      <c r="K87" s="86"/>
    </row>
    <row r="88" spans="2:11" x14ac:dyDescent="0.3">
      <c r="B88" s="43">
        <v>42752</v>
      </c>
      <c r="C88" s="30" t="s">
        <v>9</v>
      </c>
      <c r="D88" s="2" t="s">
        <v>39</v>
      </c>
      <c r="E88" s="30">
        <v>8410</v>
      </c>
      <c r="F88" s="30">
        <v>8405</v>
      </c>
      <c r="G88" s="30">
        <v>-5</v>
      </c>
      <c r="H88" s="30">
        <v>150</v>
      </c>
      <c r="I88" s="30">
        <v>-750</v>
      </c>
      <c r="K88" s="86"/>
    </row>
    <row r="89" spans="2:11" x14ac:dyDescent="0.3">
      <c r="B89" s="43">
        <v>42753</v>
      </c>
      <c r="C89" s="30" t="s">
        <v>8</v>
      </c>
      <c r="D89" s="2" t="s">
        <v>39</v>
      </c>
      <c r="E89" s="30">
        <v>8430</v>
      </c>
      <c r="F89" s="30">
        <v>8410</v>
      </c>
      <c r="G89" s="30">
        <v>20</v>
      </c>
      <c r="H89" s="30">
        <v>150</v>
      </c>
      <c r="I89" s="30">
        <v>3000</v>
      </c>
      <c r="K89" s="86"/>
    </row>
    <row r="90" spans="2:11" x14ac:dyDescent="0.3">
      <c r="B90" s="43">
        <v>42754</v>
      </c>
      <c r="C90" s="30" t="s">
        <v>8</v>
      </c>
      <c r="D90" s="2" t="s">
        <v>39</v>
      </c>
      <c r="E90" s="30">
        <v>8435</v>
      </c>
      <c r="F90" s="30">
        <v>8425</v>
      </c>
      <c r="G90" s="30">
        <v>10</v>
      </c>
      <c r="H90" s="30">
        <v>150</v>
      </c>
      <c r="I90" s="30">
        <v>1500</v>
      </c>
      <c r="K90" s="86"/>
    </row>
    <row r="91" spans="2:11" x14ac:dyDescent="0.3">
      <c r="B91" s="43">
        <v>42755</v>
      </c>
      <c r="C91" s="30" t="s">
        <v>8</v>
      </c>
      <c r="D91" s="2" t="s">
        <v>39</v>
      </c>
      <c r="E91" s="30">
        <v>8425</v>
      </c>
      <c r="F91" s="30">
        <v>8360</v>
      </c>
      <c r="G91" s="30">
        <v>65</v>
      </c>
      <c r="H91" s="30">
        <v>150</v>
      </c>
      <c r="I91" s="30">
        <v>9750</v>
      </c>
      <c r="K91" s="86"/>
    </row>
    <row r="92" spans="2:11" x14ac:dyDescent="0.3">
      <c r="B92" s="43">
        <v>42758</v>
      </c>
      <c r="C92" s="30" t="s">
        <v>9</v>
      </c>
      <c r="D92" s="2" t="s">
        <v>39</v>
      </c>
      <c r="E92" s="30">
        <v>8400</v>
      </c>
      <c r="F92" s="30">
        <v>8415</v>
      </c>
      <c r="G92" s="30">
        <v>15</v>
      </c>
      <c r="H92" s="30">
        <v>150</v>
      </c>
      <c r="I92" s="30">
        <v>2250</v>
      </c>
      <c r="K92" s="86"/>
    </row>
    <row r="93" spans="2:11" x14ac:dyDescent="0.3">
      <c r="B93" s="43">
        <v>42759</v>
      </c>
      <c r="C93" s="30" t="s">
        <v>8</v>
      </c>
      <c r="D93" s="2" t="s">
        <v>39</v>
      </c>
      <c r="E93" s="30">
        <v>8445</v>
      </c>
      <c r="F93" s="30">
        <v>8480</v>
      </c>
      <c r="G93" s="30">
        <v>-35</v>
      </c>
      <c r="H93" s="30">
        <v>150</v>
      </c>
      <c r="I93" s="30">
        <v>-5250</v>
      </c>
      <c r="K93" s="86"/>
    </row>
    <row r="94" spans="2:11" x14ac:dyDescent="0.3">
      <c r="B94" s="43">
        <v>42760</v>
      </c>
      <c r="C94" s="30" t="s">
        <v>9</v>
      </c>
      <c r="D94" s="2" t="s">
        <v>39</v>
      </c>
      <c r="E94" s="30">
        <v>8520</v>
      </c>
      <c r="F94" s="30">
        <v>8585</v>
      </c>
      <c r="G94" s="30">
        <v>65</v>
      </c>
      <c r="H94" s="30">
        <v>150</v>
      </c>
      <c r="I94" s="30">
        <v>9750</v>
      </c>
      <c r="K94" s="86"/>
    </row>
    <row r="95" spans="2:11" x14ac:dyDescent="0.3">
      <c r="B95" s="43">
        <v>42762</v>
      </c>
      <c r="C95" s="30" t="s">
        <v>9</v>
      </c>
      <c r="D95" s="2" t="s">
        <v>39</v>
      </c>
      <c r="E95" s="30">
        <v>8685</v>
      </c>
      <c r="F95" s="30">
        <v>8673</v>
      </c>
      <c r="G95" s="30">
        <v>-12</v>
      </c>
      <c r="H95" s="30">
        <v>150</v>
      </c>
      <c r="I95" s="30">
        <v>-1800</v>
      </c>
      <c r="K95" s="86"/>
    </row>
    <row r="96" spans="2:11" x14ac:dyDescent="0.3">
      <c r="B96" s="43">
        <v>42765</v>
      </c>
      <c r="C96" s="30" t="s">
        <v>8</v>
      </c>
      <c r="D96" s="2" t="s">
        <v>39</v>
      </c>
      <c r="E96" s="30">
        <v>8655</v>
      </c>
      <c r="F96" s="30">
        <v>8643</v>
      </c>
      <c r="G96" s="30">
        <v>12</v>
      </c>
      <c r="H96" s="30">
        <v>150</v>
      </c>
      <c r="I96" s="30">
        <v>1800</v>
      </c>
      <c r="K96" s="86"/>
    </row>
    <row r="97" spans="2:11" x14ac:dyDescent="0.3">
      <c r="B97" s="43">
        <v>42766</v>
      </c>
      <c r="C97" s="30" t="s">
        <v>8</v>
      </c>
      <c r="D97" s="2" t="s">
        <v>39</v>
      </c>
      <c r="E97" s="30">
        <v>8620</v>
      </c>
      <c r="F97" s="30">
        <v>8580</v>
      </c>
      <c r="G97" s="30">
        <v>40</v>
      </c>
      <c r="H97" s="30">
        <v>150</v>
      </c>
      <c r="I97" s="30">
        <v>6000</v>
      </c>
      <c r="K97" s="86"/>
    </row>
    <row r="98" spans="2:11" x14ac:dyDescent="0.3">
      <c r="B98" s="87"/>
      <c r="C98" s="30"/>
      <c r="D98" s="40"/>
      <c r="E98" s="30"/>
      <c r="F98" s="30"/>
      <c r="G98" s="30"/>
      <c r="H98" s="30"/>
      <c r="I98" s="30"/>
    </row>
    <row r="99" spans="2:11" ht="21" x14ac:dyDescent="0.4">
      <c r="B99" s="43"/>
      <c r="C99" s="30"/>
      <c r="D99" s="2"/>
      <c r="E99" s="30"/>
      <c r="F99" s="30"/>
      <c r="G99" s="30"/>
      <c r="H99" s="30"/>
      <c r="I99" s="129" t="s">
        <v>1971</v>
      </c>
    </row>
    <row r="100" spans="2:11" ht="18" x14ac:dyDescent="0.35">
      <c r="B100" s="43"/>
      <c r="C100" s="30"/>
      <c r="D100" s="2"/>
      <c r="E100" s="30"/>
      <c r="F100" s="30"/>
      <c r="G100" s="30"/>
      <c r="H100" s="30"/>
      <c r="I100" s="76"/>
    </row>
    <row r="101" spans="2:11" ht="15.6" x14ac:dyDescent="0.3">
      <c r="B101" s="48" t="s">
        <v>991</v>
      </c>
      <c r="C101" s="61"/>
      <c r="D101" s="61"/>
      <c r="E101" s="61"/>
      <c r="F101" s="61"/>
      <c r="G101" s="61"/>
      <c r="H101" s="61"/>
      <c r="I101" s="61"/>
    </row>
    <row r="102" spans="2:11" x14ac:dyDescent="0.3">
      <c r="B102" s="43">
        <v>42737</v>
      </c>
      <c r="C102" s="3" t="s">
        <v>9</v>
      </c>
      <c r="D102" s="3" t="s">
        <v>977</v>
      </c>
      <c r="E102" s="41" t="s">
        <v>582</v>
      </c>
      <c r="F102" s="41" t="s">
        <v>523</v>
      </c>
      <c r="G102" s="41" t="s">
        <v>917</v>
      </c>
      <c r="H102" s="30">
        <v>300</v>
      </c>
      <c r="I102" s="8">
        <v>-6000</v>
      </c>
    </row>
    <row r="103" spans="2:11" x14ac:dyDescent="0.3">
      <c r="B103" s="43">
        <v>42738</v>
      </c>
      <c r="C103" s="3" t="s">
        <v>9</v>
      </c>
      <c r="D103" s="3" t="s">
        <v>977</v>
      </c>
      <c r="E103" s="30">
        <v>105</v>
      </c>
      <c r="F103" s="30">
        <v>120</v>
      </c>
      <c r="G103" s="30">
        <v>15</v>
      </c>
      <c r="H103" s="30">
        <v>300</v>
      </c>
      <c r="I103" s="8">
        <v>4500</v>
      </c>
    </row>
    <row r="104" spans="2:11" x14ac:dyDescent="0.3">
      <c r="B104" s="43">
        <v>42739</v>
      </c>
      <c r="C104" s="3" t="s">
        <v>9</v>
      </c>
      <c r="D104" s="3" t="s">
        <v>977</v>
      </c>
      <c r="E104" s="30">
        <v>105</v>
      </c>
      <c r="F104" s="30">
        <v>119</v>
      </c>
      <c r="G104" s="30">
        <v>14</v>
      </c>
      <c r="H104" s="30">
        <v>300</v>
      </c>
      <c r="I104" s="8">
        <v>4200</v>
      </c>
    </row>
    <row r="105" spans="2:11" x14ac:dyDescent="0.3">
      <c r="B105" s="43">
        <v>42740</v>
      </c>
      <c r="C105" s="3" t="s">
        <v>9</v>
      </c>
      <c r="D105" s="3" t="s">
        <v>983</v>
      </c>
      <c r="E105" s="30">
        <v>110</v>
      </c>
      <c r="F105" s="30">
        <v>105</v>
      </c>
      <c r="G105" s="30">
        <v>-5</v>
      </c>
      <c r="H105" s="30">
        <v>300</v>
      </c>
      <c r="I105" s="8">
        <v>-1500</v>
      </c>
    </row>
    <row r="106" spans="2:11" x14ac:dyDescent="0.3">
      <c r="B106" s="43">
        <v>42741</v>
      </c>
      <c r="C106" s="3" t="s">
        <v>9</v>
      </c>
      <c r="D106" s="30" t="s">
        <v>983</v>
      </c>
      <c r="E106" s="30">
        <v>103</v>
      </c>
      <c r="F106" s="30">
        <v>116</v>
      </c>
      <c r="G106" s="30">
        <v>13</v>
      </c>
      <c r="H106" s="30">
        <v>300</v>
      </c>
      <c r="I106" s="8">
        <v>3900</v>
      </c>
    </row>
    <row r="107" spans="2:11" x14ac:dyDescent="0.3">
      <c r="B107" s="43">
        <v>42744</v>
      </c>
      <c r="C107" s="3" t="s">
        <v>9</v>
      </c>
      <c r="D107" s="30" t="s">
        <v>983</v>
      </c>
      <c r="E107" s="30">
        <v>115</v>
      </c>
      <c r="F107" s="30">
        <v>115</v>
      </c>
      <c r="G107" s="30">
        <v>0</v>
      </c>
      <c r="H107" s="30">
        <v>300</v>
      </c>
      <c r="I107" s="8">
        <v>0</v>
      </c>
    </row>
    <row r="108" spans="2:11" x14ac:dyDescent="0.3">
      <c r="B108" s="43">
        <v>42745</v>
      </c>
      <c r="C108" s="3" t="s">
        <v>9</v>
      </c>
      <c r="D108" s="30" t="s">
        <v>983</v>
      </c>
      <c r="E108" s="30">
        <v>95</v>
      </c>
      <c r="F108" s="30">
        <v>90</v>
      </c>
      <c r="G108" s="30">
        <v>-5</v>
      </c>
      <c r="H108" s="30">
        <v>300</v>
      </c>
      <c r="I108" s="8">
        <v>-1500</v>
      </c>
    </row>
    <row r="109" spans="2:11" x14ac:dyDescent="0.3">
      <c r="B109" s="43">
        <v>42746</v>
      </c>
      <c r="C109" s="3" t="s">
        <v>9</v>
      </c>
      <c r="D109" s="30" t="s">
        <v>1958</v>
      </c>
      <c r="E109" s="30">
        <v>110</v>
      </c>
      <c r="F109" s="30">
        <v>135</v>
      </c>
      <c r="G109" s="30">
        <v>25</v>
      </c>
      <c r="H109" s="30">
        <v>300</v>
      </c>
      <c r="I109" s="8">
        <v>7500</v>
      </c>
    </row>
    <row r="110" spans="2:11" x14ac:dyDescent="0.3">
      <c r="B110" s="43">
        <v>42747</v>
      </c>
      <c r="C110" s="3" t="s">
        <v>9</v>
      </c>
      <c r="D110" s="30" t="s">
        <v>1876</v>
      </c>
      <c r="E110" s="30">
        <v>135</v>
      </c>
      <c r="F110" s="30">
        <v>125</v>
      </c>
      <c r="G110" s="30">
        <v>-10</v>
      </c>
      <c r="H110" s="30">
        <v>300</v>
      </c>
      <c r="I110" s="8">
        <v>-3000</v>
      </c>
    </row>
    <row r="111" spans="2:11" x14ac:dyDescent="0.3">
      <c r="B111" s="43">
        <v>42748</v>
      </c>
      <c r="C111" s="3" t="s">
        <v>9</v>
      </c>
      <c r="D111" s="30" t="s">
        <v>1876</v>
      </c>
      <c r="E111" s="30">
        <v>120</v>
      </c>
      <c r="F111" s="30">
        <v>130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42751</v>
      </c>
      <c r="C112" s="3" t="s">
        <v>9</v>
      </c>
      <c r="D112" s="30" t="s">
        <v>1958</v>
      </c>
      <c r="E112" s="30">
        <v>130</v>
      </c>
      <c r="F112" s="30">
        <v>155</v>
      </c>
      <c r="G112" s="30">
        <v>25</v>
      </c>
      <c r="H112" s="30">
        <v>300</v>
      </c>
      <c r="I112" s="8">
        <v>7500</v>
      </c>
    </row>
    <row r="113" spans="2:9" x14ac:dyDescent="0.3">
      <c r="B113" s="43">
        <v>42752</v>
      </c>
      <c r="C113" s="3" t="s">
        <v>9</v>
      </c>
      <c r="D113" s="30" t="s">
        <v>1958</v>
      </c>
      <c r="E113" s="30">
        <v>130</v>
      </c>
      <c r="F113" s="30">
        <v>128</v>
      </c>
      <c r="G113" s="30">
        <v>-2</v>
      </c>
      <c r="H113" s="30">
        <v>300</v>
      </c>
      <c r="I113" s="8">
        <v>-600</v>
      </c>
    </row>
    <row r="114" spans="2:9" x14ac:dyDescent="0.3">
      <c r="B114" s="43">
        <v>42753</v>
      </c>
      <c r="C114" s="3" t="s">
        <v>9</v>
      </c>
      <c r="D114" s="30" t="s">
        <v>1876</v>
      </c>
      <c r="E114" s="30">
        <v>95</v>
      </c>
      <c r="F114" s="30">
        <v>110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42754</v>
      </c>
      <c r="C115" s="3" t="s">
        <v>9</v>
      </c>
      <c r="D115" s="30" t="s">
        <v>1876</v>
      </c>
      <c r="E115" s="30">
        <v>87</v>
      </c>
      <c r="F115" s="30">
        <v>83</v>
      </c>
      <c r="G115" s="30">
        <v>-4</v>
      </c>
      <c r="H115" s="30">
        <v>300</v>
      </c>
      <c r="I115" s="8">
        <v>-1200</v>
      </c>
    </row>
    <row r="116" spans="2:9" x14ac:dyDescent="0.3">
      <c r="B116" s="43">
        <v>42755</v>
      </c>
      <c r="C116" s="3" t="s">
        <v>9</v>
      </c>
      <c r="D116" s="30" t="s">
        <v>1876</v>
      </c>
      <c r="E116" s="30">
        <v>95</v>
      </c>
      <c r="F116" s="30">
        <v>130</v>
      </c>
      <c r="G116" s="30">
        <v>35</v>
      </c>
      <c r="H116" s="30">
        <v>300</v>
      </c>
      <c r="I116" s="8">
        <v>10500</v>
      </c>
    </row>
    <row r="117" spans="2:9" x14ac:dyDescent="0.3">
      <c r="B117" s="43">
        <v>42758</v>
      </c>
      <c r="C117" s="3" t="s">
        <v>9</v>
      </c>
      <c r="D117" s="28" t="s">
        <v>1958</v>
      </c>
      <c r="E117" s="49" t="s">
        <v>523</v>
      </c>
      <c r="F117" s="49" t="s">
        <v>227</v>
      </c>
      <c r="G117" s="49" t="s">
        <v>917</v>
      </c>
      <c r="H117" s="30">
        <v>300</v>
      </c>
      <c r="I117" s="8">
        <v>-6000</v>
      </c>
    </row>
    <row r="118" spans="2:9" x14ac:dyDescent="0.3">
      <c r="B118" s="43">
        <v>42759</v>
      </c>
      <c r="C118" s="3" t="s">
        <v>9</v>
      </c>
      <c r="D118" s="28" t="s">
        <v>1639</v>
      </c>
      <c r="E118" s="49" t="s">
        <v>226</v>
      </c>
      <c r="F118" s="49" t="s">
        <v>214</v>
      </c>
      <c r="G118" s="49" t="s">
        <v>1171</v>
      </c>
      <c r="H118" s="30">
        <v>300</v>
      </c>
      <c r="I118" s="8">
        <v>-7500</v>
      </c>
    </row>
    <row r="119" spans="2:9" x14ac:dyDescent="0.3">
      <c r="B119" s="43">
        <v>42760</v>
      </c>
      <c r="C119" s="3" t="s">
        <v>9</v>
      </c>
      <c r="D119" s="28" t="s">
        <v>1638</v>
      </c>
      <c r="E119" s="49" t="s">
        <v>288</v>
      </c>
      <c r="F119" s="49" t="s">
        <v>232</v>
      </c>
      <c r="G119" s="49" t="s">
        <v>945</v>
      </c>
      <c r="H119" s="30">
        <v>300</v>
      </c>
      <c r="I119" s="8">
        <v>10500</v>
      </c>
    </row>
    <row r="120" spans="2:9" x14ac:dyDescent="0.3">
      <c r="B120" s="43">
        <v>42762</v>
      </c>
      <c r="C120" s="3" t="s">
        <v>9</v>
      </c>
      <c r="D120" s="28" t="s">
        <v>1804</v>
      </c>
      <c r="E120" s="49" t="s">
        <v>214</v>
      </c>
      <c r="F120" s="49" t="s">
        <v>758</v>
      </c>
      <c r="G120" s="49" t="s">
        <v>1269</v>
      </c>
      <c r="H120" s="30">
        <v>300</v>
      </c>
      <c r="I120" s="8">
        <v>-900</v>
      </c>
    </row>
    <row r="121" spans="2:9" x14ac:dyDescent="0.3">
      <c r="B121" s="43">
        <v>42765</v>
      </c>
      <c r="C121" s="3" t="s">
        <v>9</v>
      </c>
      <c r="D121" s="28" t="s">
        <v>1639</v>
      </c>
      <c r="E121" s="49" t="s">
        <v>825</v>
      </c>
      <c r="F121" s="49" t="s">
        <v>524</v>
      </c>
      <c r="G121" s="49" t="s">
        <v>1011</v>
      </c>
      <c r="H121" s="30">
        <v>300</v>
      </c>
      <c r="I121" s="8">
        <v>2100</v>
      </c>
    </row>
    <row r="122" spans="2:9" x14ac:dyDescent="0.3">
      <c r="B122" s="43">
        <v>42766</v>
      </c>
      <c r="C122" s="3" t="s">
        <v>9</v>
      </c>
      <c r="D122" s="28" t="s">
        <v>1639</v>
      </c>
      <c r="E122" s="49" t="s">
        <v>582</v>
      </c>
      <c r="F122" s="49" t="s">
        <v>626</v>
      </c>
      <c r="G122" s="49" t="s">
        <v>951</v>
      </c>
      <c r="H122" s="30">
        <v>300</v>
      </c>
      <c r="I122" s="8">
        <v>4500</v>
      </c>
    </row>
    <row r="123" spans="2:9" x14ac:dyDescent="0.3">
      <c r="C123" s="3"/>
      <c r="D123" s="28"/>
      <c r="E123" s="49"/>
      <c r="F123" s="49"/>
      <c r="G123" s="49"/>
      <c r="H123" s="30"/>
      <c r="I123" s="8"/>
    </row>
    <row r="124" spans="2:9" ht="21" x14ac:dyDescent="0.3">
      <c r="C124" s="3"/>
      <c r="D124" s="28"/>
      <c r="E124" s="49"/>
      <c r="F124" s="49"/>
      <c r="G124" s="49"/>
      <c r="H124" s="30"/>
      <c r="I124" s="128">
        <v>34500</v>
      </c>
    </row>
    <row r="125" spans="2:9" x14ac:dyDescent="0.3">
      <c r="B125" s="1"/>
      <c r="C125" s="28"/>
      <c r="D125" s="28"/>
      <c r="E125" s="81"/>
      <c r="F125" s="81"/>
      <c r="G125" s="81"/>
      <c r="H125" s="81"/>
      <c r="I125" s="81"/>
    </row>
    <row r="126" spans="2:9" ht="15.6" x14ac:dyDescent="0.3">
      <c r="B126" s="48" t="s">
        <v>926</v>
      </c>
      <c r="C126" s="48"/>
      <c r="D126" s="48"/>
      <c r="E126" s="48"/>
      <c r="F126" s="48"/>
      <c r="G126" s="48"/>
      <c r="H126" s="48"/>
      <c r="I126" s="48"/>
    </row>
    <row r="127" spans="2:9" x14ac:dyDescent="0.3">
      <c r="B127" s="43">
        <v>42737</v>
      </c>
      <c r="C127" s="30" t="s">
        <v>8</v>
      </c>
      <c r="D127" s="30" t="s">
        <v>301</v>
      </c>
      <c r="E127" s="30">
        <v>18080</v>
      </c>
      <c r="F127" s="30">
        <v>17920</v>
      </c>
      <c r="G127" s="30">
        <v>160</v>
      </c>
      <c r="H127" s="30">
        <v>160</v>
      </c>
      <c r="I127" s="30">
        <v>25600</v>
      </c>
    </row>
    <row r="128" spans="2:9" x14ac:dyDescent="0.3">
      <c r="B128" s="43">
        <v>42738</v>
      </c>
      <c r="C128" s="30" t="s">
        <v>8</v>
      </c>
      <c r="D128" s="30" t="s">
        <v>301</v>
      </c>
      <c r="E128" s="30">
        <v>18120</v>
      </c>
      <c r="F128" s="30">
        <v>17980</v>
      </c>
      <c r="G128" s="30">
        <v>140</v>
      </c>
      <c r="H128" s="30">
        <v>160</v>
      </c>
      <c r="I128" s="30">
        <v>22400</v>
      </c>
    </row>
    <row r="129" spans="2:15" x14ac:dyDescent="0.3">
      <c r="B129" s="43">
        <v>42739</v>
      </c>
      <c r="C129" s="30" t="s">
        <v>8</v>
      </c>
      <c r="D129" s="30" t="s">
        <v>301</v>
      </c>
      <c r="E129" s="30">
        <v>18060</v>
      </c>
      <c r="F129" s="30">
        <v>17960</v>
      </c>
      <c r="G129" s="30">
        <v>100</v>
      </c>
      <c r="H129" s="30">
        <v>160</v>
      </c>
      <c r="I129" s="30">
        <v>16000</v>
      </c>
    </row>
    <row r="130" spans="2:15" x14ac:dyDescent="0.3">
      <c r="B130" s="43">
        <v>42740</v>
      </c>
      <c r="C130" s="30" t="s">
        <v>8</v>
      </c>
      <c r="D130" s="30" t="s">
        <v>301</v>
      </c>
      <c r="E130" s="30">
        <v>18080</v>
      </c>
      <c r="F130" s="30">
        <v>18140</v>
      </c>
      <c r="G130" s="30">
        <v>-60</v>
      </c>
      <c r="H130" s="30">
        <v>160</v>
      </c>
      <c r="I130" s="30">
        <v>-9600</v>
      </c>
    </row>
    <row r="131" spans="2:15" x14ac:dyDescent="0.3">
      <c r="B131" s="43">
        <v>42741</v>
      </c>
      <c r="C131" s="30" t="s">
        <v>9</v>
      </c>
      <c r="D131" s="30" t="s">
        <v>301</v>
      </c>
      <c r="E131" s="30">
        <v>18330</v>
      </c>
      <c r="F131" s="30">
        <v>18300</v>
      </c>
      <c r="G131" s="30">
        <v>-30</v>
      </c>
      <c r="H131" s="30">
        <v>160</v>
      </c>
      <c r="I131" s="30">
        <v>-4800</v>
      </c>
    </row>
    <row r="132" spans="2:15" x14ac:dyDescent="0.3">
      <c r="B132" s="43">
        <v>42744</v>
      </c>
      <c r="C132" s="30" t="s">
        <v>8</v>
      </c>
      <c r="D132" s="30" t="s">
        <v>301</v>
      </c>
      <c r="E132" s="30">
        <v>18350</v>
      </c>
      <c r="F132" s="30">
        <v>18300</v>
      </c>
      <c r="G132" s="30">
        <v>50</v>
      </c>
      <c r="H132" s="30">
        <v>160</v>
      </c>
      <c r="I132" s="30">
        <v>8000</v>
      </c>
    </row>
    <row r="133" spans="2:15" x14ac:dyDescent="0.3">
      <c r="B133" s="43">
        <v>42745</v>
      </c>
      <c r="C133" s="30" t="s">
        <v>8</v>
      </c>
      <c r="D133" s="30" t="s">
        <v>301</v>
      </c>
      <c r="E133" s="30">
        <v>18360</v>
      </c>
      <c r="F133" s="30">
        <v>18390</v>
      </c>
      <c r="G133" s="30">
        <v>-30</v>
      </c>
      <c r="H133" s="30">
        <v>160</v>
      </c>
      <c r="I133" s="30">
        <v>-4800</v>
      </c>
    </row>
    <row r="134" spans="2:15" x14ac:dyDescent="0.3">
      <c r="B134" s="43">
        <v>42746</v>
      </c>
      <c r="C134" s="30" t="s">
        <v>9</v>
      </c>
      <c r="D134" s="30" t="s">
        <v>301</v>
      </c>
      <c r="E134" s="30">
        <v>18720</v>
      </c>
      <c r="F134" s="30">
        <v>18870</v>
      </c>
      <c r="G134" s="30">
        <v>150</v>
      </c>
      <c r="H134" s="30">
        <v>160</v>
      </c>
      <c r="I134" s="30">
        <v>24000</v>
      </c>
    </row>
    <row r="135" spans="2:15" x14ac:dyDescent="0.3">
      <c r="B135" s="43">
        <v>42747</v>
      </c>
      <c r="C135" s="30" t="s">
        <v>8</v>
      </c>
      <c r="D135" s="30" t="s">
        <v>301</v>
      </c>
      <c r="E135" s="30">
        <v>18880</v>
      </c>
      <c r="F135" s="30">
        <v>18830</v>
      </c>
      <c r="G135" s="30">
        <v>50</v>
      </c>
      <c r="H135" s="30">
        <v>160</v>
      </c>
      <c r="I135" s="30">
        <v>8000</v>
      </c>
    </row>
    <row r="136" spans="2:15" x14ac:dyDescent="0.3">
      <c r="B136" s="43">
        <v>42748</v>
      </c>
      <c r="C136" s="30" t="s">
        <v>8</v>
      </c>
      <c r="D136" s="30" t="s">
        <v>301</v>
      </c>
      <c r="E136" s="30">
        <v>18850</v>
      </c>
      <c r="F136" s="30">
        <v>18920</v>
      </c>
      <c r="G136" s="30">
        <v>-70</v>
      </c>
      <c r="H136" s="30">
        <v>160</v>
      </c>
      <c r="I136" s="30">
        <v>-11200</v>
      </c>
    </row>
    <row r="137" spans="2:15" x14ac:dyDescent="0.3">
      <c r="B137" s="43">
        <v>42751</v>
      </c>
      <c r="C137" s="30" t="s">
        <v>9</v>
      </c>
      <c r="D137" s="30" t="s">
        <v>301</v>
      </c>
      <c r="E137" s="30">
        <v>18950</v>
      </c>
      <c r="F137" s="30">
        <v>19160</v>
      </c>
      <c r="G137" s="30">
        <v>210</v>
      </c>
      <c r="H137" s="30">
        <v>160</v>
      </c>
      <c r="I137" s="30">
        <v>33600</v>
      </c>
    </row>
    <row r="138" spans="2:15" x14ac:dyDescent="0.3">
      <c r="B138" s="43">
        <v>42752</v>
      </c>
      <c r="C138" s="30" t="s">
        <v>9</v>
      </c>
      <c r="D138" s="30" t="s">
        <v>301</v>
      </c>
      <c r="E138" s="30">
        <v>19200</v>
      </c>
      <c r="F138" s="30">
        <v>19050</v>
      </c>
      <c r="G138" s="30">
        <v>-150</v>
      </c>
      <c r="H138" s="30">
        <v>160</v>
      </c>
      <c r="I138" s="30">
        <v>-24000</v>
      </c>
    </row>
    <row r="139" spans="2:15" x14ac:dyDescent="0.3">
      <c r="B139" s="43">
        <v>42753</v>
      </c>
      <c r="C139" s="30" t="s">
        <v>8</v>
      </c>
      <c r="D139" s="30" t="s">
        <v>301</v>
      </c>
      <c r="E139" s="30">
        <v>19200</v>
      </c>
      <c r="F139" s="30">
        <v>19150</v>
      </c>
      <c r="G139" s="30">
        <v>50</v>
      </c>
      <c r="H139" s="30">
        <v>160</v>
      </c>
      <c r="I139" s="30">
        <v>8000</v>
      </c>
    </row>
    <row r="140" spans="2:15" x14ac:dyDescent="0.3">
      <c r="B140" s="43">
        <v>42754</v>
      </c>
      <c r="C140" s="30" t="s">
        <v>8</v>
      </c>
      <c r="D140" s="30" t="s">
        <v>301</v>
      </c>
      <c r="E140" s="30">
        <v>19150</v>
      </c>
      <c r="F140" s="30">
        <v>19140</v>
      </c>
      <c r="G140" s="30">
        <v>10</v>
      </c>
      <c r="H140" s="30">
        <v>160</v>
      </c>
      <c r="I140" s="30">
        <v>1600</v>
      </c>
    </row>
    <row r="141" spans="2:15" x14ac:dyDescent="0.3">
      <c r="B141" s="43">
        <v>42755</v>
      </c>
      <c r="C141" s="30" t="s">
        <v>8</v>
      </c>
      <c r="D141" s="30" t="s">
        <v>301</v>
      </c>
      <c r="E141" s="30">
        <v>19030</v>
      </c>
      <c r="F141" s="30">
        <v>18830</v>
      </c>
      <c r="G141" s="30">
        <v>200</v>
      </c>
      <c r="H141" s="30">
        <v>160</v>
      </c>
      <c r="I141" s="30">
        <v>32000</v>
      </c>
    </row>
    <row r="142" spans="2:15" x14ac:dyDescent="0.3">
      <c r="B142" s="43">
        <v>42758</v>
      </c>
      <c r="C142" s="30" t="s">
        <v>9</v>
      </c>
      <c r="D142" s="30" t="s">
        <v>301</v>
      </c>
      <c r="E142" s="30">
        <v>18900</v>
      </c>
      <c r="F142" s="30">
        <v>18940</v>
      </c>
      <c r="G142" s="30">
        <v>40</v>
      </c>
      <c r="H142" s="30">
        <v>160</v>
      </c>
      <c r="I142" s="30">
        <v>6400</v>
      </c>
    </row>
    <row r="143" spans="2:15" x14ac:dyDescent="0.3">
      <c r="B143" s="43">
        <v>42759</v>
      </c>
      <c r="C143" s="30" t="s">
        <v>8</v>
      </c>
      <c r="D143" s="30" t="s">
        <v>301</v>
      </c>
      <c r="E143" s="30">
        <v>18990</v>
      </c>
      <c r="F143" s="30">
        <v>18940</v>
      </c>
      <c r="G143" s="30">
        <v>50</v>
      </c>
      <c r="H143" s="30">
        <v>160</v>
      </c>
      <c r="I143" s="30">
        <v>8000</v>
      </c>
    </row>
    <row r="144" spans="2:15" x14ac:dyDescent="0.3">
      <c r="B144" s="43">
        <v>42760</v>
      </c>
      <c r="C144" s="30" t="s">
        <v>9</v>
      </c>
      <c r="D144" s="30" t="s">
        <v>301</v>
      </c>
      <c r="E144" s="30">
        <v>19150</v>
      </c>
      <c r="F144" s="30">
        <v>19450</v>
      </c>
      <c r="G144" s="30">
        <v>300</v>
      </c>
      <c r="H144" s="30">
        <v>160</v>
      </c>
      <c r="I144" s="94">
        <v>48000</v>
      </c>
      <c r="K144" s="30"/>
      <c r="L144" s="30"/>
      <c r="M144" s="30"/>
      <c r="N144" s="30"/>
      <c r="O144" s="30"/>
    </row>
    <row r="145" spans="1:15" x14ac:dyDescent="0.3">
      <c r="B145" s="43">
        <v>42762</v>
      </c>
      <c r="C145" s="30" t="s">
        <v>9</v>
      </c>
      <c r="D145" s="30" t="s">
        <v>301</v>
      </c>
      <c r="E145" s="30">
        <v>19750</v>
      </c>
      <c r="F145" s="30">
        <v>19850</v>
      </c>
      <c r="G145" s="30">
        <v>100</v>
      </c>
      <c r="H145" s="30">
        <v>160</v>
      </c>
      <c r="I145" s="94">
        <v>16000</v>
      </c>
      <c r="K145" s="130"/>
      <c r="L145" s="130"/>
      <c r="M145" s="130"/>
      <c r="N145" s="130"/>
      <c r="O145" s="130"/>
    </row>
    <row r="146" spans="1:15" x14ac:dyDescent="0.3">
      <c r="B146" s="43">
        <v>42765</v>
      </c>
      <c r="C146" s="30" t="s">
        <v>8</v>
      </c>
      <c r="D146" s="30" t="s">
        <v>301</v>
      </c>
      <c r="E146" s="30">
        <v>19720</v>
      </c>
      <c r="F146" s="30">
        <v>19640</v>
      </c>
      <c r="G146" s="30">
        <v>80</v>
      </c>
      <c r="H146" s="30">
        <v>160</v>
      </c>
      <c r="I146" s="94">
        <v>12800</v>
      </c>
    </row>
    <row r="147" spans="1:15" ht="18" x14ac:dyDescent="0.35">
      <c r="B147" s="43">
        <v>42766</v>
      </c>
      <c r="C147" s="30" t="s">
        <v>8</v>
      </c>
      <c r="D147" s="30" t="s">
        <v>301</v>
      </c>
      <c r="E147" s="30">
        <v>19570</v>
      </c>
      <c r="F147" s="30">
        <v>19520</v>
      </c>
      <c r="G147" s="30">
        <v>50</v>
      </c>
      <c r="H147" s="30">
        <v>160</v>
      </c>
      <c r="I147" s="94">
        <v>8000</v>
      </c>
      <c r="K147" s="100"/>
      <c r="L147" s="100"/>
      <c r="M147" s="100"/>
      <c r="N147" s="100"/>
      <c r="O147" s="100"/>
    </row>
    <row r="148" spans="1:15" x14ac:dyDescent="0.3">
      <c r="B148" s="43"/>
      <c r="C148" s="30"/>
      <c r="D148" s="30"/>
      <c r="E148" s="30"/>
      <c r="F148" s="30"/>
      <c r="G148" s="30"/>
      <c r="H148" s="30"/>
      <c r="I148" s="94"/>
      <c r="L148" s="30"/>
    </row>
    <row r="149" spans="1:15" ht="21" x14ac:dyDescent="0.3">
      <c r="B149" s="43"/>
      <c r="C149" s="30"/>
      <c r="D149" s="30"/>
      <c r="E149" s="88"/>
      <c r="F149" s="88"/>
      <c r="G149" s="88"/>
      <c r="H149" s="88"/>
      <c r="I149" s="132">
        <v>224000</v>
      </c>
      <c r="L149" s="30"/>
    </row>
    <row r="150" spans="1:15" s="30" customFormat="1" x14ac:dyDescent="0.3">
      <c r="A150" s="9"/>
      <c r="B150" s="43"/>
      <c r="J150" s="9"/>
      <c r="K150" s="10"/>
      <c r="M150" s="10"/>
      <c r="N150" s="10"/>
      <c r="O150" s="10"/>
    </row>
    <row r="151" spans="1:15" s="130" customFormat="1" ht="18" x14ac:dyDescent="0.35">
      <c r="B151" s="299" t="s">
        <v>1152</v>
      </c>
      <c r="C151" s="300"/>
      <c r="D151" s="300"/>
      <c r="E151" s="300"/>
      <c r="F151" s="300"/>
      <c r="G151" s="300"/>
      <c r="H151" s="300"/>
      <c r="I151" s="301"/>
      <c r="K151" s="10"/>
      <c r="L151" s="30"/>
      <c r="M151" s="10"/>
      <c r="N151" s="10"/>
      <c r="O151" s="10"/>
    </row>
    <row r="152" spans="1:15" x14ac:dyDescent="0.3">
      <c r="B152" s="43">
        <v>42737</v>
      </c>
      <c r="C152" s="30" t="s">
        <v>9</v>
      </c>
      <c r="D152" s="30" t="s">
        <v>1605</v>
      </c>
      <c r="E152" s="30">
        <v>320</v>
      </c>
      <c r="F152" s="30">
        <v>400</v>
      </c>
      <c r="G152" s="30">
        <v>80</v>
      </c>
      <c r="H152" s="30">
        <v>160</v>
      </c>
      <c r="I152" s="30">
        <v>12800</v>
      </c>
      <c r="L152" s="30"/>
    </row>
    <row r="153" spans="1:15" x14ac:dyDescent="0.3">
      <c r="B153" s="43">
        <v>42738</v>
      </c>
      <c r="C153" s="30" t="s">
        <v>9</v>
      </c>
      <c r="D153" s="30" t="s">
        <v>1605</v>
      </c>
      <c r="E153" s="30">
        <v>280</v>
      </c>
      <c r="F153" s="30">
        <v>340</v>
      </c>
      <c r="G153" s="30">
        <v>60</v>
      </c>
      <c r="H153" s="30">
        <v>160</v>
      </c>
      <c r="I153" s="30">
        <v>9600</v>
      </c>
      <c r="L153" s="30"/>
    </row>
    <row r="154" spans="1:15" x14ac:dyDescent="0.3">
      <c r="B154" s="43">
        <v>42739</v>
      </c>
      <c r="C154" s="30" t="s">
        <v>9</v>
      </c>
      <c r="D154" s="30" t="s">
        <v>1605</v>
      </c>
      <c r="E154" s="30">
        <v>300</v>
      </c>
      <c r="F154" s="30">
        <v>350</v>
      </c>
      <c r="G154" s="30">
        <v>50</v>
      </c>
      <c r="H154" s="30">
        <v>160</v>
      </c>
      <c r="I154" s="30">
        <v>8000</v>
      </c>
    </row>
    <row r="155" spans="1:15" x14ac:dyDescent="0.3">
      <c r="B155" s="43">
        <v>42740</v>
      </c>
      <c r="C155" s="30" t="s">
        <v>9</v>
      </c>
      <c r="D155" s="30" t="s">
        <v>1605</v>
      </c>
      <c r="E155" s="30">
        <v>290</v>
      </c>
      <c r="F155" s="30">
        <v>250</v>
      </c>
      <c r="G155" s="30">
        <v>-40</v>
      </c>
      <c r="H155" s="30">
        <v>160</v>
      </c>
      <c r="I155" s="30">
        <v>-6400</v>
      </c>
    </row>
    <row r="156" spans="1:15" x14ac:dyDescent="0.3">
      <c r="B156" s="43">
        <v>42741</v>
      </c>
      <c r="C156" s="30" t="s">
        <v>9</v>
      </c>
      <c r="D156" s="30" t="s">
        <v>1650</v>
      </c>
      <c r="E156" s="30">
        <v>300</v>
      </c>
      <c r="F156" s="30">
        <v>280</v>
      </c>
      <c r="G156" s="30">
        <v>-20</v>
      </c>
      <c r="H156" s="30">
        <v>160</v>
      </c>
      <c r="I156" s="30">
        <v>-3200</v>
      </c>
    </row>
    <row r="157" spans="1:15" x14ac:dyDescent="0.3">
      <c r="B157" s="43">
        <v>42744</v>
      </c>
      <c r="C157" s="30" t="s">
        <v>9</v>
      </c>
      <c r="D157" s="30" t="s">
        <v>1888</v>
      </c>
      <c r="E157" s="30">
        <v>250</v>
      </c>
      <c r="F157" s="30">
        <v>250</v>
      </c>
      <c r="G157" s="30">
        <v>0</v>
      </c>
      <c r="H157" s="30">
        <v>160</v>
      </c>
      <c r="I157" s="30">
        <v>0</v>
      </c>
    </row>
    <row r="158" spans="1:15" x14ac:dyDescent="0.3">
      <c r="B158" s="43">
        <v>42745</v>
      </c>
      <c r="C158" s="30" t="s">
        <v>9</v>
      </c>
      <c r="D158" s="30" t="s">
        <v>1888</v>
      </c>
      <c r="E158" s="30">
        <v>230</v>
      </c>
      <c r="F158" s="30">
        <v>200</v>
      </c>
      <c r="G158" s="30">
        <v>-30</v>
      </c>
      <c r="H158" s="30">
        <v>160</v>
      </c>
      <c r="I158" s="30">
        <v>-4800</v>
      </c>
    </row>
    <row r="159" spans="1:15" x14ac:dyDescent="0.3">
      <c r="B159" s="43">
        <v>42746</v>
      </c>
      <c r="C159" s="30" t="s">
        <v>9</v>
      </c>
      <c r="D159" s="30" t="s">
        <v>1910</v>
      </c>
      <c r="E159" s="30">
        <v>290</v>
      </c>
      <c r="F159" s="30">
        <v>450</v>
      </c>
      <c r="G159" s="30">
        <v>160</v>
      </c>
      <c r="H159" s="30">
        <v>160</v>
      </c>
      <c r="I159" s="30">
        <v>25600</v>
      </c>
    </row>
    <row r="160" spans="1:15" x14ac:dyDescent="0.3">
      <c r="B160" s="43">
        <v>42747</v>
      </c>
      <c r="C160" s="30" t="s">
        <v>9</v>
      </c>
      <c r="D160" s="30" t="s">
        <v>1754</v>
      </c>
      <c r="E160" s="30">
        <v>220</v>
      </c>
      <c r="F160" s="30">
        <v>250</v>
      </c>
      <c r="G160" s="30">
        <v>30</v>
      </c>
      <c r="H160" s="30">
        <v>160</v>
      </c>
      <c r="I160" s="30">
        <v>4800</v>
      </c>
    </row>
    <row r="161" spans="2:15" x14ac:dyDescent="0.3">
      <c r="B161" s="43">
        <v>42748</v>
      </c>
      <c r="C161" s="30" t="s">
        <v>9</v>
      </c>
      <c r="D161" s="30" t="s">
        <v>1754</v>
      </c>
      <c r="E161" s="30">
        <v>220</v>
      </c>
      <c r="F161" s="30">
        <v>190</v>
      </c>
      <c r="G161" s="30">
        <v>-30</v>
      </c>
      <c r="H161" s="30">
        <v>160</v>
      </c>
      <c r="I161" s="30">
        <v>-4800</v>
      </c>
    </row>
    <row r="162" spans="2:15" x14ac:dyDescent="0.3">
      <c r="B162" s="43">
        <v>42751</v>
      </c>
      <c r="C162" s="30" t="s">
        <v>9</v>
      </c>
      <c r="D162" s="30" t="s">
        <v>1960</v>
      </c>
      <c r="E162" s="30">
        <v>220</v>
      </c>
      <c r="F162" s="30">
        <v>350</v>
      </c>
      <c r="G162" s="30">
        <v>130</v>
      </c>
      <c r="H162" s="30">
        <v>160</v>
      </c>
      <c r="I162" s="30">
        <v>20800</v>
      </c>
    </row>
    <row r="163" spans="2:15" x14ac:dyDescent="0.3">
      <c r="B163" s="43">
        <v>42752</v>
      </c>
      <c r="C163" s="30" t="s">
        <v>9</v>
      </c>
      <c r="D163" s="30" t="s">
        <v>1691</v>
      </c>
      <c r="E163" s="30">
        <v>240</v>
      </c>
      <c r="F163" s="30">
        <v>180</v>
      </c>
      <c r="G163" s="30">
        <v>-60</v>
      </c>
      <c r="H163" s="30">
        <v>160</v>
      </c>
      <c r="I163" s="30">
        <v>-9600</v>
      </c>
    </row>
    <row r="164" spans="2:15" x14ac:dyDescent="0.3">
      <c r="B164" s="43">
        <v>42753</v>
      </c>
      <c r="C164" s="30" t="s">
        <v>9</v>
      </c>
      <c r="D164" s="30" t="s">
        <v>1760</v>
      </c>
      <c r="E164" s="30">
        <v>200</v>
      </c>
      <c r="F164" s="30">
        <v>250</v>
      </c>
      <c r="G164" s="30">
        <v>50</v>
      </c>
      <c r="H164" s="30">
        <v>160</v>
      </c>
      <c r="I164" s="30">
        <v>8000</v>
      </c>
    </row>
    <row r="165" spans="2:15" x14ac:dyDescent="0.3">
      <c r="B165" s="43">
        <v>42754</v>
      </c>
      <c r="C165" s="30" t="s">
        <v>9</v>
      </c>
      <c r="D165" s="30" t="s">
        <v>1760</v>
      </c>
      <c r="E165" s="30">
        <v>230</v>
      </c>
      <c r="F165" s="30">
        <v>225</v>
      </c>
      <c r="G165" s="30">
        <v>-5</v>
      </c>
      <c r="H165" s="30">
        <v>160</v>
      </c>
      <c r="I165" s="30">
        <v>-800</v>
      </c>
    </row>
    <row r="166" spans="2:15" x14ac:dyDescent="0.3">
      <c r="B166" s="43">
        <v>42755</v>
      </c>
      <c r="C166" s="30" t="s">
        <v>9</v>
      </c>
      <c r="D166" s="30" t="s">
        <v>1769</v>
      </c>
      <c r="E166" s="30">
        <v>240</v>
      </c>
      <c r="F166" s="30">
        <v>390</v>
      </c>
      <c r="G166" s="30">
        <v>150</v>
      </c>
      <c r="H166" s="30">
        <v>160</v>
      </c>
      <c r="I166" s="30">
        <v>24000</v>
      </c>
    </row>
    <row r="167" spans="2:15" x14ac:dyDescent="0.3">
      <c r="B167" s="43">
        <v>42758</v>
      </c>
      <c r="C167" s="30" t="s">
        <v>9</v>
      </c>
      <c r="D167" s="30" t="s">
        <v>1966</v>
      </c>
      <c r="E167" s="30">
        <v>160</v>
      </c>
      <c r="F167" s="30">
        <v>195</v>
      </c>
      <c r="G167" s="30">
        <v>35</v>
      </c>
      <c r="H167" s="30">
        <v>160</v>
      </c>
      <c r="I167" s="30">
        <v>5600</v>
      </c>
    </row>
    <row r="168" spans="2:15" x14ac:dyDescent="0.3">
      <c r="B168" s="43">
        <v>42759</v>
      </c>
      <c r="C168" s="30" t="s">
        <v>9</v>
      </c>
      <c r="D168" s="30" t="s">
        <v>1759</v>
      </c>
      <c r="E168" s="30">
        <v>150</v>
      </c>
      <c r="F168" s="30">
        <v>80</v>
      </c>
      <c r="G168" s="30">
        <v>-70</v>
      </c>
      <c r="H168" s="30">
        <v>160</v>
      </c>
      <c r="I168" s="30">
        <v>-11200</v>
      </c>
    </row>
    <row r="169" spans="2:15" x14ac:dyDescent="0.3">
      <c r="B169" s="43">
        <v>42760</v>
      </c>
      <c r="C169" s="30" t="s">
        <v>9</v>
      </c>
      <c r="D169" s="30" t="s">
        <v>1691</v>
      </c>
      <c r="E169" s="30">
        <v>70</v>
      </c>
      <c r="F169" s="30">
        <v>200</v>
      </c>
      <c r="G169" s="30">
        <v>130</v>
      </c>
      <c r="H169" s="30">
        <v>160</v>
      </c>
      <c r="I169" s="30">
        <v>20800</v>
      </c>
    </row>
    <row r="170" spans="2:15" x14ac:dyDescent="0.3">
      <c r="B170" s="43">
        <v>42762</v>
      </c>
      <c r="C170" s="30" t="s">
        <v>9</v>
      </c>
      <c r="D170" s="30" t="s">
        <v>1770</v>
      </c>
      <c r="E170" s="30">
        <v>420</v>
      </c>
      <c r="F170" s="30">
        <v>505</v>
      </c>
      <c r="G170" s="30">
        <v>85</v>
      </c>
      <c r="H170" s="30">
        <v>160</v>
      </c>
      <c r="I170" s="30">
        <v>13600</v>
      </c>
      <c r="K170" s="130"/>
      <c r="L170" s="130"/>
      <c r="M170" s="130"/>
      <c r="N170" s="130"/>
      <c r="O170" s="130"/>
    </row>
    <row r="171" spans="2:15" x14ac:dyDescent="0.3">
      <c r="B171" s="43">
        <v>42765</v>
      </c>
      <c r="C171" s="30" t="s">
        <v>9</v>
      </c>
      <c r="D171" s="30" t="s">
        <v>1817</v>
      </c>
      <c r="E171" s="30">
        <v>400</v>
      </c>
      <c r="F171" s="30">
        <v>435</v>
      </c>
      <c r="G171" s="30">
        <v>35</v>
      </c>
      <c r="H171" s="30">
        <v>160</v>
      </c>
      <c r="I171" s="30">
        <v>5600</v>
      </c>
    </row>
    <row r="172" spans="2:15" x14ac:dyDescent="0.3">
      <c r="B172" s="43">
        <v>42766</v>
      </c>
      <c r="C172" s="30" t="s">
        <v>9</v>
      </c>
      <c r="D172" s="30" t="s">
        <v>1765</v>
      </c>
      <c r="E172" s="30">
        <v>410</v>
      </c>
      <c r="F172" s="30">
        <v>455</v>
      </c>
      <c r="G172" s="30">
        <v>45</v>
      </c>
      <c r="H172" s="30">
        <v>160</v>
      </c>
      <c r="I172" s="30">
        <v>7200</v>
      </c>
    </row>
    <row r="173" spans="2:15" x14ac:dyDescent="0.3">
      <c r="B173" s="43"/>
      <c r="C173" s="30"/>
      <c r="D173" s="30"/>
      <c r="E173" s="30"/>
      <c r="F173" s="30"/>
      <c r="G173" s="30"/>
      <c r="H173" s="30"/>
      <c r="I173" s="30"/>
    </row>
    <row r="174" spans="2:15" ht="18" x14ac:dyDescent="0.35">
      <c r="C174" s="30"/>
      <c r="D174" s="30"/>
      <c r="E174" s="30"/>
      <c r="F174" s="30"/>
      <c r="G174" s="30"/>
      <c r="H174" s="30"/>
      <c r="I174" s="72">
        <v>125600</v>
      </c>
    </row>
    <row r="176" spans="2:15" s="131" customFormat="1" ht="18" x14ac:dyDescent="0.35">
      <c r="B176" s="299" t="s">
        <v>1076</v>
      </c>
      <c r="C176" s="300"/>
      <c r="D176" s="300"/>
      <c r="E176" s="300"/>
      <c r="F176" s="300"/>
      <c r="G176" s="300"/>
      <c r="H176" s="300"/>
      <c r="I176" s="301"/>
      <c r="K176" s="10"/>
      <c r="L176" s="10"/>
      <c r="M176" s="10"/>
      <c r="N176" s="10"/>
      <c r="O176" s="10"/>
    </row>
    <row r="177" spans="1:15" x14ac:dyDescent="0.3">
      <c r="B177" s="43">
        <v>42737</v>
      </c>
      <c r="C177" s="30" t="s">
        <v>9</v>
      </c>
      <c r="D177" s="30" t="s">
        <v>1952</v>
      </c>
      <c r="E177" s="30">
        <v>16</v>
      </c>
      <c r="F177" s="30">
        <v>10</v>
      </c>
      <c r="G177" s="30">
        <v>-6</v>
      </c>
      <c r="H177" s="30">
        <v>500</v>
      </c>
      <c r="I177" s="30">
        <v>-3000</v>
      </c>
    </row>
    <row r="178" spans="1:15" x14ac:dyDescent="0.3">
      <c r="B178" s="43">
        <v>42738</v>
      </c>
      <c r="C178" s="30" t="s">
        <v>9</v>
      </c>
      <c r="D178" s="30" t="s">
        <v>1953</v>
      </c>
      <c r="E178" s="30">
        <v>40</v>
      </c>
      <c r="F178" s="30">
        <v>39</v>
      </c>
      <c r="G178" s="30">
        <v>-1</v>
      </c>
      <c r="H178" s="30">
        <v>700</v>
      </c>
      <c r="I178" s="30">
        <v>-700</v>
      </c>
    </row>
    <row r="179" spans="1:15" x14ac:dyDescent="0.3">
      <c r="B179" s="43">
        <v>42739</v>
      </c>
      <c r="C179" s="30" t="s">
        <v>9</v>
      </c>
      <c r="D179" s="30" t="s">
        <v>1954</v>
      </c>
      <c r="E179" s="30">
        <v>22</v>
      </c>
      <c r="F179" s="30">
        <v>26</v>
      </c>
      <c r="G179" s="30">
        <v>4</v>
      </c>
      <c r="H179" s="30">
        <v>500</v>
      </c>
      <c r="I179" s="30">
        <v>2000</v>
      </c>
    </row>
    <row r="180" spans="1:15" x14ac:dyDescent="0.3">
      <c r="B180" s="43">
        <v>42740</v>
      </c>
      <c r="C180" s="30" t="s">
        <v>9</v>
      </c>
      <c r="D180" s="30" t="s">
        <v>1955</v>
      </c>
      <c r="E180" s="30">
        <v>30</v>
      </c>
      <c r="F180" s="30">
        <v>36</v>
      </c>
      <c r="G180" s="30">
        <v>6</v>
      </c>
      <c r="H180" s="30">
        <v>500</v>
      </c>
      <c r="I180" s="30">
        <v>3000</v>
      </c>
    </row>
    <row r="181" spans="1:15" x14ac:dyDescent="0.3">
      <c r="B181" s="43">
        <v>42741</v>
      </c>
      <c r="C181" s="30" t="s">
        <v>9</v>
      </c>
      <c r="D181" s="30" t="s">
        <v>1956</v>
      </c>
      <c r="E181" s="30">
        <v>55</v>
      </c>
      <c r="F181" s="30">
        <v>75</v>
      </c>
      <c r="G181" s="30">
        <v>20</v>
      </c>
      <c r="H181" s="30">
        <v>250</v>
      </c>
      <c r="I181" s="30">
        <v>5000</v>
      </c>
    </row>
    <row r="182" spans="1:15" x14ac:dyDescent="0.3">
      <c r="B182" s="43">
        <v>42744</v>
      </c>
      <c r="C182" s="30" t="s">
        <v>9</v>
      </c>
      <c r="D182" s="30" t="s">
        <v>1959</v>
      </c>
      <c r="E182" s="30">
        <v>30</v>
      </c>
      <c r="F182" s="30">
        <v>34</v>
      </c>
      <c r="G182" s="30">
        <v>4</v>
      </c>
      <c r="H182" s="30">
        <v>500</v>
      </c>
      <c r="I182" s="30">
        <v>2000</v>
      </c>
    </row>
    <row r="183" spans="1:15" x14ac:dyDescent="0.3">
      <c r="B183" s="43">
        <v>42745</v>
      </c>
      <c r="C183" s="30" t="s">
        <v>9</v>
      </c>
      <c r="D183" s="30" t="s">
        <v>1848</v>
      </c>
      <c r="E183" s="30">
        <v>35</v>
      </c>
      <c r="F183" s="30">
        <v>28</v>
      </c>
      <c r="G183" s="30">
        <v>-7</v>
      </c>
      <c r="H183" s="30">
        <v>700</v>
      </c>
      <c r="I183" s="30">
        <v>-4900</v>
      </c>
    </row>
    <row r="184" spans="1:15" x14ac:dyDescent="0.3">
      <c r="B184" s="43">
        <v>42746</v>
      </c>
      <c r="C184" s="30" t="s">
        <v>9</v>
      </c>
      <c r="D184" s="30" t="s">
        <v>1890</v>
      </c>
      <c r="E184" s="30">
        <v>8</v>
      </c>
      <c r="F184" s="30">
        <v>11</v>
      </c>
      <c r="G184" s="30">
        <v>3</v>
      </c>
      <c r="H184" s="30">
        <v>2500</v>
      </c>
      <c r="I184" s="30">
        <v>7500</v>
      </c>
      <c r="K184" s="30"/>
      <c r="L184" s="30"/>
      <c r="M184" s="30"/>
      <c r="N184" s="30"/>
      <c r="O184" s="30"/>
    </row>
    <row r="185" spans="1:15" x14ac:dyDescent="0.3">
      <c r="B185" s="43">
        <v>42747</v>
      </c>
      <c r="C185" s="30" t="s">
        <v>9</v>
      </c>
      <c r="D185" s="30" t="s">
        <v>1890</v>
      </c>
      <c r="E185" s="30">
        <v>10</v>
      </c>
      <c r="F185" s="30">
        <v>11</v>
      </c>
      <c r="G185" s="30">
        <v>1</v>
      </c>
      <c r="H185" s="30">
        <v>2500</v>
      </c>
      <c r="I185" s="30">
        <v>2500</v>
      </c>
      <c r="K185" s="30"/>
      <c r="L185" s="30"/>
      <c r="M185" s="30"/>
      <c r="N185" s="30"/>
      <c r="O185" s="30"/>
    </row>
    <row r="186" spans="1:15" x14ac:dyDescent="0.3">
      <c r="B186" s="43">
        <v>42748</v>
      </c>
      <c r="C186" s="30" t="s">
        <v>9</v>
      </c>
      <c r="D186" s="30" t="s">
        <v>1763</v>
      </c>
      <c r="E186" s="30">
        <v>33</v>
      </c>
      <c r="F186" s="30">
        <v>28</v>
      </c>
      <c r="G186" s="30">
        <v>-5</v>
      </c>
      <c r="H186" s="30">
        <v>700</v>
      </c>
      <c r="I186" s="30">
        <v>-3500</v>
      </c>
      <c r="K186" s="30"/>
      <c r="L186" s="30"/>
      <c r="M186" s="30"/>
      <c r="N186" s="30"/>
      <c r="O186" s="30"/>
    </row>
    <row r="187" spans="1:15" x14ac:dyDescent="0.3">
      <c r="B187" s="43">
        <v>42751</v>
      </c>
      <c r="C187" s="30" t="s">
        <v>9</v>
      </c>
      <c r="D187" s="30" t="s">
        <v>1961</v>
      </c>
      <c r="E187" s="30">
        <v>27</v>
      </c>
      <c r="F187" s="30">
        <v>27</v>
      </c>
      <c r="G187" s="30">
        <v>0</v>
      </c>
      <c r="H187" s="30">
        <v>500</v>
      </c>
      <c r="I187" s="30">
        <v>0</v>
      </c>
      <c r="K187" s="30"/>
      <c r="L187" s="30"/>
      <c r="M187" s="30"/>
      <c r="N187" s="30"/>
      <c r="O187" s="30"/>
    </row>
    <row r="188" spans="1:15" x14ac:dyDescent="0.3">
      <c r="B188" s="43">
        <v>42752</v>
      </c>
      <c r="C188" s="30" t="s">
        <v>9</v>
      </c>
      <c r="D188" s="30" t="s">
        <v>1962</v>
      </c>
      <c r="E188" s="30">
        <v>3</v>
      </c>
      <c r="F188" s="30">
        <v>2</v>
      </c>
      <c r="G188" s="30">
        <v>-1</v>
      </c>
      <c r="H188" s="30">
        <v>4000</v>
      </c>
      <c r="I188" s="30">
        <v>-4000</v>
      </c>
      <c r="K188" s="30"/>
      <c r="L188" s="30"/>
      <c r="M188" s="30"/>
      <c r="N188" s="30"/>
      <c r="O188" s="30"/>
    </row>
    <row r="189" spans="1:15" x14ac:dyDescent="0.3">
      <c r="B189" s="43">
        <v>42753</v>
      </c>
      <c r="C189" s="30" t="s">
        <v>9</v>
      </c>
      <c r="D189" s="30" t="s">
        <v>1963</v>
      </c>
      <c r="E189" s="30">
        <v>12</v>
      </c>
      <c r="F189" s="30">
        <v>14</v>
      </c>
      <c r="G189" s="30">
        <v>2</v>
      </c>
      <c r="H189" s="30">
        <v>500</v>
      </c>
      <c r="I189" s="30">
        <v>1000</v>
      </c>
      <c r="K189" s="30"/>
      <c r="L189" s="30"/>
      <c r="M189" s="30"/>
      <c r="N189" s="30"/>
      <c r="O189" s="30"/>
    </row>
    <row r="190" spans="1:15" s="30" customFormat="1" x14ac:dyDescent="0.3">
      <c r="A190" s="9"/>
      <c r="B190" s="43">
        <v>42754</v>
      </c>
      <c r="C190" s="30" t="s">
        <v>9</v>
      </c>
      <c r="D190" s="30" t="s">
        <v>1964</v>
      </c>
      <c r="E190" s="30">
        <v>24</v>
      </c>
      <c r="F190" s="30">
        <v>31</v>
      </c>
      <c r="G190" s="30">
        <v>7</v>
      </c>
      <c r="H190" s="30">
        <v>700</v>
      </c>
      <c r="I190" s="30">
        <v>4900</v>
      </c>
      <c r="J190" s="9"/>
    </row>
    <row r="191" spans="1:15" s="30" customFormat="1" x14ac:dyDescent="0.3">
      <c r="A191" s="9"/>
      <c r="B191" s="43">
        <v>42755</v>
      </c>
      <c r="C191" s="30" t="s">
        <v>9</v>
      </c>
      <c r="D191" s="30" t="s">
        <v>1965</v>
      </c>
      <c r="E191" s="30">
        <v>4</v>
      </c>
      <c r="F191" s="30">
        <v>8</v>
      </c>
      <c r="G191" s="30">
        <v>4</v>
      </c>
      <c r="H191" s="30">
        <v>3000</v>
      </c>
      <c r="I191" s="30">
        <v>12000</v>
      </c>
      <c r="J191" s="9"/>
    </row>
    <row r="192" spans="1:15" s="30" customFormat="1" x14ac:dyDescent="0.3">
      <c r="A192" s="9"/>
      <c r="B192" s="43">
        <v>42758</v>
      </c>
      <c r="C192" s="30" t="s">
        <v>9</v>
      </c>
      <c r="D192" s="30" t="s">
        <v>1967</v>
      </c>
      <c r="E192" s="30">
        <v>9.5</v>
      </c>
      <c r="F192" s="30">
        <v>8</v>
      </c>
      <c r="G192" s="30">
        <v>-1.5</v>
      </c>
      <c r="H192" s="30">
        <v>1200</v>
      </c>
      <c r="I192" s="30">
        <v>-1800</v>
      </c>
      <c r="J192" s="9"/>
    </row>
    <row r="193" spans="1:15" s="30" customFormat="1" x14ac:dyDescent="0.3">
      <c r="A193" s="9"/>
      <c r="B193" s="43">
        <v>42759</v>
      </c>
      <c r="C193" s="30" t="s">
        <v>9</v>
      </c>
      <c r="D193" s="30" t="s">
        <v>1877</v>
      </c>
      <c r="E193" s="30">
        <v>20</v>
      </c>
      <c r="F193" s="30">
        <v>25</v>
      </c>
      <c r="G193" s="30">
        <v>5</v>
      </c>
      <c r="H193" s="30">
        <v>500</v>
      </c>
      <c r="I193" s="30">
        <v>2500</v>
      </c>
      <c r="J193" s="9"/>
      <c r="K193" s="10"/>
      <c r="L193" s="10"/>
      <c r="M193" s="10"/>
      <c r="N193" s="10"/>
      <c r="O193" s="10"/>
    </row>
    <row r="194" spans="1:15" s="30" customFormat="1" x14ac:dyDescent="0.3">
      <c r="A194" s="9"/>
      <c r="B194" s="43">
        <v>42760</v>
      </c>
      <c r="C194" s="30" t="s">
        <v>9</v>
      </c>
      <c r="D194" s="30" t="s">
        <v>1968</v>
      </c>
      <c r="E194" s="30">
        <v>18</v>
      </c>
      <c r="F194" s="30">
        <v>26</v>
      </c>
      <c r="G194" s="30">
        <v>8</v>
      </c>
      <c r="H194" s="30">
        <v>500</v>
      </c>
      <c r="I194" s="30">
        <v>4000</v>
      </c>
      <c r="J194" s="9"/>
      <c r="K194" s="10"/>
      <c r="L194" s="10"/>
      <c r="M194" s="10"/>
      <c r="N194" s="10"/>
      <c r="O194" s="10"/>
    </row>
    <row r="195" spans="1:15" s="30" customFormat="1" x14ac:dyDescent="0.3">
      <c r="A195" s="9"/>
      <c r="B195" s="43">
        <v>42762</v>
      </c>
      <c r="C195" s="30" t="s">
        <v>9</v>
      </c>
      <c r="D195" s="30" t="s">
        <v>1969</v>
      </c>
      <c r="E195" s="30">
        <v>19</v>
      </c>
      <c r="F195" s="30">
        <v>22</v>
      </c>
      <c r="G195" s="30">
        <v>3</v>
      </c>
      <c r="H195" s="30">
        <v>1200</v>
      </c>
      <c r="I195" s="30">
        <v>3600</v>
      </c>
      <c r="J195" s="9"/>
      <c r="K195" s="10"/>
      <c r="L195" s="10"/>
      <c r="M195" s="10"/>
      <c r="N195" s="10"/>
      <c r="O195" s="10"/>
    </row>
    <row r="196" spans="1:15" s="30" customFormat="1" x14ac:dyDescent="0.3">
      <c r="A196" s="9"/>
      <c r="B196" s="43">
        <v>42765</v>
      </c>
      <c r="C196" s="30" t="s">
        <v>9</v>
      </c>
      <c r="D196" s="30" t="s">
        <v>1972</v>
      </c>
      <c r="E196" s="30">
        <v>15</v>
      </c>
      <c r="F196" s="30">
        <v>13</v>
      </c>
      <c r="G196" s="30">
        <v>-2</v>
      </c>
      <c r="H196" s="30">
        <v>1100</v>
      </c>
      <c r="I196" s="30">
        <v>-2200</v>
      </c>
      <c r="J196" s="9"/>
      <c r="K196" s="10"/>
      <c r="L196" s="10"/>
      <c r="M196" s="10"/>
      <c r="N196" s="10"/>
      <c r="O196" s="10"/>
    </row>
    <row r="197" spans="1:15" s="30" customFormat="1" ht="15.6" x14ac:dyDescent="0.3">
      <c r="A197" s="9"/>
      <c r="B197" s="43">
        <v>42766</v>
      </c>
      <c r="C197" s="30" t="s">
        <v>9</v>
      </c>
      <c r="D197" s="30" t="s">
        <v>1886</v>
      </c>
      <c r="E197" s="30">
        <v>15</v>
      </c>
      <c r="F197" s="30">
        <v>15.5</v>
      </c>
      <c r="G197" s="30">
        <v>0.5</v>
      </c>
      <c r="H197" s="30">
        <v>1200</v>
      </c>
      <c r="I197" s="77">
        <v>600</v>
      </c>
      <c r="J197" s="9"/>
      <c r="K197" s="10"/>
      <c r="L197" s="10"/>
      <c r="M197" s="10"/>
      <c r="N197" s="10"/>
      <c r="O197" s="10"/>
    </row>
    <row r="198" spans="1:15" s="30" customFormat="1" x14ac:dyDescent="0.3">
      <c r="A198" s="9"/>
      <c r="B198" s="43"/>
      <c r="J198" s="9"/>
      <c r="K198" s="10"/>
      <c r="L198" s="10"/>
      <c r="M198" s="10"/>
      <c r="N198" s="10"/>
      <c r="O198" s="10"/>
    </row>
    <row r="199" spans="1:15" ht="18" x14ac:dyDescent="0.35">
      <c r="I199" s="72">
        <v>30500</v>
      </c>
    </row>
    <row r="200" spans="1:15" x14ac:dyDescent="0.3">
      <c r="B200" s="43"/>
    </row>
    <row r="201" spans="1:15" x14ac:dyDescent="0.3">
      <c r="B201" s="43"/>
    </row>
  </sheetData>
  <mergeCells count="5">
    <mergeCell ref="B176:I176"/>
    <mergeCell ref="B1:I1"/>
    <mergeCell ref="B2:I2"/>
    <mergeCell ref="B3:I3"/>
    <mergeCell ref="B151:I151"/>
  </mergeCells>
  <hyperlinks>
    <hyperlink ref="K2" location="'MASTER '!A1" display="Back" xr:uid="{00000000-0004-0000-2D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182"/>
  <sheetViews>
    <sheetView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/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2003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42767</v>
      </c>
      <c r="C6" s="2" t="s">
        <v>9</v>
      </c>
      <c r="D6" s="2" t="s">
        <v>129</v>
      </c>
      <c r="E6" s="90" t="s">
        <v>1035</v>
      </c>
      <c r="F6" s="91" t="s">
        <v>1973</v>
      </c>
      <c r="G6" s="91" t="s">
        <v>952</v>
      </c>
      <c r="H6" s="92">
        <v>216.91973969631238</v>
      </c>
      <c r="I6" s="93">
        <v>4338.3947939262471</v>
      </c>
      <c r="L6" s="16"/>
    </row>
    <row r="7" spans="1:15" x14ac:dyDescent="0.3">
      <c r="B7" s="43">
        <v>42767</v>
      </c>
      <c r="C7" s="2" t="s">
        <v>9</v>
      </c>
      <c r="D7" s="2" t="s">
        <v>19</v>
      </c>
      <c r="E7" s="41" t="s">
        <v>1974</v>
      </c>
      <c r="F7" s="40" t="s">
        <v>1694</v>
      </c>
      <c r="G7" s="40" t="s">
        <v>997</v>
      </c>
      <c r="H7" s="92">
        <v>1127.8195488721803</v>
      </c>
      <c r="I7" s="93">
        <v>2690</v>
      </c>
      <c r="L7" s="16"/>
    </row>
    <row r="8" spans="1:15" x14ac:dyDescent="0.3">
      <c r="B8" s="43">
        <v>42768</v>
      </c>
      <c r="C8" s="2" t="s">
        <v>9</v>
      </c>
      <c r="D8" s="2" t="s">
        <v>157</v>
      </c>
      <c r="E8" s="41" t="s">
        <v>1975</v>
      </c>
      <c r="F8" s="40" t="s">
        <v>1976</v>
      </c>
      <c r="G8" s="40" t="s">
        <v>1265</v>
      </c>
      <c r="H8" s="92">
        <v>310.55900621118013</v>
      </c>
      <c r="I8" s="93">
        <v>4347.826086956522</v>
      </c>
      <c r="K8" s="133" t="s">
        <v>453</v>
      </c>
      <c r="L8" s="134" t="s">
        <v>448</v>
      </c>
      <c r="M8" s="134" t="s">
        <v>454</v>
      </c>
      <c r="N8" s="134" t="s">
        <v>455</v>
      </c>
      <c r="O8" s="134" t="s">
        <v>456</v>
      </c>
    </row>
    <row r="9" spans="1:15" x14ac:dyDescent="0.3">
      <c r="B9" s="43">
        <v>42768</v>
      </c>
      <c r="C9" s="2" t="s">
        <v>9</v>
      </c>
      <c r="D9" s="2" t="s">
        <v>157</v>
      </c>
      <c r="E9" s="41" t="s">
        <v>1977</v>
      </c>
      <c r="F9" s="40" t="s">
        <v>766</v>
      </c>
      <c r="G9" s="40" t="s">
        <v>1341</v>
      </c>
      <c r="H9" s="92">
        <v>307.06243602865914</v>
      </c>
      <c r="I9" s="93">
        <v>1842.3746161719548</v>
      </c>
      <c r="K9" s="66"/>
      <c r="L9" s="67"/>
      <c r="M9" s="67"/>
      <c r="N9" s="67"/>
      <c r="O9" s="67"/>
    </row>
    <row r="10" spans="1:15" x14ac:dyDescent="0.3">
      <c r="B10" s="43">
        <v>42769</v>
      </c>
      <c r="C10" s="2" t="s">
        <v>9</v>
      </c>
      <c r="D10" s="2" t="s">
        <v>19</v>
      </c>
      <c r="E10" s="41" t="s">
        <v>1978</v>
      </c>
      <c r="F10" s="40" t="s">
        <v>1979</v>
      </c>
      <c r="G10" s="40" t="s">
        <v>908</v>
      </c>
      <c r="H10" s="92">
        <v>1086.9565217391305</v>
      </c>
      <c r="I10" s="93">
        <v>2173.913043478261</v>
      </c>
      <c r="K10" s="16" t="s">
        <v>449</v>
      </c>
      <c r="L10" s="30">
        <v>38</v>
      </c>
      <c r="M10" s="30">
        <v>30</v>
      </c>
      <c r="N10" s="30">
        <v>8</v>
      </c>
      <c r="O10" s="30">
        <v>0</v>
      </c>
    </row>
    <row r="11" spans="1:15" x14ac:dyDescent="0.3">
      <c r="B11" s="43">
        <v>42769</v>
      </c>
      <c r="C11" s="2" t="s">
        <v>8</v>
      </c>
      <c r="D11" s="2" t="s">
        <v>129</v>
      </c>
      <c r="E11" s="41" t="s">
        <v>1980</v>
      </c>
      <c r="F11" s="40" t="s">
        <v>1981</v>
      </c>
      <c r="G11" s="40" t="s">
        <v>997</v>
      </c>
      <c r="H11" s="92">
        <v>215.05376344086022</v>
      </c>
      <c r="I11" s="93">
        <v>860.21505376344089</v>
      </c>
      <c r="K11" s="16"/>
      <c r="L11" s="30"/>
      <c r="M11" s="30"/>
      <c r="N11" s="30"/>
      <c r="O11" s="30"/>
    </row>
    <row r="12" spans="1:15" x14ac:dyDescent="0.3">
      <c r="B12" s="43">
        <v>42772</v>
      </c>
      <c r="C12" s="2" t="s">
        <v>9</v>
      </c>
      <c r="D12" s="2" t="s">
        <v>129</v>
      </c>
      <c r="E12" s="41" t="s">
        <v>1776</v>
      </c>
      <c r="F12" s="40" t="s">
        <v>1980</v>
      </c>
      <c r="G12" s="40" t="s">
        <v>1115</v>
      </c>
      <c r="H12" s="92">
        <v>212.7659574468085</v>
      </c>
      <c r="I12" s="93">
        <v>-3191.4893617021276</v>
      </c>
      <c r="K12" s="16" t="s">
        <v>450</v>
      </c>
      <c r="L12" s="30">
        <v>20</v>
      </c>
      <c r="M12" s="30">
        <v>14</v>
      </c>
      <c r="N12" s="30">
        <v>5</v>
      </c>
      <c r="O12" s="30">
        <v>1</v>
      </c>
    </row>
    <row r="13" spans="1:15" x14ac:dyDescent="0.3">
      <c r="B13" s="43">
        <v>42772</v>
      </c>
      <c r="C13" s="2" t="s">
        <v>8</v>
      </c>
      <c r="D13" s="2" t="s">
        <v>791</v>
      </c>
      <c r="E13" s="41" t="s">
        <v>1990</v>
      </c>
      <c r="F13" s="40" t="s">
        <v>1991</v>
      </c>
      <c r="G13" s="40" t="s">
        <v>997</v>
      </c>
      <c r="H13" s="92">
        <v>2334.6303501945526</v>
      </c>
      <c r="I13" s="93">
        <v>9338.5214007782106</v>
      </c>
      <c r="K13" s="16"/>
      <c r="L13" s="30"/>
      <c r="M13" s="30"/>
      <c r="N13" s="30"/>
      <c r="O13" s="30"/>
    </row>
    <row r="14" spans="1:15" x14ac:dyDescent="0.3">
      <c r="B14" s="43">
        <v>42773</v>
      </c>
      <c r="C14" s="2" t="s">
        <v>9</v>
      </c>
      <c r="D14" s="2" t="s">
        <v>1109</v>
      </c>
      <c r="E14" s="41" t="s">
        <v>599</v>
      </c>
      <c r="F14" s="40" t="s">
        <v>1438</v>
      </c>
      <c r="G14" s="40" t="s">
        <v>489</v>
      </c>
      <c r="H14" s="92">
        <v>237.15415019762847</v>
      </c>
      <c r="I14" s="93">
        <v>4031.620553359684</v>
      </c>
      <c r="K14" s="16" t="s">
        <v>451</v>
      </c>
      <c r="L14" s="30">
        <v>19</v>
      </c>
      <c r="M14" s="30">
        <v>15</v>
      </c>
      <c r="N14" s="30">
        <v>4</v>
      </c>
      <c r="O14" s="30">
        <v>0</v>
      </c>
    </row>
    <row r="15" spans="1:15" x14ac:dyDescent="0.3">
      <c r="B15" s="43">
        <v>42773</v>
      </c>
      <c r="C15" s="2" t="s">
        <v>8</v>
      </c>
      <c r="D15" s="2" t="s">
        <v>939</v>
      </c>
      <c r="E15" s="41" t="s">
        <v>1992</v>
      </c>
      <c r="F15" s="40" t="s">
        <v>1993</v>
      </c>
      <c r="G15" s="40" t="s">
        <v>1994</v>
      </c>
      <c r="H15" s="92">
        <v>642.3982869379015</v>
      </c>
      <c r="I15" s="93">
        <v>3533.1905781584583</v>
      </c>
      <c r="K15" s="16"/>
      <c r="M15" s="30"/>
      <c r="N15" s="30"/>
      <c r="O15" s="30"/>
    </row>
    <row r="16" spans="1:15" x14ac:dyDescent="0.3">
      <c r="B16" s="43">
        <v>42774</v>
      </c>
      <c r="C16" s="2" t="s">
        <v>9</v>
      </c>
      <c r="D16" s="2" t="s">
        <v>1109</v>
      </c>
      <c r="E16" s="41" t="s">
        <v>1193</v>
      </c>
      <c r="F16" s="40" t="s">
        <v>1995</v>
      </c>
      <c r="G16" s="40" t="s">
        <v>914</v>
      </c>
      <c r="H16" s="92">
        <v>236.22047244094489</v>
      </c>
      <c r="I16" s="93">
        <v>-2362.2047244094488</v>
      </c>
      <c r="K16" s="16" t="s">
        <v>1176</v>
      </c>
      <c r="L16" s="30">
        <v>19</v>
      </c>
      <c r="M16" s="30">
        <v>14</v>
      </c>
      <c r="N16" s="30">
        <v>5</v>
      </c>
      <c r="O16" s="30">
        <v>0</v>
      </c>
    </row>
    <row r="17" spans="2:15" x14ac:dyDescent="0.3">
      <c r="B17" s="43">
        <v>42774</v>
      </c>
      <c r="C17" s="2" t="s">
        <v>8</v>
      </c>
      <c r="D17" s="2" t="s">
        <v>496</v>
      </c>
      <c r="E17" s="41" t="s">
        <v>1996</v>
      </c>
      <c r="F17" s="40" t="s">
        <v>1711</v>
      </c>
      <c r="G17" s="40" t="s">
        <v>925</v>
      </c>
      <c r="H17" s="92">
        <v>540.54054054054052</v>
      </c>
      <c r="I17" s="93">
        <v>2702.7027027027025</v>
      </c>
      <c r="L17" s="30"/>
      <c r="M17" s="30"/>
      <c r="N17" s="30"/>
      <c r="O17" s="30"/>
    </row>
    <row r="18" spans="2:15" x14ac:dyDescent="0.3">
      <c r="B18" s="43">
        <v>42775</v>
      </c>
      <c r="C18" s="2" t="s">
        <v>9</v>
      </c>
      <c r="D18" s="2" t="s">
        <v>1109</v>
      </c>
      <c r="E18" s="41" t="s">
        <v>1426</v>
      </c>
      <c r="F18" s="40" t="s">
        <v>1433</v>
      </c>
      <c r="G18" s="40" t="s">
        <v>972</v>
      </c>
      <c r="H18" s="92">
        <v>230.76923076923077</v>
      </c>
      <c r="I18" s="93">
        <v>6923.0769230769229</v>
      </c>
      <c r="L18" s="30"/>
      <c r="M18" s="30"/>
      <c r="N18" s="30"/>
      <c r="O18" s="30"/>
    </row>
    <row r="19" spans="2:15" x14ac:dyDescent="0.3">
      <c r="B19" s="43">
        <v>42775</v>
      </c>
      <c r="C19" s="2" t="s">
        <v>8</v>
      </c>
      <c r="D19" s="28" t="s">
        <v>192</v>
      </c>
      <c r="E19" s="30">
        <v>307</v>
      </c>
      <c r="F19" s="30">
        <v>303</v>
      </c>
      <c r="G19" s="30">
        <v>4</v>
      </c>
      <c r="H19" s="92">
        <v>977.19869706840393</v>
      </c>
      <c r="I19" s="93">
        <v>3908.7947882736157</v>
      </c>
      <c r="K19" s="16" t="s">
        <v>41</v>
      </c>
      <c r="L19" s="30">
        <v>18</v>
      </c>
      <c r="M19" s="30">
        <v>13</v>
      </c>
      <c r="N19" s="30">
        <v>5</v>
      </c>
      <c r="O19" s="30">
        <v>0</v>
      </c>
    </row>
    <row r="20" spans="2:15" x14ac:dyDescent="0.3">
      <c r="B20" s="43">
        <v>42776</v>
      </c>
      <c r="C20" s="2" t="s">
        <v>9</v>
      </c>
      <c r="D20" s="28" t="s">
        <v>1109</v>
      </c>
      <c r="E20" s="30">
        <v>1330</v>
      </c>
      <c r="F20" s="30">
        <v>1315</v>
      </c>
      <c r="G20" s="30">
        <v>-15</v>
      </c>
      <c r="H20" s="92">
        <v>225.5639097744361</v>
      </c>
      <c r="I20" s="93">
        <v>-3383.4586466165415</v>
      </c>
      <c r="K20" s="16"/>
      <c r="L20" s="30"/>
      <c r="M20" s="30"/>
      <c r="N20" s="30"/>
      <c r="O20" s="30"/>
    </row>
    <row r="21" spans="2:15" x14ac:dyDescent="0.3">
      <c r="B21" s="43">
        <v>42776</v>
      </c>
      <c r="C21" s="2" t="s">
        <v>8</v>
      </c>
      <c r="D21" s="28" t="s">
        <v>834</v>
      </c>
      <c r="E21" s="30">
        <v>247</v>
      </c>
      <c r="F21" s="30">
        <v>245.6</v>
      </c>
      <c r="G21" s="30">
        <v>1.4</v>
      </c>
      <c r="H21" s="92">
        <v>1214.5748987854251</v>
      </c>
      <c r="I21" s="93">
        <v>1700.4048582995952</v>
      </c>
      <c r="K21" s="16" t="s">
        <v>1175</v>
      </c>
      <c r="L21" s="30">
        <v>18</v>
      </c>
      <c r="M21" s="30">
        <v>11</v>
      </c>
      <c r="N21" s="30">
        <v>7</v>
      </c>
      <c r="O21" s="30">
        <v>0</v>
      </c>
    </row>
    <row r="22" spans="2:15" x14ac:dyDescent="0.3">
      <c r="B22" s="43">
        <v>42779</v>
      </c>
      <c r="C22" s="2" t="s">
        <v>9</v>
      </c>
      <c r="D22" s="28" t="s">
        <v>139</v>
      </c>
      <c r="E22" s="30">
        <v>1440</v>
      </c>
      <c r="F22" s="30">
        <v>1455</v>
      </c>
      <c r="G22" s="30">
        <v>15</v>
      </c>
      <c r="H22" s="92">
        <v>208.33333333333334</v>
      </c>
      <c r="I22" s="93">
        <v>3125</v>
      </c>
      <c r="K22" s="16"/>
      <c r="L22" s="30"/>
      <c r="M22" s="30"/>
      <c r="N22" s="30"/>
      <c r="O22" s="30"/>
    </row>
    <row r="23" spans="2:15" x14ac:dyDescent="0.3">
      <c r="B23" s="43">
        <v>42779</v>
      </c>
      <c r="C23" s="2" t="s">
        <v>8</v>
      </c>
      <c r="D23" s="28" t="s">
        <v>103</v>
      </c>
      <c r="E23" s="30">
        <v>134</v>
      </c>
      <c r="F23" s="30">
        <v>131.19999999999999</v>
      </c>
      <c r="G23" s="30">
        <v>2.8</v>
      </c>
      <c r="H23" s="92">
        <v>2238.8059701492539</v>
      </c>
      <c r="I23" s="93">
        <v>6268.6567164179105</v>
      </c>
      <c r="K23" s="16" t="s">
        <v>1090</v>
      </c>
      <c r="L23" s="30">
        <v>17</v>
      </c>
      <c r="M23" s="30">
        <v>11</v>
      </c>
      <c r="N23" s="30">
        <v>6</v>
      </c>
      <c r="O23" s="30">
        <v>0</v>
      </c>
    </row>
    <row r="24" spans="2:15" x14ac:dyDescent="0.3">
      <c r="B24" s="43">
        <v>42780</v>
      </c>
      <c r="C24" s="2" t="s">
        <v>9</v>
      </c>
      <c r="D24" s="28" t="s">
        <v>139</v>
      </c>
      <c r="E24" s="30">
        <v>1455</v>
      </c>
      <c r="F24" s="30">
        <v>1470</v>
      </c>
      <c r="G24" s="30">
        <v>15</v>
      </c>
      <c r="H24" s="92">
        <v>206.18556701030928</v>
      </c>
      <c r="I24" s="93">
        <v>3092.7835051546394</v>
      </c>
      <c r="L24" s="30"/>
      <c r="M24" s="30"/>
      <c r="N24" s="30"/>
      <c r="O24" s="30"/>
    </row>
    <row r="25" spans="2:15" x14ac:dyDescent="0.3">
      <c r="B25" s="43">
        <v>42780</v>
      </c>
      <c r="C25" s="2" t="s">
        <v>8</v>
      </c>
      <c r="D25" s="28" t="s">
        <v>103</v>
      </c>
      <c r="E25" s="30">
        <v>133</v>
      </c>
      <c r="F25" s="30">
        <v>131.5</v>
      </c>
      <c r="G25" s="30">
        <v>1.5</v>
      </c>
      <c r="H25" s="92">
        <v>2255.6390977443607</v>
      </c>
      <c r="I25" s="93">
        <v>3383.458646616541</v>
      </c>
      <c r="K25" s="16" t="s">
        <v>946</v>
      </c>
      <c r="L25" s="21">
        <v>149</v>
      </c>
      <c r="M25" s="21">
        <v>108</v>
      </c>
      <c r="N25" s="21">
        <v>40</v>
      </c>
      <c r="O25" s="21">
        <v>1</v>
      </c>
    </row>
    <row r="26" spans="2:15" x14ac:dyDescent="0.3">
      <c r="B26" s="43">
        <v>42781</v>
      </c>
      <c r="C26" s="2" t="s">
        <v>9</v>
      </c>
      <c r="D26" s="28" t="s">
        <v>1361</v>
      </c>
      <c r="E26" s="30">
        <v>1623</v>
      </c>
      <c r="F26" s="30">
        <v>1629</v>
      </c>
      <c r="G26" s="30">
        <v>6</v>
      </c>
      <c r="H26" s="92">
        <v>184.84288354898337</v>
      </c>
      <c r="I26" s="93">
        <v>1109.0573012939003</v>
      </c>
      <c r="L26" s="16"/>
    </row>
    <row r="27" spans="2:15" x14ac:dyDescent="0.3">
      <c r="B27" s="43">
        <v>42781</v>
      </c>
      <c r="C27" s="2" t="s">
        <v>8</v>
      </c>
      <c r="D27" s="28" t="s">
        <v>791</v>
      </c>
      <c r="E27" s="30">
        <v>122</v>
      </c>
      <c r="F27" s="30">
        <v>120</v>
      </c>
      <c r="G27" s="30">
        <v>2</v>
      </c>
      <c r="H27" s="92">
        <v>2459.0163934426228</v>
      </c>
      <c r="I27" s="93">
        <v>4918.0327868852455</v>
      </c>
      <c r="L27" s="28"/>
      <c r="M27" s="30"/>
      <c r="N27" s="30"/>
      <c r="O27" s="30"/>
    </row>
    <row r="28" spans="2:15" x14ac:dyDescent="0.3">
      <c r="B28" s="43">
        <v>42782</v>
      </c>
      <c r="C28" s="2" t="s">
        <v>9</v>
      </c>
      <c r="D28" s="28" t="s">
        <v>1854</v>
      </c>
      <c r="E28" s="30">
        <v>132</v>
      </c>
      <c r="F28" s="30">
        <v>131.69999999999999</v>
      </c>
      <c r="G28" s="30">
        <v>-0.3</v>
      </c>
      <c r="H28" s="92">
        <v>2272.7272727272725</v>
      </c>
      <c r="I28" s="93">
        <v>-681.81818181818176</v>
      </c>
      <c r="L28" s="68" t="s">
        <v>1893</v>
      </c>
      <c r="M28" s="83"/>
      <c r="N28" s="126">
        <v>0.7248</v>
      </c>
      <c r="O28" s="30"/>
    </row>
    <row r="29" spans="2:15" x14ac:dyDescent="0.3">
      <c r="B29" s="43">
        <v>42782</v>
      </c>
      <c r="C29" s="2" t="s">
        <v>8</v>
      </c>
      <c r="D29" s="28" t="s">
        <v>630</v>
      </c>
      <c r="E29" s="30">
        <v>503</v>
      </c>
      <c r="F29" s="30">
        <v>504</v>
      </c>
      <c r="G29" s="30">
        <v>-1</v>
      </c>
      <c r="H29" s="92">
        <v>596.42147117296224</v>
      </c>
      <c r="I29" s="93">
        <v>-596.42147117296224</v>
      </c>
      <c r="L29" s="68" t="s">
        <v>1894</v>
      </c>
      <c r="M29" s="83"/>
      <c r="N29" s="126"/>
      <c r="O29" s="30"/>
    </row>
    <row r="30" spans="2:15" x14ac:dyDescent="0.3">
      <c r="B30" s="43">
        <v>42783</v>
      </c>
      <c r="C30" s="2" t="s">
        <v>9</v>
      </c>
      <c r="D30" s="28" t="s">
        <v>308</v>
      </c>
      <c r="E30" s="30">
        <v>539</v>
      </c>
      <c r="F30" s="30">
        <v>545</v>
      </c>
      <c r="G30" s="30">
        <v>6</v>
      </c>
      <c r="H30" s="92">
        <v>556.58627087198511</v>
      </c>
      <c r="I30" s="93">
        <v>3339.5176252319106</v>
      </c>
      <c r="L30" s="49"/>
      <c r="M30" s="30"/>
      <c r="N30" s="30"/>
      <c r="O30" s="30"/>
    </row>
    <row r="31" spans="2:15" x14ac:dyDescent="0.3">
      <c r="B31" s="43">
        <v>42783</v>
      </c>
      <c r="C31" s="2" t="s">
        <v>8</v>
      </c>
      <c r="D31" s="28" t="s">
        <v>95</v>
      </c>
      <c r="E31" s="30">
        <v>277</v>
      </c>
      <c r="F31" s="30">
        <v>280</v>
      </c>
      <c r="G31" s="30">
        <v>-3</v>
      </c>
      <c r="H31" s="92">
        <v>1083.0324909747292</v>
      </c>
      <c r="I31" s="93">
        <v>-3249.0974729241875</v>
      </c>
      <c r="L31" s="49"/>
      <c r="M31" s="30"/>
      <c r="N31" s="30"/>
      <c r="O31" s="30"/>
    </row>
    <row r="32" spans="2:15" x14ac:dyDescent="0.3">
      <c r="B32" s="43">
        <v>42786</v>
      </c>
      <c r="C32" s="2" t="s">
        <v>9</v>
      </c>
      <c r="D32" s="28" t="s">
        <v>308</v>
      </c>
      <c r="E32" s="30">
        <v>545</v>
      </c>
      <c r="F32" s="30">
        <v>555</v>
      </c>
      <c r="G32" s="30">
        <v>10</v>
      </c>
      <c r="H32" s="92">
        <v>550.45871559633031</v>
      </c>
      <c r="I32" s="93">
        <v>5504.5871559633033</v>
      </c>
      <c r="L32" s="49"/>
      <c r="M32" s="30"/>
      <c r="N32" s="30"/>
      <c r="O32" s="30"/>
    </row>
    <row r="33" spans="2:13" x14ac:dyDescent="0.3">
      <c r="B33" s="43">
        <v>42786</v>
      </c>
      <c r="C33" s="2" t="s">
        <v>8</v>
      </c>
      <c r="D33" s="28" t="s">
        <v>90</v>
      </c>
      <c r="E33" s="30">
        <v>500</v>
      </c>
      <c r="F33" s="30">
        <v>499.5</v>
      </c>
      <c r="G33" s="30">
        <v>0.5</v>
      </c>
      <c r="H33" s="92">
        <v>600</v>
      </c>
      <c r="I33" s="93">
        <v>300</v>
      </c>
      <c r="L33" s="16"/>
    </row>
    <row r="34" spans="2:13" x14ac:dyDescent="0.3">
      <c r="B34" s="43">
        <v>42787</v>
      </c>
      <c r="C34" s="2" t="s">
        <v>9</v>
      </c>
      <c r="D34" s="28" t="s">
        <v>308</v>
      </c>
      <c r="E34" s="30">
        <v>565</v>
      </c>
      <c r="F34" s="30">
        <v>569.5</v>
      </c>
      <c r="G34" s="30">
        <v>4.5</v>
      </c>
      <c r="H34" s="92">
        <v>530.97345132743362</v>
      </c>
      <c r="I34" s="93">
        <v>2389.3805309734512</v>
      </c>
      <c r="L34" s="16"/>
    </row>
    <row r="35" spans="2:13" x14ac:dyDescent="0.3">
      <c r="B35" s="43">
        <v>42787</v>
      </c>
      <c r="C35" s="2" t="s">
        <v>8</v>
      </c>
      <c r="D35" s="30" t="s">
        <v>308</v>
      </c>
      <c r="E35" s="30">
        <v>565</v>
      </c>
      <c r="F35" s="30">
        <v>569.5</v>
      </c>
      <c r="G35" s="30">
        <v>4.5</v>
      </c>
      <c r="H35" s="92">
        <v>530.97345132743362</v>
      </c>
      <c r="I35" s="93">
        <v>2389.3805309734512</v>
      </c>
      <c r="L35" s="41"/>
    </row>
    <row r="36" spans="2:13" x14ac:dyDescent="0.3">
      <c r="B36" s="43">
        <v>42788</v>
      </c>
      <c r="C36" s="2" t="s">
        <v>9</v>
      </c>
      <c r="D36" s="30" t="s">
        <v>308</v>
      </c>
      <c r="E36" s="30">
        <v>561</v>
      </c>
      <c r="F36" s="30">
        <v>556</v>
      </c>
      <c r="G36" s="30">
        <v>-5</v>
      </c>
      <c r="H36" s="92">
        <v>534.75935828877004</v>
      </c>
      <c r="I36" s="93">
        <v>-2673.7967914438505</v>
      </c>
      <c r="L36" s="41"/>
    </row>
    <row r="37" spans="2:13" x14ac:dyDescent="0.3">
      <c r="B37" s="43">
        <v>42788</v>
      </c>
      <c r="C37" s="2" t="s">
        <v>9</v>
      </c>
      <c r="D37" s="30" t="s">
        <v>188</v>
      </c>
      <c r="E37" s="30">
        <v>125</v>
      </c>
      <c r="F37" s="30">
        <v>128</v>
      </c>
      <c r="G37" s="30">
        <v>3</v>
      </c>
      <c r="H37" s="92">
        <v>2400</v>
      </c>
      <c r="I37" s="93">
        <v>7200</v>
      </c>
      <c r="M37" s="30"/>
    </row>
    <row r="38" spans="2:13" x14ac:dyDescent="0.3">
      <c r="B38" s="43">
        <v>42789</v>
      </c>
      <c r="C38" s="2" t="s">
        <v>9</v>
      </c>
      <c r="D38" s="30" t="s">
        <v>552</v>
      </c>
      <c r="E38" s="30">
        <v>1340</v>
      </c>
      <c r="F38" s="30">
        <v>1345.5</v>
      </c>
      <c r="G38" s="30">
        <v>5.5</v>
      </c>
      <c r="H38" s="92">
        <v>223.88059701492537</v>
      </c>
      <c r="I38" s="93">
        <v>1231.3432835820895</v>
      </c>
      <c r="M38" s="30"/>
    </row>
    <row r="39" spans="2:13" x14ac:dyDescent="0.3">
      <c r="B39" s="43">
        <v>42789</v>
      </c>
      <c r="C39" s="2" t="s">
        <v>8</v>
      </c>
      <c r="D39" s="30" t="s">
        <v>689</v>
      </c>
      <c r="E39" s="30">
        <v>297</v>
      </c>
      <c r="F39" s="30">
        <v>301</v>
      </c>
      <c r="G39" s="30">
        <v>-4</v>
      </c>
      <c r="H39" s="92">
        <v>1010.10101010101</v>
      </c>
      <c r="I39" s="93">
        <v>-4040.4040404040402</v>
      </c>
      <c r="M39" s="30"/>
    </row>
    <row r="40" spans="2:13" x14ac:dyDescent="0.3">
      <c r="B40" s="43">
        <v>42793</v>
      </c>
      <c r="C40" s="2" t="s">
        <v>9</v>
      </c>
      <c r="D40" s="30" t="s">
        <v>13</v>
      </c>
      <c r="E40" s="30">
        <v>566</v>
      </c>
      <c r="F40" s="30">
        <v>570.5</v>
      </c>
      <c r="G40" s="30">
        <v>4.5</v>
      </c>
      <c r="H40" s="92">
        <v>530.03533568904595</v>
      </c>
      <c r="I40" s="93">
        <v>2385.159010600707</v>
      </c>
      <c r="M40" s="30"/>
    </row>
    <row r="41" spans="2:13" x14ac:dyDescent="0.3">
      <c r="B41" s="43">
        <v>42793</v>
      </c>
      <c r="C41" s="2" t="s">
        <v>8</v>
      </c>
      <c r="D41" s="30" t="s">
        <v>791</v>
      </c>
      <c r="E41" s="30">
        <v>122.5</v>
      </c>
      <c r="F41" s="30">
        <v>121.2</v>
      </c>
      <c r="G41" s="30">
        <v>0.8</v>
      </c>
      <c r="H41" s="92">
        <v>2448.9795918367345</v>
      </c>
      <c r="I41" s="93">
        <v>1959.1836734693877</v>
      </c>
      <c r="M41" s="30"/>
    </row>
    <row r="42" spans="2:13" x14ac:dyDescent="0.3">
      <c r="B42" s="43">
        <v>42794</v>
      </c>
      <c r="C42" s="2" t="s">
        <v>9</v>
      </c>
      <c r="D42" s="30" t="s">
        <v>192</v>
      </c>
      <c r="E42" s="30">
        <v>291</v>
      </c>
      <c r="F42" s="30">
        <v>296</v>
      </c>
      <c r="G42" s="30">
        <v>5</v>
      </c>
      <c r="H42" s="92">
        <v>1030.9278350515465</v>
      </c>
      <c r="I42" s="93">
        <v>5154.6391752577329</v>
      </c>
      <c r="M42" s="30"/>
    </row>
    <row r="43" spans="2:13" x14ac:dyDescent="0.3">
      <c r="B43" s="43">
        <v>42794</v>
      </c>
      <c r="C43" s="2" t="s">
        <v>8</v>
      </c>
      <c r="D43" s="30" t="s">
        <v>552</v>
      </c>
      <c r="E43" s="30">
        <v>1316</v>
      </c>
      <c r="F43" s="30">
        <v>1309.5</v>
      </c>
      <c r="G43" s="30">
        <v>6.5</v>
      </c>
      <c r="H43" s="92">
        <v>227.96352583586625</v>
      </c>
      <c r="I43" s="93">
        <v>1481.7629179331307</v>
      </c>
      <c r="M43" s="30"/>
    </row>
    <row r="44" spans="2:13" x14ac:dyDescent="0.3">
      <c r="B44" s="43"/>
      <c r="C44" s="2"/>
      <c r="D44" s="30"/>
      <c r="E44" s="30"/>
      <c r="F44" s="30"/>
      <c r="G44" s="30"/>
      <c r="H44" s="92"/>
      <c r="I44" s="93"/>
      <c r="M44" s="30"/>
    </row>
    <row r="45" spans="2:13" ht="21" x14ac:dyDescent="0.4">
      <c r="B45" s="43"/>
      <c r="C45" s="2"/>
      <c r="D45" s="30"/>
      <c r="E45" s="30"/>
      <c r="F45" s="30"/>
      <c r="G45" s="30"/>
      <c r="H45" s="5"/>
      <c r="I45" s="127">
        <v>83444</v>
      </c>
      <c r="M45" s="30"/>
    </row>
    <row r="46" spans="2:13" x14ac:dyDescent="0.3">
      <c r="B46" s="87"/>
      <c r="C46" s="2"/>
      <c r="D46" s="28"/>
      <c r="E46" s="30"/>
      <c r="F46" s="30"/>
      <c r="G46" s="30"/>
      <c r="H46" s="30"/>
      <c r="I46" s="88"/>
      <c r="M46" s="30"/>
    </row>
    <row r="47" spans="2:13" ht="15.6" x14ac:dyDescent="0.3">
      <c r="B47" s="48" t="s">
        <v>62</v>
      </c>
      <c r="C47" s="48"/>
      <c r="D47" s="48"/>
      <c r="E47" s="48"/>
      <c r="F47" s="48"/>
      <c r="G47" s="48"/>
      <c r="H47" s="48"/>
      <c r="I47" s="48"/>
      <c r="M47" s="30"/>
    </row>
    <row r="48" spans="2:13" x14ac:dyDescent="0.3">
      <c r="B48" s="43">
        <v>42767</v>
      </c>
      <c r="C48" s="2" t="s">
        <v>9</v>
      </c>
      <c r="D48" s="2" t="s">
        <v>78</v>
      </c>
      <c r="E48" s="41" t="s">
        <v>1507</v>
      </c>
      <c r="F48" s="40" t="s">
        <v>1982</v>
      </c>
      <c r="G48" s="40" t="s">
        <v>972</v>
      </c>
      <c r="H48" s="5">
        <v>500</v>
      </c>
      <c r="I48" s="30">
        <v>15000</v>
      </c>
      <c r="M48" s="30"/>
    </row>
    <row r="49" spans="2:11" x14ac:dyDescent="0.3">
      <c r="B49" s="43">
        <v>42768</v>
      </c>
      <c r="C49" s="2" t="s">
        <v>8</v>
      </c>
      <c r="D49" s="2" t="s">
        <v>139</v>
      </c>
      <c r="E49" s="41" t="s">
        <v>1983</v>
      </c>
      <c r="F49" s="40" t="s">
        <v>1980</v>
      </c>
      <c r="G49" s="40" t="s">
        <v>1265</v>
      </c>
      <c r="H49" s="5">
        <v>700</v>
      </c>
      <c r="I49" s="30">
        <v>9800</v>
      </c>
    </row>
    <row r="50" spans="2:11" x14ac:dyDescent="0.3">
      <c r="B50" s="43">
        <v>42769</v>
      </c>
      <c r="C50" s="30" t="s">
        <v>8</v>
      </c>
      <c r="D50" s="30" t="s">
        <v>139</v>
      </c>
      <c r="E50" s="30">
        <v>1400</v>
      </c>
      <c r="F50" s="30">
        <v>1395</v>
      </c>
      <c r="G50" s="30">
        <v>5</v>
      </c>
      <c r="H50" s="30">
        <v>700</v>
      </c>
      <c r="I50" s="30">
        <v>3500</v>
      </c>
    </row>
    <row r="51" spans="2:11" x14ac:dyDescent="0.3">
      <c r="B51" s="43">
        <v>42772</v>
      </c>
      <c r="C51" s="30" t="s">
        <v>9</v>
      </c>
      <c r="D51" s="30" t="s">
        <v>78</v>
      </c>
      <c r="E51" s="30">
        <v>1500</v>
      </c>
      <c r="F51" s="30">
        <v>1485</v>
      </c>
      <c r="G51" s="30">
        <v>-15</v>
      </c>
      <c r="H51" s="30">
        <v>500</v>
      </c>
      <c r="I51" s="30">
        <v>-7500</v>
      </c>
    </row>
    <row r="52" spans="2:11" x14ac:dyDescent="0.3">
      <c r="B52" s="43">
        <v>42773</v>
      </c>
      <c r="C52" s="30" t="s">
        <v>8</v>
      </c>
      <c r="D52" s="30" t="s">
        <v>124</v>
      </c>
      <c r="E52" s="30">
        <v>516</v>
      </c>
      <c r="F52" s="30">
        <v>506</v>
      </c>
      <c r="G52" s="30">
        <v>10</v>
      </c>
      <c r="H52" s="30">
        <v>1500</v>
      </c>
      <c r="I52" s="30">
        <v>15000</v>
      </c>
    </row>
    <row r="53" spans="2:11" x14ac:dyDescent="0.3">
      <c r="B53" s="43">
        <v>42774</v>
      </c>
      <c r="C53" s="30" t="s">
        <v>8</v>
      </c>
      <c r="D53" s="30" t="s">
        <v>58</v>
      </c>
      <c r="E53" s="30">
        <v>486</v>
      </c>
      <c r="F53" s="30">
        <v>488</v>
      </c>
      <c r="G53" s="30">
        <v>-2</v>
      </c>
      <c r="H53" s="30">
        <v>1200</v>
      </c>
      <c r="I53" s="30">
        <v>-2400</v>
      </c>
    </row>
    <row r="54" spans="2:11" x14ac:dyDescent="0.3">
      <c r="B54" s="43">
        <v>42775</v>
      </c>
      <c r="C54" s="30" t="s">
        <v>8</v>
      </c>
      <c r="D54" s="30" t="s">
        <v>95</v>
      </c>
      <c r="E54" s="30">
        <v>282</v>
      </c>
      <c r="F54" s="30">
        <v>280</v>
      </c>
      <c r="G54" s="30">
        <v>2</v>
      </c>
      <c r="H54" s="30">
        <v>2500</v>
      </c>
      <c r="I54" s="30">
        <v>5000</v>
      </c>
    </row>
    <row r="55" spans="2:11" x14ac:dyDescent="0.3">
      <c r="B55" s="43">
        <v>42776</v>
      </c>
      <c r="C55" s="30" t="s">
        <v>8</v>
      </c>
      <c r="D55" s="30" t="s">
        <v>78</v>
      </c>
      <c r="E55" s="30">
        <v>1500</v>
      </c>
      <c r="F55" s="30">
        <v>1500</v>
      </c>
      <c r="G55" s="30">
        <v>0</v>
      </c>
      <c r="H55" s="30">
        <v>500</v>
      </c>
      <c r="I55" s="30">
        <v>0</v>
      </c>
      <c r="K55" s="86"/>
    </row>
    <row r="56" spans="2:11" x14ac:dyDescent="0.3">
      <c r="B56" s="43">
        <v>42779</v>
      </c>
      <c r="C56" s="30" t="s">
        <v>8</v>
      </c>
      <c r="D56" s="30" t="s">
        <v>2004</v>
      </c>
      <c r="E56" s="30">
        <v>1293</v>
      </c>
      <c r="F56" s="30">
        <v>1307</v>
      </c>
      <c r="G56" s="30">
        <v>-14</v>
      </c>
      <c r="H56" s="30">
        <v>500</v>
      </c>
      <c r="I56" s="30">
        <v>-7000</v>
      </c>
      <c r="K56" s="86"/>
    </row>
    <row r="57" spans="2:11" x14ac:dyDescent="0.3">
      <c r="B57" s="43">
        <v>42779</v>
      </c>
      <c r="C57" s="30" t="s">
        <v>8</v>
      </c>
      <c r="D57" s="30" t="s">
        <v>78</v>
      </c>
      <c r="E57" s="30">
        <v>1496</v>
      </c>
      <c r="F57" s="30">
        <v>1486</v>
      </c>
      <c r="G57" s="30">
        <v>10</v>
      </c>
      <c r="H57" s="30">
        <v>500</v>
      </c>
      <c r="I57" s="30">
        <v>5000</v>
      </c>
      <c r="K57" s="86"/>
    </row>
    <row r="58" spans="2:11" x14ac:dyDescent="0.3">
      <c r="B58" s="43">
        <v>42780</v>
      </c>
      <c r="C58" s="30" t="s">
        <v>8</v>
      </c>
      <c r="D58" s="30" t="s">
        <v>58</v>
      </c>
      <c r="E58" s="30">
        <v>487</v>
      </c>
      <c r="F58" s="30">
        <v>482.5</v>
      </c>
      <c r="G58" s="30">
        <v>4.5</v>
      </c>
      <c r="H58" s="30">
        <v>1200</v>
      </c>
      <c r="I58" s="30">
        <v>5400</v>
      </c>
      <c r="K58" s="86"/>
    </row>
    <row r="59" spans="2:11" x14ac:dyDescent="0.3">
      <c r="B59" s="43">
        <v>42781</v>
      </c>
      <c r="C59" s="30" t="s">
        <v>8</v>
      </c>
      <c r="D59" s="30" t="s">
        <v>78</v>
      </c>
      <c r="E59" s="30">
        <v>1500</v>
      </c>
      <c r="F59" s="30">
        <v>1480.5</v>
      </c>
      <c r="G59" s="30">
        <v>19.5</v>
      </c>
      <c r="H59" s="30">
        <v>500</v>
      </c>
      <c r="I59" s="30">
        <v>9750</v>
      </c>
      <c r="K59" s="86"/>
    </row>
    <row r="60" spans="2:11" x14ac:dyDescent="0.3">
      <c r="B60" s="43">
        <v>42782</v>
      </c>
      <c r="C60" s="30" t="s">
        <v>8</v>
      </c>
      <c r="D60" s="30" t="s">
        <v>19</v>
      </c>
      <c r="E60" s="30">
        <v>272</v>
      </c>
      <c r="F60" s="30">
        <v>271</v>
      </c>
      <c r="G60" s="30">
        <v>1</v>
      </c>
      <c r="H60" s="30">
        <v>3000</v>
      </c>
      <c r="I60" s="30">
        <v>3000</v>
      </c>
      <c r="K60" s="86"/>
    </row>
    <row r="61" spans="2:11" x14ac:dyDescent="0.3">
      <c r="B61" s="43">
        <v>42783</v>
      </c>
      <c r="C61" s="30" t="s">
        <v>8</v>
      </c>
      <c r="D61" s="30" t="s">
        <v>19</v>
      </c>
      <c r="E61" s="30">
        <v>269</v>
      </c>
      <c r="F61" s="30">
        <v>269.5</v>
      </c>
      <c r="G61" s="30">
        <v>-0.5</v>
      </c>
      <c r="H61" s="30">
        <v>3000</v>
      </c>
      <c r="I61" s="30">
        <v>-1500</v>
      </c>
      <c r="K61" s="86"/>
    </row>
    <row r="62" spans="2:11" x14ac:dyDescent="0.3">
      <c r="B62" s="43">
        <v>42786</v>
      </c>
      <c r="C62" s="30" t="s">
        <v>8</v>
      </c>
      <c r="D62" s="30" t="s">
        <v>78</v>
      </c>
      <c r="E62" s="30">
        <v>1483</v>
      </c>
      <c r="F62" s="30">
        <v>1478</v>
      </c>
      <c r="G62" s="30">
        <v>5</v>
      </c>
      <c r="H62" s="30">
        <v>500</v>
      </c>
      <c r="I62" s="30">
        <v>2500</v>
      </c>
      <c r="K62" s="86"/>
    </row>
    <row r="63" spans="2:11" x14ac:dyDescent="0.3">
      <c r="B63" s="43">
        <v>42787</v>
      </c>
      <c r="C63" s="30" t="s">
        <v>9</v>
      </c>
      <c r="D63" s="30" t="s">
        <v>308</v>
      </c>
      <c r="E63" s="30">
        <v>565</v>
      </c>
      <c r="F63" s="30">
        <v>568</v>
      </c>
      <c r="G63" s="30">
        <v>3</v>
      </c>
      <c r="H63" s="30">
        <v>2100</v>
      </c>
      <c r="I63" s="30">
        <v>6300</v>
      </c>
      <c r="K63" s="86"/>
    </row>
    <row r="64" spans="2:11" x14ac:dyDescent="0.3">
      <c r="B64" s="43">
        <v>42788</v>
      </c>
      <c r="C64" s="30" t="s">
        <v>8</v>
      </c>
      <c r="D64" s="30" t="s">
        <v>78</v>
      </c>
      <c r="E64" s="30">
        <v>1477</v>
      </c>
      <c r="F64" s="30">
        <v>1490</v>
      </c>
      <c r="G64" s="30">
        <v>-13</v>
      </c>
      <c r="H64" s="30">
        <v>500</v>
      </c>
      <c r="I64" s="30">
        <v>-6500</v>
      </c>
      <c r="K64" s="86"/>
    </row>
    <row r="65" spans="2:11" x14ac:dyDescent="0.3">
      <c r="B65" s="43">
        <v>42789</v>
      </c>
      <c r="C65" s="30" t="s">
        <v>8</v>
      </c>
      <c r="D65" s="30" t="s">
        <v>19</v>
      </c>
      <c r="E65" s="30">
        <v>272</v>
      </c>
      <c r="F65" s="30">
        <v>270</v>
      </c>
      <c r="G65" s="30">
        <v>2</v>
      </c>
      <c r="H65" s="30">
        <v>3000</v>
      </c>
      <c r="I65" s="30">
        <v>6000</v>
      </c>
      <c r="K65" s="86"/>
    </row>
    <row r="66" spans="2:11" x14ac:dyDescent="0.3">
      <c r="B66" s="43">
        <v>42793</v>
      </c>
      <c r="C66" s="30" t="s">
        <v>8</v>
      </c>
      <c r="D66" s="30" t="s">
        <v>58</v>
      </c>
      <c r="E66" s="30">
        <v>516</v>
      </c>
      <c r="F66" s="30">
        <v>510</v>
      </c>
      <c r="G66" s="30">
        <v>6</v>
      </c>
      <c r="H66" s="30">
        <v>1200</v>
      </c>
      <c r="I66" s="30">
        <v>7200</v>
      </c>
      <c r="K66" s="86"/>
    </row>
    <row r="67" spans="2:11" x14ac:dyDescent="0.3">
      <c r="B67" s="43">
        <v>42794</v>
      </c>
      <c r="C67" s="30" t="s">
        <v>8</v>
      </c>
      <c r="D67" s="30" t="s">
        <v>115</v>
      </c>
      <c r="E67" s="30">
        <v>308</v>
      </c>
      <c r="F67" s="30">
        <v>306</v>
      </c>
      <c r="G67" s="30">
        <v>2</v>
      </c>
      <c r="H67" s="30">
        <v>1700</v>
      </c>
      <c r="I67" s="30">
        <v>3400</v>
      </c>
      <c r="K67" s="86"/>
    </row>
    <row r="68" spans="2:11" x14ac:dyDescent="0.3">
      <c r="C68" s="30"/>
      <c r="D68" s="30"/>
      <c r="E68" s="30"/>
      <c r="F68" s="30"/>
      <c r="G68" s="30"/>
      <c r="H68" s="30"/>
      <c r="I68" s="30"/>
      <c r="K68" s="86"/>
    </row>
    <row r="69" spans="2:11" ht="21" x14ac:dyDescent="0.4">
      <c r="B69" s="43"/>
      <c r="C69" s="30"/>
      <c r="D69" s="30"/>
      <c r="E69" s="30"/>
      <c r="F69" s="30"/>
      <c r="G69" s="30"/>
      <c r="H69" s="30"/>
      <c r="I69" s="129" t="s">
        <v>2009</v>
      </c>
      <c r="K69" s="86"/>
    </row>
    <row r="70" spans="2:11" x14ac:dyDescent="0.3">
      <c r="B70" s="87"/>
      <c r="C70" s="30"/>
      <c r="D70" s="30"/>
      <c r="E70" s="30"/>
      <c r="F70" s="30"/>
      <c r="G70" s="30"/>
      <c r="H70" s="30"/>
      <c r="I70" s="30"/>
      <c r="K70" s="86"/>
    </row>
    <row r="71" spans="2:11" ht="15.6" x14ac:dyDescent="0.3">
      <c r="B71" s="48" t="s">
        <v>63</v>
      </c>
      <c r="C71" s="48"/>
      <c r="D71" s="48"/>
      <c r="E71" s="48"/>
      <c r="F71" s="48"/>
      <c r="G71" s="48"/>
      <c r="H71" s="48"/>
      <c r="I71" s="48"/>
      <c r="K71" s="86"/>
    </row>
    <row r="72" spans="2:11" x14ac:dyDescent="0.3">
      <c r="B72" s="43">
        <v>42767</v>
      </c>
      <c r="C72" s="2" t="s">
        <v>8</v>
      </c>
      <c r="D72" s="2" t="s">
        <v>39</v>
      </c>
      <c r="E72" s="41" t="s">
        <v>1984</v>
      </c>
      <c r="F72" s="40" t="s">
        <v>1985</v>
      </c>
      <c r="G72" s="40" t="s">
        <v>951</v>
      </c>
      <c r="H72" s="30">
        <v>150</v>
      </c>
      <c r="I72" s="30">
        <v>2250</v>
      </c>
      <c r="K72" s="86"/>
    </row>
    <row r="73" spans="2:11" x14ac:dyDescent="0.3">
      <c r="B73" s="43">
        <v>42768</v>
      </c>
      <c r="C73" s="30" t="s">
        <v>8</v>
      </c>
      <c r="D73" s="2" t="s">
        <v>39</v>
      </c>
      <c r="E73" s="2">
        <v>8725</v>
      </c>
      <c r="F73" s="30">
        <v>8700</v>
      </c>
      <c r="G73" s="30">
        <v>25</v>
      </c>
      <c r="H73" s="30">
        <v>150</v>
      </c>
      <c r="I73" s="30">
        <v>3750</v>
      </c>
      <c r="K73" s="86"/>
    </row>
    <row r="74" spans="2:11" x14ac:dyDescent="0.3">
      <c r="B74" s="43">
        <v>42769</v>
      </c>
      <c r="C74" s="30" t="s">
        <v>8</v>
      </c>
      <c r="D74" s="2" t="s">
        <v>39</v>
      </c>
      <c r="E74" s="2">
        <v>8740</v>
      </c>
      <c r="F74" s="30">
        <v>8729</v>
      </c>
      <c r="G74" s="30">
        <v>11</v>
      </c>
      <c r="H74" s="30">
        <v>150</v>
      </c>
      <c r="I74" s="30">
        <v>1650</v>
      </c>
    </row>
    <row r="75" spans="2:11" x14ac:dyDescent="0.3">
      <c r="B75" s="43">
        <v>42772</v>
      </c>
      <c r="C75" s="30" t="s">
        <v>9</v>
      </c>
      <c r="D75" s="2" t="s">
        <v>39</v>
      </c>
      <c r="E75" s="2">
        <v>8810</v>
      </c>
      <c r="F75" s="30">
        <v>8834</v>
      </c>
      <c r="G75" s="30">
        <v>24</v>
      </c>
      <c r="H75" s="30">
        <v>150</v>
      </c>
      <c r="I75" s="30">
        <v>3600</v>
      </c>
    </row>
    <row r="76" spans="2:11" x14ac:dyDescent="0.3">
      <c r="B76" s="43">
        <v>42773</v>
      </c>
      <c r="C76" s="30" t="s">
        <v>8</v>
      </c>
      <c r="D76" s="2" t="s">
        <v>39</v>
      </c>
      <c r="E76" s="30">
        <v>8800</v>
      </c>
      <c r="F76" s="30">
        <v>8763</v>
      </c>
      <c r="G76" s="30">
        <v>37</v>
      </c>
      <c r="H76" s="30">
        <v>150</v>
      </c>
      <c r="I76" s="30">
        <v>5550</v>
      </c>
    </row>
    <row r="77" spans="2:11" x14ac:dyDescent="0.3">
      <c r="B77" s="43">
        <v>42774</v>
      </c>
      <c r="C77" s="30" t="s">
        <v>8</v>
      </c>
      <c r="D77" s="2" t="s">
        <v>39</v>
      </c>
      <c r="E77" s="30">
        <v>8800</v>
      </c>
      <c r="F77" s="30">
        <v>8735</v>
      </c>
      <c r="G77" s="30">
        <v>65</v>
      </c>
      <c r="H77" s="30">
        <v>150</v>
      </c>
      <c r="I77" s="30">
        <v>9750</v>
      </c>
    </row>
    <row r="78" spans="2:11" x14ac:dyDescent="0.3">
      <c r="B78" s="43">
        <v>42775</v>
      </c>
      <c r="C78" s="30" t="s">
        <v>8</v>
      </c>
      <c r="D78" s="2" t="s">
        <v>39</v>
      </c>
      <c r="E78" s="30">
        <v>8810</v>
      </c>
      <c r="F78" s="30">
        <v>8745</v>
      </c>
      <c r="G78" s="30">
        <v>65</v>
      </c>
      <c r="H78" s="30">
        <v>150</v>
      </c>
      <c r="I78" s="30">
        <v>9750</v>
      </c>
      <c r="K78" s="86"/>
    </row>
    <row r="79" spans="2:11" x14ac:dyDescent="0.3">
      <c r="B79" s="43">
        <v>42776</v>
      </c>
      <c r="C79" s="30" t="s">
        <v>8</v>
      </c>
      <c r="D79" s="2" t="s">
        <v>39</v>
      </c>
      <c r="E79" s="30">
        <v>8815</v>
      </c>
      <c r="F79" s="30">
        <v>8790</v>
      </c>
      <c r="G79" s="30">
        <v>25</v>
      </c>
      <c r="H79" s="30">
        <v>150</v>
      </c>
      <c r="I79" s="30">
        <v>3750</v>
      </c>
      <c r="K79" s="86"/>
    </row>
    <row r="80" spans="2:11" x14ac:dyDescent="0.3">
      <c r="B80" s="43">
        <v>42779</v>
      </c>
      <c r="C80" s="30" t="s">
        <v>8</v>
      </c>
      <c r="D80" s="2" t="s">
        <v>39</v>
      </c>
      <c r="E80" s="30">
        <v>8825</v>
      </c>
      <c r="F80" s="30">
        <v>8770</v>
      </c>
      <c r="G80" s="30">
        <v>55</v>
      </c>
      <c r="H80" s="30">
        <v>150</v>
      </c>
      <c r="I80" s="30">
        <v>8250</v>
      </c>
      <c r="K80" s="86"/>
    </row>
    <row r="81" spans="2:11" x14ac:dyDescent="0.3">
      <c r="B81" s="43">
        <v>42780</v>
      </c>
      <c r="C81" s="30" t="s">
        <v>8</v>
      </c>
      <c r="D81" s="2" t="s">
        <v>39</v>
      </c>
      <c r="E81" s="30">
        <v>8800</v>
      </c>
      <c r="F81" s="30">
        <v>8820</v>
      </c>
      <c r="G81" s="30">
        <v>-20</v>
      </c>
      <c r="H81" s="30">
        <v>150</v>
      </c>
      <c r="I81" s="30">
        <v>-3000</v>
      </c>
      <c r="K81" s="86"/>
    </row>
    <row r="82" spans="2:11" x14ac:dyDescent="0.3">
      <c r="B82" s="43">
        <v>42781</v>
      </c>
      <c r="C82" s="30" t="s">
        <v>8</v>
      </c>
      <c r="D82" s="2" t="s">
        <v>39</v>
      </c>
      <c r="E82" s="30">
        <v>8810</v>
      </c>
      <c r="F82" s="30">
        <v>8745</v>
      </c>
      <c r="G82" s="30">
        <v>65</v>
      </c>
      <c r="H82" s="30">
        <v>150</v>
      </c>
      <c r="I82" s="30">
        <v>9750</v>
      </c>
      <c r="K82" s="86"/>
    </row>
    <row r="83" spans="2:11" x14ac:dyDescent="0.3">
      <c r="B83" s="43">
        <v>42782</v>
      </c>
      <c r="C83" s="30" t="s">
        <v>8</v>
      </c>
      <c r="D83" s="2" t="s">
        <v>39</v>
      </c>
      <c r="E83" s="30">
        <v>8745</v>
      </c>
      <c r="F83" s="30">
        <v>8780</v>
      </c>
      <c r="G83" s="30">
        <v>-35</v>
      </c>
      <c r="H83" s="30">
        <v>150</v>
      </c>
      <c r="I83" s="30">
        <v>-5250</v>
      </c>
      <c r="K83" s="86"/>
    </row>
    <row r="84" spans="2:11" x14ac:dyDescent="0.3">
      <c r="B84" s="43">
        <v>42783</v>
      </c>
      <c r="C84" s="30" t="s">
        <v>8</v>
      </c>
      <c r="D84" s="2" t="s">
        <v>39</v>
      </c>
      <c r="E84" s="30">
        <v>8820</v>
      </c>
      <c r="F84" s="30">
        <v>8855</v>
      </c>
      <c r="G84" s="30">
        <v>-35</v>
      </c>
      <c r="H84" s="30">
        <v>150</v>
      </c>
      <c r="I84" s="30">
        <v>-5250</v>
      </c>
      <c r="K84" s="86"/>
    </row>
    <row r="85" spans="2:11" x14ac:dyDescent="0.3">
      <c r="B85" s="43">
        <v>42786</v>
      </c>
      <c r="C85" s="30" t="s">
        <v>8</v>
      </c>
      <c r="D85" s="2" t="s">
        <v>39</v>
      </c>
      <c r="E85" s="30">
        <v>8850</v>
      </c>
      <c r="F85" s="30">
        <v>8865</v>
      </c>
      <c r="G85" s="30">
        <v>-15</v>
      </c>
      <c r="H85" s="30">
        <v>150</v>
      </c>
      <c r="I85" s="30">
        <v>-2250</v>
      </c>
      <c r="K85" s="86"/>
    </row>
    <row r="86" spans="2:11" x14ac:dyDescent="0.3">
      <c r="B86" s="43">
        <v>42787</v>
      </c>
      <c r="C86" s="30" t="s">
        <v>8</v>
      </c>
      <c r="D86" s="2" t="s">
        <v>39</v>
      </c>
      <c r="E86" s="30">
        <v>8875</v>
      </c>
      <c r="F86" s="30">
        <v>8860</v>
      </c>
      <c r="G86" s="30">
        <v>15</v>
      </c>
      <c r="H86" s="30">
        <v>150</v>
      </c>
      <c r="I86" s="30">
        <v>2250</v>
      </c>
      <c r="K86" s="86"/>
    </row>
    <row r="87" spans="2:11" x14ac:dyDescent="0.3">
      <c r="B87" s="43">
        <v>42788</v>
      </c>
      <c r="C87" s="30" t="s">
        <v>9</v>
      </c>
      <c r="D87" s="2" t="s">
        <v>39</v>
      </c>
      <c r="E87" s="30">
        <v>8940</v>
      </c>
      <c r="F87" s="30">
        <v>8955</v>
      </c>
      <c r="G87" s="30">
        <v>15</v>
      </c>
      <c r="H87" s="30">
        <v>150</v>
      </c>
      <c r="I87" s="30">
        <v>2250</v>
      </c>
      <c r="K87" s="86"/>
    </row>
    <row r="88" spans="2:11" x14ac:dyDescent="0.3">
      <c r="B88" s="43">
        <v>42789</v>
      </c>
      <c r="C88" s="30" t="s">
        <v>8</v>
      </c>
      <c r="D88" s="2" t="s">
        <v>39</v>
      </c>
      <c r="E88" s="30">
        <v>8960</v>
      </c>
      <c r="F88" s="30">
        <v>8935</v>
      </c>
      <c r="G88" s="30">
        <v>25</v>
      </c>
      <c r="H88" s="30">
        <v>150</v>
      </c>
      <c r="I88" s="30">
        <v>3750</v>
      </c>
      <c r="K88" s="86"/>
    </row>
    <row r="89" spans="2:11" x14ac:dyDescent="0.3">
      <c r="B89" s="43">
        <v>42793</v>
      </c>
      <c r="C89" s="30" t="s">
        <v>8</v>
      </c>
      <c r="D89" s="2" t="s">
        <v>39</v>
      </c>
      <c r="E89" s="30">
        <v>8945</v>
      </c>
      <c r="F89" s="30">
        <v>8910</v>
      </c>
      <c r="G89" s="30">
        <v>35</v>
      </c>
      <c r="H89" s="30">
        <v>150</v>
      </c>
      <c r="I89" s="30">
        <v>5250</v>
      </c>
      <c r="K89" s="86"/>
    </row>
    <row r="90" spans="2:11" x14ac:dyDescent="0.3">
      <c r="B90" s="43">
        <v>42794</v>
      </c>
      <c r="C90" s="30" t="s">
        <v>8</v>
      </c>
      <c r="D90" s="2" t="s">
        <v>39</v>
      </c>
      <c r="E90" s="30">
        <v>8920</v>
      </c>
      <c r="F90" s="30">
        <v>8885</v>
      </c>
      <c r="G90" s="30">
        <v>35</v>
      </c>
      <c r="H90" s="30">
        <v>150</v>
      </c>
      <c r="I90" s="30">
        <v>5250</v>
      </c>
      <c r="K90" s="86"/>
    </row>
    <row r="91" spans="2:11" x14ac:dyDescent="0.3">
      <c r="B91" s="87"/>
      <c r="C91" s="30"/>
      <c r="D91" s="40"/>
      <c r="E91" s="30"/>
      <c r="F91" s="30"/>
      <c r="G91" s="30"/>
      <c r="H91" s="30"/>
      <c r="I91" s="30"/>
      <c r="K91" s="86"/>
    </row>
    <row r="92" spans="2:11" ht="21" x14ac:dyDescent="0.4">
      <c r="B92" s="43"/>
      <c r="C92" s="30"/>
      <c r="D92" s="2"/>
      <c r="E92" s="30"/>
      <c r="F92" s="30"/>
      <c r="G92" s="30"/>
      <c r="H92" s="30"/>
      <c r="I92" s="129" t="s">
        <v>2010</v>
      </c>
      <c r="K92" s="86"/>
    </row>
    <row r="93" spans="2:11" ht="18" x14ac:dyDescent="0.35">
      <c r="B93" s="43"/>
      <c r="C93" s="30"/>
      <c r="D93" s="2"/>
      <c r="E93" s="30"/>
      <c r="F93" s="30"/>
      <c r="G93" s="30"/>
      <c r="H93" s="30"/>
      <c r="I93" s="76"/>
      <c r="K93" s="86"/>
    </row>
    <row r="94" spans="2:11" ht="15.6" x14ac:dyDescent="0.3">
      <c r="B94" s="48" t="s">
        <v>991</v>
      </c>
      <c r="C94" s="61"/>
      <c r="D94" s="61"/>
      <c r="E94" s="61"/>
      <c r="F94" s="61"/>
      <c r="G94" s="61"/>
      <c r="H94" s="61"/>
      <c r="I94" s="61"/>
      <c r="K94" s="86"/>
    </row>
    <row r="95" spans="2:11" x14ac:dyDescent="0.3">
      <c r="B95" s="43">
        <v>42767</v>
      </c>
      <c r="C95" s="3" t="s">
        <v>9</v>
      </c>
      <c r="D95" s="3" t="s">
        <v>1639</v>
      </c>
      <c r="E95" s="41" t="s">
        <v>626</v>
      </c>
      <c r="F95" s="41" t="s">
        <v>214</v>
      </c>
      <c r="G95" s="41" t="s">
        <v>917</v>
      </c>
      <c r="H95" s="30">
        <v>300</v>
      </c>
      <c r="I95" s="8">
        <v>-6000</v>
      </c>
      <c r="K95" s="86"/>
    </row>
    <row r="96" spans="2:11" x14ac:dyDescent="0.3">
      <c r="B96" s="43">
        <v>42768</v>
      </c>
      <c r="C96" s="3" t="s">
        <v>9</v>
      </c>
      <c r="D96" s="3" t="s">
        <v>1683</v>
      </c>
      <c r="E96" s="30">
        <v>92</v>
      </c>
      <c r="F96" s="30">
        <v>102</v>
      </c>
      <c r="G96" s="30">
        <v>10</v>
      </c>
      <c r="H96" s="30">
        <v>300</v>
      </c>
      <c r="I96" s="8">
        <v>3000</v>
      </c>
      <c r="K96" s="86"/>
    </row>
    <row r="97" spans="2:9" x14ac:dyDescent="0.3">
      <c r="B97" s="43">
        <v>42769</v>
      </c>
      <c r="C97" s="3" t="s">
        <v>9</v>
      </c>
      <c r="D97" s="3" t="s">
        <v>1683</v>
      </c>
      <c r="E97" s="30">
        <v>80</v>
      </c>
      <c r="F97" s="30">
        <v>72</v>
      </c>
      <c r="G97" s="30">
        <v>-8</v>
      </c>
      <c r="H97" s="30">
        <v>300</v>
      </c>
      <c r="I97" s="8">
        <v>-2400</v>
      </c>
    </row>
    <row r="98" spans="2:9" x14ac:dyDescent="0.3">
      <c r="B98" s="43">
        <v>42772</v>
      </c>
      <c r="C98" s="3" t="s">
        <v>9</v>
      </c>
      <c r="D98" s="3" t="s">
        <v>1766</v>
      </c>
      <c r="E98" s="30">
        <v>95</v>
      </c>
      <c r="F98" s="30">
        <v>103</v>
      </c>
      <c r="G98" s="30">
        <v>8</v>
      </c>
      <c r="H98" s="30">
        <v>300</v>
      </c>
      <c r="I98" s="8">
        <v>2400</v>
      </c>
    </row>
    <row r="99" spans="2:9" x14ac:dyDescent="0.3">
      <c r="B99" s="43">
        <v>42773</v>
      </c>
      <c r="C99" s="3" t="s">
        <v>9</v>
      </c>
      <c r="D99" s="30" t="s">
        <v>1805</v>
      </c>
      <c r="E99" s="30">
        <v>145</v>
      </c>
      <c r="F99" s="30">
        <v>170</v>
      </c>
      <c r="G99" s="30">
        <v>25</v>
      </c>
      <c r="H99" s="30">
        <v>300</v>
      </c>
      <c r="I99" s="8">
        <v>7500</v>
      </c>
    </row>
    <row r="100" spans="2:9" x14ac:dyDescent="0.3">
      <c r="B100" s="43">
        <v>42774</v>
      </c>
      <c r="C100" s="3" t="s">
        <v>9</v>
      </c>
      <c r="D100" s="30" t="s">
        <v>1805</v>
      </c>
      <c r="E100" s="30">
        <v>145</v>
      </c>
      <c r="F100" s="30">
        <v>180</v>
      </c>
      <c r="G100" s="30">
        <v>35</v>
      </c>
      <c r="H100" s="30">
        <v>300</v>
      </c>
      <c r="I100" s="8">
        <v>10500</v>
      </c>
    </row>
    <row r="101" spans="2:9" x14ac:dyDescent="0.3">
      <c r="B101" s="43">
        <v>42775</v>
      </c>
      <c r="C101" s="3" t="s">
        <v>9</v>
      </c>
      <c r="D101" s="30" t="s">
        <v>1805</v>
      </c>
      <c r="E101" s="30">
        <v>130</v>
      </c>
      <c r="F101" s="30">
        <v>165</v>
      </c>
      <c r="G101" s="30">
        <v>35</v>
      </c>
      <c r="H101" s="30">
        <v>300</v>
      </c>
      <c r="I101" s="8">
        <v>10500</v>
      </c>
    </row>
    <row r="102" spans="2:9" x14ac:dyDescent="0.3">
      <c r="B102" s="43">
        <v>42776</v>
      </c>
      <c r="C102" s="3" t="s">
        <v>9</v>
      </c>
      <c r="D102" s="30" t="s">
        <v>1805</v>
      </c>
      <c r="E102" s="30">
        <v>120</v>
      </c>
      <c r="F102" s="30">
        <v>135</v>
      </c>
      <c r="G102" s="30">
        <v>15</v>
      </c>
      <c r="H102" s="30">
        <v>300</v>
      </c>
      <c r="I102" s="8">
        <v>4500</v>
      </c>
    </row>
    <row r="103" spans="2:9" x14ac:dyDescent="0.3">
      <c r="B103" s="43">
        <v>42779</v>
      </c>
      <c r="C103" s="3" t="s">
        <v>9</v>
      </c>
      <c r="D103" s="30" t="s">
        <v>1805</v>
      </c>
      <c r="E103" s="30">
        <v>110</v>
      </c>
      <c r="F103" s="30">
        <v>150</v>
      </c>
      <c r="G103" s="30">
        <v>40</v>
      </c>
      <c r="H103" s="30">
        <v>300</v>
      </c>
      <c r="I103" s="8">
        <v>12000</v>
      </c>
    </row>
    <row r="104" spans="2:9" x14ac:dyDescent="0.3">
      <c r="B104" s="43">
        <v>42780</v>
      </c>
      <c r="C104" s="3" t="s">
        <v>9</v>
      </c>
      <c r="D104" s="30" t="s">
        <v>1805</v>
      </c>
      <c r="E104" s="30">
        <v>130</v>
      </c>
      <c r="F104" s="30">
        <v>110</v>
      </c>
      <c r="G104" s="30">
        <v>-20</v>
      </c>
      <c r="H104" s="30">
        <v>300</v>
      </c>
      <c r="I104" s="8">
        <v>-6000</v>
      </c>
    </row>
    <row r="105" spans="2:9" x14ac:dyDescent="0.3">
      <c r="B105" s="43">
        <v>42781</v>
      </c>
      <c r="C105" s="3" t="s">
        <v>9</v>
      </c>
      <c r="D105" s="30" t="s">
        <v>1805</v>
      </c>
      <c r="E105" s="30">
        <v>120</v>
      </c>
      <c r="F105" s="30">
        <v>155</v>
      </c>
      <c r="G105" s="30">
        <v>35</v>
      </c>
      <c r="H105" s="30">
        <v>300</v>
      </c>
      <c r="I105" s="8">
        <v>10500</v>
      </c>
    </row>
    <row r="106" spans="2:9" x14ac:dyDescent="0.3">
      <c r="B106" s="43">
        <v>42782</v>
      </c>
      <c r="C106" s="3" t="s">
        <v>9</v>
      </c>
      <c r="D106" s="30" t="s">
        <v>1805</v>
      </c>
      <c r="E106" s="30">
        <v>160</v>
      </c>
      <c r="F106" s="30">
        <v>170</v>
      </c>
      <c r="G106" s="30">
        <v>10</v>
      </c>
      <c r="H106" s="30">
        <v>300</v>
      </c>
      <c r="I106" s="8">
        <v>3000</v>
      </c>
    </row>
    <row r="107" spans="2:9" x14ac:dyDescent="0.3">
      <c r="B107" s="43">
        <v>42783</v>
      </c>
      <c r="C107" s="3" t="s">
        <v>9</v>
      </c>
      <c r="D107" s="30" t="s">
        <v>1805</v>
      </c>
      <c r="E107" s="30">
        <v>100</v>
      </c>
      <c r="F107" s="30">
        <v>80</v>
      </c>
      <c r="G107" s="30">
        <v>-20</v>
      </c>
      <c r="H107" s="30">
        <v>300</v>
      </c>
      <c r="I107" s="8">
        <v>-6000</v>
      </c>
    </row>
    <row r="108" spans="2:9" x14ac:dyDescent="0.3">
      <c r="B108" s="43">
        <v>42786</v>
      </c>
      <c r="C108" s="3" t="s">
        <v>9</v>
      </c>
      <c r="D108" s="30" t="s">
        <v>1791</v>
      </c>
      <c r="E108" s="30">
        <v>153</v>
      </c>
      <c r="F108" s="30">
        <v>133</v>
      </c>
      <c r="G108" s="30">
        <v>-20</v>
      </c>
      <c r="H108" s="30">
        <v>300</v>
      </c>
      <c r="I108" s="8">
        <v>-6000</v>
      </c>
    </row>
    <row r="109" spans="2:9" x14ac:dyDescent="0.3">
      <c r="B109" s="43">
        <v>42787</v>
      </c>
      <c r="C109" s="3" t="s">
        <v>9</v>
      </c>
      <c r="D109" s="30" t="s">
        <v>1791</v>
      </c>
      <c r="E109" s="30">
        <v>125</v>
      </c>
      <c r="F109" s="30">
        <v>139</v>
      </c>
      <c r="G109" s="30">
        <v>14</v>
      </c>
      <c r="H109" s="30">
        <v>300</v>
      </c>
      <c r="I109" s="8">
        <v>4200</v>
      </c>
    </row>
    <row r="110" spans="2:9" x14ac:dyDescent="0.3">
      <c r="B110" s="43">
        <v>42788</v>
      </c>
      <c r="C110" s="3" t="s">
        <v>9</v>
      </c>
      <c r="D110" s="28" t="s">
        <v>1766</v>
      </c>
      <c r="E110" s="49" t="s">
        <v>232</v>
      </c>
      <c r="F110" s="49" t="s">
        <v>226</v>
      </c>
      <c r="G110" s="49" t="s">
        <v>951</v>
      </c>
      <c r="H110" s="30">
        <v>300</v>
      </c>
      <c r="I110" s="8">
        <v>4500</v>
      </c>
    </row>
    <row r="111" spans="2:9" x14ac:dyDescent="0.3">
      <c r="B111" s="43">
        <v>42789</v>
      </c>
      <c r="C111" s="3" t="s">
        <v>9</v>
      </c>
      <c r="D111" s="28" t="s">
        <v>1791</v>
      </c>
      <c r="E111" s="49" t="s">
        <v>2011</v>
      </c>
      <c r="F111" s="49" t="s">
        <v>2012</v>
      </c>
      <c r="G111" s="49" t="s">
        <v>994</v>
      </c>
      <c r="H111" s="30">
        <v>300</v>
      </c>
      <c r="I111" s="8">
        <v>2400</v>
      </c>
    </row>
    <row r="112" spans="2:9" x14ac:dyDescent="0.3">
      <c r="B112" s="43">
        <v>42793</v>
      </c>
      <c r="C112" s="3" t="s">
        <v>9</v>
      </c>
      <c r="D112" s="28" t="s">
        <v>1791</v>
      </c>
      <c r="E112" s="49" t="s">
        <v>229</v>
      </c>
      <c r="F112" s="49" t="s">
        <v>854</v>
      </c>
      <c r="G112" s="49" t="s">
        <v>951</v>
      </c>
      <c r="H112" s="30">
        <v>300</v>
      </c>
      <c r="I112" s="8">
        <v>4500</v>
      </c>
    </row>
    <row r="113" spans="2:9" x14ac:dyDescent="0.3">
      <c r="B113" s="43">
        <v>42794</v>
      </c>
      <c r="C113" s="3" t="s">
        <v>9</v>
      </c>
      <c r="D113" s="28" t="s">
        <v>1791</v>
      </c>
      <c r="E113" s="49" t="s">
        <v>513</v>
      </c>
      <c r="F113" s="49" t="s">
        <v>1063</v>
      </c>
      <c r="G113" s="49" t="s">
        <v>952</v>
      </c>
      <c r="H113" s="30">
        <v>300</v>
      </c>
      <c r="I113" s="8">
        <v>6000</v>
      </c>
    </row>
    <row r="114" spans="2:9" x14ac:dyDescent="0.3">
      <c r="C114" s="3"/>
      <c r="D114" s="28"/>
      <c r="E114" s="49"/>
      <c r="F114" s="49"/>
      <c r="G114" s="49"/>
      <c r="H114" s="30"/>
      <c r="I114" s="8"/>
    </row>
    <row r="115" spans="2:9" ht="21" x14ac:dyDescent="0.3">
      <c r="C115" s="3"/>
      <c r="D115" s="28"/>
      <c r="E115" s="49"/>
      <c r="F115" s="49"/>
      <c r="G115" s="49"/>
      <c r="H115" s="30"/>
      <c r="I115" s="128">
        <v>59100</v>
      </c>
    </row>
    <row r="116" spans="2:9" x14ac:dyDescent="0.3">
      <c r="B116" s="1"/>
      <c r="C116" s="28"/>
      <c r="D116" s="28"/>
      <c r="E116" s="81"/>
      <c r="F116" s="81"/>
      <c r="G116" s="81"/>
      <c r="H116" s="81"/>
      <c r="I116" s="81"/>
    </row>
    <row r="117" spans="2:9" ht="15.6" x14ac:dyDescent="0.3">
      <c r="B117" s="48" t="s">
        <v>926</v>
      </c>
      <c r="C117" s="48"/>
      <c r="D117" s="48"/>
      <c r="E117" s="48"/>
      <c r="F117" s="48"/>
      <c r="G117" s="48"/>
      <c r="H117" s="48"/>
      <c r="I117" s="48"/>
    </row>
    <row r="118" spans="2:9" x14ac:dyDescent="0.3">
      <c r="B118" s="43">
        <v>42767</v>
      </c>
      <c r="C118" s="30" t="s">
        <v>8</v>
      </c>
      <c r="D118" s="30" t="s">
        <v>301</v>
      </c>
      <c r="E118" s="30">
        <v>19660</v>
      </c>
      <c r="F118" s="30">
        <v>19560</v>
      </c>
      <c r="G118" s="30">
        <v>100</v>
      </c>
      <c r="H118" s="30">
        <v>160</v>
      </c>
      <c r="I118" s="30">
        <v>16000</v>
      </c>
    </row>
    <row r="119" spans="2:9" x14ac:dyDescent="0.3">
      <c r="B119" s="43">
        <v>42768</v>
      </c>
      <c r="C119" s="30" t="s">
        <v>8</v>
      </c>
      <c r="D119" s="30" t="s">
        <v>301</v>
      </c>
      <c r="E119" s="30">
        <v>20100</v>
      </c>
      <c r="F119" s="30">
        <v>20000</v>
      </c>
      <c r="G119" s="30">
        <v>100</v>
      </c>
      <c r="H119" s="30">
        <v>160</v>
      </c>
      <c r="I119" s="30">
        <v>16000</v>
      </c>
    </row>
    <row r="120" spans="2:9" x14ac:dyDescent="0.3">
      <c r="B120" s="43">
        <v>42769</v>
      </c>
      <c r="C120" s="30" t="s">
        <v>8</v>
      </c>
      <c r="D120" s="30" t="s">
        <v>301</v>
      </c>
      <c r="E120" s="30">
        <v>20160</v>
      </c>
      <c r="F120" s="30">
        <v>20250</v>
      </c>
      <c r="G120" s="30">
        <v>-90</v>
      </c>
      <c r="H120" s="30">
        <v>160</v>
      </c>
      <c r="I120" s="30">
        <v>-14400</v>
      </c>
    </row>
    <row r="121" spans="2:9" x14ac:dyDescent="0.3">
      <c r="B121" s="43">
        <v>42772</v>
      </c>
      <c r="C121" s="30" t="s">
        <v>9</v>
      </c>
      <c r="D121" s="30" t="s">
        <v>301</v>
      </c>
      <c r="E121" s="30">
        <v>20470</v>
      </c>
      <c r="F121" s="30">
        <v>20420</v>
      </c>
      <c r="G121" s="30">
        <v>-50</v>
      </c>
      <c r="H121" s="30">
        <v>160</v>
      </c>
      <c r="I121" s="30">
        <v>-8000</v>
      </c>
    </row>
    <row r="122" spans="2:9" x14ac:dyDescent="0.3">
      <c r="B122" s="43">
        <v>42773</v>
      </c>
      <c r="C122" s="30" t="s">
        <v>8</v>
      </c>
      <c r="D122" s="30" t="s">
        <v>301</v>
      </c>
      <c r="E122" s="30">
        <v>20390</v>
      </c>
      <c r="F122" s="30">
        <v>20350</v>
      </c>
      <c r="G122" s="30">
        <v>40</v>
      </c>
      <c r="H122" s="30">
        <v>160</v>
      </c>
      <c r="I122" s="30">
        <v>6400</v>
      </c>
    </row>
    <row r="123" spans="2:9" x14ac:dyDescent="0.3">
      <c r="B123" s="43">
        <v>42774</v>
      </c>
      <c r="C123" s="30" t="s">
        <v>8</v>
      </c>
      <c r="D123" s="30" t="s">
        <v>301</v>
      </c>
      <c r="E123" s="30">
        <v>20370</v>
      </c>
      <c r="F123" s="30">
        <v>20200</v>
      </c>
      <c r="G123" s="30">
        <v>170</v>
      </c>
      <c r="H123" s="30">
        <v>160</v>
      </c>
      <c r="I123" s="30">
        <v>27200</v>
      </c>
    </row>
    <row r="124" spans="2:9" x14ac:dyDescent="0.3">
      <c r="B124" s="43">
        <v>42775</v>
      </c>
      <c r="C124" s="30" t="s">
        <v>8</v>
      </c>
      <c r="D124" s="30" t="s">
        <v>301</v>
      </c>
      <c r="E124" s="30">
        <v>20400</v>
      </c>
      <c r="F124" s="30">
        <v>20100</v>
      </c>
      <c r="G124" s="30">
        <v>300</v>
      </c>
      <c r="H124" s="30">
        <v>160</v>
      </c>
      <c r="I124" s="30">
        <v>48000</v>
      </c>
    </row>
    <row r="125" spans="2:9" x14ac:dyDescent="0.3">
      <c r="B125" s="43">
        <v>42776</v>
      </c>
      <c r="C125" s="30" t="s">
        <v>8</v>
      </c>
      <c r="D125" s="30" t="s">
        <v>301</v>
      </c>
      <c r="E125" s="30">
        <v>20300</v>
      </c>
      <c r="F125" s="30">
        <v>20220</v>
      </c>
      <c r="G125" s="30">
        <v>80</v>
      </c>
      <c r="H125" s="30">
        <v>160</v>
      </c>
      <c r="I125" s="30">
        <v>12800</v>
      </c>
    </row>
    <row r="126" spans="2:9" x14ac:dyDescent="0.3">
      <c r="B126" s="43">
        <v>42779</v>
      </c>
      <c r="C126" s="30" t="s">
        <v>8</v>
      </c>
      <c r="D126" s="30" t="s">
        <v>301</v>
      </c>
      <c r="E126" s="30">
        <v>20300</v>
      </c>
      <c r="F126" s="30">
        <v>20155</v>
      </c>
      <c r="G126" s="30">
        <v>145</v>
      </c>
      <c r="H126" s="30">
        <v>160</v>
      </c>
      <c r="I126" s="30">
        <v>23200</v>
      </c>
    </row>
    <row r="127" spans="2:9" x14ac:dyDescent="0.3">
      <c r="B127" s="43">
        <v>42780</v>
      </c>
      <c r="C127" s="30" t="s">
        <v>8</v>
      </c>
      <c r="D127" s="30" t="s">
        <v>301</v>
      </c>
      <c r="E127" s="30">
        <v>20260</v>
      </c>
      <c r="F127" s="30">
        <v>20210</v>
      </c>
      <c r="G127" s="30">
        <v>50</v>
      </c>
      <c r="H127" s="30">
        <v>160</v>
      </c>
      <c r="I127" s="30">
        <v>8000</v>
      </c>
    </row>
    <row r="128" spans="2:9" x14ac:dyDescent="0.3">
      <c r="B128" s="43">
        <v>42781</v>
      </c>
      <c r="C128" s="30" t="s">
        <v>8</v>
      </c>
      <c r="D128" s="30" t="s">
        <v>301</v>
      </c>
      <c r="E128" s="30">
        <v>20360</v>
      </c>
      <c r="F128" s="30">
        <v>20160</v>
      </c>
      <c r="G128" s="30">
        <v>200</v>
      </c>
      <c r="H128" s="30">
        <v>160</v>
      </c>
      <c r="I128" s="30">
        <v>32000</v>
      </c>
    </row>
    <row r="129" spans="2:15" x14ac:dyDescent="0.3">
      <c r="B129" s="43">
        <v>42782</v>
      </c>
      <c r="C129" s="30" t="s">
        <v>8</v>
      </c>
      <c r="D129" s="30" t="s">
        <v>301</v>
      </c>
      <c r="E129" s="30">
        <v>20170</v>
      </c>
      <c r="F129" s="30">
        <v>20320</v>
      </c>
      <c r="G129" s="30">
        <v>-150</v>
      </c>
      <c r="H129" s="30">
        <v>160</v>
      </c>
      <c r="I129" s="30">
        <v>-24000</v>
      </c>
    </row>
    <row r="130" spans="2:15" x14ac:dyDescent="0.3">
      <c r="B130" s="43">
        <v>42786</v>
      </c>
      <c r="C130" s="30" t="s">
        <v>8</v>
      </c>
      <c r="D130" s="30" t="s">
        <v>301</v>
      </c>
      <c r="E130" s="30">
        <v>20570</v>
      </c>
      <c r="F130" s="30">
        <v>20620</v>
      </c>
      <c r="G130" s="30">
        <v>-50</v>
      </c>
      <c r="H130" s="30">
        <v>160</v>
      </c>
      <c r="I130" s="30">
        <v>-8000</v>
      </c>
    </row>
    <row r="131" spans="2:15" x14ac:dyDescent="0.3">
      <c r="B131" s="43">
        <v>42787</v>
      </c>
      <c r="C131" s="30" t="s">
        <v>8</v>
      </c>
      <c r="D131" s="30" t="s">
        <v>301</v>
      </c>
      <c r="E131" s="30">
        <v>20650</v>
      </c>
      <c r="F131" s="30">
        <v>20600</v>
      </c>
      <c r="G131" s="30">
        <v>50</v>
      </c>
      <c r="H131" s="30">
        <v>160</v>
      </c>
      <c r="I131" s="30">
        <v>8000</v>
      </c>
    </row>
    <row r="132" spans="2:15" x14ac:dyDescent="0.3">
      <c r="B132" s="43">
        <v>42788</v>
      </c>
      <c r="C132" s="30" t="s">
        <v>9</v>
      </c>
      <c r="D132" s="30" t="s">
        <v>301</v>
      </c>
      <c r="E132" s="30">
        <v>20900</v>
      </c>
      <c r="F132" s="30">
        <v>20870</v>
      </c>
      <c r="G132" s="30">
        <v>-30</v>
      </c>
      <c r="H132" s="30">
        <v>160</v>
      </c>
      <c r="I132" s="30">
        <v>-4800</v>
      </c>
    </row>
    <row r="133" spans="2:15" x14ac:dyDescent="0.3">
      <c r="B133" s="43">
        <v>42789</v>
      </c>
      <c r="C133" s="30" t="s">
        <v>8</v>
      </c>
      <c r="D133" s="30" t="s">
        <v>301</v>
      </c>
      <c r="E133" s="30">
        <v>20900</v>
      </c>
      <c r="F133" s="30">
        <v>20880</v>
      </c>
      <c r="G133" s="30">
        <v>20</v>
      </c>
      <c r="H133" s="30">
        <v>160</v>
      </c>
      <c r="I133" s="30">
        <v>3200</v>
      </c>
    </row>
    <row r="134" spans="2:15" x14ac:dyDescent="0.3">
      <c r="B134" s="43">
        <v>42793</v>
      </c>
      <c r="C134" s="30" t="s">
        <v>8</v>
      </c>
      <c r="D134" s="30" t="s">
        <v>301</v>
      </c>
      <c r="E134" s="30">
        <v>20780</v>
      </c>
      <c r="F134" s="30">
        <v>20680</v>
      </c>
      <c r="G134" s="30">
        <v>100</v>
      </c>
      <c r="H134" s="30">
        <v>160</v>
      </c>
      <c r="I134" s="30">
        <v>16000</v>
      </c>
    </row>
    <row r="135" spans="2:15" x14ac:dyDescent="0.3">
      <c r="B135" s="43">
        <v>42794</v>
      </c>
      <c r="C135" s="30" t="s">
        <v>8</v>
      </c>
      <c r="D135" s="30" t="s">
        <v>301</v>
      </c>
      <c r="E135" s="30">
        <v>20700</v>
      </c>
      <c r="F135" s="30">
        <v>20650</v>
      </c>
      <c r="G135" s="30">
        <v>50</v>
      </c>
      <c r="H135" s="30">
        <v>160</v>
      </c>
      <c r="I135" s="94">
        <v>8000</v>
      </c>
    </row>
    <row r="136" spans="2:15" x14ac:dyDescent="0.3">
      <c r="B136" s="43"/>
      <c r="C136" s="30"/>
      <c r="D136" s="30"/>
      <c r="E136" s="30"/>
      <c r="F136" s="30"/>
      <c r="G136" s="30"/>
      <c r="H136" s="30"/>
      <c r="I136" s="94"/>
    </row>
    <row r="137" spans="2:15" ht="21" x14ac:dyDescent="0.3">
      <c r="B137" s="43"/>
      <c r="C137" s="30"/>
      <c r="D137" s="30"/>
      <c r="E137" s="88"/>
      <c r="F137" s="88"/>
      <c r="G137" s="88"/>
      <c r="H137" s="88"/>
      <c r="I137" s="132">
        <v>165600</v>
      </c>
    </row>
    <row r="138" spans="2:15" x14ac:dyDescent="0.3">
      <c r="B138" s="43"/>
      <c r="C138" s="30"/>
      <c r="D138" s="30"/>
      <c r="E138" s="30"/>
      <c r="F138" s="30"/>
      <c r="G138" s="30"/>
      <c r="H138" s="30"/>
      <c r="I138" s="30"/>
    </row>
    <row r="139" spans="2:15" s="130" customFormat="1" ht="18" x14ac:dyDescent="0.35">
      <c r="B139" s="299" t="s">
        <v>1152</v>
      </c>
      <c r="C139" s="300"/>
      <c r="D139" s="300"/>
      <c r="E139" s="300"/>
      <c r="F139" s="300"/>
      <c r="G139" s="300"/>
      <c r="H139" s="300"/>
      <c r="I139" s="301"/>
    </row>
    <row r="140" spans="2:15" x14ac:dyDescent="0.3">
      <c r="B140" s="43">
        <v>42767</v>
      </c>
      <c r="C140" s="30" t="s">
        <v>9</v>
      </c>
      <c r="D140" s="30" t="s">
        <v>1765</v>
      </c>
      <c r="E140" s="30">
        <v>370</v>
      </c>
      <c r="F140" s="30">
        <v>420</v>
      </c>
      <c r="G140" s="30">
        <v>50</v>
      </c>
      <c r="H140" s="30">
        <v>160</v>
      </c>
      <c r="I140" s="30">
        <v>8000</v>
      </c>
    </row>
    <row r="141" spans="2:15" ht="18" x14ac:dyDescent="0.35">
      <c r="B141" s="43">
        <v>42768</v>
      </c>
      <c r="C141" s="30" t="s">
        <v>9</v>
      </c>
      <c r="D141" s="30" t="s">
        <v>1871</v>
      </c>
      <c r="E141" s="30">
        <v>270</v>
      </c>
      <c r="F141" s="30">
        <v>325</v>
      </c>
      <c r="G141" s="30">
        <v>55</v>
      </c>
      <c r="H141" s="30">
        <v>160</v>
      </c>
      <c r="I141" s="30">
        <v>8800</v>
      </c>
      <c r="K141" s="100"/>
      <c r="L141" s="100"/>
      <c r="M141" s="100"/>
      <c r="N141" s="100"/>
      <c r="O141" s="100"/>
    </row>
    <row r="142" spans="2:15" x14ac:dyDescent="0.3">
      <c r="B142" s="43">
        <v>42769</v>
      </c>
      <c r="C142" s="30" t="s">
        <v>9</v>
      </c>
      <c r="D142" s="30" t="s">
        <v>1986</v>
      </c>
      <c r="E142" s="30">
        <v>290</v>
      </c>
      <c r="F142" s="30">
        <v>230</v>
      </c>
      <c r="G142" s="30">
        <v>-60</v>
      </c>
      <c r="H142" s="30">
        <v>160</v>
      </c>
      <c r="I142" s="30">
        <v>-9600</v>
      </c>
      <c r="L142" s="30"/>
    </row>
    <row r="143" spans="2:15" x14ac:dyDescent="0.3">
      <c r="B143" s="43">
        <v>42772</v>
      </c>
      <c r="C143" s="30" t="s">
        <v>9</v>
      </c>
      <c r="D143" s="30" t="s">
        <v>1997</v>
      </c>
      <c r="E143" s="30">
        <v>330</v>
      </c>
      <c r="F143" s="30">
        <v>300</v>
      </c>
      <c r="G143" s="30">
        <v>-30</v>
      </c>
      <c r="H143" s="30">
        <v>160</v>
      </c>
      <c r="I143" s="30">
        <v>-4800</v>
      </c>
      <c r="K143" s="10" t="s">
        <v>2008</v>
      </c>
      <c r="L143" s="30"/>
    </row>
    <row r="144" spans="2:15" x14ac:dyDescent="0.3">
      <c r="B144" s="43">
        <v>42773</v>
      </c>
      <c r="C144" s="30" t="s">
        <v>9</v>
      </c>
      <c r="D144" s="30" t="s">
        <v>1998</v>
      </c>
      <c r="E144" s="30">
        <v>285</v>
      </c>
      <c r="F144" s="30">
        <v>310</v>
      </c>
      <c r="G144" s="30">
        <v>25</v>
      </c>
      <c r="H144" s="30">
        <v>160</v>
      </c>
      <c r="I144" s="30">
        <v>4000</v>
      </c>
      <c r="L144" s="30"/>
    </row>
    <row r="145" spans="2:12" x14ac:dyDescent="0.3">
      <c r="B145" s="43">
        <v>42774</v>
      </c>
      <c r="C145" s="30" t="s">
        <v>9</v>
      </c>
      <c r="D145" s="30" t="s">
        <v>1998</v>
      </c>
      <c r="E145" s="30">
        <v>290</v>
      </c>
      <c r="F145" s="30">
        <v>380</v>
      </c>
      <c r="G145" s="30">
        <v>90</v>
      </c>
      <c r="H145" s="30">
        <v>160</v>
      </c>
      <c r="I145" s="30">
        <v>14400</v>
      </c>
      <c r="L145" s="30"/>
    </row>
    <row r="146" spans="2:12" x14ac:dyDescent="0.3">
      <c r="B146" s="43">
        <v>42775</v>
      </c>
      <c r="C146" s="30" t="s">
        <v>9</v>
      </c>
      <c r="D146" s="30" t="s">
        <v>1998</v>
      </c>
      <c r="E146" s="30">
        <v>240</v>
      </c>
      <c r="F146" s="30">
        <v>400</v>
      </c>
      <c r="G146" s="30">
        <v>160</v>
      </c>
      <c r="H146" s="30">
        <v>160</v>
      </c>
      <c r="I146" s="30">
        <v>25600</v>
      </c>
      <c r="L146" s="30"/>
    </row>
    <row r="147" spans="2:12" x14ac:dyDescent="0.3">
      <c r="B147" s="43">
        <v>42776</v>
      </c>
      <c r="C147" s="30" t="s">
        <v>9</v>
      </c>
      <c r="D147" s="30" t="s">
        <v>1998</v>
      </c>
      <c r="E147" s="30">
        <v>280</v>
      </c>
      <c r="F147" s="30">
        <v>315</v>
      </c>
      <c r="G147" s="30">
        <v>35</v>
      </c>
      <c r="H147" s="30">
        <v>160</v>
      </c>
      <c r="I147" s="30">
        <v>5600</v>
      </c>
      <c r="L147" s="30"/>
    </row>
    <row r="148" spans="2:12" x14ac:dyDescent="0.3">
      <c r="B148" s="43">
        <v>42779</v>
      </c>
      <c r="C148" s="30" t="s">
        <v>9</v>
      </c>
      <c r="D148" s="30" t="s">
        <v>1998</v>
      </c>
      <c r="E148" s="30">
        <v>250</v>
      </c>
      <c r="F148" s="30">
        <v>345</v>
      </c>
      <c r="G148" s="30">
        <v>95</v>
      </c>
      <c r="H148" s="30">
        <v>160</v>
      </c>
      <c r="I148" s="30">
        <v>15200</v>
      </c>
    </row>
    <row r="149" spans="2:12" x14ac:dyDescent="0.3">
      <c r="B149" s="43">
        <v>42780</v>
      </c>
      <c r="C149" s="30" t="s">
        <v>9</v>
      </c>
      <c r="D149" s="30" t="s">
        <v>1998</v>
      </c>
      <c r="E149" s="30">
        <v>270</v>
      </c>
      <c r="F149" s="30">
        <v>300</v>
      </c>
      <c r="G149" s="30">
        <v>30</v>
      </c>
      <c r="H149" s="30">
        <v>160</v>
      </c>
      <c r="I149" s="30">
        <v>4800</v>
      </c>
    </row>
    <row r="150" spans="2:12" x14ac:dyDescent="0.3">
      <c r="B150" s="43">
        <v>42781</v>
      </c>
      <c r="C150" s="30" t="s">
        <v>9</v>
      </c>
      <c r="D150" s="30" t="s">
        <v>1998</v>
      </c>
      <c r="E150" s="30">
        <v>200</v>
      </c>
      <c r="F150" s="30">
        <v>300</v>
      </c>
      <c r="G150" s="30">
        <v>100</v>
      </c>
      <c r="H150" s="30">
        <v>160</v>
      </c>
      <c r="I150" s="30">
        <v>16000</v>
      </c>
    </row>
    <row r="151" spans="2:12" x14ac:dyDescent="0.3">
      <c r="B151" s="43">
        <v>42782</v>
      </c>
      <c r="C151" s="30" t="s">
        <v>9</v>
      </c>
      <c r="D151" s="30" t="s">
        <v>1998</v>
      </c>
      <c r="E151" s="30">
        <v>320</v>
      </c>
      <c r="F151" s="30">
        <v>240</v>
      </c>
      <c r="G151" s="30">
        <v>-80</v>
      </c>
      <c r="H151" s="30">
        <v>160</v>
      </c>
      <c r="I151" s="30">
        <v>-12800</v>
      </c>
    </row>
    <row r="152" spans="2:12" x14ac:dyDescent="0.3">
      <c r="B152" s="43">
        <v>42786</v>
      </c>
      <c r="C152" s="30" t="s">
        <v>9</v>
      </c>
      <c r="D152" s="30" t="s">
        <v>2013</v>
      </c>
      <c r="E152" s="30">
        <v>140</v>
      </c>
      <c r="F152" s="30">
        <v>110</v>
      </c>
      <c r="G152" s="30">
        <v>-30</v>
      </c>
      <c r="H152" s="30">
        <v>160</v>
      </c>
      <c r="I152" s="30">
        <v>-4800</v>
      </c>
    </row>
    <row r="153" spans="2:12" x14ac:dyDescent="0.3">
      <c r="B153" s="43">
        <v>42787</v>
      </c>
      <c r="C153" s="30" t="s">
        <v>9</v>
      </c>
      <c r="D153" s="30" t="s">
        <v>2014</v>
      </c>
      <c r="E153" s="30">
        <v>140</v>
      </c>
      <c r="F153" s="30">
        <v>80</v>
      </c>
      <c r="G153" s="30">
        <v>-60</v>
      </c>
      <c r="H153" s="30">
        <v>160</v>
      </c>
      <c r="I153" s="30">
        <v>-9600</v>
      </c>
    </row>
    <row r="154" spans="2:12" x14ac:dyDescent="0.3">
      <c r="B154" s="43">
        <v>42788</v>
      </c>
      <c r="C154" s="30" t="s">
        <v>9</v>
      </c>
      <c r="D154" s="30" t="s">
        <v>2015</v>
      </c>
      <c r="E154" s="30">
        <v>150</v>
      </c>
      <c r="F154" s="30">
        <v>110</v>
      </c>
      <c r="G154" s="30">
        <v>-40</v>
      </c>
      <c r="H154" s="30">
        <v>160</v>
      </c>
      <c r="I154" s="30">
        <v>-6400</v>
      </c>
    </row>
    <row r="155" spans="2:12" x14ac:dyDescent="0.3">
      <c r="B155" s="43">
        <v>42789</v>
      </c>
      <c r="C155" s="30" t="s">
        <v>9</v>
      </c>
      <c r="D155" s="30" t="s">
        <v>2016</v>
      </c>
      <c r="E155" s="30">
        <v>60</v>
      </c>
      <c r="F155" s="30">
        <v>20</v>
      </c>
      <c r="G155" s="30">
        <v>-40</v>
      </c>
      <c r="H155" s="30">
        <v>160</v>
      </c>
      <c r="I155" s="30">
        <v>-6400</v>
      </c>
    </row>
    <row r="156" spans="2:12" x14ac:dyDescent="0.3">
      <c r="B156" s="43">
        <v>42793</v>
      </c>
      <c r="C156" s="30" t="s">
        <v>9</v>
      </c>
      <c r="D156" s="30" t="s">
        <v>2017</v>
      </c>
      <c r="E156" s="30">
        <v>400</v>
      </c>
      <c r="F156" s="30">
        <v>445</v>
      </c>
      <c r="G156" s="30">
        <v>45</v>
      </c>
      <c r="H156" s="30">
        <v>160</v>
      </c>
      <c r="I156" s="30">
        <v>7200</v>
      </c>
    </row>
    <row r="157" spans="2:12" x14ac:dyDescent="0.3">
      <c r="B157" s="43">
        <v>42794</v>
      </c>
      <c r="C157" s="30" t="s">
        <v>9</v>
      </c>
      <c r="D157" s="30" t="s">
        <v>2014</v>
      </c>
      <c r="E157" s="30">
        <v>380</v>
      </c>
      <c r="F157" s="30">
        <v>410</v>
      </c>
      <c r="G157" s="30">
        <v>30</v>
      </c>
      <c r="H157" s="30">
        <v>160</v>
      </c>
      <c r="I157" s="30">
        <v>4800</v>
      </c>
    </row>
    <row r="158" spans="2:12" x14ac:dyDescent="0.3">
      <c r="B158" s="43"/>
      <c r="C158" s="30"/>
      <c r="D158" s="30"/>
      <c r="E158" s="30"/>
      <c r="F158" s="30"/>
      <c r="G158" s="30"/>
      <c r="H158" s="30"/>
      <c r="I158" s="30"/>
    </row>
    <row r="159" spans="2:12" ht="18" x14ac:dyDescent="0.35">
      <c r="C159" s="30"/>
      <c r="D159" s="30"/>
      <c r="E159" s="30"/>
      <c r="F159" s="30"/>
      <c r="G159" s="30"/>
      <c r="H159" s="30"/>
      <c r="I159" s="72">
        <v>60000</v>
      </c>
    </row>
    <row r="161" spans="1:15" s="131" customFormat="1" ht="18" x14ac:dyDescent="0.35">
      <c r="B161" s="299" t="s">
        <v>1076</v>
      </c>
      <c r="C161" s="300"/>
      <c r="D161" s="300"/>
      <c r="E161" s="300"/>
      <c r="F161" s="300"/>
      <c r="G161" s="300"/>
      <c r="H161" s="300"/>
      <c r="I161" s="301"/>
      <c r="K161" s="130"/>
      <c r="L161" s="130"/>
      <c r="M161" s="130"/>
      <c r="N161" s="130"/>
      <c r="O161" s="130"/>
    </row>
    <row r="162" spans="1:15" x14ac:dyDescent="0.3">
      <c r="B162" s="43">
        <v>42767</v>
      </c>
      <c r="C162" s="30" t="s">
        <v>9</v>
      </c>
      <c r="D162" s="30" t="s">
        <v>1987</v>
      </c>
      <c r="E162" s="30">
        <v>13</v>
      </c>
      <c r="F162" s="30">
        <v>17</v>
      </c>
      <c r="G162" s="30">
        <v>4</v>
      </c>
      <c r="H162" s="30">
        <v>3000</v>
      </c>
      <c r="I162" s="30">
        <v>12000</v>
      </c>
    </row>
    <row r="163" spans="1:15" x14ac:dyDescent="0.3">
      <c r="B163" s="43">
        <v>42768</v>
      </c>
      <c r="C163" s="30" t="s">
        <v>9</v>
      </c>
      <c r="D163" s="30" t="s">
        <v>1988</v>
      </c>
      <c r="E163" s="30">
        <v>30</v>
      </c>
      <c r="F163" s="30">
        <v>26.5</v>
      </c>
      <c r="G163" s="30">
        <v>-3.5</v>
      </c>
      <c r="H163" s="30">
        <v>600</v>
      </c>
      <c r="I163" s="30">
        <v>-2100</v>
      </c>
    </row>
    <row r="164" spans="1:15" x14ac:dyDescent="0.3">
      <c r="B164" s="43">
        <v>42769</v>
      </c>
      <c r="C164" s="30" t="s">
        <v>9</v>
      </c>
      <c r="D164" s="30" t="s">
        <v>1989</v>
      </c>
      <c r="E164" s="30">
        <v>10</v>
      </c>
      <c r="F164" s="30">
        <v>12.5</v>
      </c>
      <c r="G164" s="30">
        <v>2.5</v>
      </c>
      <c r="H164" s="30">
        <v>3500</v>
      </c>
      <c r="I164" s="30">
        <v>8750</v>
      </c>
    </row>
    <row r="165" spans="1:15" x14ac:dyDescent="0.3">
      <c r="B165" s="43">
        <v>42772</v>
      </c>
      <c r="C165" s="30" t="s">
        <v>9</v>
      </c>
      <c r="D165" s="30" t="s">
        <v>1999</v>
      </c>
      <c r="E165" s="30">
        <v>11.5</v>
      </c>
      <c r="F165" s="30">
        <v>10.5</v>
      </c>
      <c r="G165" s="30">
        <v>-1</v>
      </c>
      <c r="H165" s="30">
        <v>1200</v>
      </c>
      <c r="I165" s="30">
        <v>-1200</v>
      </c>
    </row>
    <row r="166" spans="1:15" x14ac:dyDescent="0.3">
      <c r="B166" s="43">
        <v>42773</v>
      </c>
      <c r="C166" s="30" t="s">
        <v>9</v>
      </c>
      <c r="D166" s="30" t="s">
        <v>2000</v>
      </c>
      <c r="E166" s="30">
        <v>33</v>
      </c>
      <c r="F166" s="30">
        <v>36</v>
      </c>
      <c r="G166" s="30">
        <v>3</v>
      </c>
      <c r="H166" s="30">
        <v>700</v>
      </c>
      <c r="I166" s="30">
        <v>2100</v>
      </c>
    </row>
    <row r="167" spans="1:15" x14ac:dyDescent="0.3">
      <c r="B167" s="43">
        <v>42775</v>
      </c>
      <c r="C167" s="30" t="s">
        <v>9</v>
      </c>
      <c r="D167" s="30" t="s">
        <v>2001</v>
      </c>
      <c r="E167" s="30">
        <v>6.5</v>
      </c>
      <c r="F167" s="30">
        <v>9.6</v>
      </c>
      <c r="G167" s="30">
        <v>3.1</v>
      </c>
      <c r="H167" s="30">
        <v>2500</v>
      </c>
      <c r="I167" s="30">
        <v>7750</v>
      </c>
    </row>
    <row r="168" spans="1:15" x14ac:dyDescent="0.3">
      <c r="B168" s="43">
        <v>42776</v>
      </c>
      <c r="C168" s="30" t="s">
        <v>9</v>
      </c>
      <c r="D168" s="30" t="s">
        <v>2001</v>
      </c>
      <c r="E168" s="30">
        <v>7</v>
      </c>
      <c r="F168" s="30">
        <v>7</v>
      </c>
      <c r="G168" s="30">
        <v>0</v>
      </c>
      <c r="H168" s="30">
        <v>2500</v>
      </c>
      <c r="I168" s="30">
        <v>0</v>
      </c>
    </row>
    <row r="169" spans="1:15" x14ac:dyDescent="0.3">
      <c r="B169" s="43">
        <v>42779</v>
      </c>
      <c r="C169" s="30" t="s">
        <v>9</v>
      </c>
      <c r="D169" s="30" t="s">
        <v>1562</v>
      </c>
      <c r="E169" s="30">
        <v>20</v>
      </c>
      <c r="F169" s="30">
        <v>28</v>
      </c>
      <c r="G169" s="30">
        <v>8</v>
      </c>
      <c r="H169" s="30">
        <v>500</v>
      </c>
      <c r="I169" s="30">
        <v>4000</v>
      </c>
    </row>
    <row r="170" spans="1:15" x14ac:dyDescent="0.3">
      <c r="B170" s="43">
        <v>42780</v>
      </c>
      <c r="C170" s="30" t="s">
        <v>9</v>
      </c>
      <c r="D170" s="30" t="s">
        <v>2005</v>
      </c>
      <c r="E170" s="30">
        <v>24</v>
      </c>
      <c r="F170" s="30">
        <v>30</v>
      </c>
      <c r="G170" s="30">
        <v>6</v>
      </c>
      <c r="H170" s="30">
        <v>700</v>
      </c>
      <c r="I170" s="30">
        <v>4200</v>
      </c>
    </row>
    <row r="171" spans="1:15" x14ac:dyDescent="0.3">
      <c r="B171" s="43">
        <v>42781</v>
      </c>
      <c r="C171" s="30" t="s">
        <v>9</v>
      </c>
      <c r="D171" s="30" t="s">
        <v>1989</v>
      </c>
      <c r="E171" s="30">
        <v>5.5</v>
      </c>
      <c r="F171" s="30">
        <v>9.5</v>
      </c>
      <c r="G171" s="30">
        <v>4</v>
      </c>
      <c r="H171" s="30">
        <v>3500</v>
      </c>
      <c r="I171" s="30">
        <v>14000</v>
      </c>
    </row>
    <row r="172" spans="1:15" x14ac:dyDescent="0.3">
      <c r="B172" s="43">
        <v>42782</v>
      </c>
      <c r="C172" s="30" t="s">
        <v>9</v>
      </c>
      <c r="D172" s="30" t="s">
        <v>2006</v>
      </c>
      <c r="E172" s="30">
        <v>5.5</v>
      </c>
      <c r="F172" s="30">
        <v>6.5</v>
      </c>
      <c r="G172" s="30">
        <v>1</v>
      </c>
      <c r="H172" s="30">
        <v>3000</v>
      </c>
      <c r="I172" s="30">
        <v>3000</v>
      </c>
    </row>
    <row r="173" spans="1:15" x14ac:dyDescent="0.3">
      <c r="B173" s="43">
        <v>42783</v>
      </c>
      <c r="C173" s="30" t="s">
        <v>9</v>
      </c>
      <c r="D173" s="30" t="s">
        <v>2007</v>
      </c>
      <c r="E173" s="30">
        <v>4.5</v>
      </c>
      <c r="F173" s="30">
        <v>3.8</v>
      </c>
      <c r="G173" s="30">
        <v>-0.7</v>
      </c>
      <c r="H173" s="30">
        <v>3000</v>
      </c>
      <c r="I173" s="30">
        <v>-2100</v>
      </c>
    </row>
    <row r="174" spans="1:15" x14ac:dyDescent="0.3">
      <c r="B174" s="43">
        <v>42786</v>
      </c>
      <c r="C174" s="30" t="s">
        <v>9</v>
      </c>
      <c r="D174" s="30" t="s">
        <v>2018</v>
      </c>
      <c r="E174" s="30">
        <v>20</v>
      </c>
      <c r="F174" s="30">
        <v>15</v>
      </c>
      <c r="G174" s="30">
        <v>-5</v>
      </c>
      <c r="H174" s="30">
        <v>500</v>
      </c>
      <c r="I174" s="30">
        <v>-2500</v>
      </c>
    </row>
    <row r="175" spans="1:15" s="30" customFormat="1" x14ac:dyDescent="0.3">
      <c r="A175" s="9"/>
      <c r="B175" s="43">
        <v>42787</v>
      </c>
      <c r="C175" s="30" t="s">
        <v>9</v>
      </c>
      <c r="D175" s="30" t="s">
        <v>2019</v>
      </c>
      <c r="E175" s="30">
        <v>9</v>
      </c>
      <c r="F175" s="30">
        <v>12</v>
      </c>
      <c r="G175" s="30">
        <v>3</v>
      </c>
      <c r="H175" s="30">
        <v>2100</v>
      </c>
      <c r="I175" s="30">
        <v>6300</v>
      </c>
      <c r="J175" s="9"/>
    </row>
    <row r="176" spans="1:15" s="30" customFormat="1" x14ac:dyDescent="0.3">
      <c r="A176" s="9"/>
      <c r="B176" s="43">
        <v>42788</v>
      </c>
      <c r="C176" s="30" t="s">
        <v>9</v>
      </c>
      <c r="D176" s="30" t="s">
        <v>2019</v>
      </c>
      <c r="E176" s="30">
        <v>8</v>
      </c>
      <c r="F176" s="30">
        <v>5</v>
      </c>
      <c r="G176" s="30">
        <v>-3</v>
      </c>
      <c r="H176" s="30">
        <v>2100</v>
      </c>
      <c r="I176" s="30">
        <v>-6300</v>
      </c>
      <c r="J176" s="9"/>
    </row>
    <row r="177" spans="1:10" s="30" customFormat="1" x14ac:dyDescent="0.3">
      <c r="A177" s="9"/>
      <c r="B177" s="43">
        <v>42793</v>
      </c>
      <c r="C177" s="30" t="s">
        <v>9</v>
      </c>
      <c r="D177" s="30" t="s">
        <v>1845</v>
      </c>
      <c r="E177" s="30">
        <v>20</v>
      </c>
      <c r="F177" s="30">
        <v>23.5</v>
      </c>
      <c r="G177" s="30">
        <v>3.5</v>
      </c>
      <c r="H177" s="30">
        <v>1200</v>
      </c>
      <c r="I177" s="30">
        <v>4200</v>
      </c>
      <c r="J177" s="9"/>
    </row>
    <row r="178" spans="1:10" s="30" customFormat="1" x14ac:dyDescent="0.3">
      <c r="A178" s="9"/>
      <c r="B178" s="43">
        <v>42794</v>
      </c>
      <c r="C178" s="30" t="s">
        <v>9</v>
      </c>
      <c r="D178" s="30" t="s">
        <v>2020</v>
      </c>
      <c r="E178" s="30">
        <v>19</v>
      </c>
      <c r="F178" s="30">
        <v>17.600000000000001</v>
      </c>
      <c r="G178" s="30">
        <v>-1.4</v>
      </c>
      <c r="H178" s="30">
        <v>1500</v>
      </c>
      <c r="I178" s="30">
        <v>-2100</v>
      </c>
      <c r="J178" s="9"/>
    </row>
    <row r="179" spans="1:10" s="30" customFormat="1" x14ac:dyDescent="0.3">
      <c r="A179" s="9"/>
      <c r="B179" s="43"/>
      <c r="J179" s="9"/>
    </row>
    <row r="180" spans="1:10" ht="18" x14ac:dyDescent="0.35">
      <c r="I180" s="72">
        <v>50000</v>
      </c>
    </row>
    <row r="181" spans="1:10" x14ac:dyDescent="0.3">
      <c r="B181" s="43"/>
    </row>
    <row r="182" spans="1:10" x14ac:dyDescent="0.3">
      <c r="B182" s="43"/>
    </row>
  </sheetData>
  <mergeCells count="5">
    <mergeCell ref="B139:I139"/>
    <mergeCell ref="B161:I161"/>
    <mergeCell ref="B1:I1"/>
    <mergeCell ref="B2:I2"/>
    <mergeCell ref="B3:I3"/>
  </mergeCells>
  <hyperlinks>
    <hyperlink ref="K2" location="'MASTER '!A1" display="Back" xr:uid="{00000000-0004-0000-2E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202"/>
  <sheetViews>
    <sheetView topLeftCell="A13" workbookViewId="0">
      <selection activeCell="G62" sqref="G6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2021</v>
      </c>
      <c r="C3" s="284"/>
      <c r="D3" s="284"/>
      <c r="E3" s="284"/>
      <c r="F3" s="284"/>
      <c r="G3" s="284"/>
      <c r="H3" s="284"/>
      <c r="I3" s="284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37" t="s">
        <v>449</v>
      </c>
      <c r="L5" s="30">
        <v>44</v>
      </c>
      <c r="M5" s="30">
        <v>35</v>
      </c>
      <c r="N5" s="30">
        <v>9</v>
      </c>
      <c r="O5" s="30">
        <v>0</v>
      </c>
    </row>
    <row r="6" spans="1:15" x14ac:dyDescent="0.3">
      <c r="B6" s="43">
        <v>42795</v>
      </c>
      <c r="C6" s="2" t="s">
        <v>9</v>
      </c>
      <c r="D6" s="2" t="s">
        <v>192</v>
      </c>
      <c r="E6" s="90" t="s">
        <v>2022</v>
      </c>
      <c r="F6" s="91" t="s">
        <v>1866</v>
      </c>
      <c r="G6" s="91" t="s">
        <v>1269</v>
      </c>
      <c r="H6" s="92">
        <v>1000</v>
      </c>
      <c r="I6" s="93">
        <v>-3000</v>
      </c>
      <c r="K6" s="137"/>
      <c r="L6" s="30"/>
      <c r="M6" s="30"/>
      <c r="N6" s="30"/>
      <c r="O6" s="30"/>
    </row>
    <row r="7" spans="1:15" x14ac:dyDescent="0.3">
      <c r="B7" s="43">
        <v>42795</v>
      </c>
      <c r="C7" s="2" t="s">
        <v>8</v>
      </c>
      <c r="D7" s="2" t="s">
        <v>2023</v>
      </c>
      <c r="E7" s="41" t="s">
        <v>1330</v>
      </c>
      <c r="F7" s="40" t="s">
        <v>1093</v>
      </c>
      <c r="G7" s="40" t="s">
        <v>952</v>
      </c>
      <c r="H7" s="92">
        <v>272.72727272727275</v>
      </c>
      <c r="I7" s="93">
        <v>2690</v>
      </c>
      <c r="K7" s="137" t="s">
        <v>450</v>
      </c>
      <c r="L7" s="30">
        <v>22</v>
      </c>
      <c r="M7" s="30">
        <v>16</v>
      </c>
      <c r="N7" s="30">
        <v>5</v>
      </c>
      <c r="O7" s="30">
        <v>1</v>
      </c>
    </row>
    <row r="8" spans="1:15" x14ac:dyDescent="0.3">
      <c r="B8" s="43">
        <v>42796</v>
      </c>
      <c r="C8" s="2" t="s">
        <v>9</v>
      </c>
      <c r="D8" s="2" t="s">
        <v>2024</v>
      </c>
      <c r="E8" s="41" t="s">
        <v>1843</v>
      </c>
      <c r="F8" s="40" t="s">
        <v>594</v>
      </c>
      <c r="G8" s="40" t="s">
        <v>908</v>
      </c>
      <c r="H8" s="92">
        <v>925.92592592592598</v>
      </c>
      <c r="I8" s="93">
        <v>1851.851851851852</v>
      </c>
      <c r="K8" s="137"/>
      <c r="L8" s="30"/>
      <c r="M8" s="30"/>
      <c r="N8" s="30"/>
      <c r="O8" s="30"/>
    </row>
    <row r="9" spans="1:15" x14ac:dyDescent="0.3">
      <c r="B9" s="43">
        <v>42796</v>
      </c>
      <c r="C9" s="2" t="s">
        <v>8</v>
      </c>
      <c r="D9" s="2" t="s">
        <v>2023</v>
      </c>
      <c r="E9" s="41" t="s">
        <v>1259</v>
      </c>
      <c r="F9" s="40" t="s">
        <v>2025</v>
      </c>
      <c r="G9" s="40" t="s">
        <v>952</v>
      </c>
      <c r="H9" s="92">
        <v>279.06976744186045</v>
      </c>
      <c r="I9" s="93">
        <v>5581.395348837209</v>
      </c>
      <c r="K9" s="137" t="s">
        <v>451</v>
      </c>
      <c r="L9" s="30">
        <v>22</v>
      </c>
      <c r="M9" s="30">
        <v>17</v>
      </c>
      <c r="N9" s="30">
        <v>2</v>
      </c>
      <c r="O9" s="30">
        <v>3</v>
      </c>
    </row>
    <row r="10" spans="1:15" x14ac:dyDescent="0.3">
      <c r="B10" s="43">
        <v>42797</v>
      </c>
      <c r="C10" s="2" t="s">
        <v>9</v>
      </c>
      <c r="D10" s="2" t="s">
        <v>91</v>
      </c>
      <c r="E10" s="41" t="s">
        <v>2026</v>
      </c>
      <c r="F10" s="40" t="s">
        <v>1716</v>
      </c>
      <c r="G10" s="40" t="s">
        <v>1037</v>
      </c>
      <c r="H10" s="92">
        <v>694.44444444444446</v>
      </c>
      <c r="I10" s="93">
        <v>-4166.666666666667</v>
      </c>
      <c r="K10" s="137"/>
      <c r="M10" s="30"/>
      <c r="N10" s="30"/>
      <c r="O10" s="30"/>
    </row>
    <row r="11" spans="1:15" x14ac:dyDescent="0.3">
      <c r="B11" s="43">
        <v>42797</v>
      </c>
      <c r="C11" s="2" t="s">
        <v>8</v>
      </c>
      <c r="D11" s="2" t="s">
        <v>192</v>
      </c>
      <c r="E11" s="41" t="s">
        <v>870</v>
      </c>
      <c r="F11" s="40" t="s">
        <v>1344</v>
      </c>
      <c r="G11" s="40" t="s">
        <v>1120</v>
      </c>
      <c r="H11" s="92">
        <v>1038.0622837370242</v>
      </c>
      <c r="I11" s="93">
        <v>1557.0934256055364</v>
      </c>
      <c r="K11" s="137" t="s">
        <v>1176</v>
      </c>
      <c r="L11" s="30">
        <v>22</v>
      </c>
      <c r="M11" s="30">
        <v>14</v>
      </c>
      <c r="N11" s="30">
        <v>6</v>
      </c>
      <c r="O11" s="30">
        <v>2</v>
      </c>
    </row>
    <row r="12" spans="1:15" x14ac:dyDescent="0.3">
      <c r="B12" s="43">
        <v>42800</v>
      </c>
      <c r="C12" s="2" t="s">
        <v>9</v>
      </c>
      <c r="D12" s="2" t="s">
        <v>371</v>
      </c>
      <c r="E12" s="41" t="s">
        <v>2027</v>
      </c>
      <c r="F12" s="40" t="s">
        <v>870</v>
      </c>
      <c r="G12" s="40" t="s">
        <v>1269</v>
      </c>
      <c r="H12" s="92">
        <v>1027.3972602739725</v>
      </c>
      <c r="I12" s="93">
        <v>-3082.1917808219177</v>
      </c>
      <c r="K12" s="96"/>
      <c r="L12" s="30"/>
      <c r="M12" s="30"/>
      <c r="N12" s="30"/>
      <c r="O12" s="30"/>
    </row>
    <row r="13" spans="1:15" x14ac:dyDescent="0.3">
      <c r="B13" s="43">
        <v>42800</v>
      </c>
      <c r="C13" s="2" t="s">
        <v>8</v>
      </c>
      <c r="D13" s="2" t="s">
        <v>2023</v>
      </c>
      <c r="E13" s="41" t="s">
        <v>2028</v>
      </c>
      <c r="F13" s="40" t="s">
        <v>1200</v>
      </c>
      <c r="G13" s="40" t="s">
        <v>951</v>
      </c>
      <c r="H13" s="92">
        <v>287.08133971291863</v>
      </c>
      <c r="I13" s="93">
        <v>4306.2200956937795</v>
      </c>
      <c r="K13" s="137" t="s">
        <v>41</v>
      </c>
      <c r="L13" s="30">
        <v>22</v>
      </c>
      <c r="M13" s="30">
        <v>16</v>
      </c>
      <c r="N13" s="30">
        <v>3</v>
      </c>
      <c r="O13" s="30">
        <v>3</v>
      </c>
    </row>
    <row r="14" spans="1:15" x14ac:dyDescent="0.3">
      <c r="B14" s="43">
        <v>42801</v>
      </c>
      <c r="C14" s="2" t="s">
        <v>9</v>
      </c>
      <c r="D14" s="2" t="s">
        <v>275</v>
      </c>
      <c r="E14" s="41" t="s">
        <v>2029</v>
      </c>
      <c r="F14" s="40" t="s">
        <v>2030</v>
      </c>
      <c r="G14" s="40" t="s">
        <v>908</v>
      </c>
      <c r="H14" s="92">
        <v>464.39628482972137</v>
      </c>
      <c r="I14" s="93">
        <v>928.79256965944273</v>
      </c>
      <c r="K14" s="137"/>
      <c r="L14" s="30"/>
      <c r="M14" s="30"/>
      <c r="N14" s="30"/>
      <c r="O14" s="30"/>
    </row>
    <row r="15" spans="1:15" x14ac:dyDescent="0.3">
      <c r="B15" s="43">
        <v>42801</v>
      </c>
      <c r="C15" s="2" t="s">
        <v>8</v>
      </c>
      <c r="D15" s="2" t="s">
        <v>139</v>
      </c>
      <c r="E15" s="41" t="s">
        <v>2031</v>
      </c>
      <c r="F15" s="40" t="s">
        <v>2032</v>
      </c>
      <c r="G15" s="40" t="s">
        <v>1341</v>
      </c>
      <c r="H15" s="92">
        <v>207.18232044198896</v>
      </c>
      <c r="I15" s="93">
        <v>1243.0939226519338</v>
      </c>
      <c r="K15" s="137" t="s">
        <v>1175</v>
      </c>
      <c r="L15" s="30">
        <v>22</v>
      </c>
      <c r="M15" s="30">
        <v>13</v>
      </c>
      <c r="N15" s="30">
        <v>6</v>
      </c>
      <c r="O15" s="30">
        <v>3</v>
      </c>
    </row>
    <row r="16" spans="1:15" x14ac:dyDescent="0.3">
      <c r="B16" s="43">
        <v>42802</v>
      </c>
      <c r="C16" s="2" t="s">
        <v>9</v>
      </c>
      <c r="D16" s="2" t="s">
        <v>129</v>
      </c>
      <c r="E16" s="41" t="s">
        <v>1937</v>
      </c>
      <c r="F16" s="40" t="s">
        <v>2033</v>
      </c>
      <c r="G16" s="40" t="s">
        <v>1037</v>
      </c>
      <c r="H16" s="92">
        <v>218.18181818181819</v>
      </c>
      <c r="I16" s="93">
        <v>-1309.090909090909</v>
      </c>
      <c r="K16" s="137"/>
      <c r="L16" s="30"/>
      <c r="M16" s="30"/>
      <c r="N16" s="30"/>
      <c r="O16" s="30"/>
    </row>
    <row r="17" spans="2:15" x14ac:dyDescent="0.3">
      <c r="B17" s="43">
        <v>42802</v>
      </c>
      <c r="C17" s="2" t="s">
        <v>8</v>
      </c>
      <c r="D17" s="2" t="s">
        <v>939</v>
      </c>
      <c r="E17" s="41" t="s">
        <v>2034</v>
      </c>
      <c r="F17" s="40" t="s">
        <v>2035</v>
      </c>
      <c r="G17" s="40" t="s">
        <v>1784</v>
      </c>
      <c r="H17" s="92">
        <v>580.27079303675043</v>
      </c>
      <c r="I17" s="93">
        <v>1856.8665377176014</v>
      </c>
      <c r="K17" s="137" t="s">
        <v>1090</v>
      </c>
      <c r="L17" s="30">
        <v>22</v>
      </c>
      <c r="M17" s="30">
        <v>13</v>
      </c>
      <c r="N17" s="30">
        <v>6</v>
      </c>
      <c r="O17" s="30">
        <v>3</v>
      </c>
    </row>
    <row r="18" spans="2:15" x14ac:dyDescent="0.3">
      <c r="B18" s="43">
        <v>42803</v>
      </c>
      <c r="C18" s="2" t="s">
        <v>9</v>
      </c>
      <c r="D18" s="2" t="s">
        <v>2023</v>
      </c>
      <c r="E18" s="41" t="s">
        <v>1093</v>
      </c>
      <c r="F18" s="40" t="s">
        <v>2046</v>
      </c>
      <c r="G18" s="40" t="s">
        <v>951</v>
      </c>
      <c r="H18" s="92">
        <v>277.77777777777777</v>
      </c>
      <c r="I18" s="93">
        <v>4166.666666666667</v>
      </c>
      <c r="K18" s="96"/>
      <c r="L18" s="30"/>
      <c r="M18" s="30"/>
      <c r="N18" s="30"/>
      <c r="O18" s="30"/>
    </row>
    <row r="19" spans="2:15" x14ac:dyDescent="0.3">
      <c r="B19" s="43">
        <v>42803</v>
      </c>
      <c r="C19" s="2" t="s">
        <v>8</v>
      </c>
      <c r="D19" s="28" t="s">
        <v>78</v>
      </c>
      <c r="E19" s="30">
        <v>1467</v>
      </c>
      <c r="F19" s="30">
        <v>1480</v>
      </c>
      <c r="G19" s="30">
        <v>-13</v>
      </c>
      <c r="H19" s="92">
        <v>204.49897750511246</v>
      </c>
      <c r="I19" s="93">
        <v>-2658.486707566462</v>
      </c>
      <c r="K19" s="137" t="s">
        <v>946</v>
      </c>
      <c r="L19" s="21">
        <v>176</v>
      </c>
      <c r="M19" s="21">
        <v>124</v>
      </c>
      <c r="N19" s="21">
        <v>37</v>
      </c>
      <c r="O19" s="21">
        <v>15</v>
      </c>
    </row>
    <row r="20" spans="2:15" x14ac:dyDescent="0.3">
      <c r="B20" s="43">
        <v>42804</v>
      </c>
      <c r="C20" s="2" t="s">
        <v>9</v>
      </c>
      <c r="D20" s="28" t="s">
        <v>78</v>
      </c>
      <c r="E20" s="30">
        <v>1490</v>
      </c>
      <c r="F20" s="30">
        <v>1495</v>
      </c>
      <c r="G20" s="30">
        <v>5</v>
      </c>
      <c r="H20" s="92">
        <v>201.34228187919464</v>
      </c>
      <c r="I20" s="93">
        <v>1006.7114093959732</v>
      </c>
      <c r="L20" s="16"/>
    </row>
    <row r="21" spans="2:15" x14ac:dyDescent="0.3">
      <c r="B21" s="43">
        <v>42804</v>
      </c>
      <c r="C21" s="2" t="s">
        <v>8</v>
      </c>
      <c r="D21" s="28" t="s">
        <v>192</v>
      </c>
      <c r="E21" s="30">
        <v>286</v>
      </c>
      <c r="F21" s="30">
        <v>283</v>
      </c>
      <c r="G21" s="30">
        <v>3</v>
      </c>
      <c r="H21" s="92">
        <v>1048.951048951049</v>
      </c>
      <c r="I21" s="93">
        <v>3146.8531468531469</v>
      </c>
      <c r="L21" s="28"/>
      <c r="M21" s="30"/>
      <c r="N21" s="30"/>
      <c r="O21" s="30"/>
    </row>
    <row r="22" spans="2:15" x14ac:dyDescent="0.3">
      <c r="B22" s="43">
        <v>42808</v>
      </c>
      <c r="C22" s="2" t="s">
        <v>9</v>
      </c>
      <c r="D22" s="28" t="s">
        <v>834</v>
      </c>
      <c r="E22" s="30">
        <v>254</v>
      </c>
      <c r="F22" s="30">
        <v>257</v>
      </c>
      <c r="G22" s="30">
        <v>3</v>
      </c>
      <c r="H22" s="92">
        <v>1181.1023622047244</v>
      </c>
      <c r="I22" s="93">
        <v>3543.3070866141734</v>
      </c>
      <c r="L22" s="68" t="s">
        <v>1893</v>
      </c>
      <c r="M22" s="126">
        <v>0.71</v>
      </c>
      <c r="N22" s="126"/>
      <c r="O22" s="30"/>
    </row>
    <row r="23" spans="2:15" x14ac:dyDescent="0.3">
      <c r="B23" s="43">
        <v>42808</v>
      </c>
      <c r="C23" s="2" t="s">
        <v>8</v>
      </c>
      <c r="D23" s="28" t="s">
        <v>192</v>
      </c>
      <c r="E23" s="30">
        <v>287</v>
      </c>
      <c r="F23" s="30">
        <v>284.60000000000002</v>
      </c>
      <c r="G23" s="30">
        <v>2.4</v>
      </c>
      <c r="H23" s="92">
        <v>1045.2961672473868</v>
      </c>
      <c r="I23" s="93">
        <v>2508.7108013937282</v>
      </c>
      <c r="L23" s="68" t="s">
        <v>1894</v>
      </c>
      <c r="M23" s="83"/>
      <c r="N23" s="126"/>
      <c r="O23" s="30"/>
    </row>
    <row r="24" spans="2:15" x14ac:dyDescent="0.3">
      <c r="B24" s="43">
        <v>42809</v>
      </c>
      <c r="C24" s="2" t="s">
        <v>9</v>
      </c>
      <c r="D24" s="28" t="s">
        <v>192</v>
      </c>
      <c r="E24" s="30">
        <v>287</v>
      </c>
      <c r="F24" s="30">
        <v>291</v>
      </c>
      <c r="G24" s="30">
        <v>4</v>
      </c>
      <c r="H24" s="92">
        <v>1045.2961672473868</v>
      </c>
      <c r="I24" s="93">
        <v>4181.1846689895474</v>
      </c>
    </row>
    <row r="25" spans="2:15" x14ac:dyDescent="0.3">
      <c r="B25" s="43">
        <v>42809</v>
      </c>
      <c r="C25" s="2" t="s">
        <v>9</v>
      </c>
      <c r="D25" s="28" t="s">
        <v>2023</v>
      </c>
      <c r="E25" s="30">
        <v>1135</v>
      </c>
      <c r="F25" s="30">
        <v>1141</v>
      </c>
      <c r="G25" s="30">
        <v>6</v>
      </c>
      <c r="H25" s="92">
        <v>264.31718061674007</v>
      </c>
      <c r="I25" s="93">
        <v>1585.9030837004404</v>
      </c>
    </row>
    <row r="26" spans="2:15" x14ac:dyDescent="0.3">
      <c r="B26" s="43">
        <v>42810</v>
      </c>
      <c r="C26" s="2" t="s">
        <v>9</v>
      </c>
      <c r="D26" s="28" t="s">
        <v>834</v>
      </c>
      <c r="E26" s="30">
        <v>262</v>
      </c>
      <c r="F26" s="30">
        <v>265</v>
      </c>
      <c r="G26" s="30">
        <v>3</v>
      </c>
      <c r="H26" s="92">
        <v>1145.0381679389313</v>
      </c>
      <c r="I26" s="93">
        <v>3435.1145038167942</v>
      </c>
    </row>
    <row r="27" spans="2:15" x14ac:dyDescent="0.3">
      <c r="B27" s="43">
        <v>42810</v>
      </c>
      <c r="C27" s="2" t="s">
        <v>8</v>
      </c>
      <c r="D27" s="28" t="s">
        <v>2023</v>
      </c>
      <c r="E27" s="30">
        <v>1138</v>
      </c>
      <c r="F27" s="30">
        <v>1132</v>
      </c>
      <c r="G27" s="30">
        <v>6</v>
      </c>
      <c r="H27" s="92">
        <v>263.62038664323376</v>
      </c>
      <c r="I27" s="93">
        <v>1581.7223198594024</v>
      </c>
    </row>
    <row r="28" spans="2:15" x14ac:dyDescent="0.3">
      <c r="B28" s="43">
        <v>42811</v>
      </c>
      <c r="C28" s="2" t="s">
        <v>9</v>
      </c>
      <c r="D28" s="28" t="s">
        <v>834</v>
      </c>
      <c r="E28" s="30">
        <v>263.5</v>
      </c>
      <c r="F28" s="30">
        <v>265.2</v>
      </c>
      <c r="G28" s="30">
        <v>1.7</v>
      </c>
      <c r="H28" s="92">
        <v>1138.5199240986717</v>
      </c>
      <c r="I28" s="93">
        <v>1935.483870967742</v>
      </c>
    </row>
    <row r="29" spans="2:15" x14ac:dyDescent="0.3">
      <c r="B29" s="43">
        <v>42811</v>
      </c>
      <c r="C29" s="2" t="s">
        <v>8</v>
      </c>
      <c r="D29" s="28" t="s">
        <v>58</v>
      </c>
      <c r="E29" s="30">
        <v>515</v>
      </c>
      <c r="F29" s="30">
        <v>512</v>
      </c>
      <c r="G29" s="30">
        <v>3</v>
      </c>
      <c r="H29" s="92">
        <v>582.52427184466023</v>
      </c>
      <c r="I29" s="93">
        <v>1747.5728155339807</v>
      </c>
      <c r="L29" s="49"/>
      <c r="M29" s="30"/>
      <c r="N29" s="30"/>
      <c r="O29" s="30"/>
    </row>
    <row r="30" spans="2:15" x14ac:dyDescent="0.3">
      <c r="B30" s="43">
        <v>42814</v>
      </c>
      <c r="C30" s="2" t="s">
        <v>9</v>
      </c>
      <c r="D30" s="28" t="s">
        <v>531</v>
      </c>
      <c r="E30" s="30">
        <v>480</v>
      </c>
      <c r="F30" s="30">
        <v>475</v>
      </c>
      <c r="G30" s="30">
        <v>-5</v>
      </c>
      <c r="H30" s="92">
        <v>625</v>
      </c>
      <c r="I30" s="93">
        <v>-3125</v>
      </c>
      <c r="L30" s="49"/>
      <c r="M30" s="30"/>
      <c r="N30" s="30"/>
      <c r="O30" s="30"/>
    </row>
    <row r="31" spans="2:15" x14ac:dyDescent="0.3">
      <c r="B31" s="43">
        <v>42814</v>
      </c>
      <c r="C31" s="2" t="s">
        <v>8</v>
      </c>
      <c r="D31" s="28" t="s">
        <v>58</v>
      </c>
      <c r="E31" s="30">
        <v>510</v>
      </c>
      <c r="F31" s="30">
        <v>503</v>
      </c>
      <c r="G31" s="30">
        <v>7</v>
      </c>
      <c r="H31" s="92">
        <v>588.23529411764707</v>
      </c>
      <c r="I31" s="93">
        <v>4117.6470588235297</v>
      </c>
      <c r="L31" s="49"/>
      <c r="M31" s="30"/>
      <c r="N31" s="30"/>
      <c r="O31" s="30"/>
    </row>
    <row r="32" spans="2:15" x14ac:dyDescent="0.3">
      <c r="B32" s="43">
        <v>42815</v>
      </c>
      <c r="C32" s="2" t="s">
        <v>9</v>
      </c>
      <c r="D32" s="28" t="s">
        <v>834</v>
      </c>
      <c r="E32" s="30">
        <v>259.5</v>
      </c>
      <c r="F32" s="30">
        <v>262.5</v>
      </c>
      <c r="G32" s="30">
        <v>3</v>
      </c>
      <c r="H32" s="92">
        <v>1156.0693641618498</v>
      </c>
      <c r="I32" s="93">
        <v>3468.2080924855491</v>
      </c>
      <c r="L32" s="16"/>
    </row>
    <row r="33" spans="2:13" x14ac:dyDescent="0.3">
      <c r="B33" s="43">
        <v>42815</v>
      </c>
      <c r="C33" s="2" t="s">
        <v>8</v>
      </c>
      <c r="D33" s="28" t="s">
        <v>58</v>
      </c>
      <c r="E33" s="30">
        <v>491</v>
      </c>
      <c r="F33" s="30">
        <v>486.5</v>
      </c>
      <c r="G33" s="30">
        <v>4.5</v>
      </c>
      <c r="H33" s="92">
        <v>610.99796334012217</v>
      </c>
      <c r="I33" s="93">
        <v>2749.4908350305495</v>
      </c>
      <c r="L33" s="16"/>
    </row>
    <row r="34" spans="2:13" x14ac:dyDescent="0.3">
      <c r="B34" s="43">
        <v>42816</v>
      </c>
      <c r="C34" s="2" t="s">
        <v>9</v>
      </c>
      <c r="D34" s="28" t="s">
        <v>834</v>
      </c>
      <c r="E34" s="30">
        <v>256.5</v>
      </c>
      <c r="F34" s="30">
        <v>262</v>
      </c>
      <c r="G34" s="30">
        <v>5.5</v>
      </c>
      <c r="H34" s="92">
        <v>1169.5906432748538</v>
      </c>
      <c r="I34" s="93">
        <v>6432.7485380116959</v>
      </c>
      <c r="L34" s="41"/>
    </row>
    <row r="35" spans="2:13" x14ac:dyDescent="0.3">
      <c r="B35" s="43">
        <v>42816</v>
      </c>
      <c r="C35" s="2" t="s">
        <v>8</v>
      </c>
      <c r="D35" s="30" t="s">
        <v>139</v>
      </c>
      <c r="E35" s="30">
        <v>1466</v>
      </c>
      <c r="F35" s="30">
        <v>1469</v>
      </c>
      <c r="G35" s="30">
        <v>-3</v>
      </c>
      <c r="H35" s="92">
        <v>204.63847203274216</v>
      </c>
      <c r="I35" s="93">
        <v>-613.9154160982265</v>
      </c>
      <c r="L35" s="41"/>
    </row>
    <row r="36" spans="2:13" x14ac:dyDescent="0.3">
      <c r="B36" s="43">
        <v>42817</v>
      </c>
      <c r="C36" s="2" t="s">
        <v>9</v>
      </c>
      <c r="D36" s="30" t="s">
        <v>834</v>
      </c>
      <c r="E36" s="30">
        <v>264.5</v>
      </c>
      <c r="F36" s="30">
        <v>269.2</v>
      </c>
      <c r="G36" s="30">
        <v>4.7</v>
      </c>
      <c r="H36" s="92">
        <v>1134.2155009451797</v>
      </c>
      <c r="I36" s="93">
        <v>5330.8128544423444</v>
      </c>
      <c r="M36" s="30"/>
    </row>
    <row r="37" spans="2:13" x14ac:dyDescent="0.3">
      <c r="B37" s="43">
        <v>42817</v>
      </c>
      <c r="C37" s="2" t="s">
        <v>8</v>
      </c>
      <c r="D37" s="30" t="s">
        <v>58</v>
      </c>
      <c r="E37" s="30">
        <v>486</v>
      </c>
      <c r="F37" s="30">
        <v>483</v>
      </c>
      <c r="G37" s="30">
        <v>3</v>
      </c>
      <c r="H37" s="92">
        <v>617.28395061728395</v>
      </c>
      <c r="I37" s="93">
        <v>1851.8518518518517</v>
      </c>
      <c r="M37" s="30"/>
    </row>
    <row r="38" spans="2:13" x14ac:dyDescent="0.3">
      <c r="B38" s="43">
        <v>42818</v>
      </c>
      <c r="C38" s="2" t="s">
        <v>9</v>
      </c>
      <c r="D38" s="30" t="s">
        <v>834</v>
      </c>
      <c r="E38" s="30">
        <v>266.5</v>
      </c>
      <c r="F38" s="30">
        <v>269</v>
      </c>
      <c r="G38" s="30">
        <v>2.5</v>
      </c>
      <c r="H38" s="92">
        <v>1125.7035647279549</v>
      </c>
      <c r="I38" s="93">
        <v>2814.2589118198875</v>
      </c>
      <c r="M38" s="30"/>
    </row>
    <row r="39" spans="2:13" x14ac:dyDescent="0.3">
      <c r="B39" s="43">
        <v>42818</v>
      </c>
      <c r="C39" s="2" t="s">
        <v>8</v>
      </c>
      <c r="D39" s="30" t="s">
        <v>1109</v>
      </c>
      <c r="E39" s="30">
        <v>1308</v>
      </c>
      <c r="F39" s="30">
        <v>1298</v>
      </c>
      <c r="G39" s="30">
        <v>10</v>
      </c>
      <c r="H39" s="92">
        <v>229.35779816513761</v>
      </c>
      <c r="I39" s="93">
        <v>2293.5779816513759</v>
      </c>
      <c r="M39" s="30"/>
    </row>
    <row r="40" spans="2:13" x14ac:dyDescent="0.3">
      <c r="B40" s="43">
        <v>42821</v>
      </c>
      <c r="C40" s="2" t="s">
        <v>9</v>
      </c>
      <c r="D40" s="30" t="s">
        <v>834</v>
      </c>
      <c r="E40" s="30">
        <v>264</v>
      </c>
      <c r="F40" s="30">
        <v>261</v>
      </c>
      <c r="G40" s="30">
        <v>-3</v>
      </c>
      <c r="H40" s="92">
        <v>1136.3636363636363</v>
      </c>
      <c r="I40" s="93">
        <v>-3409.090909090909</v>
      </c>
      <c r="M40" s="30"/>
    </row>
    <row r="41" spans="2:13" x14ac:dyDescent="0.3">
      <c r="B41" s="43">
        <v>42821</v>
      </c>
      <c r="C41" s="2" t="s">
        <v>8</v>
      </c>
      <c r="D41" s="30" t="s">
        <v>1109</v>
      </c>
      <c r="E41" s="30">
        <v>1285</v>
      </c>
      <c r="F41" s="30">
        <v>1295</v>
      </c>
      <c r="G41" s="30">
        <v>-10</v>
      </c>
      <c r="H41" s="92">
        <v>233.46303501945525</v>
      </c>
      <c r="I41" s="93">
        <v>-2334.6303501945526</v>
      </c>
      <c r="M41" s="30"/>
    </row>
    <row r="42" spans="2:13" x14ac:dyDescent="0.3">
      <c r="B42" s="43">
        <v>42822</v>
      </c>
      <c r="C42" s="2" t="s">
        <v>9</v>
      </c>
      <c r="D42" s="30" t="s">
        <v>834</v>
      </c>
      <c r="E42" s="30">
        <v>264</v>
      </c>
      <c r="F42" s="30">
        <v>267</v>
      </c>
      <c r="G42" s="30">
        <v>3</v>
      </c>
      <c r="H42" s="92">
        <v>1136.3636363636363</v>
      </c>
      <c r="I42" s="93">
        <v>3409.090909090909</v>
      </c>
      <c r="M42" s="30"/>
    </row>
    <row r="43" spans="2:13" x14ac:dyDescent="0.3">
      <c r="B43" s="43">
        <v>42822</v>
      </c>
      <c r="C43" s="2" t="s">
        <v>9</v>
      </c>
      <c r="D43" s="30" t="s">
        <v>834</v>
      </c>
      <c r="E43" s="30">
        <v>265</v>
      </c>
      <c r="F43" s="30">
        <v>266.8</v>
      </c>
      <c r="G43" s="30">
        <v>1.8</v>
      </c>
      <c r="H43" s="92">
        <v>1132.0754716981132</v>
      </c>
      <c r="I43" s="93">
        <v>2037.7358490566039</v>
      </c>
      <c r="M43" s="30"/>
    </row>
    <row r="44" spans="2:13" x14ac:dyDescent="0.3">
      <c r="B44" s="43">
        <v>42823</v>
      </c>
      <c r="C44" s="2" t="s">
        <v>9</v>
      </c>
      <c r="D44" s="30" t="s">
        <v>834</v>
      </c>
      <c r="E44" s="30">
        <v>266</v>
      </c>
      <c r="F44" s="30">
        <v>269.8</v>
      </c>
      <c r="G44" s="30">
        <v>3.8</v>
      </c>
      <c r="H44" s="92">
        <v>1127.8195488721803</v>
      </c>
      <c r="I44" s="93">
        <v>4285.7142857142853</v>
      </c>
      <c r="M44" s="30"/>
    </row>
    <row r="45" spans="2:13" x14ac:dyDescent="0.3">
      <c r="B45" s="43">
        <v>42823</v>
      </c>
      <c r="C45" s="2" t="s">
        <v>8</v>
      </c>
      <c r="D45" s="30" t="s">
        <v>2023</v>
      </c>
      <c r="E45" s="30">
        <v>1195</v>
      </c>
      <c r="F45" s="30">
        <v>1175</v>
      </c>
      <c r="G45" s="30">
        <v>20</v>
      </c>
      <c r="H45" s="92">
        <v>251.04602510460251</v>
      </c>
      <c r="I45" s="93">
        <v>5020.9205020920499</v>
      </c>
      <c r="K45" s="10" t="s">
        <v>2008</v>
      </c>
      <c r="M45" s="30"/>
    </row>
    <row r="46" spans="2:13" x14ac:dyDescent="0.3">
      <c r="B46" s="43">
        <v>42824</v>
      </c>
      <c r="C46" s="2" t="s">
        <v>9</v>
      </c>
      <c r="D46" s="30" t="s">
        <v>834</v>
      </c>
      <c r="E46" s="30">
        <v>271.5</v>
      </c>
      <c r="F46" s="30">
        <v>273.5</v>
      </c>
      <c r="G46" s="30">
        <v>2</v>
      </c>
      <c r="H46" s="92">
        <v>1104.9723756906078</v>
      </c>
      <c r="I46" s="93">
        <v>2209.9447513812156</v>
      </c>
      <c r="M46" s="30"/>
    </row>
    <row r="47" spans="2:13" x14ac:dyDescent="0.3">
      <c r="B47" s="43">
        <v>42824</v>
      </c>
      <c r="C47" s="2" t="s">
        <v>8</v>
      </c>
      <c r="D47" s="30" t="s">
        <v>2023</v>
      </c>
      <c r="E47" s="30">
        <v>1185</v>
      </c>
      <c r="F47" s="30">
        <v>1175</v>
      </c>
      <c r="G47" s="30">
        <v>10</v>
      </c>
      <c r="H47" s="92">
        <v>253.16455696202533</v>
      </c>
      <c r="I47" s="93">
        <v>2531.6455696202534</v>
      </c>
      <c r="M47" s="30"/>
    </row>
    <row r="48" spans="2:13" x14ac:dyDescent="0.3">
      <c r="B48" s="43">
        <v>42825</v>
      </c>
      <c r="C48" s="2" t="s">
        <v>9</v>
      </c>
      <c r="D48" s="30" t="s">
        <v>834</v>
      </c>
      <c r="E48" s="30">
        <v>275.5</v>
      </c>
      <c r="F48" s="30">
        <v>276.8</v>
      </c>
      <c r="G48" s="30">
        <v>1.3</v>
      </c>
      <c r="H48" s="92">
        <v>1088.9292196007259</v>
      </c>
      <c r="I48" s="93">
        <v>1415.6079854809436</v>
      </c>
      <c r="M48" s="30"/>
    </row>
    <row r="49" spans="2:13" x14ac:dyDescent="0.3">
      <c r="B49" s="43">
        <v>42825</v>
      </c>
      <c r="C49" s="2" t="s">
        <v>8</v>
      </c>
      <c r="D49" s="30" t="s">
        <v>2023</v>
      </c>
      <c r="E49" s="30">
        <v>1178</v>
      </c>
      <c r="F49" s="30">
        <v>1168</v>
      </c>
      <c r="G49" s="30">
        <v>10</v>
      </c>
      <c r="H49" s="92">
        <v>254.66893039049236</v>
      </c>
      <c r="I49" s="93">
        <v>2546.6893039049237</v>
      </c>
      <c r="M49" s="30"/>
    </row>
    <row r="50" spans="2:13" ht="21" x14ac:dyDescent="0.4">
      <c r="B50" s="87"/>
      <c r="C50" s="2"/>
      <c r="D50" s="28"/>
      <c r="E50" s="30"/>
      <c r="F50" s="30"/>
      <c r="G50" s="30"/>
      <c r="H50" s="30"/>
      <c r="I50" s="127">
        <v>77671</v>
      </c>
      <c r="M50" s="30"/>
    </row>
    <row r="51" spans="2:13" x14ac:dyDescent="0.3">
      <c r="B51" s="87"/>
      <c r="C51" s="2"/>
      <c r="D51" s="28"/>
      <c r="E51" s="30"/>
      <c r="F51" s="30"/>
      <c r="G51" s="30"/>
      <c r="H51" s="30"/>
      <c r="I51" s="88"/>
      <c r="M51" s="30"/>
    </row>
    <row r="52" spans="2:13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  <c r="M52" s="30"/>
    </row>
    <row r="53" spans="2:13" x14ac:dyDescent="0.3">
      <c r="B53" s="43">
        <v>42795</v>
      </c>
      <c r="C53" s="2" t="s">
        <v>8</v>
      </c>
      <c r="D53" s="2" t="s">
        <v>139</v>
      </c>
      <c r="E53" s="41" t="s">
        <v>1507</v>
      </c>
      <c r="F53" s="40" t="s">
        <v>2036</v>
      </c>
      <c r="G53" s="40" t="s">
        <v>994</v>
      </c>
      <c r="H53" s="5">
        <v>700</v>
      </c>
      <c r="I53" s="30">
        <v>5600</v>
      </c>
    </row>
    <row r="54" spans="2:13" x14ac:dyDescent="0.3">
      <c r="B54" s="43">
        <v>42796</v>
      </c>
      <c r="C54" s="2" t="s">
        <v>8</v>
      </c>
      <c r="D54" s="2" t="s">
        <v>139</v>
      </c>
      <c r="E54" s="41" t="s">
        <v>2037</v>
      </c>
      <c r="F54" s="40" t="s">
        <v>2038</v>
      </c>
      <c r="G54" s="40" t="s">
        <v>490</v>
      </c>
      <c r="H54" s="5">
        <v>700</v>
      </c>
      <c r="I54" s="30">
        <v>16100</v>
      </c>
    </row>
    <row r="55" spans="2:13" x14ac:dyDescent="0.3">
      <c r="B55" s="43">
        <v>42797</v>
      </c>
      <c r="C55" s="30" t="s">
        <v>8</v>
      </c>
      <c r="D55" s="30" t="s">
        <v>78</v>
      </c>
      <c r="E55" s="30">
        <v>1466</v>
      </c>
      <c r="F55" s="30">
        <v>1472</v>
      </c>
      <c r="G55" s="30">
        <v>-6</v>
      </c>
      <c r="H55" s="30">
        <v>500</v>
      </c>
      <c r="I55" s="30">
        <v>-3000</v>
      </c>
    </row>
    <row r="56" spans="2:13" x14ac:dyDescent="0.3">
      <c r="B56" s="43">
        <v>42800</v>
      </c>
      <c r="C56" s="30" t="s">
        <v>8</v>
      </c>
      <c r="D56" s="30" t="s">
        <v>139</v>
      </c>
      <c r="E56" s="30">
        <v>1446</v>
      </c>
      <c r="F56" s="30">
        <v>1458</v>
      </c>
      <c r="G56" s="30">
        <v>-12</v>
      </c>
      <c r="H56" s="30">
        <v>700</v>
      </c>
      <c r="I56" s="30">
        <v>-8400</v>
      </c>
    </row>
    <row r="57" spans="2:13" x14ac:dyDescent="0.3">
      <c r="B57" s="43">
        <v>42801</v>
      </c>
      <c r="C57" s="30" t="s">
        <v>8</v>
      </c>
      <c r="D57" s="30" t="s">
        <v>58</v>
      </c>
      <c r="E57" s="30">
        <v>515</v>
      </c>
      <c r="F57" s="30">
        <v>513</v>
      </c>
      <c r="G57" s="30">
        <v>2</v>
      </c>
      <c r="H57" s="30">
        <v>1200</v>
      </c>
      <c r="I57" s="30">
        <v>2400</v>
      </c>
    </row>
    <row r="58" spans="2:13" x14ac:dyDescent="0.3">
      <c r="B58" s="43">
        <v>42802</v>
      </c>
      <c r="C58" s="30" t="s">
        <v>8</v>
      </c>
      <c r="D58" s="30" t="s">
        <v>58</v>
      </c>
      <c r="E58" s="30">
        <v>510</v>
      </c>
      <c r="F58" s="30">
        <v>503</v>
      </c>
      <c r="G58" s="30">
        <v>7</v>
      </c>
      <c r="H58" s="30">
        <v>1200</v>
      </c>
      <c r="I58" s="30">
        <v>8400</v>
      </c>
    </row>
    <row r="59" spans="2:13" x14ac:dyDescent="0.3">
      <c r="B59" s="43">
        <v>42803</v>
      </c>
      <c r="C59" s="30" t="s">
        <v>8</v>
      </c>
      <c r="D59" s="30" t="s">
        <v>139</v>
      </c>
      <c r="E59" s="30">
        <v>1473</v>
      </c>
      <c r="F59" s="30">
        <v>1474</v>
      </c>
      <c r="G59" s="30">
        <v>-1</v>
      </c>
      <c r="H59" s="30">
        <v>700</v>
      </c>
      <c r="I59" s="30">
        <v>-700</v>
      </c>
      <c r="K59" s="86"/>
    </row>
    <row r="60" spans="2:13" x14ac:dyDescent="0.3">
      <c r="B60" s="43">
        <v>42804</v>
      </c>
      <c r="C60" s="30" t="s">
        <v>8</v>
      </c>
      <c r="D60" s="30" t="s">
        <v>58</v>
      </c>
      <c r="E60" s="30">
        <v>515.5</v>
      </c>
      <c r="F60" s="30">
        <v>516.5</v>
      </c>
      <c r="G60" s="30">
        <v>-1</v>
      </c>
      <c r="H60" s="30">
        <v>1200</v>
      </c>
      <c r="I60" s="30">
        <v>-1200</v>
      </c>
      <c r="K60" s="86"/>
    </row>
    <row r="61" spans="2:13" x14ac:dyDescent="0.3">
      <c r="B61" s="43">
        <v>42808</v>
      </c>
      <c r="C61" s="30" t="s">
        <v>8</v>
      </c>
      <c r="D61" s="30" t="s">
        <v>78</v>
      </c>
      <c r="E61" s="30">
        <v>1563</v>
      </c>
      <c r="F61" s="30">
        <v>1557</v>
      </c>
      <c r="G61" s="30">
        <v>6</v>
      </c>
      <c r="H61" s="30">
        <v>500</v>
      </c>
      <c r="I61" s="30">
        <v>3000</v>
      </c>
      <c r="K61" s="86"/>
    </row>
    <row r="62" spans="2:13" x14ac:dyDescent="0.3">
      <c r="B62" s="43">
        <v>42809</v>
      </c>
      <c r="C62" s="30" t="s">
        <v>8</v>
      </c>
      <c r="D62" s="30" t="s">
        <v>58</v>
      </c>
      <c r="E62" s="30">
        <v>515</v>
      </c>
      <c r="F62" s="30">
        <v>511.5</v>
      </c>
      <c r="G62" s="30">
        <v>3.5</v>
      </c>
      <c r="H62" s="30">
        <v>1200</v>
      </c>
      <c r="I62" s="30">
        <v>4200</v>
      </c>
      <c r="K62" s="86"/>
    </row>
    <row r="63" spans="2:13" x14ac:dyDescent="0.3">
      <c r="B63" s="43">
        <v>42810</v>
      </c>
      <c r="C63" s="30" t="s">
        <v>8</v>
      </c>
      <c r="D63" s="30" t="s">
        <v>58</v>
      </c>
      <c r="E63" s="30">
        <v>516</v>
      </c>
      <c r="F63" s="30">
        <v>514</v>
      </c>
      <c r="G63" s="30">
        <v>2</v>
      </c>
      <c r="H63" s="30">
        <v>1200</v>
      </c>
      <c r="I63" s="30">
        <v>2400</v>
      </c>
      <c r="K63" s="86"/>
    </row>
    <row r="64" spans="2:13" x14ac:dyDescent="0.3">
      <c r="B64" s="43">
        <v>42811</v>
      </c>
      <c r="C64" s="30" t="s">
        <v>8</v>
      </c>
      <c r="D64" s="30" t="s">
        <v>139</v>
      </c>
      <c r="E64" s="30">
        <v>1523</v>
      </c>
      <c r="F64" s="30">
        <v>1511</v>
      </c>
      <c r="G64" s="30">
        <v>12</v>
      </c>
      <c r="H64" s="30">
        <v>700</v>
      </c>
      <c r="I64" s="30">
        <v>8400</v>
      </c>
      <c r="K64" s="86"/>
    </row>
    <row r="65" spans="2:11" x14ac:dyDescent="0.3">
      <c r="B65" s="43">
        <v>42814</v>
      </c>
      <c r="C65" s="30" t="s">
        <v>8</v>
      </c>
      <c r="D65" s="30" t="s">
        <v>58</v>
      </c>
      <c r="E65" s="30">
        <v>510</v>
      </c>
      <c r="F65" s="30">
        <v>503</v>
      </c>
      <c r="G65" s="30">
        <v>7</v>
      </c>
      <c r="H65" s="30">
        <v>1200</v>
      </c>
      <c r="I65" s="30">
        <v>8400</v>
      </c>
      <c r="K65" s="86"/>
    </row>
    <row r="66" spans="2:11" x14ac:dyDescent="0.3">
      <c r="B66" s="43">
        <v>42815</v>
      </c>
      <c r="C66" s="30" t="s">
        <v>8</v>
      </c>
      <c r="D66" s="30" t="s">
        <v>58</v>
      </c>
      <c r="E66" s="30">
        <v>493</v>
      </c>
      <c r="F66" s="30">
        <v>488</v>
      </c>
      <c r="G66" s="30">
        <v>5</v>
      </c>
      <c r="H66" s="30">
        <v>1200</v>
      </c>
      <c r="I66" s="30">
        <v>6000</v>
      </c>
      <c r="K66" s="86"/>
    </row>
    <row r="67" spans="2:11" x14ac:dyDescent="0.3">
      <c r="B67" s="43">
        <v>42816</v>
      </c>
      <c r="C67" s="30" t="s">
        <v>8</v>
      </c>
      <c r="D67" s="30" t="s">
        <v>667</v>
      </c>
      <c r="E67" s="30">
        <v>362</v>
      </c>
      <c r="F67" s="30">
        <v>360.2</v>
      </c>
      <c r="G67" s="30">
        <v>1.8</v>
      </c>
      <c r="H67" s="30">
        <v>2500</v>
      </c>
      <c r="I67" s="30">
        <v>4500</v>
      </c>
      <c r="K67" s="86"/>
    </row>
    <row r="68" spans="2:11" x14ac:dyDescent="0.3">
      <c r="B68" s="43">
        <v>42817</v>
      </c>
      <c r="C68" s="30" t="s">
        <v>8</v>
      </c>
      <c r="D68" s="30" t="s">
        <v>58</v>
      </c>
      <c r="E68" s="30">
        <v>486</v>
      </c>
      <c r="F68" s="30">
        <v>489.5</v>
      </c>
      <c r="G68" s="30">
        <v>-3.5</v>
      </c>
      <c r="H68" s="30">
        <v>1200</v>
      </c>
      <c r="I68" s="30">
        <v>-4200</v>
      </c>
      <c r="K68" s="86"/>
    </row>
    <row r="69" spans="2:11" x14ac:dyDescent="0.3">
      <c r="B69" s="43">
        <v>42818</v>
      </c>
      <c r="C69" s="30" t="s">
        <v>8</v>
      </c>
      <c r="D69" s="30" t="s">
        <v>58</v>
      </c>
      <c r="E69" s="30">
        <v>492</v>
      </c>
      <c r="F69" s="30">
        <v>489.5</v>
      </c>
      <c r="G69" s="30">
        <v>2.5</v>
      </c>
      <c r="H69" s="30">
        <v>1200</v>
      </c>
      <c r="I69" s="30">
        <v>3000</v>
      </c>
      <c r="K69" s="86"/>
    </row>
    <row r="70" spans="2:11" x14ac:dyDescent="0.3">
      <c r="B70" s="43">
        <v>42821</v>
      </c>
      <c r="C70" s="30" t="s">
        <v>8</v>
      </c>
      <c r="D70" s="30" t="s">
        <v>58</v>
      </c>
      <c r="E70" s="30">
        <v>490</v>
      </c>
      <c r="F70" s="30">
        <v>485</v>
      </c>
      <c r="G70" s="30">
        <v>5</v>
      </c>
      <c r="H70" s="30">
        <v>1200</v>
      </c>
      <c r="I70" s="30">
        <v>6000</v>
      </c>
      <c r="K70" s="86"/>
    </row>
    <row r="71" spans="2:11" x14ac:dyDescent="0.3">
      <c r="B71" s="43">
        <v>42822</v>
      </c>
      <c r="C71" s="30" t="s">
        <v>8</v>
      </c>
      <c r="D71" s="30" t="s">
        <v>139</v>
      </c>
      <c r="E71" s="30">
        <v>1530</v>
      </c>
      <c r="F71" s="30">
        <v>1533</v>
      </c>
      <c r="G71" s="30">
        <v>-3</v>
      </c>
      <c r="H71" s="30">
        <v>700</v>
      </c>
      <c r="I71" s="30">
        <v>-2100</v>
      </c>
      <c r="K71" s="86"/>
    </row>
    <row r="72" spans="2:11" x14ac:dyDescent="0.3">
      <c r="B72" s="43">
        <v>42823</v>
      </c>
      <c r="C72" s="30" t="s">
        <v>8</v>
      </c>
      <c r="D72" s="30" t="s">
        <v>109</v>
      </c>
      <c r="E72" s="30">
        <v>1272</v>
      </c>
      <c r="F72" s="30">
        <v>1262</v>
      </c>
      <c r="G72" s="30">
        <v>10</v>
      </c>
      <c r="H72" s="30">
        <v>500</v>
      </c>
      <c r="I72" s="30">
        <v>5000</v>
      </c>
      <c r="K72" s="86"/>
    </row>
    <row r="73" spans="2:11" x14ac:dyDescent="0.3">
      <c r="B73" s="43">
        <v>42824</v>
      </c>
      <c r="C73" s="30" t="s">
        <v>9</v>
      </c>
      <c r="D73" s="30" t="s">
        <v>109</v>
      </c>
      <c r="E73" s="30">
        <v>1273</v>
      </c>
      <c r="F73" s="30">
        <v>1283</v>
      </c>
      <c r="G73" s="30">
        <v>10</v>
      </c>
      <c r="H73" s="30">
        <v>500</v>
      </c>
      <c r="I73" s="30">
        <v>5000</v>
      </c>
      <c r="K73" s="86"/>
    </row>
    <row r="74" spans="2:11" x14ac:dyDescent="0.3">
      <c r="B74" s="43">
        <v>42825</v>
      </c>
      <c r="C74" s="30" t="s">
        <v>8</v>
      </c>
      <c r="D74" s="30" t="s">
        <v>139</v>
      </c>
      <c r="E74" s="30">
        <v>1550</v>
      </c>
      <c r="F74" s="30">
        <v>1544</v>
      </c>
      <c r="G74" s="30">
        <v>6</v>
      </c>
      <c r="H74" s="30">
        <v>700</v>
      </c>
      <c r="I74" s="30">
        <v>4200</v>
      </c>
      <c r="K74" s="86"/>
    </row>
    <row r="75" spans="2:11" ht="21" x14ac:dyDescent="0.4">
      <c r="B75" s="43"/>
      <c r="C75" s="30"/>
      <c r="D75" s="30"/>
      <c r="E75" s="30"/>
      <c r="F75" s="30"/>
      <c r="G75" s="30"/>
      <c r="H75" s="30"/>
      <c r="I75" s="129" t="s">
        <v>2059</v>
      </c>
      <c r="K75" s="86"/>
    </row>
    <row r="76" spans="2:11" x14ac:dyDescent="0.3">
      <c r="B76" s="87"/>
      <c r="C76" s="30"/>
      <c r="D76" s="30"/>
      <c r="E76" s="30"/>
      <c r="F76" s="30"/>
      <c r="G76" s="30"/>
      <c r="H76" s="30"/>
      <c r="I76" s="30"/>
      <c r="K76" s="86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  <c r="K77" s="86"/>
    </row>
    <row r="78" spans="2:11" x14ac:dyDescent="0.3">
      <c r="B78" s="43">
        <v>42795</v>
      </c>
      <c r="C78" s="2" t="s">
        <v>8</v>
      </c>
      <c r="D78" s="2" t="s">
        <v>39</v>
      </c>
      <c r="E78" s="41" t="s">
        <v>685</v>
      </c>
      <c r="F78" s="40" t="s">
        <v>2039</v>
      </c>
      <c r="G78" s="40" t="s">
        <v>1115</v>
      </c>
      <c r="H78" s="30">
        <v>150</v>
      </c>
      <c r="I78" s="30">
        <v>-2250</v>
      </c>
      <c r="K78" s="86"/>
    </row>
    <row r="79" spans="2:11" x14ac:dyDescent="0.3">
      <c r="B79" s="43">
        <v>42796</v>
      </c>
      <c r="C79" s="30" t="s">
        <v>8</v>
      </c>
      <c r="D79" s="2" t="s">
        <v>39</v>
      </c>
      <c r="E79" s="2">
        <v>9000</v>
      </c>
      <c r="F79" s="30">
        <v>8935</v>
      </c>
      <c r="G79" s="30">
        <v>65</v>
      </c>
      <c r="H79" s="30">
        <v>150</v>
      </c>
      <c r="I79" s="30">
        <v>9750</v>
      </c>
    </row>
    <row r="80" spans="2:11" x14ac:dyDescent="0.3">
      <c r="B80" s="43">
        <v>42797</v>
      </c>
      <c r="C80" s="30" t="s">
        <v>8</v>
      </c>
      <c r="D80" s="2" t="s">
        <v>39</v>
      </c>
      <c r="E80" s="2">
        <v>8895</v>
      </c>
      <c r="F80" s="30">
        <v>8880</v>
      </c>
      <c r="G80" s="30">
        <v>15</v>
      </c>
      <c r="H80" s="30">
        <v>150</v>
      </c>
      <c r="I80" s="30">
        <v>2250</v>
      </c>
    </row>
    <row r="81" spans="2:11" x14ac:dyDescent="0.3">
      <c r="B81" s="43">
        <v>42800</v>
      </c>
      <c r="C81" s="30" t="s">
        <v>8</v>
      </c>
      <c r="D81" s="2" t="s">
        <v>39</v>
      </c>
      <c r="E81" s="2">
        <v>8975</v>
      </c>
      <c r="F81" s="30">
        <v>8950</v>
      </c>
      <c r="G81" s="30">
        <v>25</v>
      </c>
      <c r="H81" s="30">
        <v>150</v>
      </c>
      <c r="I81" s="30">
        <v>3750</v>
      </c>
    </row>
    <row r="82" spans="2:11" x14ac:dyDescent="0.3">
      <c r="B82" s="43">
        <v>42801</v>
      </c>
      <c r="C82" s="30" t="s">
        <v>8</v>
      </c>
      <c r="D82" s="2" t="s">
        <v>39</v>
      </c>
      <c r="E82" s="30">
        <v>8970</v>
      </c>
      <c r="F82" s="30">
        <v>8970</v>
      </c>
      <c r="G82" s="30">
        <v>0</v>
      </c>
      <c r="H82" s="30">
        <v>150</v>
      </c>
      <c r="I82" s="30">
        <v>0</v>
      </c>
    </row>
    <row r="83" spans="2:11" x14ac:dyDescent="0.3">
      <c r="B83" s="43">
        <v>42802</v>
      </c>
      <c r="C83" s="30" t="s">
        <v>8</v>
      </c>
      <c r="D83" s="2" t="s">
        <v>39</v>
      </c>
      <c r="E83" s="30">
        <v>8970</v>
      </c>
      <c r="F83" s="30">
        <v>8920</v>
      </c>
      <c r="G83" s="30">
        <v>50</v>
      </c>
      <c r="H83" s="30">
        <v>150</v>
      </c>
      <c r="I83" s="30">
        <v>7500</v>
      </c>
      <c r="K83" s="86"/>
    </row>
    <row r="84" spans="2:11" x14ac:dyDescent="0.3">
      <c r="B84" s="43">
        <v>42803</v>
      </c>
      <c r="C84" s="30" t="s">
        <v>8</v>
      </c>
      <c r="D84" s="2" t="s">
        <v>39</v>
      </c>
      <c r="E84" s="30">
        <v>8940</v>
      </c>
      <c r="F84" s="30">
        <v>8925</v>
      </c>
      <c r="G84" s="30">
        <v>15</v>
      </c>
      <c r="H84" s="30">
        <v>150</v>
      </c>
      <c r="I84" s="30">
        <v>2250</v>
      </c>
      <c r="K84" s="86"/>
    </row>
    <row r="85" spans="2:11" x14ac:dyDescent="0.3">
      <c r="B85" s="43">
        <v>42804</v>
      </c>
      <c r="C85" s="30" t="s">
        <v>8</v>
      </c>
      <c r="D85" s="2" t="s">
        <v>39</v>
      </c>
      <c r="E85" s="30">
        <v>8970</v>
      </c>
      <c r="F85" s="30">
        <v>8925</v>
      </c>
      <c r="G85" s="30">
        <v>45</v>
      </c>
      <c r="H85" s="30">
        <v>150</v>
      </c>
      <c r="I85" s="30">
        <v>6750</v>
      </c>
      <c r="K85" s="86"/>
    </row>
    <row r="86" spans="2:11" x14ac:dyDescent="0.3">
      <c r="B86" s="43">
        <v>42808</v>
      </c>
      <c r="C86" s="30" t="s">
        <v>8</v>
      </c>
      <c r="D86" s="2" t="s">
        <v>39</v>
      </c>
      <c r="E86" s="30">
        <v>9115</v>
      </c>
      <c r="F86" s="30">
        <v>9090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42809</v>
      </c>
      <c r="C87" s="30" t="s">
        <v>8</v>
      </c>
      <c r="D87" s="2" t="s">
        <v>39</v>
      </c>
      <c r="E87" s="30">
        <v>9125</v>
      </c>
      <c r="F87" s="30">
        <v>9106</v>
      </c>
      <c r="G87" s="30">
        <v>19</v>
      </c>
      <c r="H87" s="30">
        <v>150</v>
      </c>
      <c r="I87" s="30">
        <v>2850</v>
      </c>
      <c r="K87" s="86"/>
    </row>
    <row r="88" spans="2:11" x14ac:dyDescent="0.3">
      <c r="B88" s="43">
        <v>42810</v>
      </c>
      <c r="C88" s="30" t="s">
        <v>8</v>
      </c>
      <c r="D88" s="2" t="s">
        <v>39</v>
      </c>
      <c r="E88" s="30">
        <v>9160</v>
      </c>
      <c r="F88" s="30">
        <v>9172</v>
      </c>
      <c r="G88" s="30">
        <v>-12</v>
      </c>
      <c r="H88" s="30">
        <v>150</v>
      </c>
      <c r="I88" s="30">
        <v>-1800</v>
      </c>
      <c r="K88" s="86"/>
    </row>
    <row r="89" spans="2:11" x14ac:dyDescent="0.3">
      <c r="B89" s="43">
        <v>42811</v>
      </c>
      <c r="C89" s="30" t="s">
        <v>8</v>
      </c>
      <c r="D89" s="2" t="s">
        <v>39</v>
      </c>
      <c r="E89" s="30">
        <v>9190</v>
      </c>
      <c r="F89" s="30">
        <v>9166</v>
      </c>
      <c r="G89" s="30">
        <v>24</v>
      </c>
      <c r="H89" s="30">
        <v>150</v>
      </c>
      <c r="I89" s="30">
        <v>3600</v>
      </c>
      <c r="K89" s="86"/>
    </row>
    <row r="90" spans="2:11" x14ac:dyDescent="0.3">
      <c r="B90" s="43">
        <v>42814</v>
      </c>
      <c r="C90" s="30" t="s">
        <v>8</v>
      </c>
      <c r="D90" s="2" t="s">
        <v>39</v>
      </c>
      <c r="E90" s="30">
        <v>9155</v>
      </c>
      <c r="F90" s="30">
        <v>9150</v>
      </c>
      <c r="G90" s="30">
        <v>5</v>
      </c>
      <c r="H90" s="30">
        <v>150</v>
      </c>
      <c r="I90" s="30">
        <v>750</v>
      </c>
      <c r="K90" s="86"/>
    </row>
    <row r="91" spans="2:11" x14ac:dyDescent="0.3">
      <c r="B91" s="43">
        <v>42815</v>
      </c>
      <c r="C91" s="30" t="s">
        <v>8</v>
      </c>
      <c r="D91" s="2" t="s">
        <v>39</v>
      </c>
      <c r="E91" s="30">
        <v>9160</v>
      </c>
      <c r="F91" s="30">
        <v>9125</v>
      </c>
      <c r="G91" s="30">
        <v>35</v>
      </c>
      <c r="H91" s="30">
        <v>150</v>
      </c>
      <c r="I91" s="30">
        <v>5250</v>
      </c>
      <c r="K91" s="86"/>
    </row>
    <row r="92" spans="2:11" x14ac:dyDescent="0.3">
      <c r="B92" s="43">
        <v>42816</v>
      </c>
      <c r="C92" s="30" t="s">
        <v>8</v>
      </c>
      <c r="D92" s="2" t="s">
        <v>39</v>
      </c>
      <c r="E92" s="30">
        <v>9075</v>
      </c>
      <c r="F92" s="30">
        <v>9050</v>
      </c>
      <c r="G92" s="30">
        <v>25</v>
      </c>
      <c r="H92" s="30">
        <v>150</v>
      </c>
      <c r="I92" s="30">
        <v>3750</v>
      </c>
      <c r="K92" s="86"/>
    </row>
    <row r="93" spans="2:11" x14ac:dyDescent="0.3">
      <c r="B93" s="43">
        <v>42817</v>
      </c>
      <c r="C93" s="30" t="s">
        <v>8</v>
      </c>
      <c r="D93" s="2" t="s">
        <v>39</v>
      </c>
      <c r="E93" s="30">
        <v>9070</v>
      </c>
      <c r="F93" s="30">
        <v>9105</v>
      </c>
      <c r="G93" s="30">
        <v>-35</v>
      </c>
      <c r="H93" s="30">
        <v>150</v>
      </c>
      <c r="I93" s="30">
        <v>-5250</v>
      </c>
      <c r="K93" s="86"/>
    </row>
    <row r="94" spans="2:11" x14ac:dyDescent="0.3">
      <c r="B94" s="43">
        <v>42818</v>
      </c>
      <c r="C94" s="30" t="s">
        <v>8</v>
      </c>
      <c r="D94" s="2" t="s">
        <v>39</v>
      </c>
      <c r="E94" s="30">
        <v>9140</v>
      </c>
      <c r="F94" s="30">
        <v>9110</v>
      </c>
      <c r="G94" s="30">
        <v>30</v>
      </c>
      <c r="H94" s="30">
        <v>150</v>
      </c>
      <c r="I94" s="30">
        <v>4500</v>
      </c>
      <c r="K94" s="86"/>
    </row>
    <row r="95" spans="2:11" x14ac:dyDescent="0.3">
      <c r="B95" s="43">
        <v>42821</v>
      </c>
      <c r="C95" s="30" t="s">
        <v>8</v>
      </c>
      <c r="D95" s="2" t="s">
        <v>39</v>
      </c>
      <c r="E95" s="30">
        <v>9070</v>
      </c>
      <c r="F95" s="30">
        <v>9040</v>
      </c>
      <c r="G95" s="30">
        <v>30</v>
      </c>
      <c r="H95" s="30">
        <v>150</v>
      </c>
      <c r="I95" s="30">
        <v>4500</v>
      </c>
      <c r="K95" s="86"/>
    </row>
    <row r="96" spans="2:11" x14ac:dyDescent="0.3">
      <c r="B96" s="43">
        <v>42822</v>
      </c>
      <c r="C96" s="30" t="s">
        <v>8</v>
      </c>
      <c r="D96" s="2" t="s">
        <v>39</v>
      </c>
      <c r="E96" s="30">
        <v>9100</v>
      </c>
      <c r="F96" s="30">
        <v>9088</v>
      </c>
      <c r="G96" s="30">
        <v>12</v>
      </c>
      <c r="H96" s="30">
        <v>150</v>
      </c>
      <c r="I96" s="30">
        <v>1800</v>
      </c>
      <c r="K96" s="86"/>
    </row>
    <row r="97" spans="2:11" x14ac:dyDescent="0.3">
      <c r="B97" s="43">
        <v>42823</v>
      </c>
      <c r="C97" s="30" t="s">
        <v>8</v>
      </c>
      <c r="D97" s="2" t="s">
        <v>39</v>
      </c>
      <c r="E97" s="30">
        <v>9145</v>
      </c>
      <c r="F97" s="30">
        <v>9130</v>
      </c>
      <c r="G97" s="30">
        <v>15</v>
      </c>
      <c r="H97" s="30">
        <v>150</v>
      </c>
      <c r="I97" s="30">
        <v>2250</v>
      </c>
      <c r="K97" s="86"/>
    </row>
    <row r="98" spans="2:11" x14ac:dyDescent="0.3">
      <c r="B98" s="43">
        <v>42824</v>
      </c>
      <c r="C98" s="30" t="s">
        <v>8</v>
      </c>
      <c r="D98" s="2" t="s">
        <v>39</v>
      </c>
      <c r="E98" s="30">
        <v>9165</v>
      </c>
      <c r="F98" s="30">
        <v>9142</v>
      </c>
      <c r="G98" s="30">
        <v>23</v>
      </c>
      <c r="H98" s="30">
        <v>150</v>
      </c>
      <c r="I98" s="30">
        <v>3450</v>
      </c>
      <c r="K98" s="86"/>
    </row>
    <row r="99" spans="2:11" x14ac:dyDescent="0.3">
      <c r="B99" s="43">
        <v>42825</v>
      </c>
      <c r="C99" s="30" t="s">
        <v>8</v>
      </c>
      <c r="D99" s="2" t="s">
        <v>39</v>
      </c>
      <c r="E99" s="30">
        <v>9185</v>
      </c>
      <c r="F99" s="30">
        <v>9195</v>
      </c>
      <c r="G99" s="30">
        <v>-10</v>
      </c>
      <c r="H99" s="30">
        <v>150</v>
      </c>
      <c r="I99" s="30">
        <v>-1500</v>
      </c>
      <c r="K99" s="86"/>
    </row>
    <row r="100" spans="2:11" ht="21" x14ac:dyDescent="0.4">
      <c r="B100" s="43"/>
      <c r="C100" s="30"/>
      <c r="D100" s="2"/>
      <c r="E100" s="30"/>
      <c r="F100" s="30"/>
      <c r="G100" s="30"/>
      <c r="H100" s="30"/>
      <c r="I100" s="129" t="s">
        <v>2060</v>
      </c>
      <c r="K100" s="86"/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  <c r="K101" s="86"/>
    </row>
    <row r="102" spans="2:11" ht="15.6" x14ac:dyDescent="0.3">
      <c r="B102" s="48" t="s">
        <v>991</v>
      </c>
      <c r="C102" s="61"/>
      <c r="D102" s="61"/>
      <c r="E102" s="61"/>
      <c r="F102" s="61"/>
      <c r="G102" s="61"/>
      <c r="H102" s="61"/>
      <c r="I102" s="61"/>
      <c r="K102" s="86"/>
    </row>
    <row r="103" spans="2:11" x14ac:dyDescent="0.3">
      <c r="B103" s="43">
        <v>42795</v>
      </c>
      <c r="C103" s="3" t="s">
        <v>9</v>
      </c>
      <c r="D103" s="3" t="s">
        <v>1791</v>
      </c>
      <c r="E103" s="41" t="s">
        <v>2040</v>
      </c>
      <c r="F103" s="41" t="s">
        <v>826</v>
      </c>
      <c r="G103" s="41" t="s">
        <v>917</v>
      </c>
      <c r="H103" s="30">
        <v>300</v>
      </c>
      <c r="I103" s="8">
        <v>-6000</v>
      </c>
      <c r="K103" s="86"/>
    </row>
    <row r="104" spans="2:11" x14ac:dyDescent="0.3">
      <c r="B104" s="43">
        <v>42796</v>
      </c>
      <c r="C104" s="3" t="s">
        <v>9</v>
      </c>
      <c r="D104" s="3" t="s">
        <v>1791</v>
      </c>
      <c r="E104" s="30">
        <v>124</v>
      </c>
      <c r="F104" s="30">
        <v>159</v>
      </c>
      <c r="G104" s="30">
        <v>35</v>
      </c>
      <c r="H104" s="30">
        <v>300</v>
      </c>
      <c r="I104" s="8">
        <v>10500</v>
      </c>
    </row>
    <row r="105" spans="2:11" x14ac:dyDescent="0.3">
      <c r="B105" s="43">
        <v>42797</v>
      </c>
      <c r="C105" s="3" t="s">
        <v>9</v>
      </c>
      <c r="D105" s="3" t="s">
        <v>1805</v>
      </c>
      <c r="E105" s="30">
        <v>125</v>
      </c>
      <c r="F105" s="30">
        <v>115</v>
      </c>
      <c r="G105" s="30">
        <v>-10</v>
      </c>
      <c r="H105" s="30">
        <v>300</v>
      </c>
      <c r="I105" s="8">
        <v>-3000</v>
      </c>
    </row>
    <row r="106" spans="2:11" x14ac:dyDescent="0.3">
      <c r="B106" s="43">
        <v>42800</v>
      </c>
      <c r="C106" s="3" t="s">
        <v>9</v>
      </c>
      <c r="D106" s="3" t="s">
        <v>1791</v>
      </c>
      <c r="E106" s="30">
        <v>130</v>
      </c>
      <c r="F106" s="30">
        <v>140</v>
      </c>
      <c r="G106" s="30">
        <v>10</v>
      </c>
      <c r="H106" s="30">
        <v>300</v>
      </c>
      <c r="I106" s="8">
        <v>3000</v>
      </c>
    </row>
    <row r="107" spans="2:11" x14ac:dyDescent="0.3">
      <c r="B107" s="43">
        <v>42801</v>
      </c>
      <c r="C107" s="3" t="s">
        <v>9</v>
      </c>
      <c r="D107" s="30" t="s">
        <v>1791</v>
      </c>
      <c r="E107" s="30">
        <v>132</v>
      </c>
      <c r="F107" s="30">
        <v>133</v>
      </c>
      <c r="G107" s="30">
        <v>1</v>
      </c>
      <c r="H107" s="30">
        <v>300</v>
      </c>
      <c r="I107" s="8">
        <v>300</v>
      </c>
    </row>
    <row r="108" spans="2:11" x14ac:dyDescent="0.3">
      <c r="B108" s="43">
        <v>42802</v>
      </c>
      <c r="C108" s="3" t="s">
        <v>9</v>
      </c>
      <c r="D108" s="30" t="s">
        <v>1791</v>
      </c>
      <c r="E108" s="30">
        <v>135</v>
      </c>
      <c r="F108" s="30">
        <v>165</v>
      </c>
      <c r="G108" s="30">
        <v>30</v>
      </c>
      <c r="H108" s="30">
        <v>300</v>
      </c>
      <c r="I108" s="8">
        <v>9000</v>
      </c>
    </row>
    <row r="109" spans="2:11" x14ac:dyDescent="0.3">
      <c r="B109" s="43">
        <v>42803</v>
      </c>
      <c r="C109" s="3" t="s">
        <v>9</v>
      </c>
      <c r="D109" s="30" t="s">
        <v>1791</v>
      </c>
      <c r="E109" s="30">
        <v>155</v>
      </c>
      <c r="F109" s="30">
        <v>165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42804</v>
      </c>
      <c r="C110" s="3" t="s">
        <v>9</v>
      </c>
      <c r="D110" s="30" t="s">
        <v>1791</v>
      </c>
      <c r="E110" s="30">
        <v>130</v>
      </c>
      <c r="F110" s="30">
        <v>155</v>
      </c>
      <c r="G110" s="30">
        <v>25</v>
      </c>
      <c r="H110" s="30">
        <v>300</v>
      </c>
      <c r="I110" s="8">
        <v>7500</v>
      </c>
    </row>
    <row r="111" spans="2:11" x14ac:dyDescent="0.3">
      <c r="B111" s="43">
        <v>42808</v>
      </c>
      <c r="C111" s="3" t="s">
        <v>9</v>
      </c>
      <c r="D111" s="30" t="s">
        <v>2047</v>
      </c>
      <c r="E111" s="30">
        <v>135</v>
      </c>
      <c r="F111" s="30">
        <v>145</v>
      </c>
      <c r="G111" s="30">
        <v>10</v>
      </c>
      <c r="H111" s="30">
        <v>300</v>
      </c>
      <c r="I111" s="8">
        <v>3000</v>
      </c>
    </row>
    <row r="112" spans="2:11" x14ac:dyDescent="0.3">
      <c r="B112" s="43">
        <v>42809</v>
      </c>
      <c r="C112" s="3" t="s">
        <v>9</v>
      </c>
      <c r="D112" s="30" t="s">
        <v>2047</v>
      </c>
      <c r="E112" s="30">
        <v>120</v>
      </c>
      <c r="F112" s="30">
        <v>132</v>
      </c>
      <c r="G112" s="30">
        <v>12</v>
      </c>
      <c r="H112" s="30">
        <v>300</v>
      </c>
      <c r="I112" s="8">
        <v>3600</v>
      </c>
    </row>
    <row r="113" spans="2:9" x14ac:dyDescent="0.3">
      <c r="B113" s="43">
        <v>42810</v>
      </c>
      <c r="C113" s="3" t="s">
        <v>9</v>
      </c>
      <c r="D113" s="30" t="s">
        <v>2048</v>
      </c>
      <c r="E113" s="30">
        <v>160</v>
      </c>
      <c r="F113" s="30">
        <v>150</v>
      </c>
      <c r="G113" s="30">
        <v>-10</v>
      </c>
      <c r="H113" s="30">
        <v>300</v>
      </c>
      <c r="I113" s="8">
        <v>-3000</v>
      </c>
    </row>
    <row r="114" spans="2:9" x14ac:dyDescent="0.3">
      <c r="B114" s="43">
        <v>42811</v>
      </c>
      <c r="C114" s="3" t="s">
        <v>9</v>
      </c>
      <c r="D114" s="30" t="s">
        <v>2048</v>
      </c>
      <c r="E114" s="30">
        <v>135</v>
      </c>
      <c r="F114" s="30">
        <v>150</v>
      </c>
      <c r="G114" s="30">
        <v>15</v>
      </c>
      <c r="H114" s="30">
        <v>300</v>
      </c>
      <c r="I114" s="8">
        <v>4500</v>
      </c>
    </row>
    <row r="115" spans="2:9" x14ac:dyDescent="0.3">
      <c r="B115" s="43">
        <v>42814</v>
      </c>
      <c r="C115" s="3" t="s">
        <v>9</v>
      </c>
      <c r="D115" s="30" t="s">
        <v>2048</v>
      </c>
      <c r="E115" s="30">
        <v>160</v>
      </c>
      <c r="F115" s="30">
        <v>160</v>
      </c>
      <c r="G115" s="30">
        <v>0</v>
      </c>
      <c r="H115" s="30">
        <v>300</v>
      </c>
      <c r="I115" s="8">
        <v>0</v>
      </c>
    </row>
    <row r="116" spans="2:9" x14ac:dyDescent="0.3">
      <c r="B116" s="43">
        <v>42815</v>
      </c>
      <c r="C116" s="3" t="s">
        <v>9</v>
      </c>
      <c r="D116" s="30" t="s">
        <v>2048</v>
      </c>
      <c r="E116" s="30">
        <v>150</v>
      </c>
      <c r="F116" s="30">
        <v>185</v>
      </c>
      <c r="G116" s="30">
        <v>35</v>
      </c>
      <c r="H116" s="30">
        <v>300</v>
      </c>
      <c r="I116" s="8">
        <v>10500</v>
      </c>
    </row>
    <row r="117" spans="2:9" x14ac:dyDescent="0.3">
      <c r="B117" s="43">
        <v>42816</v>
      </c>
      <c r="C117" s="3" t="s">
        <v>9</v>
      </c>
      <c r="D117" s="30" t="s">
        <v>2047</v>
      </c>
      <c r="E117" s="30">
        <v>145</v>
      </c>
      <c r="F117" s="30">
        <v>125</v>
      </c>
      <c r="G117" s="30">
        <v>-20</v>
      </c>
      <c r="H117" s="30">
        <v>300</v>
      </c>
      <c r="I117" s="8">
        <v>-6000</v>
      </c>
    </row>
    <row r="118" spans="2:9" x14ac:dyDescent="0.3">
      <c r="B118" s="43">
        <v>42817</v>
      </c>
      <c r="C118" s="3" t="s">
        <v>9</v>
      </c>
      <c r="D118" s="28" t="s">
        <v>2047</v>
      </c>
      <c r="E118" s="49" t="s">
        <v>232</v>
      </c>
      <c r="F118" s="49" t="s">
        <v>228</v>
      </c>
      <c r="G118" s="49" t="s">
        <v>917</v>
      </c>
      <c r="H118" s="30">
        <v>300</v>
      </c>
      <c r="I118" s="8">
        <v>-6000</v>
      </c>
    </row>
    <row r="119" spans="2:9" x14ac:dyDescent="0.3">
      <c r="B119" s="43">
        <v>42818</v>
      </c>
      <c r="C119" s="3" t="s">
        <v>9</v>
      </c>
      <c r="D119" s="28" t="s">
        <v>2048</v>
      </c>
      <c r="E119" s="49" t="s">
        <v>229</v>
      </c>
      <c r="F119" s="49" t="s">
        <v>1266</v>
      </c>
      <c r="G119" s="49" t="s">
        <v>2054</v>
      </c>
      <c r="H119" s="30">
        <v>300</v>
      </c>
      <c r="I119" s="8">
        <v>6300</v>
      </c>
    </row>
    <row r="120" spans="2:9" x14ac:dyDescent="0.3">
      <c r="B120" s="43">
        <v>42821</v>
      </c>
      <c r="C120" s="3" t="s">
        <v>9</v>
      </c>
      <c r="D120" s="28" t="s">
        <v>2047</v>
      </c>
      <c r="E120" s="49" t="s">
        <v>582</v>
      </c>
      <c r="F120" s="49" t="s">
        <v>229</v>
      </c>
      <c r="G120" s="49" t="s">
        <v>961</v>
      </c>
      <c r="H120" s="30">
        <v>300</v>
      </c>
      <c r="I120" s="8">
        <v>7500</v>
      </c>
    </row>
    <row r="121" spans="2:9" x14ac:dyDescent="0.3">
      <c r="B121" s="43">
        <v>42822</v>
      </c>
      <c r="C121" s="3" t="s">
        <v>9</v>
      </c>
      <c r="D121" s="28" t="s">
        <v>2047</v>
      </c>
      <c r="E121" s="49" t="s">
        <v>288</v>
      </c>
      <c r="F121" s="49" t="s">
        <v>763</v>
      </c>
      <c r="G121" s="49" t="s">
        <v>917</v>
      </c>
      <c r="H121" s="30">
        <v>300</v>
      </c>
      <c r="I121" s="8">
        <v>-6000</v>
      </c>
    </row>
    <row r="122" spans="2:9" x14ac:dyDescent="0.3">
      <c r="B122" s="43">
        <v>42823</v>
      </c>
      <c r="C122" s="3" t="s">
        <v>9</v>
      </c>
      <c r="D122" s="28" t="s">
        <v>2048</v>
      </c>
      <c r="E122" s="49" t="s">
        <v>226</v>
      </c>
      <c r="F122" s="49" t="s">
        <v>528</v>
      </c>
      <c r="G122" s="49" t="s">
        <v>951</v>
      </c>
      <c r="H122" s="30">
        <v>300</v>
      </c>
      <c r="I122" s="8">
        <v>4500</v>
      </c>
    </row>
    <row r="123" spans="2:9" x14ac:dyDescent="0.3">
      <c r="B123" s="43">
        <v>42824</v>
      </c>
      <c r="C123" s="3" t="s">
        <v>9</v>
      </c>
      <c r="D123" s="28" t="s">
        <v>2048</v>
      </c>
      <c r="E123" s="49" t="s">
        <v>582</v>
      </c>
      <c r="F123" s="49" t="s">
        <v>626</v>
      </c>
      <c r="G123" s="49" t="s">
        <v>951</v>
      </c>
      <c r="H123" s="30">
        <v>300</v>
      </c>
      <c r="I123" s="8">
        <v>4500</v>
      </c>
    </row>
    <row r="124" spans="2:9" x14ac:dyDescent="0.3">
      <c r="B124" s="43">
        <v>42825</v>
      </c>
      <c r="C124" s="3" t="s">
        <v>9</v>
      </c>
      <c r="D124" s="28" t="s">
        <v>2047</v>
      </c>
      <c r="E124" s="49" t="s">
        <v>825</v>
      </c>
      <c r="F124" s="49" t="s">
        <v>523</v>
      </c>
      <c r="G124" s="49" t="s">
        <v>1269</v>
      </c>
      <c r="H124" s="30">
        <v>300</v>
      </c>
      <c r="I124" s="8">
        <v>-900</v>
      </c>
    </row>
    <row r="125" spans="2:9" ht="21" x14ac:dyDescent="0.3">
      <c r="C125" s="3"/>
      <c r="D125" s="28"/>
      <c r="E125" s="49"/>
      <c r="F125" s="49"/>
      <c r="G125" s="49"/>
      <c r="H125" s="30"/>
      <c r="I125" s="128">
        <v>46800</v>
      </c>
    </row>
    <row r="126" spans="2:9" x14ac:dyDescent="0.3">
      <c r="B126" s="1"/>
      <c r="C126" s="28"/>
      <c r="D126" s="28"/>
      <c r="E126" s="81"/>
      <c r="F126" s="81"/>
      <c r="G126" s="81"/>
      <c r="H126" s="81"/>
      <c r="I126" s="81"/>
    </row>
    <row r="127" spans="2:9" ht="15.6" x14ac:dyDescent="0.3">
      <c r="B127" s="48" t="s">
        <v>926</v>
      </c>
      <c r="C127" s="48"/>
      <c r="D127" s="48"/>
      <c r="E127" s="48"/>
      <c r="F127" s="48"/>
      <c r="G127" s="48"/>
      <c r="H127" s="48"/>
      <c r="I127" s="48"/>
    </row>
    <row r="128" spans="2:9" x14ac:dyDescent="0.3">
      <c r="B128" s="43">
        <v>42795</v>
      </c>
      <c r="C128" s="30" t="s">
        <v>8</v>
      </c>
      <c r="D128" s="30" t="s">
        <v>301</v>
      </c>
      <c r="E128" s="30">
        <v>20850</v>
      </c>
      <c r="F128" s="30">
        <v>20845</v>
      </c>
      <c r="G128" s="30">
        <v>5</v>
      </c>
      <c r="H128" s="30">
        <v>160</v>
      </c>
      <c r="I128" s="30">
        <v>800</v>
      </c>
    </row>
    <row r="129" spans="2:9" x14ac:dyDescent="0.3">
      <c r="B129" s="43">
        <v>42796</v>
      </c>
      <c r="C129" s="30" t="s">
        <v>8</v>
      </c>
      <c r="D129" s="30" t="s">
        <v>301</v>
      </c>
      <c r="E129" s="30">
        <v>20910</v>
      </c>
      <c r="F129" s="30">
        <v>20610</v>
      </c>
      <c r="G129" s="30">
        <v>300</v>
      </c>
      <c r="H129" s="30">
        <v>160</v>
      </c>
      <c r="I129" s="30">
        <v>48000</v>
      </c>
    </row>
    <row r="130" spans="2:9" x14ac:dyDescent="0.3">
      <c r="B130" s="43">
        <v>42797</v>
      </c>
      <c r="C130" s="30" t="s">
        <v>8</v>
      </c>
      <c r="D130" s="30" t="s">
        <v>301</v>
      </c>
      <c r="E130" s="30">
        <v>20520</v>
      </c>
      <c r="F130" s="30">
        <v>20570</v>
      </c>
      <c r="G130" s="30">
        <v>-50</v>
      </c>
      <c r="H130" s="30">
        <v>160</v>
      </c>
      <c r="I130" s="30">
        <v>-8000</v>
      </c>
    </row>
    <row r="131" spans="2:9" x14ac:dyDescent="0.3">
      <c r="B131" s="43">
        <v>42800</v>
      </c>
      <c r="C131" s="30" t="s">
        <v>8</v>
      </c>
      <c r="D131" s="30" t="s">
        <v>301</v>
      </c>
      <c r="E131" s="30">
        <v>20770</v>
      </c>
      <c r="F131" s="30">
        <v>20670</v>
      </c>
      <c r="G131" s="30">
        <v>100</v>
      </c>
      <c r="H131" s="30">
        <v>160</v>
      </c>
      <c r="I131" s="30">
        <v>16000</v>
      </c>
    </row>
    <row r="132" spans="2:9" x14ac:dyDescent="0.3">
      <c r="B132" s="43">
        <v>42801</v>
      </c>
      <c r="C132" s="30" t="s">
        <v>8</v>
      </c>
      <c r="D132" s="30" t="s">
        <v>301</v>
      </c>
      <c r="E132" s="30">
        <v>20710</v>
      </c>
      <c r="F132" s="30">
        <v>20660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42802</v>
      </c>
      <c r="C133" s="30" t="s">
        <v>8</v>
      </c>
      <c r="D133" s="30" t="s">
        <v>301</v>
      </c>
      <c r="E133" s="30">
        <v>20760</v>
      </c>
      <c r="F133" s="30">
        <v>20610</v>
      </c>
      <c r="G133" s="30">
        <v>150</v>
      </c>
      <c r="H133" s="30">
        <v>160</v>
      </c>
      <c r="I133" s="30">
        <v>24000</v>
      </c>
    </row>
    <row r="134" spans="2:9" x14ac:dyDescent="0.3">
      <c r="B134" s="43">
        <v>42803</v>
      </c>
      <c r="C134" s="30" t="s">
        <v>8</v>
      </c>
      <c r="D134" s="30" t="s">
        <v>301</v>
      </c>
      <c r="E134" s="30">
        <v>20750</v>
      </c>
      <c r="F134" s="30">
        <v>20790</v>
      </c>
      <c r="G134" s="30">
        <v>-40</v>
      </c>
      <c r="H134" s="30">
        <v>160</v>
      </c>
      <c r="I134" s="30">
        <v>-6400</v>
      </c>
    </row>
    <row r="135" spans="2:9" x14ac:dyDescent="0.3">
      <c r="B135" s="43">
        <v>42804</v>
      </c>
      <c r="C135" s="30" t="s">
        <v>8</v>
      </c>
      <c r="D135" s="30" t="s">
        <v>301</v>
      </c>
      <c r="E135" s="30">
        <v>20830</v>
      </c>
      <c r="F135" s="30">
        <v>20730</v>
      </c>
      <c r="G135" s="30">
        <v>100</v>
      </c>
      <c r="H135" s="30">
        <v>160</v>
      </c>
      <c r="I135" s="30">
        <v>16000</v>
      </c>
    </row>
    <row r="136" spans="2:9" x14ac:dyDescent="0.3">
      <c r="B136" s="43">
        <v>42808</v>
      </c>
      <c r="C136" s="30" t="s">
        <v>8</v>
      </c>
      <c r="D136" s="30" t="s">
        <v>301</v>
      </c>
      <c r="E136" s="30">
        <v>21170</v>
      </c>
      <c r="F136" s="30">
        <v>21120</v>
      </c>
      <c r="G136" s="30">
        <v>50</v>
      </c>
      <c r="H136" s="30">
        <v>160</v>
      </c>
      <c r="I136" s="30">
        <v>8000</v>
      </c>
    </row>
    <row r="137" spans="2:9" x14ac:dyDescent="0.3">
      <c r="B137" s="43">
        <v>42809</v>
      </c>
      <c r="C137" s="30" t="s">
        <v>8</v>
      </c>
      <c r="D137" s="30" t="s">
        <v>301</v>
      </c>
      <c r="E137" s="30">
        <v>21250</v>
      </c>
      <c r="F137" s="30">
        <v>21210</v>
      </c>
      <c r="G137" s="30">
        <v>40</v>
      </c>
      <c r="H137" s="30">
        <v>160</v>
      </c>
      <c r="I137" s="30">
        <v>6400</v>
      </c>
    </row>
    <row r="138" spans="2:9" x14ac:dyDescent="0.3">
      <c r="B138" s="43">
        <v>42810</v>
      </c>
      <c r="C138" s="30" t="s">
        <v>8</v>
      </c>
      <c r="D138" s="30" t="s">
        <v>301</v>
      </c>
      <c r="E138" s="30">
        <v>21300</v>
      </c>
      <c r="F138" s="30">
        <v>21250</v>
      </c>
      <c r="G138" s="30">
        <v>50</v>
      </c>
      <c r="H138" s="30">
        <v>160</v>
      </c>
      <c r="I138" s="30">
        <v>8000</v>
      </c>
    </row>
    <row r="139" spans="2:9" x14ac:dyDescent="0.3">
      <c r="B139" s="43">
        <v>42811</v>
      </c>
      <c r="C139" s="30" t="s">
        <v>8</v>
      </c>
      <c r="D139" s="30" t="s">
        <v>301</v>
      </c>
      <c r="E139" s="30">
        <v>21250</v>
      </c>
      <c r="F139" s="30">
        <v>21210</v>
      </c>
      <c r="G139" s="30">
        <v>40</v>
      </c>
      <c r="H139" s="30">
        <v>160</v>
      </c>
      <c r="I139" s="30">
        <v>6400</v>
      </c>
    </row>
    <row r="140" spans="2:9" x14ac:dyDescent="0.3">
      <c r="B140" s="43">
        <v>42814</v>
      </c>
      <c r="C140" s="30" t="s">
        <v>8</v>
      </c>
      <c r="D140" s="30" t="s">
        <v>301</v>
      </c>
      <c r="E140" s="30">
        <v>21170</v>
      </c>
      <c r="F140" s="30">
        <v>21180</v>
      </c>
      <c r="G140" s="30">
        <v>-10</v>
      </c>
      <c r="H140" s="30">
        <v>160</v>
      </c>
      <c r="I140" s="30">
        <v>-1600</v>
      </c>
    </row>
    <row r="141" spans="2:9" x14ac:dyDescent="0.3">
      <c r="B141" s="43">
        <v>42815</v>
      </c>
      <c r="C141" s="30" t="s">
        <v>8</v>
      </c>
      <c r="D141" s="30" t="s">
        <v>301</v>
      </c>
      <c r="E141" s="30">
        <v>21180</v>
      </c>
      <c r="F141" s="30">
        <v>21040</v>
      </c>
      <c r="G141" s="30">
        <v>140</v>
      </c>
      <c r="H141" s="30">
        <v>160</v>
      </c>
      <c r="I141" s="30">
        <v>22400</v>
      </c>
    </row>
    <row r="142" spans="2:9" x14ac:dyDescent="0.3">
      <c r="B142" s="43">
        <v>42816</v>
      </c>
      <c r="C142" s="30" t="s">
        <v>8</v>
      </c>
      <c r="D142" s="30" t="s">
        <v>301</v>
      </c>
      <c r="E142" s="30">
        <v>20910</v>
      </c>
      <c r="F142" s="30">
        <v>20830</v>
      </c>
      <c r="G142" s="30">
        <v>80</v>
      </c>
      <c r="H142" s="30">
        <v>160</v>
      </c>
      <c r="I142" s="30">
        <v>12800</v>
      </c>
    </row>
    <row r="143" spans="2:9" x14ac:dyDescent="0.3">
      <c r="B143" s="43">
        <v>42817</v>
      </c>
      <c r="C143" s="30" t="s">
        <v>8</v>
      </c>
      <c r="D143" s="30" t="s">
        <v>301</v>
      </c>
      <c r="E143" s="30">
        <v>20850</v>
      </c>
      <c r="F143" s="30">
        <v>20960</v>
      </c>
      <c r="G143" s="30">
        <v>-110</v>
      </c>
      <c r="H143" s="30">
        <v>160</v>
      </c>
      <c r="I143" s="30">
        <v>-17600</v>
      </c>
    </row>
    <row r="144" spans="2:9" x14ac:dyDescent="0.3">
      <c r="B144" s="43">
        <v>42818</v>
      </c>
      <c r="C144" s="30" t="s">
        <v>8</v>
      </c>
      <c r="D144" s="30" t="s">
        <v>301</v>
      </c>
      <c r="E144" s="30">
        <v>21170</v>
      </c>
      <c r="F144" s="30">
        <v>21130</v>
      </c>
      <c r="G144" s="30">
        <v>40</v>
      </c>
      <c r="H144" s="30">
        <v>160</v>
      </c>
      <c r="I144" s="30">
        <v>6400</v>
      </c>
    </row>
    <row r="145" spans="1:15" x14ac:dyDescent="0.3">
      <c r="B145" s="43">
        <v>42821</v>
      </c>
      <c r="C145" s="30" t="s">
        <v>8</v>
      </c>
      <c r="D145" s="30" t="s">
        <v>301</v>
      </c>
      <c r="E145" s="30">
        <v>21100</v>
      </c>
      <c r="F145" s="30">
        <v>21000</v>
      </c>
      <c r="G145" s="30">
        <v>100</v>
      </c>
      <c r="H145" s="30">
        <v>160</v>
      </c>
      <c r="I145" s="94">
        <v>16000</v>
      </c>
    </row>
    <row r="146" spans="1:15" x14ac:dyDescent="0.3">
      <c r="B146" s="43">
        <v>42822</v>
      </c>
      <c r="C146" s="30" t="s">
        <v>8</v>
      </c>
      <c r="D146" s="30" t="s">
        <v>301</v>
      </c>
      <c r="E146" s="30">
        <v>21200</v>
      </c>
      <c r="F146" s="30">
        <v>21215</v>
      </c>
      <c r="G146" s="30">
        <v>-15</v>
      </c>
      <c r="H146" s="30">
        <v>160</v>
      </c>
      <c r="I146" s="94">
        <v>-2400</v>
      </c>
    </row>
    <row r="147" spans="1:15" x14ac:dyDescent="0.3">
      <c r="B147" s="43">
        <v>42823</v>
      </c>
      <c r="C147" s="30" t="s">
        <v>8</v>
      </c>
      <c r="D147" s="30" t="s">
        <v>301</v>
      </c>
      <c r="E147" s="30">
        <v>21380</v>
      </c>
      <c r="F147" s="30">
        <v>21390</v>
      </c>
      <c r="G147" s="30">
        <v>-10</v>
      </c>
      <c r="H147" s="30">
        <v>160</v>
      </c>
      <c r="I147" s="94">
        <v>-1600</v>
      </c>
    </row>
    <row r="148" spans="1:15" x14ac:dyDescent="0.3">
      <c r="B148" s="43">
        <v>42824</v>
      </c>
      <c r="C148" s="30" t="s">
        <v>8</v>
      </c>
      <c r="D148" s="30" t="s">
        <v>301</v>
      </c>
      <c r="E148" s="30">
        <v>21470</v>
      </c>
      <c r="F148" s="30">
        <v>21450</v>
      </c>
      <c r="G148" s="30">
        <v>20</v>
      </c>
      <c r="H148" s="30">
        <v>160</v>
      </c>
      <c r="I148" s="94">
        <v>3200</v>
      </c>
    </row>
    <row r="149" spans="1:15" ht="15.6" x14ac:dyDescent="0.3">
      <c r="B149" s="43">
        <v>42825</v>
      </c>
      <c r="C149" s="30" t="s">
        <v>8</v>
      </c>
      <c r="D149" s="30" t="s">
        <v>301</v>
      </c>
      <c r="E149" s="88">
        <v>21550</v>
      </c>
      <c r="F149" s="88">
        <v>21480</v>
      </c>
      <c r="G149" s="88">
        <v>70</v>
      </c>
      <c r="H149" s="88">
        <v>160</v>
      </c>
      <c r="I149" s="136">
        <v>11200</v>
      </c>
    </row>
    <row r="150" spans="1:15" ht="21" x14ac:dyDescent="0.4">
      <c r="B150" s="43"/>
      <c r="C150" s="30"/>
      <c r="D150" s="30"/>
      <c r="E150" s="30"/>
      <c r="F150" s="30"/>
      <c r="G150" s="30"/>
      <c r="H150" s="30"/>
      <c r="I150" s="112">
        <v>176000</v>
      </c>
      <c r="K150" s="30"/>
      <c r="L150" s="30"/>
      <c r="M150" s="30"/>
      <c r="N150" s="30"/>
      <c r="O150" s="30"/>
    </row>
    <row r="151" spans="1:15" s="30" customFormat="1" x14ac:dyDescent="0.3">
      <c r="A151" s="9"/>
      <c r="B151" s="43"/>
      <c r="J151" s="9"/>
      <c r="K151" s="130"/>
      <c r="L151" s="130"/>
      <c r="M151" s="130"/>
      <c r="N151" s="130"/>
      <c r="O151" s="130"/>
    </row>
    <row r="152" spans="1:15" s="130" customFormat="1" ht="18" x14ac:dyDescent="0.35">
      <c r="B152" s="299" t="s">
        <v>1152</v>
      </c>
      <c r="C152" s="300"/>
      <c r="D152" s="300"/>
      <c r="E152" s="300"/>
      <c r="F152" s="300"/>
      <c r="G152" s="300"/>
      <c r="H152" s="300"/>
      <c r="I152" s="301"/>
      <c r="K152" s="10"/>
      <c r="L152" s="10"/>
      <c r="M152" s="10"/>
      <c r="N152" s="10"/>
      <c r="O152" s="10"/>
    </row>
    <row r="153" spans="1:15" ht="18" x14ac:dyDescent="0.35">
      <c r="B153" s="43">
        <v>42795</v>
      </c>
      <c r="C153" s="30" t="s">
        <v>9</v>
      </c>
      <c r="D153" s="30" t="s">
        <v>2014</v>
      </c>
      <c r="E153" s="30">
        <v>300</v>
      </c>
      <c r="F153" s="30">
        <v>305</v>
      </c>
      <c r="G153" s="30">
        <v>5</v>
      </c>
      <c r="H153" s="30">
        <v>160</v>
      </c>
      <c r="I153" s="30">
        <v>800</v>
      </c>
      <c r="K153" s="100"/>
      <c r="L153" s="100"/>
      <c r="M153" s="100"/>
      <c r="N153" s="100"/>
      <c r="O153" s="100"/>
    </row>
    <row r="154" spans="1:15" x14ac:dyDescent="0.3">
      <c r="B154" s="43">
        <v>42796</v>
      </c>
      <c r="C154" s="30" t="s">
        <v>9</v>
      </c>
      <c r="D154" s="30" t="s">
        <v>2017</v>
      </c>
      <c r="E154" s="30">
        <v>310</v>
      </c>
      <c r="F154" s="30">
        <v>470</v>
      </c>
      <c r="G154" s="30">
        <v>160</v>
      </c>
      <c r="H154" s="30">
        <v>160</v>
      </c>
      <c r="I154" s="30">
        <v>25600</v>
      </c>
      <c r="L154" s="30"/>
    </row>
    <row r="155" spans="1:15" x14ac:dyDescent="0.3">
      <c r="B155" s="43">
        <v>42797</v>
      </c>
      <c r="C155" s="30" t="s">
        <v>9</v>
      </c>
      <c r="D155" s="30" t="s">
        <v>1801</v>
      </c>
      <c r="E155" s="30">
        <v>350</v>
      </c>
      <c r="F155" s="30">
        <v>330</v>
      </c>
      <c r="G155" s="30">
        <v>-20</v>
      </c>
      <c r="H155" s="30">
        <v>160</v>
      </c>
      <c r="I155" s="30">
        <v>-3200</v>
      </c>
      <c r="K155" s="10" t="s">
        <v>2008</v>
      </c>
      <c r="L155" s="30"/>
    </row>
    <row r="156" spans="1:15" x14ac:dyDescent="0.3">
      <c r="B156" s="43">
        <v>42800</v>
      </c>
      <c r="C156" s="30" t="s">
        <v>9</v>
      </c>
      <c r="D156" s="30" t="s">
        <v>2014</v>
      </c>
      <c r="E156" s="30">
        <v>320</v>
      </c>
      <c r="F156" s="30">
        <v>380</v>
      </c>
      <c r="G156" s="30">
        <v>60</v>
      </c>
      <c r="H156" s="30">
        <v>160</v>
      </c>
      <c r="I156" s="30">
        <v>9600</v>
      </c>
      <c r="L156" s="30"/>
    </row>
    <row r="157" spans="1:15" x14ac:dyDescent="0.3">
      <c r="B157" s="43">
        <v>42801</v>
      </c>
      <c r="C157" s="30" t="s">
        <v>9</v>
      </c>
      <c r="D157" s="30" t="s">
        <v>2014</v>
      </c>
      <c r="E157" s="30">
        <v>350</v>
      </c>
      <c r="F157" s="30">
        <v>345</v>
      </c>
      <c r="G157" s="30">
        <v>-5</v>
      </c>
      <c r="H157" s="30">
        <v>160</v>
      </c>
      <c r="I157" s="30">
        <v>-800</v>
      </c>
      <c r="L157" s="30"/>
    </row>
    <row r="158" spans="1:15" x14ac:dyDescent="0.3">
      <c r="B158" s="43">
        <v>42802</v>
      </c>
      <c r="C158" s="30" t="s">
        <v>9</v>
      </c>
      <c r="D158" s="30" t="s">
        <v>2014</v>
      </c>
      <c r="E158" s="30">
        <v>330</v>
      </c>
      <c r="F158" s="30">
        <v>400</v>
      </c>
      <c r="G158" s="30">
        <v>70</v>
      </c>
      <c r="H158" s="30">
        <v>160</v>
      </c>
      <c r="I158" s="30">
        <v>11200</v>
      </c>
      <c r="L158" s="30"/>
    </row>
    <row r="159" spans="1:15" x14ac:dyDescent="0.3">
      <c r="B159" s="43">
        <v>42803</v>
      </c>
      <c r="C159" s="30" t="s">
        <v>9</v>
      </c>
      <c r="D159" s="30" t="s">
        <v>2014</v>
      </c>
      <c r="E159" s="30">
        <v>350</v>
      </c>
      <c r="F159" s="30">
        <v>315</v>
      </c>
      <c r="G159" s="30">
        <v>-35</v>
      </c>
      <c r="H159" s="30">
        <v>160</v>
      </c>
      <c r="I159" s="30">
        <v>-5600</v>
      </c>
      <c r="L159" s="30"/>
    </row>
    <row r="160" spans="1:15" x14ac:dyDescent="0.3">
      <c r="B160" s="43">
        <v>42804</v>
      </c>
      <c r="C160" s="30" t="s">
        <v>9</v>
      </c>
      <c r="D160" s="30" t="s">
        <v>2014</v>
      </c>
      <c r="E160" s="30">
        <v>290</v>
      </c>
      <c r="F160" s="30">
        <v>340</v>
      </c>
      <c r="G160" s="30">
        <v>50</v>
      </c>
      <c r="H160" s="30">
        <v>160</v>
      </c>
      <c r="I160" s="30">
        <v>8000</v>
      </c>
    </row>
    <row r="161" spans="2:15" x14ac:dyDescent="0.3">
      <c r="B161" s="43">
        <v>42808</v>
      </c>
      <c r="C161" s="30" t="s">
        <v>9</v>
      </c>
      <c r="D161" s="30" t="s">
        <v>2049</v>
      </c>
      <c r="E161" s="30">
        <v>280</v>
      </c>
      <c r="F161" s="30">
        <v>305</v>
      </c>
      <c r="G161" s="30">
        <v>25</v>
      </c>
      <c r="H161" s="30">
        <v>160</v>
      </c>
      <c r="I161" s="30">
        <v>4000</v>
      </c>
    </row>
    <row r="162" spans="2:15" x14ac:dyDescent="0.3">
      <c r="B162" s="43">
        <v>42809</v>
      </c>
      <c r="C162" s="30" t="s">
        <v>9</v>
      </c>
      <c r="D162" s="30" t="s">
        <v>2049</v>
      </c>
      <c r="E162" s="30">
        <v>230</v>
      </c>
      <c r="F162" s="30">
        <v>250</v>
      </c>
      <c r="G162" s="30">
        <v>20</v>
      </c>
      <c r="H162" s="30">
        <v>160</v>
      </c>
      <c r="I162" s="30">
        <v>3200</v>
      </c>
    </row>
    <row r="163" spans="2:15" x14ac:dyDescent="0.3">
      <c r="B163" s="43">
        <v>42810</v>
      </c>
      <c r="C163" s="30" t="s">
        <v>9</v>
      </c>
      <c r="D163" s="30" t="s">
        <v>2049</v>
      </c>
      <c r="E163" s="30">
        <v>190</v>
      </c>
      <c r="F163" s="30">
        <v>175</v>
      </c>
      <c r="G163" s="30">
        <v>-15</v>
      </c>
      <c r="H163" s="30">
        <v>160</v>
      </c>
      <c r="I163" s="30">
        <v>-2400</v>
      </c>
    </row>
    <row r="164" spans="2:15" x14ac:dyDescent="0.3">
      <c r="B164" s="43">
        <v>42811</v>
      </c>
      <c r="C164" s="30" t="s">
        <v>9</v>
      </c>
      <c r="D164" s="30" t="s">
        <v>2053</v>
      </c>
      <c r="E164" s="30">
        <v>230</v>
      </c>
      <c r="F164" s="30">
        <v>260</v>
      </c>
      <c r="G164" s="30">
        <v>30</v>
      </c>
      <c r="H164" s="30">
        <v>160</v>
      </c>
      <c r="I164" s="30">
        <v>4800</v>
      </c>
    </row>
    <row r="165" spans="2:15" x14ac:dyDescent="0.3">
      <c r="B165" s="43">
        <v>42814</v>
      </c>
      <c r="C165" s="30" t="s">
        <v>9</v>
      </c>
      <c r="D165" s="30" t="s">
        <v>2049</v>
      </c>
      <c r="E165" s="30">
        <v>220</v>
      </c>
      <c r="F165" s="30">
        <v>200</v>
      </c>
      <c r="G165" s="30">
        <v>-20</v>
      </c>
      <c r="H165" s="30">
        <v>160</v>
      </c>
      <c r="I165" s="30">
        <v>-3200</v>
      </c>
    </row>
    <row r="166" spans="2:15" x14ac:dyDescent="0.3">
      <c r="B166" s="43">
        <v>42815</v>
      </c>
      <c r="C166" s="30" t="s">
        <v>9</v>
      </c>
      <c r="D166" s="30" t="s">
        <v>2049</v>
      </c>
      <c r="E166" s="30">
        <v>190</v>
      </c>
      <c r="F166" s="30">
        <v>250</v>
      </c>
      <c r="G166" s="30">
        <v>60</v>
      </c>
      <c r="H166" s="30">
        <v>160</v>
      </c>
      <c r="I166" s="30">
        <v>9600</v>
      </c>
    </row>
    <row r="167" spans="2:15" x14ac:dyDescent="0.3">
      <c r="B167" s="43">
        <v>42816</v>
      </c>
      <c r="C167" s="30" t="s">
        <v>9</v>
      </c>
      <c r="D167" s="30" t="s">
        <v>2055</v>
      </c>
      <c r="E167" s="30">
        <v>210</v>
      </c>
      <c r="F167" s="30">
        <v>255</v>
      </c>
      <c r="G167" s="30">
        <v>45</v>
      </c>
      <c r="H167" s="30">
        <v>160</v>
      </c>
      <c r="I167" s="30">
        <v>7200</v>
      </c>
    </row>
    <row r="168" spans="2:15" x14ac:dyDescent="0.3">
      <c r="B168" s="43">
        <v>42817</v>
      </c>
      <c r="C168" s="30" t="s">
        <v>9</v>
      </c>
      <c r="D168" s="30" t="s">
        <v>2055</v>
      </c>
      <c r="E168" s="30">
        <v>240</v>
      </c>
      <c r="F168" s="30">
        <v>180</v>
      </c>
      <c r="G168" s="30">
        <v>-60</v>
      </c>
      <c r="H168" s="30">
        <v>160</v>
      </c>
      <c r="I168" s="30">
        <v>-9600</v>
      </c>
    </row>
    <row r="169" spans="2:15" x14ac:dyDescent="0.3">
      <c r="B169" s="43">
        <v>42818</v>
      </c>
      <c r="C169" s="30" t="s">
        <v>9</v>
      </c>
      <c r="D169" s="30" t="s">
        <v>2049</v>
      </c>
      <c r="E169" s="30">
        <v>150</v>
      </c>
      <c r="F169" s="30">
        <v>170</v>
      </c>
      <c r="G169" s="30">
        <v>20</v>
      </c>
      <c r="H169" s="30">
        <v>160</v>
      </c>
      <c r="I169" s="30">
        <v>3200</v>
      </c>
    </row>
    <row r="170" spans="2:15" x14ac:dyDescent="0.3">
      <c r="B170" s="43">
        <v>42821</v>
      </c>
      <c r="C170" s="30" t="s">
        <v>9</v>
      </c>
      <c r="D170" s="30" t="s">
        <v>2049</v>
      </c>
      <c r="E170" s="30">
        <v>180</v>
      </c>
      <c r="F170" s="30">
        <v>240</v>
      </c>
      <c r="G170" s="30">
        <v>60</v>
      </c>
      <c r="H170" s="30">
        <v>160</v>
      </c>
      <c r="I170" s="30">
        <v>9600</v>
      </c>
    </row>
    <row r="171" spans="2:15" x14ac:dyDescent="0.3">
      <c r="B171" s="43">
        <v>42822</v>
      </c>
      <c r="C171" s="30" t="s">
        <v>9</v>
      </c>
      <c r="D171" s="30" t="s">
        <v>2053</v>
      </c>
      <c r="E171" s="30">
        <v>150</v>
      </c>
      <c r="F171" s="30">
        <v>135</v>
      </c>
      <c r="G171" s="30">
        <v>-15</v>
      </c>
      <c r="H171" s="30">
        <v>160</v>
      </c>
      <c r="I171" s="30">
        <v>-2400</v>
      </c>
    </row>
    <row r="172" spans="2:15" x14ac:dyDescent="0.3">
      <c r="B172" s="43">
        <v>42823</v>
      </c>
      <c r="C172" s="30" t="s">
        <v>9</v>
      </c>
      <c r="D172" s="30" t="s">
        <v>2061</v>
      </c>
      <c r="E172" s="30">
        <v>90</v>
      </c>
      <c r="F172" s="30">
        <v>75</v>
      </c>
      <c r="G172" s="30">
        <v>-15</v>
      </c>
      <c r="H172" s="30">
        <v>160</v>
      </c>
      <c r="I172" s="30">
        <v>-2400</v>
      </c>
    </row>
    <row r="173" spans="2:15" x14ac:dyDescent="0.3">
      <c r="B173" s="43">
        <v>42824</v>
      </c>
      <c r="C173" s="30" t="s">
        <v>9</v>
      </c>
      <c r="D173" s="30" t="s">
        <v>2062</v>
      </c>
      <c r="E173" s="30">
        <v>60</v>
      </c>
      <c r="F173" s="30">
        <v>60</v>
      </c>
      <c r="G173" s="30">
        <v>0</v>
      </c>
      <c r="H173" s="30">
        <v>160</v>
      </c>
      <c r="I173" s="30">
        <v>0</v>
      </c>
    </row>
    <row r="174" spans="2:15" x14ac:dyDescent="0.3">
      <c r="B174" s="43">
        <v>42825</v>
      </c>
      <c r="C174" s="30" t="s">
        <v>9</v>
      </c>
      <c r="D174" s="30" t="s">
        <v>2062</v>
      </c>
      <c r="E174" s="30">
        <v>320</v>
      </c>
      <c r="F174" s="30">
        <v>360</v>
      </c>
      <c r="G174" s="30">
        <v>40</v>
      </c>
      <c r="H174" s="30">
        <v>160</v>
      </c>
      <c r="I174" s="30">
        <v>6400</v>
      </c>
    </row>
    <row r="175" spans="2:15" ht="18" x14ac:dyDescent="0.35">
      <c r="C175" s="30"/>
      <c r="D175" s="30"/>
      <c r="E175" s="30"/>
      <c r="F175" s="30"/>
      <c r="G175" s="30"/>
      <c r="H175" s="30"/>
      <c r="I175" s="72">
        <v>73600</v>
      </c>
    </row>
    <row r="176" spans="2:15" x14ac:dyDescent="0.3">
      <c r="K176" s="130"/>
      <c r="L176" s="130"/>
      <c r="M176" s="130"/>
      <c r="N176" s="130"/>
      <c r="O176" s="130"/>
    </row>
    <row r="177" spans="1:15" s="131" customFormat="1" ht="18" x14ac:dyDescent="0.35">
      <c r="B177" s="299" t="s">
        <v>1076</v>
      </c>
      <c r="C177" s="300"/>
      <c r="D177" s="300"/>
      <c r="E177" s="300"/>
      <c r="F177" s="300"/>
      <c r="G177" s="300"/>
      <c r="H177" s="300"/>
      <c r="I177" s="301"/>
      <c r="K177" s="10"/>
      <c r="L177" s="10"/>
      <c r="M177" s="10"/>
      <c r="N177" s="10"/>
      <c r="O177" s="10"/>
    </row>
    <row r="178" spans="1:15" x14ac:dyDescent="0.3">
      <c r="B178" s="43">
        <v>42795</v>
      </c>
      <c r="C178" s="30" t="s">
        <v>9</v>
      </c>
      <c r="D178" s="30" t="s">
        <v>1845</v>
      </c>
      <c r="E178" s="30">
        <v>18</v>
      </c>
      <c r="F178" s="30">
        <v>21.2</v>
      </c>
      <c r="G178" s="30">
        <v>2.2000000000000002</v>
      </c>
      <c r="H178" s="30">
        <v>1200</v>
      </c>
      <c r="I178" s="30">
        <v>2640</v>
      </c>
    </row>
    <row r="179" spans="1:15" x14ac:dyDescent="0.3">
      <c r="B179" s="43">
        <v>42796</v>
      </c>
      <c r="C179" s="30" t="s">
        <v>9</v>
      </c>
      <c r="D179" s="30" t="s">
        <v>2041</v>
      </c>
      <c r="E179" s="30">
        <v>44</v>
      </c>
      <c r="F179" s="30">
        <v>34</v>
      </c>
      <c r="G179" s="30">
        <v>-10</v>
      </c>
      <c r="H179" s="30">
        <v>500</v>
      </c>
      <c r="I179" s="30">
        <v>-5000</v>
      </c>
    </row>
    <row r="180" spans="1:15" x14ac:dyDescent="0.3">
      <c r="B180" s="43">
        <v>42797</v>
      </c>
      <c r="C180" s="30" t="s">
        <v>9</v>
      </c>
      <c r="D180" s="30" t="s">
        <v>2042</v>
      </c>
      <c r="E180" s="30">
        <v>22</v>
      </c>
      <c r="F180" s="30">
        <v>19.100000000000001</v>
      </c>
      <c r="G180" s="30">
        <v>-2.9</v>
      </c>
      <c r="H180" s="30">
        <v>600</v>
      </c>
      <c r="I180" s="30">
        <v>-1740</v>
      </c>
    </row>
    <row r="181" spans="1:15" x14ac:dyDescent="0.3">
      <c r="B181" s="43">
        <v>42800</v>
      </c>
      <c r="C181" s="30" t="s">
        <v>9</v>
      </c>
      <c r="D181" s="30" t="s">
        <v>2043</v>
      </c>
      <c r="E181" s="30">
        <v>40</v>
      </c>
      <c r="F181" s="30">
        <v>34</v>
      </c>
      <c r="G181" s="30">
        <v>-6</v>
      </c>
      <c r="H181" s="30">
        <v>700</v>
      </c>
      <c r="I181" s="30">
        <v>-4200</v>
      </c>
    </row>
    <row r="182" spans="1:15" x14ac:dyDescent="0.3">
      <c r="B182" s="43">
        <v>42801</v>
      </c>
      <c r="C182" s="30" t="s">
        <v>9</v>
      </c>
      <c r="D182" s="30" t="s">
        <v>2044</v>
      </c>
      <c r="E182" s="30">
        <v>32</v>
      </c>
      <c r="F182" s="30">
        <v>31</v>
      </c>
      <c r="G182" s="30">
        <v>-1</v>
      </c>
      <c r="H182" s="30">
        <v>500</v>
      </c>
      <c r="I182" s="30">
        <v>-500</v>
      </c>
    </row>
    <row r="183" spans="1:15" x14ac:dyDescent="0.3">
      <c r="B183" s="43">
        <v>42802</v>
      </c>
      <c r="C183" s="30" t="s">
        <v>9</v>
      </c>
      <c r="D183" s="30" t="s">
        <v>2045</v>
      </c>
      <c r="E183" s="30">
        <v>15</v>
      </c>
      <c r="F183" s="30">
        <v>19.3</v>
      </c>
      <c r="G183" s="30">
        <v>4.3</v>
      </c>
      <c r="H183" s="30">
        <v>1200</v>
      </c>
      <c r="I183" s="30">
        <v>5160</v>
      </c>
    </row>
    <row r="184" spans="1:15" x14ac:dyDescent="0.3">
      <c r="B184" s="43">
        <v>42803</v>
      </c>
      <c r="C184" s="30" t="s">
        <v>9</v>
      </c>
      <c r="D184" s="30" t="s">
        <v>2045</v>
      </c>
      <c r="E184" s="30">
        <v>12</v>
      </c>
      <c r="F184" s="30">
        <v>13.5</v>
      </c>
      <c r="G184" s="30">
        <v>1.5</v>
      </c>
      <c r="H184" s="30">
        <v>1200</v>
      </c>
      <c r="I184" s="30">
        <v>1800</v>
      </c>
    </row>
    <row r="185" spans="1:15" x14ac:dyDescent="0.3">
      <c r="B185" s="43">
        <v>42804</v>
      </c>
      <c r="C185" s="30" t="s">
        <v>9</v>
      </c>
      <c r="D185" s="30" t="s">
        <v>2045</v>
      </c>
      <c r="E185" s="30">
        <v>11</v>
      </c>
      <c r="F185" s="30">
        <v>12.5</v>
      </c>
      <c r="G185" s="30">
        <v>1.5</v>
      </c>
      <c r="H185" s="30">
        <v>1200</v>
      </c>
      <c r="I185" s="30">
        <v>1800</v>
      </c>
    </row>
    <row r="186" spans="1:15" x14ac:dyDescent="0.3">
      <c r="B186" s="43">
        <v>42808</v>
      </c>
      <c r="C186" s="30" t="s">
        <v>9</v>
      </c>
      <c r="D186" s="30" t="s">
        <v>2050</v>
      </c>
      <c r="E186" s="30">
        <v>50</v>
      </c>
      <c r="F186" s="30">
        <v>35</v>
      </c>
      <c r="G186" s="30">
        <v>-15</v>
      </c>
      <c r="H186" s="30">
        <v>200</v>
      </c>
      <c r="I186" s="30">
        <v>-3000</v>
      </c>
    </row>
    <row r="187" spans="1:15" x14ac:dyDescent="0.3">
      <c r="B187" s="43">
        <v>42809</v>
      </c>
      <c r="C187" s="30" t="s">
        <v>9</v>
      </c>
      <c r="D187" s="30" t="s">
        <v>2051</v>
      </c>
      <c r="E187" s="30">
        <v>30</v>
      </c>
      <c r="F187" s="30">
        <v>32</v>
      </c>
      <c r="G187" s="30">
        <v>2</v>
      </c>
      <c r="H187" s="30">
        <v>500</v>
      </c>
      <c r="I187" s="30">
        <v>1000</v>
      </c>
    </row>
    <row r="188" spans="1:15" x14ac:dyDescent="0.3">
      <c r="B188" s="43">
        <v>42810</v>
      </c>
      <c r="C188" s="30" t="s">
        <v>9</v>
      </c>
      <c r="D188" s="30" t="s">
        <v>2052</v>
      </c>
      <c r="E188" s="30">
        <v>4</v>
      </c>
      <c r="F188" s="30">
        <v>4</v>
      </c>
      <c r="G188" s="30">
        <v>0</v>
      </c>
      <c r="H188" s="30">
        <v>2500</v>
      </c>
      <c r="I188" s="30">
        <v>0</v>
      </c>
    </row>
    <row r="189" spans="1:15" x14ac:dyDescent="0.3">
      <c r="B189" s="43">
        <v>42811</v>
      </c>
      <c r="C189" s="30" t="s">
        <v>9</v>
      </c>
      <c r="D189" s="30" t="s">
        <v>2052</v>
      </c>
      <c r="E189" s="30">
        <v>4.8</v>
      </c>
      <c r="F189" s="30">
        <v>5.0999999999999996</v>
      </c>
      <c r="G189" s="30">
        <v>0.3</v>
      </c>
      <c r="H189" s="30">
        <v>2500</v>
      </c>
      <c r="I189" s="30">
        <v>750</v>
      </c>
    </row>
    <row r="190" spans="1:15" x14ac:dyDescent="0.3">
      <c r="B190" s="43">
        <v>42814</v>
      </c>
      <c r="C190" s="30" t="s">
        <v>9</v>
      </c>
      <c r="D190" s="30" t="s">
        <v>2056</v>
      </c>
      <c r="E190" s="30">
        <v>4.5</v>
      </c>
      <c r="F190" s="30">
        <v>5.0999999999999996</v>
      </c>
      <c r="G190" s="30">
        <v>0.6</v>
      </c>
      <c r="H190" s="30">
        <v>3500</v>
      </c>
      <c r="I190" s="30">
        <v>2100</v>
      </c>
      <c r="K190" s="30"/>
      <c r="L190" s="30"/>
      <c r="M190" s="30"/>
      <c r="N190" s="30"/>
      <c r="O190" s="30"/>
    </row>
    <row r="191" spans="1:15" s="30" customFormat="1" x14ac:dyDescent="0.3">
      <c r="A191" s="9"/>
      <c r="B191" s="43">
        <v>42815</v>
      </c>
      <c r="C191" s="30" t="s">
        <v>9</v>
      </c>
      <c r="D191" s="30" t="s">
        <v>2056</v>
      </c>
      <c r="E191" s="30">
        <v>4.5999999999999996</v>
      </c>
      <c r="F191" s="30">
        <v>6</v>
      </c>
      <c r="G191" s="30">
        <v>1.4</v>
      </c>
      <c r="H191" s="30">
        <v>3500</v>
      </c>
      <c r="I191" s="30">
        <v>4900</v>
      </c>
      <c r="J191" s="9"/>
    </row>
    <row r="192" spans="1:15" s="30" customFormat="1" x14ac:dyDescent="0.3">
      <c r="A192" s="9"/>
      <c r="B192" s="43">
        <v>42816</v>
      </c>
      <c r="C192" s="30" t="s">
        <v>9</v>
      </c>
      <c r="D192" s="30" t="s">
        <v>2057</v>
      </c>
      <c r="E192" s="30">
        <v>10</v>
      </c>
      <c r="F192" s="30">
        <v>18</v>
      </c>
      <c r="G192" s="30">
        <v>8</v>
      </c>
      <c r="H192" s="30">
        <v>1200</v>
      </c>
      <c r="I192" s="30">
        <v>9600</v>
      </c>
      <c r="J192" s="9"/>
    </row>
    <row r="193" spans="1:15" s="30" customFormat="1" x14ac:dyDescent="0.3">
      <c r="A193" s="9"/>
      <c r="B193" s="43">
        <v>42817</v>
      </c>
      <c r="C193" s="30" t="s">
        <v>9</v>
      </c>
      <c r="D193" s="30" t="s">
        <v>1469</v>
      </c>
      <c r="E193" s="30">
        <v>11</v>
      </c>
      <c r="F193" s="30">
        <v>13</v>
      </c>
      <c r="G193" s="30">
        <v>2</v>
      </c>
      <c r="H193" s="30">
        <v>1200</v>
      </c>
      <c r="I193" s="30">
        <v>2400</v>
      </c>
      <c r="J193" s="9"/>
    </row>
    <row r="194" spans="1:15" s="30" customFormat="1" x14ac:dyDescent="0.3">
      <c r="A194" s="9"/>
      <c r="B194" s="43">
        <v>42818</v>
      </c>
      <c r="C194" s="30" t="s">
        <v>9</v>
      </c>
      <c r="D194" s="30" t="s">
        <v>2057</v>
      </c>
      <c r="E194" s="30">
        <v>10</v>
      </c>
      <c r="F194" s="30">
        <v>13.5</v>
      </c>
      <c r="G194" s="30">
        <v>3.5</v>
      </c>
      <c r="H194" s="30">
        <v>1200</v>
      </c>
      <c r="I194" s="30">
        <v>4200</v>
      </c>
      <c r="J194" s="9"/>
    </row>
    <row r="195" spans="1:15" s="30" customFormat="1" x14ac:dyDescent="0.3">
      <c r="A195" s="9"/>
      <c r="B195" s="43">
        <v>42821</v>
      </c>
      <c r="C195" s="30" t="s">
        <v>9</v>
      </c>
      <c r="D195" s="30" t="s">
        <v>1373</v>
      </c>
      <c r="E195" s="30">
        <v>9</v>
      </c>
      <c r="F195" s="30">
        <v>7</v>
      </c>
      <c r="G195" s="30">
        <v>-2</v>
      </c>
      <c r="H195" s="30">
        <v>1300</v>
      </c>
      <c r="I195" s="30">
        <v>-2600</v>
      </c>
      <c r="J195" s="9"/>
    </row>
    <row r="196" spans="1:15" s="30" customFormat="1" x14ac:dyDescent="0.3">
      <c r="A196" s="9"/>
      <c r="B196" s="43">
        <v>42822</v>
      </c>
      <c r="C196" s="30" t="s">
        <v>9</v>
      </c>
      <c r="D196" s="30" t="s">
        <v>2063</v>
      </c>
      <c r="E196" s="30">
        <v>27</v>
      </c>
      <c r="F196" s="30">
        <v>23</v>
      </c>
      <c r="G196" s="30">
        <v>-4</v>
      </c>
      <c r="H196" s="30">
        <v>700</v>
      </c>
      <c r="I196" s="30">
        <v>-2800</v>
      </c>
      <c r="J196" s="9"/>
    </row>
    <row r="197" spans="1:15" s="30" customFormat="1" x14ac:dyDescent="0.3">
      <c r="A197" s="9"/>
      <c r="B197" s="43">
        <v>42823</v>
      </c>
      <c r="C197" s="30" t="s">
        <v>9</v>
      </c>
      <c r="D197" s="30" t="s">
        <v>2064</v>
      </c>
      <c r="E197" s="30">
        <v>2</v>
      </c>
      <c r="F197" s="30">
        <v>2</v>
      </c>
      <c r="G197" s="30">
        <v>0</v>
      </c>
      <c r="H197" s="30">
        <v>3500</v>
      </c>
      <c r="I197" s="30">
        <v>0</v>
      </c>
      <c r="J197" s="9"/>
    </row>
    <row r="198" spans="1:15" s="30" customFormat="1" ht="15.6" x14ac:dyDescent="0.3">
      <c r="A198" s="9"/>
      <c r="B198" s="43">
        <v>42824</v>
      </c>
      <c r="C198" s="30" t="s">
        <v>9</v>
      </c>
      <c r="D198" s="30" t="s">
        <v>2057</v>
      </c>
      <c r="E198" s="30">
        <v>3</v>
      </c>
      <c r="F198" s="30">
        <v>4</v>
      </c>
      <c r="G198" s="30">
        <v>1</v>
      </c>
      <c r="H198" s="30">
        <v>1200</v>
      </c>
      <c r="I198" s="77">
        <v>1200</v>
      </c>
      <c r="J198" s="9"/>
    </row>
    <row r="199" spans="1:15" s="30" customFormat="1" x14ac:dyDescent="0.3">
      <c r="A199" s="9"/>
      <c r="B199" s="43">
        <v>42825</v>
      </c>
      <c r="C199" s="30" t="s">
        <v>9</v>
      </c>
      <c r="D199" s="30" t="s">
        <v>2057</v>
      </c>
      <c r="E199" s="30">
        <v>14</v>
      </c>
      <c r="F199" s="30">
        <v>21</v>
      </c>
      <c r="G199" s="30">
        <v>7</v>
      </c>
      <c r="H199" s="30">
        <v>1200</v>
      </c>
      <c r="I199" s="30">
        <v>8400</v>
      </c>
      <c r="J199" s="9"/>
      <c r="K199" s="10"/>
      <c r="L199" s="10"/>
      <c r="M199" s="10"/>
      <c r="N199" s="10"/>
      <c r="O199" s="10"/>
    </row>
    <row r="200" spans="1:15" ht="18" x14ac:dyDescent="0.35">
      <c r="I200" s="72">
        <v>26110</v>
      </c>
    </row>
    <row r="201" spans="1:15" x14ac:dyDescent="0.3">
      <c r="B201" s="43"/>
    </row>
    <row r="202" spans="1:15" x14ac:dyDescent="0.3">
      <c r="B202" s="43"/>
    </row>
  </sheetData>
  <mergeCells count="5">
    <mergeCell ref="B152:I152"/>
    <mergeCell ref="B177:I177"/>
    <mergeCell ref="B1:I1"/>
    <mergeCell ref="B2:I2"/>
    <mergeCell ref="B3:I3"/>
  </mergeCells>
  <hyperlinks>
    <hyperlink ref="K2" location="'MASTER '!A1" display="Back" xr:uid="{00000000-0004-0000-2F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167"/>
  <sheetViews>
    <sheetView topLeftCell="A25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</row>
    <row r="3" spans="1:15" ht="15.6" x14ac:dyDescent="0.3">
      <c r="A3" s="11"/>
      <c r="B3" s="284" t="s">
        <v>2065</v>
      </c>
      <c r="C3" s="284"/>
      <c r="D3" s="284"/>
      <c r="E3" s="284"/>
      <c r="F3" s="284"/>
      <c r="G3" s="284"/>
      <c r="H3" s="284"/>
      <c r="I3" s="284"/>
      <c r="J3" s="11"/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L5" s="16"/>
    </row>
    <row r="6" spans="1:15" x14ac:dyDescent="0.3">
      <c r="B6" s="43">
        <v>42828</v>
      </c>
      <c r="C6" s="2" t="s">
        <v>9</v>
      </c>
      <c r="D6" s="2" t="s">
        <v>78</v>
      </c>
      <c r="E6" s="90" t="s">
        <v>2066</v>
      </c>
      <c r="F6" s="91" t="s">
        <v>2067</v>
      </c>
      <c r="G6" s="91" t="s">
        <v>2068</v>
      </c>
      <c r="H6" s="92">
        <v>186.10421836228286</v>
      </c>
      <c r="I6" s="93">
        <v>5210.9181141439203</v>
      </c>
      <c r="L6" s="16"/>
    </row>
    <row r="7" spans="1:15" x14ac:dyDescent="0.3">
      <c r="B7" s="43">
        <v>42828</v>
      </c>
      <c r="C7" s="2" t="s">
        <v>8</v>
      </c>
      <c r="D7" s="2" t="s">
        <v>2023</v>
      </c>
      <c r="E7" s="41" t="s">
        <v>591</v>
      </c>
      <c r="F7" s="40" t="s">
        <v>1401</v>
      </c>
      <c r="G7" s="40" t="s">
        <v>914</v>
      </c>
      <c r="H7" s="92">
        <v>257.51072961373393</v>
      </c>
      <c r="I7" s="93">
        <v>-2575.1072961373393</v>
      </c>
      <c r="L7" s="16"/>
    </row>
    <row r="8" spans="1:15" x14ac:dyDescent="0.3">
      <c r="B8" s="43">
        <v>42830</v>
      </c>
      <c r="C8" s="2" t="s">
        <v>9</v>
      </c>
      <c r="D8" s="2" t="s">
        <v>834</v>
      </c>
      <c r="E8" s="41" t="s">
        <v>2069</v>
      </c>
      <c r="F8" s="40" t="s">
        <v>2070</v>
      </c>
      <c r="G8" s="40" t="s">
        <v>2071</v>
      </c>
      <c r="H8" s="92">
        <v>1096.892138939671</v>
      </c>
      <c r="I8" s="93">
        <v>-877.51371115173686</v>
      </c>
      <c r="K8" s="133" t="s">
        <v>453</v>
      </c>
      <c r="L8" s="134" t="s">
        <v>448</v>
      </c>
      <c r="M8" s="134" t="s">
        <v>454</v>
      </c>
      <c r="N8" s="134" t="s">
        <v>455</v>
      </c>
      <c r="O8" s="134" t="s">
        <v>456</v>
      </c>
    </row>
    <row r="9" spans="1:15" x14ac:dyDescent="0.3">
      <c r="B9" s="43">
        <v>42830</v>
      </c>
      <c r="C9" s="2" t="s">
        <v>9</v>
      </c>
      <c r="D9" s="2" t="s">
        <v>95</v>
      </c>
      <c r="E9" s="41" t="s">
        <v>1774</v>
      </c>
      <c r="F9" s="40" t="s">
        <v>2072</v>
      </c>
      <c r="G9" s="40" t="s">
        <v>1120</v>
      </c>
      <c r="H9" s="92">
        <v>1056.338028169014</v>
      </c>
      <c r="I9" s="93">
        <v>1584.5070422535209</v>
      </c>
      <c r="K9" s="66"/>
      <c r="L9" s="67"/>
      <c r="M9" s="67"/>
      <c r="N9" s="67"/>
      <c r="O9" s="67"/>
    </row>
    <row r="10" spans="1:15" x14ac:dyDescent="0.3">
      <c r="B10" s="43">
        <v>42831</v>
      </c>
      <c r="C10" s="2" t="s">
        <v>9</v>
      </c>
      <c r="D10" s="2" t="s">
        <v>192</v>
      </c>
      <c r="E10" s="41" t="s">
        <v>2073</v>
      </c>
      <c r="F10" s="40" t="s">
        <v>604</v>
      </c>
      <c r="G10" s="40" t="s">
        <v>1405</v>
      </c>
      <c r="H10" s="92">
        <v>958.46645367412145</v>
      </c>
      <c r="I10" s="93">
        <v>-3833.8658146964858</v>
      </c>
      <c r="K10" s="16" t="s">
        <v>449</v>
      </c>
      <c r="L10" s="30">
        <v>36</v>
      </c>
      <c r="M10" s="30">
        <v>28</v>
      </c>
      <c r="N10" s="30">
        <v>7</v>
      </c>
      <c r="O10" s="30">
        <v>1</v>
      </c>
    </row>
    <row r="11" spans="1:15" x14ac:dyDescent="0.3">
      <c r="B11" s="43">
        <v>42831</v>
      </c>
      <c r="C11" s="2" t="s">
        <v>8</v>
      </c>
      <c r="D11" s="2" t="s">
        <v>111</v>
      </c>
      <c r="E11" s="41" t="s">
        <v>2074</v>
      </c>
      <c r="F11" s="40" t="s">
        <v>2075</v>
      </c>
      <c r="G11" s="40" t="s">
        <v>1025</v>
      </c>
      <c r="H11" s="92">
        <v>268.33631484794273</v>
      </c>
      <c r="I11" s="93">
        <v>2683.3631484794273</v>
      </c>
      <c r="K11" s="16"/>
      <c r="L11" s="30"/>
      <c r="M11" s="30"/>
      <c r="N11" s="30"/>
      <c r="O11" s="30"/>
    </row>
    <row r="12" spans="1:15" x14ac:dyDescent="0.3">
      <c r="B12" s="43">
        <v>42832</v>
      </c>
      <c r="C12" s="2" t="s">
        <v>9</v>
      </c>
      <c r="D12" s="2" t="s">
        <v>139</v>
      </c>
      <c r="E12" s="41" t="s">
        <v>2076</v>
      </c>
      <c r="F12" s="40" t="s">
        <v>1395</v>
      </c>
      <c r="G12" s="40" t="s">
        <v>489</v>
      </c>
      <c r="H12" s="92">
        <v>192.55455712451862</v>
      </c>
      <c r="I12" s="93">
        <v>3273.4274711168164</v>
      </c>
      <c r="K12" s="16" t="s">
        <v>450</v>
      </c>
      <c r="L12" s="30">
        <v>18</v>
      </c>
      <c r="M12" s="30">
        <v>11</v>
      </c>
      <c r="N12" s="30">
        <v>7</v>
      </c>
      <c r="O12" s="30">
        <v>0</v>
      </c>
    </row>
    <row r="13" spans="1:15" x14ac:dyDescent="0.3">
      <c r="B13" s="43">
        <v>42832</v>
      </c>
      <c r="C13" s="2" t="s">
        <v>8</v>
      </c>
      <c r="D13" s="2" t="s">
        <v>578</v>
      </c>
      <c r="E13" s="41" t="s">
        <v>318</v>
      </c>
      <c r="F13" s="40" t="s">
        <v>2077</v>
      </c>
      <c r="G13" s="40" t="s">
        <v>1265</v>
      </c>
      <c r="H13" s="92">
        <v>302.11480362537765</v>
      </c>
      <c r="I13" s="93">
        <v>4229.6072507552872</v>
      </c>
      <c r="K13" s="16"/>
      <c r="L13" s="30"/>
      <c r="M13" s="30"/>
      <c r="N13" s="30"/>
      <c r="O13" s="30"/>
    </row>
    <row r="14" spans="1:15" x14ac:dyDescent="0.3">
      <c r="B14" s="43">
        <v>42835</v>
      </c>
      <c r="C14" s="2" t="s">
        <v>9</v>
      </c>
      <c r="D14" s="2" t="s">
        <v>1568</v>
      </c>
      <c r="E14" s="41" t="s">
        <v>2089</v>
      </c>
      <c r="F14" s="40" t="s">
        <v>700</v>
      </c>
      <c r="G14" s="40" t="s">
        <v>1043</v>
      </c>
      <c r="H14" s="92">
        <v>684.93150684931504</v>
      </c>
      <c r="I14" s="93">
        <v>-3424.6575342465753</v>
      </c>
      <c r="K14" s="16" t="s">
        <v>451</v>
      </c>
      <c r="L14" s="30">
        <v>18</v>
      </c>
      <c r="M14" s="30">
        <v>12</v>
      </c>
      <c r="N14" s="30">
        <v>6</v>
      </c>
      <c r="O14" s="30">
        <v>0</v>
      </c>
    </row>
    <row r="15" spans="1:15" x14ac:dyDescent="0.3">
      <c r="B15" s="43">
        <v>42835</v>
      </c>
      <c r="C15" s="2" t="s">
        <v>8</v>
      </c>
      <c r="D15" s="2" t="s">
        <v>192</v>
      </c>
      <c r="E15" s="41" t="s">
        <v>262</v>
      </c>
      <c r="F15" s="40" t="s">
        <v>1419</v>
      </c>
      <c r="G15" s="40" t="s">
        <v>1405</v>
      </c>
      <c r="H15" s="92">
        <v>986.84210526315792</v>
      </c>
      <c r="I15" s="93">
        <v>-3947.3684210526317</v>
      </c>
      <c r="K15" s="16"/>
      <c r="M15" s="30"/>
      <c r="N15" s="30"/>
      <c r="O15" s="30"/>
    </row>
    <row r="16" spans="1:15" x14ac:dyDescent="0.3">
      <c r="B16" s="43">
        <v>42836</v>
      </c>
      <c r="C16" s="2" t="s">
        <v>9</v>
      </c>
      <c r="D16" s="2" t="s">
        <v>78</v>
      </c>
      <c r="E16" s="41" t="s">
        <v>2079</v>
      </c>
      <c r="F16" s="40" t="s">
        <v>2090</v>
      </c>
      <c r="G16" s="40" t="s">
        <v>2068</v>
      </c>
      <c r="H16" s="92">
        <v>178.57142857142858</v>
      </c>
      <c r="I16" s="93">
        <v>5000</v>
      </c>
      <c r="K16" s="16" t="s">
        <v>1176</v>
      </c>
      <c r="L16" s="30">
        <v>18</v>
      </c>
      <c r="M16" s="30">
        <v>11</v>
      </c>
      <c r="N16" s="30">
        <v>7</v>
      </c>
      <c r="O16" s="30">
        <v>0</v>
      </c>
    </row>
    <row r="17" spans="2:15" x14ac:dyDescent="0.3">
      <c r="B17" s="43">
        <v>42836</v>
      </c>
      <c r="C17" s="2" t="s">
        <v>8</v>
      </c>
      <c r="D17" s="2" t="s">
        <v>112</v>
      </c>
      <c r="E17" s="41" t="s">
        <v>1710</v>
      </c>
      <c r="F17" s="40" t="s">
        <v>2091</v>
      </c>
      <c r="G17" s="40" t="s">
        <v>1011</v>
      </c>
      <c r="H17" s="92">
        <v>550.45871559633031</v>
      </c>
      <c r="I17" s="93">
        <v>3853.211009174312</v>
      </c>
      <c r="L17" s="30"/>
      <c r="M17" s="30"/>
      <c r="N17" s="30"/>
      <c r="O17" s="30"/>
    </row>
    <row r="18" spans="2:15" x14ac:dyDescent="0.3">
      <c r="B18" s="43">
        <v>42837</v>
      </c>
      <c r="C18" s="2" t="s">
        <v>9</v>
      </c>
      <c r="D18" s="2" t="s">
        <v>834</v>
      </c>
      <c r="E18" s="41" t="s">
        <v>1678</v>
      </c>
      <c r="F18" s="40" t="s">
        <v>2092</v>
      </c>
      <c r="G18" s="40" t="s">
        <v>1120</v>
      </c>
      <c r="H18" s="92">
        <v>1158.3011583011582</v>
      </c>
      <c r="I18" s="93">
        <v>1737.4517374517372</v>
      </c>
      <c r="L18" s="30"/>
      <c r="M18" s="30"/>
      <c r="N18" s="30"/>
      <c r="O18" s="30"/>
    </row>
    <row r="19" spans="2:15" x14ac:dyDescent="0.3">
      <c r="B19" s="43">
        <v>42837</v>
      </c>
      <c r="C19" s="2" t="s">
        <v>8</v>
      </c>
      <c r="D19" s="28" t="s">
        <v>112</v>
      </c>
      <c r="E19" s="30">
        <v>533</v>
      </c>
      <c r="F19" s="30">
        <v>529</v>
      </c>
      <c r="G19" s="30">
        <v>4</v>
      </c>
      <c r="H19" s="92">
        <v>562.85178236397746</v>
      </c>
      <c r="I19" s="93">
        <v>2251.4071294559099</v>
      </c>
      <c r="K19" s="16" t="s">
        <v>41</v>
      </c>
      <c r="L19" s="30">
        <v>18</v>
      </c>
      <c r="M19" s="30">
        <v>10</v>
      </c>
      <c r="N19" s="30">
        <v>8</v>
      </c>
      <c r="O19" s="30">
        <v>0</v>
      </c>
    </row>
    <row r="20" spans="2:15" x14ac:dyDescent="0.3">
      <c r="B20" s="43">
        <v>42838</v>
      </c>
      <c r="C20" s="2" t="s">
        <v>9</v>
      </c>
      <c r="D20" s="28" t="s">
        <v>95</v>
      </c>
      <c r="E20" s="30">
        <v>284</v>
      </c>
      <c r="F20" s="30">
        <v>285.7</v>
      </c>
      <c r="G20" s="30">
        <v>1.7</v>
      </c>
      <c r="H20" s="92">
        <v>1056.338028169014</v>
      </c>
      <c r="I20" s="93">
        <v>1795.7746478873237</v>
      </c>
      <c r="K20" s="16"/>
      <c r="L20" s="30"/>
      <c r="M20" s="30"/>
      <c r="N20" s="30"/>
      <c r="O20" s="30"/>
    </row>
    <row r="21" spans="2:15" x14ac:dyDescent="0.3">
      <c r="B21" s="43">
        <v>42838</v>
      </c>
      <c r="C21" s="2" t="s">
        <v>8</v>
      </c>
      <c r="D21" s="28" t="s">
        <v>834</v>
      </c>
      <c r="E21" s="30">
        <v>249</v>
      </c>
      <c r="F21" s="30">
        <v>243</v>
      </c>
      <c r="G21" s="30">
        <v>6</v>
      </c>
      <c r="H21" s="92">
        <v>1204.8192771084337</v>
      </c>
      <c r="I21" s="93">
        <v>7228.9156626506019</v>
      </c>
      <c r="K21" s="16" t="s">
        <v>1175</v>
      </c>
      <c r="L21" s="30">
        <v>17</v>
      </c>
      <c r="M21" s="30">
        <v>7</v>
      </c>
      <c r="N21" s="30">
        <v>10</v>
      </c>
      <c r="O21" s="30">
        <v>0</v>
      </c>
    </row>
    <row r="22" spans="2:15" x14ac:dyDescent="0.3">
      <c r="B22" s="43">
        <v>42842</v>
      </c>
      <c r="C22" s="2" t="s">
        <v>9</v>
      </c>
      <c r="D22" s="28" t="s">
        <v>2093</v>
      </c>
      <c r="E22" s="30">
        <v>659</v>
      </c>
      <c r="F22" s="30">
        <v>665</v>
      </c>
      <c r="G22" s="30">
        <v>6</v>
      </c>
      <c r="H22" s="92">
        <v>455.2352048558422</v>
      </c>
      <c r="I22" s="93">
        <v>2731.411229135053</v>
      </c>
      <c r="K22" s="16"/>
      <c r="L22" s="30"/>
      <c r="M22" s="30"/>
      <c r="N22" s="30"/>
      <c r="O22" s="30"/>
    </row>
    <row r="23" spans="2:15" x14ac:dyDescent="0.3">
      <c r="B23" s="43">
        <v>42842</v>
      </c>
      <c r="C23" s="2" t="s">
        <v>8</v>
      </c>
      <c r="D23" s="28" t="s">
        <v>139</v>
      </c>
      <c r="E23" s="30">
        <v>1613</v>
      </c>
      <c r="F23" s="30">
        <v>1603</v>
      </c>
      <c r="G23" s="30">
        <v>10</v>
      </c>
      <c r="H23" s="92">
        <v>185.98884066955983</v>
      </c>
      <c r="I23" s="93">
        <v>1859.8884066955984</v>
      </c>
      <c r="K23" s="16" t="s">
        <v>1090</v>
      </c>
      <c r="L23" s="30">
        <v>16</v>
      </c>
      <c r="M23" s="30">
        <v>11</v>
      </c>
      <c r="N23" s="30">
        <v>4</v>
      </c>
      <c r="O23" s="30">
        <v>1</v>
      </c>
    </row>
    <row r="24" spans="2:15" x14ac:dyDescent="0.3">
      <c r="B24" s="43">
        <v>42843</v>
      </c>
      <c r="C24" s="2" t="s">
        <v>9</v>
      </c>
      <c r="D24" s="28" t="s">
        <v>1846</v>
      </c>
      <c r="E24" s="30">
        <v>406</v>
      </c>
      <c r="F24" s="30">
        <v>408.5</v>
      </c>
      <c r="G24" s="30">
        <v>2.5</v>
      </c>
      <c r="H24" s="92">
        <v>738.91625615763542</v>
      </c>
      <c r="I24" s="93">
        <v>1847.2906403940885</v>
      </c>
      <c r="L24" s="30"/>
      <c r="M24" s="30"/>
      <c r="N24" s="30"/>
      <c r="O24" s="30"/>
    </row>
    <row r="25" spans="2:15" x14ac:dyDescent="0.3">
      <c r="B25" s="43">
        <v>42843</v>
      </c>
      <c r="C25" s="2" t="s">
        <v>8</v>
      </c>
      <c r="D25" s="28" t="s">
        <v>109</v>
      </c>
      <c r="E25" s="30">
        <v>1265</v>
      </c>
      <c r="F25" s="30">
        <v>1260</v>
      </c>
      <c r="G25" s="30">
        <v>5</v>
      </c>
      <c r="H25" s="92">
        <v>237.15415019762847</v>
      </c>
      <c r="I25" s="93">
        <v>1185.7707509881423</v>
      </c>
      <c r="K25" s="16" t="s">
        <v>946</v>
      </c>
      <c r="L25" s="21">
        <v>141</v>
      </c>
      <c r="M25" s="21">
        <v>90</v>
      </c>
      <c r="N25" s="21">
        <v>49</v>
      </c>
      <c r="O25" s="21">
        <v>2</v>
      </c>
    </row>
    <row r="26" spans="2:15" x14ac:dyDescent="0.3">
      <c r="B26" s="43">
        <v>42844</v>
      </c>
      <c r="C26" s="2" t="s">
        <v>9</v>
      </c>
      <c r="D26" s="28" t="s">
        <v>109</v>
      </c>
      <c r="E26" s="30">
        <v>1265</v>
      </c>
      <c r="F26" s="30">
        <v>1255</v>
      </c>
      <c r="G26" s="30">
        <v>-10</v>
      </c>
      <c r="H26" s="92">
        <v>237.15415019762847</v>
      </c>
      <c r="I26" s="93">
        <v>-2371.5415019762845</v>
      </c>
      <c r="L26" s="16"/>
    </row>
    <row r="27" spans="2:15" x14ac:dyDescent="0.3">
      <c r="B27" s="43">
        <v>42844</v>
      </c>
      <c r="C27" s="2" t="s">
        <v>8</v>
      </c>
      <c r="D27" s="28" t="s">
        <v>2093</v>
      </c>
      <c r="E27" s="30">
        <v>654</v>
      </c>
      <c r="F27" s="30">
        <v>658</v>
      </c>
      <c r="G27" s="30">
        <v>4</v>
      </c>
      <c r="H27" s="92">
        <v>458.71559633027522</v>
      </c>
      <c r="I27" s="93">
        <v>1834.8623853211009</v>
      </c>
      <c r="L27" s="28"/>
      <c r="M27" s="30"/>
      <c r="N27" s="30"/>
      <c r="O27" s="30"/>
    </row>
    <row r="28" spans="2:15" x14ac:dyDescent="0.3">
      <c r="B28" s="43">
        <v>42845</v>
      </c>
      <c r="C28" s="2" t="s">
        <v>9</v>
      </c>
      <c r="D28" s="28" t="s">
        <v>192</v>
      </c>
      <c r="E28" s="30">
        <v>320</v>
      </c>
      <c r="F28" s="30">
        <v>325.5</v>
      </c>
      <c r="G28" s="30">
        <v>5.5</v>
      </c>
      <c r="H28" s="92">
        <v>937.5</v>
      </c>
      <c r="I28" s="93">
        <v>5156.25</v>
      </c>
      <c r="L28" s="68" t="s">
        <v>1893</v>
      </c>
      <c r="M28" s="139"/>
      <c r="N28" s="138">
        <v>0.64</v>
      </c>
      <c r="O28" s="30"/>
    </row>
    <row r="29" spans="2:15" x14ac:dyDescent="0.3">
      <c r="B29" s="43">
        <v>42845</v>
      </c>
      <c r="C29" s="2" t="s">
        <v>8</v>
      </c>
      <c r="D29" s="28" t="s">
        <v>834</v>
      </c>
      <c r="E29" s="30">
        <v>233</v>
      </c>
      <c r="F29" s="30">
        <v>236</v>
      </c>
      <c r="G29" s="30">
        <v>-3</v>
      </c>
      <c r="H29" s="92">
        <v>1287.5536480686694</v>
      </c>
      <c r="I29" s="93">
        <v>-3862.660944206008</v>
      </c>
      <c r="L29" s="68" t="s">
        <v>1894</v>
      </c>
      <c r="M29" s="83"/>
      <c r="N29" s="126"/>
      <c r="O29" s="30"/>
    </row>
    <row r="30" spans="2:15" x14ac:dyDescent="0.3">
      <c r="B30" s="43">
        <v>42846</v>
      </c>
      <c r="C30" s="2" t="s">
        <v>2104</v>
      </c>
      <c r="D30" s="28" t="s">
        <v>13</v>
      </c>
      <c r="E30" s="30">
        <v>580</v>
      </c>
      <c r="F30" s="30">
        <v>583</v>
      </c>
      <c r="G30" s="30">
        <v>3</v>
      </c>
      <c r="H30" s="92">
        <v>517.24137931034488</v>
      </c>
      <c r="I30" s="93">
        <v>1551.7241379310346</v>
      </c>
      <c r="L30" s="49"/>
      <c r="M30" s="30"/>
      <c r="N30" s="30"/>
      <c r="O30" s="30"/>
    </row>
    <row r="31" spans="2:15" x14ac:dyDescent="0.3">
      <c r="B31" s="43">
        <v>42846</v>
      </c>
      <c r="C31" s="2" t="s">
        <v>8</v>
      </c>
      <c r="D31" s="28" t="s">
        <v>129</v>
      </c>
      <c r="E31" s="30">
        <v>1505</v>
      </c>
      <c r="F31" s="30">
        <v>1495</v>
      </c>
      <c r="G31" s="30">
        <v>10</v>
      </c>
      <c r="H31" s="92">
        <v>199.33554817275748</v>
      </c>
      <c r="I31" s="93">
        <v>1993.3554817275749</v>
      </c>
      <c r="L31" s="49"/>
      <c r="M31" s="30"/>
      <c r="N31" s="30"/>
      <c r="O31" s="30"/>
    </row>
    <row r="32" spans="2:15" x14ac:dyDescent="0.3">
      <c r="B32" s="43">
        <v>42849</v>
      </c>
      <c r="C32" s="2" t="s">
        <v>9</v>
      </c>
      <c r="D32" s="28" t="s">
        <v>13</v>
      </c>
      <c r="E32" s="30">
        <v>580</v>
      </c>
      <c r="F32" s="30">
        <v>587.5</v>
      </c>
      <c r="G32" s="30">
        <v>7.5</v>
      </c>
      <c r="H32" s="92">
        <v>517.24137931034488</v>
      </c>
      <c r="I32" s="93">
        <v>3879.3103448275865</v>
      </c>
      <c r="L32" s="49"/>
      <c r="M32" s="30"/>
      <c r="N32" s="30"/>
      <c r="O32" s="30"/>
    </row>
    <row r="33" spans="2:13" x14ac:dyDescent="0.3">
      <c r="B33" s="43">
        <v>42849</v>
      </c>
      <c r="C33" s="2" t="s">
        <v>8</v>
      </c>
      <c r="D33" s="28" t="s">
        <v>834</v>
      </c>
      <c r="E33" s="30">
        <v>229</v>
      </c>
      <c r="F33" s="30">
        <v>232</v>
      </c>
      <c r="G33" s="30">
        <v>-3</v>
      </c>
      <c r="H33" s="92">
        <v>1310.0436681222707</v>
      </c>
      <c r="I33" s="93">
        <v>-3930.1310043668118</v>
      </c>
      <c r="L33" s="16"/>
    </row>
    <row r="34" spans="2:13" x14ac:dyDescent="0.3">
      <c r="B34" s="43">
        <v>42850</v>
      </c>
      <c r="C34" s="2" t="s">
        <v>9</v>
      </c>
      <c r="D34" s="28" t="s">
        <v>129</v>
      </c>
      <c r="E34" s="30">
        <v>1545</v>
      </c>
      <c r="F34" s="30">
        <v>1551</v>
      </c>
      <c r="G34" s="30">
        <v>6</v>
      </c>
      <c r="H34" s="92">
        <v>194.17475728155341</v>
      </c>
      <c r="I34" s="93">
        <v>1165.0485436893205</v>
      </c>
      <c r="L34" s="16"/>
    </row>
    <row r="35" spans="2:13" x14ac:dyDescent="0.3">
      <c r="B35" s="43">
        <v>42850</v>
      </c>
      <c r="C35" s="2" t="s">
        <v>8</v>
      </c>
      <c r="D35" s="30" t="s">
        <v>2023</v>
      </c>
      <c r="E35" s="30">
        <v>1308</v>
      </c>
      <c r="F35" s="30">
        <v>1335</v>
      </c>
      <c r="G35" s="30">
        <v>27</v>
      </c>
      <c r="H35" s="92">
        <v>229.35779816513761</v>
      </c>
      <c r="I35" s="93">
        <v>6192.6605504587151</v>
      </c>
      <c r="L35" s="41"/>
    </row>
    <row r="36" spans="2:13" x14ac:dyDescent="0.3">
      <c r="B36" s="43">
        <v>42851</v>
      </c>
      <c r="C36" s="2" t="s">
        <v>9</v>
      </c>
      <c r="D36" s="30" t="s">
        <v>129</v>
      </c>
      <c r="E36" s="30">
        <v>1570</v>
      </c>
      <c r="F36" s="30">
        <v>1590</v>
      </c>
      <c r="G36" s="30">
        <v>20</v>
      </c>
      <c r="H36" s="92">
        <v>191.08280254777071</v>
      </c>
      <c r="I36" s="93">
        <v>3821.6560509554142</v>
      </c>
      <c r="L36" s="41"/>
    </row>
    <row r="37" spans="2:13" x14ac:dyDescent="0.3">
      <c r="B37" s="43">
        <v>42851</v>
      </c>
      <c r="C37" s="2" t="s">
        <v>8</v>
      </c>
      <c r="D37" s="30" t="s">
        <v>2023</v>
      </c>
      <c r="E37" s="30">
        <v>1330</v>
      </c>
      <c r="F37" s="30">
        <v>1305</v>
      </c>
      <c r="G37" s="30">
        <v>25</v>
      </c>
      <c r="H37" s="92">
        <v>225.5639097744361</v>
      </c>
      <c r="I37" s="93">
        <v>5639.0977443609027</v>
      </c>
      <c r="M37" s="30"/>
    </row>
    <row r="38" spans="2:13" x14ac:dyDescent="0.3">
      <c r="B38" s="43">
        <v>42852</v>
      </c>
      <c r="C38" s="2" t="s">
        <v>9</v>
      </c>
      <c r="D38" s="30" t="s">
        <v>129</v>
      </c>
      <c r="E38" s="30">
        <v>1577</v>
      </c>
      <c r="F38" s="30">
        <v>1589.5</v>
      </c>
      <c r="G38" s="30">
        <v>12.5</v>
      </c>
      <c r="H38" s="92">
        <v>190.23462270133163</v>
      </c>
      <c r="I38" s="93">
        <v>2377.9327837666456</v>
      </c>
      <c r="M38" s="30"/>
    </row>
    <row r="39" spans="2:13" x14ac:dyDescent="0.3">
      <c r="B39" s="43">
        <v>42852</v>
      </c>
      <c r="C39" s="2" t="s">
        <v>8</v>
      </c>
      <c r="D39" s="30" t="s">
        <v>2023</v>
      </c>
      <c r="E39" s="30">
        <v>1295</v>
      </c>
      <c r="F39" s="30">
        <v>1280</v>
      </c>
      <c r="G39" s="30">
        <v>15</v>
      </c>
      <c r="H39" s="92">
        <v>231.66023166023166</v>
      </c>
      <c r="I39" s="93">
        <v>3474.9034749034749</v>
      </c>
      <c r="M39" s="30"/>
    </row>
    <row r="40" spans="2:13" x14ac:dyDescent="0.3">
      <c r="B40" s="43">
        <v>42853</v>
      </c>
      <c r="C40" s="2" t="s">
        <v>9</v>
      </c>
      <c r="D40" s="30" t="s">
        <v>95</v>
      </c>
      <c r="E40" s="30">
        <v>277</v>
      </c>
      <c r="F40" s="30">
        <v>279</v>
      </c>
      <c r="G40" s="30">
        <v>2</v>
      </c>
      <c r="H40" s="92">
        <v>1083.0324909747292</v>
      </c>
      <c r="I40" s="93">
        <v>2166.0649819494583</v>
      </c>
      <c r="M40" s="30"/>
    </row>
    <row r="41" spans="2:13" x14ac:dyDescent="0.3">
      <c r="B41" s="43">
        <v>42853</v>
      </c>
      <c r="C41" s="2" t="s">
        <v>8</v>
      </c>
      <c r="D41" s="30" t="s">
        <v>129</v>
      </c>
      <c r="E41" s="30">
        <v>1543</v>
      </c>
      <c r="F41" s="30">
        <v>1533</v>
      </c>
      <c r="G41" s="30">
        <v>10</v>
      </c>
      <c r="H41" s="92">
        <v>194.42644199611146</v>
      </c>
      <c r="I41" s="93">
        <v>1944.2644199611145</v>
      </c>
      <c r="M41" s="30"/>
    </row>
    <row r="42" spans="2:13" ht="21" x14ac:dyDescent="0.4">
      <c r="B42" s="87"/>
      <c r="C42" s="2"/>
      <c r="D42" s="28"/>
      <c r="E42" s="30"/>
      <c r="F42" s="30"/>
      <c r="G42" s="30"/>
      <c r="H42" s="30"/>
      <c r="I42" s="127">
        <v>62847</v>
      </c>
      <c r="M42" s="30"/>
    </row>
    <row r="43" spans="2:13" x14ac:dyDescent="0.3">
      <c r="B43" s="87"/>
      <c r="C43" s="2"/>
      <c r="D43" s="28"/>
      <c r="E43" s="30"/>
      <c r="F43" s="30"/>
      <c r="G43" s="30"/>
      <c r="H43" s="30"/>
      <c r="I43" s="88"/>
      <c r="M43" s="30"/>
    </row>
    <row r="44" spans="2:13" ht="15.6" x14ac:dyDescent="0.3">
      <c r="B44" s="48" t="s">
        <v>62</v>
      </c>
      <c r="C44" s="48"/>
      <c r="D44" s="48"/>
      <c r="E44" s="48"/>
      <c r="F44" s="48"/>
      <c r="G44" s="48"/>
      <c r="H44" s="48"/>
      <c r="I44" s="48"/>
      <c r="M44" s="30"/>
    </row>
    <row r="45" spans="2:13" x14ac:dyDescent="0.3">
      <c r="B45" s="43">
        <v>42828</v>
      </c>
      <c r="C45" s="2" t="s">
        <v>8</v>
      </c>
      <c r="D45" s="2" t="s">
        <v>58</v>
      </c>
      <c r="E45" s="41" t="s">
        <v>2078</v>
      </c>
      <c r="F45" s="40" t="s">
        <v>1432</v>
      </c>
      <c r="G45" s="40" t="s">
        <v>1043</v>
      </c>
      <c r="H45" s="5">
        <v>1200</v>
      </c>
      <c r="I45" s="30">
        <v>-6000</v>
      </c>
      <c r="M45" s="30"/>
    </row>
    <row r="46" spans="2:13" x14ac:dyDescent="0.3">
      <c r="B46" s="43">
        <v>42799</v>
      </c>
      <c r="C46" s="2" t="s">
        <v>9</v>
      </c>
      <c r="D46" s="2" t="s">
        <v>78</v>
      </c>
      <c r="E46" s="41" t="s">
        <v>2079</v>
      </c>
      <c r="F46" s="40" t="s">
        <v>2080</v>
      </c>
      <c r="G46" s="40" t="s">
        <v>2054</v>
      </c>
      <c r="H46" s="5">
        <v>500</v>
      </c>
      <c r="I46" s="30">
        <v>10500</v>
      </c>
    </row>
    <row r="47" spans="2:13" x14ac:dyDescent="0.3">
      <c r="B47" s="43">
        <v>42831</v>
      </c>
      <c r="C47" s="30" t="s">
        <v>8</v>
      </c>
      <c r="D47" s="30" t="s">
        <v>78</v>
      </c>
      <c r="E47" s="30">
        <v>1685</v>
      </c>
      <c r="F47" s="30">
        <v>1678</v>
      </c>
      <c r="G47" s="30">
        <v>7</v>
      </c>
      <c r="H47" s="30">
        <v>500</v>
      </c>
      <c r="I47" s="30">
        <v>3500</v>
      </c>
    </row>
    <row r="48" spans="2:13" x14ac:dyDescent="0.3">
      <c r="B48" s="43">
        <v>42832</v>
      </c>
      <c r="C48" s="30" t="s">
        <v>8</v>
      </c>
      <c r="D48" s="30" t="s">
        <v>119</v>
      </c>
      <c r="E48" s="30">
        <v>886</v>
      </c>
      <c r="F48" s="30">
        <v>875</v>
      </c>
      <c r="G48" s="30">
        <v>11</v>
      </c>
      <c r="H48" s="30">
        <v>800</v>
      </c>
      <c r="I48" s="30">
        <v>8800</v>
      </c>
    </row>
    <row r="49" spans="2:11" x14ac:dyDescent="0.3">
      <c r="B49" s="43">
        <v>42835</v>
      </c>
      <c r="C49" s="30" t="s">
        <v>8</v>
      </c>
      <c r="D49" s="30" t="s">
        <v>95</v>
      </c>
      <c r="E49" s="30">
        <v>277.5</v>
      </c>
      <c r="F49" s="30">
        <v>278.5</v>
      </c>
      <c r="G49" s="30">
        <v>-1</v>
      </c>
      <c r="H49" s="30">
        <v>2500</v>
      </c>
      <c r="I49" s="30">
        <v>-2500</v>
      </c>
    </row>
    <row r="50" spans="2:11" x14ac:dyDescent="0.3">
      <c r="B50" s="43">
        <v>42836</v>
      </c>
      <c r="C50" s="30" t="s">
        <v>9</v>
      </c>
      <c r="D50" s="30" t="s">
        <v>139</v>
      </c>
      <c r="E50" s="30">
        <v>1620</v>
      </c>
      <c r="F50" s="30">
        <v>1617</v>
      </c>
      <c r="G50" s="30">
        <v>-3</v>
      </c>
      <c r="H50" s="30">
        <v>700</v>
      </c>
      <c r="I50" s="30">
        <v>-2100</v>
      </c>
    </row>
    <row r="51" spans="2:11" x14ac:dyDescent="0.3">
      <c r="B51" s="43">
        <v>42837</v>
      </c>
      <c r="C51" s="30" t="s">
        <v>8</v>
      </c>
      <c r="D51" s="30" t="s">
        <v>586</v>
      </c>
      <c r="E51" s="30">
        <v>1060</v>
      </c>
      <c r="F51" s="30">
        <v>1070</v>
      </c>
      <c r="G51" s="30">
        <v>-10</v>
      </c>
      <c r="H51" s="30">
        <v>750</v>
      </c>
      <c r="I51" s="30">
        <v>-7500</v>
      </c>
    </row>
    <row r="52" spans="2:11" x14ac:dyDescent="0.3">
      <c r="B52" s="43">
        <v>42838</v>
      </c>
      <c r="C52" s="30" t="s">
        <v>9</v>
      </c>
      <c r="D52" s="30" t="s">
        <v>78</v>
      </c>
      <c r="E52" s="30">
        <v>1688</v>
      </c>
      <c r="F52" s="30">
        <v>1689</v>
      </c>
      <c r="G52" s="30">
        <v>1</v>
      </c>
      <c r="H52" s="30">
        <v>500</v>
      </c>
      <c r="I52" s="30">
        <v>500</v>
      </c>
      <c r="K52" s="86"/>
    </row>
    <row r="53" spans="2:11" x14ac:dyDescent="0.3">
      <c r="B53" s="43">
        <v>42842</v>
      </c>
      <c r="C53" s="30" t="s">
        <v>9</v>
      </c>
      <c r="D53" s="30" t="s">
        <v>78</v>
      </c>
      <c r="E53" s="30">
        <v>1690</v>
      </c>
      <c r="F53" s="30">
        <v>1692</v>
      </c>
      <c r="G53" s="30">
        <v>2</v>
      </c>
      <c r="H53" s="30">
        <v>500</v>
      </c>
      <c r="I53" s="30">
        <v>1000</v>
      </c>
      <c r="K53" s="86"/>
    </row>
    <row r="54" spans="2:11" x14ac:dyDescent="0.3">
      <c r="B54" s="43">
        <v>42843</v>
      </c>
      <c r="C54" s="30" t="s">
        <v>8</v>
      </c>
      <c r="D54" s="30" t="s">
        <v>78</v>
      </c>
      <c r="E54" s="30">
        <v>1696</v>
      </c>
      <c r="F54" s="30">
        <v>1674</v>
      </c>
      <c r="G54" s="30">
        <v>22</v>
      </c>
      <c r="H54" s="30">
        <v>500</v>
      </c>
      <c r="I54" s="30">
        <v>11000</v>
      </c>
      <c r="K54" s="86"/>
    </row>
    <row r="55" spans="2:11" x14ac:dyDescent="0.3">
      <c r="B55" s="43">
        <v>42844</v>
      </c>
      <c r="C55" s="30" t="s">
        <v>9</v>
      </c>
      <c r="D55" s="30" t="s">
        <v>78</v>
      </c>
      <c r="E55" s="30">
        <v>1672</v>
      </c>
      <c r="F55" s="30">
        <v>1682</v>
      </c>
      <c r="G55" s="30">
        <v>10</v>
      </c>
      <c r="H55" s="30">
        <v>500</v>
      </c>
      <c r="I55" s="30">
        <v>5000</v>
      </c>
      <c r="K55" s="86"/>
    </row>
    <row r="56" spans="2:11" x14ac:dyDescent="0.3">
      <c r="B56" s="43">
        <v>42845</v>
      </c>
      <c r="C56" s="30" t="s">
        <v>8</v>
      </c>
      <c r="D56" s="30" t="s">
        <v>78</v>
      </c>
      <c r="E56" s="30">
        <v>1673</v>
      </c>
      <c r="F56" s="30">
        <v>1686</v>
      </c>
      <c r="G56" s="30">
        <v>-13</v>
      </c>
      <c r="H56" s="30">
        <v>500</v>
      </c>
      <c r="I56" s="30">
        <v>-6500</v>
      </c>
      <c r="K56" s="86"/>
    </row>
    <row r="57" spans="2:11" x14ac:dyDescent="0.3">
      <c r="B57" s="43">
        <v>42846</v>
      </c>
      <c r="C57" s="30" t="s">
        <v>9</v>
      </c>
      <c r="D57" s="30" t="s">
        <v>19</v>
      </c>
      <c r="E57" s="30">
        <v>286</v>
      </c>
      <c r="F57" s="30">
        <v>283</v>
      </c>
      <c r="G57" s="30">
        <v>-3</v>
      </c>
      <c r="H57" s="30">
        <v>3000</v>
      </c>
      <c r="I57" s="30">
        <v>-9000</v>
      </c>
      <c r="K57" s="86"/>
    </row>
    <row r="58" spans="2:11" x14ac:dyDescent="0.3">
      <c r="B58" s="43">
        <v>42849</v>
      </c>
      <c r="C58" s="30" t="s">
        <v>8</v>
      </c>
      <c r="D58" s="30" t="s">
        <v>78</v>
      </c>
      <c r="E58" s="30">
        <v>1725</v>
      </c>
      <c r="F58" s="30">
        <v>1733</v>
      </c>
      <c r="G58" s="30">
        <v>-8</v>
      </c>
      <c r="H58" s="30">
        <v>500</v>
      </c>
      <c r="I58" s="30">
        <v>-4000</v>
      </c>
      <c r="K58" s="86"/>
    </row>
    <row r="59" spans="2:11" x14ac:dyDescent="0.3">
      <c r="B59" s="43">
        <v>42850</v>
      </c>
      <c r="C59" s="30" t="s">
        <v>9</v>
      </c>
      <c r="D59" s="30" t="s">
        <v>139</v>
      </c>
      <c r="E59" s="30">
        <v>1560</v>
      </c>
      <c r="F59" s="30">
        <v>1565</v>
      </c>
      <c r="G59" s="30">
        <v>5</v>
      </c>
      <c r="H59" s="30">
        <v>700</v>
      </c>
      <c r="I59" s="30">
        <v>3500</v>
      </c>
      <c r="K59" s="86"/>
    </row>
    <row r="60" spans="2:11" x14ac:dyDescent="0.3">
      <c r="B60" s="43">
        <v>42851</v>
      </c>
      <c r="C60" s="30" t="s">
        <v>8</v>
      </c>
      <c r="D60" s="30" t="s">
        <v>2107</v>
      </c>
      <c r="E60" s="30">
        <v>2480</v>
      </c>
      <c r="F60" s="30">
        <v>2440</v>
      </c>
      <c r="G60" s="30">
        <v>40</v>
      </c>
      <c r="H60" s="30">
        <v>300</v>
      </c>
      <c r="I60" s="30">
        <v>12000</v>
      </c>
      <c r="K60" s="86"/>
    </row>
    <row r="61" spans="2:11" x14ac:dyDescent="0.3">
      <c r="B61" s="43">
        <v>42852</v>
      </c>
      <c r="C61" s="30" t="s">
        <v>8</v>
      </c>
      <c r="D61" s="30" t="s">
        <v>310</v>
      </c>
      <c r="E61" s="30">
        <v>1860</v>
      </c>
      <c r="F61" s="30">
        <v>1840</v>
      </c>
      <c r="G61" s="30">
        <v>20</v>
      </c>
      <c r="H61" s="30">
        <v>250</v>
      </c>
      <c r="I61" s="30">
        <v>5000</v>
      </c>
      <c r="K61" s="86"/>
    </row>
    <row r="62" spans="2:11" x14ac:dyDescent="0.3">
      <c r="B62" s="43">
        <v>42853</v>
      </c>
      <c r="C62" s="30" t="s">
        <v>8</v>
      </c>
      <c r="D62" s="30" t="s">
        <v>78</v>
      </c>
      <c r="E62" s="30">
        <v>1757</v>
      </c>
      <c r="F62" s="30">
        <v>1754</v>
      </c>
      <c r="G62" s="30">
        <v>3</v>
      </c>
      <c r="H62" s="30">
        <v>500</v>
      </c>
      <c r="I62" s="30">
        <v>1500</v>
      </c>
      <c r="K62" s="86"/>
    </row>
    <row r="63" spans="2:11" ht="21" x14ac:dyDescent="0.4">
      <c r="B63" s="43"/>
      <c r="C63" s="30"/>
      <c r="D63" s="30"/>
      <c r="E63" s="30"/>
      <c r="F63" s="30"/>
      <c r="G63" s="30"/>
      <c r="H63" s="30"/>
      <c r="I63" s="112">
        <v>24700</v>
      </c>
      <c r="K63" s="86"/>
    </row>
    <row r="64" spans="2:11" x14ac:dyDescent="0.3">
      <c r="B64" s="87"/>
      <c r="C64" s="30"/>
      <c r="D64" s="30"/>
      <c r="E64" s="30"/>
      <c r="F64" s="30"/>
      <c r="G64" s="30"/>
      <c r="H64" s="30"/>
      <c r="I64" s="30"/>
      <c r="K64" s="86"/>
    </row>
    <row r="65" spans="2:11" ht="15.6" x14ac:dyDescent="0.3">
      <c r="B65" s="48" t="s">
        <v>63</v>
      </c>
      <c r="C65" s="48"/>
      <c r="D65" s="48"/>
      <c r="E65" s="48"/>
      <c r="F65" s="48"/>
      <c r="G65" s="48"/>
      <c r="H65" s="48"/>
      <c r="I65" s="48"/>
      <c r="K65" s="86"/>
    </row>
    <row r="66" spans="2:11" x14ac:dyDescent="0.3">
      <c r="B66" s="43">
        <v>42828</v>
      </c>
      <c r="C66" s="2" t="s">
        <v>8</v>
      </c>
      <c r="D66" s="2" t="s">
        <v>39</v>
      </c>
      <c r="E66" s="41" t="s">
        <v>2081</v>
      </c>
      <c r="F66" s="40" t="s">
        <v>2082</v>
      </c>
      <c r="G66" s="40" t="s">
        <v>1788</v>
      </c>
      <c r="H66" s="30">
        <v>150</v>
      </c>
      <c r="I66" s="30">
        <v>-5250</v>
      </c>
      <c r="K66" s="86"/>
    </row>
    <row r="67" spans="2:11" x14ac:dyDescent="0.3">
      <c r="B67" s="43">
        <v>42830</v>
      </c>
      <c r="C67" s="30" t="s">
        <v>9</v>
      </c>
      <c r="D67" s="2" t="s">
        <v>39</v>
      </c>
      <c r="E67" s="2">
        <v>9260</v>
      </c>
      <c r="F67" s="30">
        <v>9294</v>
      </c>
      <c r="G67" s="30">
        <v>34</v>
      </c>
      <c r="H67" s="30">
        <v>150</v>
      </c>
      <c r="I67" s="30">
        <v>5100</v>
      </c>
      <c r="K67" s="86"/>
    </row>
    <row r="68" spans="2:11" x14ac:dyDescent="0.3">
      <c r="B68" s="43">
        <v>42831</v>
      </c>
      <c r="C68" s="30" t="s">
        <v>9</v>
      </c>
      <c r="D68" s="2" t="s">
        <v>39</v>
      </c>
      <c r="E68" s="2">
        <v>9250</v>
      </c>
      <c r="F68" s="30">
        <v>9275</v>
      </c>
      <c r="G68" s="30">
        <v>25</v>
      </c>
      <c r="H68" s="30">
        <v>150</v>
      </c>
      <c r="I68" s="30">
        <v>3750</v>
      </c>
    </row>
    <row r="69" spans="2:11" x14ac:dyDescent="0.3">
      <c r="B69" s="43">
        <v>42832</v>
      </c>
      <c r="C69" s="30" t="s">
        <v>9</v>
      </c>
      <c r="D69" s="2" t="s">
        <v>39</v>
      </c>
      <c r="E69" s="2">
        <v>9245</v>
      </c>
      <c r="F69" s="30">
        <v>9260</v>
      </c>
      <c r="G69" s="30">
        <v>15</v>
      </c>
      <c r="H69" s="30">
        <v>150</v>
      </c>
      <c r="I69" s="30">
        <v>2250</v>
      </c>
    </row>
    <row r="70" spans="2:11" x14ac:dyDescent="0.3">
      <c r="B70" s="43">
        <v>42835</v>
      </c>
      <c r="C70" s="30" t="s">
        <v>8</v>
      </c>
      <c r="D70" s="2" t="s">
        <v>39</v>
      </c>
      <c r="E70" s="30">
        <v>9220</v>
      </c>
      <c r="F70" s="30">
        <v>9195</v>
      </c>
      <c r="G70" s="30">
        <v>25</v>
      </c>
      <c r="H70" s="30">
        <v>150</v>
      </c>
      <c r="I70" s="30">
        <v>3750</v>
      </c>
    </row>
    <row r="71" spans="2:11" x14ac:dyDescent="0.3">
      <c r="B71" s="43">
        <v>42836</v>
      </c>
      <c r="C71" s="30" t="s">
        <v>9</v>
      </c>
      <c r="D71" s="2" t="s">
        <v>39</v>
      </c>
      <c r="E71" s="30">
        <v>9215</v>
      </c>
      <c r="F71" s="30">
        <v>9260</v>
      </c>
      <c r="G71" s="30">
        <v>45</v>
      </c>
      <c r="H71" s="30">
        <v>150</v>
      </c>
      <c r="I71" s="30">
        <v>6750</v>
      </c>
    </row>
    <row r="72" spans="2:11" x14ac:dyDescent="0.3">
      <c r="B72" s="43">
        <v>42837</v>
      </c>
      <c r="C72" s="30" t="s">
        <v>8</v>
      </c>
      <c r="D72" s="2" t="s">
        <v>39</v>
      </c>
      <c r="E72" s="30">
        <v>9200</v>
      </c>
      <c r="F72" s="30">
        <v>9235</v>
      </c>
      <c r="G72" s="30">
        <v>-35</v>
      </c>
      <c r="H72" s="30">
        <v>150</v>
      </c>
      <c r="I72" s="30">
        <v>-5250</v>
      </c>
      <c r="K72" s="86"/>
    </row>
    <row r="73" spans="2:11" x14ac:dyDescent="0.3">
      <c r="B73" s="43">
        <v>42838</v>
      </c>
      <c r="C73" s="30" t="s">
        <v>8</v>
      </c>
      <c r="D73" s="2" t="s">
        <v>39</v>
      </c>
      <c r="E73" s="30">
        <v>9205</v>
      </c>
      <c r="F73" s="30">
        <v>9220</v>
      </c>
      <c r="G73" s="30">
        <v>15</v>
      </c>
      <c r="H73" s="30">
        <v>150</v>
      </c>
      <c r="I73" s="30">
        <v>2250</v>
      </c>
      <c r="K73" s="86"/>
    </row>
    <row r="74" spans="2:11" x14ac:dyDescent="0.3">
      <c r="B74" s="43">
        <v>42842</v>
      </c>
      <c r="C74" s="30" t="s">
        <v>9</v>
      </c>
      <c r="D74" s="2" t="s">
        <v>39</v>
      </c>
      <c r="E74" s="30">
        <v>9160</v>
      </c>
      <c r="F74" s="30">
        <v>9177</v>
      </c>
      <c r="G74" s="30">
        <v>17</v>
      </c>
      <c r="H74" s="30">
        <v>150</v>
      </c>
      <c r="I74" s="30">
        <v>2550</v>
      </c>
      <c r="K74" s="86"/>
    </row>
    <row r="75" spans="2:11" x14ac:dyDescent="0.3">
      <c r="B75" s="43">
        <v>42843</v>
      </c>
      <c r="C75" s="30" t="s">
        <v>9</v>
      </c>
      <c r="D75" s="2" t="s">
        <v>39</v>
      </c>
      <c r="E75" s="30">
        <v>9230</v>
      </c>
      <c r="F75" s="30">
        <v>9195</v>
      </c>
      <c r="G75" s="30">
        <v>-35</v>
      </c>
      <c r="H75" s="30">
        <v>150</v>
      </c>
      <c r="I75" s="30">
        <v>-5250</v>
      </c>
      <c r="K75" s="86"/>
    </row>
    <row r="76" spans="2:11" x14ac:dyDescent="0.3">
      <c r="B76" s="43">
        <v>42844</v>
      </c>
      <c r="C76" s="30" t="s">
        <v>8</v>
      </c>
      <c r="D76" s="2" t="s">
        <v>39</v>
      </c>
      <c r="E76" s="30">
        <v>9110</v>
      </c>
      <c r="F76" s="30">
        <v>9100</v>
      </c>
      <c r="G76" s="30">
        <v>10</v>
      </c>
      <c r="H76" s="30">
        <v>150</v>
      </c>
      <c r="I76" s="30">
        <v>1500</v>
      </c>
      <c r="K76" s="86"/>
    </row>
    <row r="77" spans="2:11" x14ac:dyDescent="0.3">
      <c r="B77" s="43">
        <v>42845</v>
      </c>
      <c r="C77" s="30" t="s">
        <v>8</v>
      </c>
      <c r="D77" s="2" t="s">
        <v>39</v>
      </c>
      <c r="E77" s="30">
        <v>9130</v>
      </c>
      <c r="F77" s="30">
        <v>9165</v>
      </c>
      <c r="G77" s="30">
        <v>-35</v>
      </c>
      <c r="H77" s="30">
        <v>150</v>
      </c>
      <c r="I77" s="30">
        <v>-5250</v>
      </c>
      <c r="K77" s="86"/>
    </row>
    <row r="78" spans="2:11" ht="15.75" customHeight="1" x14ac:dyDescent="0.3">
      <c r="B78" s="43">
        <v>42846</v>
      </c>
      <c r="C78" s="30" t="s">
        <v>9</v>
      </c>
      <c r="D78" s="2" t="s">
        <v>39</v>
      </c>
      <c r="E78" s="30">
        <v>9155</v>
      </c>
      <c r="F78" s="30">
        <v>9120</v>
      </c>
      <c r="G78" s="30">
        <v>-35</v>
      </c>
      <c r="H78" s="30">
        <v>150</v>
      </c>
      <c r="I78" s="30">
        <v>-5250</v>
      </c>
      <c r="K78" s="86"/>
    </row>
    <row r="79" spans="2:11" x14ac:dyDescent="0.3">
      <c r="B79" s="43">
        <v>42849</v>
      </c>
      <c r="C79" s="30" t="s">
        <v>9</v>
      </c>
      <c r="D79" s="2" t="s">
        <v>39</v>
      </c>
      <c r="E79" s="30">
        <v>9160</v>
      </c>
      <c r="F79" s="30">
        <v>9225</v>
      </c>
      <c r="G79" s="30">
        <v>65</v>
      </c>
      <c r="H79" s="30">
        <v>150</v>
      </c>
      <c r="I79" s="30">
        <v>9750</v>
      </c>
      <c r="K79" s="86"/>
    </row>
    <row r="80" spans="2:11" x14ac:dyDescent="0.3">
      <c r="B80" s="43">
        <v>42850</v>
      </c>
      <c r="C80" s="30" t="s">
        <v>9</v>
      </c>
      <c r="D80" s="2" t="s">
        <v>39</v>
      </c>
      <c r="E80" s="30">
        <v>9255</v>
      </c>
      <c r="F80" s="30">
        <v>9295</v>
      </c>
      <c r="G80" s="30">
        <v>40</v>
      </c>
      <c r="H80" s="30">
        <v>150</v>
      </c>
      <c r="I80" s="30">
        <v>6000</v>
      </c>
      <c r="K80" s="86"/>
    </row>
    <row r="81" spans="2:11" x14ac:dyDescent="0.3">
      <c r="B81" s="43">
        <v>42851</v>
      </c>
      <c r="C81" s="30" t="s">
        <v>8</v>
      </c>
      <c r="D81" s="2" t="s">
        <v>39</v>
      </c>
      <c r="E81" s="30">
        <v>9345</v>
      </c>
      <c r="F81" s="30">
        <v>9305</v>
      </c>
      <c r="G81" s="30">
        <v>40</v>
      </c>
      <c r="H81" s="30">
        <v>150</v>
      </c>
      <c r="I81" s="30">
        <v>6000</v>
      </c>
      <c r="K81" s="86"/>
    </row>
    <row r="82" spans="2:11" x14ac:dyDescent="0.3">
      <c r="B82" s="43">
        <v>42852</v>
      </c>
      <c r="C82" s="30" t="s">
        <v>8</v>
      </c>
      <c r="D82" s="2" t="s">
        <v>39</v>
      </c>
      <c r="E82" s="30">
        <v>9335</v>
      </c>
      <c r="F82" s="30">
        <v>9355</v>
      </c>
      <c r="G82" s="30">
        <v>-20</v>
      </c>
      <c r="H82" s="30">
        <v>150</v>
      </c>
      <c r="I82" s="30">
        <v>-3000</v>
      </c>
      <c r="K82" s="86"/>
    </row>
    <row r="83" spans="2:11" x14ac:dyDescent="0.3">
      <c r="B83" s="43">
        <v>42853</v>
      </c>
      <c r="C83" s="30" t="s">
        <v>8</v>
      </c>
      <c r="D83" s="2" t="s">
        <v>39</v>
      </c>
      <c r="E83" s="30">
        <v>9335</v>
      </c>
      <c r="F83" s="30">
        <v>9320</v>
      </c>
      <c r="G83" s="30">
        <v>15</v>
      </c>
      <c r="H83" s="30">
        <v>150</v>
      </c>
      <c r="I83" s="30">
        <v>2250</v>
      </c>
      <c r="K83" s="86"/>
    </row>
    <row r="84" spans="2:11" ht="21" x14ac:dyDescent="0.4">
      <c r="B84" s="43"/>
      <c r="C84" s="30"/>
      <c r="D84" s="2"/>
      <c r="E84" s="30"/>
      <c r="F84" s="30"/>
      <c r="G84" s="30"/>
      <c r="H84" s="30"/>
      <c r="I84" s="129" t="s">
        <v>2108</v>
      </c>
      <c r="K84" s="86"/>
    </row>
    <row r="85" spans="2:11" ht="18" x14ac:dyDescent="0.35">
      <c r="B85" s="43"/>
      <c r="C85" s="30"/>
      <c r="D85" s="2"/>
      <c r="E85" s="30"/>
      <c r="F85" s="30"/>
      <c r="G85" s="30"/>
      <c r="H85" s="30"/>
      <c r="I85" s="76"/>
      <c r="K85" s="86"/>
    </row>
    <row r="86" spans="2:11" ht="15.6" x14ac:dyDescent="0.3">
      <c r="B86" s="48" t="s">
        <v>991</v>
      </c>
      <c r="C86" s="61"/>
      <c r="D86" s="61"/>
      <c r="E86" s="61"/>
      <c r="F86" s="61"/>
      <c r="G86" s="61"/>
      <c r="H86" s="61"/>
      <c r="I86" s="61"/>
      <c r="K86" s="86"/>
    </row>
    <row r="87" spans="2:11" x14ac:dyDescent="0.3">
      <c r="B87" s="43">
        <v>42828</v>
      </c>
      <c r="C87" s="3" t="s">
        <v>9</v>
      </c>
      <c r="D87" s="3" t="s">
        <v>2047</v>
      </c>
      <c r="E87" s="41" t="s">
        <v>215</v>
      </c>
      <c r="F87" s="41" t="s">
        <v>2083</v>
      </c>
      <c r="G87" s="41" t="s">
        <v>1115</v>
      </c>
      <c r="H87" s="30">
        <v>300</v>
      </c>
      <c r="I87" s="8">
        <v>-4500</v>
      </c>
      <c r="K87" s="86"/>
    </row>
    <row r="88" spans="2:11" x14ac:dyDescent="0.3">
      <c r="B88" s="43">
        <v>42830</v>
      </c>
      <c r="C88" s="3" t="s">
        <v>9</v>
      </c>
      <c r="D88" s="3" t="s">
        <v>2084</v>
      </c>
      <c r="E88" s="30">
        <v>130</v>
      </c>
      <c r="F88" s="30">
        <v>145</v>
      </c>
      <c r="G88" s="30">
        <v>15</v>
      </c>
      <c r="H88" s="30">
        <v>300</v>
      </c>
      <c r="I88" s="8">
        <v>4500</v>
      </c>
      <c r="K88" s="86"/>
    </row>
    <row r="89" spans="2:11" x14ac:dyDescent="0.3">
      <c r="B89" s="43">
        <v>42831</v>
      </c>
      <c r="C89" s="3" t="s">
        <v>9</v>
      </c>
      <c r="D89" s="3" t="s">
        <v>2084</v>
      </c>
      <c r="E89" s="30">
        <v>122</v>
      </c>
      <c r="F89" s="30">
        <v>137</v>
      </c>
      <c r="G89" s="30">
        <v>15</v>
      </c>
      <c r="H89" s="30">
        <v>300</v>
      </c>
      <c r="I89" s="8">
        <v>4500</v>
      </c>
    </row>
    <row r="90" spans="2:11" x14ac:dyDescent="0.3">
      <c r="B90" s="43">
        <v>42832</v>
      </c>
      <c r="C90" s="3" t="s">
        <v>9</v>
      </c>
      <c r="D90" s="3" t="s">
        <v>2084</v>
      </c>
      <c r="E90" s="30">
        <v>115</v>
      </c>
      <c r="F90" s="30">
        <v>125</v>
      </c>
      <c r="G90" s="30">
        <v>10</v>
      </c>
      <c r="H90" s="30">
        <v>300</v>
      </c>
      <c r="I90" s="8">
        <v>3000</v>
      </c>
    </row>
    <row r="91" spans="2:11" x14ac:dyDescent="0.3">
      <c r="B91" s="43">
        <v>42835</v>
      </c>
      <c r="C91" s="3" t="s">
        <v>9</v>
      </c>
      <c r="D91" s="30" t="s">
        <v>2048</v>
      </c>
      <c r="E91" s="30">
        <v>118</v>
      </c>
      <c r="F91" s="30">
        <v>133</v>
      </c>
      <c r="G91" s="30">
        <v>15</v>
      </c>
      <c r="H91" s="30">
        <v>300</v>
      </c>
      <c r="I91" s="8">
        <v>4500</v>
      </c>
    </row>
    <row r="92" spans="2:11" x14ac:dyDescent="0.3">
      <c r="B92" s="43">
        <v>42836</v>
      </c>
      <c r="C92" s="3" t="s">
        <v>9</v>
      </c>
      <c r="D92" s="30" t="s">
        <v>2094</v>
      </c>
      <c r="E92" s="30">
        <v>155</v>
      </c>
      <c r="F92" s="30">
        <v>190</v>
      </c>
      <c r="G92" s="30">
        <v>35</v>
      </c>
      <c r="H92" s="30">
        <v>300</v>
      </c>
      <c r="I92" s="8">
        <v>10500</v>
      </c>
    </row>
    <row r="93" spans="2:11" x14ac:dyDescent="0.3">
      <c r="B93" s="43">
        <v>42837</v>
      </c>
      <c r="C93" s="3" t="s">
        <v>9</v>
      </c>
      <c r="D93" s="30" t="s">
        <v>2048</v>
      </c>
      <c r="E93" s="30">
        <v>135</v>
      </c>
      <c r="F93" s="30">
        <v>115</v>
      </c>
      <c r="G93" s="30">
        <v>-20</v>
      </c>
      <c r="H93" s="30">
        <v>300</v>
      </c>
      <c r="I93" s="8">
        <v>-6000</v>
      </c>
    </row>
    <row r="94" spans="2:11" x14ac:dyDescent="0.3">
      <c r="B94" s="43">
        <v>42838</v>
      </c>
      <c r="C94" s="3" t="s">
        <v>9</v>
      </c>
      <c r="D94" s="30" t="s">
        <v>2094</v>
      </c>
      <c r="E94" s="30">
        <v>140</v>
      </c>
      <c r="F94" s="30">
        <v>150</v>
      </c>
      <c r="G94" s="30">
        <v>10</v>
      </c>
      <c r="H94" s="30">
        <v>300</v>
      </c>
      <c r="I94" s="8">
        <v>3000</v>
      </c>
    </row>
    <row r="95" spans="2:11" x14ac:dyDescent="0.3">
      <c r="B95" s="43">
        <v>42842</v>
      </c>
      <c r="C95" s="3" t="s">
        <v>9</v>
      </c>
      <c r="D95" s="30" t="s">
        <v>2094</v>
      </c>
      <c r="E95" s="30">
        <v>105</v>
      </c>
      <c r="F95" s="30">
        <v>110</v>
      </c>
      <c r="G95" s="30">
        <v>5</v>
      </c>
      <c r="H95" s="30">
        <v>300</v>
      </c>
      <c r="I95" s="8">
        <v>1500</v>
      </c>
    </row>
    <row r="96" spans="2:11" x14ac:dyDescent="0.3">
      <c r="B96" s="43">
        <v>42843</v>
      </c>
      <c r="C96" s="3" t="s">
        <v>9</v>
      </c>
      <c r="D96" s="30" t="s">
        <v>2094</v>
      </c>
      <c r="E96" s="30">
        <v>150</v>
      </c>
      <c r="F96" s="30">
        <v>130</v>
      </c>
      <c r="G96" s="30">
        <v>-20</v>
      </c>
      <c r="H96" s="30">
        <v>300</v>
      </c>
      <c r="I96" s="8">
        <v>-6000</v>
      </c>
    </row>
    <row r="97" spans="2:9" x14ac:dyDescent="0.3">
      <c r="B97" s="43">
        <v>42844</v>
      </c>
      <c r="C97" s="3" t="s">
        <v>9</v>
      </c>
      <c r="D97" s="30" t="s">
        <v>2047</v>
      </c>
      <c r="E97" s="30">
        <v>120</v>
      </c>
      <c r="F97" s="30">
        <v>105</v>
      </c>
      <c r="G97" s="30">
        <v>-15</v>
      </c>
      <c r="H97" s="30">
        <v>300</v>
      </c>
      <c r="I97" s="8">
        <v>-4500</v>
      </c>
    </row>
    <row r="98" spans="2:9" x14ac:dyDescent="0.3">
      <c r="B98" s="43">
        <v>42845</v>
      </c>
      <c r="C98" s="3" t="s">
        <v>9</v>
      </c>
      <c r="D98" s="30" t="s">
        <v>2047</v>
      </c>
      <c r="E98" s="30">
        <v>100</v>
      </c>
      <c r="F98" s="30">
        <v>80</v>
      </c>
      <c r="G98" s="30">
        <v>-20</v>
      </c>
      <c r="H98" s="30">
        <v>300</v>
      </c>
      <c r="I98" s="8">
        <v>-6000</v>
      </c>
    </row>
    <row r="99" spans="2:9" x14ac:dyDescent="0.3">
      <c r="B99" s="43">
        <v>42846</v>
      </c>
      <c r="C99" s="3" t="s">
        <v>9</v>
      </c>
      <c r="D99" s="30" t="s">
        <v>2105</v>
      </c>
      <c r="E99" s="30">
        <v>163</v>
      </c>
      <c r="F99" s="30">
        <v>143</v>
      </c>
      <c r="G99" s="30">
        <v>-20</v>
      </c>
      <c r="H99" s="30">
        <v>300</v>
      </c>
      <c r="I99" s="8">
        <v>-6000</v>
      </c>
    </row>
    <row r="100" spans="2:9" x14ac:dyDescent="0.3">
      <c r="B100" s="43">
        <v>42849</v>
      </c>
      <c r="C100" s="3" t="s">
        <v>9</v>
      </c>
      <c r="D100" s="30" t="s">
        <v>2105</v>
      </c>
      <c r="E100" s="30">
        <v>175</v>
      </c>
      <c r="F100" s="30">
        <v>210</v>
      </c>
      <c r="G100" s="30">
        <v>35</v>
      </c>
      <c r="H100" s="30">
        <v>300</v>
      </c>
      <c r="I100" s="8">
        <v>10500</v>
      </c>
    </row>
    <row r="101" spans="2:9" x14ac:dyDescent="0.3">
      <c r="B101" s="43">
        <v>42850</v>
      </c>
      <c r="C101" s="3" t="s">
        <v>9</v>
      </c>
      <c r="D101" s="30" t="s">
        <v>2094</v>
      </c>
      <c r="E101" s="30">
        <v>160</v>
      </c>
      <c r="F101" s="30">
        <v>195</v>
      </c>
      <c r="G101" s="30">
        <v>35</v>
      </c>
      <c r="H101" s="30">
        <v>300</v>
      </c>
      <c r="I101" s="8">
        <v>10500</v>
      </c>
    </row>
    <row r="102" spans="2:9" x14ac:dyDescent="0.3">
      <c r="B102" s="43">
        <v>42851</v>
      </c>
      <c r="C102" s="3" t="s">
        <v>9</v>
      </c>
      <c r="D102" s="28" t="s">
        <v>2109</v>
      </c>
      <c r="E102" s="49" t="s">
        <v>229</v>
      </c>
      <c r="F102" s="49" t="s">
        <v>1484</v>
      </c>
      <c r="G102" s="49" t="s">
        <v>945</v>
      </c>
      <c r="H102" s="30">
        <v>300</v>
      </c>
      <c r="I102" s="8">
        <v>10500</v>
      </c>
    </row>
    <row r="103" spans="2:9" x14ac:dyDescent="0.3">
      <c r="B103" s="43">
        <v>42852</v>
      </c>
      <c r="C103" s="3" t="s">
        <v>9</v>
      </c>
      <c r="D103" s="28" t="s">
        <v>2109</v>
      </c>
      <c r="E103" s="49" t="s">
        <v>513</v>
      </c>
      <c r="F103" s="49" t="s">
        <v>612</v>
      </c>
      <c r="G103" s="49" t="s">
        <v>917</v>
      </c>
      <c r="H103" s="30">
        <v>300</v>
      </c>
      <c r="I103" s="8">
        <v>-6000</v>
      </c>
    </row>
    <row r="104" spans="2:9" x14ac:dyDescent="0.3">
      <c r="B104" s="43">
        <v>42853</v>
      </c>
      <c r="C104" s="3" t="s">
        <v>9</v>
      </c>
      <c r="D104" s="28" t="s">
        <v>2110</v>
      </c>
      <c r="E104" s="49" t="s">
        <v>214</v>
      </c>
      <c r="F104" s="49" t="s">
        <v>232</v>
      </c>
      <c r="G104" s="49" t="s">
        <v>1025</v>
      </c>
      <c r="H104" s="30">
        <v>300</v>
      </c>
      <c r="I104" s="8">
        <v>3000</v>
      </c>
    </row>
    <row r="105" spans="2:9" ht="21" x14ac:dyDescent="0.3">
      <c r="C105" s="3"/>
      <c r="D105" s="28"/>
      <c r="E105" s="49"/>
      <c r="F105" s="49"/>
      <c r="G105" s="49"/>
      <c r="H105" s="30"/>
      <c r="I105" s="128">
        <v>27000</v>
      </c>
    </row>
    <row r="106" spans="2:9" x14ac:dyDescent="0.3">
      <c r="B106" s="1"/>
      <c r="C106" s="28"/>
      <c r="D106" s="28"/>
      <c r="E106" s="81"/>
      <c r="F106" s="81"/>
      <c r="G106" s="81"/>
      <c r="H106" s="81"/>
      <c r="I106" s="81"/>
    </row>
    <row r="107" spans="2:9" ht="15.6" x14ac:dyDescent="0.3">
      <c r="B107" s="48" t="s">
        <v>926</v>
      </c>
      <c r="C107" s="48"/>
      <c r="D107" s="48"/>
      <c r="E107" s="48"/>
      <c r="F107" s="48"/>
      <c r="G107" s="48"/>
      <c r="H107" s="48"/>
      <c r="I107" s="48"/>
    </row>
    <row r="108" spans="2:9" x14ac:dyDescent="0.3">
      <c r="B108" s="43">
        <v>42828</v>
      </c>
      <c r="C108" s="30" t="s">
        <v>8</v>
      </c>
      <c r="D108" s="30" t="s">
        <v>301</v>
      </c>
      <c r="E108" s="30">
        <v>21500</v>
      </c>
      <c r="F108" s="30">
        <v>21570</v>
      </c>
      <c r="G108" s="30">
        <v>-70</v>
      </c>
      <c r="H108" s="30">
        <v>160</v>
      </c>
      <c r="I108" s="30">
        <v>-11200</v>
      </c>
    </row>
    <row r="109" spans="2:9" x14ac:dyDescent="0.3">
      <c r="B109" s="43">
        <v>42830</v>
      </c>
      <c r="C109" s="30" t="s">
        <v>9</v>
      </c>
      <c r="D109" s="30" t="s">
        <v>301</v>
      </c>
      <c r="E109" s="30">
        <v>21640</v>
      </c>
      <c r="F109" s="30">
        <v>21720</v>
      </c>
      <c r="G109" s="30">
        <v>80</v>
      </c>
      <c r="H109" s="30">
        <v>160</v>
      </c>
      <c r="I109" s="30">
        <v>12800</v>
      </c>
    </row>
    <row r="110" spans="2:9" x14ac:dyDescent="0.3">
      <c r="B110" s="43">
        <v>42831</v>
      </c>
      <c r="C110" s="30" t="s">
        <v>9</v>
      </c>
      <c r="D110" s="30" t="s">
        <v>301</v>
      </c>
      <c r="E110" s="30">
        <v>21620</v>
      </c>
      <c r="F110" s="30">
        <v>21680</v>
      </c>
      <c r="G110" s="30">
        <v>60</v>
      </c>
      <c r="H110" s="30">
        <v>160</v>
      </c>
      <c r="I110" s="30">
        <v>9600</v>
      </c>
    </row>
    <row r="111" spans="2:9" x14ac:dyDescent="0.3">
      <c r="B111" s="43">
        <v>42832</v>
      </c>
      <c r="C111" s="30" t="s">
        <v>9</v>
      </c>
      <c r="D111" s="30" t="s">
        <v>301</v>
      </c>
      <c r="E111" s="30">
        <v>21570</v>
      </c>
      <c r="F111" s="30">
        <v>21440</v>
      </c>
      <c r="G111" s="30">
        <v>-130</v>
      </c>
      <c r="H111" s="30">
        <v>160</v>
      </c>
      <c r="I111" s="30">
        <v>-20800</v>
      </c>
    </row>
    <row r="112" spans="2:9" x14ac:dyDescent="0.3">
      <c r="B112" s="43">
        <v>42835</v>
      </c>
      <c r="C112" s="30" t="s">
        <v>8</v>
      </c>
      <c r="D112" s="30" t="s">
        <v>301</v>
      </c>
      <c r="E112" s="30">
        <v>21480</v>
      </c>
      <c r="F112" s="30">
        <v>21550</v>
      </c>
      <c r="G112" s="30">
        <v>-70</v>
      </c>
      <c r="H112" s="30">
        <v>160</v>
      </c>
      <c r="I112" s="30">
        <v>-11200</v>
      </c>
    </row>
    <row r="113" spans="1:10" x14ac:dyDescent="0.3">
      <c r="B113" s="43">
        <v>42836</v>
      </c>
      <c r="C113" s="30" t="s">
        <v>9</v>
      </c>
      <c r="D113" s="30" t="s">
        <v>301</v>
      </c>
      <c r="E113" s="30">
        <v>21600</v>
      </c>
      <c r="F113" s="30">
        <v>21750</v>
      </c>
      <c r="G113" s="30">
        <v>150</v>
      </c>
      <c r="H113" s="30">
        <v>160</v>
      </c>
      <c r="I113" s="30">
        <v>24000</v>
      </c>
    </row>
    <row r="114" spans="1:10" x14ac:dyDescent="0.3">
      <c r="B114" s="43">
        <v>42837</v>
      </c>
      <c r="C114" s="30" t="s">
        <v>8</v>
      </c>
      <c r="D114" s="30" t="s">
        <v>301</v>
      </c>
      <c r="E114" s="30">
        <v>21650</v>
      </c>
      <c r="F114" s="30">
        <v>21800</v>
      </c>
      <c r="G114" s="30">
        <v>-150</v>
      </c>
      <c r="H114" s="30">
        <v>160</v>
      </c>
      <c r="I114" s="30">
        <v>-24000</v>
      </c>
    </row>
    <row r="115" spans="1:10" x14ac:dyDescent="0.3">
      <c r="B115" s="43">
        <v>42838</v>
      </c>
      <c r="C115" s="30" t="s">
        <v>9</v>
      </c>
      <c r="D115" s="30" t="s">
        <v>301</v>
      </c>
      <c r="E115" s="30">
        <v>21750</v>
      </c>
      <c r="F115" s="30">
        <v>21720</v>
      </c>
      <c r="G115" s="30">
        <v>-30</v>
      </c>
      <c r="H115" s="30">
        <v>160</v>
      </c>
      <c r="I115" s="30">
        <v>-4800</v>
      </c>
    </row>
    <row r="116" spans="1:10" x14ac:dyDescent="0.3">
      <c r="B116" s="43">
        <v>42842</v>
      </c>
      <c r="C116" s="30" t="s">
        <v>9</v>
      </c>
      <c r="D116" s="30" t="s">
        <v>301</v>
      </c>
      <c r="E116" s="30">
        <v>21660</v>
      </c>
      <c r="F116" s="30">
        <v>21710</v>
      </c>
      <c r="G116" s="30">
        <v>50</v>
      </c>
      <c r="H116" s="30">
        <v>160</v>
      </c>
      <c r="I116" s="30">
        <v>8000</v>
      </c>
    </row>
    <row r="117" spans="1:10" x14ac:dyDescent="0.3">
      <c r="B117" s="43">
        <v>42843</v>
      </c>
      <c r="C117" s="30" t="s">
        <v>9</v>
      </c>
      <c r="D117" s="30" t="s">
        <v>301</v>
      </c>
      <c r="E117" s="30">
        <v>21940</v>
      </c>
      <c r="F117" s="30">
        <v>21850</v>
      </c>
      <c r="G117" s="30">
        <v>-90</v>
      </c>
      <c r="H117" s="30">
        <v>160</v>
      </c>
      <c r="I117" s="30">
        <v>-14400</v>
      </c>
    </row>
    <row r="118" spans="1:10" x14ac:dyDescent="0.3">
      <c r="B118" s="43">
        <v>42844</v>
      </c>
      <c r="C118" s="30" t="s">
        <v>8</v>
      </c>
      <c r="D118" s="30" t="s">
        <v>301</v>
      </c>
      <c r="E118" s="30">
        <v>21570</v>
      </c>
      <c r="F118" s="30">
        <v>21530</v>
      </c>
      <c r="G118" s="30">
        <v>40</v>
      </c>
      <c r="H118" s="30">
        <v>160</v>
      </c>
      <c r="I118" s="30">
        <v>6400</v>
      </c>
    </row>
    <row r="119" spans="1:10" x14ac:dyDescent="0.3">
      <c r="B119" s="43">
        <v>42845</v>
      </c>
      <c r="C119" s="30" t="s">
        <v>8</v>
      </c>
      <c r="D119" s="30" t="s">
        <v>301</v>
      </c>
      <c r="E119" s="30">
        <v>21520</v>
      </c>
      <c r="F119" s="30">
        <v>21510</v>
      </c>
      <c r="G119" s="21">
        <v>10</v>
      </c>
      <c r="H119" s="30">
        <v>160</v>
      </c>
      <c r="I119" s="30">
        <v>1600</v>
      </c>
    </row>
    <row r="120" spans="1:10" x14ac:dyDescent="0.3">
      <c r="B120" s="43">
        <v>42846</v>
      </c>
      <c r="C120" s="30" t="s">
        <v>9</v>
      </c>
      <c r="D120" s="30" t="s">
        <v>301</v>
      </c>
      <c r="E120" s="30">
        <v>21520</v>
      </c>
      <c r="F120" s="30">
        <v>21550</v>
      </c>
      <c r="G120" s="30">
        <v>30</v>
      </c>
      <c r="H120" s="30">
        <v>160</v>
      </c>
      <c r="I120" s="30">
        <v>4800</v>
      </c>
    </row>
    <row r="121" spans="1:10" x14ac:dyDescent="0.3">
      <c r="B121" s="43">
        <v>42849</v>
      </c>
      <c r="C121" s="30" t="s">
        <v>9</v>
      </c>
      <c r="D121" s="30" t="s">
        <v>301</v>
      </c>
      <c r="E121" s="30">
        <v>21680</v>
      </c>
      <c r="F121" s="30">
        <v>21840</v>
      </c>
      <c r="G121" s="30">
        <v>160</v>
      </c>
      <c r="H121" s="30">
        <v>160</v>
      </c>
      <c r="I121" s="30">
        <v>25600</v>
      </c>
    </row>
    <row r="122" spans="1:10" x14ac:dyDescent="0.3">
      <c r="B122" s="43">
        <v>42850</v>
      </c>
      <c r="C122" s="30" t="s">
        <v>9</v>
      </c>
      <c r="D122" s="30" t="s">
        <v>301</v>
      </c>
      <c r="E122" s="30">
        <v>21900</v>
      </c>
      <c r="F122" s="30">
        <v>22020</v>
      </c>
      <c r="G122" s="30">
        <v>120</v>
      </c>
      <c r="H122" s="30">
        <v>160</v>
      </c>
      <c r="I122" s="30">
        <v>19200</v>
      </c>
    </row>
    <row r="123" spans="1:10" x14ac:dyDescent="0.3">
      <c r="B123" s="43">
        <v>42851</v>
      </c>
      <c r="C123" s="30" t="s">
        <v>8</v>
      </c>
      <c r="D123" s="30" t="s">
        <v>301</v>
      </c>
      <c r="E123" s="30">
        <v>22180</v>
      </c>
      <c r="F123" s="30">
        <v>22080</v>
      </c>
      <c r="G123" s="30">
        <v>100</v>
      </c>
      <c r="H123" s="30">
        <v>160</v>
      </c>
      <c r="I123" s="30">
        <v>16000</v>
      </c>
    </row>
    <row r="124" spans="1:10" x14ac:dyDescent="0.3">
      <c r="B124" s="43">
        <v>42852</v>
      </c>
      <c r="C124" s="30" t="s">
        <v>8</v>
      </c>
      <c r="D124" s="30" t="s">
        <v>301</v>
      </c>
      <c r="E124" s="30">
        <v>22200</v>
      </c>
      <c r="F124" s="30">
        <v>22350</v>
      </c>
      <c r="G124" s="30">
        <v>-150</v>
      </c>
      <c r="H124" s="30">
        <v>160</v>
      </c>
      <c r="I124" s="30">
        <v>-24000</v>
      </c>
    </row>
    <row r="125" spans="1:10" x14ac:dyDescent="0.3">
      <c r="B125" s="43">
        <v>42853</v>
      </c>
      <c r="C125" s="30" t="s">
        <v>8</v>
      </c>
      <c r="D125" s="30" t="s">
        <v>301</v>
      </c>
      <c r="E125" s="30">
        <v>22270</v>
      </c>
      <c r="F125" s="30">
        <v>22340</v>
      </c>
      <c r="G125" s="30">
        <v>-70</v>
      </c>
      <c r="H125" s="30">
        <v>160</v>
      </c>
      <c r="I125" s="94">
        <v>-11200</v>
      </c>
    </row>
    <row r="126" spans="1:10" ht="21" x14ac:dyDescent="0.4">
      <c r="B126" s="43"/>
      <c r="C126" s="30"/>
      <c r="D126" s="30"/>
      <c r="E126" s="30"/>
      <c r="F126" s="30"/>
      <c r="G126" s="30"/>
      <c r="H126" s="30"/>
      <c r="I126" s="112">
        <v>6400</v>
      </c>
    </row>
    <row r="127" spans="1:10" s="30" customFormat="1" x14ac:dyDescent="0.3">
      <c r="A127" s="9"/>
      <c r="B127" s="43"/>
      <c r="J127" s="9"/>
    </row>
    <row r="128" spans="1:10" s="130" customFormat="1" ht="18" x14ac:dyDescent="0.35">
      <c r="B128" s="299" t="s">
        <v>1152</v>
      </c>
      <c r="C128" s="300"/>
      <c r="D128" s="300"/>
      <c r="E128" s="300"/>
      <c r="F128" s="300"/>
      <c r="G128" s="300"/>
      <c r="H128" s="300"/>
      <c r="I128" s="301"/>
    </row>
    <row r="129" spans="2:15" x14ac:dyDescent="0.3">
      <c r="B129" s="43">
        <v>42828</v>
      </c>
      <c r="C129" s="30" t="s">
        <v>9</v>
      </c>
      <c r="D129" s="30" t="s">
        <v>2062</v>
      </c>
      <c r="E129" s="30">
        <v>340</v>
      </c>
      <c r="F129" s="30">
        <v>295</v>
      </c>
      <c r="G129" s="30">
        <v>-45</v>
      </c>
      <c r="H129" s="30">
        <v>160</v>
      </c>
      <c r="I129" s="30">
        <v>-7200</v>
      </c>
    </row>
    <row r="130" spans="2:15" ht="15.75" customHeight="1" x14ac:dyDescent="0.35">
      <c r="B130" s="43">
        <v>42830</v>
      </c>
      <c r="C130" s="30" t="s">
        <v>9</v>
      </c>
      <c r="D130" s="30" t="s">
        <v>2085</v>
      </c>
      <c r="E130" s="30">
        <v>370</v>
      </c>
      <c r="F130" s="30">
        <v>420</v>
      </c>
      <c r="G130" s="30">
        <v>50</v>
      </c>
      <c r="H130" s="30">
        <v>160</v>
      </c>
      <c r="I130" s="30">
        <v>8000</v>
      </c>
      <c r="K130" s="100"/>
      <c r="L130" s="100"/>
      <c r="M130" s="100"/>
      <c r="N130" s="100"/>
      <c r="O130" s="100"/>
    </row>
    <row r="131" spans="2:15" x14ac:dyDescent="0.3">
      <c r="B131" s="43">
        <v>42831</v>
      </c>
      <c r="C131" s="30" t="s">
        <v>9</v>
      </c>
      <c r="D131" s="30" t="s">
        <v>2086</v>
      </c>
      <c r="E131" s="30">
        <v>300</v>
      </c>
      <c r="F131" s="30">
        <v>330</v>
      </c>
      <c r="G131" s="30">
        <v>30</v>
      </c>
      <c r="H131" s="30">
        <v>160</v>
      </c>
      <c r="I131" s="30">
        <v>4800</v>
      </c>
      <c r="L131" s="30"/>
    </row>
    <row r="132" spans="2:15" x14ac:dyDescent="0.3">
      <c r="B132" s="43">
        <v>42832</v>
      </c>
      <c r="C132" s="30" t="s">
        <v>9</v>
      </c>
      <c r="D132" s="30" t="s">
        <v>2086</v>
      </c>
      <c r="E132" s="30">
        <v>260</v>
      </c>
      <c r="F132" s="30">
        <v>200</v>
      </c>
      <c r="G132" s="30">
        <v>-60</v>
      </c>
      <c r="H132" s="30">
        <v>160</v>
      </c>
      <c r="I132" s="30">
        <v>-9600</v>
      </c>
      <c r="K132" s="10" t="s">
        <v>2008</v>
      </c>
      <c r="L132" s="30"/>
    </row>
    <row r="133" spans="2:15" x14ac:dyDescent="0.3">
      <c r="B133" s="43">
        <v>42835</v>
      </c>
      <c r="C133" s="30" t="s">
        <v>9</v>
      </c>
      <c r="D133" s="30" t="s">
        <v>2062</v>
      </c>
      <c r="E133" s="30">
        <v>270</v>
      </c>
      <c r="F133" s="30">
        <v>230</v>
      </c>
      <c r="G133" s="30">
        <v>-40</v>
      </c>
      <c r="H133" s="30">
        <v>160</v>
      </c>
      <c r="I133" s="30">
        <v>-6400</v>
      </c>
      <c r="L133" s="30"/>
    </row>
    <row r="134" spans="2:15" x14ac:dyDescent="0.3">
      <c r="B134" s="43">
        <v>42836</v>
      </c>
      <c r="C134" s="30" t="s">
        <v>9</v>
      </c>
      <c r="D134" s="30" t="s">
        <v>2086</v>
      </c>
      <c r="E134" s="30">
        <v>220</v>
      </c>
      <c r="F134" s="30">
        <v>340</v>
      </c>
      <c r="G134" s="30">
        <v>120</v>
      </c>
      <c r="H134" s="30">
        <v>160</v>
      </c>
      <c r="I134" s="30">
        <v>19200</v>
      </c>
      <c r="L134" s="30"/>
    </row>
    <row r="135" spans="2:15" x14ac:dyDescent="0.3">
      <c r="B135" s="43">
        <v>42837</v>
      </c>
      <c r="C135" s="30" t="s">
        <v>9</v>
      </c>
      <c r="D135" s="30" t="s">
        <v>2095</v>
      </c>
      <c r="E135" s="30">
        <v>230</v>
      </c>
      <c r="F135" s="30">
        <v>170</v>
      </c>
      <c r="G135" s="30">
        <v>-60</v>
      </c>
      <c r="H135" s="30">
        <v>160</v>
      </c>
      <c r="I135" s="30">
        <v>-9600</v>
      </c>
      <c r="L135" s="30"/>
    </row>
    <row r="136" spans="2:15" x14ac:dyDescent="0.3">
      <c r="B136" s="43">
        <v>42838</v>
      </c>
      <c r="C136" s="30" t="s">
        <v>9</v>
      </c>
      <c r="D136" s="30" t="s">
        <v>2096</v>
      </c>
      <c r="E136" s="30">
        <v>260</v>
      </c>
      <c r="F136" s="30">
        <v>230</v>
      </c>
      <c r="G136" s="30">
        <v>-30</v>
      </c>
      <c r="H136" s="30">
        <v>160</v>
      </c>
      <c r="I136" s="30">
        <v>-4800</v>
      </c>
      <c r="L136" s="30"/>
    </row>
    <row r="137" spans="2:15" x14ac:dyDescent="0.3">
      <c r="B137" s="43">
        <v>42842</v>
      </c>
      <c r="C137" s="30" t="s">
        <v>9</v>
      </c>
      <c r="D137" s="30" t="s">
        <v>2086</v>
      </c>
      <c r="E137" s="30">
        <v>250</v>
      </c>
      <c r="F137" s="30">
        <v>265</v>
      </c>
      <c r="G137" s="30">
        <v>15</v>
      </c>
      <c r="H137" s="30">
        <v>160</v>
      </c>
      <c r="I137" s="30">
        <v>2400</v>
      </c>
    </row>
    <row r="138" spans="2:15" x14ac:dyDescent="0.3">
      <c r="B138" s="43">
        <v>42843</v>
      </c>
      <c r="C138" s="30" t="s">
        <v>9</v>
      </c>
      <c r="D138" s="30" t="s">
        <v>2097</v>
      </c>
      <c r="E138" s="30">
        <v>220</v>
      </c>
      <c r="F138" s="30">
        <v>160</v>
      </c>
      <c r="G138" s="30">
        <v>-60</v>
      </c>
      <c r="H138" s="30">
        <v>160</v>
      </c>
      <c r="I138" s="30">
        <v>-9600</v>
      </c>
    </row>
    <row r="139" spans="2:15" x14ac:dyDescent="0.3">
      <c r="B139" s="43">
        <v>42844</v>
      </c>
      <c r="C139" s="30" t="s">
        <v>9</v>
      </c>
      <c r="D139" s="30" t="s">
        <v>2095</v>
      </c>
      <c r="E139" s="30">
        <v>230</v>
      </c>
      <c r="F139" s="30">
        <v>170</v>
      </c>
      <c r="G139" s="30">
        <v>-60</v>
      </c>
      <c r="H139" s="30">
        <v>160</v>
      </c>
      <c r="I139" s="30">
        <v>-9600</v>
      </c>
    </row>
    <row r="140" spans="2:15" x14ac:dyDescent="0.3">
      <c r="B140" s="43">
        <v>42845</v>
      </c>
      <c r="C140" s="30" t="s">
        <v>9</v>
      </c>
      <c r="D140" s="30" t="s">
        <v>2095</v>
      </c>
      <c r="E140" s="30">
        <v>210</v>
      </c>
      <c r="F140" s="30">
        <v>220</v>
      </c>
      <c r="G140" s="30">
        <v>10</v>
      </c>
      <c r="H140" s="30">
        <v>160</v>
      </c>
      <c r="I140" s="30">
        <v>1600</v>
      </c>
    </row>
    <row r="141" spans="2:15" x14ac:dyDescent="0.3">
      <c r="B141" s="43">
        <v>42849</v>
      </c>
      <c r="C141" s="30" t="s">
        <v>9</v>
      </c>
      <c r="D141" s="30" t="s">
        <v>2085</v>
      </c>
      <c r="E141" s="30">
        <v>230</v>
      </c>
      <c r="F141" s="30">
        <v>370</v>
      </c>
      <c r="G141" s="30">
        <v>140</v>
      </c>
      <c r="H141" s="30">
        <v>160</v>
      </c>
      <c r="I141" s="30">
        <v>22400</v>
      </c>
    </row>
    <row r="142" spans="2:15" x14ac:dyDescent="0.3">
      <c r="B142" s="43">
        <v>42850</v>
      </c>
      <c r="C142" s="30" t="s">
        <v>9</v>
      </c>
      <c r="D142" s="30" t="s">
        <v>2096</v>
      </c>
      <c r="E142" s="30">
        <v>230</v>
      </c>
      <c r="F142" s="30">
        <v>330</v>
      </c>
      <c r="G142" s="30">
        <v>100</v>
      </c>
      <c r="H142" s="30">
        <v>160</v>
      </c>
      <c r="I142" s="30">
        <v>16000</v>
      </c>
    </row>
    <row r="143" spans="2:15" x14ac:dyDescent="0.3">
      <c r="B143" s="43">
        <v>42851</v>
      </c>
      <c r="C143" s="30" t="s">
        <v>9</v>
      </c>
      <c r="D143" s="30" t="s">
        <v>2111</v>
      </c>
      <c r="E143" s="30">
        <v>160</v>
      </c>
      <c r="F143" s="30">
        <v>220</v>
      </c>
      <c r="G143" s="30">
        <v>60</v>
      </c>
      <c r="H143" s="30">
        <v>160</v>
      </c>
      <c r="I143" s="30">
        <v>9600</v>
      </c>
    </row>
    <row r="144" spans="2:15" x14ac:dyDescent="0.3">
      <c r="B144" s="43">
        <v>42852</v>
      </c>
      <c r="C144" s="30" t="s">
        <v>9</v>
      </c>
      <c r="D144" s="30" t="s">
        <v>2111</v>
      </c>
      <c r="E144" s="30">
        <v>110</v>
      </c>
      <c r="F144" s="30">
        <v>50</v>
      </c>
      <c r="G144" s="30">
        <v>-60</v>
      </c>
      <c r="H144" s="30">
        <v>160</v>
      </c>
      <c r="I144" s="30">
        <v>-9600</v>
      </c>
    </row>
    <row r="145" spans="2:15" x14ac:dyDescent="0.3">
      <c r="B145" s="43">
        <v>42853</v>
      </c>
      <c r="C145" s="30" t="s">
        <v>9</v>
      </c>
      <c r="D145" s="30" t="s">
        <v>2112</v>
      </c>
      <c r="E145" s="30">
        <v>290</v>
      </c>
      <c r="F145" s="30">
        <v>250</v>
      </c>
      <c r="G145" s="30">
        <v>-40</v>
      </c>
      <c r="H145" s="30">
        <v>160</v>
      </c>
      <c r="I145" s="30">
        <v>-6400</v>
      </c>
    </row>
    <row r="146" spans="2:15" ht="18" x14ac:dyDescent="0.35">
      <c r="C146" s="30"/>
      <c r="D146" s="30"/>
      <c r="E146" s="30"/>
      <c r="F146" s="30"/>
      <c r="G146" s="30"/>
      <c r="H146" s="30"/>
      <c r="I146" s="72">
        <v>11200</v>
      </c>
    </row>
    <row r="148" spans="2:15" s="131" customFormat="1" ht="18" x14ac:dyDescent="0.35">
      <c r="B148" s="299" t="s">
        <v>1076</v>
      </c>
      <c r="C148" s="300"/>
      <c r="D148" s="300"/>
      <c r="E148" s="300"/>
      <c r="F148" s="300"/>
      <c r="G148" s="300"/>
      <c r="H148" s="300"/>
      <c r="I148" s="301"/>
      <c r="K148" s="130"/>
      <c r="L148" s="130"/>
      <c r="M148" s="130"/>
      <c r="N148" s="130"/>
      <c r="O148" s="130"/>
    </row>
    <row r="149" spans="2:15" x14ac:dyDescent="0.3">
      <c r="B149" s="43">
        <v>42828</v>
      </c>
      <c r="C149" s="30" t="s">
        <v>9</v>
      </c>
      <c r="D149" s="30" t="s">
        <v>2064</v>
      </c>
      <c r="E149" s="30">
        <v>4.7</v>
      </c>
      <c r="F149" s="30">
        <v>4.5</v>
      </c>
      <c r="G149" s="30">
        <v>-0.2</v>
      </c>
      <c r="H149" s="30">
        <v>3500</v>
      </c>
      <c r="I149" s="30">
        <v>-700</v>
      </c>
    </row>
    <row r="150" spans="2:15" x14ac:dyDescent="0.3">
      <c r="B150" s="43">
        <v>42830</v>
      </c>
      <c r="C150" s="30" t="s">
        <v>9</v>
      </c>
      <c r="D150" s="30" t="s">
        <v>2087</v>
      </c>
      <c r="E150" s="30">
        <v>21</v>
      </c>
      <c r="F150" s="30">
        <v>23</v>
      </c>
      <c r="G150" s="30">
        <v>2</v>
      </c>
      <c r="H150" s="30">
        <v>700</v>
      </c>
      <c r="I150" s="30">
        <v>1400</v>
      </c>
    </row>
    <row r="151" spans="2:15" x14ac:dyDescent="0.3">
      <c r="B151" s="43">
        <v>42831</v>
      </c>
      <c r="C151" s="30" t="s">
        <v>9</v>
      </c>
      <c r="D151" s="30" t="s">
        <v>2045</v>
      </c>
      <c r="E151" s="30">
        <v>15</v>
      </c>
      <c r="F151" s="30">
        <v>16</v>
      </c>
      <c r="G151" s="30">
        <v>1</v>
      </c>
      <c r="H151" s="30">
        <v>1200</v>
      </c>
      <c r="I151" s="30">
        <v>1200</v>
      </c>
    </row>
    <row r="152" spans="2:15" x14ac:dyDescent="0.3">
      <c r="B152" s="43">
        <v>42832</v>
      </c>
      <c r="C152" s="30" t="s">
        <v>9</v>
      </c>
      <c r="D152" s="30" t="s">
        <v>2088</v>
      </c>
      <c r="E152" s="30">
        <v>34</v>
      </c>
      <c r="F152" s="30">
        <v>39</v>
      </c>
      <c r="G152" s="30">
        <v>5</v>
      </c>
      <c r="H152" s="30">
        <v>500</v>
      </c>
      <c r="I152" s="30">
        <v>2500</v>
      </c>
    </row>
    <row r="153" spans="2:15" x14ac:dyDescent="0.3">
      <c r="B153" s="43">
        <v>42835</v>
      </c>
      <c r="C153" s="30" t="s">
        <v>9</v>
      </c>
      <c r="D153" s="30" t="s">
        <v>2098</v>
      </c>
      <c r="E153" s="30">
        <v>15</v>
      </c>
      <c r="F153" s="30">
        <v>12</v>
      </c>
      <c r="G153" s="30">
        <v>-3</v>
      </c>
      <c r="H153" s="30">
        <v>800</v>
      </c>
      <c r="I153" s="30">
        <v>-2400</v>
      </c>
    </row>
    <row r="154" spans="2:15" x14ac:dyDescent="0.3">
      <c r="B154" s="43">
        <v>42836</v>
      </c>
      <c r="C154" s="30" t="s">
        <v>9</v>
      </c>
      <c r="D154" s="30" t="s">
        <v>2099</v>
      </c>
      <c r="E154" s="30">
        <v>31</v>
      </c>
      <c r="F154" s="30">
        <v>38</v>
      </c>
      <c r="G154" s="30">
        <v>7</v>
      </c>
      <c r="H154" s="30">
        <v>700</v>
      </c>
      <c r="I154" s="30">
        <v>4900</v>
      </c>
    </row>
    <row r="155" spans="2:15" x14ac:dyDescent="0.3">
      <c r="B155" s="43">
        <v>42837</v>
      </c>
      <c r="C155" s="30" t="s">
        <v>9</v>
      </c>
      <c r="D155" s="30" t="s">
        <v>2100</v>
      </c>
      <c r="E155" s="30">
        <v>25</v>
      </c>
      <c r="F155" s="30">
        <v>28.5</v>
      </c>
      <c r="G155" s="30">
        <v>3.5</v>
      </c>
      <c r="H155" s="30">
        <v>500</v>
      </c>
      <c r="I155" s="30">
        <v>1750</v>
      </c>
    </row>
    <row r="156" spans="2:15" x14ac:dyDescent="0.3">
      <c r="B156" s="43">
        <v>42838</v>
      </c>
      <c r="C156" s="30" t="s">
        <v>9</v>
      </c>
      <c r="D156" s="30" t="s">
        <v>2101</v>
      </c>
      <c r="E156" s="30">
        <v>33</v>
      </c>
      <c r="F156" s="30">
        <v>27</v>
      </c>
      <c r="G156" s="30">
        <v>-6</v>
      </c>
      <c r="H156" s="30">
        <v>700</v>
      </c>
      <c r="I156" s="30">
        <v>-4200</v>
      </c>
    </row>
    <row r="157" spans="2:15" x14ac:dyDescent="0.3">
      <c r="B157" s="43">
        <v>42842</v>
      </c>
      <c r="C157" s="30" t="s">
        <v>9</v>
      </c>
      <c r="D157" s="30" t="s">
        <v>2102</v>
      </c>
      <c r="E157" s="30">
        <v>30</v>
      </c>
      <c r="F157" s="30">
        <v>31</v>
      </c>
      <c r="G157" s="30">
        <v>1</v>
      </c>
      <c r="H157" s="30">
        <v>500</v>
      </c>
      <c r="I157" s="30">
        <v>500</v>
      </c>
    </row>
    <row r="158" spans="2:15" x14ac:dyDescent="0.3">
      <c r="B158" s="43">
        <v>42843</v>
      </c>
      <c r="C158" s="30" t="s">
        <v>9</v>
      </c>
      <c r="D158" s="30" t="s">
        <v>2103</v>
      </c>
      <c r="E158" s="30">
        <v>7.5</v>
      </c>
      <c r="F158" s="30">
        <v>9.1999999999999993</v>
      </c>
      <c r="G158" s="30">
        <v>1.7</v>
      </c>
      <c r="H158" s="30">
        <v>3000</v>
      </c>
      <c r="I158" s="30">
        <v>5100</v>
      </c>
    </row>
    <row r="159" spans="2:15" x14ac:dyDescent="0.3">
      <c r="B159" s="43">
        <v>42844</v>
      </c>
      <c r="C159" s="30" t="s">
        <v>9</v>
      </c>
      <c r="D159" s="30" t="s">
        <v>1469</v>
      </c>
      <c r="E159" s="30">
        <v>12</v>
      </c>
      <c r="F159" s="30">
        <v>8</v>
      </c>
      <c r="G159" s="30">
        <v>-4</v>
      </c>
      <c r="H159" s="30">
        <v>1200</v>
      </c>
      <c r="I159" s="30">
        <v>-4800</v>
      </c>
    </row>
    <row r="160" spans="2:15" x14ac:dyDescent="0.3">
      <c r="B160" s="43">
        <v>42845</v>
      </c>
      <c r="C160" s="30" t="s">
        <v>9</v>
      </c>
      <c r="D160" s="30" t="s">
        <v>2106</v>
      </c>
      <c r="E160" s="30">
        <v>5</v>
      </c>
      <c r="F160" s="30">
        <v>7</v>
      </c>
      <c r="G160" s="30">
        <v>2</v>
      </c>
      <c r="H160" s="30">
        <v>3000</v>
      </c>
      <c r="I160" s="30">
        <v>6000</v>
      </c>
    </row>
    <row r="161" spans="1:10" x14ac:dyDescent="0.3">
      <c r="B161" s="43">
        <v>42849</v>
      </c>
      <c r="C161" s="30" t="s">
        <v>9</v>
      </c>
      <c r="D161" s="30" t="s">
        <v>2113</v>
      </c>
      <c r="E161" s="30">
        <v>17</v>
      </c>
      <c r="F161" s="30">
        <v>27</v>
      </c>
      <c r="G161" s="30">
        <v>10</v>
      </c>
      <c r="H161" s="30">
        <v>700</v>
      </c>
      <c r="I161" s="30">
        <v>7000</v>
      </c>
    </row>
    <row r="162" spans="1:10" s="30" customFormat="1" x14ac:dyDescent="0.3">
      <c r="A162" s="9"/>
      <c r="B162" s="43">
        <v>42850</v>
      </c>
      <c r="C162" s="30" t="s">
        <v>9</v>
      </c>
      <c r="D162" s="30" t="s">
        <v>2114</v>
      </c>
      <c r="E162" s="30">
        <v>17</v>
      </c>
      <c r="F162" s="30">
        <v>15</v>
      </c>
      <c r="G162" s="30">
        <v>-2</v>
      </c>
      <c r="H162" s="30">
        <v>500</v>
      </c>
      <c r="I162" s="30">
        <v>-1000</v>
      </c>
      <c r="J162" s="9"/>
    </row>
    <row r="163" spans="1:10" s="30" customFormat="1" x14ac:dyDescent="0.3">
      <c r="A163" s="9"/>
      <c r="B163" s="43">
        <v>42852</v>
      </c>
      <c r="C163" s="30" t="s">
        <v>9</v>
      </c>
      <c r="D163" s="30" t="s">
        <v>2115</v>
      </c>
      <c r="E163" s="30">
        <v>8</v>
      </c>
      <c r="F163" s="30">
        <v>20</v>
      </c>
      <c r="G163" s="30">
        <v>12</v>
      </c>
      <c r="H163" s="30">
        <v>700</v>
      </c>
      <c r="I163" s="30">
        <v>8400</v>
      </c>
      <c r="J163" s="9"/>
    </row>
    <row r="164" spans="1:10" s="30" customFormat="1" x14ac:dyDescent="0.3">
      <c r="A164" s="9"/>
      <c r="B164" s="43">
        <v>42853</v>
      </c>
      <c r="C164" s="30" t="s">
        <v>9</v>
      </c>
      <c r="D164" s="30" t="s">
        <v>2116</v>
      </c>
      <c r="E164" s="30">
        <v>33</v>
      </c>
      <c r="F164" s="30">
        <v>34</v>
      </c>
      <c r="G164" s="30">
        <v>1</v>
      </c>
      <c r="H164" s="30">
        <v>700</v>
      </c>
      <c r="I164" s="30">
        <v>700</v>
      </c>
      <c r="J164" s="9"/>
    </row>
    <row r="165" spans="1:10" ht="18" x14ac:dyDescent="0.35">
      <c r="I165" s="72">
        <v>26350</v>
      </c>
    </row>
    <row r="166" spans="1:10" x14ac:dyDescent="0.3">
      <c r="B166" s="43"/>
    </row>
    <row r="167" spans="1:10" x14ac:dyDescent="0.3">
      <c r="B167" s="43"/>
    </row>
  </sheetData>
  <mergeCells count="5">
    <mergeCell ref="B128:I128"/>
    <mergeCell ref="B148:I148"/>
    <mergeCell ref="B1:I1"/>
    <mergeCell ref="B2:I2"/>
    <mergeCell ref="B3:I3"/>
  </mergeCells>
  <hyperlinks>
    <hyperlink ref="K2" location="'MASTER '!A1" display="Back" xr:uid="{00000000-0004-0000-3000-000000000000}"/>
  </hyperlink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1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128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41487</v>
      </c>
      <c r="C6" s="4" t="s">
        <v>8</v>
      </c>
      <c r="D6" s="7" t="s">
        <v>121</v>
      </c>
      <c r="E6" s="4">
        <v>166</v>
      </c>
      <c r="F6" s="4">
        <v>164</v>
      </c>
      <c r="G6" s="24">
        <v>1807</v>
      </c>
      <c r="H6" s="28">
        <v>3614</v>
      </c>
      <c r="K6" s="16"/>
    </row>
    <row r="7" spans="1:11" x14ac:dyDescent="0.3">
      <c r="B7" s="1">
        <v>41488</v>
      </c>
      <c r="C7" s="4" t="s">
        <v>8</v>
      </c>
      <c r="D7" s="7" t="s">
        <v>122</v>
      </c>
      <c r="E7" s="4">
        <v>900</v>
      </c>
      <c r="F7" s="4">
        <v>909</v>
      </c>
      <c r="G7" s="24">
        <v>333</v>
      </c>
      <c r="H7" s="28">
        <v>-2997</v>
      </c>
      <c r="K7" s="16"/>
    </row>
    <row r="8" spans="1:11" x14ac:dyDescent="0.3">
      <c r="B8" s="1">
        <v>41491</v>
      </c>
      <c r="C8" s="4" t="s">
        <v>11</v>
      </c>
      <c r="D8" s="7" t="s">
        <v>29</v>
      </c>
      <c r="E8" s="4">
        <v>953</v>
      </c>
      <c r="F8" s="4">
        <v>960</v>
      </c>
      <c r="G8" s="24">
        <v>314</v>
      </c>
      <c r="H8" s="28">
        <v>2198</v>
      </c>
      <c r="K8" s="16"/>
    </row>
    <row r="9" spans="1:11" x14ac:dyDescent="0.3">
      <c r="B9" s="1">
        <v>41492</v>
      </c>
      <c r="C9" s="4" t="s">
        <v>8</v>
      </c>
      <c r="D9" s="7" t="s">
        <v>132</v>
      </c>
      <c r="E9" s="4">
        <v>418</v>
      </c>
      <c r="F9" s="4">
        <v>410</v>
      </c>
      <c r="G9" s="37">
        <f>300000/E9</f>
        <v>717.7033492822967</v>
      </c>
      <c r="H9" s="28">
        <v>5741</v>
      </c>
      <c r="K9" s="16"/>
    </row>
    <row r="10" spans="1:11" x14ac:dyDescent="0.3">
      <c r="B10" s="1">
        <v>41493</v>
      </c>
      <c r="C10" s="4" t="s">
        <v>8</v>
      </c>
      <c r="D10" s="7" t="s">
        <v>129</v>
      </c>
      <c r="E10" s="4">
        <v>733</v>
      </c>
      <c r="F10" s="4">
        <v>728</v>
      </c>
      <c r="G10" s="37">
        <f>300000/E10</f>
        <v>409.27694406548432</v>
      </c>
      <c r="H10" s="28">
        <v>2045</v>
      </c>
      <c r="K10" s="16"/>
    </row>
    <row r="11" spans="1:11" x14ac:dyDescent="0.3">
      <c r="B11" s="1">
        <v>41494</v>
      </c>
      <c r="C11" s="30" t="s">
        <v>8</v>
      </c>
      <c r="D11" s="4" t="s">
        <v>133</v>
      </c>
      <c r="E11" s="4">
        <v>787</v>
      </c>
      <c r="F11" s="4">
        <v>787</v>
      </c>
      <c r="G11" s="37">
        <f t="shared" ref="G11:G14" si="0">300000/E11</f>
        <v>381.19440914866584</v>
      </c>
      <c r="H11" s="28">
        <v>0</v>
      </c>
      <c r="K11" s="16"/>
    </row>
    <row r="12" spans="1:11" x14ac:dyDescent="0.3">
      <c r="B12" s="1">
        <v>41498</v>
      </c>
      <c r="C12" s="4" t="s">
        <v>8</v>
      </c>
      <c r="D12" s="7" t="s">
        <v>16</v>
      </c>
      <c r="E12" s="4">
        <v>265</v>
      </c>
      <c r="F12" s="4">
        <v>266.8</v>
      </c>
      <c r="G12" s="37">
        <f t="shared" si="0"/>
        <v>1132.0754716981132</v>
      </c>
      <c r="H12" s="28">
        <v>-2037</v>
      </c>
      <c r="K12" s="16"/>
    </row>
    <row r="13" spans="1:11" x14ac:dyDescent="0.3">
      <c r="B13" s="1">
        <v>41499</v>
      </c>
      <c r="C13" s="4" t="s">
        <v>9</v>
      </c>
      <c r="D13" s="7" t="s">
        <v>31</v>
      </c>
      <c r="E13" s="4">
        <v>855</v>
      </c>
      <c r="F13" s="4">
        <v>854</v>
      </c>
      <c r="G13" s="37">
        <v>350</v>
      </c>
      <c r="H13" s="28">
        <v>-350</v>
      </c>
      <c r="K13" s="16"/>
    </row>
    <row r="14" spans="1:11" x14ac:dyDescent="0.3">
      <c r="B14" s="1">
        <v>41500</v>
      </c>
      <c r="C14" s="4" t="s">
        <v>8</v>
      </c>
      <c r="D14" s="7" t="s">
        <v>78</v>
      </c>
      <c r="E14" s="4">
        <v>800</v>
      </c>
      <c r="F14" s="4">
        <v>805</v>
      </c>
      <c r="G14" s="37">
        <f t="shared" si="0"/>
        <v>375</v>
      </c>
      <c r="H14" s="28">
        <v>-1875</v>
      </c>
      <c r="K14" s="16"/>
    </row>
    <row r="15" spans="1:11" x14ac:dyDescent="0.3">
      <c r="B15" s="1">
        <v>41502</v>
      </c>
      <c r="C15" s="3" t="s">
        <v>8</v>
      </c>
      <c r="D15" s="2" t="s">
        <v>139</v>
      </c>
      <c r="E15" s="4">
        <v>278</v>
      </c>
      <c r="F15" s="4">
        <v>270</v>
      </c>
      <c r="G15" s="28">
        <v>1079</v>
      </c>
      <c r="H15" s="28">
        <v>8632</v>
      </c>
      <c r="K15" s="16"/>
    </row>
    <row r="16" spans="1:11" x14ac:dyDescent="0.3">
      <c r="B16" s="1">
        <v>41505</v>
      </c>
      <c r="C16" s="4" t="s">
        <v>8</v>
      </c>
      <c r="D16" s="7" t="s">
        <v>48</v>
      </c>
      <c r="E16" s="4">
        <v>452</v>
      </c>
      <c r="F16" s="4">
        <v>443</v>
      </c>
      <c r="G16" s="4">
        <v>663</v>
      </c>
      <c r="H16" s="28">
        <v>5967</v>
      </c>
      <c r="K16" s="16"/>
    </row>
    <row r="17" spans="2:11" x14ac:dyDescent="0.3">
      <c r="B17" s="1">
        <v>41506</v>
      </c>
      <c r="C17" s="4" t="s">
        <v>8</v>
      </c>
      <c r="D17" s="7" t="s">
        <v>29</v>
      </c>
      <c r="E17" s="4">
        <v>909</v>
      </c>
      <c r="F17" s="7">
        <v>896</v>
      </c>
      <c r="G17" s="4">
        <v>330</v>
      </c>
      <c r="H17" s="28">
        <v>4290</v>
      </c>
      <c r="K17" s="16"/>
    </row>
    <row r="18" spans="2:11" x14ac:dyDescent="0.3">
      <c r="B18" s="1">
        <v>41507</v>
      </c>
      <c r="C18" s="4" t="s">
        <v>8</v>
      </c>
      <c r="D18" s="7" t="s">
        <v>29</v>
      </c>
      <c r="E18" s="7">
        <v>895</v>
      </c>
      <c r="F18" s="7">
        <v>883</v>
      </c>
      <c r="G18" s="4">
        <v>335</v>
      </c>
      <c r="H18" s="28">
        <v>4020</v>
      </c>
      <c r="K18" s="16"/>
    </row>
    <row r="19" spans="2:11" x14ac:dyDescent="0.3">
      <c r="B19" s="1">
        <v>41508</v>
      </c>
      <c r="C19" s="4" t="s">
        <v>8</v>
      </c>
      <c r="D19" s="7" t="s">
        <v>146</v>
      </c>
      <c r="E19" s="7">
        <v>127</v>
      </c>
      <c r="F19" s="7">
        <v>130</v>
      </c>
      <c r="G19" s="4">
        <v>2362</v>
      </c>
      <c r="H19" s="28">
        <v>-7086</v>
      </c>
      <c r="K19" s="16"/>
    </row>
    <row r="20" spans="2:11" x14ac:dyDescent="0.3">
      <c r="B20" s="1">
        <v>41509</v>
      </c>
      <c r="C20" s="4" t="s">
        <v>9</v>
      </c>
      <c r="D20" s="7" t="s">
        <v>109</v>
      </c>
      <c r="E20" s="4">
        <v>811</v>
      </c>
      <c r="F20" s="4">
        <v>818</v>
      </c>
      <c r="G20" s="4">
        <v>369</v>
      </c>
      <c r="H20" s="28">
        <v>2583</v>
      </c>
      <c r="K20" s="16"/>
    </row>
    <row r="21" spans="2:11" x14ac:dyDescent="0.3">
      <c r="B21" s="1">
        <v>41512</v>
      </c>
      <c r="C21" s="4" t="s">
        <v>8</v>
      </c>
      <c r="D21" s="7" t="s">
        <v>48</v>
      </c>
      <c r="E21" s="4">
        <v>467</v>
      </c>
      <c r="F21" s="4">
        <v>471</v>
      </c>
      <c r="G21" s="4">
        <v>642</v>
      </c>
      <c r="H21" s="28">
        <v>-2568</v>
      </c>
      <c r="K21" s="16"/>
    </row>
    <row r="22" spans="2:11" x14ac:dyDescent="0.3">
      <c r="B22" s="1">
        <v>41513</v>
      </c>
      <c r="C22" s="4" t="s">
        <v>9</v>
      </c>
      <c r="D22" s="7" t="s">
        <v>29</v>
      </c>
      <c r="E22" s="7">
        <v>958</v>
      </c>
      <c r="F22" s="7">
        <v>962</v>
      </c>
      <c r="G22" s="4">
        <v>313</v>
      </c>
      <c r="H22" s="28">
        <v>1252</v>
      </c>
      <c r="K22" s="16"/>
    </row>
    <row r="23" spans="2:11" x14ac:dyDescent="0.3">
      <c r="B23" s="1">
        <v>41515</v>
      </c>
      <c r="C23" s="4" t="s">
        <v>9</v>
      </c>
      <c r="D23" s="7" t="s">
        <v>29</v>
      </c>
      <c r="E23" s="7">
        <v>990</v>
      </c>
      <c r="F23" s="7">
        <v>1000</v>
      </c>
      <c r="G23" s="4">
        <v>303</v>
      </c>
      <c r="H23" s="28">
        <v>3030</v>
      </c>
      <c r="K23" s="16"/>
    </row>
    <row r="24" spans="2:11" x14ac:dyDescent="0.3">
      <c r="B24" s="1">
        <v>41516</v>
      </c>
      <c r="C24" s="28" t="s">
        <v>9</v>
      </c>
      <c r="D24" s="28" t="s">
        <v>153</v>
      </c>
      <c r="E24" s="28">
        <v>167</v>
      </c>
      <c r="F24" s="28">
        <v>169</v>
      </c>
      <c r="G24" s="28">
        <v>1796</v>
      </c>
      <c r="H24" s="28">
        <v>3592</v>
      </c>
      <c r="K24" s="16"/>
    </row>
    <row r="25" spans="2:11" x14ac:dyDescent="0.3">
      <c r="H25" s="29">
        <v>30051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x14ac:dyDescent="0.3">
      <c r="C27" s="28"/>
      <c r="D27" s="28"/>
      <c r="E27" s="28"/>
      <c r="F27" s="28"/>
      <c r="G27" s="28"/>
      <c r="H27" s="28"/>
    </row>
    <row r="28" spans="2:11" x14ac:dyDescent="0.3">
      <c r="C28" s="28"/>
      <c r="D28" s="28"/>
      <c r="E28" s="28"/>
      <c r="F28" s="28"/>
      <c r="G28" s="28"/>
      <c r="H28" s="28"/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41487</v>
      </c>
      <c r="C32" s="4" t="s">
        <v>9</v>
      </c>
      <c r="D32" s="7" t="s">
        <v>129</v>
      </c>
      <c r="E32" s="4">
        <v>628</v>
      </c>
      <c r="F32" s="4">
        <v>628</v>
      </c>
      <c r="G32" s="24">
        <v>500</v>
      </c>
      <c r="H32" s="28">
        <v>0</v>
      </c>
    </row>
    <row r="33" spans="2:8" x14ac:dyDescent="0.3">
      <c r="B33" s="1">
        <v>41488</v>
      </c>
      <c r="C33" s="4" t="s">
        <v>8</v>
      </c>
      <c r="D33" s="7" t="s">
        <v>121</v>
      </c>
      <c r="E33" s="4">
        <v>158</v>
      </c>
      <c r="F33" s="4">
        <v>152</v>
      </c>
      <c r="G33" s="24">
        <v>2000</v>
      </c>
      <c r="H33" s="28">
        <v>12000</v>
      </c>
    </row>
    <row r="34" spans="2:8" x14ac:dyDescent="0.3">
      <c r="B34" s="1">
        <v>41491</v>
      </c>
      <c r="C34" s="4" t="s">
        <v>8</v>
      </c>
      <c r="D34" s="7" t="s">
        <v>124</v>
      </c>
      <c r="E34" s="4">
        <v>289</v>
      </c>
      <c r="F34" s="4">
        <v>282</v>
      </c>
      <c r="G34" s="24">
        <v>1000</v>
      </c>
      <c r="H34" s="28">
        <v>7000</v>
      </c>
    </row>
    <row r="35" spans="2:8" x14ac:dyDescent="0.3">
      <c r="B35" s="1">
        <v>41492</v>
      </c>
      <c r="C35" s="4" t="s">
        <v>8</v>
      </c>
      <c r="D35" s="7" t="s">
        <v>16</v>
      </c>
      <c r="E35" s="4">
        <v>271</v>
      </c>
      <c r="F35" s="4">
        <v>264</v>
      </c>
      <c r="G35" s="24">
        <v>1000</v>
      </c>
      <c r="H35" s="28">
        <v>7000</v>
      </c>
    </row>
    <row r="36" spans="2:8" x14ac:dyDescent="0.3">
      <c r="B36" s="1">
        <v>41493</v>
      </c>
      <c r="C36" s="4" t="s">
        <v>8</v>
      </c>
      <c r="D36" s="7" t="s">
        <v>129</v>
      </c>
      <c r="E36" s="4">
        <v>730</v>
      </c>
      <c r="F36" s="4">
        <v>730</v>
      </c>
      <c r="G36" s="24">
        <v>250</v>
      </c>
      <c r="H36" s="28">
        <v>0</v>
      </c>
    </row>
    <row r="37" spans="2:8" x14ac:dyDescent="0.3">
      <c r="B37" s="1">
        <v>41494</v>
      </c>
      <c r="C37" s="4" t="s">
        <v>9</v>
      </c>
      <c r="D37" s="7" t="s">
        <v>26</v>
      </c>
      <c r="E37" s="4">
        <v>136</v>
      </c>
      <c r="F37" s="4">
        <v>138</v>
      </c>
      <c r="G37" s="24">
        <v>1000</v>
      </c>
      <c r="H37" s="28">
        <v>2000</v>
      </c>
    </row>
    <row r="38" spans="2:8" x14ac:dyDescent="0.3">
      <c r="B38" s="1">
        <v>41498</v>
      </c>
      <c r="C38" s="4" t="s">
        <v>8</v>
      </c>
      <c r="D38" s="7" t="s">
        <v>22</v>
      </c>
      <c r="E38" s="4">
        <v>105.5</v>
      </c>
      <c r="F38" s="4">
        <v>107.5</v>
      </c>
      <c r="G38" s="24">
        <v>2000</v>
      </c>
      <c r="H38" s="28">
        <v>-4000</v>
      </c>
    </row>
    <row r="39" spans="2:8" x14ac:dyDescent="0.3">
      <c r="B39" s="1">
        <v>41499</v>
      </c>
      <c r="C39" s="4" t="s">
        <v>9</v>
      </c>
      <c r="D39" s="7" t="s">
        <v>121</v>
      </c>
      <c r="E39" s="4">
        <v>167</v>
      </c>
      <c r="F39" s="4">
        <v>169</v>
      </c>
      <c r="G39" s="32">
        <v>2000</v>
      </c>
      <c r="H39" s="28">
        <v>4000</v>
      </c>
    </row>
    <row r="40" spans="2:8" x14ac:dyDescent="0.3">
      <c r="B40" s="1">
        <v>41500</v>
      </c>
      <c r="C40" s="4" t="s">
        <v>8</v>
      </c>
      <c r="D40" s="7" t="s">
        <v>137</v>
      </c>
      <c r="E40" s="4">
        <v>616</v>
      </c>
      <c r="F40" s="4">
        <v>622</v>
      </c>
      <c r="G40" s="28">
        <v>500</v>
      </c>
      <c r="H40" s="28">
        <v>-3000</v>
      </c>
    </row>
    <row r="41" spans="2:8" x14ac:dyDescent="0.3">
      <c r="B41" s="1">
        <v>41502</v>
      </c>
      <c r="C41" s="28" t="s">
        <v>9</v>
      </c>
      <c r="D41" s="28" t="s">
        <v>121</v>
      </c>
      <c r="E41" s="28">
        <v>173.5</v>
      </c>
      <c r="F41" s="28">
        <v>175</v>
      </c>
      <c r="G41" s="28">
        <v>2000</v>
      </c>
      <c r="H41" s="28">
        <v>3000</v>
      </c>
    </row>
    <row r="42" spans="2:8" x14ac:dyDescent="0.3">
      <c r="B42" s="1">
        <v>41505</v>
      </c>
      <c r="C42" s="4" t="s">
        <v>8</v>
      </c>
      <c r="D42" s="7" t="s">
        <v>90</v>
      </c>
      <c r="E42" s="4">
        <v>1310</v>
      </c>
      <c r="F42" s="4">
        <v>1300</v>
      </c>
      <c r="G42" s="28">
        <v>250</v>
      </c>
      <c r="H42" s="28">
        <v>2500</v>
      </c>
    </row>
    <row r="43" spans="2:8" x14ac:dyDescent="0.3">
      <c r="B43" s="1">
        <v>41506</v>
      </c>
      <c r="C43" s="4" t="s">
        <v>8</v>
      </c>
      <c r="D43" s="7" t="s">
        <v>29</v>
      </c>
      <c r="E43" s="4">
        <v>918</v>
      </c>
      <c r="F43" s="4">
        <v>906</v>
      </c>
      <c r="G43" s="28">
        <v>500</v>
      </c>
      <c r="H43" s="28">
        <v>4500</v>
      </c>
    </row>
    <row r="44" spans="2:8" x14ac:dyDescent="0.3">
      <c r="B44" s="1">
        <v>41507</v>
      </c>
      <c r="C44" s="4" t="s">
        <v>8</v>
      </c>
      <c r="D44" s="7" t="s">
        <v>85</v>
      </c>
      <c r="E44" s="4">
        <v>315</v>
      </c>
      <c r="F44" s="4">
        <v>312</v>
      </c>
      <c r="G44" s="28">
        <v>1000</v>
      </c>
      <c r="H44" s="28">
        <v>3000</v>
      </c>
    </row>
    <row r="45" spans="2:8" x14ac:dyDescent="0.3">
      <c r="B45" s="1">
        <v>41508</v>
      </c>
      <c r="C45" s="4" t="s">
        <v>8</v>
      </c>
      <c r="D45" s="7" t="s">
        <v>29</v>
      </c>
      <c r="E45" s="4">
        <v>880</v>
      </c>
      <c r="F45" s="4">
        <v>876.5</v>
      </c>
      <c r="G45" s="28">
        <v>500</v>
      </c>
      <c r="H45" s="28">
        <v>1750</v>
      </c>
    </row>
    <row r="46" spans="2:8" x14ac:dyDescent="0.3">
      <c r="B46" s="1">
        <v>41509</v>
      </c>
      <c r="C46" s="4" t="s">
        <v>8</v>
      </c>
      <c r="D46" s="7" t="s">
        <v>25</v>
      </c>
      <c r="E46" s="4">
        <v>279</v>
      </c>
      <c r="F46" s="4">
        <v>275</v>
      </c>
      <c r="G46" s="28">
        <v>1000</v>
      </c>
      <c r="H46" s="28">
        <v>-4000</v>
      </c>
    </row>
    <row r="47" spans="2:8" x14ac:dyDescent="0.3">
      <c r="B47" s="1">
        <v>41512</v>
      </c>
      <c r="C47" s="4" t="s">
        <v>9</v>
      </c>
      <c r="D47" s="7" t="s">
        <v>29</v>
      </c>
      <c r="E47" s="7">
        <v>958</v>
      </c>
      <c r="F47" s="7">
        <v>960</v>
      </c>
      <c r="G47" s="28">
        <v>500</v>
      </c>
      <c r="H47" s="28">
        <v>1000</v>
      </c>
    </row>
    <row r="48" spans="2:8" x14ac:dyDescent="0.3">
      <c r="B48" s="1">
        <v>41513</v>
      </c>
      <c r="C48" s="4" t="s">
        <v>8</v>
      </c>
      <c r="D48" s="7" t="s">
        <v>113</v>
      </c>
      <c r="E48" s="7">
        <v>108.5</v>
      </c>
      <c r="F48" s="7">
        <v>107.2</v>
      </c>
      <c r="G48" s="28">
        <v>1000</v>
      </c>
      <c r="H48" s="28">
        <v>1300</v>
      </c>
    </row>
    <row r="49" spans="2:8" x14ac:dyDescent="0.3">
      <c r="B49" s="1">
        <v>41515</v>
      </c>
      <c r="C49" s="4" t="s">
        <v>8</v>
      </c>
      <c r="D49" s="7" t="s">
        <v>90</v>
      </c>
      <c r="E49" s="4">
        <v>1360</v>
      </c>
      <c r="F49" s="7">
        <v>1360</v>
      </c>
      <c r="G49" s="28">
        <v>250</v>
      </c>
      <c r="H49" s="28">
        <v>0</v>
      </c>
    </row>
    <row r="50" spans="2:8" x14ac:dyDescent="0.3">
      <c r="B50" s="1">
        <v>41516</v>
      </c>
      <c r="C50" s="4" t="s">
        <v>8</v>
      </c>
      <c r="D50" s="7" t="s">
        <v>124</v>
      </c>
      <c r="E50" s="7">
        <v>303</v>
      </c>
      <c r="F50" s="7">
        <v>298</v>
      </c>
      <c r="G50" s="28">
        <v>1000</v>
      </c>
      <c r="H50" s="28">
        <v>5000</v>
      </c>
    </row>
    <row r="51" spans="2:8" x14ac:dyDescent="0.3">
      <c r="H51" s="29">
        <v>43050</v>
      </c>
    </row>
    <row r="52" spans="2:8" ht="15.6" x14ac:dyDescent="0.3">
      <c r="B52" s="1"/>
      <c r="C52" s="4"/>
      <c r="D52" s="4"/>
      <c r="E52" s="4"/>
      <c r="F52" s="4"/>
      <c r="G52" s="28"/>
      <c r="H52" s="36"/>
    </row>
    <row r="53" spans="2:8" x14ac:dyDescent="0.3">
      <c r="B53" s="1"/>
      <c r="C53" s="4"/>
      <c r="D53" s="4"/>
      <c r="E53" s="4"/>
      <c r="F53" s="4"/>
      <c r="G53" s="28"/>
      <c r="H53" s="28"/>
    </row>
    <row r="54" spans="2:8" x14ac:dyDescent="0.3">
      <c r="B54" s="1"/>
      <c r="C54" s="28"/>
      <c r="D54" s="28"/>
      <c r="E54" s="28"/>
      <c r="F54" s="28"/>
      <c r="G54" s="28"/>
      <c r="H54" s="28"/>
    </row>
    <row r="55" spans="2:8" ht="15.6" x14ac:dyDescent="0.3">
      <c r="B55" s="1"/>
      <c r="C55" s="28"/>
      <c r="D55" s="28"/>
      <c r="E55" s="28"/>
      <c r="F55" s="28"/>
      <c r="G55" s="28"/>
      <c r="H55" s="34"/>
    </row>
    <row r="56" spans="2:8" x14ac:dyDescent="0.3">
      <c r="B56" s="1"/>
    </row>
    <row r="57" spans="2:8" ht="15.6" x14ac:dyDescent="0.3">
      <c r="B57" s="48" t="s">
        <v>63</v>
      </c>
      <c r="C57" s="48"/>
      <c r="D57" s="48"/>
      <c r="E57" s="48"/>
      <c r="F57" s="48"/>
      <c r="G57" s="48"/>
      <c r="H57" s="48"/>
    </row>
    <row r="58" spans="2:8" x14ac:dyDescent="0.3">
      <c r="B58" s="1">
        <v>41487</v>
      </c>
      <c r="C58" s="3" t="s">
        <v>9</v>
      </c>
      <c r="D58" s="2" t="s">
        <v>39</v>
      </c>
      <c r="E58" s="4">
        <v>5830</v>
      </c>
      <c r="F58" s="4">
        <v>5810</v>
      </c>
      <c r="G58" s="7">
        <v>100</v>
      </c>
      <c r="H58" s="4">
        <v>-2000</v>
      </c>
    </row>
    <row r="59" spans="2:8" x14ac:dyDescent="0.3">
      <c r="B59" s="1">
        <v>41488</v>
      </c>
      <c r="C59" s="3" t="s">
        <v>8</v>
      </c>
      <c r="D59" s="2" t="s">
        <v>39</v>
      </c>
      <c r="E59" s="4">
        <v>5755</v>
      </c>
      <c r="F59" s="4">
        <v>5725</v>
      </c>
      <c r="G59" s="7">
        <v>100</v>
      </c>
      <c r="H59" s="4">
        <v>3000</v>
      </c>
    </row>
    <row r="60" spans="2:8" x14ac:dyDescent="0.3">
      <c r="B60" s="1">
        <v>41491</v>
      </c>
      <c r="C60" s="28" t="s">
        <v>8</v>
      </c>
      <c r="D60" s="28" t="s">
        <v>39</v>
      </c>
      <c r="E60" s="28">
        <v>5745</v>
      </c>
      <c r="F60" s="28">
        <v>5710</v>
      </c>
      <c r="G60" s="28">
        <v>100</v>
      </c>
      <c r="H60" s="28">
        <v>3500</v>
      </c>
    </row>
    <row r="61" spans="2:8" x14ac:dyDescent="0.3">
      <c r="B61" s="1">
        <v>41492</v>
      </c>
      <c r="C61" s="3" t="s">
        <v>8</v>
      </c>
      <c r="D61" s="2" t="s">
        <v>39</v>
      </c>
      <c r="E61" s="4">
        <v>5650</v>
      </c>
      <c r="F61" s="4">
        <v>5620</v>
      </c>
      <c r="G61" s="7">
        <v>100</v>
      </c>
      <c r="H61" s="4">
        <f>30*G61</f>
        <v>3000</v>
      </c>
    </row>
    <row r="62" spans="2:8" x14ac:dyDescent="0.3">
      <c r="B62" s="1">
        <v>41493</v>
      </c>
      <c r="C62" s="3" t="s">
        <v>8</v>
      </c>
      <c r="D62" s="2" t="s">
        <v>39</v>
      </c>
      <c r="E62" s="4">
        <v>5530</v>
      </c>
      <c r="F62" s="4">
        <v>5520</v>
      </c>
      <c r="G62" s="7">
        <v>100</v>
      </c>
      <c r="H62" s="4">
        <v>-2000</v>
      </c>
    </row>
    <row r="63" spans="2:8" x14ac:dyDescent="0.3">
      <c r="B63" s="1">
        <v>41494</v>
      </c>
      <c r="C63" s="3" t="s">
        <v>9</v>
      </c>
      <c r="D63" s="2" t="s">
        <v>39</v>
      </c>
      <c r="E63" s="4">
        <v>5575</v>
      </c>
      <c r="F63" s="4">
        <v>5590</v>
      </c>
      <c r="G63" s="7">
        <v>100</v>
      </c>
      <c r="H63" s="4">
        <v>1500</v>
      </c>
    </row>
    <row r="64" spans="2:8" x14ac:dyDescent="0.3">
      <c r="B64" s="1">
        <v>41498</v>
      </c>
      <c r="C64" s="3" t="s">
        <v>9</v>
      </c>
      <c r="D64" s="2" t="s">
        <v>39</v>
      </c>
      <c r="E64" s="4">
        <v>5595</v>
      </c>
      <c r="F64" s="4">
        <v>5630</v>
      </c>
      <c r="G64" s="7">
        <v>100</v>
      </c>
      <c r="H64" s="4">
        <v>3500</v>
      </c>
    </row>
    <row r="65" spans="2:8" x14ac:dyDescent="0.3">
      <c r="B65" s="1">
        <v>41499</v>
      </c>
      <c r="C65" s="3" t="s">
        <v>9</v>
      </c>
      <c r="D65" s="2" t="s">
        <v>39</v>
      </c>
      <c r="E65" s="4">
        <v>5665</v>
      </c>
      <c r="F65" s="4">
        <v>5690</v>
      </c>
      <c r="G65" s="7">
        <v>100</v>
      </c>
      <c r="H65" s="4">
        <v>2500</v>
      </c>
    </row>
    <row r="66" spans="2:8" x14ac:dyDescent="0.3">
      <c r="B66" s="1">
        <v>41500</v>
      </c>
      <c r="C66" s="3" t="s">
        <v>8</v>
      </c>
      <c r="D66" s="2" t="s">
        <v>39</v>
      </c>
      <c r="E66" s="4">
        <v>5710</v>
      </c>
      <c r="F66" s="4">
        <v>5730</v>
      </c>
      <c r="G66" s="7">
        <v>100</v>
      </c>
      <c r="H66" s="4">
        <v>-2000</v>
      </c>
    </row>
    <row r="67" spans="2:8" x14ac:dyDescent="0.3">
      <c r="B67" s="1">
        <v>41502</v>
      </c>
      <c r="C67" s="3" t="s">
        <v>8</v>
      </c>
      <c r="D67" s="2" t="s">
        <v>39</v>
      </c>
      <c r="E67" s="4">
        <v>5610</v>
      </c>
      <c r="F67" s="4">
        <v>5580</v>
      </c>
      <c r="G67" s="7">
        <v>100</v>
      </c>
      <c r="H67" s="4">
        <v>3000</v>
      </c>
    </row>
    <row r="68" spans="2:8" x14ac:dyDescent="0.3">
      <c r="B68" s="1">
        <v>41505</v>
      </c>
      <c r="C68" s="3" t="s">
        <v>8</v>
      </c>
      <c r="D68" s="2" t="s">
        <v>39</v>
      </c>
      <c r="E68" s="4">
        <v>5450</v>
      </c>
      <c r="F68" s="4">
        <v>5415</v>
      </c>
      <c r="G68" s="7">
        <v>100</v>
      </c>
      <c r="H68" s="4">
        <v>3500</v>
      </c>
    </row>
    <row r="69" spans="2:8" x14ac:dyDescent="0.3">
      <c r="B69" s="1">
        <v>41506</v>
      </c>
      <c r="C69" s="3" t="s">
        <v>8</v>
      </c>
      <c r="D69" s="2" t="s">
        <v>39</v>
      </c>
      <c r="E69" s="4">
        <v>5370</v>
      </c>
      <c r="F69" s="4">
        <v>5390</v>
      </c>
      <c r="G69" s="4">
        <v>100</v>
      </c>
      <c r="H69" s="4">
        <v>-2000</v>
      </c>
    </row>
    <row r="70" spans="2:8" x14ac:dyDescent="0.3">
      <c r="B70" s="1">
        <v>41507</v>
      </c>
      <c r="C70" s="3" t="s">
        <v>8</v>
      </c>
      <c r="D70" s="2" t="s">
        <v>39</v>
      </c>
      <c r="E70" s="4">
        <v>5445</v>
      </c>
      <c r="F70" s="4">
        <v>5410</v>
      </c>
      <c r="G70" s="4">
        <v>100</v>
      </c>
      <c r="H70" s="4">
        <v>3500</v>
      </c>
    </row>
    <row r="71" spans="2:8" x14ac:dyDescent="0.3">
      <c r="B71" s="1">
        <v>41508</v>
      </c>
      <c r="C71" s="3" t="s">
        <v>9</v>
      </c>
      <c r="D71" s="2" t="s">
        <v>39</v>
      </c>
      <c r="E71" s="4">
        <v>5330</v>
      </c>
      <c r="F71" s="4">
        <v>5360</v>
      </c>
      <c r="G71" s="4">
        <v>100</v>
      </c>
      <c r="H71" s="4">
        <v>3000</v>
      </c>
    </row>
    <row r="72" spans="2:8" x14ac:dyDescent="0.3">
      <c r="B72" s="1">
        <v>41509</v>
      </c>
      <c r="C72" s="3" t="s">
        <v>9</v>
      </c>
      <c r="D72" s="2" t="s">
        <v>39</v>
      </c>
      <c r="E72" s="4">
        <v>5430</v>
      </c>
      <c r="F72" s="4">
        <v>5450</v>
      </c>
      <c r="G72" s="4">
        <v>100</v>
      </c>
      <c r="H72" s="4">
        <v>2000</v>
      </c>
    </row>
    <row r="73" spans="2:8" x14ac:dyDescent="0.3">
      <c r="B73" s="1">
        <v>41512</v>
      </c>
      <c r="C73" s="3" t="s">
        <v>9</v>
      </c>
      <c r="D73" s="2" t="s">
        <v>39</v>
      </c>
      <c r="E73" s="4">
        <v>5490</v>
      </c>
      <c r="F73" s="4">
        <v>5470</v>
      </c>
      <c r="G73" s="4">
        <v>100</v>
      </c>
      <c r="H73" s="4">
        <v>-2000</v>
      </c>
    </row>
    <row r="74" spans="2:8" x14ac:dyDescent="0.3">
      <c r="B74" s="1">
        <v>41513</v>
      </c>
      <c r="C74" s="3" t="s">
        <v>8</v>
      </c>
      <c r="D74" s="2" t="s">
        <v>39</v>
      </c>
      <c r="E74" s="4">
        <v>5345</v>
      </c>
      <c r="F74" s="7">
        <v>5310</v>
      </c>
      <c r="G74" s="4">
        <v>100</v>
      </c>
      <c r="H74" s="4">
        <v>3500</v>
      </c>
    </row>
    <row r="75" spans="2:8" x14ac:dyDescent="0.3">
      <c r="B75" s="1">
        <v>41514</v>
      </c>
      <c r="C75" s="3" t="s">
        <v>8</v>
      </c>
      <c r="D75" s="2" t="s">
        <v>39</v>
      </c>
      <c r="E75" s="4">
        <v>5180</v>
      </c>
      <c r="F75" s="4">
        <v>5165</v>
      </c>
      <c r="G75" s="4">
        <v>100</v>
      </c>
      <c r="H75" s="4">
        <v>1500</v>
      </c>
    </row>
    <row r="76" spans="2:8" x14ac:dyDescent="0.3">
      <c r="B76" s="1">
        <v>41515</v>
      </c>
      <c r="C76" s="3" t="s">
        <v>9</v>
      </c>
      <c r="D76" s="2" t="s">
        <v>39</v>
      </c>
      <c r="E76" s="4">
        <v>5370</v>
      </c>
      <c r="F76" s="4">
        <v>5395</v>
      </c>
      <c r="G76" s="4">
        <v>100</v>
      </c>
      <c r="H76" s="4">
        <v>2500</v>
      </c>
    </row>
    <row r="77" spans="2:8" x14ac:dyDescent="0.3">
      <c r="B77" s="1">
        <v>41516</v>
      </c>
      <c r="C77" s="28" t="s">
        <v>9</v>
      </c>
      <c r="D77" s="7" t="s">
        <v>39</v>
      </c>
      <c r="E77" s="28">
        <v>5425</v>
      </c>
      <c r="F77" s="28">
        <v>5460</v>
      </c>
      <c r="G77" s="4">
        <v>100</v>
      </c>
      <c r="H77" s="28">
        <v>3500</v>
      </c>
    </row>
    <row r="78" spans="2:8" x14ac:dyDescent="0.3">
      <c r="B78" s="1"/>
      <c r="C78" s="3"/>
      <c r="D78" s="2"/>
      <c r="E78" s="4"/>
      <c r="F78" s="4"/>
      <c r="G78" s="4"/>
      <c r="H78" s="38">
        <v>33000</v>
      </c>
    </row>
    <row r="79" spans="2:8" x14ac:dyDescent="0.3">
      <c r="B79" s="1"/>
      <c r="C79" s="28"/>
      <c r="D79" s="30"/>
      <c r="E79" s="28"/>
      <c r="F79" s="28"/>
      <c r="G79" s="28"/>
      <c r="H79" s="28"/>
    </row>
    <row r="80" spans="2:8" x14ac:dyDescent="0.3">
      <c r="B80" s="1"/>
      <c r="C80" s="28"/>
      <c r="D80" s="28"/>
      <c r="E80" s="28"/>
      <c r="F80" s="28"/>
      <c r="G80" s="28"/>
      <c r="H80" s="28"/>
    </row>
    <row r="81" spans="2:8" ht="15.6" x14ac:dyDescent="0.3">
      <c r="C81" s="30"/>
      <c r="D81" s="30"/>
      <c r="E81" s="30"/>
      <c r="F81" s="30"/>
      <c r="G81" s="30"/>
      <c r="H81" s="34"/>
    </row>
    <row r="83" spans="2:8" ht="15.6" x14ac:dyDescent="0.3">
      <c r="B83" s="48" t="s">
        <v>64</v>
      </c>
      <c r="C83" s="48"/>
      <c r="D83" s="48"/>
      <c r="E83" s="48"/>
      <c r="F83" s="48"/>
      <c r="G83" s="48"/>
      <c r="H83" s="48"/>
    </row>
    <row r="84" spans="2:8" x14ac:dyDescent="0.3">
      <c r="B84" s="1">
        <v>41487</v>
      </c>
      <c r="C84" s="3" t="s">
        <v>65</v>
      </c>
      <c r="D84" s="3" t="s">
        <v>130</v>
      </c>
      <c r="E84" s="7">
        <v>73</v>
      </c>
      <c r="F84" s="4">
        <v>68</v>
      </c>
      <c r="G84" s="7">
        <v>200</v>
      </c>
      <c r="H84" s="28">
        <v>-1000</v>
      </c>
    </row>
    <row r="85" spans="2:8" x14ac:dyDescent="0.3">
      <c r="B85" s="1">
        <v>41488</v>
      </c>
      <c r="C85" s="3" t="s">
        <v>69</v>
      </c>
      <c r="D85" s="3" t="s">
        <v>127</v>
      </c>
      <c r="E85" s="7">
        <v>100</v>
      </c>
      <c r="F85" s="4">
        <v>120</v>
      </c>
      <c r="G85" s="7">
        <v>200</v>
      </c>
      <c r="H85" s="28">
        <v>4000</v>
      </c>
    </row>
    <row r="86" spans="2:8" x14ac:dyDescent="0.3">
      <c r="B86" s="1">
        <v>41491</v>
      </c>
      <c r="C86" s="3" t="s">
        <v>69</v>
      </c>
      <c r="D86" s="3" t="s">
        <v>131</v>
      </c>
      <c r="E86" s="7">
        <v>65</v>
      </c>
      <c r="F86" s="4">
        <v>75</v>
      </c>
      <c r="G86" s="7">
        <v>200</v>
      </c>
      <c r="H86" s="28">
        <v>2000</v>
      </c>
    </row>
    <row r="87" spans="2:8" x14ac:dyDescent="0.3">
      <c r="B87" s="1">
        <v>41492</v>
      </c>
      <c r="C87" s="3" t="s">
        <v>69</v>
      </c>
      <c r="D87" s="3" t="s">
        <v>131</v>
      </c>
      <c r="E87" s="7">
        <v>96</v>
      </c>
      <c r="F87" s="4">
        <v>125</v>
      </c>
      <c r="G87" s="7">
        <v>200</v>
      </c>
      <c r="H87" s="28">
        <f>29*G87</f>
        <v>5800</v>
      </c>
    </row>
    <row r="88" spans="2:8" x14ac:dyDescent="0.3">
      <c r="B88" s="1">
        <v>41493</v>
      </c>
      <c r="C88" s="3" t="s">
        <v>69</v>
      </c>
      <c r="D88" s="3" t="s">
        <v>131</v>
      </c>
      <c r="E88" s="7">
        <v>106</v>
      </c>
      <c r="F88" s="4">
        <v>93</v>
      </c>
      <c r="G88" s="7">
        <v>200</v>
      </c>
      <c r="H88" s="28">
        <v>-2600</v>
      </c>
    </row>
    <row r="89" spans="2:8" x14ac:dyDescent="0.3">
      <c r="B89" s="1">
        <v>41494</v>
      </c>
      <c r="C89" s="3" t="s">
        <v>65</v>
      </c>
      <c r="D89" s="3" t="s">
        <v>131</v>
      </c>
      <c r="E89" s="7">
        <v>87</v>
      </c>
      <c r="F89" s="4">
        <v>97</v>
      </c>
      <c r="G89" s="7">
        <v>200</v>
      </c>
      <c r="H89" s="28">
        <v>2000</v>
      </c>
    </row>
    <row r="90" spans="2:8" x14ac:dyDescent="0.3">
      <c r="B90" s="1">
        <v>41498</v>
      </c>
      <c r="C90" s="3" t="s">
        <v>65</v>
      </c>
      <c r="D90" s="2" t="s">
        <v>131</v>
      </c>
      <c r="E90" s="7">
        <v>95</v>
      </c>
      <c r="F90" s="7">
        <v>120</v>
      </c>
      <c r="G90" s="7">
        <v>200</v>
      </c>
      <c r="H90" s="28">
        <v>5000</v>
      </c>
    </row>
    <row r="91" spans="2:8" x14ac:dyDescent="0.3">
      <c r="B91" s="1">
        <v>41499</v>
      </c>
      <c r="C91" s="28" t="s">
        <v>65</v>
      </c>
      <c r="D91" s="28" t="s">
        <v>127</v>
      </c>
      <c r="E91" s="28">
        <v>69</v>
      </c>
      <c r="F91" s="28">
        <v>89</v>
      </c>
      <c r="G91" s="28">
        <v>200</v>
      </c>
      <c r="H91" s="28">
        <v>4000</v>
      </c>
    </row>
    <row r="92" spans="2:8" x14ac:dyDescent="0.3">
      <c r="B92" s="1">
        <v>41500</v>
      </c>
      <c r="C92" s="28" t="s">
        <v>65</v>
      </c>
      <c r="D92" s="28" t="s">
        <v>127</v>
      </c>
      <c r="E92" s="28">
        <v>100</v>
      </c>
      <c r="F92" s="28">
        <v>90</v>
      </c>
      <c r="G92" s="28">
        <v>200</v>
      </c>
      <c r="H92" s="28">
        <v>-2000</v>
      </c>
    </row>
    <row r="93" spans="2:8" x14ac:dyDescent="0.3">
      <c r="B93" s="1">
        <v>41502</v>
      </c>
      <c r="C93" s="28" t="s">
        <v>69</v>
      </c>
      <c r="D93" s="28" t="s">
        <v>131</v>
      </c>
      <c r="E93" s="28">
        <v>90</v>
      </c>
      <c r="F93" s="28">
        <v>115</v>
      </c>
      <c r="G93" s="28">
        <v>200</v>
      </c>
      <c r="H93" s="28">
        <v>5000</v>
      </c>
    </row>
    <row r="94" spans="2:8" x14ac:dyDescent="0.3">
      <c r="B94" s="1">
        <v>41505</v>
      </c>
      <c r="C94" s="28" t="s">
        <v>69</v>
      </c>
      <c r="D94" s="28" t="s">
        <v>141</v>
      </c>
      <c r="E94" s="28">
        <v>70</v>
      </c>
      <c r="F94" s="28">
        <v>80</v>
      </c>
      <c r="G94" s="28">
        <v>200</v>
      </c>
      <c r="H94" s="28">
        <v>2000</v>
      </c>
    </row>
    <row r="95" spans="2:8" x14ac:dyDescent="0.3">
      <c r="B95" s="1">
        <v>41506</v>
      </c>
      <c r="C95" s="28" t="s">
        <v>69</v>
      </c>
      <c r="D95" s="28" t="s">
        <v>141</v>
      </c>
      <c r="E95" s="28">
        <v>100</v>
      </c>
      <c r="F95" s="28">
        <v>90</v>
      </c>
      <c r="G95" s="28">
        <v>200</v>
      </c>
      <c r="H95" s="28">
        <v>-2000</v>
      </c>
    </row>
    <row r="96" spans="2:8" x14ac:dyDescent="0.3">
      <c r="B96" s="1">
        <v>41506</v>
      </c>
      <c r="C96" s="28" t="s">
        <v>69</v>
      </c>
      <c r="D96" s="28" t="s">
        <v>141</v>
      </c>
      <c r="E96" s="28">
        <v>95</v>
      </c>
      <c r="F96" s="28">
        <v>110</v>
      </c>
      <c r="G96" s="28">
        <v>200</v>
      </c>
      <c r="H96" s="28">
        <v>3000</v>
      </c>
    </row>
    <row r="97" spans="2:8" x14ac:dyDescent="0.3">
      <c r="B97" s="1">
        <v>41507</v>
      </c>
      <c r="C97" s="28" t="s">
        <v>69</v>
      </c>
      <c r="D97" s="28" t="s">
        <v>144</v>
      </c>
      <c r="E97" s="28">
        <v>105</v>
      </c>
      <c r="F97" s="28">
        <v>122</v>
      </c>
      <c r="G97" s="28">
        <v>200</v>
      </c>
      <c r="H97" s="28">
        <v>3400</v>
      </c>
    </row>
    <row r="98" spans="2:8" x14ac:dyDescent="0.3">
      <c r="B98" s="1">
        <v>41508</v>
      </c>
      <c r="C98" s="28" t="s">
        <v>65</v>
      </c>
      <c r="D98" s="28" t="s">
        <v>141</v>
      </c>
      <c r="E98" s="28">
        <v>50</v>
      </c>
      <c r="F98" s="28">
        <v>70</v>
      </c>
      <c r="G98" s="28">
        <v>200</v>
      </c>
      <c r="H98" s="28">
        <v>4000</v>
      </c>
    </row>
    <row r="99" spans="2:8" x14ac:dyDescent="0.3">
      <c r="B99" s="1">
        <v>41509</v>
      </c>
      <c r="C99" s="28" t="s">
        <v>65</v>
      </c>
      <c r="D99" s="28" t="s">
        <v>141</v>
      </c>
      <c r="E99" s="28">
        <v>70</v>
      </c>
      <c r="F99" s="28">
        <v>90</v>
      </c>
      <c r="G99" s="28">
        <v>200</v>
      </c>
      <c r="H99" s="28">
        <v>4000</v>
      </c>
    </row>
    <row r="100" spans="2:8" x14ac:dyDescent="0.3">
      <c r="B100" s="1">
        <v>41512</v>
      </c>
      <c r="C100" s="28" t="s">
        <v>65</v>
      </c>
      <c r="D100" s="28" t="s">
        <v>141</v>
      </c>
      <c r="E100" s="28">
        <v>110</v>
      </c>
      <c r="F100" s="28">
        <v>100</v>
      </c>
      <c r="G100" s="28">
        <v>200</v>
      </c>
      <c r="H100" s="28">
        <v>-2000</v>
      </c>
    </row>
    <row r="101" spans="2:8" x14ac:dyDescent="0.3">
      <c r="B101" s="1">
        <v>41513</v>
      </c>
      <c r="C101" s="28" t="s">
        <v>69</v>
      </c>
      <c r="D101" s="28" t="s">
        <v>141</v>
      </c>
      <c r="E101" s="28">
        <v>80</v>
      </c>
      <c r="F101" s="28">
        <v>100</v>
      </c>
      <c r="G101" s="28">
        <v>200</v>
      </c>
      <c r="H101" s="28">
        <v>4000</v>
      </c>
    </row>
    <row r="102" spans="2:8" x14ac:dyDescent="0.3">
      <c r="B102" s="1">
        <v>41514</v>
      </c>
      <c r="C102" s="28" t="s">
        <v>69</v>
      </c>
      <c r="D102" s="28" t="s">
        <v>151</v>
      </c>
      <c r="E102" s="28">
        <v>65</v>
      </c>
      <c r="F102" s="28">
        <v>75</v>
      </c>
      <c r="G102" s="28">
        <v>200</v>
      </c>
      <c r="H102" s="28">
        <v>2000</v>
      </c>
    </row>
    <row r="103" spans="2:8" x14ac:dyDescent="0.3">
      <c r="B103" s="1">
        <v>41515</v>
      </c>
      <c r="C103" s="28" t="s">
        <v>65</v>
      </c>
      <c r="D103" s="28" t="s">
        <v>152</v>
      </c>
      <c r="E103" s="28">
        <v>71</v>
      </c>
      <c r="F103" s="28">
        <v>91</v>
      </c>
      <c r="G103" s="28">
        <v>200</v>
      </c>
      <c r="H103" s="28">
        <v>4000</v>
      </c>
    </row>
    <row r="104" spans="2:8" x14ac:dyDescent="0.3">
      <c r="B104" s="1">
        <v>41516</v>
      </c>
      <c r="C104" s="28" t="s">
        <v>65</v>
      </c>
      <c r="D104" s="28" t="s">
        <v>154</v>
      </c>
      <c r="E104" s="28">
        <v>145</v>
      </c>
      <c r="F104" s="28">
        <v>160</v>
      </c>
      <c r="G104" s="28">
        <v>200</v>
      </c>
      <c r="H104" s="28">
        <v>3000</v>
      </c>
    </row>
    <row r="105" spans="2:8" ht="15.6" x14ac:dyDescent="0.3">
      <c r="B105" s="1"/>
      <c r="C105" s="28"/>
      <c r="D105" s="28"/>
      <c r="E105" s="28"/>
      <c r="F105" s="28"/>
      <c r="G105" s="28"/>
      <c r="H105" s="34">
        <v>47600</v>
      </c>
    </row>
    <row r="106" spans="2:8" x14ac:dyDescent="0.3">
      <c r="B106" s="1"/>
      <c r="C106" s="28"/>
      <c r="D106" s="28"/>
      <c r="E106" s="28"/>
      <c r="F106" s="28"/>
      <c r="G106" s="28"/>
      <c r="H106" s="28"/>
    </row>
    <row r="107" spans="2:8" x14ac:dyDescent="0.3">
      <c r="B107" s="1"/>
      <c r="C107" s="28"/>
      <c r="D107" s="28"/>
      <c r="E107" s="28"/>
      <c r="F107" s="28"/>
      <c r="G107" s="28"/>
      <c r="H107" s="28"/>
    </row>
    <row r="108" spans="2:8" ht="15.6" x14ac:dyDescent="0.3">
      <c r="C108" s="28"/>
      <c r="D108" s="28"/>
      <c r="E108" s="28"/>
      <c r="F108" s="28"/>
      <c r="G108" s="28"/>
      <c r="H108" s="34"/>
    </row>
    <row r="109" spans="2:8" x14ac:dyDescent="0.3">
      <c r="C109" s="28"/>
      <c r="D109" s="28"/>
      <c r="E109" s="28"/>
      <c r="F109" s="28"/>
      <c r="G109" s="28"/>
      <c r="H109" s="28"/>
    </row>
    <row r="110" spans="2:8" ht="15.6" x14ac:dyDescent="0.3">
      <c r="B110" s="48" t="s">
        <v>243</v>
      </c>
      <c r="C110" s="48"/>
      <c r="D110" s="48"/>
      <c r="E110" s="48"/>
      <c r="F110" s="48"/>
      <c r="G110" s="48"/>
      <c r="H110" s="48"/>
    </row>
    <row r="111" spans="2:8" x14ac:dyDescent="0.3">
      <c r="B111" s="1">
        <v>41494</v>
      </c>
      <c r="C111" s="28" t="s">
        <v>69</v>
      </c>
      <c r="D111" s="28" t="s">
        <v>136</v>
      </c>
      <c r="E111" s="28">
        <v>56</v>
      </c>
      <c r="F111" s="28">
        <v>50</v>
      </c>
      <c r="G111" s="28">
        <v>250</v>
      </c>
      <c r="H111" s="28">
        <v>-1500</v>
      </c>
    </row>
    <row r="112" spans="2:8" x14ac:dyDescent="0.3">
      <c r="B112" s="1">
        <v>41498</v>
      </c>
      <c r="C112" s="28" t="s">
        <v>65</v>
      </c>
      <c r="D112" s="28" t="s">
        <v>135</v>
      </c>
      <c r="E112" s="28">
        <v>47</v>
      </c>
      <c r="F112" s="28">
        <v>54</v>
      </c>
      <c r="G112" s="28">
        <v>250</v>
      </c>
      <c r="H112" s="28">
        <v>1500</v>
      </c>
    </row>
    <row r="113" spans="2:8" x14ac:dyDescent="0.3">
      <c r="B113" s="1">
        <v>41499</v>
      </c>
      <c r="C113" s="28" t="s">
        <v>69</v>
      </c>
      <c r="D113" s="28" t="s">
        <v>134</v>
      </c>
      <c r="E113" s="28">
        <v>55</v>
      </c>
      <c r="F113" s="28">
        <v>62</v>
      </c>
      <c r="G113" s="28">
        <v>250</v>
      </c>
      <c r="H113" s="28">
        <v>1750</v>
      </c>
    </row>
    <row r="114" spans="2:8" x14ac:dyDescent="0.3">
      <c r="B114" s="1">
        <v>41500</v>
      </c>
      <c r="C114" s="28" t="s">
        <v>69</v>
      </c>
      <c r="D114" s="28" t="s">
        <v>138</v>
      </c>
      <c r="E114" s="28">
        <v>18</v>
      </c>
      <c r="F114" s="28">
        <v>27</v>
      </c>
      <c r="G114" s="28">
        <v>1000</v>
      </c>
      <c r="H114" s="28">
        <v>9000</v>
      </c>
    </row>
    <row r="115" spans="2:8" x14ac:dyDescent="0.3">
      <c r="B115" s="1">
        <v>41502</v>
      </c>
      <c r="C115" s="28" t="s">
        <v>65</v>
      </c>
      <c r="D115" s="28" t="s">
        <v>140</v>
      </c>
      <c r="E115" s="28">
        <v>6</v>
      </c>
      <c r="F115" s="28">
        <v>8</v>
      </c>
      <c r="G115" s="28">
        <v>4000</v>
      </c>
      <c r="H115" s="28">
        <v>8000</v>
      </c>
    </row>
    <row r="116" spans="2:8" x14ac:dyDescent="0.3">
      <c r="B116" s="1">
        <v>41505</v>
      </c>
      <c r="C116" s="28" t="s">
        <v>65</v>
      </c>
      <c r="D116" s="28" t="s">
        <v>142</v>
      </c>
      <c r="E116" s="28">
        <v>19</v>
      </c>
      <c r="F116" s="28">
        <v>15</v>
      </c>
      <c r="G116" s="28">
        <v>500</v>
      </c>
      <c r="H116" s="28">
        <v>-2000</v>
      </c>
    </row>
    <row r="117" spans="2:8" x14ac:dyDescent="0.3">
      <c r="B117" s="1">
        <v>41506</v>
      </c>
      <c r="C117" s="28" t="s">
        <v>69</v>
      </c>
      <c r="D117" s="28" t="s">
        <v>143</v>
      </c>
      <c r="E117" s="28">
        <v>20</v>
      </c>
      <c r="F117" s="28">
        <v>29</v>
      </c>
      <c r="G117" s="28">
        <v>250</v>
      </c>
      <c r="H117" s="28">
        <v>2250</v>
      </c>
    </row>
    <row r="118" spans="2:8" x14ac:dyDescent="0.3">
      <c r="B118" s="1">
        <v>41507</v>
      </c>
      <c r="C118" s="28" t="s">
        <v>69</v>
      </c>
      <c r="D118" s="28" t="s">
        <v>145</v>
      </c>
      <c r="E118" s="28">
        <v>32</v>
      </c>
      <c r="F118" s="28">
        <v>44</v>
      </c>
      <c r="G118" s="28">
        <v>250</v>
      </c>
      <c r="H118" s="28">
        <v>3000</v>
      </c>
    </row>
    <row r="119" spans="2:8" x14ac:dyDescent="0.3">
      <c r="B119" s="1">
        <v>41508</v>
      </c>
      <c r="C119" s="28" t="s">
        <v>69</v>
      </c>
      <c r="D119" s="28" t="s">
        <v>147</v>
      </c>
      <c r="E119" s="28">
        <v>39</v>
      </c>
      <c r="F119" s="28">
        <v>32</v>
      </c>
      <c r="G119" s="28">
        <v>500</v>
      </c>
      <c r="H119" s="28">
        <v>-4500</v>
      </c>
    </row>
    <row r="120" spans="2:8" x14ac:dyDescent="0.3">
      <c r="B120" s="1">
        <v>41509</v>
      </c>
      <c r="C120" s="28" t="s">
        <v>65</v>
      </c>
      <c r="D120" s="28" t="s">
        <v>148</v>
      </c>
      <c r="E120" s="28">
        <v>4</v>
      </c>
      <c r="F120" s="28">
        <v>4.5</v>
      </c>
      <c r="G120" s="28">
        <v>2000</v>
      </c>
      <c r="H120" s="28">
        <v>1000</v>
      </c>
    </row>
    <row r="121" spans="2:8" x14ac:dyDescent="0.3">
      <c r="B121" s="1">
        <v>41512</v>
      </c>
      <c r="C121" s="28" t="s">
        <v>65</v>
      </c>
      <c r="D121" s="28" t="s">
        <v>149</v>
      </c>
      <c r="E121" s="28">
        <v>23</v>
      </c>
      <c r="F121" s="28">
        <v>28</v>
      </c>
      <c r="G121" s="28">
        <v>500</v>
      </c>
      <c r="H121" s="28">
        <v>2500</v>
      </c>
    </row>
    <row r="122" spans="2:8" x14ac:dyDescent="0.3">
      <c r="B122" s="1">
        <v>41513</v>
      </c>
      <c r="C122" s="28" t="s">
        <v>69</v>
      </c>
      <c r="D122" s="28" t="s">
        <v>150</v>
      </c>
      <c r="E122" s="28">
        <v>39</v>
      </c>
      <c r="F122" s="28">
        <v>52</v>
      </c>
      <c r="G122" s="28">
        <v>250</v>
      </c>
      <c r="H122" s="28">
        <v>3250</v>
      </c>
    </row>
    <row r="123" spans="2:8" x14ac:dyDescent="0.3">
      <c r="H123" s="29">
        <v>24250</v>
      </c>
    </row>
    <row r="128" spans="2:8" x14ac:dyDescent="0.3">
      <c r="B128" s="1"/>
      <c r="C128" s="28"/>
      <c r="D128" s="28"/>
      <c r="E128" s="28"/>
      <c r="F128" s="28"/>
      <c r="G128" s="28"/>
      <c r="H128" s="28"/>
    </row>
    <row r="129" spans="2:8" x14ac:dyDescent="0.3">
      <c r="B129" s="1"/>
      <c r="C129" s="28"/>
      <c r="D129" s="28"/>
      <c r="E129" s="28"/>
      <c r="F129" s="28"/>
      <c r="G129" s="28"/>
      <c r="H129" s="28"/>
    </row>
    <row r="130" spans="2:8" x14ac:dyDescent="0.3">
      <c r="B130" s="1"/>
      <c r="C130" s="28"/>
      <c r="D130" s="28"/>
      <c r="E130" s="28"/>
      <c r="F130" s="28"/>
      <c r="G130" s="28"/>
      <c r="H130" s="28"/>
    </row>
    <row r="131" spans="2:8" x14ac:dyDescent="0.3">
      <c r="B131" s="1"/>
      <c r="C131" s="28"/>
      <c r="D131" s="28"/>
      <c r="E131" s="28"/>
      <c r="F131" s="28"/>
      <c r="G131" s="28"/>
      <c r="H131" s="28"/>
    </row>
  </sheetData>
  <mergeCells count="3">
    <mergeCell ref="B1:H1"/>
    <mergeCell ref="B2:H2"/>
    <mergeCell ref="B3:H3"/>
  </mergeCells>
  <hyperlinks>
    <hyperlink ref="J2" location="'MASTER '!A1" display="Back" xr:uid="{00000000-0004-0000-0400-000000000000}"/>
  </hyperlinks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199"/>
  <sheetViews>
    <sheetView topLeftCell="A58" workbookViewId="0">
      <selection activeCell="K2" sqref="K2"/>
    </sheetView>
  </sheetViews>
  <sheetFormatPr defaultColWidth="9.109375" defaultRowHeight="14.4" x14ac:dyDescent="0.3"/>
  <cols>
    <col min="1" max="1" width="6.5546875" style="12" customWidth="1"/>
    <col min="2" max="2" width="13" style="10" customWidth="1"/>
    <col min="3" max="3" width="14.109375" style="10" customWidth="1"/>
    <col min="4" max="4" width="21.109375" style="10" customWidth="1"/>
    <col min="5" max="5" width="13.88671875" style="10" customWidth="1"/>
    <col min="6" max="6" width="13.44140625" style="10" customWidth="1"/>
    <col min="7" max="7" width="12.6640625" style="10" customWidth="1"/>
    <col min="8" max="8" width="14.44140625" style="10" customWidth="1"/>
    <col min="9" max="9" width="14.88671875" style="10" customWidth="1"/>
    <col min="10" max="10" width="6.88671875" style="12" customWidth="1"/>
    <col min="11" max="11" width="16.109375" style="10" customWidth="1"/>
    <col min="12" max="12" width="11.44140625" style="10" customWidth="1"/>
    <col min="13" max="13" width="10.33203125" style="10" customWidth="1"/>
    <col min="14" max="16384" width="9.109375" style="10"/>
  </cols>
  <sheetData>
    <row r="1" spans="1:15" ht="15" thickBot="1" x14ac:dyDescent="0.35">
      <c r="A1" s="9" t="s">
        <v>2058</v>
      </c>
      <c r="B1" s="281"/>
      <c r="C1" s="281"/>
      <c r="D1" s="281"/>
      <c r="E1" s="281"/>
      <c r="F1" s="281"/>
      <c r="G1" s="281"/>
      <c r="H1" s="281"/>
      <c r="I1" s="281"/>
      <c r="J1" s="9"/>
    </row>
    <row r="2" spans="1:15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282"/>
      <c r="J2" s="9"/>
      <c r="K2" s="200" t="s">
        <v>2286</v>
      </c>
      <c r="L2" s="16"/>
    </row>
    <row r="3" spans="1:15" ht="15.6" x14ac:dyDescent="0.3">
      <c r="A3" s="11"/>
      <c r="B3" s="284" t="s">
        <v>2148</v>
      </c>
      <c r="C3" s="284"/>
      <c r="D3" s="284"/>
      <c r="E3" s="284"/>
      <c r="F3" s="284"/>
      <c r="G3" s="284"/>
      <c r="H3" s="284"/>
      <c r="I3" s="284"/>
      <c r="J3" s="11"/>
      <c r="K3" s="133" t="s">
        <v>453</v>
      </c>
      <c r="L3" s="134" t="s">
        <v>448</v>
      </c>
      <c r="M3" s="134" t="s">
        <v>454</v>
      </c>
      <c r="N3" s="134" t="s">
        <v>455</v>
      </c>
      <c r="O3" s="134" t="s">
        <v>456</v>
      </c>
    </row>
    <row r="4" spans="1:15" ht="15.6" x14ac:dyDescent="0.3">
      <c r="B4" s="48" t="s">
        <v>33</v>
      </c>
      <c r="C4" s="48"/>
      <c r="D4" s="48"/>
      <c r="E4" s="48"/>
      <c r="F4" s="48"/>
      <c r="G4" s="48"/>
      <c r="H4" s="48"/>
      <c r="I4" s="48"/>
      <c r="K4" s="66"/>
      <c r="L4" s="67"/>
      <c r="M4" s="67"/>
      <c r="N4" s="67"/>
      <c r="O4" s="67"/>
    </row>
    <row r="5" spans="1:15" x14ac:dyDescent="0.3">
      <c r="B5" s="13" t="s">
        <v>1</v>
      </c>
      <c r="C5" s="14" t="s">
        <v>5</v>
      </c>
      <c r="D5" s="14" t="s">
        <v>6</v>
      </c>
      <c r="E5" s="15" t="s">
        <v>905</v>
      </c>
      <c r="F5" s="15" t="s">
        <v>906</v>
      </c>
      <c r="G5" s="84" t="s">
        <v>907</v>
      </c>
      <c r="H5" s="84" t="s">
        <v>32</v>
      </c>
      <c r="I5" s="15" t="s">
        <v>4</v>
      </c>
      <c r="K5" s="16" t="s">
        <v>449</v>
      </c>
      <c r="L5" s="30">
        <v>44</v>
      </c>
      <c r="M5" s="30">
        <v>34</v>
      </c>
      <c r="N5" s="30">
        <v>10</v>
      </c>
      <c r="O5" s="30">
        <v>0</v>
      </c>
    </row>
    <row r="6" spans="1:15" x14ac:dyDescent="0.3">
      <c r="B6" s="43">
        <v>42857</v>
      </c>
      <c r="C6" s="2" t="s">
        <v>9</v>
      </c>
      <c r="D6" s="2" t="s">
        <v>129</v>
      </c>
      <c r="E6" s="90" t="s">
        <v>2117</v>
      </c>
      <c r="F6" s="91" t="s">
        <v>2118</v>
      </c>
      <c r="G6" s="91" t="s">
        <v>490</v>
      </c>
      <c r="H6" s="92">
        <v>192.06145966709346</v>
      </c>
      <c r="I6" s="93">
        <v>4417.41357234315</v>
      </c>
      <c r="K6" s="16"/>
      <c r="L6" s="30"/>
      <c r="M6" s="30"/>
      <c r="N6" s="30"/>
      <c r="O6" s="30"/>
    </row>
    <row r="7" spans="1:15" x14ac:dyDescent="0.3">
      <c r="B7" s="43">
        <v>42857</v>
      </c>
      <c r="C7" s="2" t="s">
        <v>8</v>
      </c>
      <c r="D7" s="2" t="s">
        <v>2023</v>
      </c>
      <c r="E7" s="41" t="s">
        <v>1182</v>
      </c>
      <c r="F7" s="40" t="s">
        <v>2119</v>
      </c>
      <c r="G7" s="40" t="s">
        <v>952</v>
      </c>
      <c r="H7" s="92">
        <v>234.92560689115115</v>
      </c>
      <c r="I7" s="93">
        <v>4698.5121378230233</v>
      </c>
      <c r="K7" s="16" t="s">
        <v>450</v>
      </c>
      <c r="L7" s="30">
        <v>22</v>
      </c>
      <c r="M7" s="30">
        <v>19</v>
      </c>
      <c r="N7" s="30">
        <v>3</v>
      </c>
      <c r="O7" s="30">
        <v>0</v>
      </c>
    </row>
    <row r="8" spans="1:15" x14ac:dyDescent="0.3">
      <c r="B8" s="43">
        <v>42858</v>
      </c>
      <c r="C8" s="2" t="s">
        <v>9</v>
      </c>
      <c r="D8" s="2" t="s">
        <v>1407</v>
      </c>
      <c r="E8" s="41" t="s">
        <v>1588</v>
      </c>
      <c r="F8" s="40" t="s">
        <v>877</v>
      </c>
      <c r="G8" s="40" t="s">
        <v>952</v>
      </c>
      <c r="H8" s="92">
        <v>286.80688336520075</v>
      </c>
      <c r="I8" s="93">
        <v>5736.1376673040149</v>
      </c>
      <c r="K8" s="16"/>
      <c r="L8" s="30"/>
      <c r="M8" s="30"/>
      <c r="N8" s="30"/>
      <c r="O8" s="30"/>
    </row>
    <row r="9" spans="1:15" x14ac:dyDescent="0.3">
      <c r="B9" s="43">
        <v>42858</v>
      </c>
      <c r="C9" s="2" t="s">
        <v>8</v>
      </c>
      <c r="D9" s="2" t="s">
        <v>192</v>
      </c>
      <c r="E9" s="41" t="s">
        <v>269</v>
      </c>
      <c r="F9" s="40" t="s">
        <v>2120</v>
      </c>
      <c r="G9" s="40" t="s">
        <v>1345</v>
      </c>
      <c r="H9" s="92">
        <v>821.91780821917803</v>
      </c>
      <c r="I9" s="93">
        <v>2054.794520547945</v>
      </c>
      <c r="K9" s="16" t="s">
        <v>451</v>
      </c>
      <c r="L9" s="30">
        <v>22</v>
      </c>
      <c r="M9" s="30">
        <v>17</v>
      </c>
      <c r="N9" s="30">
        <v>4</v>
      </c>
      <c r="O9" s="30">
        <v>1</v>
      </c>
    </row>
    <row r="10" spans="1:15" x14ac:dyDescent="0.3">
      <c r="B10" s="43">
        <v>42859</v>
      </c>
      <c r="C10" s="2" t="s">
        <v>9</v>
      </c>
      <c r="D10" s="2" t="s">
        <v>129</v>
      </c>
      <c r="E10" s="41" t="s">
        <v>1395</v>
      </c>
      <c r="F10" s="40" t="s">
        <v>2118</v>
      </c>
      <c r="G10" s="40" t="s">
        <v>1025</v>
      </c>
      <c r="H10" s="92">
        <v>190.47619047619048</v>
      </c>
      <c r="I10" s="93">
        <v>1904.7619047619048</v>
      </c>
      <c r="K10" s="16"/>
      <c r="M10" s="30"/>
      <c r="N10" s="30"/>
      <c r="O10" s="30"/>
    </row>
    <row r="11" spans="1:15" x14ac:dyDescent="0.3">
      <c r="B11" s="43">
        <v>42859</v>
      </c>
      <c r="C11" s="2" t="s">
        <v>8</v>
      </c>
      <c r="D11" s="2" t="s">
        <v>124</v>
      </c>
      <c r="E11" s="41" t="s">
        <v>2121</v>
      </c>
      <c r="F11" s="40" t="s">
        <v>2089</v>
      </c>
      <c r="G11" s="40" t="s">
        <v>925</v>
      </c>
      <c r="H11" s="92">
        <v>677.20090293453723</v>
      </c>
      <c r="I11" s="93">
        <v>3386.0045146726861</v>
      </c>
      <c r="K11" s="16" t="s">
        <v>1176</v>
      </c>
      <c r="L11" s="30">
        <v>21</v>
      </c>
      <c r="M11" s="30">
        <v>15</v>
      </c>
      <c r="N11" s="30">
        <v>6</v>
      </c>
      <c r="O11" s="30">
        <v>0</v>
      </c>
    </row>
    <row r="12" spans="1:15" x14ac:dyDescent="0.3">
      <c r="B12" s="43">
        <v>42860</v>
      </c>
      <c r="C12" s="2" t="s">
        <v>9</v>
      </c>
      <c r="D12" s="2" t="s">
        <v>19</v>
      </c>
      <c r="E12" s="41" t="s">
        <v>2022</v>
      </c>
      <c r="F12" s="40" t="s">
        <v>262</v>
      </c>
      <c r="G12" s="40" t="s">
        <v>997</v>
      </c>
      <c r="H12" s="92">
        <v>1000</v>
      </c>
      <c r="I12" s="93">
        <v>4000</v>
      </c>
      <c r="L12" s="30"/>
      <c r="M12" s="30"/>
      <c r="N12" s="30"/>
      <c r="O12" s="30"/>
    </row>
    <row r="13" spans="1:15" x14ac:dyDescent="0.3">
      <c r="B13" s="43">
        <v>42860</v>
      </c>
      <c r="C13" s="2" t="s">
        <v>8</v>
      </c>
      <c r="D13" s="2" t="s">
        <v>78</v>
      </c>
      <c r="E13" s="41" t="s">
        <v>2090</v>
      </c>
      <c r="F13" s="40" t="s">
        <v>2122</v>
      </c>
      <c r="G13" s="40" t="s">
        <v>1112</v>
      </c>
      <c r="H13" s="92">
        <v>175.64402810304449</v>
      </c>
      <c r="I13" s="93">
        <v>-2107.7283372365337</v>
      </c>
      <c r="L13" s="30"/>
      <c r="M13" s="30"/>
      <c r="N13" s="30"/>
      <c r="O13" s="30"/>
    </row>
    <row r="14" spans="1:15" x14ac:dyDescent="0.3">
      <c r="B14" s="43">
        <v>42863</v>
      </c>
      <c r="C14" s="2" t="s">
        <v>9</v>
      </c>
      <c r="D14" s="2" t="s">
        <v>19</v>
      </c>
      <c r="E14" s="41" t="s">
        <v>1866</v>
      </c>
      <c r="F14" s="40" t="s">
        <v>2022</v>
      </c>
      <c r="G14" s="40" t="s">
        <v>959</v>
      </c>
      <c r="H14" s="92">
        <v>1010.10101010101</v>
      </c>
      <c r="I14" s="93">
        <v>3030.30303030303</v>
      </c>
      <c r="K14" s="16" t="s">
        <v>41</v>
      </c>
      <c r="L14" s="30">
        <v>22</v>
      </c>
      <c r="M14" s="30">
        <v>18</v>
      </c>
      <c r="N14" s="30">
        <v>4</v>
      </c>
      <c r="O14" s="30">
        <v>0</v>
      </c>
    </row>
    <row r="15" spans="1:15" x14ac:dyDescent="0.3">
      <c r="B15" s="43">
        <v>42863</v>
      </c>
      <c r="C15" s="2" t="s">
        <v>8</v>
      </c>
      <c r="D15" s="2" t="s">
        <v>95</v>
      </c>
      <c r="E15" s="41" t="s">
        <v>754</v>
      </c>
      <c r="F15" s="40" t="s">
        <v>2123</v>
      </c>
      <c r="G15" s="40" t="s">
        <v>2124</v>
      </c>
      <c r="H15" s="92">
        <v>983.60655737704917</v>
      </c>
      <c r="I15" s="93">
        <v>2262.2950819672128</v>
      </c>
      <c r="K15" s="16"/>
      <c r="L15" s="30"/>
      <c r="M15" s="30"/>
      <c r="N15" s="30"/>
      <c r="O15" s="30"/>
    </row>
    <row r="16" spans="1:15" x14ac:dyDescent="0.3">
      <c r="B16" s="43">
        <v>42864</v>
      </c>
      <c r="C16" s="2" t="s">
        <v>9</v>
      </c>
      <c r="D16" s="2" t="s">
        <v>129</v>
      </c>
      <c r="E16" s="41" t="s">
        <v>2125</v>
      </c>
      <c r="F16" s="40" t="s">
        <v>2126</v>
      </c>
      <c r="G16" s="40" t="s">
        <v>914</v>
      </c>
      <c r="H16" s="92">
        <v>195.43973941368077</v>
      </c>
      <c r="I16" s="93">
        <v>-1954.3973941368076</v>
      </c>
      <c r="K16" s="16" t="s">
        <v>1175</v>
      </c>
      <c r="L16" s="30">
        <v>21</v>
      </c>
      <c r="M16" s="30">
        <v>15</v>
      </c>
      <c r="N16" s="30">
        <v>4</v>
      </c>
      <c r="O16" s="30">
        <v>2</v>
      </c>
    </row>
    <row r="17" spans="2:15" x14ac:dyDescent="0.3">
      <c r="B17" s="43">
        <v>42864</v>
      </c>
      <c r="C17" s="2" t="s">
        <v>8</v>
      </c>
      <c r="D17" s="2" t="s">
        <v>2023</v>
      </c>
      <c r="E17" s="41" t="s">
        <v>2127</v>
      </c>
      <c r="F17" s="40" t="s">
        <v>1189</v>
      </c>
      <c r="G17" s="40" t="s">
        <v>1509</v>
      </c>
      <c r="H17" s="92">
        <v>236.59305993690853</v>
      </c>
      <c r="I17" s="93">
        <v>-1656.1514195583597</v>
      </c>
      <c r="K17" s="16"/>
      <c r="L17" s="30"/>
      <c r="M17" s="30"/>
      <c r="N17" s="30"/>
      <c r="O17" s="30"/>
    </row>
    <row r="18" spans="2:15" x14ac:dyDescent="0.3">
      <c r="B18" s="43">
        <v>42865</v>
      </c>
      <c r="C18" s="2" t="s">
        <v>9</v>
      </c>
      <c r="D18" s="2" t="s">
        <v>31</v>
      </c>
      <c r="E18" s="41" t="s">
        <v>2128</v>
      </c>
      <c r="F18" s="40" t="s">
        <v>2129</v>
      </c>
      <c r="G18" s="40" t="s">
        <v>1016</v>
      </c>
      <c r="H18" s="92">
        <v>223.04832713754647</v>
      </c>
      <c r="I18" s="93">
        <v>3568.7732342007434</v>
      </c>
      <c r="K18" s="16" t="s">
        <v>1090</v>
      </c>
      <c r="L18" s="30">
        <v>21</v>
      </c>
      <c r="M18" s="30">
        <v>15</v>
      </c>
      <c r="N18" s="30">
        <v>6</v>
      </c>
      <c r="O18" s="30">
        <v>0</v>
      </c>
    </row>
    <row r="19" spans="2:15" x14ac:dyDescent="0.3">
      <c r="B19" s="43">
        <v>42865</v>
      </c>
      <c r="C19" s="2" t="s">
        <v>8</v>
      </c>
      <c r="D19" s="28" t="s">
        <v>129</v>
      </c>
      <c r="E19" s="30">
        <v>1558</v>
      </c>
      <c r="F19" s="30">
        <v>1573</v>
      </c>
      <c r="G19" s="30">
        <v>-15</v>
      </c>
      <c r="H19" s="92">
        <v>192.55455712451862</v>
      </c>
      <c r="I19" s="93">
        <v>-2888.3183568677796</v>
      </c>
      <c r="L19" s="30"/>
      <c r="M19" s="30"/>
      <c r="N19" s="30"/>
      <c r="O19" s="30"/>
    </row>
    <row r="20" spans="2:15" x14ac:dyDescent="0.3">
      <c r="B20" s="43">
        <v>42866</v>
      </c>
      <c r="C20" s="2" t="s">
        <v>9</v>
      </c>
      <c r="D20" s="28" t="s">
        <v>31</v>
      </c>
      <c r="E20" s="30">
        <v>1362</v>
      </c>
      <c r="F20" s="30">
        <v>1368</v>
      </c>
      <c r="G20" s="30">
        <v>6</v>
      </c>
      <c r="H20" s="92">
        <v>220.26431718061673</v>
      </c>
      <c r="I20" s="93">
        <v>1321.5859030837005</v>
      </c>
      <c r="K20" s="16" t="s">
        <v>946</v>
      </c>
      <c r="L20" s="21">
        <v>173</v>
      </c>
      <c r="M20" s="21">
        <v>133</v>
      </c>
      <c r="N20" s="21">
        <v>37</v>
      </c>
      <c r="O20" s="21">
        <v>3</v>
      </c>
    </row>
    <row r="21" spans="2:15" x14ac:dyDescent="0.3">
      <c r="B21" s="43">
        <v>42866</v>
      </c>
      <c r="C21" s="2" t="s">
        <v>8</v>
      </c>
      <c r="D21" s="28" t="s">
        <v>139</v>
      </c>
      <c r="E21" s="30">
        <v>1596</v>
      </c>
      <c r="F21" s="30">
        <v>1577</v>
      </c>
      <c r="G21" s="30">
        <v>19</v>
      </c>
      <c r="H21" s="92">
        <v>187.96992481203009</v>
      </c>
      <c r="I21" s="93">
        <v>3571.4285714285716</v>
      </c>
      <c r="L21" s="16"/>
    </row>
    <row r="22" spans="2:15" x14ac:dyDescent="0.3">
      <c r="B22" s="43">
        <v>42867</v>
      </c>
      <c r="C22" s="2" t="s">
        <v>9</v>
      </c>
      <c r="D22" s="28" t="s">
        <v>1407</v>
      </c>
      <c r="E22" s="30">
        <v>1065</v>
      </c>
      <c r="F22" s="30">
        <v>1075</v>
      </c>
      <c r="G22" s="30">
        <v>10</v>
      </c>
      <c r="H22" s="92">
        <v>281.6901408450704</v>
      </c>
      <c r="I22" s="93">
        <v>2816.9014084507039</v>
      </c>
      <c r="L22" s="28"/>
      <c r="M22" s="30"/>
      <c r="N22" s="30"/>
      <c r="O22" s="30"/>
    </row>
    <row r="23" spans="2:15" x14ac:dyDescent="0.3">
      <c r="B23" s="43">
        <v>42867</v>
      </c>
      <c r="C23" s="2" t="s">
        <v>8</v>
      </c>
      <c r="D23" s="28" t="s">
        <v>139</v>
      </c>
      <c r="E23" s="30">
        <v>1575</v>
      </c>
      <c r="F23" s="30">
        <v>1545</v>
      </c>
      <c r="G23" s="30">
        <v>30</v>
      </c>
      <c r="H23" s="92">
        <v>190.47619047619048</v>
      </c>
      <c r="I23" s="93">
        <v>5714.2857142857147</v>
      </c>
      <c r="L23" s="68" t="s">
        <v>1893</v>
      </c>
      <c r="M23" s="83"/>
      <c r="N23" s="126">
        <v>0.76870000000000005</v>
      </c>
      <c r="O23" s="30"/>
    </row>
    <row r="24" spans="2:15" x14ac:dyDescent="0.3">
      <c r="B24" s="43">
        <v>42870</v>
      </c>
      <c r="C24" s="2" t="s">
        <v>9</v>
      </c>
      <c r="D24" s="28" t="s">
        <v>19</v>
      </c>
      <c r="E24" s="30">
        <v>299</v>
      </c>
      <c r="F24" s="30">
        <v>302</v>
      </c>
      <c r="G24" s="30">
        <v>3</v>
      </c>
      <c r="H24" s="92">
        <v>1003.3444816053511</v>
      </c>
      <c r="I24" s="93">
        <v>3010.0334448160534</v>
      </c>
      <c r="L24" s="68" t="s">
        <v>1894</v>
      </c>
      <c r="M24" s="83"/>
      <c r="N24" s="126"/>
      <c r="O24" s="30"/>
    </row>
    <row r="25" spans="2:15" x14ac:dyDescent="0.3">
      <c r="B25" s="43">
        <v>42870</v>
      </c>
      <c r="C25" s="2" t="s">
        <v>8</v>
      </c>
      <c r="D25" s="28" t="s">
        <v>1407</v>
      </c>
      <c r="E25" s="30">
        <v>1050</v>
      </c>
      <c r="F25" s="30">
        <v>1060</v>
      </c>
      <c r="G25" s="30">
        <v>-10</v>
      </c>
      <c r="H25" s="92">
        <v>285.71428571428572</v>
      </c>
      <c r="I25" s="93">
        <v>-2857.1428571428573</v>
      </c>
      <c r="L25" s="49"/>
      <c r="M25" s="30"/>
      <c r="N25" s="30"/>
      <c r="O25" s="30"/>
    </row>
    <row r="26" spans="2:15" x14ac:dyDescent="0.3">
      <c r="B26" s="43">
        <v>42871</v>
      </c>
      <c r="C26" s="2" t="s">
        <v>9</v>
      </c>
      <c r="D26" s="28" t="s">
        <v>2149</v>
      </c>
      <c r="E26" s="30">
        <v>361</v>
      </c>
      <c r="F26" s="30">
        <v>369</v>
      </c>
      <c r="G26" s="30">
        <v>8</v>
      </c>
      <c r="H26" s="92">
        <v>831.02493074792244</v>
      </c>
      <c r="I26" s="93">
        <v>6648.1994459833795</v>
      </c>
      <c r="L26" s="49"/>
      <c r="M26" s="30"/>
      <c r="N26" s="30"/>
      <c r="O26" s="30"/>
    </row>
    <row r="27" spans="2:15" x14ac:dyDescent="0.3">
      <c r="B27" s="43">
        <v>42871</v>
      </c>
      <c r="C27" s="2" t="s">
        <v>8</v>
      </c>
      <c r="D27" s="28" t="s">
        <v>78</v>
      </c>
      <c r="E27" s="30">
        <v>1730</v>
      </c>
      <c r="F27" s="30">
        <v>1740</v>
      </c>
      <c r="G27" s="30">
        <v>-10</v>
      </c>
      <c r="H27" s="92">
        <v>173.41040462427745</v>
      </c>
      <c r="I27" s="93">
        <v>-1734.1040462427745</v>
      </c>
      <c r="L27" s="49"/>
      <c r="M27" s="30"/>
      <c r="N27" s="30"/>
      <c r="O27" s="30"/>
    </row>
    <row r="28" spans="2:15" x14ac:dyDescent="0.3">
      <c r="B28" s="43">
        <v>42872</v>
      </c>
      <c r="C28" s="2" t="s">
        <v>9</v>
      </c>
      <c r="D28" s="28" t="s">
        <v>2150</v>
      </c>
      <c r="E28" s="30">
        <v>101.5</v>
      </c>
      <c r="F28" s="30">
        <v>102.5</v>
      </c>
      <c r="G28" s="30">
        <v>1</v>
      </c>
      <c r="H28" s="92">
        <v>2955.6650246305417</v>
      </c>
      <c r="I28" s="93">
        <v>2955.6650246305417</v>
      </c>
      <c r="L28" s="16"/>
    </row>
    <row r="29" spans="2:15" x14ac:dyDescent="0.3">
      <c r="B29" s="43">
        <v>42872</v>
      </c>
      <c r="C29" s="2" t="s">
        <v>8</v>
      </c>
      <c r="D29" s="28" t="s">
        <v>139</v>
      </c>
      <c r="E29" s="30">
        <v>1458</v>
      </c>
      <c r="F29" s="30">
        <v>1452</v>
      </c>
      <c r="G29" s="30">
        <v>6</v>
      </c>
      <c r="H29" s="92">
        <v>205.76131687242798</v>
      </c>
      <c r="I29" s="93">
        <v>1234.5679012345679</v>
      </c>
      <c r="L29" s="16"/>
    </row>
    <row r="30" spans="2:15" x14ac:dyDescent="0.3">
      <c r="B30" s="43">
        <v>42873</v>
      </c>
      <c r="C30" s="2" t="s">
        <v>9</v>
      </c>
      <c r="D30" s="28" t="s">
        <v>109</v>
      </c>
      <c r="E30" s="30">
        <v>1365</v>
      </c>
      <c r="F30" s="30">
        <v>1355</v>
      </c>
      <c r="G30" s="30">
        <v>-10</v>
      </c>
      <c r="H30" s="92">
        <v>219.78021978021977</v>
      </c>
      <c r="I30" s="93">
        <v>-2197.8021978021975</v>
      </c>
      <c r="L30" s="41"/>
    </row>
    <row r="31" spans="2:15" x14ac:dyDescent="0.3">
      <c r="B31" s="43">
        <v>42873</v>
      </c>
      <c r="C31" s="2" t="s">
        <v>8</v>
      </c>
      <c r="D31" s="28" t="s">
        <v>113</v>
      </c>
      <c r="E31" s="30">
        <v>176</v>
      </c>
      <c r="F31" s="30">
        <v>178</v>
      </c>
      <c r="G31" s="30">
        <v>-2</v>
      </c>
      <c r="H31" s="92">
        <v>1704.5454545454545</v>
      </c>
      <c r="I31" s="93">
        <v>-3409.090909090909</v>
      </c>
      <c r="L31" s="41"/>
    </row>
    <row r="32" spans="2:15" x14ac:dyDescent="0.3">
      <c r="B32" s="43">
        <v>42874</v>
      </c>
      <c r="C32" s="2" t="s">
        <v>9</v>
      </c>
      <c r="D32" s="28" t="s">
        <v>19</v>
      </c>
      <c r="E32" s="30">
        <v>307</v>
      </c>
      <c r="F32" s="30">
        <v>310</v>
      </c>
      <c r="G32" s="30">
        <v>3</v>
      </c>
      <c r="H32" s="92">
        <v>977.19869706840393</v>
      </c>
      <c r="I32" s="93">
        <v>2931.5960912052119</v>
      </c>
      <c r="M32" s="30"/>
    </row>
    <row r="33" spans="2:13" x14ac:dyDescent="0.3">
      <c r="B33" s="43">
        <v>42874</v>
      </c>
      <c r="C33" s="2" t="s">
        <v>8</v>
      </c>
      <c r="D33" s="28" t="s">
        <v>834</v>
      </c>
      <c r="E33" s="30">
        <v>231</v>
      </c>
      <c r="F33" s="30">
        <v>226</v>
      </c>
      <c r="G33" s="30">
        <v>5</v>
      </c>
      <c r="H33" s="92">
        <v>1298.7012987012988</v>
      </c>
      <c r="I33" s="93">
        <v>6493.5064935064938</v>
      </c>
      <c r="M33" s="30"/>
    </row>
    <row r="34" spans="2:13" x14ac:dyDescent="0.3">
      <c r="B34" s="43">
        <v>42877</v>
      </c>
      <c r="C34" s="2" t="s">
        <v>9</v>
      </c>
      <c r="D34" s="28" t="s">
        <v>939</v>
      </c>
      <c r="E34" s="30">
        <v>533</v>
      </c>
      <c r="F34" s="30">
        <v>535.5</v>
      </c>
      <c r="G34" s="30">
        <v>2.5</v>
      </c>
      <c r="H34" s="92">
        <v>562.85178236397746</v>
      </c>
      <c r="I34" s="93">
        <v>1407.1294559099438</v>
      </c>
      <c r="M34" s="30"/>
    </row>
    <row r="35" spans="2:13" x14ac:dyDescent="0.3">
      <c r="B35" s="43">
        <v>42877</v>
      </c>
      <c r="C35" s="2" t="s">
        <v>8</v>
      </c>
      <c r="D35" s="30" t="s">
        <v>78</v>
      </c>
      <c r="E35" s="30">
        <v>1750</v>
      </c>
      <c r="F35" s="30">
        <v>1742</v>
      </c>
      <c r="G35" s="30">
        <v>8</v>
      </c>
      <c r="H35" s="92">
        <v>171.42857142857142</v>
      </c>
      <c r="I35" s="93">
        <v>1371.4285714285713</v>
      </c>
      <c r="M35" s="30"/>
    </row>
    <row r="36" spans="2:13" x14ac:dyDescent="0.3">
      <c r="B36" s="43">
        <v>42878</v>
      </c>
      <c r="C36" s="2" t="s">
        <v>9</v>
      </c>
      <c r="D36" s="30" t="s">
        <v>95</v>
      </c>
      <c r="E36" s="30">
        <v>308</v>
      </c>
      <c r="F36" s="30">
        <v>307.5</v>
      </c>
      <c r="G36" s="30">
        <v>-0.5</v>
      </c>
      <c r="H36" s="92">
        <v>974.02597402597405</v>
      </c>
      <c r="I36" s="93">
        <v>-487.01298701298703</v>
      </c>
      <c r="M36" s="30"/>
    </row>
    <row r="37" spans="2:13" x14ac:dyDescent="0.3">
      <c r="B37" s="43">
        <v>42878</v>
      </c>
      <c r="C37" s="2" t="s">
        <v>9</v>
      </c>
      <c r="D37" s="30" t="s">
        <v>58</v>
      </c>
      <c r="E37" s="30">
        <v>500</v>
      </c>
      <c r="F37" s="30">
        <v>504</v>
      </c>
      <c r="G37" s="30">
        <v>4</v>
      </c>
      <c r="H37" s="92">
        <v>600</v>
      </c>
      <c r="I37" s="93">
        <v>2400</v>
      </c>
      <c r="M37" s="30"/>
    </row>
    <row r="38" spans="2:13" x14ac:dyDescent="0.3">
      <c r="B38" s="43">
        <v>42879</v>
      </c>
      <c r="C38" s="2" t="s">
        <v>9</v>
      </c>
      <c r="D38" s="30" t="s">
        <v>2158</v>
      </c>
      <c r="E38" s="30">
        <v>612</v>
      </c>
      <c r="F38" s="30">
        <v>620</v>
      </c>
      <c r="G38" s="30">
        <v>8</v>
      </c>
      <c r="H38" s="92">
        <v>490.19607843137254</v>
      </c>
      <c r="I38" s="93">
        <v>3921.5686274509803</v>
      </c>
      <c r="M38" s="30"/>
    </row>
    <row r="39" spans="2:13" x14ac:dyDescent="0.3">
      <c r="B39" s="43">
        <v>42879</v>
      </c>
      <c r="C39" s="2" t="s">
        <v>8</v>
      </c>
      <c r="D39" s="30" t="s">
        <v>2159</v>
      </c>
      <c r="E39" s="30">
        <v>183</v>
      </c>
      <c r="F39" s="30">
        <v>180</v>
      </c>
      <c r="G39" s="30">
        <v>3</v>
      </c>
      <c r="H39" s="92">
        <v>1639.344262295082</v>
      </c>
      <c r="I39" s="93">
        <v>4918.0327868852455</v>
      </c>
      <c r="M39" s="30"/>
    </row>
    <row r="40" spans="2:13" x14ac:dyDescent="0.3">
      <c r="B40" s="43">
        <v>42880</v>
      </c>
      <c r="C40" s="2" t="s">
        <v>9</v>
      </c>
      <c r="D40" s="30" t="s">
        <v>78</v>
      </c>
      <c r="E40" s="30">
        <v>1700</v>
      </c>
      <c r="F40" s="30">
        <v>1730</v>
      </c>
      <c r="G40" s="30">
        <v>30</v>
      </c>
      <c r="H40" s="92">
        <v>176.47058823529412</v>
      </c>
      <c r="I40" s="93">
        <v>5294.1176470588234</v>
      </c>
      <c r="M40" s="30"/>
    </row>
    <row r="41" spans="2:13" x14ac:dyDescent="0.3">
      <c r="B41" s="43">
        <v>42880</v>
      </c>
      <c r="C41" s="2" t="s">
        <v>9</v>
      </c>
      <c r="D41" s="30" t="s">
        <v>95</v>
      </c>
      <c r="E41" s="30">
        <v>309</v>
      </c>
      <c r="F41" s="30">
        <v>317</v>
      </c>
      <c r="G41" s="30">
        <v>8</v>
      </c>
      <c r="H41" s="92">
        <v>970.87378640776694</v>
      </c>
      <c r="I41" s="93">
        <v>7766.9902912621355</v>
      </c>
      <c r="K41" s="10" t="s">
        <v>2008</v>
      </c>
      <c r="M41" s="30"/>
    </row>
    <row r="42" spans="2:13" x14ac:dyDescent="0.3">
      <c r="B42" s="43">
        <v>42881</v>
      </c>
      <c r="C42" s="2" t="s">
        <v>9</v>
      </c>
      <c r="D42" s="30" t="s">
        <v>78</v>
      </c>
      <c r="E42" s="30">
        <v>1770</v>
      </c>
      <c r="F42" s="30">
        <v>1755</v>
      </c>
      <c r="G42" s="30">
        <v>-15</v>
      </c>
      <c r="H42" s="92">
        <v>169.4915254237288</v>
      </c>
      <c r="I42" s="93">
        <v>-2542.3728813559319</v>
      </c>
      <c r="M42" s="30"/>
    </row>
    <row r="43" spans="2:13" x14ac:dyDescent="0.3">
      <c r="B43" s="43">
        <v>42881</v>
      </c>
      <c r="C43" s="2" t="s">
        <v>8</v>
      </c>
      <c r="D43" s="30" t="s">
        <v>19</v>
      </c>
      <c r="E43" s="30">
        <v>287</v>
      </c>
      <c r="F43" s="30">
        <v>285.3</v>
      </c>
      <c r="G43" s="30">
        <v>1.7</v>
      </c>
      <c r="H43" s="92">
        <v>1045.2961672473868</v>
      </c>
      <c r="I43" s="93">
        <v>1777.0034843205576</v>
      </c>
      <c r="M43" s="30"/>
    </row>
    <row r="44" spans="2:13" x14ac:dyDescent="0.3">
      <c r="B44" s="43">
        <v>42884</v>
      </c>
      <c r="C44" s="2" t="s">
        <v>9</v>
      </c>
      <c r="D44" s="30" t="s">
        <v>78</v>
      </c>
      <c r="E44" s="30">
        <v>1780</v>
      </c>
      <c r="F44" s="30">
        <v>1809</v>
      </c>
      <c r="G44" s="30">
        <v>29</v>
      </c>
      <c r="H44" s="92">
        <v>168.53932584269663</v>
      </c>
      <c r="I44" s="93">
        <v>4887.6404494382023</v>
      </c>
      <c r="M44" s="30"/>
    </row>
    <row r="45" spans="2:13" x14ac:dyDescent="0.3">
      <c r="B45" s="43">
        <v>42884</v>
      </c>
      <c r="C45" s="2" t="s">
        <v>8</v>
      </c>
      <c r="D45" s="30" t="s">
        <v>95</v>
      </c>
      <c r="E45" s="30">
        <v>316</v>
      </c>
      <c r="F45" s="30">
        <v>314</v>
      </c>
      <c r="G45" s="30">
        <v>2</v>
      </c>
      <c r="H45" s="92">
        <v>949.36708860759495</v>
      </c>
      <c r="I45" s="93">
        <v>1898.7341772151899</v>
      </c>
      <c r="M45" s="30"/>
    </row>
    <row r="46" spans="2:13" x14ac:dyDescent="0.3">
      <c r="B46" s="43">
        <v>42885</v>
      </c>
      <c r="C46" s="2" t="s">
        <v>9</v>
      </c>
      <c r="D46" s="30" t="s">
        <v>395</v>
      </c>
      <c r="E46" s="30">
        <v>2475</v>
      </c>
      <c r="F46" s="30">
        <v>2500</v>
      </c>
      <c r="G46" s="30">
        <v>25</v>
      </c>
      <c r="H46" s="92">
        <v>121.21212121212122</v>
      </c>
      <c r="I46" s="93">
        <v>3030.3030303030305</v>
      </c>
      <c r="M46" s="30"/>
    </row>
    <row r="47" spans="2:13" x14ac:dyDescent="0.3">
      <c r="B47" s="43">
        <v>42885</v>
      </c>
      <c r="C47" s="2" t="s">
        <v>8</v>
      </c>
      <c r="D47" s="30" t="s">
        <v>78</v>
      </c>
      <c r="E47" s="30">
        <v>1780</v>
      </c>
      <c r="F47" s="30">
        <v>1760</v>
      </c>
      <c r="G47" s="30">
        <v>20</v>
      </c>
      <c r="H47" s="92">
        <v>168.53932584269663</v>
      </c>
      <c r="I47" s="93">
        <v>3370.7865168539324</v>
      </c>
      <c r="M47" s="30"/>
    </row>
    <row r="48" spans="2:13" x14ac:dyDescent="0.3">
      <c r="B48" s="43">
        <v>42886</v>
      </c>
      <c r="C48" s="2" t="s">
        <v>9</v>
      </c>
      <c r="D48" s="30" t="s">
        <v>395</v>
      </c>
      <c r="E48" s="30">
        <v>2490</v>
      </c>
      <c r="F48" s="30">
        <v>2540</v>
      </c>
      <c r="G48" s="30">
        <v>50</v>
      </c>
      <c r="H48" s="92">
        <v>120.48192771084338</v>
      </c>
      <c r="I48" s="93">
        <v>6024.0963855421687</v>
      </c>
      <c r="M48" s="30"/>
    </row>
    <row r="49" spans="2:11" x14ac:dyDescent="0.3">
      <c r="B49" s="43">
        <v>42886</v>
      </c>
      <c r="C49" s="2" t="s">
        <v>8</v>
      </c>
      <c r="D49" s="30" t="s">
        <v>78</v>
      </c>
      <c r="E49" s="30">
        <v>1770</v>
      </c>
      <c r="F49" s="30">
        <v>1755</v>
      </c>
      <c r="G49" s="30">
        <v>15</v>
      </c>
      <c r="H49" s="92">
        <v>169.4915254237288</v>
      </c>
      <c r="I49" s="93">
        <v>2542.3728813559319</v>
      </c>
    </row>
    <row r="50" spans="2:11" ht="23.4" x14ac:dyDescent="0.45">
      <c r="B50" s="43"/>
      <c r="C50" s="2"/>
      <c r="D50" s="30"/>
      <c r="E50" s="30"/>
      <c r="F50" s="30"/>
      <c r="G50" s="30"/>
      <c r="H50" s="5"/>
      <c r="I50" s="140">
        <v>100533</v>
      </c>
    </row>
    <row r="51" spans="2:11" x14ac:dyDescent="0.3">
      <c r="B51" s="87"/>
      <c r="C51" s="2"/>
      <c r="D51" s="28"/>
      <c r="E51" s="30"/>
      <c r="F51" s="30"/>
      <c r="G51" s="30"/>
      <c r="H51" s="30"/>
      <c r="I51" s="88"/>
    </row>
    <row r="52" spans="2:11" ht="15.6" x14ac:dyDescent="0.3">
      <c r="B52" s="48" t="s">
        <v>62</v>
      </c>
      <c r="C52" s="48"/>
      <c r="D52" s="48"/>
      <c r="E52" s="48"/>
      <c r="F52" s="48"/>
      <c r="G52" s="48"/>
      <c r="H52" s="48"/>
      <c r="I52" s="48"/>
    </row>
    <row r="53" spans="2:11" x14ac:dyDescent="0.3">
      <c r="B53" s="43">
        <v>42857</v>
      </c>
      <c r="C53" s="2" t="s">
        <v>8</v>
      </c>
      <c r="D53" s="2" t="s">
        <v>78</v>
      </c>
      <c r="E53" s="41" t="s">
        <v>2130</v>
      </c>
      <c r="F53" s="40" t="s">
        <v>2131</v>
      </c>
      <c r="G53" s="40" t="s">
        <v>2054</v>
      </c>
      <c r="H53" s="5">
        <v>500</v>
      </c>
      <c r="I53" s="30">
        <v>10500</v>
      </c>
    </row>
    <row r="54" spans="2:11" x14ac:dyDescent="0.3">
      <c r="B54" s="43">
        <v>42858</v>
      </c>
      <c r="C54" s="2" t="s">
        <v>8</v>
      </c>
      <c r="D54" s="2" t="s">
        <v>78</v>
      </c>
      <c r="E54" s="41" t="s">
        <v>2132</v>
      </c>
      <c r="F54" s="40" t="s">
        <v>643</v>
      </c>
      <c r="G54" s="40" t="s">
        <v>1341</v>
      </c>
      <c r="H54" s="5">
        <v>500</v>
      </c>
      <c r="I54" s="30">
        <v>3000</v>
      </c>
    </row>
    <row r="55" spans="2:11" x14ac:dyDescent="0.3">
      <c r="B55" s="43">
        <v>42859</v>
      </c>
      <c r="C55" s="30" t="s">
        <v>9</v>
      </c>
      <c r="D55" s="30" t="s">
        <v>129</v>
      </c>
      <c r="E55" s="30">
        <v>1581</v>
      </c>
      <c r="F55" s="30">
        <v>1594</v>
      </c>
      <c r="G55" s="30">
        <v>13</v>
      </c>
      <c r="H55" s="30">
        <v>500</v>
      </c>
      <c r="I55" s="30">
        <v>6500</v>
      </c>
      <c r="K55" s="86"/>
    </row>
    <row r="56" spans="2:11" x14ac:dyDescent="0.3">
      <c r="B56" s="43">
        <v>42860</v>
      </c>
      <c r="C56" s="30" t="s">
        <v>9</v>
      </c>
      <c r="D56" s="30" t="s">
        <v>95</v>
      </c>
      <c r="E56" s="30">
        <v>299</v>
      </c>
      <c r="F56" s="30">
        <v>302</v>
      </c>
      <c r="G56" s="30">
        <v>3</v>
      </c>
      <c r="H56" s="30">
        <v>2500</v>
      </c>
      <c r="I56" s="30">
        <v>7500</v>
      </c>
      <c r="K56" s="86"/>
    </row>
    <row r="57" spans="2:11" x14ac:dyDescent="0.3">
      <c r="B57" s="43">
        <v>42863</v>
      </c>
      <c r="C57" s="30" t="s">
        <v>9</v>
      </c>
      <c r="D57" s="30" t="s">
        <v>19</v>
      </c>
      <c r="E57" s="30">
        <v>299</v>
      </c>
      <c r="F57" s="30">
        <v>301</v>
      </c>
      <c r="G57" s="30">
        <v>2</v>
      </c>
      <c r="H57" s="30">
        <v>3000</v>
      </c>
      <c r="I57" s="30">
        <v>6000</v>
      </c>
      <c r="K57" s="86"/>
    </row>
    <row r="58" spans="2:11" x14ac:dyDescent="0.3">
      <c r="B58" s="43">
        <v>42864</v>
      </c>
      <c r="C58" s="30" t="s">
        <v>9</v>
      </c>
      <c r="D58" s="30" t="s">
        <v>78</v>
      </c>
      <c r="E58" s="30">
        <v>1720</v>
      </c>
      <c r="F58" s="30">
        <v>1750</v>
      </c>
      <c r="G58" s="30">
        <v>30</v>
      </c>
      <c r="H58" s="30">
        <v>500</v>
      </c>
      <c r="I58" s="30">
        <v>15000</v>
      </c>
      <c r="K58" s="86"/>
    </row>
    <row r="59" spans="2:11" x14ac:dyDescent="0.3">
      <c r="B59" s="43">
        <v>42865</v>
      </c>
      <c r="C59" s="30" t="s">
        <v>8</v>
      </c>
      <c r="D59" s="30" t="s">
        <v>139</v>
      </c>
      <c r="E59" s="30">
        <v>1608</v>
      </c>
      <c r="F59" s="30">
        <v>1590</v>
      </c>
      <c r="G59" s="30">
        <v>18</v>
      </c>
      <c r="H59" s="30">
        <v>700</v>
      </c>
      <c r="I59" s="30">
        <v>12600</v>
      </c>
      <c r="K59" s="86"/>
    </row>
    <row r="60" spans="2:11" x14ac:dyDescent="0.3">
      <c r="B60" s="43">
        <v>42866</v>
      </c>
      <c r="C60" s="30" t="s">
        <v>8</v>
      </c>
      <c r="D60" s="30" t="s">
        <v>95</v>
      </c>
      <c r="E60" s="30">
        <v>301</v>
      </c>
      <c r="F60" s="30">
        <v>302.7</v>
      </c>
      <c r="G60" s="30">
        <v>1.7</v>
      </c>
      <c r="H60" s="30">
        <v>2500</v>
      </c>
      <c r="I60" s="30">
        <v>4250</v>
      </c>
      <c r="K60" s="86"/>
    </row>
    <row r="61" spans="2:11" x14ac:dyDescent="0.3">
      <c r="B61" s="43">
        <v>42867</v>
      </c>
      <c r="C61" s="30" t="s">
        <v>8</v>
      </c>
      <c r="D61" s="30" t="s">
        <v>31</v>
      </c>
      <c r="E61" s="30">
        <v>1346</v>
      </c>
      <c r="F61" s="30">
        <v>1347</v>
      </c>
      <c r="G61" s="30">
        <v>-1</v>
      </c>
      <c r="H61" s="30">
        <v>500</v>
      </c>
      <c r="I61" s="30">
        <v>-500</v>
      </c>
      <c r="K61" s="86"/>
    </row>
    <row r="62" spans="2:11" x14ac:dyDescent="0.3">
      <c r="B62" s="43">
        <v>42870</v>
      </c>
      <c r="C62" s="30" t="s">
        <v>8</v>
      </c>
      <c r="D62" s="30" t="s">
        <v>78</v>
      </c>
      <c r="E62" s="30">
        <v>1745</v>
      </c>
      <c r="F62" s="30">
        <v>1743.5</v>
      </c>
      <c r="G62" s="30">
        <v>1.5</v>
      </c>
      <c r="H62" s="30">
        <v>500</v>
      </c>
      <c r="I62" s="30">
        <v>750</v>
      </c>
      <c r="K62" s="86"/>
    </row>
    <row r="63" spans="2:11" x14ac:dyDescent="0.3">
      <c r="B63" s="43">
        <v>42871</v>
      </c>
      <c r="C63" s="30" t="s">
        <v>8</v>
      </c>
      <c r="D63" s="30" t="s">
        <v>78</v>
      </c>
      <c r="E63" s="30">
        <v>1735</v>
      </c>
      <c r="F63" s="30">
        <v>1728</v>
      </c>
      <c r="G63" s="30">
        <v>7</v>
      </c>
      <c r="H63" s="30">
        <v>500</v>
      </c>
      <c r="I63" s="30">
        <v>3500</v>
      </c>
      <c r="K63" s="86"/>
    </row>
    <row r="64" spans="2:11" x14ac:dyDescent="0.3">
      <c r="B64" s="43">
        <v>42872</v>
      </c>
      <c r="C64" s="30" t="s">
        <v>8</v>
      </c>
      <c r="D64" s="30" t="s">
        <v>95</v>
      </c>
      <c r="E64" s="30">
        <v>308</v>
      </c>
      <c r="F64" s="30">
        <v>309.8</v>
      </c>
      <c r="G64" s="30">
        <v>1.8</v>
      </c>
      <c r="H64" s="30">
        <v>2500</v>
      </c>
      <c r="I64" s="30">
        <v>4500</v>
      </c>
      <c r="K64" s="86"/>
    </row>
    <row r="65" spans="2:11" x14ac:dyDescent="0.3">
      <c r="B65" s="43">
        <v>42873</v>
      </c>
      <c r="C65" s="30" t="s">
        <v>8</v>
      </c>
      <c r="D65" s="30" t="s">
        <v>78</v>
      </c>
      <c r="E65" s="30">
        <v>1730</v>
      </c>
      <c r="F65" s="30">
        <v>1718</v>
      </c>
      <c r="G65" s="30">
        <v>12</v>
      </c>
      <c r="H65" s="30">
        <v>500</v>
      </c>
      <c r="I65" s="30">
        <v>6000</v>
      </c>
      <c r="K65" s="86"/>
    </row>
    <row r="66" spans="2:11" x14ac:dyDescent="0.3">
      <c r="B66" s="43">
        <v>42874</v>
      </c>
      <c r="C66" s="30" t="s">
        <v>8</v>
      </c>
      <c r="D66" s="30" t="s">
        <v>78</v>
      </c>
      <c r="E66" s="30">
        <v>1728</v>
      </c>
      <c r="F66" s="30">
        <v>1705</v>
      </c>
      <c r="G66" s="30">
        <v>23</v>
      </c>
      <c r="H66" s="30">
        <v>500</v>
      </c>
      <c r="I66" s="30">
        <v>11500</v>
      </c>
      <c r="K66" s="86"/>
    </row>
    <row r="67" spans="2:11" x14ac:dyDescent="0.3">
      <c r="B67" s="43">
        <v>42877</v>
      </c>
      <c r="C67" s="30" t="s">
        <v>8</v>
      </c>
      <c r="D67" s="30" t="s">
        <v>78</v>
      </c>
      <c r="E67" s="30">
        <v>1755</v>
      </c>
      <c r="F67" s="30">
        <v>1745</v>
      </c>
      <c r="G67" s="30">
        <v>10</v>
      </c>
      <c r="H67" s="30">
        <v>500</v>
      </c>
      <c r="I67" s="30">
        <v>5000</v>
      </c>
      <c r="K67" s="86"/>
    </row>
    <row r="68" spans="2:11" x14ac:dyDescent="0.3">
      <c r="B68" s="43">
        <v>42878</v>
      </c>
      <c r="C68" s="30" t="s">
        <v>8</v>
      </c>
      <c r="D68" s="30" t="s">
        <v>78</v>
      </c>
      <c r="E68" s="30">
        <v>1740</v>
      </c>
      <c r="F68" s="30">
        <v>1746</v>
      </c>
      <c r="G68" s="30">
        <v>-6</v>
      </c>
      <c r="H68" s="30">
        <v>500</v>
      </c>
      <c r="I68" s="30">
        <v>-3000</v>
      </c>
      <c r="K68" s="86"/>
    </row>
    <row r="69" spans="2:11" x14ac:dyDescent="0.3">
      <c r="B69" s="43">
        <v>42879</v>
      </c>
      <c r="C69" s="30" t="s">
        <v>8</v>
      </c>
      <c r="D69" s="30" t="s">
        <v>78</v>
      </c>
      <c r="E69" s="30">
        <v>1720</v>
      </c>
      <c r="F69" s="30">
        <v>1690</v>
      </c>
      <c r="G69" s="30">
        <v>30</v>
      </c>
      <c r="H69" s="30">
        <v>500</v>
      </c>
      <c r="I69" s="30">
        <v>15000</v>
      </c>
      <c r="K69" s="86"/>
    </row>
    <row r="70" spans="2:11" x14ac:dyDescent="0.3">
      <c r="B70" s="43">
        <v>42880</v>
      </c>
      <c r="C70" s="30" t="s">
        <v>9</v>
      </c>
      <c r="D70" s="30" t="s">
        <v>95</v>
      </c>
      <c r="E70" s="30">
        <v>310</v>
      </c>
      <c r="F70" s="30">
        <v>316</v>
      </c>
      <c r="G70" s="30">
        <v>6</v>
      </c>
      <c r="H70" s="30">
        <v>2500</v>
      </c>
      <c r="I70" s="30">
        <v>15000</v>
      </c>
      <c r="K70" s="86"/>
    </row>
    <row r="71" spans="2:11" x14ac:dyDescent="0.3">
      <c r="B71" s="43">
        <v>42881</v>
      </c>
      <c r="C71" s="30" t="s">
        <v>8</v>
      </c>
      <c r="D71" s="30" t="s">
        <v>58</v>
      </c>
      <c r="E71" s="30">
        <v>508</v>
      </c>
      <c r="F71" s="30">
        <v>513</v>
      </c>
      <c r="G71" s="30">
        <v>-5</v>
      </c>
      <c r="H71" s="30">
        <v>1200</v>
      </c>
      <c r="I71" s="30">
        <v>-6000</v>
      </c>
      <c r="K71" s="86"/>
    </row>
    <row r="72" spans="2:11" x14ac:dyDescent="0.3">
      <c r="B72" s="43">
        <v>42884</v>
      </c>
      <c r="C72" s="30" t="s">
        <v>8</v>
      </c>
      <c r="D72" s="30" t="s">
        <v>19</v>
      </c>
      <c r="E72" s="30">
        <v>288</v>
      </c>
      <c r="F72" s="30">
        <v>285</v>
      </c>
      <c r="G72" s="30">
        <v>3</v>
      </c>
      <c r="H72" s="30">
        <v>3000</v>
      </c>
      <c r="I72" s="30">
        <v>9000</v>
      </c>
      <c r="K72" s="86"/>
    </row>
    <row r="73" spans="2:11" x14ac:dyDescent="0.3">
      <c r="B73" s="43">
        <v>42885</v>
      </c>
      <c r="C73" s="30" t="s">
        <v>8</v>
      </c>
      <c r="D73" s="30" t="s">
        <v>78</v>
      </c>
      <c r="E73" s="30">
        <v>1770</v>
      </c>
      <c r="F73" s="30">
        <v>1762</v>
      </c>
      <c r="G73" s="30">
        <v>8</v>
      </c>
      <c r="H73" s="30">
        <v>500</v>
      </c>
      <c r="I73" s="30">
        <v>4000</v>
      </c>
      <c r="K73" s="86"/>
    </row>
    <row r="74" spans="2:11" x14ac:dyDescent="0.3">
      <c r="B74" s="43">
        <v>42886</v>
      </c>
      <c r="C74" s="30" t="s">
        <v>8</v>
      </c>
      <c r="D74" s="30" t="s">
        <v>139</v>
      </c>
      <c r="E74" s="30">
        <v>1435</v>
      </c>
      <c r="F74" s="30">
        <v>1415</v>
      </c>
      <c r="G74" s="30">
        <v>20</v>
      </c>
      <c r="H74" s="30">
        <v>350</v>
      </c>
      <c r="I74" s="30">
        <v>7000</v>
      </c>
      <c r="K74" s="86"/>
    </row>
    <row r="75" spans="2:11" ht="25.8" x14ac:dyDescent="0.5">
      <c r="B75" s="43"/>
      <c r="C75" s="30"/>
      <c r="D75" s="30"/>
      <c r="E75" s="30"/>
      <c r="F75" s="30"/>
      <c r="G75" s="30"/>
      <c r="H75" s="30"/>
      <c r="I75" s="114">
        <v>137100</v>
      </c>
    </row>
    <row r="76" spans="2:11" ht="15.75" customHeight="1" x14ac:dyDescent="0.3">
      <c r="B76" s="87"/>
      <c r="C76" s="30"/>
      <c r="D76" s="30"/>
      <c r="E76" s="30"/>
      <c r="F76" s="30"/>
      <c r="G76" s="30"/>
      <c r="H76" s="30"/>
      <c r="I76" s="30"/>
    </row>
    <row r="77" spans="2:11" ht="15.6" x14ac:dyDescent="0.3">
      <c r="B77" s="48" t="s">
        <v>63</v>
      </c>
      <c r="C77" s="48"/>
      <c r="D77" s="48"/>
      <c r="E77" s="48"/>
      <c r="F77" s="48"/>
      <c r="G77" s="48"/>
      <c r="H77" s="48"/>
      <c r="I77" s="48"/>
    </row>
    <row r="78" spans="2:11" x14ac:dyDescent="0.3">
      <c r="B78" s="43">
        <v>42857</v>
      </c>
      <c r="C78" s="2" t="s">
        <v>8</v>
      </c>
      <c r="D78" s="2" t="s">
        <v>39</v>
      </c>
      <c r="E78" s="41" t="s">
        <v>2133</v>
      </c>
      <c r="F78" s="40" t="s">
        <v>2134</v>
      </c>
      <c r="G78" s="40" t="s">
        <v>961</v>
      </c>
      <c r="H78" s="30">
        <v>150</v>
      </c>
      <c r="I78" s="30">
        <v>3750</v>
      </c>
    </row>
    <row r="79" spans="2:11" x14ac:dyDescent="0.3">
      <c r="B79" s="43">
        <v>42858</v>
      </c>
      <c r="C79" s="30" t="s">
        <v>8</v>
      </c>
      <c r="D79" s="2" t="s">
        <v>39</v>
      </c>
      <c r="E79" s="2">
        <v>9345</v>
      </c>
      <c r="F79" s="30">
        <v>9330</v>
      </c>
      <c r="G79" s="30">
        <v>15</v>
      </c>
      <c r="H79" s="30">
        <v>150</v>
      </c>
      <c r="I79" s="30">
        <v>2250</v>
      </c>
      <c r="K79" s="86"/>
    </row>
    <row r="80" spans="2:11" x14ac:dyDescent="0.3">
      <c r="B80" s="43">
        <v>42859</v>
      </c>
      <c r="C80" s="30" t="s">
        <v>8</v>
      </c>
      <c r="D80" s="2" t="s">
        <v>39</v>
      </c>
      <c r="E80" s="2">
        <v>9355</v>
      </c>
      <c r="F80" s="30">
        <v>9335</v>
      </c>
      <c r="G80" s="30">
        <v>20</v>
      </c>
      <c r="H80" s="30">
        <v>150</v>
      </c>
      <c r="I80" s="30">
        <v>3000</v>
      </c>
      <c r="K80" s="86"/>
    </row>
    <row r="81" spans="2:11" x14ac:dyDescent="0.3">
      <c r="B81" s="43">
        <v>42860</v>
      </c>
      <c r="C81" s="30" t="s">
        <v>8</v>
      </c>
      <c r="D81" s="2" t="s">
        <v>39</v>
      </c>
      <c r="E81" s="2">
        <v>9310</v>
      </c>
      <c r="F81" s="30">
        <v>9310</v>
      </c>
      <c r="G81" s="30">
        <v>0</v>
      </c>
      <c r="H81" s="30">
        <v>150</v>
      </c>
      <c r="I81" s="30">
        <v>0</v>
      </c>
      <c r="K81" s="86"/>
    </row>
    <row r="82" spans="2:11" x14ac:dyDescent="0.3">
      <c r="B82" s="43">
        <v>42863</v>
      </c>
      <c r="C82" s="30" t="s">
        <v>8</v>
      </c>
      <c r="D82" s="2" t="s">
        <v>39</v>
      </c>
      <c r="E82" s="30">
        <v>9360</v>
      </c>
      <c r="F82" s="30">
        <v>9335</v>
      </c>
      <c r="G82" s="30">
        <v>25</v>
      </c>
      <c r="H82" s="30">
        <v>150</v>
      </c>
      <c r="I82" s="30">
        <v>3750</v>
      </c>
      <c r="K82" s="86"/>
    </row>
    <row r="83" spans="2:11" x14ac:dyDescent="0.3">
      <c r="B83" s="43">
        <v>42864</v>
      </c>
      <c r="C83" s="30" t="s">
        <v>9</v>
      </c>
      <c r="D83" s="2" t="s">
        <v>39</v>
      </c>
      <c r="E83" s="30">
        <v>9345</v>
      </c>
      <c r="F83" s="30">
        <v>9370</v>
      </c>
      <c r="G83" s="30">
        <v>25</v>
      </c>
      <c r="H83" s="30">
        <v>150</v>
      </c>
      <c r="I83" s="30">
        <v>3750</v>
      </c>
      <c r="K83" s="86"/>
    </row>
    <row r="84" spans="2:11" x14ac:dyDescent="0.3">
      <c r="B84" s="43">
        <v>42865</v>
      </c>
      <c r="C84" s="30" t="s">
        <v>8</v>
      </c>
      <c r="D84" s="2" t="s">
        <v>39</v>
      </c>
      <c r="E84" s="30">
        <v>9405</v>
      </c>
      <c r="F84" s="30">
        <v>9390</v>
      </c>
      <c r="G84" s="30">
        <v>15</v>
      </c>
      <c r="H84" s="30">
        <v>150</v>
      </c>
      <c r="I84" s="30">
        <v>2250</v>
      </c>
      <c r="K84" s="86"/>
    </row>
    <row r="85" spans="2:11" x14ac:dyDescent="0.3">
      <c r="B85" s="43">
        <v>42866</v>
      </c>
      <c r="C85" s="30" t="s">
        <v>9</v>
      </c>
      <c r="D85" s="2" t="s">
        <v>39</v>
      </c>
      <c r="E85" s="30">
        <v>9445</v>
      </c>
      <c r="F85" s="30">
        <v>9460</v>
      </c>
      <c r="G85" s="30">
        <v>15</v>
      </c>
      <c r="H85" s="30">
        <v>150</v>
      </c>
      <c r="I85" s="30">
        <v>2250</v>
      </c>
      <c r="K85" s="86"/>
    </row>
    <row r="86" spans="2:11" x14ac:dyDescent="0.3">
      <c r="B86" s="43">
        <v>42867</v>
      </c>
      <c r="C86" s="30" t="s">
        <v>8</v>
      </c>
      <c r="D86" s="2" t="s">
        <v>39</v>
      </c>
      <c r="E86" s="30">
        <v>9420</v>
      </c>
      <c r="F86" s="30">
        <v>9395</v>
      </c>
      <c r="G86" s="30">
        <v>25</v>
      </c>
      <c r="H86" s="30">
        <v>150</v>
      </c>
      <c r="I86" s="30">
        <v>3750</v>
      </c>
      <c r="K86" s="86"/>
    </row>
    <row r="87" spans="2:11" x14ac:dyDescent="0.3">
      <c r="B87" s="43">
        <v>42870</v>
      </c>
      <c r="C87" s="30" t="s">
        <v>9</v>
      </c>
      <c r="D87" s="2" t="s">
        <v>39</v>
      </c>
      <c r="E87" s="30">
        <v>9445</v>
      </c>
      <c r="F87" s="30">
        <v>9451</v>
      </c>
      <c r="G87" s="30">
        <v>6</v>
      </c>
      <c r="H87" s="30">
        <v>150</v>
      </c>
      <c r="I87" s="30">
        <v>900</v>
      </c>
      <c r="K87" s="86"/>
    </row>
    <row r="88" spans="2:11" x14ac:dyDescent="0.3">
      <c r="B88" s="43">
        <v>42871</v>
      </c>
      <c r="C88" s="30" t="s">
        <v>8</v>
      </c>
      <c r="D88" s="2" t="s">
        <v>39</v>
      </c>
      <c r="E88" s="30">
        <v>9475</v>
      </c>
      <c r="F88" s="30">
        <v>9510</v>
      </c>
      <c r="G88" s="30">
        <v>-35</v>
      </c>
      <c r="H88" s="30">
        <v>150</v>
      </c>
      <c r="I88" s="30">
        <v>-5250</v>
      </c>
      <c r="K88" s="86"/>
    </row>
    <row r="89" spans="2:11" x14ac:dyDescent="0.3">
      <c r="B89" s="43">
        <v>42872</v>
      </c>
      <c r="C89" s="30" t="s">
        <v>9</v>
      </c>
      <c r="D89" s="2" t="s">
        <v>39</v>
      </c>
      <c r="E89" s="30">
        <v>9510</v>
      </c>
      <c r="F89" s="30">
        <v>9535</v>
      </c>
      <c r="G89" s="30">
        <v>25</v>
      </c>
      <c r="H89" s="30">
        <v>150</v>
      </c>
      <c r="I89" s="30">
        <v>3750</v>
      </c>
      <c r="K89" s="86"/>
    </row>
    <row r="90" spans="2:11" x14ac:dyDescent="0.3">
      <c r="B90" s="43">
        <v>42873</v>
      </c>
      <c r="C90" s="30" t="s">
        <v>8</v>
      </c>
      <c r="D90" s="2" t="s">
        <v>39</v>
      </c>
      <c r="E90" s="30">
        <v>9475</v>
      </c>
      <c r="F90" s="30">
        <v>9440</v>
      </c>
      <c r="G90" s="30">
        <v>35</v>
      </c>
      <c r="H90" s="30">
        <v>150</v>
      </c>
      <c r="I90" s="30">
        <v>5250</v>
      </c>
      <c r="K90" s="86"/>
    </row>
    <row r="91" spans="2:11" x14ac:dyDescent="0.3">
      <c r="B91" s="43">
        <v>42874</v>
      </c>
      <c r="C91" s="30" t="s">
        <v>9</v>
      </c>
      <c r="D91" s="2" t="s">
        <v>39</v>
      </c>
      <c r="E91" s="30">
        <v>9490</v>
      </c>
      <c r="F91" s="30">
        <v>9507</v>
      </c>
      <c r="G91" s="30">
        <v>17</v>
      </c>
      <c r="H91" s="30">
        <v>150</v>
      </c>
      <c r="I91" s="30">
        <v>2550</v>
      </c>
      <c r="K91" s="86"/>
    </row>
    <row r="92" spans="2:11" x14ac:dyDescent="0.3">
      <c r="B92" s="43">
        <v>42877</v>
      </c>
      <c r="C92" s="30" t="s">
        <v>8</v>
      </c>
      <c r="D92" s="2" t="s">
        <v>39</v>
      </c>
      <c r="E92" s="30">
        <v>9465</v>
      </c>
      <c r="F92" s="30">
        <v>9430</v>
      </c>
      <c r="G92" s="30">
        <v>35</v>
      </c>
      <c r="H92" s="30">
        <v>150</v>
      </c>
      <c r="I92" s="30">
        <v>5250</v>
      </c>
      <c r="K92" s="86"/>
    </row>
    <row r="93" spans="2:11" x14ac:dyDescent="0.3">
      <c r="B93" s="43">
        <v>42878</v>
      </c>
      <c r="C93" s="30" t="s">
        <v>8</v>
      </c>
      <c r="D93" s="2" t="s">
        <v>39</v>
      </c>
      <c r="E93" s="30">
        <v>9405</v>
      </c>
      <c r="F93" s="30">
        <v>9390</v>
      </c>
      <c r="G93" s="30">
        <v>15</v>
      </c>
      <c r="H93" s="30">
        <v>150</v>
      </c>
      <c r="I93" s="30">
        <v>2250</v>
      </c>
      <c r="K93" s="86"/>
    </row>
    <row r="94" spans="2:11" x14ac:dyDescent="0.3">
      <c r="B94" s="43">
        <v>42879</v>
      </c>
      <c r="C94" s="30" t="s">
        <v>8</v>
      </c>
      <c r="D94" s="2" t="s">
        <v>39</v>
      </c>
      <c r="E94" s="30">
        <v>9400</v>
      </c>
      <c r="F94" s="30">
        <v>9435</v>
      </c>
      <c r="G94" s="30">
        <v>-35</v>
      </c>
      <c r="H94" s="30">
        <v>150</v>
      </c>
      <c r="I94" s="30">
        <v>-5250</v>
      </c>
      <c r="K94" s="86"/>
    </row>
    <row r="95" spans="2:11" x14ac:dyDescent="0.3">
      <c r="B95" s="43">
        <v>42880</v>
      </c>
      <c r="C95" s="30" t="s">
        <v>9</v>
      </c>
      <c r="D95" s="2" t="s">
        <v>39</v>
      </c>
      <c r="E95" s="30">
        <v>9405</v>
      </c>
      <c r="F95" s="30">
        <v>9470</v>
      </c>
      <c r="G95" s="30">
        <v>65</v>
      </c>
      <c r="H95" s="30">
        <v>150</v>
      </c>
      <c r="I95" s="30">
        <v>9750</v>
      </c>
      <c r="K95" s="86"/>
    </row>
    <row r="96" spans="2:11" x14ac:dyDescent="0.3">
      <c r="B96" s="43">
        <v>42881</v>
      </c>
      <c r="C96" s="30" t="s">
        <v>9</v>
      </c>
      <c r="D96" s="2" t="s">
        <v>39</v>
      </c>
      <c r="E96" s="30">
        <v>9550</v>
      </c>
      <c r="F96" s="30">
        <v>9585</v>
      </c>
      <c r="G96" s="30">
        <v>35</v>
      </c>
      <c r="H96" s="30">
        <v>150</v>
      </c>
      <c r="I96" s="30">
        <v>5250</v>
      </c>
      <c r="K96" s="86"/>
    </row>
    <row r="97" spans="2:11" x14ac:dyDescent="0.3">
      <c r="B97" s="43">
        <v>42884</v>
      </c>
      <c r="C97" s="30" t="s">
        <v>8</v>
      </c>
      <c r="D97" s="2" t="s">
        <v>39</v>
      </c>
      <c r="E97" s="30">
        <v>9570</v>
      </c>
      <c r="F97" s="30">
        <v>9605</v>
      </c>
      <c r="G97" s="30">
        <v>-35</v>
      </c>
      <c r="H97" s="30">
        <v>150</v>
      </c>
      <c r="I97" s="30">
        <v>-5250</v>
      </c>
      <c r="K97" s="86"/>
    </row>
    <row r="98" spans="2:11" x14ac:dyDescent="0.3">
      <c r="B98" s="43">
        <v>42885</v>
      </c>
      <c r="C98" s="30" t="s">
        <v>8</v>
      </c>
      <c r="D98" s="2" t="s">
        <v>39</v>
      </c>
      <c r="E98" s="30">
        <v>9605</v>
      </c>
      <c r="F98" s="30">
        <v>9590</v>
      </c>
      <c r="G98" s="30">
        <v>15</v>
      </c>
      <c r="H98" s="30">
        <v>150</v>
      </c>
      <c r="I98" s="30">
        <v>2250</v>
      </c>
      <c r="K98" s="86"/>
    </row>
    <row r="99" spans="2:11" x14ac:dyDescent="0.3">
      <c r="B99" s="43">
        <v>42886</v>
      </c>
      <c r="C99" s="30" t="s">
        <v>8</v>
      </c>
      <c r="D99" s="2" t="s">
        <v>39</v>
      </c>
      <c r="E99" s="30">
        <v>9620</v>
      </c>
      <c r="F99" s="30">
        <v>9630</v>
      </c>
      <c r="G99" s="30">
        <v>-10</v>
      </c>
      <c r="H99" s="30">
        <v>150</v>
      </c>
      <c r="I99" s="30">
        <v>-1500</v>
      </c>
      <c r="K99" s="86"/>
    </row>
    <row r="100" spans="2:11" ht="23.4" x14ac:dyDescent="0.45">
      <c r="B100" s="43"/>
      <c r="C100" s="30"/>
      <c r="D100" s="2"/>
      <c r="E100" s="30"/>
      <c r="F100" s="30"/>
      <c r="G100" s="30"/>
      <c r="H100" s="30"/>
      <c r="I100" s="125">
        <v>44700</v>
      </c>
    </row>
    <row r="101" spans="2:11" ht="18" x14ac:dyDescent="0.35">
      <c r="B101" s="43"/>
      <c r="C101" s="30"/>
      <c r="D101" s="2"/>
      <c r="E101" s="30"/>
      <c r="F101" s="30"/>
      <c r="G101" s="30"/>
      <c r="H101" s="30"/>
      <c r="I101" s="76"/>
    </row>
    <row r="102" spans="2:11" ht="15.6" x14ac:dyDescent="0.3">
      <c r="B102" s="48" t="s">
        <v>991</v>
      </c>
      <c r="C102" s="61"/>
      <c r="D102" s="61"/>
      <c r="E102" s="61"/>
      <c r="F102" s="61"/>
      <c r="G102" s="61"/>
      <c r="H102" s="61"/>
      <c r="I102" s="61"/>
    </row>
    <row r="103" spans="2:11" x14ac:dyDescent="0.3">
      <c r="B103" s="43">
        <v>42857</v>
      </c>
      <c r="C103" s="3" t="s">
        <v>9</v>
      </c>
      <c r="D103" s="3" t="s">
        <v>2110</v>
      </c>
      <c r="E103" s="41" t="s">
        <v>612</v>
      </c>
      <c r="F103" s="41" t="s">
        <v>229</v>
      </c>
      <c r="G103" s="41" t="s">
        <v>951</v>
      </c>
      <c r="H103" s="30">
        <v>300</v>
      </c>
      <c r="I103" s="8">
        <v>4500</v>
      </c>
    </row>
    <row r="104" spans="2:11" x14ac:dyDescent="0.3">
      <c r="B104" s="43">
        <v>42858</v>
      </c>
      <c r="C104" s="3" t="s">
        <v>9</v>
      </c>
      <c r="D104" s="3" t="s">
        <v>2110</v>
      </c>
      <c r="E104" s="30">
        <v>125</v>
      </c>
      <c r="F104" s="30">
        <v>132</v>
      </c>
      <c r="G104" s="30">
        <v>7</v>
      </c>
      <c r="H104" s="30">
        <v>300</v>
      </c>
      <c r="I104" s="8">
        <v>2100</v>
      </c>
    </row>
    <row r="105" spans="2:11" x14ac:dyDescent="0.3">
      <c r="B105" s="43">
        <v>42859</v>
      </c>
      <c r="C105" s="3" t="s">
        <v>9</v>
      </c>
      <c r="D105" s="3" t="s">
        <v>2110</v>
      </c>
      <c r="E105" s="30">
        <v>115</v>
      </c>
      <c r="F105" s="30">
        <v>125</v>
      </c>
      <c r="G105" s="30">
        <v>10</v>
      </c>
      <c r="H105" s="30">
        <v>300</v>
      </c>
      <c r="I105" s="8">
        <v>3000</v>
      </c>
    </row>
    <row r="106" spans="2:11" x14ac:dyDescent="0.3">
      <c r="B106" s="43">
        <v>42860</v>
      </c>
      <c r="C106" s="3" t="s">
        <v>9</v>
      </c>
      <c r="D106" s="3" t="s">
        <v>2110</v>
      </c>
      <c r="E106" s="30">
        <v>135</v>
      </c>
      <c r="F106" s="30">
        <v>145</v>
      </c>
      <c r="G106" s="30">
        <v>10</v>
      </c>
      <c r="H106" s="30">
        <v>300</v>
      </c>
      <c r="I106" s="8">
        <v>3000</v>
      </c>
    </row>
    <row r="107" spans="2:11" x14ac:dyDescent="0.3">
      <c r="B107" s="43">
        <v>42863</v>
      </c>
      <c r="C107" s="3" t="s">
        <v>9</v>
      </c>
      <c r="D107" s="30" t="s">
        <v>2110</v>
      </c>
      <c r="E107" s="30">
        <v>105</v>
      </c>
      <c r="F107" s="30">
        <v>115</v>
      </c>
      <c r="G107" s="30">
        <v>10</v>
      </c>
      <c r="H107" s="30">
        <v>300</v>
      </c>
      <c r="I107" s="8">
        <v>3000</v>
      </c>
    </row>
    <row r="108" spans="2:11" x14ac:dyDescent="0.3">
      <c r="B108" s="43">
        <v>42864</v>
      </c>
      <c r="C108" s="3" t="s">
        <v>9</v>
      </c>
      <c r="D108" s="30" t="s">
        <v>2135</v>
      </c>
      <c r="E108" s="30">
        <v>105</v>
      </c>
      <c r="F108" s="30">
        <v>115</v>
      </c>
      <c r="G108" s="30">
        <v>10</v>
      </c>
      <c r="H108" s="30">
        <v>300</v>
      </c>
      <c r="I108" s="8">
        <v>3000</v>
      </c>
    </row>
    <row r="109" spans="2:11" x14ac:dyDescent="0.3">
      <c r="B109" s="43">
        <v>42865</v>
      </c>
      <c r="C109" s="3" t="s">
        <v>9</v>
      </c>
      <c r="D109" s="30" t="s">
        <v>2109</v>
      </c>
      <c r="E109" s="30">
        <v>125</v>
      </c>
      <c r="F109" s="30">
        <v>135</v>
      </c>
      <c r="G109" s="30">
        <v>10</v>
      </c>
      <c r="H109" s="30">
        <v>300</v>
      </c>
      <c r="I109" s="8">
        <v>3000</v>
      </c>
    </row>
    <row r="110" spans="2:11" x14ac:dyDescent="0.3">
      <c r="B110" s="43">
        <v>42866</v>
      </c>
      <c r="C110" s="3" t="s">
        <v>9</v>
      </c>
      <c r="D110" s="30" t="s">
        <v>2135</v>
      </c>
      <c r="E110" s="30">
        <v>170</v>
      </c>
      <c r="F110" s="30">
        <v>180</v>
      </c>
      <c r="G110" s="30">
        <v>10</v>
      </c>
      <c r="H110" s="30">
        <v>300</v>
      </c>
      <c r="I110" s="8">
        <v>3000</v>
      </c>
    </row>
    <row r="111" spans="2:11" x14ac:dyDescent="0.3">
      <c r="B111" s="43">
        <v>42867</v>
      </c>
      <c r="C111" s="3" t="s">
        <v>9</v>
      </c>
      <c r="D111" s="30" t="s">
        <v>2109</v>
      </c>
      <c r="E111" s="30">
        <v>112</v>
      </c>
      <c r="F111" s="30">
        <v>127</v>
      </c>
      <c r="G111" s="30">
        <v>15</v>
      </c>
      <c r="H111" s="30">
        <v>300</v>
      </c>
      <c r="I111" s="8">
        <v>4500</v>
      </c>
    </row>
    <row r="112" spans="2:11" x14ac:dyDescent="0.3">
      <c r="B112" s="43">
        <v>42870</v>
      </c>
      <c r="C112" s="3" t="s">
        <v>9</v>
      </c>
      <c r="D112" s="30" t="s">
        <v>2135</v>
      </c>
      <c r="E112" s="30">
        <v>160</v>
      </c>
      <c r="F112" s="30">
        <v>165</v>
      </c>
      <c r="G112" s="30">
        <v>5</v>
      </c>
      <c r="H112" s="30">
        <v>300</v>
      </c>
      <c r="I112" s="8">
        <v>1500</v>
      </c>
    </row>
    <row r="113" spans="2:9" x14ac:dyDescent="0.3">
      <c r="B113" s="43">
        <v>42871</v>
      </c>
      <c r="C113" s="3" t="s">
        <v>9</v>
      </c>
      <c r="D113" s="30" t="s">
        <v>2151</v>
      </c>
      <c r="E113" s="30">
        <v>140</v>
      </c>
      <c r="F113" s="30">
        <v>120</v>
      </c>
      <c r="G113" s="30">
        <v>-20</v>
      </c>
      <c r="H113" s="30">
        <v>300</v>
      </c>
      <c r="I113" s="8">
        <v>-6000</v>
      </c>
    </row>
    <row r="114" spans="2:9" x14ac:dyDescent="0.3">
      <c r="B114" s="43">
        <v>42872</v>
      </c>
      <c r="C114" s="3" t="s">
        <v>9</v>
      </c>
      <c r="D114" s="30" t="s">
        <v>2152</v>
      </c>
      <c r="E114" s="30">
        <v>125</v>
      </c>
      <c r="F114" s="30">
        <v>150</v>
      </c>
      <c r="G114" s="30">
        <v>25</v>
      </c>
      <c r="H114" s="30">
        <v>300</v>
      </c>
      <c r="I114" s="8">
        <v>7500</v>
      </c>
    </row>
    <row r="115" spans="2:9" x14ac:dyDescent="0.3">
      <c r="B115" s="43">
        <v>42873</v>
      </c>
      <c r="C115" s="3" t="s">
        <v>9</v>
      </c>
      <c r="D115" s="30" t="s">
        <v>2151</v>
      </c>
      <c r="E115" s="30">
        <v>130</v>
      </c>
      <c r="F115" s="30">
        <v>163</v>
      </c>
      <c r="G115" s="30">
        <v>33</v>
      </c>
      <c r="H115" s="30">
        <v>300</v>
      </c>
      <c r="I115" s="8">
        <v>9900</v>
      </c>
    </row>
    <row r="116" spans="2:9" x14ac:dyDescent="0.3">
      <c r="B116" s="43">
        <v>42874</v>
      </c>
      <c r="C116" s="3" t="s">
        <v>9</v>
      </c>
      <c r="D116" s="30" t="s">
        <v>2152</v>
      </c>
      <c r="E116" s="30">
        <v>110</v>
      </c>
      <c r="F116" s="30">
        <v>125</v>
      </c>
      <c r="G116" s="30">
        <v>15</v>
      </c>
      <c r="H116" s="30">
        <v>300</v>
      </c>
      <c r="I116" s="8">
        <v>4500</v>
      </c>
    </row>
    <row r="117" spans="2:9" x14ac:dyDescent="0.3">
      <c r="B117" s="43">
        <v>42877</v>
      </c>
      <c r="C117" s="3" t="s">
        <v>9</v>
      </c>
      <c r="D117" s="30" t="s">
        <v>2151</v>
      </c>
      <c r="E117" s="30">
        <v>135</v>
      </c>
      <c r="F117" s="30">
        <v>170</v>
      </c>
      <c r="G117" s="30">
        <v>35</v>
      </c>
      <c r="H117" s="30">
        <v>300</v>
      </c>
      <c r="I117" s="8">
        <v>10500</v>
      </c>
    </row>
    <row r="118" spans="2:9" x14ac:dyDescent="0.3">
      <c r="B118" s="43">
        <v>42878</v>
      </c>
      <c r="C118" s="3" t="s">
        <v>9</v>
      </c>
      <c r="D118" s="28" t="s">
        <v>2109</v>
      </c>
      <c r="E118" s="49" t="s">
        <v>420</v>
      </c>
      <c r="F118" s="49" t="s">
        <v>215</v>
      </c>
      <c r="G118" s="49" t="s">
        <v>917</v>
      </c>
      <c r="H118" s="30">
        <v>300</v>
      </c>
      <c r="I118" s="8">
        <v>-6000</v>
      </c>
    </row>
    <row r="119" spans="2:9" x14ac:dyDescent="0.3">
      <c r="B119" s="43">
        <v>42879</v>
      </c>
      <c r="C119" s="3" t="s">
        <v>9</v>
      </c>
      <c r="D119" s="28" t="s">
        <v>2109</v>
      </c>
      <c r="E119" s="49" t="s">
        <v>217</v>
      </c>
      <c r="F119" s="49" t="s">
        <v>2160</v>
      </c>
      <c r="G119" s="49" t="s">
        <v>917</v>
      </c>
      <c r="H119" s="30">
        <v>300</v>
      </c>
      <c r="I119" s="8">
        <v>-6000</v>
      </c>
    </row>
    <row r="120" spans="2:9" x14ac:dyDescent="0.3">
      <c r="B120" s="43">
        <v>42881</v>
      </c>
      <c r="C120" s="3" t="s">
        <v>9</v>
      </c>
      <c r="D120" s="28" t="s">
        <v>2161</v>
      </c>
      <c r="E120" s="49" t="s">
        <v>228</v>
      </c>
      <c r="F120" s="49" t="s">
        <v>226</v>
      </c>
      <c r="G120" s="49" t="s">
        <v>945</v>
      </c>
      <c r="H120" s="30">
        <v>300</v>
      </c>
      <c r="I120" s="8">
        <v>10500</v>
      </c>
    </row>
    <row r="121" spans="2:9" x14ac:dyDescent="0.3">
      <c r="B121" s="43">
        <v>42884</v>
      </c>
      <c r="C121" s="3" t="s">
        <v>9</v>
      </c>
      <c r="D121" s="28" t="s">
        <v>2151</v>
      </c>
      <c r="E121" s="49" t="s">
        <v>214</v>
      </c>
      <c r="F121" s="49" t="s">
        <v>420</v>
      </c>
      <c r="G121" s="49" t="s">
        <v>917</v>
      </c>
      <c r="H121" s="30">
        <v>300</v>
      </c>
      <c r="I121" s="8">
        <v>-6000</v>
      </c>
    </row>
    <row r="122" spans="2:9" x14ac:dyDescent="0.3">
      <c r="B122" s="43">
        <v>42885</v>
      </c>
      <c r="C122" s="3" t="s">
        <v>9</v>
      </c>
      <c r="D122" s="28" t="s">
        <v>2151</v>
      </c>
      <c r="E122" s="49" t="s">
        <v>523</v>
      </c>
      <c r="F122" s="49" t="s">
        <v>288</v>
      </c>
      <c r="G122" s="49" t="s">
        <v>914</v>
      </c>
      <c r="H122" s="30">
        <v>300</v>
      </c>
      <c r="I122" s="8">
        <v>-3000</v>
      </c>
    </row>
    <row r="123" spans="2:9" x14ac:dyDescent="0.3">
      <c r="B123" s="43">
        <v>42886</v>
      </c>
      <c r="C123" s="3" t="s">
        <v>9</v>
      </c>
      <c r="D123" s="28" t="s">
        <v>2151</v>
      </c>
      <c r="E123" s="49" t="s">
        <v>2166</v>
      </c>
      <c r="F123" s="49" t="s">
        <v>278</v>
      </c>
      <c r="G123" s="49" t="s">
        <v>1037</v>
      </c>
      <c r="H123" s="30">
        <v>300</v>
      </c>
      <c r="I123" s="8">
        <v>-1800</v>
      </c>
    </row>
    <row r="124" spans="2:9" ht="21" x14ac:dyDescent="0.3">
      <c r="C124" s="3"/>
      <c r="D124" s="28"/>
      <c r="E124" s="49"/>
      <c r="F124" s="49"/>
      <c r="G124" s="49"/>
      <c r="H124" s="30"/>
      <c r="I124" s="128">
        <v>44700</v>
      </c>
    </row>
    <row r="125" spans="2:9" x14ac:dyDescent="0.3">
      <c r="B125" s="1"/>
      <c r="C125" s="28"/>
      <c r="D125" s="28"/>
      <c r="E125" s="81"/>
      <c r="F125" s="81"/>
      <c r="G125" s="81"/>
      <c r="H125" s="81"/>
      <c r="I125" s="81"/>
    </row>
    <row r="126" spans="2:9" ht="15.6" x14ac:dyDescent="0.3">
      <c r="B126" s="48" t="s">
        <v>926</v>
      </c>
      <c r="C126" s="48"/>
      <c r="D126" s="48"/>
      <c r="E126" s="48"/>
      <c r="F126" s="48"/>
      <c r="G126" s="48"/>
      <c r="H126" s="48"/>
      <c r="I126" s="48"/>
    </row>
    <row r="127" spans="2:9" x14ac:dyDescent="0.3">
      <c r="B127" s="43">
        <v>42857</v>
      </c>
      <c r="C127" s="30" t="s">
        <v>9</v>
      </c>
      <c r="D127" s="30" t="s">
        <v>301</v>
      </c>
      <c r="E127" s="30">
        <v>22450</v>
      </c>
      <c r="F127" s="30">
        <v>22300</v>
      </c>
      <c r="G127" s="30">
        <v>-150</v>
      </c>
      <c r="H127" s="30">
        <v>160</v>
      </c>
      <c r="I127" s="30">
        <v>-24000</v>
      </c>
    </row>
    <row r="128" spans="2:9" x14ac:dyDescent="0.3">
      <c r="B128" s="43">
        <v>42858</v>
      </c>
      <c r="C128" s="30" t="s">
        <v>8</v>
      </c>
      <c r="D128" s="30" t="s">
        <v>301</v>
      </c>
      <c r="E128" s="30">
        <v>22360</v>
      </c>
      <c r="F128" s="30">
        <v>22305</v>
      </c>
      <c r="G128" s="30">
        <v>55</v>
      </c>
      <c r="H128" s="30">
        <v>160</v>
      </c>
      <c r="I128" s="30">
        <v>8800</v>
      </c>
    </row>
    <row r="129" spans="2:9" x14ac:dyDescent="0.3">
      <c r="B129" s="43">
        <v>42859</v>
      </c>
      <c r="C129" s="30" t="s">
        <v>9</v>
      </c>
      <c r="D129" s="30" t="s">
        <v>301</v>
      </c>
      <c r="E129" s="30">
        <v>22610</v>
      </c>
      <c r="F129" s="30">
        <v>22745</v>
      </c>
      <c r="G129" s="30">
        <v>135</v>
      </c>
      <c r="H129" s="30">
        <v>160</v>
      </c>
      <c r="I129" s="30">
        <v>21600</v>
      </c>
    </row>
    <row r="130" spans="2:9" x14ac:dyDescent="0.3">
      <c r="B130" s="43">
        <v>42860</v>
      </c>
      <c r="C130" s="30" t="s">
        <v>9</v>
      </c>
      <c r="D130" s="30" t="s">
        <v>301</v>
      </c>
      <c r="E130" s="30">
        <v>22730</v>
      </c>
      <c r="F130" s="30">
        <v>22775</v>
      </c>
      <c r="G130" s="30">
        <v>45</v>
      </c>
      <c r="H130" s="30">
        <v>160</v>
      </c>
      <c r="I130" s="30">
        <v>7200</v>
      </c>
    </row>
    <row r="131" spans="2:9" x14ac:dyDescent="0.3">
      <c r="B131" s="43">
        <v>42863</v>
      </c>
      <c r="C131" s="30" t="s">
        <v>8</v>
      </c>
      <c r="D131" s="30" t="s">
        <v>301</v>
      </c>
      <c r="E131" s="30">
        <v>22820</v>
      </c>
      <c r="F131" s="30">
        <v>22770</v>
      </c>
      <c r="G131" s="30">
        <v>50</v>
      </c>
      <c r="H131" s="30">
        <v>160</v>
      </c>
      <c r="I131" s="30">
        <v>8000</v>
      </c>
    </row>
    <row r="132" spans="2:9" x14ac:dyDescent="0.3">
      <c r="B132" s="43">
        <v>42864</v>
      </c>
      <c r="C132" s="30" t="s">
        <v>9</v>
      </c>
      <c r="D132" s="30" t="s">
        <v>301</v>
      </c>
      <c r="E132" s="30">
        <v>22730</v>
      </c>
      <c r="F132" s="30">
        <v>22780</v>
      </c>
      <c r="G132" s="30">
        <v>50</v>
      </c>
      <c r="H132" s="30">
        <v>160</v>
      </c>
      <c r="I132" s="30">
        <v>8000</v>
      </c>
    </row>
    <row r="133" spans="2:9" x14ac:dyDescent="0.3">
      <c r="B133" s="43">
        <v>42865</v>
      </c>
      <c r="C133" s="30" t="s">
        <v>8</v>
      </c>
      <c r="D133" s="30" t="s">
        <v>301</v>
      </c>
      <c r="E133" s="30">
        <v>22860</v>
      </c>
      <c r="F133" s="30">
        <v>22840</v>
      </c>
      <c r="G133" s="30">
        <v>20</v>
      </c>
      <c r="H133" s="30">
        <v>160</v>
      </c>
      <c r="I133" s="30">
        <v>3200</v>
      </c>
    </row>
    <row r="134" spans="2:9" ht="15.75" customHeight="1" x14ac:dyDescent="0.3">
      <c r="B134" s="43">
        <v>42866</v>
      </c>
      <c r="C134" s="30" t="s">
        <v>9</v>
      </c>
      <c r="D134" s="30" t="s">
        <v>301</v>
      </c>
      <c r="E134" s="30">
        <v>22910</v>
      </c>
      <c r="F134" s="30">
        <v>22960</v>
      </c>
      <c r="G134" s="30">
        <v>50</v>
      </c>
      <c r="H134" s="30">
        <v>160</v>
      </c>
      <c r="I134" s="30">
        <v>8000</v>
      </c>
    </row>
    <row r="135" spans="2:9" x14ac:dyDescent="0.3">
      <c r="B135" s="43">
        <v>42867</v>
      </c>
      <c r="C135" s="30" t="s">
        <v>8</v>
      </c>
      <c r="D135" s="30" t="s">
        <v>301</v>
      </c>
      <c r="E135" s="30">
        <v>22780</v>
      </c>
      <c r="F135" s="30">
        <v>22600</v>
      </c>
      <c r="G135" s="30">
        <v>180</v>
      </c>
      <c r="H135" s="30">
        <v>160</v>
      </c>
      <c r="I135" s="30">
        <v>28800</v>
      </c>
    </row>
    <row r="136" spans="2:9" x14ac:dyDescent="0.3">
      <c r="B136" s="43">
        <v>42870</v>
      </c>
      <c r="C136" s="30" t="s">
        <v>9</v>
      </c>
      <c r="D136" s="30" t="s">
        <v>301</v>
      </c>
      <c r="E136" s="30">
        <v>22820</v>
      </c>
      <c r="F136" s="30">
        <v>22830</v>
      </c>
      <c r="G136" s="30">
        <v>10</v>
      </c>
      <c r="H136" s="30">
        <v>160</v>
      </c>
      <c r="I136" s="30">
        <v>1600</v>
      </c>
    </row>
    <row r="137" spans="2:9" x14ac:dyDescent="0.3">
      <c r="B137" s="43">
        <v>42871</v>
      </c>
      <c r="C137" s="30" t="s">
        <v>8</v>
      </c>
      <c r="D137" s="30" t="s">
        <v>301</v>
      </c>
      <c r="E137" s="30">
        <v>22800</v>
      </c>
      <c r="F137" s="30">
        <v>22950</v>
      </c>
      <c r="G137" s="30">
        <v>-150</v>
      </c>
      <c r="H137" s="30">
        <v>160</v>
      </c>
      <c r="I137" s="30">
        <v>-24000</v>
      </c>
    </row>
    <row r="138" spans="2:9" x14ac:dyDescent="0.3">
      <c r="B138" s="43">
        <v>42872</v>
      </c>
      <c r="C138" s="30" t="s">
        <v>9</v>
      </c>
      <c r="D138" s="30" t="s">
        <v>301</v>
      </c>
      <c r="E138" s="30">
        <v>22900</v>
      </c>
      <c r="F138" s="30">
        <v>22955</v>
      </c>
      <c r="G138" s="30">
        <v>55</v>
      </c>
      <c r="H138" s="30">
        <v>160</v>
      </c>
      <c r="I138" s="30">
        <v>8800</v>
      </c>
    </row>
    <row r="139" spans="2:9" x14ac:dyDescent="0.3">
      <c r="B139" s="43">
        <v>42873</v>
      </c>
      <c r="C139" s="30" t="s">
        <v>8</v>
      </c>
      <c r="D139" s="30" t="s">
        <v>301</v>
      </c>
      <c r="E139" s="30">
        <v>22780</v>
      </c>
      <c r="F139" s="30">
        <v>22680</v>
      </c>
      <c r="G139" s="30">
        <v>100</v>
      </c>
      <c r="H139" s="30">
        <v>160</v>
      </c>
      <c r="I139" s="30">
        <v>16000</v>
      </c>
    </row>
    <row r="140" spans="2:9" x14ac:dyDescent="0.3">
      <c r="B140" s="43">
        <v>42874</v>
      </c>
      <c r="C140" s="30" t="s">
        <v>9</v>
      </c>
      <c r="D140" s="30" t="s">
        <v>301</v>
      </c>
      <c r="E140" s="30">
        <v>22850</v>
      </c>
      <c r="F140" s="30">
        <v>22700</v>
      </c>
      <c r="G140" s="30">
        <v>-150</v>
      </c>
      <c r="H140" s="30">
        <v>160</v>
      </c>
      <c r="I140" s="30">
        <v>-24000</v>
      </c>
    </row>
    <row r="141" spans="2:9" x14ac:dyDescent="0.3">
      <c r="B141" s="43">
        <v>42877</v>
      </c>
      <c r="C141" s="30" t="s">
        <v>8</v>
      </c>
      <c r="D141" s="30" t="s">
        <v>301</v>
      </c>
      <c r="E141" s="30">
        <v>22800</v>
      </c>
      <c r="F141" s="30">
        <v>22665</v>
      </c>
      <c r="G141" s="30">
        <v>135</v>
      </c>
      <c r="H141" s="30">
        <v>160</v>
      </c>
      <c r="I141" s="30">
        <v>21600</v>
      </c>
    </row>
    <row r="142" spans="2:9" x14ac:dyDescent="0.3">
      <c r="B142" s="43">
        <v>42878</v>
      </c>
      <c r="C142" s="30" t="s">
        <v>8</v>
      </c>
      <c r="D142" s="30" t="s">
        <v>301</v>
      </c>
      <c r="E142" s="30">
        <v>22550</v>
      </c>
      <c r="F142" s="30">
        <v>22700</v>
      </c>
      <c r="G142" s="30">
        <v>-150</v>
      </c>
      <c r="H142" s="30">
        <v>160</v>
      </c>
      <c r="I142" s="30">
        <v>-24000</v>
      </c>
    </row>
    <row r="143" spans="2:9" x14ac:dyDescent="0.3">
      <c r="B143" s="43">
        <v>42879</v>
      </c>
      <c r="C143" s="30" t="s">
        <v>8</v>
      </c>
      <c r="D143" s="30" t="s">
        <v>301</v>
      </c>
      <c r="E143" s="30">
        <v>22600</v>
      </c>
      <c r="F143" s="30">
        <v>22500</v>
      </c>
      <c r="G143" s="30">
        <v>100</v>
      </c>
      <c r="H143" s="30">
        <v>160</v>
      </c>
      <c r="I143" s="30">
        <v>16000</v>
      </c>
    </row>
    <row r="144" spans="2:9" x14ac:dyDescent="0.3">
      <c r="B144" s="43">
        <v>42880</v>
      </c>
      <c r="C144" s="30" t="s">
        <v>9</v>
      </c>
      <c r="D144" s="30" t="s">
        <v>301</v>
      </c>
      <c r="E144" s="30">
        <v>22700</v>
      </c>
      <c r="F144" s="30">
        <v>23000</v>
      </c>
      <c r="G144" s="30">
        <v>300</v>
      </c>
      <c r="H144" s="30">
        <v>160</v>
      </c>
      <c r="I144" s="94">
        <v>48000</v>
      </c>
    </row>
    <row r="145" spans="1:15" x14ac:dyDescent="0.3">
      <c r="B145" s="43">
        <v>42881</v>
      </c>
      <c r="C145" s="30" t="s">
        <v>9</v>
      </c>
      <c r="D145" s="30" t="s">
        <v>301</v>
      </c>
      <c r="E145" s="30">
        <v>23110</v>
      </c>
      <c r="F145" s="30">
        <v>23280</v>
      </c>
      <c r="G145" s="30">
        <v>170</v>
      </c>
      <c r="H145" s="30">
        <v>160</v>
      </c>
      <c r="I145" s="94">
        <v>27200</v>
      </c>
      <c r="K145" s="30"/>
      <c r="L145" s="30"/>
      <c r="M145" s="30"/>
      <c r="N145" s="30"/>
      <c r="O145" s="30"/>
    </row>
    <row r="146" spans="1:15" x14ac:dyDescent="0.3">
      <c r="B146" s="43">
        <v>42884</v>
      </c>
      <c r="C146" s="30" t="s">
        <v>8</v>
      </c>
      <c r="D146" s="30" t="s">
        <v>301</v>
      </c>
      <c r="E146" s="30">
        <v>23220</v>
      </c>
      <c r="F146" s="30">
        <v>23120</v>
      </c>
      <c r="G146" s="30">
        <v>100</v>
      </c>
      <c r="H146" s="30">
        <v>160</v>
      </c>
      <c r="I146" s="94">
        <v>16000</v>
      </c>
      <c r="K146" s="130"/>
      <c r="L146" s="130"/>
      <c r="M146" s="130"/>
      <c r="N146" s="130"/>
      <c r="O146" s="130"/>
    </row>
    <row r="147" spans="1:15" x14ac:dyDescent="0.3">
      <c r="B147" s="43">
        <v>42885</v>
      </c>
      <c r="C147" s="30" t="s">
        <v>8</v>
      </c>
      <c r="D147" s="30" t="s">
        <v>301</v>
      </c>
      <c r="E147" s="30">
        <v>23240</v>
      </c>
      <c r="F147" s="30">
        <v>23140</v>
      </c>
      <c r="G147" s="30">
        <v>100</v>
      </c>
      <c r="H147" s="30">
        <v>160</v>
      </c>
      <c r="I147" s="94">
        <v>16000</v>
      </c>
    </row>
    <row r="148" spans="1:15" ht="18" x14ac:dyDescent="0.35">
      <c r="B148" s="43">
        <v>42886</v>
      </c>
      <c r="C148" s="30" t="s">
        <v>8</v>
      </c>
      <c r="D148" s="30" t="s">
        <v>301</v>
      </c>
      <c r="E148" s="88">
        <v>23270</v>
      </c>
      <c r="F148" s="88">
        <v>23220</v>
      </c>
      <c r="G148" s="88">
        <v>50</v>
      </c>
      <c r="H148" s="88">
        <v>160</v>
      </c>
      <c r="I148" s="136">
        <v>8000</v>
      </c>
      <c r="K148" s="100"/>
      <c r="L148" s="100"/>
      <c r="M148" s="100"/>
      <c r="N148" s="100"/>
      <c r="O148" s="100"/>
    </row>
    <row r="149" spans="1:15" ht="23.4" x14ac:dyDescent="0.45">
      <c r="B149" s="43"/>
      <c r="C149" s="30"/>
      <c r="D149" s="30"/>
      <c r="E149" s="30"/>
      <c r="F149" s="30"/>
      <c r="G149" s="30"/>
      <c r="H149" s="30"/>
      <c r="I149" s="125">
        <v>176800</v>
      </c>
      <c r="L149" s="30"/>
    </row>
    <row r="150" spans="1:15" s="30" customFormat="1" x14ac:dyDescent="0.3">
      <c r="A150" s="9"/>
      <c r="B150" s="43"/>
      <c r="J150" s="9"/>
      <c r="K150" s="10" t="s">
        <v>2008</v>
      </c>
      <c r="M150" s="10"/>
      <c r="N150" s="10"/>
      <c r="O150" s="10"/>
    </row>
    <row r="151" spans="1:15" s="130" customFormat="1" ht="18" x14ac:dyDescent="0.35">
      <c r="B151" s="299" t="s">
        <v>1152</v>
      </c>
      <c r="C151" s="300"/>
      <c r="D151" s="300"/>
      <c r="E151" s="300"/>
      <c r="F151" s="300"/>
      <c r="G151" s="300"/>
      <c r="H151" s="300"/>
      <c r="I151" s="301"/>
      <c r="K151" s="10"/>
      <c r="L151" s="30"/>
      <c r="M151" s="10"/>
      <c r="N151" s="10"/>
      <c r="O151" s="10"/>
    </row>
    <row r="152" spans="1:15" x14ac:dyDescent="0.3">
      <c r="B152" s="43">
        <v>42857</v>
      </c>
      <c r="C152" s="30" t="s">
        <v>9</v>
      </c>
      <c r="D152" s="30" t="s">
        <v>2136</v>
      </c>
      <c r="E152" s="30">
        <v>330</v>
      </c>
      <c r="F152" s="30">
        <v>280</v>
      </c>
      <c r="G152" s="30">
        <v>-50</v>
      </c>
      <c r="H152" s="30">
        <v>160</v>
      </c>
      <c r="I152" s="30">
        <v>-8000</v>
      </c>
      <c r="L152" s="30"/>
    </row>
    <row r="153" spans="1:15" ht="15.75" customHeight="1" x14ac:dyDescent="0.3">
      <c r="B153" s="43">
        <v>42858</v>
      </c>
      <c r="C153" s="30" t="s">
        <v>9</v>
      </c>
      <c r="D153" s="30" t="s">
        <v>2111</v>
      </c>
      <c r="E153" s="30">
        <v>290</v>
      </c>
      <c r="F153" s="30">
        <v>310</v>
      </c>
      <c r="G153" s="30">
        <v>20</v>
      </c>
      <c r="H153" s="30">
        <v>160</v>
      </c>
      <c r="I153" s="30">
        <v>3200</v>
      </c>
      <c r="L153" s="30"/>
    </row>
    <row r="154" spans="1:15" x14ac:dyDescent="0.3">
      <c r="B154" s="43">
        <v>42859</v>
      </c>
      <c r="C154" s="30" t="s">
        <v>9</v>
      </c>
      <c r="D154" s="30" t="s">
        <v>2137</v>
      </c>
      <c r="E154" s="30">
        <v>330</v>
      </c>
      <c r="F154" s="30">
        <v>370</v>
      </c>
      <c r="G154" s="30">
        <v>40</v>
      </c>
      <c r="H154" s="30">
        <v>160</v>
      </c>
      <c r="I154" s="30">
        <v>6400</v>
      </c>
      <c r="L154" s="30"/>
    </row>
    <row r="155" spans="1:15" x14ac:dyDescent="0.3">
      <c r="B155" s="43">
        <v>42860</v>
      </c>
      <c r="C155" s="30" t="s">
        <v>9</v>
      </c>
      <c r="D155" s="30" t="s">
        <v>2138</v>
      </c>
      <c r="E155" s="30">
        <v>310</v>
      </c>
      <c r="F155" s="30">
        <v>330</v>
      </c>
      <c r="G155" s="30">
        <v>20</v>
      </c>
      <c r="H155" s="30">
        <v>160</v>
      </c>
      <c r="I155" s="30">
        <v>3200</v>
      </c>
    </row>
    <row r="156" spans="1:15" x14ac:dyDescent="0.3">
      <c r="B156" s="43">
        <v>42863</v>
      </c>
      <c r="C156" s="30" t="s">
        <v>9</v>
      </c>
      <c r="D156" s="30" t="s">
        <v>2139</v>
      </c>
      <c r="E156" s="30">
        <v>240</v>
      </c>
      <c r="F156" s="30">
        <v>250</v>
      </c>
      <c r="G156" s="30">
        <v>10</v>
      </c>
      <c r="H156" s="30">
        <v>160</v>
      </c>
      <c r="I156" s="30">
        <v>1600</v>
      </c>
    </row>
    <row r="157" spans="1:15" x14ac:dyDescent="0.3">
      <c r="B157" s="43">
        <v>42864</v>
      </c>
      <c r="C157" s="30" t="s">
        <v>9</v>
      </c>
      <c r="D157" s="30" t="s">
        <v>2138</v>
      </c>
      <c r="E157" s="30">
        <v>290</v>
      </c>
      <c r="F157" s="30">
        <v>320</v>
      </c>
      <c r="G157" s="30">
        <v>30</v>
      </c>
      <c r="H157" s="30">
        <v>160</v>
      </c>
      <c r="I157" s="30">
        <v>4800</v>
      </c>
    </row>
    <row r="158" spans="1:15" x14ac:dyDescent="0.3">
      <c r="B158" s="43">
        <v>42865</v>
      </c>
      <c r="C158" s="30" t="s">
        <v>9</v>
      </c>
      <c r="D158" s="30" t="s">
        <v>2140</v>
      </c>
      <c r="E158" s="30">
        <v>230</v>
      </c>
      <c r="F158" s="30">
        <v>230</v>
      </c>
      <c r="G158" s="30">
        <v>0</v>
      </c>
      <c r="H158" s="30">
        <v>160</v>
      </c>
      <c r="I158" s="30">
        <v>0</v>
      </c>
    </row>
    <row r="159" spans="1:15" x14ac:dyDescent="0.3">
      <c r="B159" s="43">
        <v>42866</v>
      </c>
      <c r="C159" s="30" t="s">
        <v>9</v>
      </c>
      <c r="D159" s="30" t="s">
        <v>2141</v>
      </c>
      <c r="E159" s="30">
        <v>230</v>
      </c>
      <c r="F159" s="30">
        <v>260</v>
      </c>
      <c r="G159" s="30">
        <v>30</v>
      </c>
      <c r="H159" s="30">
        <v>160</v>
      </c>
      <c r="I159" s="30">
        <v>4800</v>
      </c>
    </row>
    <row r="160" spans="1:15" x14ac:dyDescent="0.3">
      <c r="B160" s="43">
        <v>42867</v>
      </c>
      <c r="C160" s="30" t="s">
        <v>9</v>
      </c>
      <c r="D160" s="30" t="s">
        <v>2140</v>
      </c>
      <c r="E160" s="30">
        <v>230</v>
      </c>
      <c r="F160" s="30">
        <v>330</v>
      </c>
      <c r="G160" s="30">
        <v>100</v>
      </c>
      <c r="H160" s="30">
        <v>160</v>
      </c>
      <c r="I160" s="30">
        <v>16000</v>
      </c>
    </row>
    <row r="161" spans="2:15" x14ac:dyDescent="0.3">
      <c r="B161" s="43">
        <v>42870</v>
      </c>
      <c r="C161" s="30" t="s">
        <v>9</v>
      </c>
      <c r="D161" s="30" t="s">
        <v>2153</v>
      </c>
      <c r="E161" s="30">
        <v>200</v>
      </c>
      <c r="F161" s="30">
        <v>200</v>
      </c>
      <c r="G161" s="30">
        <v>0</v>
      </c>
      <c r="H161" s="30">
        <v>160</v>
      </c>
      <c r="I161" s="30">
        <v>0</v>
      </c>
    </row>
    <row r="162" spans="2:15" x14ac:dyDescent="0.3">
      <c r="B162" s="43">
        <v>42871</v>
      </c>
      <c r="C162" s="30" t="s">
        <v>9</v>
      </c>
      <c r="D162" s="30" t="s">
        <v>2140</v>
      </c>
      <c r="E162" s="30">
        <v>180</v>
      </c>
      <c r="F162" s="30">
        <v>120</v>
      </c>
      <c r="G162" s="30">
        <v>-60</v>
      </c>
      <c r="H162" s="30">
        <v>160</v>
      </c>
      <c r="I162" s="30">
        <v>-9600</v>
      </c>
    </row>
    <row r="163" spans="2:15" x14ac:dyDescent="0.3">
      <c r="B163" s="43">
        <v>42872</v>
      </c>
      <c r="C163" s="30" t="s">
        <v>9</v>
      </c>
      <c r="D163" s="30" t="s">
        <v>2153</v>
      </c>
      <c r="E163" s="30">
        <v>220</v>
      </c>
      <c r="F163" s="30">
        <v>250</v>
      </c>
      <c r="G163" s="30">
        <v>30</v>
      </c>
      <c r="H163" s="30">
        <v>160</v>
      </c>
      <c r="I163" s="30">
        <v>4800</v>
      </c>
    </row>
    <row r="164" spans="2:15" x14ac:dyDescent="0.3">
      <c r="B164" s="43">
        <v>42873</v>
      </c>
      <c r="C164" s="30" t="s">
        <v>9</v>
      </c>
      <c r="D164" s="30" t="s">
        <v>2140</v>
      </c>
      <c r="E164" s="30">
        <v>180</v>
      </c>
      <c r="F164" s="30">
        <v>215</v>
      </c>
      <c r="G164" s="30">
        <v>35</v>
      </c>
      <c r="H164" s="30">
        <v>160</v>
      </c>
      <c r="I164" s="30">
        <v>5600</v>
      </c>
      <c r="K164" s="10" t="s">
        <v>2008</v>
      </c>
    </row>
    <row r="165" spans="2:15" x14ac:dyDescent="0.3">
      <c r="B165" s="43">
        <v>42874</v>
      </c>
      <c r="C165" s="30" t="s">
        <v>9</v>
      </c>
      <c r="D165" s="30" t="s">
        <v>2153</v>
      </c>
      <c r="E165" s="30">
        <v>160</v>
      </c>
      <c r="F165" s="30">
        <v>100</v>
      </c>
      <c r="G165" s="30">
        <v>-60</v>
      </c>
      <c r="H165" s="30">
        <v>160</v>
      </c>
      <c r="I165" s="30">
        <v>-9600</v>
      </c>
    </row>
    <row r="166" spans="2:15" x14ac:dyDescent="0.3">
      <c r="B166" s="43">
        <v>42877</v>
      </c>
      <c r="C166" s="30" t="s">
        <v>9</v>
      </c>
      <c r="D166" s="30" t="s">
        <v>2162</v>
      </c>
      <c r="E166" s="30">
        <v>170</v>
      </c>
      <c r="F166" s="30">
        <v>255</v>
      </c>
      <c r="G166" s="30">
        <v>85</v>
      </c>
      <c r="H166" s="30">
        <v>160</v>
      </c>
      <c r="I166" s="30">
        <v>13600</v>
      </c>
    </row>
    <row r="167" spans="2:15" x14ac:dyDescent="0.3">
      <c r="B167" s="43">
        <v>42878</v>
      </c>
      <c r="C167" s="30" t="s">
        <v>9</v>
      </c>
      <c r="D167" s="30" t="s">
        <v>2139</v>
      </c>
      <c r="E167" s="30">
        <v>200</v>
      </c>
      <c r="F167" s="30">
        <v>140</v>
      </c>
      <c r="G167" s="30">
        <v>-60</v>
      </c>
      <c r="H167" s="30">
        <v>160</v>
      </c>
      <c r="I167" s="30">
        <v>-9600</v>
      </c>
    </row>
    <row r="168" spans="2:15" x14ac:dyDescent="0.3">
      <c r="B168" s="43">
        <v>42879</v>
      </c>
      <c r="C168" s="30" t="s">
        <v>9</v>
      </c>
      <c r="D168" s="30" t="s">
        <v>2140</v>
      </c>
      <c r="E168" s="30">
        <v>220</v>
      </c>
      <c r="F168" s="30">
        <v>310</v>
      </c>
      <c r="G168" s="30">
        <v>90</v>
      </c>
      <c r="H168" s="30">
        <v>160</v>
      </c>
      <c r="I168" s="30">
        <v>14400</v>
      </c>
    </row>
    <row r="169" spans="2:15" x14ac:dyDescent="0.3">
      <c r="B169" s="43">
        <v>42881</v>
      </c>
      <c r="C169" s="30" t="s">
        <v>9</v>
      </c>
      <c r="D169" s="30" t="s">
        <v>2163</v>
      </c>
      <c r="E169" s="30">
        <v>360</v>
      </c>
      <c r="F169" s="30">
        <v>455</v>
      </c>
      <c r="G169" s="30">
        <v>95</v>
      </c>
      <c r="H169" s="30">
        <v>160</v>
      </c>
      <c r="I169" s="30">
        <v>15200</v>
      </c>
    </row>
    <row r="170" spans="2:15" x14ac:dyDescent="0.3">
      <c r="B170" s="43">
        <v>42884</v>
      </c>
      <c r="C170" s="30" t="s">
        <v>9</v>
      </c>
      <c r="D170" s="30" t="s">
        <v>2167</v>
      </c>
      <c r="E170" s="30">
        <v>270</v>
      </c>
      <c r="F170" s="30">
        <v>300</v>
      </c>
      <c r="G170" s="30">
        <v>30</v>
      </c>
      <c r="H170" s="30">
        <v>160</v>
      </c>
      <c r="I170" s="30">
        <v>4800</v>
      </c>
      <c r="K170" s="130"/>
      <c r="L170" s="130"/>
      <c r="M170" s="130"/>
      <c r="N170" s="130"/>
      <c r="O170" s="130"/>
    </row>
    <row r="171" spans="2:15" x14ac:dyDescent="0.3">
      <c r="B171" s="43">
        <v>42885</v>
      </c>
      <c r="C171" s="30" t="s">
        <v>9</v>
      </c>
      <c r="D171" s="30" t="s">
        <v>2167</v>
      </c>
      <c r="E171" s="30">
        <v>270</v>
      </c>
      <c r="F171" s="30">
        <v>300</v>
      </c>
      <c r="G171" s="30">
        <v>30</v>
      </c>
      <c r="H171" s="30">
        <v>160</v>
      </c>
      <c r="I171" s="30">
        <v>4800</v>
      </c>
    </row>
    <row r="172" spans="2:15" x14ac:dyDescent="0.3">
      <c r="B172" s="43">
        <v>42886</v>
      </c>
      <c r="C172" s="30" t="s">
        <v>9</v>
      </c>
      <c r="D172" s="30" t="s">
        <v>2168</v>
      </c>
      <c r="E172" s="30">
        <v>320</v>
      </c>
      <c r="F172" s="30">
        <v>350</v>
      </c>
      <c r="G172" s="30">
        <v>30</v>
      </c>
      <c r="H172" s="30">
        <v>160</v>
      </c>
      <c r="I172" s="30">
        <v>4800</v>
      </c>
    </row>
    <row r="173" spans="2:15" ht="18" x14ac:dyDescent="0.35">
      <c r="C173" s="30"/>
      <c r="D173" s="30"/>
      <c r="E173" s="30"/>
      <c r="F173" s="30"/>
      <c r="G173" s="30"/>
      <c r="H173" s="30"/>
      <c r="I173" s="72">
        <v>71200</v>
      </c>
    </row>
    <row r="175" spans="2:15" s="131" customFormat="1" ht="18" x14ac:dyDescent="0.35">
      <c r="B175" s="299" t="s">
        <v>1076</v>
      </c>
      <c r="C175" s="300"/>
      <c r="D175" s="300"/>
      <c r="E175" s="300"/>
      <c r="F175" s="300"/>
      <c r="G175" s="300"/>
      <c r="H175" s="300"/>
      <c r="I175" s="301"/>
      <c r="K175" s="10" t="s">
        <v>2008</v>
      </c>
      <c r="L175" s="10"/>
      <c r="M175" s="10"/>
      <c r="N175" s="10"/>
      <c r="O175" s="10"/>
    </row>
    <row r="176" spans="2:15" x14ac:dyDescent="0.3">
      <c r="B176" s="43">
        <v>42857</v>
      </c>
      <c r="C176" s="30" t="s">
        <v>9</v>
      </c>
      <c r="D176" s="30" t="s">
        <v>2142</v>
      </c>
      <c r="E176" s="30">
        <v>11</v>
      </c>
      <c r="F176" s="30">
        <v>10</v>
      </c>
      <c r="G176" s="30">
        <v>-1</v>
      </c>
      <c r="H176" s="30">
        <v>3000</v>
      </c>
      <c r="I176" s="30">
        <v>-3000</v>
      </c>
    </row>
    <row r="177" spans="1:15" x14ac:dyDescent="0.3">
      <c r="B177" s="43">
        <v>42858</v>
      </c>
      <c r="C177" s="30" t="s">
        <v>9</v>
      </c>
      <c r="D177" s="30" t="s">
        <v>2116</v>
      </c>
      <c r="E177" s="30">
        <v>35</v>
      </c>
      <c r="F177" s="30">
        <v>27</v>
      </c>
      <c r="G177" s="30">
        <v>-8</v>
      </c>
      <c r="H177" s="30">
        <v>700</v>
      </c>
      <c r="I177" s="30">
        <v>-5600</v>
      </c>
    </row>
    <row r="178" spans="1:15" x14ac:dyDescent="0.3">
      <c r="B178" s="43">
        <v>42859</v>
      </c>
      <c r="C178" s="30" t="s">
        <v>9</v>
      </c>
      <c r="D178" s="30" t="s">
        <v>2143</v>
      </c>
      <c r="E178" s="30">
        <v>30</v>
      </c>
      <c r="F178" s="30">
        <v>35</v>
      </c>
      <c r="G178" s="30">
        <v>5</v>
      </c>
      <c r="H178" s="30">
        <v>500</v>
      </c>
      <c r="I178" s="30">
        <v>2500</v>
      </c>
    </row>
    <row r="179" spans="1:15" x14ac:dyDescent="0.3">
      <c r="B179" s="43">
        <v>42860</v>
      </c>
      <c r="C179" s="30" t="s">
        <v>9</v>
      </c>
      <c r="D179" s="30" t="s">
        <v>2144</v>
      </c>
      <c r="E179" s="30">
        <v>12</v>
      </c>
      <c r="F179" s="30">
        <v>18</v>
      </c>
      <c r="G179" s="30">
        <v>6</v>
      </c>
      <c r="H179" s="30">
        <v>3000</v>
      </c>
      <c r="I179" s="30">
        <v>18000</v>
      </c>
    </row>
    <row r="180" spans="1:15" x14ac:dyDescent="0.3">
      <c r="B180" s="43">
        <v>42863</v>
      </c>
      <c r="C180" s="30" t="s">
        <v>9</v>
      </c>
      <c r="D180" s="30" t="s">
        <v>2145</v>
      </c>
      <c r="E180" s="30">
        <v>8</v>
      </c>
      <c r="F180" s="30">
        <v>9.5</v>
      </c>
      <c r="G180" s="30">
        <v>1.5</v>
      </c>
      <c r="H180" s="30">
        <v>3000</v>
      </c>
      <c r="I180" s="30">
        <v>4500</v>
      </c>
    </row>
    <row r="181" spans="1:15" x14ac:dyDescent="0.3">
      <c r="B181" s="43">
        <v>42864</v>
      </c>
      <c r="C181" s="30" t="s">
        <v>9</v>
      </c>
      <c r="D181" s="30" t="s">
        <v>2169</v>
      </c>
      <c r="E181" s="30">
        <v>24</v>
      </c>
      <c r="F181" s="30">
        <v>28</v>
      </c>
      <c r="G181" s="30">
        <v>4</v>
      </c>
      <c r="H181" s="30">
        <v>700</v>
      </c>
      <c r="I181" s="30">
        <v>2800</v>
      </c>
    </row>
    <row r="182" spans="1:15" x14ac:dyDescent="0.3">
      <c r="B182" s="43">
        <v>42865</v>
      </c>
      <c r="C182" s="30" t="s">
        <v>9</v>
      </c>
      <c r="D182" s="30" t="s">
        <v>2116</v>
      </c>
      <c r="E182" s="30">
        <v>29</v>
      </c>
      <c r="F182" s="30">
        <v>42</v>
      </c>
      <c r="G182" s="30">
        <v>13</v>
      </c>
      <c r="H182" s="30">
        <v>700</v>
      </c>
      <c r="I182" s="30">
        <v>9100</v>
      </c>
    </row>
    <row r="183" spans="1:15" x14ac:dyDescent="0.3">
      <c r="B183" s="43">
        <v>42866</v>
      </c>
      <c r="C183" s="30" t="s">
        <v>9</v>
      </c>
      <c r="D183" s="30" t="s">
        <v>2146</v>
      </c>
      <c r="E183" s="30">
        <v>14</v>
      </c>
      <c r="F183" s="30">
        <v>10</v>
      </c>
      <c r="G183" s="30">
        <v>-4</v>
      </c>
      <c r="H183" s="30">
        <v>1200</v>
      </c>
      <c r="I183" s="30">
        <v>-4800</v>
      </c>
    </row>
    <row r="184" spans="1:15" x14ac:dyDescent="0.3">
      <c r="B184" s="43">
        <v>42867</v>
      </c>
      <c r="C184" s="30" t="s">
        <v>9</v>
      </c>
      <c r="D184" s="30" t="s">
        <v>2147</v>
      </c>
      <c r="E184" s="30">
        <v>25</v>
      </c>
      <c r="F184" s="30">
        <v>35</v>
      </c>
      <c r="G184" s="30">
        <v>10</v>
      </c>
      <c r="H184" s="30">
        <v>500</v>
      </c>
      <c r="I184" s="30">
        <v>5000</v>
      </c>
    </row>
    <row r="185" spans="1:15" x14ac:dyDescent="0.3">
      <c r="B185" s="43">
        <v>42870</v>
      </c>
      <c r="C185" s="30" t="s">
        <v>9</v>
      </c>
      <c r="D185" s="30" t="s">
        <v>2154</v>
      </c>
      <c r="E185" s="30">
        <v>6.5</v>
      </c>
      <c r="F185" s="30">
        <v>8</v>
      </c>
      <c r="G185" s="30">
        <v>1.5</v>
      </c>
      <c r="H185" s="30">
        <v>3084</v>
      </c>
      <c r="I185" s="30">
        <v>4626</v>
      </c>
      <c r="K185" s="30"/>
      <c r="L185" s="30"/>
      <c r="M185" s="30"/>
      <c r="N185" s="30"/>
      <c r="O185" s="30"/>
    </row>
    <row r="186" spans="1:15" x14ac:dyDescent="0.3">
      <c r="B186" s="43">
        <v>42871</v>
      </c>
      <c r="C186" s="30" t="s">
        <v>9</v>
      </c>
      <c r="D186" s="30" t="s">
        <v>2057</v>
      </c>
      <c r="E186" s="30">
        <v>11</v>
      </c>
      <c r="F186" s="30">
        <v>9</v>
      </c>
      <c r="G186" s="30">
        <v>-2</v>
      </c>
      <c r="H186" s="30">
        <v>700</v>
      </c>
      <c r="I186" s="30">
        <v>-1400</v>
      </c>
      <c r="K186" s="30"/>
      <c r="L186" s="30"/>
      <c r="M186" s="30"/>
      <c r="N186" s="30"/>
      <c r="O186" s="30"/>
    </row>
    <row r="187" spans="1:15" x14ac:dyDescent="0.3">
      <c r="B187" s="43">
        <v>42872</v>
      </c>
      <c r="C187" s="30" t="s">
        <v>9</v>
      </c>
      <c r="D187" s="30" t="s">
        <v>2155</v>
      </c>
      <c r="E187" s="30">
        <v>33</v>
      </c>
      <c r="F187" s="30">
        <v>34</v>
      </c>
      <c r="G187" s="30">
        <v>1</v>
      </c>
      <c r="H187" s="30">
        <v>200</v>
      </c>
      <c r="I187" s="30">
        <v>200</v>
      </c>
      <c r="K187" s="30"/>
      <c r="L187" s="30"/>
      <c r="M187" s="30"/>
      <c r="N187" s="30"/>
      <c r="O187" s="30"/>
    </row>
    <row r="188" spans="1:15" x14ac:dyDescent="0.3">
      <c r="B188" s="43">
        <v>42873</v>
      </c>
      <c r="C188" s="30" t="s">
        <v>9</v>
      </c>
      <c r="D188" s="30" t="s">
        <v>2156</v>
      </c>
      <c r="E188" s="30">
        <v>4.5</v>
      </c>
      <c r="F188" s="30">
        <v>7.5</v>
      </c>
      <c r="G188" s="30">
        <v>3</v>
      </c>
      <c r="H188" s="30">
        <v>3500</v>
      </c>
      <c r="I188" s="30">
        <v>10500</v>
      </c>
      <c r="K188" s="30"/>
      <c r="L188" s="30"/>
      <c r="M188" s="30"/>
      <c r="N188" s="30"/>
      <c r="O188" s="30"/>
    </row>
    <row r="189" spans="1:15" x14ac:dyDescent="0.3">
      <c r="B189" s="43">
        <v>42874</v>
      </c>
      <c r="C189" s="30" t="s">
        <v>9</v>
      </c>
      <c r="D189" s="30" t="s">
        <v>2157</v>
      </c>
      <c r="E189" s="30">
        <v>6.5</v>
      </c>
      <c r="F189" s="30">
        <v>4.5</v>
      </c>
      <c r="G189" s="30">
        <v>-2</v>
      </c>
      <c r="H189" s="30">
        <v>3000</v>
      </c>
      <c r="I189" s="30">
        <v>-6000</v>
      </c>
      <c r="K189" s="30"/>
      <c r="L189" s="30"/>
      <c r="M189" s="30"/>
      <c r="N189" s="30"/>
      <c r="O189" s="30"/>
    </row>
    <row r="190" spans="1:15" s="30" customFormat="1" x14ac:dyDescent="0.3">
      <c r="A190" s="9"/>
      <c r="B190" s="43">
        <v>42877</v>
      </c>
      <c r="C190" s="30" t="s">
        <v>9</v>
      </c>
      <c r="D190" s="30" t="s">
        <v>2156</v>
      </c>
      <c r="E190" s="30">
        <v>4.5</v>
      </c>
      <c r="F190" s="30">
        <v>7.5</v>
      </c>
      <c r="G190" s="30">
        <v>3</v>
      </c>
      <c r="H190" s="30">
        <v>3500</v>
      </c>
      <c r="I190" s="30">
        <v>10500</v>
      </c>
      <c r="J190" s="9"/>
    </row>
    <row r="191" spans="1:15" s="30" customFormat="1" x14ac:dyDescent="0.3">
      <c r="A191" s="9"/>
      <c r="B191" s="43">
        <v>42878</v>
      </c>
      <c r="C191" s="30" t="s">
        <v>9</v>
      </c>
      <c r="D191" s="30" t="s">
        <v>2164</v>
      </c>
      <c r="E191" s="30">
        <v>5.5</v>
      </c>
      <c r="F191" s="30">
        <v>8.5</v>
      </c>
      <c r="G191" s="30">
        <v>3</v>
      </c>
      <c r="H191" s="30">
        <v>3500</v>
      </c>
      <c r="I191" s="30">
        <v>10500</v>
      </c>
      <c r="J191" s="9"/>
    </row>
    <row r="192" spans="1:15" s="30" customFormat="1" x14ac:dyDescent="0.3">
      <c r="A192" s="9"/>
      <c r="B192" s="43">
        <v>42879</v>
      </c>
      <c r="C192" s="30" t="s">
        <v>9</v>
      </c>
      <c r="D192" s="30" t="s">
        <v>2164</v>
      </c>
      <c r="E192" s="30">
        <v>4.5</v>
      </c>
      <c r="F192" s="30">
        <v>8.5</v>
      </c>
      <c r="G192" s="30">
        <v>4</v>
      </c>
      <c r="H192" s="30">
        <v>3500</v>
      </c>
      <c r="I192" s="30">
        <v>14000</v>
      </c>
      <c r="J192" s="9"/>
      <c r="K192" s="10"/>
      <c r="L192" s="10"/>
      <c r="M192" s="10"/>
      <c r="N192" s="10"/>
      <c r="O192" s="10"/>
    </row>
    <row r="193" spans="1:15" s="30" customFormat="1" x14ac:dyDescent="0.3">
      <c r="A193" s="9"/>
      <c r="B193" s="43">
        <v>42881</v>
      </c>
      <c r="C193" s="30" t="s">
        <v>9</v>
      </c>
      <c r="D193" s="30" t="s">
        <v>2165</v>
      </c>
      <c r="E193" s="30">
        <v>10</v>
      </c>
      <c r="F193" s="30">
        <v>11</v>
      </c>
      <c r="G193" s="30">
        <v>1</v>
      </c>
      <c r="H193" s="30">
        <v>3000</v>
      </c>
      <c r="I193" s="30">
        <v>3000</v>
      </c>
      <c r="J193" s="9"/>
      <c r="K193" s="10"/>
      <c r="L193" s="10"/>
      <c r="M193" s="10"/>
      <c r="N193" s="10"/>
      <c r="O193" s="10"/>
    </row>
    <row r="194" spans="1:15" s="30" customFormat="1" x14ac:dyDescent="0.3">
      <c r="A194" s="9"/>
      <c r="B194" s="43">
        <v>42884</v>
      </c>
      <c r="C194" s="30" t="s">
        <v>9</v>
      </c>
      <c r="D194" s="30" t="s">
        <v>2170</v>
      </c>
      <c r="E194" s="30">
        <v>10</v>
      </c>
      <c r="F194" s="30">
        <v>8.1</v>
      </c>
      <c r="G194" s="30">
        <v>-1.9</v>
      </c>
      <c r="H194" s="30">
        <v>3500</v>
      </c>
      <c r="I194" s="30">
        <v>-6650</v>
      </c>
      <c r="J194" s="9"/>
      <c r="K194" s="10"/>
      <c r="L194" s="10"/>
      <c r="M194" s="10"/>
      <c r="N194" s="10"/>
      <c r="O194" s="10"/>
    </row>
    <row r="195" spans="1:15" s="30" customFormat="1" x14ac:dyDescent="0.3">
      <c r="A195" s="9"/>
      <c r="B195" s="43">
        <v>42885</v>
      </c>
      <c r="C195" s="30" t="s">
        <v>9</v>
      </c>
      <c r="D195" s="30" t="s">
        <v>2171</v>
      </c>
      <c r="E195" s="30">
        <v>100</v>
      </c>
      <c r="F195" s="30">
        <v>108</v>
      </c>
      <c r="G195" s="30">
        <v>8</v>
      </c>
      <c r="H195" s="30">
        <v>200</v>
      </c>
      <c r="I195" s="30">
        <v>1600</v>
      </c>
      <c r="J195" s="9"/>
      <c r="K195" s="10"/>
      <c r="L195" s="10"/>
      <c r="M195" s="10"/>
      <c r="N195" s="10"/>
      <c r="O195" s="10"/>
    </row>
    <row r="196" spans="1:15" s="30" customFormat="1" x14ac:dyDescent="0.3">
      <c r="A196" s="9"/>
      <c r="B196" s="43">
        <v>42886</v>
      </c>
      <c r="C196" s="30" t="s">
        <v>9</v>
      </c>
      <c r="D196" s="30" t="s">
        <v>2170</v>
      </c>
      <c r="E196" s="30">
        <v>9</v>
      </c>
      <c r="F196" s="30">
        <v>10</v>
      </c>
      <c r="G196" s="30">
        <v>1</v>
      </c>
      <c r="H196" s="30">
        <v>3500</v>
      </c>
      <c r="I196" s="30">
        <v>3500</v>
      </c>
      <c r="J196" s="9"/>
      <c r="K196" s="10"/>
      <c r="L196" s="10"/>
      <c r="M196" s="10"/>
      <c r="N196" s="10"/>
      <c r="O196" s="10"/>
    </row>
    <row r="197" spans="1:15" ht="23.4" x14ac:dyDescent="0.45">
      <c r="I197" s="125">
        <v>72876</v>
      </c>
    </row>
    <row r="198" spans="1:15" x14ac:dyDescent="0.3">
      <c r="B198" s="43"/>
    </row>
    <row r="199" spans="1:15" x14ac:dyDescent="0.3">
      <c r="B199" s="43"/>
    </row>
  </sheetData>
  <mergeCells count="5">
    <mergeCell ref="B175:I175"/>
    <mergeCell ref="B1:I1"/>
    <mergeCell ref="B2:I2"/>
    <mergeCell ref="B3:I3"/>
    <mergeCell ref="B151:I151"/>
  </mergeCells>
  <hyperlinks>
    <hyperlink ref="K2" location="'MASTER '!A1" display="Back" xr:uid="{00000000-0004-0000-31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W239"/>
  <sheetViews>
    <sheetView topLeftCell="A46" workbookViewId="0">
      <selection activeCell="I64" sqref="I64"/>
    </sheetView>
  </sheetViews>
  <sheetFormatPr defaultColWidth="9.109375" defaultRowHeight="14.4" x14ac:dyDescent="0.3"/>
  <cols>
    <col min="1" max="1" width="7" customWidth="1"/>
    <col min="2" max="2" width="4.88671875" customWidth="1"/>
    <col min="3" max="3" width="10.44140625" bestFit="1" customWidth="1"/>
    <col min="4" max="4" width="10" bestFit="1" customWidth="1"/>
    <col min="5" max="5" width="16.33203125" style="154" bestFit="1" customWidth="1"/>
    <col min="6" max="6" width="12.88671875" bestFit="1" customWidth="1"/>
    <col min="7" max="7" width="11" bestFit="1" customWidth="1"/>
    <col min="8" max="8" width="11.88671875" style="249" customWidth="1"/>
    <col min="9" max="9" width="11.88671875" customWidth="1"/>
    <col min="10" max="10" width="11.88671875" style="249" customWidth="1"/>
    <col min="11" max="11" width="7" customWidth="1"/>
    <col min="13" max="13" width="15.33203125" bestFit="1" customWidth="1"/>
    <col min="18" max="18" width="10.6640625" bestFit="1" customWidth="1"/>
    <col min="22" max="23" width="0" hidden="1" customWidth="1"/>
  </cols>
  <sheetData>
    <row r="1" spans="1:23" ht="30" customHeight="1" thickBot="1" x14ac:dyDescent="0.35">
      <c r="A1" s="141"/>
      <c r="B1" s="142"/>
      <c r="C1" s="142"/>
      <c r="D1" s="142"/>
      <c r="E1" s="143"/>
      <c r="F1" s="142"/>
      <c r="G1" s="142"/>
      <c r="H1" s="247"/>
      <c r="I1" s="142"/>
      <c r="J1" s="247"/>
      <c r="K1" s="144"/>
      <c r="M1" s="200" t="s">
        <v>2286</v>
      </c>
    </row>
    <row r="2" spans="1:23" ht="25.2" thickBot="1" x14ac:dyDescent="0.35">
      <c r="A2" s="145" t="s">
        <v>0</v>
      </c>
      <c r="B2" s="311" t="s">
        <v>2261</v>
      </c>
      <c r="C2" s="312"/>
      <c r="D2" s="312"/>
      <c r="E2" s="312"/>
      <c r="F2" s="312"/>
      <c r="G2" s="312"/>
      <c r="H2" s="312"/>
      <c r="I2" s="312"/>
      <c r="J2" s="313"/>
      <c r="K2" s="146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5"/>
      <c r="B3" s="302" t="s">
        <v>2246</v>
      </c>
      <c r="C3" s="303"/>
      <c r="D3" s="303"/>
      <c r="E3" s="303"/>
      <c r="F3" s="303"/>
      <c r="G3" s="303"/>
      <c r="H3" s="303"/>
      <c r="I3" s="303"/>
      <c r="J3" s="304"/>
      <c r="K3" s="146"/>
      <c r="M3" s="358"/>
      <c r="N3" s="360"/>
      <c r="O3" s="360"/>
      <c r="P3" s="360"/>
      <c r="Q3" s="360"/>
      <c r="R3" s="351"/>
    </row>
    <row r="4" spans="1:23" ht="16.2" thickBot="1" x14ac:dyDescent="0.35">
      <c r="A4" s="145"/>
      <c r="B4" s="305" t="s">
        <v>2247</v>
      </c>
      <c r="C4" s="306"/>
      <c r="D4" s="306"/>
      <c r="E4" s="306"/>
      <c r="F4" s="306"/>
      <c r="G4" s="306"/>
      <c r="H4" s="306"/>
      <c r="I4" s="306"/>
      <c r="J4" s="307"/>
      <c r="K4" s="146"/>
      <c r="M4" s="352" t="s">
        <v>449</v>
      </c>
      <c r="N4" s="353">
        <v>40</v>
      </c>
      <c r="O4" s="354">
        <v>27</v>
      </c>
      <c r="P4" s="354">
        <v>10</v>
      </c>
      <c r="Q4" s="355">
        <v>3</v>
      </c>
      <c r="R4" s="314">
        <v>0.67500000000000004</v>
      </c>
    </row>
    <row r="5" spans="1:23" s="154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41"/>
      <c r="N5" s="343"/>
      <c r="O5" s="345"/>
      <c r="P5" s="345"/>
      <c r="Q5" s="356"/>
      <c r="R5" s="340"/>
      <c r="V5" s="154" t="s">
        <v>454</v>
      </c>
      <c r="W5" s="154" t="s">
        <v>455</v>
      </c>
    </row>
    <row r="6" spans="1:23" ht="15" customHeight="1" x14ac:dyDescent="0.3">
      <c r="A6" s="145"/>
      <c r="B6" s="155">
        <v>1</v>
      </c>
      <c r="C6" s="156">
        <v>42887</v>
      </c>
      <c r="D6" s="157" t="s">
        <v>9</v>
      </c>
      <c r="E6" s="158" t="s">
        <v>78</v>
      </c>
      <c r="F6" s="159" t="s">
        <v>1113</v>
      </c>
      <c r="G6" s="159" t="s">
        <v>2172</v>
      </c>
      <c r="H6" s="157">
        <v>30</v>
      </c>
      <c r="I6" s="159">
        <v>170.45454545454547</v>
      </c>
      <c r="J6" s="250">
        <v>5113.636363636364</v>
      </c>
      <c r="K6" s="146"/>
      <c r="M6" s="341" t="s">
        <v>450</v>
      </c>
      <c r="N6" s="343">
        <v>20</v>
      </c>
      <c r="O6" s="345">
        <v>13</v>
      </c>
      <c r="P6" s="345">
        <v>6</v>
      </c>
      <c r="Q6" s="347">
        <v>1</v>
      </c>
      <c r="R6" s="340">
        <v>0.65</v>
      </c>
      <c r="V6">
        <v>1</v>
      </c>
      <c r="W6">
        <v>0</v>
      </c>
    </row>
    <row r="7" spans="1:23" x14ac:dyDescent="0.3">
      <c r="A7" s="145"/>
      <c r="B7" s="160">
        <v>2</v>
      </c>
      <c r="C7" s="43">
        <v>42887</v>
      </c>
      <c r="D7" s="81" t="s">
        <v>8</v>
      </c>
      <c r="E7" s="161" t="s">
        <v>19</v>
      </c>
      <c r="F7" s="162" t="s">
        <v>1775</v>
      </c>
      <c r="G7" s="162" t="s">
        <v>2173</v>
      </c>
      <c r="H7" s="81">
        <v>1.8000000000000114</v>
      </c>
      <c r="I7" s="162">
        <v>1045.2961672473868</v>
      </c>
      <c r="J7" s="251">
        <v>1881.5331010453083</v>
      </c>
      <c r="K7" s="146"/>
      <c r="M7" s="341"/>
      <c r="N7" s="343"/>
      <c r="O7" s="345"/>
      <c r="P7" s="345"/>
      <c r="Q7" s="349"/>
      <c r="R7" s="340"/>
      <c r="V7">
        <v>1</v>
      </c>
      <c r="W7">
        <v>0</v>
      </c>
    </row>
    <row r="8" spans="1:23" x14ac:dyDescent="0.3">
      <c r="A8" s="145"/>
      <c r="B8" s="160">
        <v>3</v>
      </c>
      <c r="C8" s="43">
        <v>42888</v>
      </c>
      <c r="D8" s="81" t="s">
        <v>9</v>
      </c>
      <c r="E8" s="161" t="s">
        <v>395</v>
      </c>
      <c r="F8" s="162" t="s">
        <v>2174</v>
      </c>
      <c r="G8" s="162" t="s">
        <v>1424</v>
      </c>
      <c r="H8" s="81">
        <v>25</v>
      </c>
      <c r="I8" s="162">
        <v>117.87819253438114</v>
      </c>
      <c r="J8" s="251">
        <v>2946.9548133595285</v>
      </c>
      <c r="K8" s="146"/>
      <c r="M8" s="341" t="s">
        <v>451</v>
      </c>
      <c r="N8" s="343">
        <v>20</v>
      </c>
      <c r="O8" s="345">
        <v>13</v>
      </c>
      <c r="P8" s="345">
        <v>4</v>
      </c>
      <c r="Q8" s="347">
        <v>3</v>
      </c>
      <c r="R8" s="340">
        <v>0.65</v>
      </c>
      <c r="V8">
        <v>1</v>
      </c>
      <c r="W8">
        <v>0</v>
      </c>
    </row>
    <row r="9" spans="1:23" x14ac:dyDescent="0.3">
      <c r="A9" s="145"/>
      <c r="B9" s="160">
        <v>4</v>
      </c>
      <c r="C9" s="43">
        <v>42888</v>
      </c>
      <c r="D9" s="81" t="s">
        <v>8</v>
      </c>
      <c r="E9" s="161" t="s">
        <v>78</v>
      </c>
      <c r="F9" s="162" t="s">
        <v>1659</v>
      </c>
      <c r="G9" s="162" t="s">
        <v>2175</v>
      </c>
      <c r="H9" s="81">
        <v>3</v>
      </c>
      <c r="I9" s="162">
        <v>168.0672268907563</v>
      </c>
      <c r="J9" s="251">
        <v>504.20168067226894</v>
      </c>
      <c r="K9" s="146"/>
      <c r="M9" s="341"/>
      <c r="N9" s="343"/>
      <c r="O9" s="345"/>
      <c r="P9" s="345"/>
      <c r="Q9" s="349"/>
      <c r="R9" s="340"/>
      <c r="V9">
        <v>1</v>
      </c>
      <c r="W9">
        <v>0</v>
      </c>
    </row>
    <row r="10" spans="1:23" x14ac:dyDescent="0.3">
      <c r="A10" s="145"/>
      <c r="B10" s="160">
        <v>5</v>
      </c>
      <c r="C10" s="43">
        <v>42891</v>
      </c>
      <c r="D10" s="81" t="s">
        <v>9</v>
      </c>
      <c r="E10" s="161" t="s">
        <v>78</v>
      </c>
      <c r="F10" s="162" t="s">
        <v>2172</v>
      </c>
      <c r="G10" s="162" t="s">
        <v>2176</v>
      </c>
      <c r="H10" s="81">
        <v>15</v>
      </c>
      <c r="I10" s="162">
        <v>167.5977653631285</v>
      </c>
      <c r="J10" s="251">
        <v>2513.9664804469276</v>
      </c>
      <c r="K10" s="146"/>
      <c r="M10" s="341" t="s">
        <v>1176</v>
      </c>
      <c r="N10" s="343">
        <v>20</v>
      </c>
      <c r="O10" s="345">
        <v>12</v>
      </c>
      <c r="P10" s="345">
        <v>7</v>
      </c>
      <c r="Q10" s="347">
        <v>1</v>
      </c>
      <c r="R10" s="340">
        <v>0.6</v>
      </c>
      <c r="V10">
        <v>1</v>
      </c>
      <c r="W10">
        <v>0</v>
      </c>
    </row>
    <row r="11" spans="1:23" x14ac:dyDescent="0.3">
      <c r="A11" s="145"/>
      <c r="B11" s="160">
        <v>6</v>
      </c>
      <c r="C11" s="43">
        <v>42891</v>
      </c>
      <c r="D11" s="81" t="s">
        <v>8</v>
      </c>
      <c r="E11" s="161" t="s">
        <v>157</v>
      </c>
      <c r="F11" s="162" t="s">
        <v>749</v>
      </c>
      <c r="G11" s="162" t="s">
        <v>1572</v>
      </c>
      <c r="H11" s="81">
        <v>-10</v>
      </c>
      <c r="I11" s="162">
        <v>254.23728813559322</v>
      </c>
      <c r="J11" s="251">
        <v>-2542.3728813559323</v>
      </c>
      <c r="K11" s="146"/>
      <c r="M11" s="341"/>
      <c r="N11" s="343"/>
      <c r="O11" s="345"/>
      <c r="P11" s="345"/>
      <c r="Q11" s="349"/>
      <c r="R11" s="340"/>
      <c r="V11">
        <v>0</v>
      </c>
      <c r="W11">
        <v>1</v>
      </c>
    </row>
    <row r="12" spans="1:23" x14ac:dyDescent="0.3">
      <c r="A12" s="145"/>
      <c r="B12" s="160">
        <v>7</v>
      </c>
      <c r="C12" s="43">
        <v>42892</v>
      </c>
      <c r="D12" s="81" t="s">
        <v>9</v>
      </c>
      <c r="E12" s="161" t="s">
        <v>395</v>
      </c>
      <c r="F12" s="162" t="s">
        <v>2177</v>
      </c>
      <c r="G12" s="162" t="s">
        <v>2178</v>
      </c>
      <c r="H12" s="81">
        <v>40</v>
      </c>
      <c r="I12" s="162">
        <v>118.81188118811882</v>
      </c>
      <c r="J12" s="251">
        <v>4752.4752475247524</v>
      </c>
      <c r="K12" s="146"/>
      <c r="M12" s="341" t="s">
        <v>41</v>
      </c>
      <c r="N12" s="343">
        <v>20</v>
      </c>
      <c r="O12" s="345">
        <v>15</v>
      </c>
      <c r="P12" s="345">
        <v>5</v>
      </c>
      <c r="Q12" s="347">
        <v>0</v>
      </c>
      <c r="R12" s="340">
        <v>0.75</v>
      </c>
      <c r="V12">
        <v>1</v>
      </c>
      <c r="W12">
        <v>0</v>
      </c>
    </row>
    <row r="13" spans="1:23" x14ac:dyDescent="0.3">
      <c r="A13" s="145"/>
      <c r="B13" s="160">
        <v>8</v>
      </c>
      <c r="C13" s="43">
        <v>42892</v>
      </c>
      <c r="D13" s="81" t="s">
        <v>8</v>
      </c>
      <c r="E13" s="161" t="s">
        <v>78</v>
      </c>
      <c r="F13" s="162" t="s">
        <v>2179</v>
      </c>
      <c r="G13" s="162" t="s">
        <v>2180</v>
      </c>
      <c r="H13" s="81">
        <v>20</v>
      </c>
      <c r="I13" s="162">
        <v>167.13091922005572</v>
      </c>
      <c r="J13" s="251">
        <v>3342.6183844011143</v>
      </c>
      <c r="K13" s="146"/>
      <c r="M13" s="341"/>
      <c r="N13" s="343"/>
      <c r="O13" s="345"/>
      <c r="P13" s="345"/>
      <c r="Q13" s="349"/>
      <c r="R13" s="340"/>
      <c r="V13">
        <v>1</v>
      </c>
      <c r="W13">
        <v>0</v>
      </c>
    </row>
    <row r="14" spans="1:23" x14ac:dyDescent="0.3">
      <c r="A14" s="145"/>
      <c r="B14" s="160">
        <v>9</v>
      </c>
      <c r="C14" s="43">
        <v>42893</v>
      </c>
      <c r="D14" s="81" t="s">
        <v>9</v>
      </c>
      <c r="E14" s="161" t="s">
        <v>395</v>
      </c>
      <c r="F14" s="162" t="s">
        <v>2181</v>
      </c>
      <c r="G14" s="162" t="s">
        <v>426</v>
      </c>
      <c r="H14" s="81">
        <v>-15</v>
      </c>
      <c r="I14" s="162">
        <v>117.41682974559687</v>
      </c>
      <c r="J14" s="251">
        <v>-1761.252446183953</v>
      </c>
      <c r="K14" s="146"/>
      <c r="M14" s="341" t="s">
        <v>1175</v>
      </c>
      <c r="N14" s="343">
        <v>20</v>
      </c>
      <c r="O14" s="345">
        <v>15</v>
      </c>
      <c r="P14" s="345">
        <v>5</v>
      </c>
      <c r="Q14" s="347">
        <v>0</v>
      </c>
      <c r="R14" s="340">
        <v>0.75</v>
      </c>
      <c r="V14">
        <v>0</v>
      </c>
      <c r="W14">
        <v>1</v>
      </c>
    </row>
    <row r="15" spans="1:23" x14ac:dyDescent="0.3">
      <c r="A15" s="145"/>
      <c r="B15" s="160">
        <v>10</v>
      </c>
      <c r="C15" s="43">
        <v>42893</v>
      </c>
      <c r="D15" s="81" t="s">
        <v>8</v>
      </c>
      <c r="E15" s="161" t="s">
        <v>310</v>
      </c>
      <c r="F15" s="162" t="s">
        <v>2182</v>
      </c>
      <c r="G15" s="162" t="s">
        <v>2183</v>
      </c>
      <c r="H15" s="81">
        <v>37</v>
      </c>
      <c r="I15" s="162">
        <v>125.78616352201257</v>
      </c>
      <c r="J15" s="251">
        <v>4654.0880503144654</v>
      </c>
      <c r="K15" s="146"/>
      <c r="M15" s="341"/>
      <c r="N15" s="343"/>
      <c r="O15" s="345"/>
      <c r="P15" s="345"/>
      <c r="Q15" s="349"/>
      <c r="R15" s="340"/>
      <c r="V15">
        <v>1</v>
      </c>
      <c r="W15">
        <v>0</v>
      </c>
    </row>
    <row r="16" spans="1:23" x14ac:dyDescent="0.3">
      <c r="A16" s="145"/>
      <c r="B16" s="160">
        <v>11</v>
      </c>
      <c r="C16" s="43">
        <v>42894</v>
      </c>
      <c r="D16" s="81" t="s">
        <v>9</v>
      </c>
      <c r="E16" s="161" t="s">
        <v>50</v>
      </c>
      <c r="F16" s="162" t="s">
        <v>2184</v>
      </c>
      <c r="G16" s="162" t="s">
        <v>2185</v>
      </c>
      <c r="H16" s="81">
        <v>12</v>
      </c>
      <c r="I16" s="162">
        <v>578.03468208092488</v>
      </c>
      <c r="J16" s="251">
        <v>6936.4161849710981</v>
      </c>
      <c r="K16" s="146"/>
      <c r="M16" s="341" t="s">
        <v>1090</v>
      </c>
      <c r="N16" s="343">
        <v>20</v>
      </c>
      <c r="O16" s="345">
        <v>12</v>
      </c>
      <c r="P16" s="345">
        <v>7</v>
      </c>
      <c r="Q16" s="347">
        <v>1</v>
      </c>
      <c r="R16" s="340">
        <v>0.6</v>
      </c>
      <c r="V16">
        <v>1</v>
      </c>
      <c r="W16">
        <v>0</v>
      </c>
    </row>
    <row r="17" spans="1:23" ht="15" thickBot="1" x14ac:dyDescent="0.35">
      <c r="A17" s="145"/>
      <c r="B17" s="160">
        <v>12</v>
      </c>
      <c r="C17" s="43">
        <v>42894</v>
      </c>
      <c r="D17" s="81" t="s">
        <v>8</v>
      </c>
      <c r="E17" s="161" t="s">
        <v>78</v>
      </c>
      <c r="F17" s="162" t="s">
        <v>2172</v>
      </c>
      <c r="G17" s="162" t="s">
        <v>2180</v>
      </c>
      <c r="H17" s="81">
        <v>15</v>
      </c>
      <c r="I17" s="162">
        <v>167.5977653631285</v>
      </c>
      <c r="J17" s="251">
        <v>2513.9664804469276</v>
      </c>
      <c r="K17" s="146"/>
      <c r="M17" s="342"/>
      <c r="N17" s="344"/>
      <c r="O17" s="346"/>
      <c r="P17" s="346"/>
      <c r="Q17" s="348"/>
      <c r="R17" s="315"/>
      <c r="V17">
        <v>1</v>
      </c>
      <c r="W17">
        <v>0</v>
      </c>
    </row>
    <row r="18" spans="1:23" x14ac:dyDescent="0.3">
      <c r="A18" s="145"/>
      <c r="B18" s="160">
        <v>13</v>
      </c>
      <c r="C18" s="43">
        <v>42895</v>
      </c>
      <c r="D18" s="81" t="s">
        <v>9</v>
      </c>
      <c r="E18" s="161" t="s">
        <v>395</v>
      </c>
      <c r="F18" s="162" t="s">
        <v>2186</v>
      </c>
      <c r="G18" s="162" t="s">
        <v>2187</v>
      </c>
      <c r="H18" s="81">
        <v>7</v>
      </c>
      <c r="I18" s="162">
        <v>114.28571428571429</v>
      </c>
      <c r="J18" s="251">
        <v>800</v>
      </c>
      <c r="K18" s="146"/>
      <c r="M18" s="334" t="s">
        <v>946</v>
      </c>
      <c r="N18" s="336">
        <v>160</v>
      </c>
      <c r="O18" s="336">
        <v>107</v>
      </c>
      <c r="P18" s="336">
        <v>44</v>
      </c>
      <c r="Q18" s="338">
        <v>9</v>
      </c>
      <c r="R18" s="314">
        <v>0.66874999999999996</v>
      </c>
      <c r="V18">
        <v>1</v>
      </c>
      <c r="W18">
        <v>0</v>
      </c>
    </row>
    <row r="19" spans="1:23" ht="15" thickBot="1" x14ac:dyDescent="0.35">
      <c r="A19" s="145"/>
      <c r="B19" s="160">
        <v>14</v>
      </c>
      <c r="C19" s="43">
        <v>42895</v>
      </c>
      <c r="D19" s="81" t="s">
        <v>8</v>
      </c>
      <c r="E19" s="161" t="s">
        <v>78</v>
      </c>
      <c r="F19" s="162">
        <v>1772</v>
      </c>
      <c r="G19" s="162">
        <v>1762</v>
      </c>
      <c r="H19" s="81">
        <v>10</v>
      </c>
      <c r="I19" s="162">
        <v>169.30022573363431</v>
      </c>
      <c r="J19" s="251">
        <v>1693.0022573363431</v>
      </c>
      <c r="K19" s="146"/>
      <c r="M19" s="335"/>
      <c r="N19" s="337"/>
      <c r="O19" s="337"/>
      <c r="P19" s="337"/>
      <c r="Q19" s="339"/>
      <c r="R19" s="315"/>
      <c r="V19">
        <v>1</v>
      </c>
      <c r="W19">
        <v>0</v>
      </c>
    </row>
    <row r="20" spans="1:23" ht="15" customHeight="1" x14ac:dyDescent="0.3">
      <c r="A20" s="145"/>
      <c r="B20" s="160">
        <v>15</v>
      </c>
      <c r="C20" s="43">
        <v>42898</v>
      </c>
      <c r="D20" s="81" t="s">
        <v>9</v>
      </c>
      <c r="E20" s="161" t="s">
        <v>395</v>
      </c>
      <c r="F20" s="162">
        <v>2630</v>
      </c>
      <c r="G20" s="162">
        <v>2640</v>
      </c>
      <c r="H20" s="81">
        <v>10</v>
      </c>
      <c r="I20" s="162">
        <v>114.06844106463879</v>
      </c>
      <c r="J20" s="251">
        <v>1140.684410646388</v>
      </c>
      <c r="K20" s="146"/>
      <c r="M20" s="316" t="s">
        <v>2253</v>
      </c>
      <c r="N20" s="317"/>
      <c r="O20" s="318"/>
      <c r="P20" s="325">
        <v>0.66874999999999996</v>
      </c>
      <c r="Q20" s="326"/>
      <c r="R20" s="327"/>
      <c r="V20">
        <v>1</v>
      </c>
      <c r="W20">
        <v>0</v>
      </c>
    </row>
    <row r="21" spans="1:23" ht="15" customHeight="1" x14ac:dyDescent="0.3">
      <c r="A21" s="145"/>
      <c r="B21" s="160">
        <v>16</v>
      </c>
      <c r="C21" s="43">
        <v>42898</v>
      </c>
      <c r="D21" s="81" t="s">
        <v>8</v>
      </c>
      <c r="E21" s="161" t="s">
        <v>78</v>
      </c>
      <c r="F21" s="162">
        <v>1760</v>
      </c>
      <c r="G21" s="162">
        <v>1730</v>
      </c>
      <c r="H21" s="81">
        <v>30</v>
      </c>
      <c r="I21" s="162">
        <v>170.45454545454547</v>
      </c>
      <c r="J21" s="251">
        <v>5113.636363636364</v>
      </c>
      <c r="K21" s="146"/>
      <c r="M21" s="319"/>
      <c r="N21" s="320"/>
      <c r="O21" s="321"/>
      <c r="P21" s="328"/>
      <c r="Q21" s="329"/>
      <c r="R21" s="330"/>
      <c r="V21">
        <v>1</v>
      </c>
      <c r="W21">
        <v>0</v>
      </c>
    </row>
    <row r="22" spans="1:23" ht="15" customHeight="1" thickBot="1" x14ac:dyDescent="0.35">
      <c r="A22" s="145"/>
      <c r="B22" s="160">
        <v>17</v>
      </c>
      <c r="C22" s="43">
        <v>42900</v>
      </c>
      <c r="D22" s="81" t="s">
        <v>9</v>
      </c>
      <c r="E22" s="161" t="s">
        <v>78</v>
      </c>
      <c r="F22" s="162">
        <v>1745</v>
      </c>
      <c r="G22" s="162">
        <v>1766</v>
      </c>
      <c r="H22" s="81">
        <v>21</v>
      </c>
      <c r="I22" s="162">
        <v>171.91977077363896</v>
      </c>
      <c r="J22" s="251">
        <v>3610.3151862464183</v>
      </c>
      <c r="K22" s="146"/>
      <c r="M22" s="322"/>
      <c r="N22" s="323"/>
      <c r="O22" s="324"/>
      <c r="P22" s="331"/>
      <c r="Q22" s="332"/>
      <c r="R22" s="333"/>
      <c r="V22">
        <v>1</v>
      </c>
      <c r="W22">
        <v>0</v>
      </c>
    </row>
    <row r="23" spans="1:23" ht="15" customHeight="1" x14ac:dyDescent="0.3">
      <c r="A23" s="145"/>
      <c r="B23" s="160">
        <v>18</v>
      </c>
      <c r="C23" s="43">
        <v>42900</v>
      </c>
      <c r="D23" s="81" t="s">
        <v>8</v>
      </c>
      <c r="E23" s="161" t="s">
        <v>184</v>
      </c>
      <c r="F23" s="162">
        <v>254</v>
      </c>
      <c r="G23" s="162">
        <v>252.4</v>
      </c>
      <c r="H23" s="81">
        <v>1.5999999999999943</v>
      </c>
      <c r="I23" s="162">
        <v>1181.1023622047244</v>
      </c>
      <c r="J23" s="251">
        <v>1889.7637795275523</v>
      </c>
      <c r="K23" s="146"/>
      <c r="V23">
        <v>1</v>
      </c>
      <c r="W23">
        <v>0</v>
      </c>
    </row>
    <row r="24" spans="1:23" ht="15.75" customHeight="1" x14ac:dyDescent="0.3">
      <c r="A24" s="145"/>
      <c r="B24" s="160">
        <v>19</v>
      </c>
      <c r="C24" s="43">
        <v>42901</v>
      </c>
      <c r="D24" s="81" t="s">
        <v>9</v>
      </c>
      <c r="E24" s="161" t="s">
        <v>31</v>
      </c>
      <c r="F24" s="162">
        <v>1375</v>
      </c>
      <c r="G24" s="162">
        <v>1395</v>
      </c>
      <c r="H24" s="81">
        <v>20</v>
      </c>
      <c r="I24" s="162">
        <v>218.18181818181819</v>
      </c>
      <c r="J24" s="251">
        <v>4363.636363636364</v>
      </c>
      <c r="K24" s="146"/>
      <c r="V24">
        <v>1</v>
      </c>
      <c r="W24">
        <v>0</v>
      </c>
    </row>
    <row r="25" spans="1:23" x14ac:dyDescent="0.3">
      <c r="A25" s="145"/>
      <c r="B25" s="160">
        <v>20</v>
      </c>
      <c r="C25" s="43">
        <v>42901</v>
      </c>
      <c r="D25" s="81" t="s">
        <v>8</v>
      </c>
      <c r="E25" s="161" t="s">
        <v>78</v>
      </c>
      <c r="F25" s="162">
        <v>1750</v>
      </c>
      <c r="G25" s="162">
        <v>1730</v>
      </c>
      <c r="H25" s="81">
        <v>20</v>
      </c>
      <c r="I25" s="162">
        <v>171.42857142857142</v>
      </c>
      <c r="J25" s="251">
        <v>3428.5714285714284</v>
      </c>
      <c r="K25" s="146"/>
      <c r="V25">
        <v>1</v>
      </c>
      <c r="W25">
        <v>0</v>
      </c>
    </row>
    <row r="26" spans="1:23" x14ac:dyDescent="0.3">
      <c r="A26" s="145"/>
      <c r="B26" s="160">
        <v>21</v>
      </c>
      <c r="C26" s="43">
        <v>42902</v>
      </c>
      <c r="D26" s="81" t="s">
        <v>9</v>
      </c>
      <c r="E26" s="161" t="s">
        <v>31</v>
      </c>
      <c r="F26" s="162">
        <v>1385</v>
      </c>
      <c r="G26" s="162">
        <v>1395</v>
      </c>
      <c r="H26" s="81">
        <v>10</v>
      </c>
      <c r="I26" s="162">
        <v>216.60649819494586</v>
      </c>
      <c r="J26" s="251">
        <v>2166.0649819494583</v>
      </c>
      <c r="K26" s="146"/>
      <c r="V26">
        <v>1</v>
      </c>
      <c r="W26">
        <v>0</v>
      </c>
    </row>
    <row r="27" spans="1:23" x14ac:dyDescent="0.3">
      <c r="A27" s="145"/>
      <c r="B27" s="160">
        <v>22</v>
      </c>
      <c r="C27" s="43">
        <v>42902</v>
      </c>
      <c r="D27" s="81" t="s">
        <v>8</v>
      </c>
      <c r="E27" s="161" t="s">
        <v>395</v>
      </c>
      <c r="F27" s="162">
        <v>2670</v>
      </c>
      <c r="G27" s="162">
        <v>2634</v>
      </c>
      <c r="H27" s="81">
        <v>36</v>
      </c>
      <c r="I27" s="162">
        <v>112.35955056179775</v>
      </c>
      <c r="J27" s="251">
        <v>4044.9438202247188</v>
      </c>
      <c r="K27" s="146"/>
      <c r="V27">
        <v>1</v>
      </c>
      <c r="W27">
        <v>0</v>
      </c>
    </row>
    <row r="28" spans="1:23" x14ac:dyDescent="0.3">
      <c r="A28" s="145"/>
      <c r="B28" s="160">
        <v>23</v>
      </c>
      <c r="C28" s="43">
        <v>42905</v>
      </c>
      <c r="D28" s="81" t="s">
        <v>9</v>
      </c>
      <c r="E28" s="161" t="s">
        <v>31</v>
      </c>
      <c r="F28" s="162">
        <v>1410</v>
      </c>
      <c r="G28" s="162">
        <v>1410</v>
      </c>
      <c r="H28" s="81">
        <v>0</v>
      </c>
      <c r="I28" s="162">
        <v>212.7659574468085</v>
      </c>
      <c r="J28" s="251">
        <v>0</v>
      </c>
      <c r="K28" s="146"/>
      <c r="V28">
        <v>0</v>
      </c>
      <c r="W28">
        <v>0</v>
      </c>
    </row>
    <row r="29" spans="1:23" x14ac:dyDescent="0.3">
      <c r="A29" s="145"/>
      <c r="B29" s="160">
        <v>24</v>
      </c>
      <c r="C29" s="43">
        <v>42905</v>
      </c>
      <c r="D29" s="81" t="s">
        <v>8</v>
      </c>
      <c r="E29" s="161" t="s">
        <v>78</v>
      </c>
      <c r="F29" s="162">
        <v>1735</v>
      </c>
      <c r="G29" s="162">
        <v>1750</v>
      </c>
      <c r="H29" s="81">
        <v>-15</v>
      </c>
      <c r="I29" s="162">
        <v>172.91066282420749</v>
      </c>
      <c r="J29" s="251">
        <v>-2593.6599423631123</v>
      </c>
      <c r="K29" s="146"/>
      <c r="V29">
        <v>0</v>
      </c>
      <c r="W29">
        <v>1</v>
      </c>
    </row>
    <row r="30" spans="1:23" x14ac:dyDescent="0.3">
      <c r="A30" s="145"/>
      <c r="B30" s="160">
        <v>25</v>
      </c>
      <c r="C30" s="43">
        <v>42906</v>
      </c>
      <c r="D30" s="81" t="s">
        <v>9</v>
      </c>
      <c r="E30" s="161" t="s">
        <v>31</v>
      </c>
      <c r="F30" s="162">
        <v>1415</v>
      </c>
      <c r="G30" s="162">
        <v>1415</v>
      </c>
      <c r="H30" s="81">
        <v>0</v>
      </c>
      <c r="I30" s="162">
        <v>212.01413427561837</v>
      </c>
      <c r="J30" s="251">
        <v>0</v>
      </c>
      <c r="K30" s="146"/>
      <c r="V30">
        <v>0</v>
      </c>
      <c r="W30">
        <v>0</v>
      </c>
    </row>
    <row r="31" spans="1:23" x14ac:dyDescent="0.3">
      <c r="A31" s="145"/>
      <c r="B31" s="160">
        <v>26</v>
      </c>
      <c r="C31" s="43">
        <v>42906</v>
      </c>
      <c r="D31" s="81" t="s">
        <v>8</v>
      </c>
      <c r="E31" s="161" t="s">
        <v>395</v>
      </c>
      <c r="F31" s="162">
        <v>2665</v>
      </c>
      <c r="G31" s="162">
        <v>2690</v>
      </c>
      <c r="H31" s="81">
        <v>-25</v>
      </c>
      <c r="I31" s="162">
        <v>112.5703564727955</v>
      </c>
      <c r="J31" s="251">
        <v>-2814.2589118198875</v>
      </c>
      <c r="K31" s="146"/>
      <c r="V31">
        <v>0</v>
      </c>
      <c r="W31">
        <v>1</v>
      </c>
    </row>
    <row r="32" spans="1:23" x14ac:dyDescent="0.3">
      <c r="A32" s="145"/>
      <c r="B32" s="160">
        <v>27</v>
      </c>
      <c r="C32" s="43">
        <v>42907</v>
      </c>
      <c r="D32" s="81" t="s">
        <v>9</v>
      </c>
      <c r="E32" s="161" t="s">
        <v>31</v>
      </c>
      <c r="F32" s="162">
        <v>1420</v>
      </c>
      <c r="G32" s="162">
        <v>1420</v>
      </c>
      <c r="H32" s="81">
        <v>0</v>
      </c>
      <c r="I32" s="162">
        <v>211.26760563380282</v>
      </c>
      <c r="J32" s="251">
        <v>0</v>
      </c>
      <c r="K32" s="146"/>
      <c r="V32">
        <v>0</v>
      </c>
      <c r="W32">
        <v>0</v>
      </c>
    </row>
    <row r="33" spans="1:23" x14ac:dyDescent="0.3">
      <c r="A33" s="145"/>
      <c r="B33" s="160">
        <v>28</v>
      </c>
      <c r="C33" s="43">
        <v>42907</v>
      </c>
      <c r="D33" s="81" t="s">
        <v>8</v>
      </c>
      <c r="E33" s="161" t="s">
        <v>139</v>
      </c>
      <c r="F33" s="162">
        <v>1430</v>
      </c>
      <c r="G33" s="162">
        <v>1432</v>
      </c>
      <c r="H33" s="81">
        <v>-2</v>
      </c>
      <c r="I33" s="162">
        <v>209.79020979020979</v>
      </c>
      <c r="J33" s="251">
        <v>-419.58041958041957</v>
      </c>
      <c r="K33" s="146"/>
      <c r="V33">
        <v>0</v>
      </c>
      <c r="W33">
        <v>1</v>
      </c>
    </row>
    <row r="34" spans="1:23" x14ac:dyDescent="0.3">
      <c r="A34" s="145"/>
      <c r="B34" s="160">
        <v>29</v>
      </c>
      <c r="C34" s="43">
        <v>42908</v>
      </c>
      <c r="D34" s="81" t="s">
        <v>9</v>
      </c>
      <c r="E34" s="161" t="s">
        <v>2203</v>
      </c>
      <c r="F34" s="162">
        <v>1000</v>
      </c>
      <c r="G34" s="162">
        <v>990</v>
      </c>
      <c r="H34" s="81">
        <v>-10</v>
      </c>
      <c r="I34" s="162">
        <v>300</v>
      </c>
      <c r="J34" s="251">
        <v>-3000</v>
      </c>
      <c r="K34" s="146"/>
      <c r="V34">
        <v>0</v>
      </c>
      <c r="W34">
        <v>1</v>
      </c>
    </row>
    <row r="35" spans="1:23" x14ac:dyDescent="0.3">
      <c r="A35" s="145"/>
      <c r="B35" s="160">
        <v>30</v>
      </c>
      <c r="C35" s="43">
        <v>42908</v>
      </c>
      <c r="D35" s="81" t="s">
        <v>8</v>
      </c>
      <c r="E35" s="161" t="s">
        <v>78</v>
      </c>
      <c r="F35" s="162">
        <v>1755</v>
      </c>
      <c r="G35" s="162">
        <v>1740</v>
      </c>
      <c r="H35" s="81">
        <v>15</v>
      </c>
      <c r="I35" s="162">
        <v>170.94017094017093</v>
      </c>
      <c r="J35" s="251">
        <v>2564.102564102564</v>
      </c>
      <c r="K35" s="146"/>
      <c r="V35">
        <v>1</v>
      </c>
      <c r="W35">
        <v>0</v>
      </c>
    </row>
    <row r="36" spans="1:23" x14ac:dyDescent="0.3">
      <c r="A36" s="145"/>
      <c r="B36" s="160">
        <v>31</v>
      </c>
      <c r="C36" s="43">
        <v>42909</v>
      </c>
      <c r="D36" s="81" t="s">
        <v>9</v>
      </c>
      <c r="E36" s="161" t="s">
        <v>31</v>
      </c>
      <c r="F36" s="162">
        <v>1438</v>
      </c>
      <c r="G36" s="162">
        <v>1435</v>
      </c>
      <c r="H36" s="81">
        <v>-3</v>
      </c>
      <c r="I36" s="162">
        <v>208.62308762169681</v>
      </c>
      <c r="J36" s="251">
        <v>-625.86926286509038</v>
      </c>
      <c r="K36" s="146"/>
      <c r="V36">
        <v>0</v>
      </c>
      <c r="W36">
        <v>1</v>
      </c>
    </row>
    <row r="37" spans="1:23" x14ac:dyDescent="0.3">
      <c r="A37" s="145"/>
      <c r="B37" s="160">
        <v>32</v>
      </c>
      <c r="C37" s="43">
        <v>42909</v>
      </c>
      <c r="D37" s="81" t="s">
        <v>8</v>
      </c>
      <c r="E37" s="161" t="s">
        <v>2023</v>
      </c>
      <c r="F37" s="162">
        <v>1370</v>
      </c>
      <c r="G37" s="162">
        <v>1385</v>
      </c>
      <c r="H37" s="81">
        <v>-15</v>
      </c>
      <c r="I37" s="162">
        <v>218.97810218978103</v>
      </c>
      <c r="J37" s="251">
        <v>-3284.6715328467153</v>
      </c>
      <c r="K37" s="146"/>
      <c r="V37">
        <v>0</v>
      </c>
      <c r="W37">
        <v>1</v>
      </c>
    </row>
    <row r="38" spans="1:23" x14ac:dyDescent="0.3">
      <c r="A38" s="145"/>
      <c r="B38" s="160">
        <v>33</v>
      </c>
      <c r="C38" s="43">
        <v>42913</v>
      </c>
      <c r="D38" s="81" t="s">
        <v>9</v>
      </c>
      <c r="E38" s="161" t="s">
        <v>395</v>
      </c>
      <c r="F38" s="162">
        <v>2650</v>
      </c>
      <c r="G38" s="162">
        <v>2664</v>
      </c>
      <c r="H38" s="81">
        <v>14</v>
      </c>
      <c r="I38" s="162">
        <v>113.20754716981132</v>
      </c>
      <c r="J38" s="251">
        <v>1584.9056603773586</v>
      </c>
      <c r="K38" s="146"/>
      <c r="V38">
        <v>1</v>
      </c>
      <c r="W38">
        <v>0</v>
      </c>
    </row>
    <row r="39" spans="1:23" x14ac:dyDescent="0.3">
      <c r="A39" s="145"/>
      <c r="B39" s="160">
        <v>34</v>
      </c>
      <c r="C39" s="43">
        <v>42913</v>
      </c>
      <c r="D39" s="81" t="s">
        <v>8</v>
      </c>
      <c r="E39" s="161" t="s">
        <v>95</v>
      </c>
      <c r="F39" s="162">
        <v>285</v>
      </c>
      <c r="G39" s="162">
        <v>288</v>
      </c>
      <c r="H39" s="81">
        <v>-3</v>
      </c>
      <c r="I39" s="162">
        <v>1052.6315789473683</v>
      </c>
      <c r="J39" s="251">
        <v>-3157.894736842105</v>
      </c>
      <c r="K39" s="146"/>
      <c r="V39">
        <v>0</v>
      </c>
      <c r="W39">
        <v>1</v>
      </c>
    </row>
    <row r="40" spans="1:23" x14ac:dyDescent="0.3">
      <c r="A40" s="145"/>
      <c r="B40" s="160">
        <v>35</v>
      </c>
      <c r="C40" s="43">
        <v>42914</v>
      </c>
      <c r="D40" s="81" t="s">
        <v>9</v>
      </c>
      <c r="E40" s="161" t="s">
        <v>395</v>
      </c>
      <c r="F40" s="162">
        <v>2640</v>
      </c>
      <c r="G40" s="162">
        <v>2660</v>
      </c>
      <c r="H40" s="81">
        <v>20</v>
      </c>
      <c r="I40" s="162">
        <v>113.63636363636364</v>
      </c>
      <c r="J40" s="251">
        <v>2272.727272727273</v>
      </c>
      <c r="K40" s="146"/>
      <c r="V40">
        <v>1</v>
      </c>
      <c r="W40">
        <v>0</v>
      </c>
    </row>
    <row r="41" spans="1:23" x14ac:dyDescent="0.3">
      <c r="A41" s="145"/>
      <c r="B41" s="160">
        <v>36</v>
      </c>
      <c r="C41" s="43">
        <v>42914</v>
      </c>
      <c r="D41" s="81" t="s">
        <v>8</v>
      </c>
      <c r="E41" s="161" t="s">
        <v>2215</v>
      </c>
      <c r="F41" s="162">
        <v>149</v>
      </c>
      <c r="G41" s="162">
        <v>148</v>
      </c>
      <c r="H41" s="81">
        <v>1</v>
      </c>
      <c r="I41" s="162">
        <v>2013.4228187919464</v>
      </c>
      <c r="J41" s="251">
        <v>2013.4228187919464</v>
      </c>
      <c r="K41" s="146"/>
      <c r="V41">
        <v>1</v>
      </c>
      <c r="W41">
        <v>0</v>
      </c>
    </row>
    <row r="42" spans="1:23" x14ac:dyDescent="0.3">
      <c r="A42" s="145"/>
      <c r="B42" s="160">
        <v>37</v>
      </c>
      <c r="C42" s="43">
        <v>42915</v>
      </c>
      <c r="D42" s="81" t="s">
        <v>9</v>
      </c>
      <c r="E42" s="161" t="s">
        <v>395</v>
      </c>
      <c r="F42" s="162">
        <v>2650</v>
      </c>
      <c r="G42" s="162">
        <v>2665</v>
      </c>
      <c r="H42" s="81">
        <v>15</v>
      </c>
      <c r="I42" s="162">
        <v>113.20754716981132</v>
      </c>
      <c r="J42" s="251">
        <v>1698.1132075471698</v>
      </c>
      <c r="K42" s="146"/>
      <c r="V42">
        <v>1</v>
      </c>
      <c r="W42">
        <v>0</v>
      </c>
    </row>
    <row r="43" spans="1:23" x14ac:dyDescent="0.3">
      <c r="A43" s="145"/>
      <c r="B43" s="160">
        <v>38</v>
      </c>
      <c r="C43" s="43">
        <v>42915</v>
      </c>
      <c r="D43" s="81" t="s">
        <v>8</v>
      </c>
      <c r="E43" s="161" t="s">
        <v>139</v>
      </c>
      <c r="F43" s="162">
        <v>1455</v>
      </c>
      <c r="G43" s="162">
        <v>1435</v>
      </c>
      <c r="H43" s="81">
        <v>20</v>
      </c>
      <c r="I43" s="162">
        <v>206.18556701030928</v>
      </c>
      <c r="J43" s="251">
        <v>4123.7113402061859</v>
      </c>
      <c r="K43" s="146"/>
      <c r="V43">
        <v>1</v>
      </c>
      <c r="W43">
        <v>0</v>
      </c>
    </row>
    <row r="44" spans="1:23" x14ac:dyDescent="0.3">
      <c r="A44" s="145"/>
      <c r="B44" s="160">
        <v>39</v>
      </c>
      <c r="C44" s="43">
        <v>42916</v>
      </c>
      <c r="D44" s="81" t="s">
        <v>9</v>
      </c>
      <c r="E44" s="161" t="s">
        <v>395</v>
      </c>
      <c r="F44" s="162">
        <v>2670</v>
      </c>
      <c r="G44" s="162">
        <v>2704</v>
      </c>
      <c r="H44" s="81">
        <v>34</v>
      </c>
      <c r="I44" s="162">
        <v>112.35955056179775</v>
      </c>
      <c r="J44" s="251">
        <v>3820.2247191011234</v>
      </c>
      <c r="K44" s="146"/>
      <c r="V44">
        <v>1</v>
      </c>
      <c r="W44">
        <v>0</v>
      </c>
    </row>
    <row r="45" spans="1:23" x14ac:dyDescent="0.3">
      <c r="A45" s="145"/>
      <c r="B45" s="160">
        <v>40</v>
      </c>
      <c r="C45" s="43">
        <v>42916</v>
      </c>
      <c r="D45" s="81" t="s">
        <v>8</v>
      </c>
      <c r="E45" s="161" t="s">
        <v>139</v>
      </c>
      <c r="F45" s="162">
        <v>1445</v>
      </c>
      <c r="G45" s="162">
        <v>1460</v>
      </c>
      <c r="H45" s="81">
        <v>-15</v>
      </c>
      <c r="I45" s="162">
        <v>207.61245674740485</v>
      </c>
      <c r="J45" s="251">
        <v>-3114.1868512110727</v>
      </c>
      <c r="K45" s="146"/>
      <c r="V45">
        <v>0</v>
      </c>
      <c r="W45">
        <v>1</v>
      </c>
    </row>
    <row r="46" spans="1:23" x14ac:dyDescent="0.3">
      <c r="A46" s="145"/>
      <c r="B46" s="160">
        <v>41</v>
      </c>
      <c r="C46" s="43"/>
      <c r="D46" s="81"/>
      <c r="E46" s="161"/>
      <c r="F46" s="162"/>
      <c r="G46" s="162"/>
      <c r="H46" s="81"/>
      <c r="I46" s="162"/>
      <c r="J46" s="251"/>
      <c r="K46" s="146"/>
      <c r="V46">
        <v>0</v>
      </c>
      <c r="W46">
        <v>0</v>
      </c>
    </row>
    <row r="47" spans="1:23" x14ac:dyDescent="0.3">
      <c r="A47" s="145"/>
      <c r="B47" s="160">
        <v>42</v>
      </c>
      <c r="C47" s="43"/>
      <c r="D47" s="81"/>
      <c r="E47" s="161"/>
      <c r="F47" s="162"/>
      <c r="G47" s="162"/>
      <c r="H47" s="81"/>
      <c r="I47" s="162"/>
      <c r="J47" s="251"/>
      <c r="K47" s="146"/>
      <c r="V47">
        <v>0</v>
      </c>
      <c r="W47">
        <v>0</v>
      </c>
    </row>
    <row r="48" spans="1:23" x14ac:dyDescent="0.3">
      <c r="A48" s="145"/>
      <c r="B48" s="160">
        <v>43</v>
      </c>
      <c r="C48" s="43"/>
      <c r="D48" s="81"/>
      <c r="E48" s="161"/>
      <c r="F48" s="162"/>
      <c r="G48" s="162"/>
      <c r="H48" s="81"/>
      <c r="I48" s="162"/>
      <c r="J48" s="251"/>
      <c r="K48" s="146"/>
      <c r="V48">
        <v>0</v>
      </c>
      <c r="W48">
        <v>0</v>
      </c>
    </row>
    <row r="49" spans="1:23" x14ac:dyDescent="0.3">
      <c r="A49" s="145"/>
      <c r="B49" s="160">
        <v>44</v>
      </c>
      <c r="C49" s="43"/>
      <c r="D49" s="81"/>
      <c r="E49" s="161"/>
      <c r="F49" s="162"/>
      <c r="G49" s="162"/>
      <c r="H49" s="81"/>
      <c r="I49" s="162"/>
      <c r="J49" s="251"/>
      <c r="K49" s="146"/>
      <c r="V49">
        <v>0</v>
      </c>
      <c r="W49">
        <v>0</v>
      </c>
    </row>
    <row r="50" spans="1:23" x14ac:dyDescent="0.3">
      <c r="A50" s="145"/>
      <c r="B50" s="160">
        <v>45</v>
      </c>
      <c r="C50" s="43"/>
      <c r="D50" s="81"/>
      <c r="E50" s="161"/>
      <c r="F50" s="162"/>
      <c r="G50" s="162"/>
      <c r="H50" s="81"/>
      <c r="I50" s="162"/>
      <c r="J50" s="251"/>
      <c r="K50" s="146"/>
      <c r="V50">
        <v>0</v>
      </c>
      <c r="W50">
        <v>0</v>
      </c>
    </row>
    <row r="51" spans="1:23" ht="15" thickBot="1" x14ac:dyDescent="0.35">
      <c r="A51" s="145"/>
      <c r="B51" s="163">
        <v>46</v>
      </c>
      <c r="C51" s="164"/>
      <c r="D51" s="165"/>
      <c r="E51" s="166"/>
      <c r="F51" s="167"/>
      <c r="G51" s="167"/>
      <c r="H51" s="165"/>
      <c r="I51" s="167"/>
      <c r="J51" s="252"/>
      <c r="K51" s="146"/>
      <c r="V51">
        <v>0</v>
      </c>
      <c r="W51">
        <v>0</v>
      </c>
    </row>
    <row r="52" spans="1:23" ht="24" thickBot="1" x14ac:dyDescent="0.5">
      <c r="A52" s="145"/>
      <c r="B52" s="308" t="s">
        <v>2254</v>
      </c>
      <c r="C52" s="309"/>
      <c r="D52" s="309"/>
      <c r="E52" s="309"/>
      <c r="F52" s="309"/>
      <c r="G52" s="309"/>
      <c r="H52" s="310"/>
      <c r="I52" s="168" t="s">
        <v>2255</v>
      </c>
      <c r="J52" s="169">
        <v>58173.935976379107</v>
      </c>
      <c r="K52" s="146"/>
      <c r="V52">
        <v>27</v>
      </c>
      <c r="W52">
        <v>10</v>
      </c>
    </row>
    <row r="53" spans="1:23" ht="30" customHeight="1" thickBot="1" x14ac:dyDescent="0.35">
      <c r="A53" s="170"/>
      <c r="B53" s="171"/>
      <c r="C53" s="171"/>
      <c r="D53" s="171"/>
      <c r="E53" s="172"/>
      <c r="F53" s="171"/>
      <c r="G53" s="171"/>
      <c r="H53" s="248"/>
      <c r="I53" s="171"/>
      <c r="J53" s="248"/>
      <c r="K53" s="173"/>
    </row>
    <row r="54" spans="1:23" ht="15" thickBot="1" x14ac:dyDescent="0.35"/>
    <row r="55" spans="1:23" ht="30" customHeight="1" thickBot="1" x14ac:dyDescent="0.35">
      <c r="A55" s="141"/>
      <c r="B55" s="142"/>
      <c r="C55" s="142"/>
      <c r="D55" s="142"/>
      <c r="E55" s="143"/>
      <c r="F55" s="142"/>
      <c r="G55" s="142"/>
      <c r="H55" s="247"/>
      <c r="I55" s="142"/>
      <c r="J55" s="247"/>
      <c r="K55" s="144"/>
    </row>
    <row r="56" spans="1:23" ht="25.2" thickBot="1" x14ac:dyDescent="0.35">
      <c r="A56" s="145" t="s">
        <v>0</v>
      </c>
      <c r="B56" s="311" t="s">
        <v>2261</v>
      </c>
      <c r="C56" s="312"/>
      <c r="D56" s="312"/>
      <c r="E56" s="312"/>
      <c r="F56" s="312"/>
      <c r="G56" s="312"/>
      <c r="H56" s="312"/>
      <c r="I56" s="312"/>
      <c r="J56" s="313"/>
      <c r="K56" s="146"/>
      <c r="N56" s="174"/>
      <c r="O56" s="174"/>
      <c r="P56" s="174"/>
      <c r="Q56" s="174"/>
      <c r="R56" s="174"/>
    </row>
    <row r="57" spans="1:23" ht="16.2" thickBot="1" x14ac:dyDescent="0.35">
      <c r="A57" s="145"/>
      <c r="B57" s="302" t="s">
        <v>2246</v>
      </c>
      <c r="C57" s="303"/>
      <c r="D57" s="303"/>
      <c r="E57" s="303"/>
      <c r="F57" s="303"/>
      <c r="G57" s="303"/>
      <c r="H57" s="303"/>
      <c r="I57" s="303"/>
      <c r="J57" s="304"/>
      <c r="K57" s="146"/>
    </row>
    <row r="58" spans="1:23" ht="16.2" thickBot="1" x14ac:dyDescent="0.35">
      <c r="A58" s="145"/>
      <c r="B58" s="305" t="s">
        <v>2256</v>
      </c>
      <c r="C58" s="306"/>
      <c r="D58" s="306"/>
      <c r="E58" s="306"/>
      <c r="F58" s="306"/>
      <c r="G58" s="306"/>
      <c r="H58" s="306"/>
      <c r="I58" s="306"/>
      <c r="J58" s="307"/>
      <c r="K58" s="146"/>
    </row>
    <row r="59" spans="1:23" s="174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/>
      <c r="N59"/>
      <c r="O59"/>
      <c r="P59"/>
      <c r="Q59"/>
      <c r="R59"/>
      <c r="V59" s="154" t="s">
        <v>454</v>
      </c>
      <c r="W59" s="154" t="s">
        <v>455</v>
      </c>
    </row>
    <row r="60" spans="1:23" x14ac:dyDescent="0.3">
      <c r="A60" s="145"/>
      <c r="B60" s="155">
        <v>1</v>
      </c>
      <c r="C60" s="156">
        <v>42887</v>
      </c>
      <c r="D60" s="157" t="s">
        <v>8</v>
      </c>
      <c r="E60" s="158" t="s">
        <v>139</v>
      </c>
      <c r="F60" s="159" t="s">
        <v>845</v>
      </c>
      <c r="G60" s="159" t="s">
        <v>2188</v>
      </c>
      <c r="H60" s="157">
        <v>-15</v>
      </c>
      <c r="I60" s="159">
        <v>350</v>
      </c>
      <c r="J60" s="250">
        <v>-5250</v>
      </c>
      <c r="K60" s="146"/>
      <c r="V60">
        <v>0</v>
      </c>
      <c r="W60">
        <v>1</v>
      </c>
    </row>
    <row r="61" spans="1:23" x14ac:dyDescent="0.3">
      <c r="A61" s="145"/>
      <c r="B61" s="160">
        <v>2</v>
      </c>
      <c r="C61" s="43">
        <v>42888</v>
      </c>
      <c r="D61" s="81" t="s">
        <v>8</v>
      </c>
      <c r="E61" s="161" t="s">
        <v>19</v>
      </c>
      <c r="F61" s="162" t="s">
        <v>870</v>
      </c>
      <c r="G61" s="162" t="s">
        <v>2189</v>
      </c>
      <c r="H61" s="81">
        <v>1.1000000000000227</v>
      </c>
      <c r="I61" s="162">
        <v>3000</v>
      </c>
      <c r="J61" s="251">
        <v>3300.0000000000682</v>
      </c>
      <c r="K61" s="146"/>
      <c r="V61">
        <v>1</v>
      </c>
      <c r="W61">
        <v>0</v>
      </c>
    </row>
    <row r="62" spans="1:23" x14ac:dyDescent="0.3">
      <c r="A62" s="145"/>
      <c r="B62" s="160">
        <v>3</v>
      </c>
      <c r="C62" s="43">
        <v>42891</v>
      </c>
      <c r="D62" s="81" t="s">
        <v>8</v>
      </c>
      <c r="E62" s="161" t="s">
        <v>19</v>
      </c>
      <c r="F62" s="162">
        <v>289.5</v>
      </c>
      <c r="G62" s="162">
        <v>288.5</v>
      </c>
      <c r="H62" s="81">
        <v>1</v>
      </c>
      <c r="I62" s="162">
        <v>3000</v>
      </c>
      <c r="J62" s="251">
        <v>3000</v>
      </c>
      <c r="K62" s="146"/>
      <c r="V62">
        <v>1</v>
      </c>
      <c r="W62">
        <v>0</v>
      </c>
    </row>
    <row r="63" spans="1:23" x14ac:dyDescent="0.3">
      <c r="A63" s="145"/>
      <c r="B63" s="160">
        <v>4</v>
      </c>
      <c r="C63" s="43">
        <v>42892</v>
      </c>
      <c r="D63" s="81" t="s">
        <v>8</v>
      </c>
      <c r="E63" s="161" t="s">
        <v>95</v>
      </c>
      <c r="F63" s="162">
        <v>317.5</v>
      </c>
      <c r="G63" s="162">
        <v>318</v>
      </c>
      <c r="H63" s="81">
        <v>-0.5</v>
      </c>
      <c r="I63" s="162">
        <v>2500</v>
      </c>
      <c r="J63" s="251">
        <v>-1250</v>
      </c>
      <c r="K63" s="146"/>
      <c r="V63">
        <v>0</v>
      </c>
      <c r="W63">
        <v>1</v>
      </c>
    </row>
    <row r="64" spans="1:23" x14ac:dyDescent="0.3">
      <c r="A64" s="145"/>
      <c r="B64" s="160">
        <v>5</v>
      </c>
      <c r="C64" s="43">
        <v>42893</v>
      </c>
      <c r="D64" s="81" t="s">
        <v>8</v>
      </c>
      <c r="E64" s="161" t="s">
        <v>139</v>
      </c>
      <c r="F64" s="162">
        <v>1490</v>
      </c>
      <c r="G64" s="162">
        <v>1505</v>
      </c>
      <c r="H64" s="81">
        <v>-15</v>
      </c>
      <c r="I64" s="162">
        <v>350</v>
      </c>
      <c r="J64" s="251">
        <v>-5250</v>
      </c>
      <c r="K64" s="146"/>
      <c r="V64">
        <v>0</v>
      </c>
      <c r="W64">
        <v>1</v>
      </c>
    </row>
    <row r="65" spans="1:23" x14ac:dyDescent="0.3">
      <c r="A65" s="145"/>
      <c r="B65" s="160">
        <v>6</v>
      </c>
      <c r="C65" s="43">
        <v>42894</v>
      </c>
      <c r="D65" s="81" t="s">
        <v>8</v>
      </c>
      <c r="E65" s="161" t="s">
        <v>19</v>
      </c>
      <c r="F65" s="162">
        <v>289.5</v>
      </c>
      <c r="G65" s="162">
        <v>288.5</v>
      </c>
      <c r="H65" s="81">
        <v>1</v>
      </c>
      <c r="I65" s="162">
        <v>3000</v>
      </c>
      <c r="J65" s="251">
        <v>3000</v>
      </c>
      <c r="K65" s="146"/>
      <c r="V65">
        <v>1</v>
      </c>
      <c r="W65">
        <v>0</v>
      </c>
    </row>
    <row r="66" spans="1:23" x14ac:dyDescent="0.3">
      <c r="A66" s="145"/>
      <c r="B66" s="160">
        <v>7</v>
      </c>
      <c r="C66" s="43">
        <v>42895</v>
      </c>
      <c r="D66" s="81" t="s">
        <v>9</v>
      </c>
      <c r="E66" s="161" t="s">
        <v>2190</v>
      </c>
      <c r="F66" s="162">
        <v>1560</v>
      </c>
      <c r="G66" s="162">
        <v>1550</v>
      </c>
      <c r="H66" s="81">
        <v>-10</v>
      </c>
      <c r="I66" s="162">
        <v>400</v>
      </c>
      <c r="J66" s="251">
        <v>-4000</v>
      </c>
      <c r="K66" s="146"/>
      <c r="V66">
        <v>0</v>
      </c>
      <c r="W66">
        <v>1</v>
      </c>
    </row>
    <row r="67" spans="1:23" x14ac:dyDescent="0.3">
      <c r="A67" s="145"/>
      <c r="B67" s="160">
        <v>8</v>
      </c>
      <c r="C67" s="43">
        <v>42898</v>
      </c>
      <c r="D67" s="81" t="s">
        <v>8</v>
      </c>
      <c r="E67" s="161" t="s">
        <v>31</v>
      </c>
      <c r="F67" s="162">
        <v>1325</v>
      </c>
      <c r="G67" s="162">
        <v>1317.5</v>
      </c>
      <c r="H67" s="81">
        <v>7.5</v>
      </c>
      <c r="I67" s="162">
        <v>500</v>
      </c>
      <c r="J67" s="251">
        <v>3750</v>
      </c>
      <c r="K67" s="146"/>
      <c r="V67">
        <v>1</v>
      </c>
      <c r="W67">
        <v>0</v>
      </c>
    </row>
    <row r="68" spans="1:23" x14ac:dyDescent="0.3">
      <c r="A68" s="145"/>
      <c r="B68" s="160">
        <v>9</v>
      </c>
      <c r="C68" s="43">
        <v>42900</v>
      </c>
      <c r="D68" s="81" t="s">
        <v>8</v>
      </c>
      <c r="E68" s="161" t="s">
        <v>139</v>
      </c>
      <c r="F68" s="162">
        <v>1480</v>
      </c>
      <c r="G68" s="162">
        <v>1452.5</v>
      </c>
      <c r="H68" s="81">
        <v>27.5</v>
      </c>
      <c r="I68" s="162">
        <v>350</v>
      </c>
      <c r="J68" s="251">
        <v>9625</v>
      </c>
      <c r="K68" s="146"/>
      <c r="V68">
        <v>1</v>
      </c>
      <c r="W68">
        <v>0</v>
      </c>
    </row>
    <row r="69" spans="1:23" x14ac:dyDescent="0.3">
      <c r="A69" s="145"/>
      <c r="B69" s="160">
        <v>10</v>
      </c>
      <c r="C69" s="43">
        <v>42901</v>
      </c>
      <c r="D69" s="81" t="s">
        <v>8</v>
      </c>
      <c r="E69" s="161" t="s">
        <v>939</v>
      </c>
      <c r="F69" s="162">
        <v>652</v>
      </c>
      <c r="G69" s="162">
        <v>649</v>
      </c>
      <c r="H69" s="81">
        <v>3</v>
      </c>
      <c r="I69" s="162">
        <v>1500</v>
      </c>
      <c r="J69" s="251">
        <v>4500</v>
      </c>
      <c r="K69" s="146"/>
      <c r="V69">
        <v>1</v>
      </c>
      <c r="W69">
        <v>0</v>
      </c>
    </row>
    <row r="70" spans="1:23" x14ac:dyDescent="0.3">
      <c r="A70" s="145"/>
      <c r="B70" s="160">
        <v>11</v>
      </c>
      <c r="C70" s="43">
        <v>42902</v>
      </c>
      <c r="D70" s="81" t="s">
        <v>8</v>
      </c>
      <c r="E70" s="161" t="s">
        <v>139</v>
      </c>
      <c r="F70" s="162">
        <v>1455</v>
      </c>
      <c r="G70" s="162">
        <v>1447</v>
      </c>
      <c r="H70" s="81">
        <v>8</v>
      </c>
      <c r="I70" s="162">
        <v>350</v>
      </c>
      <c r="J70" s="251">
        <v>2800</v>
      </c>
      <c r="K70" s="146"/>
      <c r="V70">
        <v>1</v>
      </c>
      <c r="W70">
        <v>0</v>
      </c>
    </row>
    <row r="71" spans="1:23" x14ac:dyDescent="0.3">
      <c r="A71" s="145"/>
      <c r="B71" s="160">
        <v>12</v>
      </c>
      <c r="C71" s="43">
        <v>42905</v>
      </c>
      <c r="D71" s="81" t="s">
        <v>8</v>
      </c>
      <c r="E71" s="161" t="s">
        <v>139</v>
      </c>
      <c r="F71" s="162">
        <v>1435</v>
      </c>
      <c r="G71" s="162">
        <v>1435</v>
      </c>
      <c r="H71" s="81">
        <v>0</v>
      </c>
      <c r="I71" s="162">
        <v>350</v>
      </c>
      <c r="J71" s="251">
        <v>0</v>
      </c>
      <c r="K71" s="146"/>
      <c r="V71">
        <v>0</v>
      </c>
      <c r="W71">
        <v>0</v>
      </c>
    </row>
    <row r="72" spans="1:23" x14ac:dyDescent="0.3">
      <c r="A72" s="145"/>
      <c r="B72" s="160">
        <v>13</v>
      </c>
      <c r="C72" s="43">
        <v>42906</v>
      </c>
      <c r="D72" s="81" t="s">
        <v>8</v>
      </c>
      <c r="E72" s="161" t="s">
        <v>78</v>
      </c>
      <c r="F72" s="162">
        <v>1765</v>
      </c>
      <c r="G72" s="162">
        <v>1750</v>
      </c>
      <c r="H72" s="81">
        <v>-15</v>
      </c>
      <c r="I72" s="162">
        <v>500</v>
      </c>
      <c r="J72" s="251">
        <v>-7500</v>
      </c>
      <c r="K72" s="146"/>
      <c r="V72">
        <v>0</v>
      </c>
      <c r="W72">
        <v>1</v>
      </c>
    </row>
    <row r="73" spans="1:23" x14ac:dyDescent="0.3">
      <c r="A73" s="145"/>
      <c r="B73" s="160">
        <v>14</v>
      </c>
      <c r="C73" s="43">
        <v>42907</v>
      </c>
      <c r="D73" s="81" t="s">
        <v>8</v>
      </c>
      <c r="E73" s="161" t="s">
        <v>2204</v>
      </c>
      <c r="F73" s="162">
        <v>462</v>
      </c>
      <c r="G73" s="162">
        <v>459</v>
      </c>
      <c r="H73" s="81">
        <v>3</v>
      </c>
      <c r="I73" s="162">
        <v>1500</v>
      </c>
      <c r="J73" s="251">
        <v>4500</v>
      </c>
      <c r="K73" s="146"/>
      <c r="V73">
        <v>1</v>
      </c>
      <c r="W73">
        <v>0</v>
      </c>
    </row>
    <row r="74" spans="1:23" x14ac:dyDescent="0.3">
      <c r="A74" s="145"/>
      <c r="B74" s="160">
        <v>15</v>
      </c>
      <c r="C74" s="43">
        <v>42908</v>
      </c>
      <c r="D74" s="81" t="s">
        <v>8</v>
      </c>
      <c r="E74" s="161" t="s">
        <v>19</v>
      </c>
      <c r="F74" s="162">
        <v>292.5</v>
      </c>
      <c r="G74" s="162">
        <v>294</v>
      </c>
      <c r="H74" s="81">
        <v>-1.5</v>
      </c>
      <c r="I74" s="162">
        <v>3000</v>
      </c>
      <c r="J74" s="251">
        <v>-4500</v>
      </c>
      <c r="K74" s="146"/>
      <c r="V74">
        <v>0</v>
      </c>
      <c r="W74">
        <v>1</v>
      </c>
    </row>
    <row r="75" spans="1:23" x14ac:dyDescent="0.3">
      <c r="A75" s="145"/>
      <c r="B75" s="160">
        <v>16</v>
      </c>
      <c r="C75" s="43">
        <v>42909</v>
      </c>
      <c r="D75" s="81" t="s">
        <v>8</v>
      </c>
      <c r="E75" s="161" t="s">
        <v>78</v>
      </c>
      <c r="F75" s="162">
        <v>1732</v>
      </c>
      <c r="G75" s="162">
        <v>1723</v>
      </c>
      <c r="H75" s="81">
        <v>9</v>
      </c>
      <c r="I75" s="162">
        <v>500</v>
      </c>
      <c r="J75" s="251">
        <v>4500</v>
      </c>
      <c r="K75" s="146"/>
      <c r="V75">
        <v>1</v>
      </c>
      <c r="W75">
        <v>0</v>
      </c>
    </row>
    <row r="76" spans="1:23" x14ac:dyDescent="0.3">
      <c r="A76" s="145"/>
      <c r="B76" s="160">
        <v>17</v>
      </c>
      <c r="C76" s="43">
        <v>42913</v>
      </c>
      <c r="D76" s="81" t="s">
        <v>8</v>
      </c>
      <c r="E76" s="161" t="s">
        <v>78</v>
      </c>
      <c r="F76" s="162">
        <v>1720</v>
      </c>
      <c r="G76" s="162">
        <v>1690</v>
      </c>
      <c r="H76" s="81">
        <v>30</v>
      </c>
      <c r="I76" s="162">
        <v>500</v>
      </c>
      <c r="J76" s="251">
        <v>15000</v>
      </c>
      <c r="K76" s="146"/>
      <c r="V76">
        <v>1</v>
      </c>
      <c r="W76">
        <v>0</v>
      </c>
    </row>
    <row r="77" spans="1:23" x14ac:dyDescent="0.3">
      <c r="A77" s="145"/>
      <c r="B77" s="160">
        <v>18</v>
      </c>
      <c r="C77" s="43">
        <v>42914</v>
      </c>
      <c r="D77" s="81" t="s">
        <v>8</v>
      </c>
      <c r="E77" s="161" t="s">
        <v>31</v>
      </c>
      <c r="F77" s="162">
        <v>1420</v>
      </c>
      <c r="G77" s="162">
        <v>1400</v>
      </c>
      <c r="H77" s="81">
        <v>20</v>
      </c>
      <c r="I77" s="162">
        <v>500</v>
      </c>
      <c r="J77" s="251">
        <v>10000</v>
      </c>
      <c r="K77" s="146"/>
      <c r="V77">
        <v>1</v>
      </c>
      <c r="W77">
        <v>0</v>
      </c>
    </row>
    <row r="78" spans="1:23" x14ac:dyDescent="0.3">
      <c r="A78" s="145"/>
      <c r="B78" s="160">
        <v>19</v>
      </c>
      <c r="C78" s="43">
        <v>42915</v>
      </c>
      <c r="D78" s="81" t="s">
        <v>8</v>
      </c>
      <c r="E78" s="161" t="s">
        <v>78</v>
      </c>
      <c r="F78" s="162">
        <v>1715</v>
      </c>
      <c r="G78" s="162">
        <v>1694</v>
      </c>
      <c r="H78" s="81">
        <v>21</v>
      </c>
      <c r="I78" s="162">
        <v>500</v>
      </c>
      <c r="J78" s="251">
        <v>10500</v>
      </c>
      <c r="K78" s="146"/>
      <c r="V78">
        <v>1</v>
      </c>
      <c r="W78">
        <v>0</v>
      </c>
    </row>
    <row r="79" spans="1:23" x14ac:dyDescent="0.3">
      <c r="A79" s="145"/>
      <c r="B79" s="160">
        <v>20</v>
      </c>
      <c r="C79" s="43">
        <v>42916</v>
      </c>
      <c r="D79" s="81" t="s">
        <v>8</v>
      </c>
      <c r="E79" s="161" t="s">
        <v>78</v>
      </c>
      <c r="F79" s="162">
        <v>1675</v>
      </c>
      <c r="G79" s="162">
        <v>1666</v>
      </c>
      <c r="H79" s="81">
        <v>9</v>
      </c>
      <c r="I79" s="162">
        <v>500</v>
      </c>
      <c r="J79" s="251">
        <v>4500</v>
      </c>
      <c r="K79" s="146"/>
      <c r="V79">
        <v>1</v>
      </c>
      <c r="W79">
        <v>0</v>
      </c>
    </row>
    <row r="80" spans="1:23" x14ac:dyDescent="0.3">
      <c r="A80" s="145"/>
      <c r="B80" s="160">
        <v>21</v>
      </c>
      <c r="C80" s="43"/>
      <c r="D80" s="81"/>
      <c r="E80" s="161"/>
      <c r="F80" s="162"/>
      <c r="G80" s="162"/>
      <c r="H80" s="81"/>
      <c r="I80" s="162"/>
      <c r="J80" s="251"/>
      <c r="K80" s="146"/>
      <c r="V80">
        <v>0</v>
      </c>
      <c r="W80">
        <v>0</v>
      </c>
    </row>
    <row r="81" spans="1:23" x14ac:dyDescent="0.3">
      <c r="A81" s="145"/>
      <c r="B81" s="160">
        <v>22</v>
      </c>
      <c r="C81" s="43"/>
      <c r="D81" s="81"/>
      <c r="E81" s="161"/>
      <c r="F81" s="162"/>
      <c r="G81" s="162"/>
      <c r="H81" s="81"/>
      <c r="I81" s="162"/>
      <c r="J81" s="251"/>
      <c r="K81" s="146"/>
      <c r="V81">
        <v>0</v>
      </c>
      <c r="W81">
        <v>0</v>
      </c>
    </row>
    <row r="82" spans="1:23" ht="15" thickBot="1" x14ac:dyDescent="0.35">
      <c r="A82" s="145"/>
      <c r="B82" s="163">
        <v>23</v>
      </c>
      <c r="C82" s="164"/>
      <c r="D82" s="165"/>
      <c r="E82" s="166"/>
      <c r="F82" s="167"/>
      <c r="G82" s="167"/>
      <c r="H82" s="165"/>
      <c r="I82" s="167"/>
      <c r="J82" s="252"/>
      <c r="K82" s="146"/>
      <c r="V82">
        <v>0</v>
      </c>
      <c r="W82">
        <v>0</v>
      </c>
    </row>
    <row r="83" spans="1:23" ht="24" thickBot="1" x14ac:dyDescent="0.5">
      <c r="A83" s="145"/>
      <c r="B83" s="308" t="s">
        <v>2254</v>
      </c>
      <c r="C83" s="309"/>
      <c r="D83" s="309"/>
      <c r="E83" s="309"/>
      <c r="F83" s="309"/>
      <c r="G83" s="309"/>
      <c r="H83" s="310"/>
      <c r="I83" s="168" t="s">
        <v>2255</v>
      </c>
      <c r="J83" s="169">
        <v>51225.000000000073</v>
      </c>
      <c r="K83" s="146"/>
      <c r="V83">
        <v>13</v>
      </c>
      <c r="W83">
        <v>6</v>
      </c>
    </row>
    <row r="84" spans="1:23" ht="30" customHeight="1" thickBot="1" x14ac:dyDescent="0.35">
      <c r="A84" s="170"/>
      <c r="B84" s="171"/>
      <c r="C84" s="171"/>
      <c r="D84" s="171"/>
      <c r="E84" s="172"/>
      <c r="F84" s="171"/>
      <c r="G84" s="171"/>
      <c r="H84" s="248"/>
      <c r="I84" s="171"/>
      <c r="J84" s="248"/>
      <c r="K84" s="173"/>
    </row>
    <row r="85" spans="1:23" ht="15" thickBot="1" x14ac:dyDescent="0.35"/>
    <row r="86" spans="1:23" ht="30" customHeight="1" thickBot="1" x14ac:dyDescent="0.35">
      <c r="A86" s="141"/>
      <c r="B86" s="142"/>
      <c r="C86" s="142"/>
      <c r="D86" s="142"/>
      <c r="E86" s="143"/>
      <c r="F86" s="142"/>
      <c r="G86" s="142"/>
      <c r="H86" s="247"/>
      <c r="I86" s="142"/>
      <c r="J86" s="247"/>
      <c r="K86" s="144"/>
    </row>
    <row r="87" spans="1:23" ht="25.2" thickBot="1" x14ac:dyDescent="0.35">
      <c r="A87" s="145" t="s">
        <v>0</v>
      </c>
      <c r="B87" s="311" t="s">
        <v>2261</v>
      </c>
      <c r="C87" s="312"/>
      <c r="D87" s="312"/>
      <c r="E87" s="312"/>
      <c r="F87" s="312"/>
      <c r="G87" s="312"/>
      <c r="H87" s="312"/>
      <c r="I87" s="312"/>
      <c r="J87" s="313"/>
      <c r="K87" s="146"/>
    </row>
    <row r="88" spans="1:23" ht="16.2" thickBot="1" x14ac:dyDescent="0.35">
      <c r="A88" s="145"/>
      <c r="B88" s="302" t="s">
        <v>2246</v>
      </c>
      <c r="C88" s="303"/>
      <c r="D88" s="303"/>
      <c r="E88" s="303"/>
      <c r="F88" s="303"/>
      <c r="G88" s="303"/>
      <c r="H88" s="303"/>
      <c r="I88" s="303"/>
      <c r="J88" s="304"/>
      <c r="K88" s="146"/>
    </row>
    <row r="89" spans="1:23" ht="16.2" thickBot="1" x14ac:dyDescent="0.35">
      <c r="A89" s="145"/>
      <c r="B89" s="305" t="s">
        <v>2258</v>
      </c>
      <c r="C89" s="306"/>
      <c r="D89" s="306"/>
      <c r="E89" s="306"/>
      <c r="F89" s="306"/>
      <c r="G89" s="306"/>
      <c r="H89" s="306"/>
      <c r="I89" s="306"/>
      <c r="J89" s="307"/>
      <c r="K89" s="146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174"/>
      <c r="V90" s="154" t="s">
        <v>454</v>
      </c>
      <c r="W90" s="154" t="s">
        <v>455</v>
      </c>
    </row>
    <row r="91" spans="1:23" x14ac:dyDescent="0.3">
      <c r="A91" s="145"/>
      <c r="B91" s="182">
        <v>1</v>
      </c>
      <c r="C91" s="183">
        <v>42887</v>
      </c>
      <c r="D91" s="184" t="s">
        <v>8</v>
      </c>
      <c r="E91" s="185" t="s">
        <v>39</v>
      </c>
      <c r="F91" s="186" t="s">
        <v>2191</v>
      </c>
      <c r="G91" s="186" t="s">
        <v>1022</v>
      </c>
      <c r="H91" s="184" t="s">
        <v>961</v>
      </c>
      <c r="I91" s="186">
        <v>150</v>
      </c>
      <c r="J91" s="253">
        <v>3750</v>
      </c>
      <c r="K91" s="146"/>
      <c r="V91">
        <v>1</v>
      </c>
      <c r="W91">
        <v>0</v>
      </c>
    </row>
    <row r="92" spans="1:23" x14ac:dyDescent="0.3">
      <c r="A92" s="145"/>
      <c r="B92" s="160">
        <v>2</v>
      </c>
      <c r="C92" s="43">
        <v>42888</v>
      </c>
      <c r="D92" s="81" t="s">
        <v>8</v>
      </c>
      <c r="E92" s="161" t="s">
        <v>39</v>
      </c>
      <c r="F92" s="162">
        <v>9655</v>
      </c>
      <c r="G92" s="162">
        <v>9655</v>
      </c>
      <c r="H92" s="81">
        <v>0</v>
      </c>
      <c r="I92" s="162">
        <v>150</v>
      </c>
      <c r="J92" s="251">
        <v>0</v>
      </c>
      <c r="K92" s="146"/>
      <c r="V92">
        <v>0</v>
      </c>
      <c r="W92">
        <v>0</v>
      </c>
    </row>
    <row r="93" spans="1:23" x14ac:dyDescent="0.3">
      <c r="A93" s="145"/>
      <c r="B93" s="160">
        <v>3</v>
      </c>
      <c r="C93" s="43">
        <v>42891</v>
      </c>
      <c r="D93" s="81" t="s">
        <v>8</v>
      </c>
      <c r="E93" s="161" t="s">
        <v>39</v>
      </c>
      <c r="F93" s="162">
        <v>9685</v>
      </c>
      <c r="G93" s="162">
        <v>9685</v>
      </c>
      <c r="H93" s="81">
        <v>0</v>
      </c>
      <c r="I93" s="162">
        <v>150</v>
      </c>
      <c r="J93" s="251">
        <v>0</v>
      </c>
      <c r="K93" s="146"/>
      <c r="V93">
        <v>0</v>
      </c>
      <c r="W93">
        <v>0</v>
      </c>
    </row>
    <row r="94" spans="1:23" x14ac:dyDescent="0.3">
      <c r="A94" s="145"/>
      <c r="B94" s="160">
        <v>4</v>
      </c>
      <c r="C94" s="43">
        <v>42892</v>
      </c>
      <c r="D94" s="81" t="s">
        <v>8</v>
      </c>
      <c r="E94" s="161" t="s">
        <v>39</v>
      </c>
      <c r="F94" s="162">
        <v>9675</v>
      </c>
      <c r="G94" s="162">
        <v>9660</v>
      </c>
      <c r="H94" s="81">
        <v>15</v>
      </c>
      <c r="I94" s="162">
        <v>150</v>
      </c>
      <c r="J94" s="251">
        <v>2250</v>
      </c>
      <c r="K94" s="146"/>
      <c r="V94">
        <v>1</v>
      </c>
      <c r="W94">
        <v>0</v>
      </c>
    </row>
    <row r="95" spans="1:23" x14ac:dyDescent="0.3">
      <c r="A95" s="145"/>
      <c r="B95" s="160">
        <v>5</v>
      </c>
      <c r="C95" s="43">
        <v>42893</v>
      </c>
      <c r="D95" s="81" t="s">
        <v>9</v>
      </c>
      <c r="E95" s="161" t="s">
        <v>39</v>
      </c>
      <c r="F95" s="162">
        <v>9680</v>
      </c>
      <c r="G95" s="162">
        <v>9695</v>
      </c>
      <c r="H95" s="81">
        <v>15</v>
      </c>
      <c r="I95" s="162">
        <v>150</v>
      </c>
      <c r="J95" s="251">
        <v>2250</v>
      </c>
      <c r="K95" s="146"/>
      <c r="V95">
        <v>1</v>
      </c>
      <c r="W95">
        <v>0</v>
      </c>
    </row>
    <row r="96" spans="1:23" x14ac:dyDescent="0.3">
      <c r="A96" s="145"/>
      <c r="B96" s="160">
        <v>6</v>
      </c>
      <c r="C96" s="43">
        <v>42894</v>
      </c>
      <c r="D96" s="81" t="s">
        <v>8</v>
      </c>
      <c r="E96" s="161" t="s">
        <v>39</v>
      </c>
      <c r="F96" s="162">
        <v>9670</v>
      </c>
      <c r="G96" s="162">
        <v>9665</v>
      </c>
      <c r="H96" s="81">
        <v>5</v>
      </c>
      <c r="I96" s="162">
        <v>150</v>
      </c>
      <c r="J96" s="251">
        <v>750</v>
      </c>
      <c r="K96" s="146"/>
      <c r="V96">
        <v>1</v>
      </c>
      <c r="W96">
        <v>0</v>
      </c>
    </row>
    <row r="97" spans="1:23" x14ac:dyDescent="0.3">
      <c r="A97" s="145"/>
      <c r="B97" s="160">
        <v>7</v>
      </c>
      <c r="C97" s="43">
        <v>42895</v>
      </c>
      <c r="D97" s="81" t="s">
        <v>8</v>
      </c>
      <c r="E97" s="161" t="s">
        <v>39</v>
      </c>
      <c r="F97" s="162">
        <v>9635</v>
      </c>
      <c r="G97" s="162">
        <v>9665</v>
      </c>
      <c r="H97" s="81">
        <v>-30</v>
      </c>
      <c r="I97" s="162">
        <v>150</v>
      </c>
      <c r="J97" s="251">
        <v>-4500</v>
      </c>
      <c r="K97" s="146"/>
      <c r="V97">
        <v>0</v>
      </c>
      <c r="W97">
        <v>1</v>
      </c>
    </row>
    <row r="98" spans="1:23" x14ac:dyDescent="0.3">
      <c r="A98" s="145"/>
      <c r="B98" s="160">
        <v>8</v>
      </c>
      <c r="C98" s="43">
        <v>42898</v>
      </c>
      <c r="D98" s="81" t="s">
        <v>8</v>
      </c>
      <c r="E98" s="161" t="s">
        <v>39</v>
      </c>
      <c r="F98" s="162">
        <v>9635</v>
      </c>
      <c r="G98" s="162">
        <v>9605</v>
      </c>
      <c r="H98" s="81">
        <v>30</v>
      </c>
      <c r="I98" s="162">
        <v>150</v>
      </c>
      <c r="J98" s="251">
        <v>4500</v>
      </c>
      <c r="K98" s="146"/>
      <c r="V98">
        <v>1</v>
      </c>
      <c r="W98">
        <v>0</v>
      </c>
    </row>
    <row r="99" spans="1:23" x14ac:dyDescent="0.3">
      <c r="A99" s="145"/>
      <c r="B99" s="160">
        <v>9</v>
      </c>
      <c r="C99" s="43">
        <v>42900</v>
      </c>
      <c r="D99" s="81" t="s">
        <v>8</v>
      </c>
      <c r="E99" s="161" t="s">
        <v>39</v>
      </c>
      <c r="F99" s="162">
        <v>9610</v>
      </c>
      <c r="G99" s="162">
        <v>9640</v>
      </c>
      <c r="H99" s="81">
        <v>-30</v>
      </c>
      <c r="I99" s="162">
        <v>150</v>
      </c>
      <c r="J99" s="251">
        <v>-4500</v>
      </c>
      <c r="K99" s="146"/>
      <c r="V99">
        <v>0</v>
      </c>
      <c r="W99">
        <v>1</v>
      </c>
    </row>
    <row r="100" spans="1:23" x14ac:dyDescent="0.3">
      <c r="A100" s="145"/>
      <c r="B100" s="160">
        <v>10</v>
      </c>
      <c r="C100" s="43">
        <v>42901</v>
      </c>
      <c r="D100" s="81" t="s">
        <v>8</v>
      </c>
      <c r="E100" s="161" t="s">
        <v>39</v>
      </c>
      <c r="F100" s="162">
        <v>9620</v>
      </c>
      <c r="G100" s="162">
        <v>9590</v>
      </c>
      <c r="H100" s="81">
        <v>30</v>
      </c>
      <c r="I100" s="162">
        <v>150</v>
      </c>
      <c r="J100" s="251">
        <v>4500</v>
      </c>
      <c r="K100" s="146"/>
      <c r="V100">
        <v>1</v>
      </c>
      <c r="W100">
        <v>0</v>
      </c>
    </row>
    <row r="101" spans="1:23" x14ac:dyDescent="0.3">
      <c r="A101" s="145"/>
      <c r="B101" s="160">
        <v>11</v>
      </c>
      <c r="C101" s="43">
        <v>42902</v>
      </c>
      <c r="D101" s="81" t="s">
        <v>8</v>
      </c>
      <c r="E101" s="161" t="s">
        <v>39</v>
      </c>
      <c r="F101" s="162">
        <v>9620</v>
      </c>
      <c r="G101" s="162">
        <v>9590</v>
      </c>
      <c r="H101" s="81">
        <v>30</v>
      </c>
      <c r="I101" s="162">
        <v>150</v>
      </c>
      <c r="J101" s="251">
        <v>4500</v>
      </c>
      <c r="K101" s="146"/>
      <c r="V101">
        <v>1</v>
      </c>
      <c r="W101">
        <v>0</v>
      </c>
    </row>
    <row r="102" spans="1:23" x14ac:dyDescent="0.3">
      <c r="A102" s="145"/>
      <c r="B102" s="160">
        <v>12</v>
      </c>
      <c r="C102" s="43">
        <v>42905</v>
      </c>
      <c r="D102" s="81" t="s">
        <v>8</v>
      </c>
      <c r="E102" s="161" t="s">
        <v>39</v>
      </c>
      <c r="F102" s="162">
        <v>9645</v>
      </c>
      <c r="G102" s="162">
        <v>9675</v>
      </c>
      <c r="H102" s="81">
        <v>-30</v>
      </c>
      <c r="I102" s="162">
        <v>150</v>
      </c>
      <c r="J102" s="251">
        <v>-4500</v>
      </c>
      <c r="K102" s="146"/>
      <c r="V102">
        <v>0</v>
      </c>
      <c r="W102">
        <v>1</v>
      </c>
    </row>
    <row r="103" spans="1:23" x14ac:dyDescent="0.3">
      <c r="A103" s="145"/>
      <c r="B103" s="160">
        <v>13</v>
      </c>
      <c r="C103" s="43">
        <v>42906</v>
      </c>
      <c r="D103" s="81" t="s">
        <v>9</v>
      </c>
      <c r="E103" s="161" t="s">
        <v>39</v>
      </c>
      <c r="F103" s="162">
        <v>9680</v>
      </c>
      <c r="G103" s="162">
        <v>9680</v>
      </c>
      <c r="H103" s="81">
        <v>0</v>
      </c>
      <c r="I103" s="162">
        <v>150</v>
      </c>
      <c r="J103" s="251">
        <v>0</v>
      </c>
      <c r="K103" s="146"/>
      <c r="V103">
        <v>0</v>
      </c>
      <c r="W103">
        <v>0</v>
      </c>
    </row>
    <row r="104" spans="1:23" x14ac:dyDescent="0.3">
      <c r="A104" s="145"/>
      <c r="B104" s="160">
        <v>14</v>
      </c>
      <c r="C104" s="43">
        <v>42907</v>
      </c>
      <c r="D104" s="81" t="s">
        <v>8</v>
      </c>
      <c r="E104" s="161" t="s">
        <v>39</v>
      </c>
      <c r="F104" s="162">
        <v>9635</v>
      </c>
      <c r="G104" s="162">
        <v>9623</v>
      </c>
      <c r="H104" s="81">
        <v>12</v>
      </c>
      <c r="I104" s="162">
        <v>150</v>
      </c>
      <c r="J104" s="251">
        <v>1800</v>
      </c>
      <c r="K104" s="146"/>
      <c r="V104">
        <v>1</v>
      </c>
      <c r="W104">
        <v>0</v>
      </c>
    </row>
    <row r="105" spans="1:23" x14ac:dyDescent="0.3">
      <c r="A105" s="145"/>
      <c r="B105" s="160">
        <v>15</v>
      </c>
      <c r="C105" s="43">
        <v>42908</v>
      </c>
      <c r="D105" s="81" t="s">
        <v>8</v>
      </c>
      <c r="E105" s="161" t="s">
        <v>39</v>
      </c>
      <c r="F105" s="162">
        <v>9680</v>
      </c>
      <c r="G105" s="162">
        <v>9710</v>
      </c>
      <c r="H105" s="81">
        <v>-30</v>
      </c>
      <c r="I105" s="162">
        <v>150</v>
      </c>
      <c r="J105" s="251">
        <v>-4500</v>
      </c>
      <c r="K105" s="146"/>
      <c r="V105">
        <v>0</v>
      </c>
      <c r="W105">
        <v>1</v>
      </c>
    </row>
    <row r="106" spans="1:23" x14ac:dyDescent="0.3">
      <c r="A106" s="145"/>
      <c r="B106" s="160">
        <v>16</v>
      </c>
      <c r="C106" s="43">
        <v>42909</v>
      </c>
      <c r="D106" s="81" t="s">
        <v>8</v>
      </c>
      <c r="E106" s="161" t="s">
        <v>39</v>
      </c>
      <c r="F106" s="162">
        <v>9610</v>
      </c>
      <c r="G106" s="162">
        <v>9580</v>
      </c>
      <c r="H106" s="81">
        <v>30</v>
      </c>
      <c r="I106" s="162">
        <v>150</v>
      </c>
      <c r="J106" s="251">
        <v>4500</v>
      </c>
      <c r="K106" s="146"/>
      <c r="V106">
        <v>1</v>
      </c>
      <c r="W106">
        <v>0</v>
      </c>
    </row>
    <row r="107" spans="1:23" x14ac:dyDescent="0.3">
      <c r="A107" s="145"/>
      <c r="B107" s="160">
        <v>17</v>
      </c>
      <c r="C107" s="43">
        <v>42913</v>
      </c>
      <c r="D107" s="81" t="s">
        <v>8</v>
      </c>
      <c r="E107" s="161" t="s">
        <v>39</v>
      </c>
      <c r="F107" s="162">
        <v>9550</v>
      </c>
      <c r="G107" s="162">
        <v>9490</v>
      </c>
      <c r="H107" s="81">
        <v>60</v>
      </c>
      <c r="I107" s="162">
        <v>150</v>
      </c>
      <c r="J107" s="251">
        <v>9000</v>
      </c>
      <c r="K107" s="146"/>
      <c r="V107">
        <v>1</v>
      </c>
      <c r="W107">
        <v>0</v>
      </c>
    </row>
    <row r="108" spans="1:23" x14ac:dyDescent="0.3">
      <c r="A108" s="145"/>
      <c r="B108" s="160">
        <v>18</v>
      </c>
      <c r="C108" s="43">
        <v>42914</v>
      </c>
      <c r="D108" s="81" t="s">
        <v>8</v>
      </c>
      <c r="E108" s="161" t="s">
        <v>39</v>
      </c>
      <c r="F108" s="162">
        <v>9510</v>
      </c>
      <c r="G108" s="162">
        <v>9480</v>
      </c>
      <c r="H108" s="81">
        <v>30</v>
      </c>
      <c r="I108" s="162">
        <v>150</v>
      </c>
      <c r="J108" s="251">
        <v>4500</v>
      </c>
      <c r="K108" s="146"/>
      <c r="V108">
        <v>1</v>
      </c>
      <c r="W108">
        <v>0</v>
      </c>
    </row>
    <row r="109" spans="1:23" x14ac:dyDescent="0.3">
      <c r="A109" s="145"/>
      <c r="B109" s="160">
        <v>19</v>
      </c>
      <c r="C109" s="43">
        <v>42915</v>
      </c>
      <c r="D109" s="81" t="s">
        <v>8</v>
      </c>
      <c r="E109" s="161" t="s">
        <v>39</v>
      </c>
      <c r="F109" s="162">
        <v>9555</v>
      </c>
      <c r="G109" s="162">
        <v>9500</v>
      </c>
      <c r="H109" s="81">
        <v>55</v>
      </c>
      <c r="I109" s="162">
        <v>150</v>
      </c>
      <c r="J109" s="251">
        <v>8250</v>
      </c>
      <c r="K109" s="146"/>
      <c r="V109">
        <v>1</v>
      </c>
      <c r="W109">
        <v>0</v>
      </c>
    </row>
    <row r="110" spans="1:23" x14ac:dyDescent="0.3">
      <c r="A110" s="145"/>
      <c r="B110" s="160">
        <v>20</v>
      </c>
      <c r="C110" s="43">
        <v>42916</v>
      </c>
      <c r="D110" s="81" t="s">
        <v>8</v>
      </c>
      <c r="E110" s="161" t="s">
        <v>39</v>
      </c>
      <c r="F110" s="162">
        <v>9485</v>
      </c>
      <c r="G110" s="162">
        <v>9470</v>
      </c>
      <c r="H110" s="81">
        <v>15</v>
      </c>
      <c r="I110" s="162">
        <v>150</v>
      </c>
      <c r="J110" s="251">
        <v>2250</v>
      </c>
      <c r="K110" s="146"/>
      <c r="V110">
        <v>1</v>
      </c>
      <c r="W110">
        <v>0</v>
      </c>
    </row>
    <row r="111" spans="1:23" x14ac:dyDescent="0.3">
      <c r="A111" s="145"/>
      <c r="B111" s="160">
        <v>21</v>
      </c>
      <c r="C111" s="43"/>
      <c r="D111" s="81"/>
      <c r="E111" s="161"/>
      <c r="F111" s="162"/>
      <c r="G111" s="162"/>
      <c r="H111" s="81"/>
      <c r="I111" s="162"/>
      <c r="J111" s="251"/>
      <c r="K111" s="146"/>
      <c r="V111">
        <v>0</v>
      </c>
      <c r="W111">
        <v>0</v>
      </c>
    </row>
    <row r="112" spans="1:23" x14ac:dyDescent="0.3">
      <c r="A112" s="145"/>
      <c r="B112" s="160">
        <v>22</v>
      </c>
      <c r="C112" s="43"/>
      <c r="D112" s="81"/>
      <c r="E112" s="161"/>
      <c r="F112" s="162"/>
      <c r="G112" s="162"/>
      <c r="H112" s="81"/>
      <c r="I112" s="162"/>
      <c r="J112" s="251"/>
      <c r="K112" s="146"/>
      <c r="V112">
        <v>0</v>
      </c>
      <c r="W112">
        <v>0</v>
      </c>
    </row>
    <row r="113" spans="1:23" ht="15" thickBot="1" x14ac:dyDescent="0.35">
      <c r="A113" s="145"/>
      <c r="B113" s="163">
        <v>23</v>
      </c>
      <c r="C113" s="164"/>
      <c r="D113" s="165"/>
      <c r="E113" s="166"/>
      <c r="F113" s="167"/>
      <c r="G113" s="167"/>
      <c r="H113" s="165"/>
      <c r="I113" s="167"/>
      <c r="J113" s="252"/>
      <c r="K113" s="146"/>
      <c r="V113">
        <v>0</v>
      </c>
      <c r="W113">
        <v>0</v>
      </c>
    </row>
    <row r="114" spans="1:23" ht="24" thickBot="1" x14ac:dyDescent="0.5">
      <c r="A114" s="145"/>
      <c r="B114" s="308" t="s">
        <v>2254</v>
      </c>
      <c r="C114" s="309"/>
      <c r="D114" s="309"/>
      <c r="E114" s="309"/>
      <c r="F114" s="309"/>
      <c r="G114" s="309"/>
      <c r="H114" s="310"/>
      <c r="I114" s="168" t="s">
        <v>2255</v>
      </c>
      <c r="J114" s="169">
        <v>34800</v>
      </c>
      <c r="K114" s="146"/>
      <c r="V114">
        <v>13</v>
      </c>
      <c r="W114">
        <v>4</v>
      </c>
    </row>
    <row r="115" spans="1:23" ht="30" customHeight="1" thickBot="1" x14ac:dyDescent="0.35">
      <c r="A115" s="170"/>
      <c r="B115" s="171"/>
      <c r="C115" s="171"/>
      <c r="D115" s="171"/>
      <c r="E115" s="172"/>
      <c r="F115" s="171"/>
      <c r="G115" s="171"/>
      <c r="H115" s="248"/>
      <c r="I115" s="171"/>
      <c r="J115" s="248"/>
      <c r="K115" s="173"/>
    </row>
    <row r="116" spans="1:23" ht="15" thickBot="1" x14ac:dyDescent="0.35"/>
    <row r="117" spans="1:23" ht="30" customHeight="1" thickBot="1" x14ac:dyDescent="0.35">
      <c r="A117" s="141"/>
      <c r="B117" s="142"/>
      <c r="C117" s="142"/>
      <c r="D117" s="142"/>
      <c r="E117" s="143"/>
      <c r="F117" s="142"/>
      <c r="G117" s="142"/>
      <c r="H117" s="247"/>
      <c r="I117" s="142"/>
      <c r="J117" s="247"/>
      <c r="K117" s="144"/>
    </row>
    <row r="118" spans="1:23" ht="25.2" thickBot="1" x14ac:dyDescent="0.35">
      <c r="A118" s="145" t="s">
        <v>0</v>
      </c>
      <c r="B118" s="311" t="s">
        <v>2261</v>
      </c>
      <c r="C118" s="312"/>
      <c r="D118" s="312"/>
      <c r="E118" s="312"/>
      <c r="F118" s="312"/>
      <c r="G118" s="312"/>
      <c r="H118" s="312"/>
      <c r="I118" s="312"/>
      <c r="J118" s="313"/>
      <c r="K118" s="146"/>
    </row>
    <row r="119" spans="1:23" ht="16.2" thickBot="1" x14ac:dyDescent="0.35">
      <c r="A119" s="145"/>
      <c r="B119" s="302" t="s">
        <v>2246</v>
      </c>
      <c r="C119" s="303"/>
      <c r="D119" s="303"/>
      <c r="E119" s="303"/>
      <c r="F119" s="303"/>
      <c r="G119" s="303"/>
      <c r="H119" s="303"/>
      <c r="I119" s="303"/>
      <c r="J119" s="304"/>
      <c r="K119" s="146"/>
    </row>
    <row r="120" spans="1:23" ht="16.2" thickBot="1" x14ac:dyDescent="0.35">
      <c r="A120" s="145"/>
      <c r="B120" s="305" t="s">
        <v>2259</v>
      </c>
      <c r="C120" s="306"/>
      <c r="D120" s="306"/>
      <c r="E120" s="306"/>
      <c r="F120" s="306"/>
      <c r="G120" s="306"/>
      <c r="H120" s="306"/>
      <c r="I120" s="306"/>
      <c r="J120" s="307"/>
      <c r="K120" s="146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174"/>
      <c r="V121" s="154" t="s">
        <v>454</v>
      </c>
      <c r="W121" s="154" t="s">
        <v>455</v>
      </c>
    </row>
    <row r="122" spans="1:23" x14ac:dyDescent="0.3">
      <c r="A122" s="145"/>
      <c r="B122" s="182">
        <v>1</v>
      </c>
      <c r="C122" s="183">
        <v>42887</v>
      </c>
      <c r="D122" s="184" t="s">
        <v>9</v>
      </c>
      <c r="E122" s="185" t="s">
        <v>2151</v>
      </c>
      <c r="F122" s="186" t="s">
        <v>217</v>
      </c>
      <c r="G122" s="186" t="s">
        <v>420</v>
      </c>
      <c r="H122" s="184" t="s">
        <v>1025</v>
      </c>
      <c r="I122" s="186">
        <v>300</v>
      </c>
      <c r="J122" s="253">
        <v>3000</v>
      </c>
      <c r="K122" s="146"/>
      <c r="V122">
        <v>1</v>
      </c>
      <c r="W122">
        <v>0</v>
      </c>
    </row>
    <row r="123" spans="1:23" x14ac:dyDescent="0.3">
      <c r="A123" s="145"/>
      <c r="B123" s="160">
        <v>2</v>
      </c>
      <c r="C123" s="43">
        <v>42888</v>
      </c>
      <c r="D123" s="81" t="s">
        <v>9</v>
      </c>
      <c r="E123" s="161" t="s">
        <v>2192</v>
      </c>
      <c r="F123" s="162">
        <v>117</v>
      </c>
      <c r="G123" s="162">
        <v>117</v>
      </c>
      <c r="H123" s="81">
        <v>0</v>
      </c>
      <c r="I123" s="162">
        <v>300</v>
      </c>
      <c r="J123" s="251">
        <v>0</v>
      </c>
      <c r="K123" s="146"/>
      <c r="V123">
        <v>0</v>
      </c>
      <c r="W123">
        <v>0</v>
      </c>
    </row>
    <row r="124" spans="1:23" x14ac:dyDescent="0.3">
      <c r="A124" s="145"/>
      <c r="B124" s="160">
        <v>3</v>
      </c>
      <c r="C124" s="43">
        <v>42891</v>
      </c>
      <c r="D124" s="81" t="s">
        <v>9</v>
      </c>
      <c r="E124" s="161" t="s">
        <v>2192</v>
      </c>
      <c r="F124" s="162">
        <v>93</v>
      </c>
      <c r="G124" s="162">
        <v>99</v>
      </c>
      <c r="H124" s="81">
        <v>6</v>
      </c>
      <c r="I124" s="162">
        <v>300</v>
      </c>
      <c r="J124" s="251">
        <v>1800</v>
      </c>
      <c r="K124" s="146"/>
      <c r="V124">
        <v>1</v>
      </c>
      <c r="W124">
        <v>0</v>
      </c>
    </row>
    <row r="125" spans="1:23" x14ac:dyDescent="0.3">
      <c r="A125" s="145"/>
      <c r="B125" s="160">
        <v>4</v>
      </c>
      <c r="C125" s="43">
        <v>42892</v>
      </c>
      <c r="D125" s="81" t="s">
        <v>9</v>
      </c>
      <c r="E125" s="161" t="s">
        <v>2192</v>
      </c>
      <c r="F125" s="162">
        <v>105</v>
      </c>
      <c r="G125" s="162">
        <v>110</v>
      </c>
      <c r="H125" s="81">
        <v>5</v>
      </c>
      <c r="I125" s="162">
        <v>300</v>
      </c>
      <c r="J125" s="251">
        <v>1500</v>
      </c>
      <c r="K125" s="146"/>
      <c r="V125">
        <v>1</v>
      </c>
      <c r="W125">
        <v>0</v>
      </c>
    </row>
    <row r="126" spans="1:23" x14ac:dyDescent="0.3">
      <c r="A126" s="145"/>
      <c r="B126" s="160">
        <v>5</v>
      </c>
      <c r="C126" s="43">
        <v>42893</v>
      </c>
      <c r="D126" s="81" t="s">
        <v>9</v>
      </c>
      <c r="E126" s="161" t="s">
        <v>2193</v>
      </c>
      <c r="F126" s="162">
        <v>138</v>
      </c>
      <c r="G126" s="162">
        <v>118</v>
      </c>
      <c r="H126" s="81">
        <v>-20</v>
      </c>
      <c r="I126" s="162">
        <v>300</v>
      </c>
      <c r="J126" s="251">
        <v>-6000</v>
      </c>
      <c r="K126" s="146"/>
      <c r="V126">
        <v>0</v>
      </c>
      <c r="W126">
        <v>1</v>
      </c>
    </row>
    <row r="127" spans="1:23" x14ac:dyDescent="0.3">
      <c r="A127" s="145"/>
      <c r="B127" s="160">
        <v>6</v>
      </c>
      <c r="C127" s="43">
        <v>42894</v>
      </c>
      <c r="D127" s="81" t="s">
        <v>9</v>
      </c>
      <c r="E127" s="161" t="s">
        <v>2192</v>
      </c>
      <c r="F127" s="162">
        <v>100</v>
      </c>
      <c r="G127" s="162">
        <v>103</v>
      </c>
      <c r="H127" s="81">
        <v>3</v>
      </c>
      <c r="I127" s="162">
        <v>300</v>
      </c>
      <c r="J127" s="251">
        <v>900</v>
      </c>
      <c r="K127" s="146"/>
      <c r="V127">
        <v>1</v>
      </c>
      <c r="W127">
        <v>0</v>
      </c>
    </row>
    <row r="128" spans="1:23" x14ac:dyDescent="0.3">
      <c r="A128" s="145"/>
      <c r="B128" s="160">
        <v>7</v>
      </c>
      <c r="C128" s="43">
        <v>42895</v>
      </c>
      <c r="D128" s="81" t="s">
        <v>9</v>
      </c>
      <c r="E128" s="161" t="s">
        <v>2192</v>
      </c>
      <c r="F128" s="162">
        <v>110</v>
      </c>
      <c r="G128" s="162">
        <v>100</v>
      </c>
      <c r="H128" s="81">
        <v>-10</v>
      </c>
      <c r="I128" s="162">
        <v>300</v>
      </c>
      <c r="J128" s="251">
        <v>-3000</v>
      </c>
      <c r="K128" s="146"/>
      <c r="V128">
        <v>0</v>
      </c>
      <c r="W128">
        <v>1</v>
      </c>
    </row>
    <row r="129" spans="1:23" x14ac:dyDescent="0.3">
      <c r="A129" s="145"/>
      <c r="B129" s="160">
        <v>8</v>
      </c>
      <c r="C129" s="43">
        <v>42898</v>
      </c>
      <c r="D129" s="81" t="s">
        <v>9</v>
      </c>
      <c r="E129" s="161" t="s">
        <v>2192</v>
      </c>
      <c r="F129" s="162">
        <v>115</v>
      </c>
      <c r="G129" s="162">
        <v>130</v>
      </c>
      <c r="H129" s="81">
        <v>15</v>
      </c>
      <c r="I129" s="162">
        <v>300</v>
      </c>
      <c r="J129" s="251">
        <v>4500</v>
      </c>
      <c r="K129" s="146"/>
      <c r="V129">
        <v>1</v>
      </c>
      <c r="W129">
        <v>0</v>
      </c>
    </row>
    <row r="130" spans="1:23" x14ac:dyDescent="0.3">
      <c r="A130" s="145"/>
      <c r="B130" s="160">
        <v>9</v>
      </c>
      <c r="C130" s="43">
        <v>42900</v>
      </c>
      <c r="D130" s="81" t="s">
        <v>9</v>
      </c>
      <c r="E130" s="161" t="s">
        <v>2192</v>
      </c>
      <c r="F130" s="162">
        <v>125</v>
      </c>
      <c r="G130" s="162">
        <v>105</v>
      </c>
      <c r="H130" s="81">
        <v>-20</v>
      </c>
      <c r="I130" s="162">
        <v>300</v>
      </c>
      <c r="J130" s="251">
        <v>-6000</v>
      </c>
      <c r="K130" s="146"/>
      <c r="V130">
        <v>0</v>
      </c>
      <c r="W130">
        <v>1</v>
      </c>
    </row>
    <row r="131" spans="1:23" x14ac:dyDescent="0.3">
      <c r="A131" s="145"/>
      <c r="B131" s="160">
        <v>10</v>
      </c>
      <c r="C131" s="43">
        <v>42901</v>
      </c>
      <c r="D131" s="81" t="s">
        <v>9</v>
      </c>
      <c r="E131" s="161" t="s">
        <v>2192</v>
      </c>
      <c r="F131" s="162">
        <v>115</v>
      </c>
      <c r="G131" s="162">
        <v>130</v>
      </c>
      <c r="H131" s="81">
        <v>15</v>
      </c>
      <c r="I131" s="162">
        <v>300</v>
      </c>
      <c r="J131" s="251">
        <v>4500</v>
      </c>
      <c r="K131" s="146"/>
      <c r="V131">
        <v>1</v>
      </c>
      <c r="W131">
        <v>0</v>
      </c>
    </row>
    <row r="132" spans="1:23" x14ac:dyDescent="0.3">
      <c r="A132" s="145"/>
      <c r="B132" s="160">
        <v>11</v>
      </c>
      <c r="C132" s="43">
        <v>42902</v>
      </c>
      <c r="D132" s="81" t="s">
        <v>9</v>
      </c>
      <c r="E132" s="161" t="s">
        <v>2192</v>
      </c>
      <c r="F132" s="162">
        <v>115</v>
      </c>
      <c r="G132" s="162">
        <v>130</v>
      </c>
      <c r="H132" s="81">
        <v>15</v>
      </c>
      <c r="I132" s="162">
        <v>300</v>
      </c>
      <c r="J132" s="251">
        <v>4500</v>
      </c>
      <c r="K132" s="146"/>
      <c r="V132">
        <v>1</v>
      </c>
      <c r="W132">
        <v>0</v>
      </c>
    </row>
    <row r="133" spans="1:23" x14ac:dyDescent="0.3">
      <c r="A133" s="145"/>
      <c r="B133" s="160">
        <v>12</v>
      </c>
      <c r="C133" s="43">
        <v>42905</v>
      </c>
      <c r="D133" s="81" t="s">
        <v>9</v>
      </c>
      <c r="E133" s="161" t="s">
        <v>2192</v>
      </c>
      <c r="F133" s="162">
        <v>90</v>
      </c>
      <c r="G133" s="162">
        <v>70</v>
      </c>
      <c r="H133" s="81">
        <v>-20</v>
      </c>
      <c r="I133" s="162">
        <v>300</v>
      </c>
      <c r="J133" s="251">
        <v>-6000</v>
      </c>
      <c r="K133" s="146"/>
      <c r="V133">
        <v>0</v>
      </c>
      <c r="W133">
        <v>1</v>
      </c>
    </row>
    <row r="134" spans="1:23" x14ac:dyDescent="0.3">
      <c r="A134" s="145"/>
      <c r="B134" s="160">
        <v>13</v>
      </c>
      <c r="C134" s="43">
        <v>42906</v>
      </c>
      <c r="D134" s="81" t="s">
        <v>9</v>
      </c>
      <c r="E134" s="161" t="s">
        <v>2193</v>
      </c>
      <c r="F134" s="162">
        <v>108</v>
      </c>
      <c r="G134" s="162">
        <v>103</v>
      </c>
      <c r="H134" s="81">
        <v>-5</v>
      </c>
      <c r="I134" s="162">
        <v>300</v>
      </c>
      <c r="J134" s="251">
        <v>-1500</v>
      </c>
      <c r="K134" s="146"/>
      <c r="V134">
        <v>0</v>
      </c>
      <c r="W134">
        <v>1</v>
      </c>
    </row>
    <row r="135" spans="1:23" x14ac:dyDescent="0.3">
      <c r="A135" s="145"/>
      <c r="B135" s="160">
        <v>14</v>
      </c>
      <c r="C135" s="43">
        <v>42907</v>
      </c>
      <c r="D135" s="81" t="s">
        <v>9</v>
      </c>
      <c r="E135" s="161" t="s">
        <v>2192</v>
      </c>
      <c r="F135" s="162">
        <v>90</v>
      </c>
      <c r="G135" s="162">
        <v>99</v>
      </c>
      <c r="H135" s="81">
        <v>9</v>
      </c>
      <c r="I135" s="162">
        <v>300</v>
      </c>
      <c r="J135" s="251">
        <v>2700</v>
      </c>
      <c r="K135" s="146"/>
      <c r="V135">
        <v>1</v>
      </c>
      <c r="W135">
        <v>0</v>
      </c>
    </row>
    <row r="136" spans="1:23" x14ac:dyDescent="0.3">
      <c r="A136" s="145"/>
      <c r="B136" s="160">
        <v>15</v>
      </c>
      <c r="C136" s="43">
        <v>42908</v>
      </c>
      <c r="D136" s="81" t="s">
        <v>9</v>
      </c>
      <c r="E136" s="161" t="s">
        <v>2205</v>
      </c>
      <c r="F136" s="162">
        <v>125</v>
      </c>
      <c r="G136" s="162">
        <v>105</v>
      </c>
      <c r="H136" s="81">
        <v>-15</v>
      </c>
      <c r="I136" s="162">
        <v>300</v>
      </c>
      <c r="J136" s="251">
        <v>-4500</v>
      </c>
      <c r="K136" s="146"/>
      <c r="V136">
        <v>0</v>
      </c>
      <c r="W136">
        <v>1</v>
      </c>
    </row>
    <row r="137" spans="1:23" x14ac:dyDescent="0.3">
      <c r="A137" s="145"/>
      <c r="B137" s="160">
        <v>16</v>
      </c>
      <c r="C137" s="43">
        <v>42909</v>
      </c>
      <c r="D137" s="81" t="s">
        <v>9</v>
      </c>
      <c r="E137" s="161" t="s">
        <v>2192</v>
      </c>
      <c r="F137" s="162" t="s">
        <v>288</v>
      </c>
      <c r="G137" s="162" t="s">
        <v>214</v>
      </c>
      <c r="H137" s="81" t="s">
        <v>961</v>
      </c>
      <c r="I137" s="162">
        <v>300</v>
      </c>
      <c r="J137" s="251">
        <v>7500</v>
      </c>
      <c r="K137" s="146"/>
      <c r="V137">
        <v>1</v>
      </c>
      <c r="W137">
        <v>0</v>
      </c>
    </row>
    <row r="138" spans="1:23" x14ac:dyDescent="0.3">
      <c r="A138" s="145"/>
      <c r="B138" s="160">
        <v>17</v>
      </c>
      <c r="C138" s="43">
        <v>42913</v>
      </c>
      <c r="D138" s="81" t="s">
        <v>9</v>
      </c>
      <c r="E138" s="161" t="s">
        <v>2192</v>
      </c>
      <c r="F138" s="162" t="s">
        <v>226</v>
      </c>
      <c r="G138" s="162" t="s">
        <v>358</v>
      </c>
      <c r="H138" s="81" t="s">
        <v>945</v>
      </c>
      <c r="I138" s="162">
        <v>300</v>
      </c>
      <c r="J138" s="251">
        <v>10500</v>
      </c>
      <c r="K138" s="146"/>
      <c r="V138">
        <v>1</v>
      </c>
      <c r="W138">
        <v>0</v>
      </c>
    </row>
    <row r="139" spans="1:23" x14ac:dyDescent="0.3">
      <c r="A139" s="145"/>
      <c r="B139" s="160">
        <v>18</v>
      </c>
      <c r="C139" s="43">
        <v>42914</v>
      </c>
      <c r="D139" s="81" t="s">
        <v>9</v>
      </c>
      <c r="E139" s="161" t="s">
        <v>2151</v>
      </c>
      <c r="F139" s="162" t="s">
        <v>217</v>
      </c>
      <c r="G139" s="162" t="s">
        <v>524</v>
      </c>
      <c r="H139" s="81" t="s">
        <v>961</v>
      </c>
      <c r="I139" s="162">
        <v>300</v>
      </c>
      <c r="J139" s="251">
        <v>7500</v>
      </c>
      <c r="K139" s="146"/>
      <c r="V139">
        <v>1</v>
      </c>
      <c r="W139">
        <v>0</v>
      </c>
    </row>
    <row r="140" spans="1:23" x14ac:dyDescent="0.3">
      <c r="A140" s="145"/>
      <c r="B140" s="160">
        <v>19</v>
      </c>
      <c r="C140" s="43">
        <v>42915</v>
      </c>
      <c r="D140" s="81" t="s">
        <v>9</v>
      </c>
      <c r="E140" s="161" t="s">
        <v>2192</v>
      </c>
      <c r="F140" s="162" t="s">
        <v>612</v>
      </c>
      <c r="G140" s="162" t="s">
        <v>524</v>
      </c>
      <c r="H140" s="81" t="s">
        <v>917</v>
      </c>
      <c r="I140" s="162">
        <v>300</v>
      </c>
      <c r="J140" s="251">
        <v>-6000</v>
      </c>
      <c r="K140" s="146"/>
      <c r="V140">
        <v>0</v>
      </c>
      <c r="W140">
        <v>1</v>
      </c>
    </row>
    <row r="141" spans="1:23" x14ac:dyDescent="0.3">
      <c r="A141" s="145"/>
      <c r="B141" s="160">
        <v>20</v>
      </c>
      <c r="C141" s="43">
        <v>42916</v>
      </c>
      <c r="D141" s="81" t="s">
        <v>9</v>
      </c>
      <c r="E141" s="161" t="s">
        <v>2109</v>
      </c>
      <c r="F141" s="162" t="s">
        <v>523</v>
      </c>
      <c r="G141" s="162" t="s">
        <v>524</v>
      </c>
      <c r="H141" s="81" t="s">
        <v>1025</v>
      </c>
      <c r="I141" s="162">
        <v>300</v>
      </c>
      <c r="J141" s="251">
        <v>3000</v>
      </c>
      <c r="K141" s="146"/>
      <c r="V141">
        <v>1</v>
      </c>
      <c r="W141">
        <v>0</v>
      </c>
    </row>
    <row r="142" spans="1:23" x14ac:dyDescent="0.3">
      <c r="A142" s="145"/>
      <c r="B142" s="160">
        <v>21</v>
      </c>
      <c r="C142" s="43"/>
      <c r="D142" s="81"/>
      <c r="E142" s="161"/>
      <c r="F142" s="162"/>
      <c r="G142" s="162"/>
      <c r="H142" s="81"/>
      <c r="I142" s="162"/>
      <c r="J142" s="251"/>
      <c r="K142" s="146"/>
      <c r="V142">
        <v>0</v>
      </c>
      <c r="W142">
        <v>0</v>
      </c>
    </row>
    <row r="143" spans="1:23" x14ac:dyDescent="0.3">
      <c r="A143" s="145"/>
      <c r="B143" s="160">
        <v>22</v>
      </c>
      <c r="C143" s="43"/>
      <c r="D143" s="81"/>
      <c r="E143" s="161"/>
      <c r="F143" s="162"/>
      <c r="G143" s="162"/>
      <c r="H143" s="81"/>
      <c r="I143" s="162"/>
      <c r="J143" s="251"/>
      <c r="K143" s="146"/>
      <c r="V143">
        <v>0</v>
      </c>
      <c r="W143">
        <v>0</v>
      </c>
    </row>
    <row r="144" spans="1:23" ht="15" thickBot="1" x14ac:dyDescent="0.35">
      <c r="A144" s="145"/>
      <c r="B144" s="163">
        <v>23</v>
      </c>
      <c r="C144" s="164"/>
      <c r="D144" s="165"/>
      <c r="E144" s="166"/>
      <c r="F144" s="167"/>
      <c r="G144" s="167"/>
      <c r="H144" s="165"/>
      <c r="I144" s="167"/>
      <c r="J144" s="252"/>
      <c r="K144" s="146"/>
      <c r="V144">
        <v>0</v>
      </c>
      <c r="W144">
        <v>0</v>
      </c>
    </row>
    <row r="145" spans="1:23" ht="24" thickBot="1" x14ac:dyDescent="0.5">
      <c r="A145" s="145"/>
      <c r="B145" s="308" t="s">
        <v>2254</v>
      </c>
      <c r="C145" s="309"/>
      <c r="D145" s="309"/>
      <c r="E145" s="309"/>
      <c r="F145" s="309"/>
      <c r="G145" s="309"/>
      <c r="H145" s="310"/>
      <c r="I145" s="168" t="s">
        <v>2255</v>
      </c>
      <c r="J145" s="169">
        <v>18900</v>
      </c>
      <c r="K145" s="146"/>
      <c r="V145">
        <v>12</v>
      </c>
      <c r="W145">
        <v>7</v>
      </c>
    </row>
    <row r="146" spans="1:23" ht="30" customHeight="1" thickBot="1" x14ac:dyDescent="0.35">
      <c r="A146" s="170"/>
      <c r="B146" s="171"/>
      <c r="C146" s="171"/>
      <c r="D146" s="171"/>
      <c r="E146" s="172"/>
      <c r="F146" s="171"/>
      <c r="G146" s="171"/>
      <c r="H146" s="248"/>
      <c r="I146" s="171"/>
      <c r="J146" s="248"/>
      <c r="K146" s="173"/>
    </row>
    <row r="147" spans="1:23" ht="15" thickBot="1" x14ac:dyDescent="0.35"/>
    <row r="148" spans="1:23" ht="30" customHeight="1" thickBot="1" x14ac:dyDescent="0.35">
      <c r="A148" s="141"/>
      <c r="B148" s="142"/>
      <c r="C148" s="142"/>
      <c r="D148" s="142"/>
      <c r="E148" s="143"/>
      <c r="F148" s="142"/>
      <c r="G148" s="142"/>
      <c r="H148" s="247"/>
      <c r="I148" s="142"/>
      <c r="J148" s="247"/>
      <c r="K148" s="144"/>
    </row>
    <row r="149" spans="1:23" ht="25.2" thickBot="1" x14ac:dyDescent="0.35">
      <c r="A149" s="145" t="s">
        <v>0</v>
      </c>
      <c r="B149" s="311" t="s">
        <v>2261</v>
      </c>
      <c r="C149" s="312"/>
      <c r="D149" s="312"/>
      <c r="E149" s="312"/>
      <c r="F149" s="312"/>
      <c r="G149" s="312"/>
      <c r="H149" s="312"/>
      <c r="I149" s="312"/>
      <c r="J149" s="313"/>
      <c r="K149" s="146"/>
    </row>
    <row r="150" spans="1:23" ht="16.2" thickBot="1" x14ac:dyDescent="0.35">
      <c r="A150" s="145"/>
      <c r="B150" s="302" t="s">
        <v>2246</v>
      </c>
      <c r="C150" s="303"/>
      <c r="D150" s="303"/>
      <c r="E150" s="303"/>
      <c r="F150" s="303"/>
      <c r="G150" s="303"/>
      <c r="H150" s="303"/>
      <c r="I150" s="303"/>
      <c r="J150" s="304"/>
      <c r="K150" s="146"/>
    </row>
    <row r="151" spans="1:23" ht="16.2" thickBot="1" x14ac:dyDescent="0.35">
      <c r="A151" s="145"/>
      <c r="B151" s="305" t="s">
        <v>2260</v>
      </c>
      <c r="C151" s="306"/>
      <c r="D151" s="306"/>
      <c r="E151" s="306"/>
      <c r="F151" s="306"/>
      <c r="G151" s="306"/>
      <c r="H151" s="306"/>
      <c r="I151" s="306"/>
      <c r="J151" s="307"/>
      <c r="K151" s="146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174"/>
      <c r="V152" s="154" t="s">
        <v>454</v>
      </c>
      <c r="W152" s="154" t="s">
        <v>455</v>
      </c>
    </row>
    <row r="153" spans="1:23" x14ac:dyDescent="0.3">
      <c r="A153" s="145"/>
      <c r="B153" s="182">
        <v>1</v>
      </c>
      <c r="C153" s="183">
        <v>42887</v>
      </c>
      <c r="D153" s="184" t="s">
        <v>8</v>
      </c>
      <c r="E153" s="185" t="s">
        <v>301</v>
      </c>
      <c r="F153" s="186">
        <v>23290</v>
      </c>
      <c r="G153" s="186">
        <v>23190</v>
      </c>
      <c r="H153" s="184">
        <v>100</v>
      </c>
      <c r="I153" s="186">
        <v>160</v>
      </c>
      <c r="J153" s="253">
        <v>16000</v>
      </c>
      <c r="K153" s="146"/>
      <c r="V153">
        <v>1</v>
      </c>
      <c r="W153">
        <v>0</v>
      </c>
    </row>
    <row r="154" spans="1:23" x14ac:dyDescent="0.3">
      <c r="A154" s="145"/>
      <c r="B154" s="160">
        <v>2</v>
      </c>
      <c r="C154" s="43">
        <v>42888</v>
      </c>
      <c r="D154" s="81" t="s">
        <v>8</v>
      </c>
      <c r="E154" s="161" t="s">
        <v>301</v>
      </c>
      <c r="F154" s="162">
        <v>23330</v>
      </c>
      <c r="G154" s="162">
        <v>23280</v>
      </c>
      <c r="H154" s="81">
        <v>50</v>
      </c>
      <c r="I154" s="162">
        <v>160</v>
      </c>
      <c r="J154" s="251">
        <v>8000</v>
      </c>
      <c r="K154" s="146"/>
      <c r="V154">
        <v>1</v>
      </c>
      <c r="W154">
        <v>0</v>
      </c>
    </row>
    <row r="155" spans="1:23" x14ac:dyDescent="0.3">
      <c r="A155" s="145"/>
      <c r="B155" s="160">
        <v>3</v>
      </c>
      <c r="C155" s="43">
        <v>42891</v>
      </c>
      <c r="D155" s="81" t="s">
        <v>8</v>
      </c>
      <c r="E155" s="161" t="s">
        <v>301</v>
      </c>
      <c r="F155" s="162">
        <v>23380</v>
      </c>
      <c r="G155" s="162">
        <v>23420</v>
      </c>
      <c r="H155" s="81">
        <v>-40</v>
      </c>
      <c r="I155" s="162">
        <v>160</v>
      </c>
      <c r="J155" s="251">
        <v>-6400</v>
      </c>
      <c r="K155" s="146"/>
      <c r="V155">
        <v>0</v>
      </c>
      <c r="W155">
        <v>1</v>
      </c>
    </row>
    <row r="156" spans="1:23" x14ac:dyDescent="0.3">
      <c r="A156" s="145"/>
      <c r="B156" s="160">
        <v>4</v>
      </c>
      <c r="C156" s="43">
        <v>42892</v>
      </c>
      <c r="D156" s="81" t="s">
        <v>8</v>
      </c>
      <c r="E156" s="161" t="s">
        <v>301</v>
      </c>
      <c r="F156" s="162">
        <v>23400</v>
      </c>
      <c r="G156" s="162">
        <v>23420</v>
      </c>
      <c r="H156" s="81">
        <v>-20</v>
      </c>
      <c r="I156" s="162">
        <v>160</v>
      </c>
      <c r="J156" s="251">
        <v>-3200</v>
      </c>
      <c r="K156" s="146"/>
      <c r="V156">
        <v>0</v>
      </c>
      <c r="W156">
        <v>1</v>
      </c>
    </row>
    <row r="157" spans="1:23" x14ac:dyDescent="0.3">
      <c r="A157" s="145"/>
      <c r="B157" s="160">
        <v>5</v>
      </c>
      <c r="C157" s="43">
        <v>42893</v>
      </c>
      <c r="D157" s="81" t="s">
        <v>9</v>
      </c>
      <c r="E157" s="161" t="s">
        <v>301</v>
      </c>
      <c r="F157" s="162">
        <v>23460</v>
      </c>
      <c r="G157" s="162">
        <v>23600</v>
      </c>
      <c r="H157" s="81">
        <v>140</v>
      </c>
      <c r="I157" s="162">
        <v>160</v>
      </c>
      <c r="J157" s="251">
        <v>22400</v>
      </c>
      <c r="K157" s="146"/>
      <c r="V157">
        <v>1</v>
      </c>
      <c r="W157">
        <v>0</v>
      </c>
    </row>
    <row r="158" spans="1:23" x14ac:dyDescent="0.3">
      <c r="A158" s="145"/>
      <c r="B158" s="160">
        <v>6</v>
      </c>
      <c r="C158" s="43">
        <v>42894</v>
      </c>
      <c r="D158" s="81" t="s">
        <v>8</v>
      </c>
      <c r="E158" s="161" t="s">
        <v>301</v>
      </c>
      <c r="F158" s="162">
        <v>23600</v>
      </c>
      <c r="G158" s="162">
        <v>23530</v>
      </c>
      <c r="H158" s="81">
        <v>70</v>
      </c>
      <c r="I158" s="162">
        <v>160</v>
      </c>
      <c r="J158" s="251">
        <v>11200</v>
      </c>
      <c r="K158" s="146"/>
      <c r="V158">
        <v>1</v>
      </c>
      <c r="W158">
        <v>0</v>
      </c>
    </row>
    <row r="159" spans="1:23" x14ac:dyDescent="0.3">
      <c r="A159" s="145"/>
      <c r="B159" s="160">
        <v>7</v>
      </c>
      <c r="C159" s="43">
        <v>42895</v>
      </c>
      <c r="D159" s="81" t="s">
        <v>9</v>
      </c>
      <c r="E159" s="161" t="s">
        <v>301</v>
      </c>
      <c r="F159" s="162">
        <v>23500</v>
      </c>
      <c r="G159" s="162">
        <v>23655</v>
      </c>
      <c r="H159" s="81">
        <v>155</v>
      </c>
      <c r="I159" s="162">
        <v>160</v>
      </c>
      <c r="J159" s="251">
        <v>24800</v>
      </c>
      <c r="K159" s="146"/>
      <c r="V159">
        <v>1</v>
      </c>
      <c r="W159">
        <v>0</v>
      </c>
    </row>
    <row r="160" spans="1:23" x14ac:dyDescent="0.3">
      <c r="A160" s="145"/>
      <c r="B160" s="160">
        <v>8</v>
      </c>
      <c r="C160" s="43">
        <v>42898</v>
      </c>
      <c r="D160" s="81" t="s">
        <v>8</v>
      </c>
      <c r="E160" s="161" t="s">
        <v>301</v>
      </c>
      <c r="F160" s="162">
        <v>23550</v>
      </c>
      <c r="G160" s="162">
        <v>23450</v>
      </c>
      <c r="H160" s="81">
        <v>100</v>
      </c>
      <c r="I160" s="162">
        <v>160</v>
      </c>
      <c r="J160" s="251">
        <v>16000</v>
      </c>
      <c r="K160" s="146"/>
      <c r="V160">
        <v>1</v>
      </c>
      <c r="W160">
        <v>0</v>
      </c>
    </row>
    <row r="161" spans="1:23" x14ac:dyDescent="0.3">
      <c r="A161" s="145"/>
      <c r="B161" s="160">
        <v>9</v>
      </c>
      <c r="C161" s="43">
        <v>42900</v>
      </c>
      <c r="D161" s="81" t="s">
        <v>8</v>
      </c>
      <c r="E161" s="161" t="s">
        <v>301</v>
      </c>
      <c r="F161" s="162">
        <v>23400</v>
      </c>
      <c r="G161" s="162">
        <v>23485</v>
      </c>
      <c r="H161" s="81">
        <v>-85</v>
      </c>
      <c r="I161" s="162">
        <v>160</v>
      </c>
      <c r="J161" s="251">
        <v>-13600</v>
      </c>
      <c r="K161" s="146"/>
      <c r="V161">
        <v>0</v>
      </c>
      <c r="W161">
        <v>1</v>
      </c>
    </row>
    <row r="162" spans="1:23" x14ac:dyDescent="0.3">
      <c r="A162" s="145"/>
      <c r="B162" s="160">
        <v>10</v>
      </c>
      <c r="C162" s="43">
        <v>42901</v>
      </c>
      <c r="D162" s="81" t="s">
        <v>8</v>
      </c>
      <c r="E162" s="161" t="s">
        <v>301</v>
      </c>
      <c r="F162" s="162">
        <v>23420</v>
      </c>
      <c r="G162" s="162">
        <v>23320</v>
      </c>
      <c r="H162" s="81">
        <v>100</v>
      </c>
      <c r="I162" s="162">
        <v>160</v>
      </c>
      <c r="J162" s="251">
        <v>16000</v>
      </c>
      <c r="K162" s="146"/>
      <c r="V162">
        <v>1</v>
      </c>
      <c r="W162">
        <v>0</v>
      </c>
    </row>
    <row r="163" spans="1:23" x14ac:dyDescent="0.3">
      <c r="A163" s="145"/>
      <c r="B163" s="160">
        <v>11</v>
      </c>
      <c r="C163" s="43">
        <v>42902</v>
      </c>
      <c r="D163" s="81" t="s">
        <v>8</v>
      </c>
      <c r="E163" s="161" t="s">
        <v>301</v>
      </c>
      <c r="F163" s="162">
        <v>23450</v>
      </c>
      <c r="G163" s="162">
        <v>23400</v>
      </c>
      <c r="H163" s="81">
        <v>50</v>
      </c>
      <c r="I163" s="162">
        <v>160</v>
      </c>
      <c r="J163" s="251">
        <v>8000</v>
      </c>
      <c r="K163" s="146"/>
      <c r="V163">
        <v>1</v>
      </c>
      <c r="W163">
        <v>0</v>
      </c>
    </row>
    <row r="164" spans="1:23" x14ac:dyDescent="0.3">
      <c r="A164" s="145"/>
      <c r="B164" s="160">
        <v>12</v>
      </c>
      <c r="C164" s="43">
        <v>42905</v>
      </c>
      <c r="D164" s="81" t="s">
        <v>8</v>
      </c>
      <c r="E164" s="161" t="s">
        <v>301</v>
      </c>
      <c r="F164" s="162">
        <v>23560</v>
      </c>
      <c r="G164" s="162">
        <v>23710</v>
      </c>
      <c r="H164" s="81">
        <v>-150</v>
      </c>
      <c r="I164" s="162">
        <v>160</v>
      </c>
      <c r="J164" s="251">
        <v>-24000</v>
      </c>
      <c r="K164" s="146"/>
      <c r="V164">
        <v>0</v>
      </c>
      <c r="W164">
        <v>1</v>
      </c>
    </row>
    <row r="165" spans="1:23" x14ac:dyDescent="0.3">
      <c r="A165" s="145"/>
      <c r="B165" s="160">
        <v>13</v>
      </c>
      <c r="C165" s="43">
        <v>42906</v>
      </c>
      <c r="D165" s="81" t="s">
        <v>9</v>
      </c>
      <c r="E165" s="161" t="s">
        <v>301</v>
      </c>
      <c r="F165" s="162">
        <v>23700</v>
      </c>
      <c r="G165" s="162">
        <v>23750</v>
      </c>
      <c r="H165" s="81">
        <v>50</v>
      </c>
      <c r="I165" s="162">
        <v>160</v>
      </c>
      <c r="J165" s="251">
        <v>8000</v>
      </c>
      <c r="K165" s="146"/>
      <c r="V165">
        <v>1</v>
      </c>
      <c r="W165">
        <v>0</v>
      </c>
    </row>
    <row r="166" spans="1:23" x14ac:dyDescent="0.3">
      <c r="A166" s="145"/>
      <c r="B166" s="160">
        <v>14</v>
      </c>
      <c r="C166" s="43">
        <v>42907</v>
      </c>
      <c r="D166" s="81" t="s">
        <v>8</v>
      </c>
      <c r="E166" s="161" t="s">
        <v>301</v>
      </c>
      <c r="F166" s="162">
        <v>23660</v>
      </c>
      <c r="G166" s="162">
        <v>23620</v>
      </c>
      <c r="H166" s="81">
        <v>40</v>
      </c>
      <c r="I166" s="162">
        <v>160</v>
      </c>
      <c r="J166" s="251">
        <v>6400</v>
      </c>
      <c r="K166" s="146"/>
      <c r="V166">
        <v>1</v>
      </c>
      <c r="W166">
        <v>0</v>
      </c>
    </row>
    <row r="167" spans="1:23" x14ac:dyDescent="0.3">
      <c r="A167" s="145"/>
      <c r="B167" s="160">
        <v>15</v>
      </c>
      <c r="C167" s="43">
        <v>42908</v>
      </c>
      <c r="D167" s="81" t="s">
        <v>8</v>
      </c>
      <c r="E167" s="161" t="s">
        <v>301</v>
      </c>
      <c r="F167" s="162">
        <v>23800</v>
      </c>
      <c r="G167" s="162">
        <v>23710</v>
      </c>
      <c r="H167" s="81">
        <v>90</v>
      </c>
      <c r="I167" s="162">
        <v>160</v>
      </c>
      <c r="J167" s="251">
        <v>14400</v>
      </c>
      <c r="K167" s="146"/>
      <c r="V167">
        <v>1</v>
      </c>
      <c r="W167">
        <v>0</v>
      </c>
    </row>
    <row r="168" spans="1:23" x14ac:dyDescent="0.3">
      <c r="A168" s="145"/>
      <c r="B168" s="160">
        <v>16</v>
      </c>
      <c r="C168" s="43">
        <v>42909</v>
      </c>
      <c r="D168" s="81" t="s">
        <v>8</v>
      </c>
      <c r="E168" s="161" t="s">
        <v>301</v>
      </c>
      <c r="F168" s="162">
        <v>23620</v>
      </c>
      <c r="G168" s="162">
        <v>23530</v>
      </c>
      <c r="H168" s="81">
        <v>90</v>
      </c>
      <c r="I168" s="162">
        <v>160</v>
      </c>
      <c r="J168" s="251">
        <v>14400</v>
      </c>
      <c r="K168" s="146"/>
      <c r="V168">
        <v>1</v>
      </c>
      <c r="W168">
        <v>0</v>
      </c>
    </row>
    <row r="169" spans="1:23" x14ac:dyDescent="0.3">
      <c r="A169" s="145"/>
      <c r="B169" s="160">
        <v>17</v>
      </c>
      <c r="C169" s="43">
        <v>42913</v>
      </c>
      <c r="D169" s="81" t="s">
        <v>8</v>
      </c>
      <c r="E169" s="161" t="s">
        <v>301</v>
      </c>
      <c r="F169" s="162">
        <v>23400</v>
      </c>
      <c r="G169" s="162">
        <v>23100</v>
      </c>
      <c r="H169" s="81">
        <v>300</v>
      </c>
      <c r="I169" s="162">
        <v>160</v>
      </c>
      <c r="J169" s="251">
        <v>48000</v>
      </c>
      <c r="K169" s="146"/>
      <c r="V169">
        <v>1</v>
      </c>
      <c r="W169">
        <v>0</v>
      </c>
    </row>
    <row r="170" spans="1:23" x14ac:dyDescent="0.3">
      <c r="A170" s="145"/>
      <c r="B170" s="160">
        <v>18</v>
      </c>
      <c r="C170" s="43">
        <v>42914</v>
      </c>
      <c r="D170" s="81" t="s">
        <v>8</v>
      </c>
      <c r="E170" s="161" t="s">
        <v>301</v>
      </c>
      <c r="F170" s="162">
        <v>23230</v>
      </c>
      <c r="G170" s="162">
        <v>23130</v>
      </c>
      <c r="H170" s="81">
        <v>100</v>
      </c>
      <c r="I170" s="162">
        <v>160</v>
      </c>
      <c r="J170" s="251">
        <v>16000</v>
      </c>
      <c r="K170" s="146"/>
      <c r="V170">
        <v>1</v>
      </c>
      <c r="W170">
        <v>0</v>
      </c>
    </row>
    <row r="171" spans="1:23" x14ac:dyDescent="0.3">
      <c r="A171" s="145"/>
      <c r="B171" s="160">
        <v>19</v>
      </c>
      <c r="C171" s="43">
        <v>42915</v>
      </c>
      <c r="D171" s="81" t="s">
        <v>8</v>
      </c>
      <c r="E171" s="161" t="s">
        <v>301</v>
      </c>
      <c r="F171" s="162">
        <v>23400</v>
      </c>
      <c r="G171" s="162">
        <v>23150</v>
      </c>
      <c r="H171" s="81">
        <v>250</v>
      </c>
      <c r="I171" s="162">
        <v>160</v>
      </c>
      <c r="J171" s="251">
        <v>40000</v>
      </c>
      <c r="K171" s="146"/>
      <c r="V171">
        <v>1</v>
      </c>
      <c r="W171">
        <v>0</v>
      </c>
    </row>
    <row r="172" spans="1:23" x14ac:dyDescent="0.3">
      <c r="A172" s="145"/>
      <c r="B172" s="160">
        <v>20</v>
      </c>
      <c r="C172" s="43">
        <v>42916</v>
      </c>
      <c r="D172" s="81" t="s">
        <v>8</v>
      </c>
      <c r="E172" s="161" t="s">
        <v>301</v>
      </c>
      <c r="F172" s="162">
        <v>23120</v>
      </c>
      <c r="G172" s="162">
        <v>23170</v>
      </c>
      <c r="H172" s="81">
        <v>-50</v>
      </c>
      <c r="I172" s="162">
        <v>160</v>
      </c>
      <c r="J172" s="251">
        <v>-8000</v>
      </c>
      <c r="K172" s="146"/>
      <c r="V172">
        <v>0</v>
      </c>
      <c r="W172">
        <v>1</v>
      </c>
    </row>
    <row r="173" spans="1:23" x14ac:dyDescent="0.3">
      <c r="A173" s="145"/>
      <c r="B173" s="160">
        <v>21</v>
      </c>
      <c r="C173" s="43"/>
      <c r="D173" s="81"/>
      <c r="E173" s="161"/>
      <c r="F173" s="162"/>
      <c r="G173" s="162"/>
      <c r="H173" s="81"/>
      <c r="I173" s="162"/>
      <c r="J173" s="251"/>
      <c r="K173" s="146"/>
      <c r="V173">
        <v>0</v>
      </c>
      <c r="W173">
        <v>0</v>
      </c>
    </row>
    <row r="174" spans="1:23" x14ac:dyDescent="0.3">
      <c r="A174" s="145"/>
      <c r="B174" s="160">
        <v>22</v>
      </c>
      <c r="C174" s="43"/>
      <c r="D174" s="81"/>
      <c r="E174" s="161"/>
      <c r="F174" s="162"/>
      <c r="G174" s="162"/>
      <c r="H174" s="81"/>
      <c r="I174" s="162"/>
      <c r="J174" s="251"/>
      <c r="K174" s="146"/>
      <c r="V174">
        <v>0</v>
      </c>
      <c r="W174">
        <v>0</v>
      </c>
    </row>
    <row r="175" spans="1:23" ht="15" thickBot="1" x14ac:dyDescent="0.35">
      <c r="A175" s="145"/>
      <c r="B175" s="163">
        <v>23</v>
      </c>
      <c r="C175" s="164"/>
      <c r="D175" s="165"/>
      <c r="E175" s="166"/>
      <c r="F175" s="167"/>
      <c r="G175" s="167"/>
      <c r="H175" s="165"/>
      <c r="I175" s="167"/>
      <c r="J175" s="252"/>
      <c r="K175" s="146"/>
      <c r="V175">
        <v>0</v>
      </c>
      <c r="W175">
        <v>0</v>
      </c>
    </row>
    <row r="176" spans="1:23" ht="24" thickBot="1" x14ac:dyDescent="0.5">
      <c r="A176" s="145"/>
      <c r="B176" s="308" t="s">
        <v>2254</v>
      </c>
      <c r="C176" s="309"/>
      <c r="D176" s="309"/>
      <c r="E176" s="309"/>
      <c r="F176" s="309"/>
      <c r="G176" s="309"/>
      <c r="H176" s="310"/>
      <c r="I176" s="168" t="s">
        <v>2255</v>
      </c>
      <c r="J176" s="169">
        <v>214400</v>
      </c>
      <c r="K176" s="146"/>
      <c r="V176">
        <v>15</v>
      </c>
      <c r="W176">
        <v>5</v>
      </c>
    </row>
    <row r="177" spans="1:23" ht="30" customHeight="1" thickBot="1" x14ac:dyDescent="0.35">
      <c r="A177" s="170"/>
      <c r="B177" s="171"/>
      <c r="C177" s="171"/>
      <c r="D177" s="171"/>
      <c r="E177" s="172"/>
      <c r="F177" s="171"/>
      <c r="G177" s="171"/>
      <c r="H177" s="248"/>
      <c r="I177" s="171"/>
      <c r="J177" s="248"/>
      <c r="K177" s="173"/>
    </row>
    <row r="178" spans="1:23" ht="15" thickBot="1" x14ac:dyDescent="0.35"/>
    <row r="179" spans="1:23" ht="30" customHeight="1" thickBot="1" x14ac:dyDescent="0.35">
      <c r="A179" s="141"/>
      <c r="B179" s="142"/>
      <c r="C179" s="142"/>
      <c r="D179" s="142"/>
      <c r="E179" s="143"/>
      <c r="F179" s="142"/>
      <c r="G179" s="142"/>
      <c r="H179" s="247"/>
      <c r="I179" s="142"/>
      <c r="J179" s="247"/>
      <c r="K179" s="144"/>
    </row>
    <row r="180" spans="1:23" ht="25.2" thickBot="1" x14ac:dyDescent="0.35">
      <c r="A180" s="145" t="s">
        <v>0</v>
      </c>
      <c r="B180" s="311" t="s">
        <v>2261</v>
      </c>
      <c r="C180" s="312"/>
      <c r="D180" s="312"/>
      <c r="E180" s="312"/>
      <c r="F180" s="312"/>
      <c r="G180" s="312"/>
      <c r="H180" s="312"/>
      <c r="I180" s="312"/>
      <c r="J180" s="313"/>
      <c r="K180" s="146"/>
    </row>
    <row r="181" spans="1:23" ht="16.2" thickBot="1" x14ac:dyDescent="0.35">
      <c r="A181" s="145"/>
      <c r="B181" s="302" t="s">
        <v>2246</v>
      </c>
      <c r="C181" s="303"/>
      <c r="D181" s="303"/>
      <c r="E181" s="303"/>
      <c r="F181" s="303"/>
      <c r="G181" s="303"/>
      <c r="H181" s="303"/>
      <c r="I181" s="303"/>
      <c r="J181" s="304"/>
      <c r="K181" s="146"/>
    </row>
    <row r="182" spans="1:23" ht="16.2" thickBot="1" x14ac:dyDescent="0.35">
      <c r="A182" s="145"/>
      <c r="B182" s="305" t="s">
        <v>1152</v>
      </c>
      <c r="C182" s="306"/>
      <c r="D182" s="306"/>
      <c r="E182" s="306"/>
      <c r="F182" s="306"/>
      <c r="G182" s="306"/>
      <c r="H182" s="306"/>
      <c r="I182" s="306"/>
      <c r="J182" s="307"/>
      <c r="K182" s="146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174"/>
      <c r="V183" s="154" t="s">
        <v>454</v>
      </c>
      <c r="W183" s="154" t="s">
        <v>455</v>
      </c>
    </row>
    <row r="184" spans="1:23" x14ac:dyDescent="0.3">
      <c r="A184" s="145"/>
      <c r="B184" s="182">
        <v>1</v>
      </c>
      <c r="C184" s="183">
        <v>42887</v>
      </c>
      <c r="D184" s="184" t="s">
        <v>9</v>
      </c>
      <c r="E184" s="185" t="s">
        <v>2168</v>
      </c>
      <c r="F184" s="186">
        <v>300</v>
      </c>
      <c r="G184" s="186">
        <v>330</v>
      </c>
      <c r="H184" s="184">
        <v>50</v>
      </c>
      <c r="I184" s="186">
        <v>160</v>
      </c>
      <c r="J184" s="253">
        <v>8000</v>
      </c>
      <c r="K184" s="146"/>
      <c r="V184">
        <v>1</v>
      </c>
      <c r="W184">
        <v>0</v>
      </c>
    </row>
    <row r="185" spans="1:23" x14ac:dyDescent="0.3">
      <c r="A185" s="145"/>
      <c r="B185" s="160">
        <v>2</v>
      </c>
      <c r="C185" s="43">
        <v>42888</v>
      </c>
      <c r="D185" s="81" t="s">
        <v>9</v>
      </c>
      <c r="E185" s="161" t="s">
        <v>2168</v>
      </c>
      <c r="F185" s="162">
        <v>260</v>
      </c>
      <c r="G185" s="162">
        <v>290</v>
      </c>
      <c r="H185" s="81">
        <v>30</v>
      </c>
      <c r="I185" s="162">
        <v>160</v>
      </c>
      <c r="J185" s="251">
        <v>4800</v>
      </c>
      <c r="K185" s="146"/>
      <c r="V185">
        <v>1</v>
      </c>
      <c r="W185">
        <v>0</v>
      </c>
    </row>
    <row r="186" spans="1:23" x14ac:dyDescent="0.3">
      <c r="A186" s="145"/>
      <c r="B186" s="160">
        <v>3</v>
      </c>
      <c r="C186" s="43">
        <v>42891</v>
      </c>
      <c r="D186" s="81" t="s">
        <v>9</v>
      </c>
      <c r="E186" s="161" t="s">
        <v>2194</v>
      </c>
      <c r="F186" s="162">
        <v>280</v>
      </c>
      <c r="G186" s="162">
        <v>250</v>
      </c>
      <c r="H186" s="81">
        <v>-30</v>
      </c>
      <c r="I186" s="162">
        <v>160</v>
      </c>
      <c r="J186" s="251">
        <v>-4800</v>
      </c>
      <c r="K186" s="146"/>
      <c r="V186">
        <v>0</v>
      </c>
      <c r="W186">
        <v>1</v>
      </c>
    </row>
    <row r="187" spans="1:23" x14ac:dyDescent="0.3">
      <c r="A187" s="145"/>
      <c r="B187" s="160">
        <v>4</v>
      </c>
      <c r="C187" s="43">
        <v>42892</v>
      </c>
      <c r="D187" s="81" t="s">
        <v>9</v>
      </c>
      <c r="E187" s="161" t="s">
        <v>2194</v>
      </c>
      <c r="F187" s="162">
        <v>250</v>
      </c>
      <c r="G187" s="162">
        <v>240</v>
      </c>
      <c r="H187" s="81">
        <v>-10</v>
      </c>
      <c r="I187" s="162">
        <v>160</v>
      </c>
      <c r="J187" s="251">
        <v>-1600</v>
      </c>
      <c r="K187" s="146"/>
      <c r="V187">
        <v>0</v>
      </c>
      <c r="W187">
        <v>1</v>
      </c>
    </row>
    <row r="188" spans="1:23" x14ac:dyDescent="0.3">
      <c r="A188" s="145"/>
      <c r="B188" s="160">
        <v>5</v>
      </c>
      <c r="C188" s="43">
        <v>42893</v>
      </c>
      <c r="D188" s="81" t="s">
        <v>9</v>
      </c>
      <c r="E188" s="161" t="s">
        <v>2195</v>
      </c>
      <c r="F188" s="162">
        <v>320</v>
      </c>
      <c r="G188" s="162">
        <v>380</v>
      </c>
      <c r="H188" s="81">
        <v>60</v>
      </c>
      <c r="I188" s="162">
        <v>160</v>
      </c>
      <c r="J188" s="251">
        <v>9600</v>
      </c>
      <c r="K188" s="146"/>
      <c r="V188">
        <v>1</v>
      </c>
      <c r="W188">
        <v>0</v>
      </c>
    </row>
    <row r="189" spans="1:23" x14ac:dyDescent="0.3">
      <c r="A189" s="145"/>
      <c r="B189" s="160">
        <v>6</v>
      </c>
      <c r="C189" s="43">
        <v>42894</v>
      </c>
      <c r="D189" s="81" t="s">
        <v>9</v>
      </c>
      <c r="E189" s="161" t="s">
        <v>2196</v>
      </c>
      <c r="F189" s="162">
        <v>220</v>
      </c>
      <c r="G189" s="162">
        <v>240</v>
      </c>
      <c r="H189" s="81">
        <v>20</v>
      </c>
      <c r="I189" s="162">
        <v>160</v>
      </c>
      <c r="J189" s="251">
        <v>3200</v>
      </c>
      <c r="K189" s="146"/>
      <c r="V189">
        <v>1</v>
      </c>
      <c r="W189">
        <v>0</v>
      </c>
    </row>
    <row r="190" spans="1:23" x14ac:dyDescent="0.3">
      <c r="A190" s="145"/>
      <c r="B190" s="160">
        <v>7</v>
      </c>
      <c r="C190" s="43">
        <v>42895</v>
      </c>
      <c r="D190" s="81" t="s">
        <v>9</v>
      </c>
      <c r="E190" s="161" t="s">
        <v>2195</v>
      </c>
      <c r="F190" s="162">
        <v>320</v>
      </c>
      <c r="G190" s="162">
        <v>410</v>
      </c>
      <c r="H190" s="81">
        <v>90</v>
      </c>
      <c r="I190" s="162">
        <v>160</v>
      </c>
      <c r="J190" s="251">
        <v>14400</v>
      </c>
      <c r="K190" s="146"/>
      <c r="V190">
        <v>1</v>
      </c>
      <c r="W190">
        <v>0</v>
      </c>
    </row>
    <row r="191" spans="1:23" x14ac:dyDescent="0.3">
      <c r="A191" s="145"/>
      <c r="B191" s="160">
        <v>8</v>
      </c>
      <c r="C191" s="43">
        <v>42898</v>
      </c>
      <c r="D191" s="81" t="s">
        <v>9</v>
      </c>
      <c r="E191" s="161" t="s">
        <v>2196</v>
      </c>
      <c r="F191" s="162">
        <v>230</v>
      </c>
      <c r="G191" s="162">
        <v>280</v>
      </c>
      <c r="H191" s="81">
        <v>60</v>
      </c>
      <c r="I191" s="162">
        <v>160</v>
      </c>
      <c r="J191" s="251">
        <v>9600</v>
      </c>
      <c r="K191" s="146"/>
      <c r="V191">
        <v>1</v>
      </c>
      <c r="W191">
        <v>0</v>
      </c>
    </row>
    <row r="192" spans="1:23" x14ac:dyDescent="0.3">
      <c r="A192" s="145"/>
      <c r="B192" s="160">
        <v>9</v>
      </c>
      <c r="C192" s="43">
        <v>42900</v>
      </c>
      <c r="D192" s="81" t="s">
        <v>9</v>
      </c>
      <c r="E192" s="161" t="s">
        <v>2196</v>
      </c>
      <c r="F192" s="162">
        <v>280</v>
      </c>
      <c r="G192" s="162">
        <v>220</v>
      </c>
      <c r="H192" s="81">
        <v>-60</v>
      </c>
      <c r="I192" s="162">
        <v>160</v>
      </c>
      <c r="J192" s="251">
        <v>-9600</v>
      </c>
      <c r="K192" s="146"/>
      <c r="V192">
        <v>0</v>
      </c>
      <c r="W192">
        <v>1</v>
      </c>
    </row>
    <row r="193" spans="1:23" x14ac:dyDescent="0.3">
      <c r="A193" s="145"/>
      <c r="B193" s="160">
        <v>10</v>
      </c>
      <c r="C193" s="43">
        <v>42901</v>
      </c>
      <c r="D193" s="81" t="s">
        <v>9</v>
      </c>
      <c r="E193" s="161" t="s">
        <v>2196</v>
      </c>
      <c r="F193" s="162">
        <v>250</v>
      </c>
      <c r="G193" s="162">
        <v>310</v>
      </c>
      <c r="H193" s="81">
        <v>60</v>
      </c>
      <c r="I193" s="162">
        <v>160</v>
      </c>
      <c r="J193" s="251">
        <v>9600</v>
      </c>
      <c r="K193" s="146"/>
      <c r="V193">
        <v>1</v>
      </c>
      <c r="W193">
        <v>0</v>
      </c>
    </row>
    <row r="194" spans="1:23" x14ac:dyDescent="0.3">
      <c r="A194" s="145"/>
      <c r="B194" s="160">
        <v>11</v>
      </c>
      <c r="C194" s="43">
        <v>42902</v>
      </c>
      <c r="D194" s="81" t="s">
        <v>9</v>
      </c>
      <c r="E194" s="161" t="s">
        <v>2196</v>
      </c>
      <c r="F194" s="162">
        <v>220</v>
      </c>
      <c r="G194" s="162">
        <v>245</v>
      </c>
      <c r="H194" s="81">
        <v>25</v>
      </c>
      <c r="I194" s="162">
        <v>160</v>
      </c>
      <c r="J194" s="251">
        <v>4000</v>
      </c>
      <c r="K194" s="146"/>
      <c r="V194">
        <v>1</v>
      </c>
      <c r="W194">
        <v>0</v>
      </c>
    </row>
    <row r="195" spans="1:23" x14ac:dyDescent="0.3">
      <c r="A195" s="145"/>
      <c r="B195" s="160">
        <v>12</v>
      </c>
      <c r="C195" s="43">
        <v>42905</v>
      </c>
      <c r="D195" s="81" t="s">
        <v>9</v>
      </c>
      <c r="E195" s="161" t="s">
        <v>2206</v>
      </c>
      <c r="F195" s="162">
        <v>190</v>
      </c>
      <c r="G195" s="162">
        <v>130</v>
      </c>
      <c r="H195" s="81">
        <v>-60</v>
      </c>
      <c r="I195" s="162">
        <v>160</v>
      </c>
      <c r="J195" s="251">
        <v>-9600</v>
      </c>
      <c r="K195" s="146"/>
      <c r="V195">
        <v>0</v>
      </c>
      <c r="W195">
        <v>1</v>
      </c>
    </row>
    <row r="196" spans="1:23" x14ac:dyDescent="0.3">
      <c r="A196" s="145"/>
      <c r="B196" s="160">
        <v>13</v>
      </c>
      <c r="C196" s="43">
        <v>42906</v>
      </c>
      <c r="D196" s="81" t="s">
        <v>9</v>
      </c>
      <c r="E196" s="161" t="s">
        <v>2207</v>
      </c>
      <c r="F196" s="162">
        <v>230</v>
      </c>
      <c r="G196" s="162">
        <v>220</v>
      </c>
      <c r="H196" s="81">
        <v>-10</v>
      </c>
      <c r="I196" s="162">
        <v>160</v>
      </c>
      <c r="J196" s="251">
        <v>-1600</v>
      </c>
      <c r="K196" s="146"/>
      <c r="V196">
        <v>0</v>
      </c>
      <c r="W196">
        <v>1</v>
      </c>
    </row>
    <row r="197" spans="1:23" x14ac:dyDescent="0.3">
      <c r="A197" s="145"/>
      <c r="B197" s="160">
        <v>14</v>
      </c>
      <c r="C197" s="43">
        <v>42907</v>
      </c>
      <c r="D197" s="81" t="s">
        <v>9</v>
      </c>
      <c r="E197" s="161" t="s">
        <v>2208</v>
      </c>
      <c r="F197" s="162">
        <v>220</v>
      </c>
      <c r="G197" s="162">
        <v>245</v>
      </c>
      <c r="H197" s="81">
        <v>25</v>
      </c>
      <c r="I197" s="162">
        <v>160</v>
      </c>
      <c r="J197" s="251">
        <v>4000</v>
      </c>
      <c r="K197" s="146"/>
      <c r="V197">
        <v>1</v>
      </c>
      <c r="W197">
        <v>0</v>
      </c>
    </row>
    <row r="198" spans="1:23" x14ac:dyDescent="0.3">
      <c r="A198" s="145"/>
      <c r="B198" s="160">
        <v>15</v>
      </c>
      <c r="C198" s="43">
        <v>42908</v>
      </c>
      <c r="D198" s="81" t="s">
        <v>9</v>
      </c>
      <c r="E198" s="161" t="s">
        <v>2209</v>
      </c>
      <c r="F198" s="162">
        <v>150</v>
      </c>
      <c r="G198" s="162">
        <v>230</v>
      </c>
      <c r="H198" s="81">
        <v>80</v>
      </c>
      <c r="I198" s="162">
        <v>160</v>
      </c>
      <c r="J198" s="251">
        <v>12800</v>
      </c>
      <c r="K198" s="146"/>
      <c r="V198">
        <v>1</v>
      </c>
      <c r="W198">
        <v>0</v>
      </c>
    </row>
    <row r="199" spans="1:23" x14ac:dyDescent="0.3">
      <c r="A199" s="145"/>
      <c r="B199" s="160">
        <v>16</v>
      </c>
      <c r="C199" s="43">
        <v>42909</v>
      </c>
      <c r="D199" s="81" t="s">
        <v>9</v>
      </c>
      <c r="E199" s="161" t="s">
        <v>2208</v>
      </c>
      <c r="F199" s="162">
        <v>240</v>
      </c>
      <c r="G199" s="162">
        <v>300</v>
      </c>
      <c r="H199" s="81">
        <v>60</v>
      </c>
      <c r="I199" s="162">
        <v>160</v>
      </c>
      <c r="J199" s="251">
        <v>9600</v>
      </c>
      <c r="K199" s="146"/>
      <c r="V199">
        <v>1</v>
      </c>
      <c r="W199">
        <v>0</v>
      </c>
    </row>
    <row r="200" spans="1:23" x14ac:dyDescent="0.3">
      <c r="A200" s="145"/>
      <c r="B200" s="160">
        <v>17</v>
      </c>
      <c r="C200" s="43">
        <v>42913</v>
      </c>
      <c r="D200" s="81" t="s">
        <v>9</v>
      </c>
      <c r="E200" s="161" t="s">
        <v>2196</v>
      </c>
      <c r="F200" s="162">
        <v>180</v>
      </c>
      <c r="G200" s="162">
        <v>340</v>
      </c>
      <c r="H200" s="81">
        <v>160</v>
      </c>
      <c r="I200" s="162">
        <v>160</v>
      </c>
      <c r="J200" s="251">
        <v>25600</v>
      </c>
      <c r="K200" s="146"/>
      <c r="V200">
        <v>1</v>
      </c>
      <c r="W200">
        <v>0</v>
      </c>
    </row>
    <row r="201" spans="1:23" x14ac:dyDescent="0.3">
      <c r="A201" s="145"/>
      <c r="B201" s="160">
        <v>18</v>
      </c>
      <c r="C201" s="43">
        <v>42914</v>
      </c>
      <c r="D201" s="81" t="s">
        <v>9</v>
      </c>
      <c r="E201" s="161" t="s">
        <v>2216</v>
      </c>
      <c r="F201" s="162">
        <v>200</v>
      </c>
      <c r="G201" s="162">
        <v>300</v>
      </c>
      <c r="H201" s="81">
        <v>100</v>
      </c>
      <c r="I201" s="162">
        <v>160</v>
      </c>
      <c r="J201" s="251">
        <v>16000</v>
      </c>
      <c r="K201" s="146"/>
      <c r="V201">
        <v>1</v>
      </c>
      <c r="W201">
        <v>0</v>
      </c>
    </row>
    <row r="202" spans="1:23" x14ac:dyDescent="0.3">
      <c r="A202" s="145"/>
      <c r="B202" s="160">
        <v>19</v>
      </c>
      <c r="C202" s="43">
        <v>42915</v>
      </c>
      <c r="D202" s="81" t="s">
        <v>9</v>
      </c>
      <c r="E202" s="161" t="s">
        <v>2206</v>
      </c>
      <c r="F202" s="162">
        <v>180</v>
      </c>
      <c r="G202" s="162">
        <v>340</v>
      </c>
      <c r="H202" s="81">
        <v>160</v>
      </c>
      <c r="I202" s="162">
        <v>160</v>
      </c>
      <c r="J202" s="251">
        <v>25600</v>
      </c>
      <c r="K202" s="146"/>
      <c r="V202">
        <v>1</v>
      </c>
      <c r="W202">
        <v>0</v>
      </c>
    </row>
    <row r="203" spans="1:23" x14ac:dyDescent="0.3">
      <c r="A203" s="145"/>
      <c r="B203" s="160">
        <v>20</v>
      </c>
      <c r="C203" s="43">
        <v>42916</v>
      </c>
      <c r="D203" s="81" t="s">
        <v>9</v>
      </c>
      <c r="E203" s="161" t="s">
        <v>2217</v>
      </c>
      <c r="F203" s="162">
        <v>340</v>
      </c>
      <c r="G203" s="162">
        <v>370</v>
      </c>
      <c r="H203" s="81">
        <v>30</v>
      </c>
      <c r="I203" s="162">
        <v>160</v>
      </c>
      <c r="J203" s="251">
        <v>4800</v>
      </c>
      <c r="K203" s="146"/>
      <c r="V203">
        <v>1</v>
      </c>
      <c r="W203">
        <v>0</v>
      </c>
    </row>
    <row r="204" spans="1:23" x14ac:dyDescent="0.3">
      <c r="A204" s="145"/>
      <c r="B204" s="160">
        <v>21</v>
      </c>
      <c r="C204" s="43"/>
      <c r="D204" s="81"/>
      <c r="E204" s="161"/>
      <c r="F204" s="162"/>
      <c r="G204" s="162"/>
      <c r="H204" s="81"/>
      <c r="I204" s="162"/>
      <c r="J204" s="251"/>
      <c r="K204" s="146"/>
      <c r="V204">
        <v>0</v>
      </c>
      <c r="W204">
        <v>0</v>
      </c>
    </row>
    <row r="205" spans="1:23" x14ac:dyDescent="0.3">
      <c r="A205" s="145"/>
      <c r="B205" s="160">
        <v>22</v>
      </c>
      <c r="C205" s="43"/>
      <c r="D205" s="81"/>
      <c r="E205" s="161"/>
      <c r="F205" s="162"/>
      <c r="G205" s="162"/>
      <c r="H205" s="81"/>
      <c r="I205" s="162"/>
      <c r="J205" s="251"/>
      <c r="K205" s="146"/>
      <c r="V205">
        <v>0</v>
      </c>
      <c r="W205">
        <v>0</v>
      </c>
    </row>
    <row r="206" spans="1:23" ht="15" thickBot="1" x14ac:dyDescent="0.35">
      <c r="A206" s="145"/>
      <c r="B206" s="163">
        <v>23</v>
      </c>
      <c r="C206" s="164"/>
      <c r="D206" s="165"/>
      <c r="E206" s="166"/>
      <c r="F206" s="167"/>
      <c r="G206" s="167"/>
      <c r="H206" s="165"/>
      <c r="I206" s="167"/>
      <c r="J206" s="252"/>
      <c r="K206" s="146"/>
      <c r="V206">
        <v>0</v>
      </c>
      <c r="W206">
        <v>0</v>
      </c>
    </row>
    <row r="207" spans="1:23" ht="24" thickBot="1" x14ac:dyDescent="0.5">
      <c r="A207" s="145"/>
      <c r="B207" s="308" t="s">
        <v>2254</v>
      </c>
      <c r="C207" s="309"/>
      <c r="D207" s="309"/>
      <c r="E207" s="309"/>
      <c r="F207" s="309"/>
      <c r="G207" s="309"/>
      <c r="H207" s="310"/>
      <c r="I207" s="168" t="s">
        <v>2255</v>
      </c>
      <c r="J207" s="169">
        <v>134400</v>
      </c>
      <c r="K207" s="146"/>
      <c r="V207">
        <v>15</v>
      </c>
      <c r="W207">
        <v>5</v>
      </c>
    </row>
    <row r="208" spans="1:23" ht="30" customHeight="1" thickBot="1" x14ac:dyDescent="0.35">
      <c r="A208" s="170"/>
      <c r="B208" s="171"/>
      <c r="C208" s="171"/>
      <c r="D208" s="171"/>
      <c r="E208" s="172"/>
      <c r="F208" s="171"/>
      <c r="G208" s="171"/>
      <c r="H208" s="248"/>
      <c r="I208" s="171"/>
      <c r="J208" s="248"/>
      <c r="K208" s="173"/>
    </row>
    <row r="209" spans="1:23" ht="15" thickBot="1" x14ac:dyDescent="0.35"/>
    <row r="210" spans="1:23" ht="30" customHeight="1" thickBot="1" x14ac:dyDescent="0.35">
      <c r="A210" s="141"/>
      <c r="B210" s="142"/>
      <c r="C210" s="142"/>
      <c r="D210" s="142"/>
      <c r="E210" s="143"/>
      <c r="F210" s="142"/>
      <c r="G210" s="142"/>
      <c r="H210" s="247"/>
      <c r="I210" s="142"/>
      <c r="J210" s="247"/>
      <c r="K210" s="144"/>
    </row>
    <row r="211" spans="1:23" ht="25.2" thickBot="1" x14ac:dyDescent="0.35">
      <c r="A211" s="145" t="s">
        <v>0</v>
      </c>
      <c r="B211" s="311" t="s">
        <v>2261</v>
      </c>
      <c r="C211" s="312"/>
      <c r="D211" s="312"/>
      <c r="E211" s="312"/>
      <c r="F211" s="312"/>
      <c r="G211" s="312"/>
      <c r="H211" s="312"/>
      <c r="I211" s="312"/>
      <c r="J211" s="313"/>
      <c r="K211" s="146"/>
    </row>
    <row r="212" spans="1:23" ht="16.2" thickBot="1" x14ac:dyDescent="0.35">
      <c r="A212" s="145"/>
      <c r="B212" s="302" t="s">
        <v>2246</v>
      </c>
      <c r="C212" s="303"/>
      <c r="D212" s="303"/>
      <c r="E212" s="303"/>
      <c r="F212" s="303"/>
      <c r="G212" s="303"/>
      <c r="H212" s="303"/>
      <c r="I212" s="303"/>
      <c r="J212" s="304"/>
      <c r="K212" s="146"/>
    </row>
    <row r="213" spans="1:23" ht="16.2" thickBot="1" x14ac:dyDescent="0.35">
      <c r="A213" s="145"/>
      <c r="B213" s="305" t="s">
        <v>1076</v>
      </c>
      <c r="C213" s="306"/>
      <c r="D213" s="306"/>
      <c r="E213" s="306"/>
      <c r="F213" s="306"/>
      <c r="G213" s="306"/>
      <c r="H213" s="306"/>
      <c r="I213" s="306"/>
      <c r="J213" s="307"/>
      <c r="K213" s="146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174"/>
      <c r="V214" s="154" t="s">
        <v>454</v>
      </c>
      <c r="W214" s="154" t="s">
        <v>455</v>
      </c>
    </row>
    <row r="215" spans="1:23" x14ac:dyDescent="0.3">
      <c r="A215" s="145"/>
      <c r="B215" s="182">
        <v>1</v>
      </c>
      <c r="C215" s="183">
        <v>42887</v>
      </c>
      <c r="D215" s="184" t="s">
        <v>9</v>
      </c>
      <c r="E215" s="185" t="s">
        <v>2156</v>
      </c>
      <c r="F215" s="186">
        <v>9.5</v>
      </c>
      <c r="G215" s="186">
        <v>11</v>
      </c>
      <c r="H215" s="184">
        <v>1.5</v>
      </c>
      <c r="I215" s="186">
        <v>3500</v>
      </c>
      <c r="J215" s="253">
        <v>5250</v>
      </c>
      <c r="K215" s="146"/>
      <c r="V215">
        <v>1</v>
      </c>
      <c r="W215">
        <v>0</v>
      </c>
    </row>
    <row r="216" spans="1:23" x14ac:dyDescent="0.3">
      <c r="A216" s="145"/>
      <c r="B216" s="160">
        <v>2</v>
      </c>
      <c r="C216" s="43">
        <v>42888</v>
      </c>
      <c r="D216" s="81" t="s">
        <v>9</v>
      </c>
      <c r="E216" s="161" t="s">
        <v>2164</v>
      </c>
      <c r="F216" s="162">
        <v>8.5</v>
      </c>
      <c r="G216" s="162">
        <v>10.3</v>
      </c>
      <c r="H216" s="81">
        <v>1.8</v>
      </c>
      <c r="I216" s="162">
        <v>3500</v>
      </c>
      <c r="J216" s="251">
        <v>6300</v>
      </c>
      <c r="K216" s="146"/>
      <c r="V216">
        <v>1</v>
      </c>
      <c r="W216">
        <v>0</v>
      </c>
    </row>
    <row r="217" spans="1:23" x14ac:dyDescent="0.3">
      <c r="A217" s="145"/>
      <c r="B217" s="160">
        <v>3</v>
      </c>
      <c r="C217" s="43">
        <v>42891</v>
      </c>
      <c r="D217" s="81" t="s">
        <v>9</v>
      </c>
      <c r="E217" s="161" t="s">
        <v>2197</v>
      </c>
      <c r="F217" s="162">
        <v>9</v>
      </c>
      <c r="G217" s="162">
        <v>9</v>
      </c>
      <c r="H217" s="81">
        <v>0</v>
      </c>
      <c r="I217" s="162">
        <v>2500</v>
      </c>
      <c r="J217" s="251">
        <v>0</v>
      </c>
      <c r="K217" s="146"/>
      <c r="V217">
        <v>0</v>
      </c>
      <c r="W217">
        <v>0</v>
      </c>
    </row>
    <row r="218" spans="1:23" x14ac:dyDescent="0.3">
      <c r="A218" s="145"/>
      <c r="B218" s="160">
        <v>4</v>
      </c>
      <c r="C218" s="43">
        <v>42892</v>
      </c>
      <c r="D218" s="81" t="s">
        <v>9</v>
      </c>
      <c r="E218" s="161" t="s">
        <v>2164</v>
      </c>
      <c r="F218" s="162">
        <v>9.5</v>
      </c>
      <c r="G218" s="162">
        <v>9</v>
      </c>
      <c r="H218" s="81">
        <v>-0.5</v>
      </c>
      <c r="I218" s="162">
        <v>3500</v>
      </c>
      <c r="J218" s="251">
        <v>-1750</v>
      </c>
      <c r="K218" s="146"/>
      <c r="V218">
        <v>0</v>
      </c>
      <c r="W218">
        <v>1</v>
      </c>
    </row>
    <row r="219" spans="1:23" x14ac:dyDescent="0.3">
      <c r="A219" s="145"/>
      <c r="B219" s="160">
        <v>5</v>
      </c>
      <c r="C219" s="43">
        <v>42893</v>
      </c>
      <c r="D219" s="81" t="s">
        <v>9</v>
      </c>
      <c r="E219" s="161" t="s">
        <v>2198</v>
      </c>
      <c r="F219" s="162">
        <v>35</v>
      </c>
      <c r="G219" s="162">
        <v>34</v>
      </c>
      <c r="H219" s="81">
        <v>1</v>
      </c>
      <c r="I219" s="162">
        <v>500</v>
      </c>
      <c r="J219" s="251">
        <v>500</v>
      </c>
      <c r="K219" s="146"/>
      <c r="V219">
        <v>1</v>
      </c>
      <c r="W219">
        <v>0</v>
      </c>
    </row>
    <row r="220" spans="1:23" x14ac:dyDescent="0.3">
      <c r="A220" s="145"/>
      <c r="B220" s="160">
        <v>6</v>
      </c>
      <c r="C220" s="43">
        <v>42894</v>
      </c>
      <c r="D220" s="81" t="s">
        <v>9</v>
      </c>
      <c r="E220" s="161" t="s">
        <v>2199</v>
      </c>
      <c r="F220" s="162">
        <v>7.5</v>
      </c>
      <c r="G220" s="162">
        <v>8.5</v>
      </c>
      <c r="H220" s="81">
        <v>1</v>
      </c>
      <c r="I220" s="162">
        <v>2500</v>
      </c>
      <c r="J220" s="251">
        <v>2500</v>
      </c>
      <c r="K220" s="146"/>
      <c r="V220">
        <v>1</v>
      </c>
      <c r="W220">
        <v>0</v>
      </c>
    </row>
    <row r="221" spans="1:23" x14ac:dyDescent="0.3">
      <c r="A221" s="145"/>
      <c r="B221" s="160">
        <v>7</v>
      </c>
      <c r="C221" s="43">
        <v>42895</v>
      </c>
      <c r="D221" s="81" t="s">
        <v>9</v>
      </c>
      <c r="E221" s="161" t="s">
        <v>2200</v>
      </c>
      <c r="F221" s="162">
        <v>34</v>
      </c>
      <c r="G221" s="162">
        <v>27</v>
      </c>
      <c r="H221" s="81">
        <v>-7</v>
      </c>
      <c r="I221" s="162">
        <v>500</v>
      </c>
      <c r="J221" s="251">
        <v>-3500</v>
      </c>
      <c r="K221" s="146"/>
      <c r="V221">
        <v>0</v>
      </c>
      <c r="W221">
        <v>1</v>
      </c>
    </row>
    <row r="222" spans="1:23" x14ac:dyDescent="0.3">
      <c r="A222" s="145"/>
      <c r="B222" s="160">
        <v>8</v>
      </c>
      <c r="C222" s="43">
        <v>42898</v>
      </c>
      <c r="D222" s="81" t="s">
        <v>9</v>
      </c>
      <c r="E222" s="161" t="s">
        <v>2201</v>
      </c>
      <c r="F222" s="162">
        <v>12</v>
      </c>
      <c r="G222" s="162">
        <v>14.2</v>
      </c>
      <c r="H222" s="81">
        <v>2.2000000000000002</v>
      </c>
      <c r="I222" s="162">
        <v>1200</v>
      </c>
      <c r="J222" s="251">
        <v>2640</v>
      </c>
      <c r="K222" s="146"/>
      <c r="V222">
        <v>1</v>
      </c>
      <c r="W222">
        <v>0</v>
      </c>
    </row>
    <row r="223" spans="1:23" x14ac:dyDescent="0.3">
      <c r="A223" s="145"/>
      <c r="B223" s="160">
        <v>9</v>
      </c>
      <c r="C223" s="43">
        <v>42900</v>
      </c>
      <c r="D223" s="81" t="s">
        <v>9</v>
      </c>
      <c r="E223" s="161" t="s">
        <v>2202</v>
      </c>
      <c r="F223" s="162">
        <v>6.5</v>
      </c>
      <c r="G223" s="162">
        <v>5.8</v>
      </c>
      <c r="H223" s="81">
        <v>-0.7</v>
      </c>
      <c r="I223" s="162">
        <v>3000</v>
      </c>
      <c r="J223" s="251">
        <v>-2100</v>
      </c>
      <c r="K223" s="146"/>
      <c r="V223">
        <v>0</v>
      </c>
      <c r="W223">
        <v>1</v>
      </c>
    </row>
    <row r="224" spans="1:23" x14ac:dyDescent="0.3">
      <c r="A224" s="145"/>
      <c r="B224" s="160">
        <v>10</v>
      </c>
      <c r="C224" s="43">
        <v>42901</v>
      </c>
      <c r="D224" s="81" t="s">
        <v>9</v>
      </c>
      <c r="E224" s="161" t="s">
        <v>2210</v>
      </c>
      <c r="F224" s="162">
        <v>55</v>
      </c>
      <c r="G224" s="162">
        <v>69</v>
      </c>
      <c r="H224" s="81">
        <v>14</v>
      </c>
      <c r="I224" s="162">
        <v>200</v>
      </c>
      <c r="J224" s="251">
        <v>2800</v>
      </c>
      <c r="K224" s="146"/>
      <c r="V224">
        <v>1</v>
      </c>
      <c r="W224">
        <v>0</v>
      </c>
    </row>
    <row r="225" spans="1:23" x14ac:dyDescent="0.3">
      <c r="A225" s="145"/>
      <c r="B225" s="160">
        <v>11</v>
      </c>
      <c r="C225" s="43">
        <v>42902</v>
      </c>
      <c r="D225" s="81" t="s">
        <v>9</v>
      </c>
      <c r="E225" s="161" t="s">
        <v>2050</v>
      </c>
      <c r="F225" s="162">
        <v>55</v>
      </c>
      <c r="G225" s="162">
        <v>90</v>
      </c>
      <c r="H225" s="81">
        <v>35</v>
      </c>
      <c r="I225" s="162">
        <v>200</v>
      </c>
      <c r="J225" s="251">
        <v>7000</v>
      </c>
      <c r="K225" s="146"/>
      <c r="V225">
        <v>1</v>
      </c>
      <c r="W225">
        <v>0</v>
      </c>
    </row>
    <row r="226" spans="1:23" x14ac:dyDescent="0.3">
      <c r="A226" s="145"/>
      <c r="B226" s="160">
        <v>12</v>
      </c>
      <c r="C226" s="43">
        <v>42905</v>
      </c>
      <c r="D226" s="81" t="s">
        <v>9</v>
      </c>
      <c r="E226" s="161" t="s">
        <v>2050</v>
      </c>
      <c r="F226" s="162">
        <v>65</v>
      </c>
      <c r="G226" s="162">
        <v>73</v>
      </c>
      <c r="H226" s="81">
        <v>8</v>
      </c>
      <c r="I226" s="162">
        <v>200</v>
      </c>
      <c r="J226" s="251">
        <v>1600</v>
      </c>
      <c r="K226" s="146"/>
      <c r="V226">
        <v>1</v>
      </c>
      <c r="W226">
        <v>0</v>
      </c>
    </row>
    <row r="227" spans="1:23" x14ac:dyDescent="0.3">
      <c r="A227" s="145"/>
      <c r="B227" s="160">
        <v>13</v>
      </c>
      <c r="C227" s="43">
        <v>42906</v>
      </c>
      <c r="D227" s="81" t="s">
        <v>9</v>
      </c>
      <c r="E227" s="161" t="s">
        <v>2211</v>
      </c>
      <c r="F227" s="162">
        <v>27</v>
      </c>
      <c r="G227" s="162">
        <v>20</v>
      </c>
      <c r="H227" s="81">
        <v>-7</v>
      </c>
      <c r="I227" s="162">
        <v>500</v>
      </c>
      <c r="J227" s="251">
        <v>-3500</v>
      </c>
      <c r="K227" s="146"/>
      <c r="V227">
        <v>0</v>
      </c>
      <c r="W227">
        <v>1</v>
      </c>
    </row>
    <row r="228" spans="1:23" x14ac:dyDescent="0.3">
      <c r="A228" s="145"/>
      <c r="B228" s="160">
        <v>14</v>
      </c>
      <c r="C228" s="43">
        <v>42907</v>
      </c>
      <c r="D228" s="81" t="s">
        <v>9</v>
      </c>
      <c r="E228" s="161" t="s">
        <v>2212</v>
      </c>
      <c r="F228" s="177">
        <v>7.5</v>
      </c>
      <c r="G228" s="177">
        <v>8.6999999999999993</v>
      </c>
      <c r="H228" s="81">
        <v>1.2</v>
      </c>
      <c r="I228" s="162">
        <v>3084</v>
      </c>
      <c r="J228" s="251">
        <v>3700.7999999999997</v>
      </c>
      <c r="K228" s="146"/>
      <c r="V228">
        <v>1</v>
      </c>
      <c r="W228">
        <v>0</v>
      </c>
    </row>
    <row r="229" spans="1:23" x14ac:dyDescent="0.3">
      <c r="A229" s="145"/>
      <c r="B229" s="160">
        <v>15</v>
      </c>
      <c r="C229" s="43">
        <v>42908</v>
      </c>
      <c r="D229" s="81" t="s">
        <v>9</v>
      </c>
      <c r="E229" s="161" t="s">
        <v>2213</v>
      </c>
      <c r="F229" s="162">
        <v>100</v>
      </c>
      <c r="G229" s="162">
        <v>70</v>
      </c>
      <c r="H229" s="81">
        <v>-30</v>
      </c>
      <c r="I229" s="162">
        <v>150</v>
      </c>
      <c r="J229" s="251">
        <v>-4500</v>
      </c>
      <c r="K229" s="146"/>
      <c r="V229">
        <v>0</v>
      </c>
      <c r="W229">
        <v>1</v>
      </c>
    </row>
    <row r="230" spans="1:23" x14ac:dyDescent="0.3">
      <c r="A230" s="145"/>
      <c r="B230" s="160">
        <v>16</v>
      </c>
      <c r="C230" s="43">
        <v>42909</v>
      </c>
      <c r="D230" s="81" t="s">
        <v>9</v>
      </c>
      <c r="E230" s="161" t="s">
        <v>2214</v>
      </c>
      <c r="F230" s="162">
        <v>40</v>
      </c>
      <c r="G230" s="162">
        <v>47</v>
      </c>
      <c r="H230" s="81">
        <v>7</v>
      </c>
      <c r="I230" s="162">
        <v>200</v>
      </c>
      <c r="J230" s="251">
        <v>1400</v>
      </c>
      <c r="K230" s="146"/>
      <c r="V230">
        <v>1</v>
      </c>
      <c r="W230">
        <v>0</v>
      </c>
    </row>
    <row r="231" spans="1:23" x14ac:dyDescent="0.3">
      <c r="A231" s="145"/>
      <c r="B231" s="160">
        <v>17</v>
      </c>
      <c r="C231" s="43">
        <v>42913</v>
      </c>
      <c r="D231" s="81" t="s">
        <v>9</v>
      </c>
      <c r="E231" s="161" t="s">
        <v>2218</v>
      </c>
      <c r="F231" s="162">
        <v>17</v>
      </c>
      <c r="G231" s="162">
        <v>35</v>
      </c>
      <c r="H231" s="81">
        <v>18</v>
      </c>
      <c r="I231" s="162">
        <v>350</v>
      </c>
      <c r="J231" s="251">
        <v>6300</v>
      </c>
      <c r="K231" s="146"/>
      <c r="V231">
        <v>1</v>
      </c>
      <c r="W231">
        <v>0</v>
      </c>
    </row>
    <row r="232" spans="1:23" x14ac:dyDescent="0.3">
      <c r="A232" s="145"/>
      <c r="B232" s="160">
        <v>18</v>
      </c>
      <c r="C232" s="43">
        <v>42914</v>
      </c>
      <c r="D232" s="81" t="s">
        <v>9</v>
      </c>
      <c r="E232" s="161" t="s">
        <v>2219</v>
      </c>
      <c r="F232" s="162">
        <v>4</v>
      </c>
      <c r="G232" s="162">
        <v>3</v>
      </c>
      <c r="H232" s="81">
        <v>-1</v>
      </c>
      <c r="I232" s="162">
        <v>3084</v>
      </c>
      <c r="J232" s="251">
        <v>-3084</v>
      </c>
      <c r="K232" s="146"/>
      <c r="V232">
        <v>0</v>
      </c>
      <c r="W232">
        <v>1</v>
      </c>
    </row>
    <row r="233" spans="1:23" x14ac:dyDescent="0.3">
      <c r="A233" s="145"/>
      <c r="B233" s="160">
        <v>19</v>
      </c>
      <c r="C233" s="43">
        <v>42915</v>
      </c>
      <c r="D233" s="81" t="s">
        <v>9</v>
      </c>
      <c r="E233" s="161" t="s">
        <v>2202</v>
      </c>
      <c r="F233" s="162">
        <v>3.5</v>
      </c>
      <c r="G233" s="162">
        <v>7</v>
      </c>
      <c r="H233" s="81">
        <v>3.5</v>
      </c>
      <c r="I233" s="162">
        <v>3000</v>
      </c>
      <c r="J233" s="251">
        <v>10500</v>
      </c>
      <c r="K233" s="146"/>
      <c r="V233">
        <v>1</v>
      </c>
      <c r="W233">
        <v>0</v>
      </c>
    </row>
    <row r="234" spans="1:23" x14ac:dyDescent="0.3">
      <c r="A234" s="145"/>
      <c r="B234" s="160">
        <v>20</v>
      </c>
      <c r="C234" s="43">
        <v>42916</v>
      </c>
      <c r="D234" s="81" t="s">
        <v>9</v>
      </c>
      <c r="E234" s="161" t="s">
        <v>2007</v>
      </c>
      <c r="F234" s="162">
        <v>6</v>
      </c>
      <c r="G234" s="162">
        <v>5.45</v>
      </c>
      <c r="H234" s="81">
        <v>-0.55000000000000004</v>
      </c>
      <c r="I234" s="162">
        <v>3000</v>
      </c>
      <c r="J234" s="251">
        <v>-1650.0000000000002</v>
      </c>
      <c r="K234" s="146"/>
      <c r="V234">
        <v>0</v>
      </c>
      <c r="W234">
        <v>1</v>
      </c>
    </row>
    <row r="235" spans="1:23" x14ac:dyDescent="0.3">
      <c r="A235" s="145"/>
      <c r="B235" s="160">
        <v>21</v>
      </c>
      <c r="C235" s="43"/>
      <c r="D235" s="81"/>
      <c r="E235" s="161"/>
      <c r="F235" s="162"/>
      <c r="G235" s="162"/>
      <c r="H235" s="81"/>
      <c r="I235" s="162"/>
      <c r="J235" s="251"/>
      <c r="K235" s="146"/>
      <c r="V235">
        <v>0</v>
      </c>
      <c r="W235">
        <v>0</v>
      </c>
    </row>
    <row r="236" spans="1:23" x14ac:dyDescent="0.3">
      <c r="A236" s="145"/>
      <c r="B236" s="160">
        <v>22</v>
      </c>
      <c r="C236" s="43"/>
      <c r="D236" s="81"/>
      <c r="E236" s="161"/>
      <c r="F236" s="162"/>
      <c r="G236" s="162"/>
      <c r="H236" s="81"/>
      <c r="I236" s="162"/>
      <c r="J236" s="251"/>
      <c r="K236" s="146"/>
      <c r="V236">
        <v>0</v>
      </c>
      <c r="W236">
        <v>0</v>
      </c>
    </row>
    <row r="237" spans="1:23" ht="15" thickBot="1" x14ac:dyDescent="0.35">
      <c r="A237" s="145"/>
      <c r="B237" s="163">
        <v>23</v>
      </c>
      <c r="C237" s="164"/>
      <c r="D237" s="165"/>
      <c r="E237" s="166"/>
      <c r="F237" s="167"/>
      <c r="G237" s="167"/>
      <c r="H237" s="165"/>
      <c r="I237" s="167"/>
      <c r="J237" s="252"/>
      <c r="K237" s="146"/>
      <c r="V237">
        <v>0</v>
      </c>
      <c r="W237">
        <v>0</v>
      </c>
    </row>
    <row r="238" spans="1:23" ht="24" thickBot="1" x14ac:dyDescent="0.5">
      <c r="A238" s="145"/>
      <c r="B238" s="308" t="s">
        <v>2254</v>
      </c>
      <c r="C238" s="309"/>
      <c r="D238" s="309"/>
      <c r="E238" s="309"/>
      <c r="F238" s="309"/>
      <c r="G238" s="309"/>
      <c r="H238" s="310"/>
      <c r="I238" s="168" t="s">
        <v>2255</v>
      </c>
      <c r="J238" s="254">
        <v>30406.799999999999</v>
      </c>
      <c r="K238" s="146"/>
      <c r="V238">
        <v>12</v>
      </c>
      <c r="W238">
        <v>7</v>
      </c>
    </row>
    <row r="239" spans="1:23" ht="30" customHeight="1" thickBot="1" x14ac:dyDescent="0.35">
      <c r="A239" s="170"/>
      <c r="B239" s="171"/>
      <c r="C239" s="171"/>
      <c r="D239" s="171"/>
      <c r="E239" s="172"/>
      <c r="F239" s="171"/>
      <c r="G239" s="171"/>
      <c r="H239" s="248"/>
      <c r="I239" s="171"/>
      <c r="J239" s="248"/>
      <c r="K239" s="173"/>
    </row>
  </sheetData>
  <mergeCells count="84">
    <mergeCell ref="B89:J89"/>
    <mergeCell ref="B114:H114"/>
    <mergeCell ref="B118:J118"/>
    <mergeCell ref="B119:J119"/>
    <mergeCell ref="B120:J120"/>
    <mergeCell ref="B57:J57"/>
    <mergeCell ref="B58:J58"/>
    <mergeCell ref="B83:H83"/>
    <mergeCell ref="B87:J87"/>
    <mergeCell ref="B88:J88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M2:M3"/>
    <mergeCell ref="N2:N3"/>
    <mergeCell ref="O2:O3"/>
    <mergeCell ref="P2:P3"/>
    <mergeCell ref="Q2:Q3"/>
    <mergeCell ref="B2:J2"/>
    <mergeCell ref="R6:R7"/>
    <mergeCell ref="M8:M9"/>
    <mergeCell ref="N8:N9"/>
    <mergeCell ref="O8:O9"/>
    <mergeCell ref="P8:P9"/>
    <mergeCell ref="Q8:Q9"/>
    <mergeCell ref="R8:R9"/>
    <mergeCell ref="M6:M7"/>
    <mergeCell ref="N6:N7"/>
    <mergeCell ref="O6:O7"/>
    <mergeCell ref="P6:P7"/>
    <mergeCell ref="Q6:Q7"/>
    <mergeCell ref="R10:R11"/>
    <mergeCell ref="M12:M13"/>
    <mergeCell ref="N12:N13"/>
    <mergeCell ref="O12:O13"/>
    <mergeCell ref="P12:P13"/>
    <mergeCell ref="Q12:Q13"/>
    <mergeCell ref="R12:R13"/>
    <mergeCell ref="M10:M11"/>
    <mergeCell ref="N10:N11"/>
    <mergeCell ref="O10:O11"/>
    <mergeCell ref="P10:P11"/>
    <mergeCell ref="Q10:Q11"/>
    <mergeCell ref="R14:R15"/>
    <mergeCell ref="M16:M17"/>
    <mergeCell ref="N16:N17"/>
    <mergeCell ref="O16:O17"/>
    <mergeCell ref="P16:P17"/>
    <mergeCell ref="Q16:Q17"/>
    <mergeCell ref="R16:R17"/>
    <mergeCell ref="M14:M15"/>
    <mergeCell ref="N14:N15"/>
    <mergeCell ref="O14:O15"/>
    <mergeCell ref="P14:P15"/>
    <mergeCell ref="Q14:Q15"/>
    <mergeCell ref="R18:R19"/>
    <mergeCell ref="M20:O22"/>
    <mergeCell ref="P20:R22"/>
    <mergeCell ref="B52:H52"/>
    <mergeCell ref="B56:J56"/>
    <mergeCell ref="M18:M19"/>
    <mergeCell ref="N18:N19"/>
    <mergeCell ref="O18:O19"/>
    <mergeCell ref="P18:P19"/>
    <mergeCell ref="Q18:Q19"/>
    <mergeCell ref="B145:H145"/>
    <mergeCell ref="B149:J149"/>
    <mergeCell ref="B150:J150"/>
    <mergeCell ref="B151:J151"/>
    <mergeCell ref="B176:H176"/>
    <mergeCell ref="B212:J212"/>
    <mergeCell ref="B213:J213"/>
    <mergeCell ref="B238:H238"/>
    <mergeCell ref="B180:J180"/>
    <mergeCell ref="B181:J181"/>
    <mergeCell ref="B182:J182"/>
    <mergeCell ref="B207:H207"/>
    <mergeCell ref="B211:J211"/>
  </mergeCells>
  <hyperlinks>
    <hyperlink ref="B52" r:id="rId1" xr:uid="{00000000-0004-0000-3200-000000000000}"/>
    <hyperlink ref="B83" r:id="rId2" xr:uid="{00000000-0004-0000-3200-000001000000}"/>
    <hyperlink ref="B114" r:id="rId3" xr:uid="{00000000-0004-0000-3200-000002000000}"/>
    <hyperlink ref="M8:M9" location="'JUNE 2017'!A108" display="NIFTY FUTURE" xr:uid="{00000000-0004-0000-3200-000003000000}"/>
    <hyperlink ref="B145" r:id="rId4" xr:uid="{00000000-0004-0000-3200-000004000000}"/>
    <hyperlink ref="M10:M11" location="'JUNE 2017'!A139" display="NF. OPTION" xr:uid="{00000000-0004-0000-3200-000005000000}"/>
    <hyperlink ref="B176" r:id="rId5" xr:uid="{00000000-0004-0000-3200-000006000000}"/>
    <hyperlink ref="M12:M13" location="'JUNE 2017'!A170" display="BANK NIFTY" xr:uid="{00000000-0004-0000-3200-000007000000}"/>
    <hyperlink ref="B207" r:id="rId6" xr:uid="{00000000-0004-0000-3200-000008000000}"/>
    <hyperlink ref="M14:M15" location="'JUNE 2017'!A201" display="B.NIFTY OPTION" xr:uid="{00000000-0004-0000-3200-000009000000}"/>
    <hyperlink ref="B238" r:id="rId7" xr:uid="{00000000-0004-0000-3200-00000A000000}"/>
    <hyperlink ref="M16:M17" location="'JUNE 2017'!A232" display="STOCK OPTION" xr:uid="{00000000-0004-0000-3200-00000B000000}"/>
    <hyperlink ref="M6:M7" location="'JUNE 2017'!A77" display="STOCK FUTURE" xr:uid="{00000000-0004-0000-3200-00000C000000}"/>
    <hyperlink ref="M4:M5" location="'JUNE 2017'!A1" display="CASH" xr:uid="{00000000-0004-0000-3200-00000D000000}"/>
    <hyperlink ref="M1" location="'MASTER '!A1" display="Back" xr:uid="{00000000-0004-0000-3200-00000E000000}"/>
  </hyperlinks>
  <pageMargins left="0.7" right="0.7" top="0.75" bottom="0.75" header="0.3" footer="0.3"/>
  <pageSetup paperSize="9" orientation="portrait" horizontalDpi="300" verticalDpi="300" r:id="rId8"/>
  <drawing r:id="rId9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6.332031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2287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52" t="s">
        <v>449</v>
      </c>
      <c r="N4" s="388">
        <v>40</v>
      </c>
      <c r="O4" s="386">
        <v>32</v>
      </c>
      <c r="P4" s="386">
        <v>8</v>
      </c>
      <c r="Q4" s="387">
        <v>0</v>
      </c>
      <c r="R4" s="380"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41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42919</v>
      </c>
      <c r="D6" s="158" t="s">
        <v>9</v>
      </c>
      <c r="E6" s="158" t="s">
        <v>107</v>
      </c>
      <c r="F6" s="204" t="s">
        <v>2220</v>
      </c>
      <c r="G6" s="204" t="s">
        <v>2221</v>
      </c>
      <c r="H6" s="158" t="s">
        <v>2222</v>
      </c>
      <c r="I6" s="204">
        <v>108.69565217391305</v>
      </c>
      <c r="J6" s="241">
        <v>3369.5652173913045</v>
      </c>
      <c r="K6" s="153"/>
      <c r="M6" s="341" t="s">
        <v>450</v>
      </c>
      <c r="N6" s="344">
        <v>20</v>
      </c>
      <c r="O6" s="346">
        <v>12</v>
      </c>
      <c r="P6" s="346">
        <v>8</v>
      </c>
      <c r="Q6" s="374">
        <v>0</v>
      </c>
      <c r="R6" s="376">
        <v>0.6</v>
      </c>
      <c r="V6" s="25">
        <v>1</v>
      </c>
      <c r="W6" s="25">
        <v>0</v>
      </c>
    </row>
    <row r="7" spans="1:23" x14ac:dyDescent="0.3">
      <c r="A7" s="147"/>
      <c r="B7" s="205">
        <v>2</v>
      </c>
      <c r="C7" s="206">
        <v>42919</v>
      </c>
      <c r="D7" s="161" t="s">
        <v>8</v>
      </c>
      <c r="E7" s="161" t="s">
        <v>395</v>
      </c>
      <c r="F7" s="207" t="s">
        <v>2223</v>
      </c>
      <c r="G7" s="207" t="s">
        <v>2224</v>
      </c>
      <c r="H7" s="234" t="s">
        <v>1043</v>
      </c>
      <c r="I7" s="207">
        <v>112.14953271028037</v>
      </c>
      <c r="J7" s="242">
        <v>-560.74766355140184</v>
      </c>
      <c r="K7" s="153"/>
      <c r="M7" s="341"/>
      <c r="N7" s="385"/>
      <c r="O7" s="382"/>
      <c r="P7" s="382"/>
      <c r="Q7" s="383"/>
      <c r="R7" s="384"/>
      <c r="V7" s="25">
        <v>0</v>
      </c>
      <c r="W7" s="25">
        <v>1</v>
      </c>
    </row>
    <row r="8" spans="1:23" x14ac:dyDescent="0.3">
      <c r="A8" s="147"/>
      <c r="B8" s="205">
        <v>3</v>
      </c>
      <c r="C8" s="206">
        <v>42920</v>
      </c>
      <c r="D8" s="161" t="s">
        <v>9</v>
      </c>
      <c r="E8" s="161" t="s">
        <v>31</v>
      </c>
      <c r="F8" s="207" t="s">
        <v>2225</v>
      </c>
      <c r="G8" s="207" t="s">
        <v>2226</v>
      </c>
      <c r="H8" s="234">
        <v>15</v>
      </c>
      <c r="I8" s="207">
        <v>213.21961620469082</v>
      </c>
      <c r="J8" s="242">
        <v>3198.2942430703624</v>
      </c>
      <c r="K8" s="153"/>
      <c r="M8" s="341" t="s">
        <v>451</v>
      </c>
      <c r="N8" s="344">
        <v>20</v>
      </c>
      <c r="O8" s="346">
        <v>14</v>
      </c>
      <c r="P8" s="346">
        <v>6</v>
      </c>
      <c r="Q8" s="374">
        <v>0</v>
      </c>
      <c r="R8" s="376">
        <v>0.7</v>
      </c>
      <c r="V8" s="25">
        <v>1</v>
      </c>
      <c r="W8" s="25">
        <v>0</v>
      </c>
    </row>
    <row r="9" spans="1:23" x14ac:dyDescent="0.3">
      <c r="A9" s="147"/>
      <c r="B9" s="205">
        <v>4</v>
      </c>
      <c r="C9" s="206">
        <v>42920</v>
      </c>
      <c r="D9" s="161" t="s">
        <v>8</v>
      </c>
      <c r="E9" s="161" t="s">
        <v>78</v>
      </c>
      <c r="F9" s="207" t="s">
        <v>2079</v>
      </c>
      <c r="G9" s="207" t="s">
        <v>2227</v>
      </c>
      <c r="H9" s="234" t="s">
        <v>994</v>
      </c>
      <c r="I9" s="207">
        <v>178.57142857142858</v>
      </c>
      <c r="J9" s="242">
        <v>1428.5714285714287</v>
      </c>
      <c r="K9" s="153"/>
      <c r="M9" s="341"/>
      <c r="N9" s="385"/>
      <c r="O9" s="382"/>
      <c r="P9" s="382"/>
      <c r="Q9" s="383"/>
      <c r="R9" s="384"/>
      <c r="V9" s="25">
        <v>1</v>
      </c>
      <c r="W9" s="25">
        <v>0</v>
      </c>
    </row>
    <row r="10" spans="1:23" x14ac:dyDescent="0.3">
      <c r="A10" s="147"/>
      <c r="B10" s="205">
        <v>5</v>
      </c>
      <c r="C10" s="206">
        <v>42921</v>
      </c>
      <c r="D10" s="161" t="s">
        <v>9</v>
      </c>
      <c r="E10" s="161" t="s">
        <v>395</v>
      </c>
      <c r="F10" s="207" t="s">
        <v>1097</v>
      </c>
      <c r="G10" s="207" t="s">
        <v>2228</v>
      </c>
      <c r="H10" s="234" t="s">
        <v>2229</v>
      </c>
      <c r="I10" s="207">
        <v>114.06844106463879</v>
      </c>
      <c r="J10" s="242">
        <v>3764.2585551330799</v>
      </c>
      <c r="K10" s="153"/>
      <c r="M10" s="341" t="s">
        <v>1176</v>
      </c>
      <c r="N10" s="344">
        <v>20</v>
      </c>
      <c r="O10" s="346">
        <v>16</v>
      </c>
      <c r="P10" s="346">
        <v>4</v>
      </c>
      <c r="Q10" s="374">
        <v>0</v>
      </c>
      <c r="R10" s="376">
        <v>0.8</v>
      </c>
      <c r="V10" s="25">
        <v>1</v>
      </c>
      <c r="W10" s="25">
        <v>0</v>
      </c>
    </row>
    <row r="11" spans="1:23" x14ac:dyDescent="0.3">
      <c r="A11" s="147"/>
      <c r="B11" s="205">
        <v>6</v>
      </c>
      <c r="C11" s="206">
        <v>42921</v>
      </c>
      <c r="D11" s="161" t="s">
        <v>8</v>
      </c>
      <c r="E11" s="161" t="s">
        <v>78</v>
      </c>
      <c r="F11" s="207" t="s">
        <v>2230</v>
      </c>
      <c r="G11" s="207" t="s">
        <v>2231</v>
      </c>
      <c r="H11" s="234" t="s">
        <v>1405</v>
      </c>
      <c r="I11" s="207">
        <v>177.51479289940829</v>
      </c>
      <c r="J11" s="242">
        <v>-710.05917159763317</v>
      </c>
      <c r="K11" s="153"/>
      <c r="M11" s="341"/>
      <c r="N11" s="385"/>
      <c r="O11" s="382"/>
      <c r="P11" s="382"/>
      <c r="Q11" s="383"/>
      <c r="R11" s="384"/>
      <c r="V11" s="25">
        <v>0</v>
      </c>
      <c r="W11" s="25">
        <v>1</v>
      </c>
    </row>
    <row r="12" spans="1:23" x14ac:dyDescent="0.3">
      <c r="A12" s="147"/>
      <c r="B12" s="205">
        <v>7</v>
      </c>
      <c r="C12" s="206">
        <v>42922</v>
      </c>
      <c r="D12" s="161" t="s">
        <v>9</v>
      </c>
      <c r="E12" s="161" t="s">
        <v>31</v>
      </c>
      <c r="F12" s="207" t="s">
        <v>2232</v>
      </c>
      <c r="G12" s="207" t="s">
        <v>2188</v>
      </c>
      <c r="H12" s="234" t="s">
        <v>925</v>
      </c>
      <c r="I12" s="207">
        <v>207.61245674740485</v>
      </c>
      <c r="J12" s="242">
        <v>1038.0622837370242</v>
      </c>
      <c r="K12" s="153"/>
      <c r="M12" s="341" t="s">
        <v>41</v>
      </c>
      <c r="N12" s="344">
        <v>20</v>
      </c>
      <c r="O12" s="346">
        <v>13</v>
      </c>
      <c r="P12" s="346">
        <v>7</v>
      </c>
      <c r="Q12" s="374">
        <v>0</v>
      </c>
      <c r="R12" s="376">
        <v>0.7142857142857143</v>
      </c>
      <c r="V12" s="25">
        <v>1</v>
      </c>
      <c r="W12" s="25">
        <v>0</v>
      </c>
    </row>
    <row r="13" spans="1:23" x14ac:dyDescent="0.3">
      <c r="A13" s="147"/>
      <c r="B13" s="205">
        <v>8</v>
      </c>
      <c r="C13" s="206">
        <v>42922</v>
      </c>
      <c r="D13" s="161" t="s">
        <v>8</v>
      </c>
      <c r="E13" s="161" t="s">
        <v>139</v>
      </c>
      <c r="F13" s="207" t="s">
        <v>848</v>
      </c>
      <c r="G13" s="207" t="s">
        <v>2233</v>
      </c>
      <c r="H13" s="234" t="s">
        <v>1115</v>
      </c>
      <c r="I13" s="207">
        <v>200</v>
      </c>
      <c r="J13" s="242">
        <v>-3000</v>
      </c>
      <c r="K13" s="153"/>
      <c r="M13" s="341"/>
      <c r="N13" s="385"/>
      <c r="O13" s="382"/>
      <c r="P13" s="382"/>
      <c r="Q13" s="383"/>
      <c r="R13" s="384"/>
      <c r="V13" s="25">
        <v>0</v>
      </c>
      <c r="W13" s="25">
        <v>1</v>
      </c>
    </row>
    <row r="14" spans="1:23" x14ac:dyDescent="0.3">
      <c r="A14" s="147"/>
      <c r="B14" s="205">
        <v>9</v>
      </c>
      <c r="C14" s="206">
        <v>42923</v>
      </c>
      <c r="D14" s="161" t="s">
        <v>9</v>
      </c>
      <c r="E14" s="161" t="s">
        <v>78</v>
      </c>
      <c r="F14" s="207" t="s">
        <v>1743</v>
      </c>
      <c r="G14" s="207" t="s">
        <v>2234</v>
      </c>
      <c r="H14" s="234" t="s">
        <v>1011</v>
      </c>
      <c r="I14" s="207">
        <v>175.43859649122808</v>
      </c>
      <c r="J14" s="242">
        <v>1228.0701754385966</v>
      </c>
      <c r="K14" s="153"/>
      <c r="M14" s="341" t="s">
        <v>1175</v>
      </c>
      <c r="N14" s="344">
        <v>20</v>
      </c>
      <c r="O14" s="346">
        <v>11</v>
      </c>
      <c r="P14" s="346">
        <v>9</v>
      </c>
      <c r="Q14" s="374">
        <v>0</v>
      </c>
      <c r="R14" s="376">
        <v>0.55000000000000004</v>
      </c>
      <c r="V14" s="25">
        <v>1</v>
      </c>
      <c r="W14" s="25">
        <v>0</v>
      </c>
    </row>
    <row r="15" spans="1:23" x14ac:dyDescent="0.3">
      <c r="A15" s="147"/>
      <c r="B15" s="205">
        <v>10</v>
      </c>
      <c r="C15" s="206">
        <v>42923</v>
      </c>
      <c r="D15" s="161" t="s">
        <v>8</v>
      </c>
      <c r="E15" s="161" t="s">
        <v>95</v>
      </c>
      <c r="F15" s="207" t="s">
        <v>2235</v>
      </c>
      <c r="G15" s="207" t="s">
        <v>2236</v>
      </c>
      <c r="H15" s="234" t="s">
        <v>1842</v>
      </c>
      <c r="I15" s="207">
        <v>1030.9278350515465</v>
      </c>
      <c r="J15" s="242">
        <v>1237.1134020618558</v>
      </c>
      <c r="K15" s="153"/>
      <c r="M15" s="341"/>
      <c r="N15" s="385"/>
      <c r="O15" s="382"/>
      <c r="P15" s="382"/>
      <c r="Q15" s="383"/>
      <c r="R15" s="384"/>
      <c r="V15" s="25">
        <v>1</v>
      </c>
      <c r="W15" s="25">
        <v>0</v>
      </c>
    </row>
    <row r="16" spans="1:23" x14ac:dyDescent="0.3">
      <c r="A16" s="147"/>
      <c r="B16" s="205">
        <v>11</v>
      </c>
      <c r="C16" s="206">
        <v>42927</v>
      </c>
      <c r="D16" s="161" t="s">
        <v>9</v>
      </c>
      <c r="E16" s="161" t="s">
        <v>139</v>
      </c>
      <c r="F16" s="207">
        <v>1525</v>
      </c>
      <c r="G16" s="207">
        <v>1531.5</v>
      </c>
      <c r="H16" s="161">
        <v>6.5</v>
      </c>
      <c r="I16" s="207">
        <v>196.72131147540983</v>
      </c>
      <c r="J16" s="242">
        <v>1278.688524590164</v>
      </c>
      <c r="K16" s="153"/>
      <c r="M16" s="341" t="s">
        <v>1090</v>
      </c>
      <c r="N16" s="344">
        <v>20</v>
      </c>
      <c r="O16" s="346">
        <v>16</v>
      </c>
      <c r="P16" s="346">
        <v>4</v>
      </c>
      <c r="Q16" s="374">
        <v>0</v>
      </c>
      <c r="R16" s="376">
        <v>0.8</v>
      </c>
      <c r="V16" s="25">
        <v>1</v>
      </c>
      <c r="W16" s="25">
        <v>0</v>
      </c>
    </row>
    <row r="17" spans="1:23" ht="15" thickBot="1" x14ac:dyDescent="0.35">
      <c r="A17" s="147"/>
      <c r="B17" s="205">
        <v>12</v>
      </c>
      <c r="C17" s="206">
        <v>42927</v>
      </c>
      <c r="D17" s="161" t="s">
        <v>8</v>
      </c>
      <c r="E17" s="161" t="s">
        <v>78</v>
      </c>
      <c r="F17" s="207" t="s">
        <v>2276</v>
      </c>
      <c r="G17" s="207" t="s">
        <v>2277</v>
      </c>
      <c r="H17" s="161">
        <v>-10</v>
      </c>
      <c r="I17" s="207">
        <v>172.71157167530225</v>
      </c>
      <c r="J17" s="242">
        <v>-1727.1157167530225</v>
      </c>
      <c r="K17" s="153"/>
      <c r="M17" s="342"/>
      <c r="N17" s="381"/>
      <c r="O17" s="373"/>
      <c r="P17" s="373"/>
      <c r="Q17" s="375"/>
      <c r="R17" s="377"/>
      <c r="V17" s="25">
        <v>0</v>
      </c>
      <c r="W17" s="25">
        <v>1</v>
      </c>
    </row>
    <row r="18" spans="1:23" x14ac:dyDescent="0.3">
      <c r="A18" s="147"/>
      <c r="B18" s="205">
        <v>13</v>
      </c>
      <c r="C18" s="206">
        <v>42928</v>
      </c>
      <c r="D18" s="161" t="s">
        <v>9</v>
      </c>
      <c r="E18" s="161" t="s">
        <v>395</v>
      </c>
      <c r="F18" s="207">
        <v>2700</v>
      </c>
      <c r="G18" s="207">
        <v>2675</v>
      </c>
      <c r="H18" s="161">
        <v>-25</v>
      </c>
      <c r="I18" s="207">
        <v>111.11111111111111</v>
      </c>
      <c r="J18" s="242">
        <v>-2777.7777777777778</v>
      </c>
      <c r="K18" s="153"/>
      <c r="M18" s="334" t="s">
        <v>946</v>
      </c>
      <c r="N18" s="378">
        <v>160</v>
      </c>
      <c r="O18" s="378">
        <v>114</v>
      </c>
      <c r="P18" s="378">
        <v>46</v>
      </c>
      <c r="Q18" s="378">
        <v>0</v>
      </c>
      <c r="R18" s="380">
        <v>0.71250000000000002</v>
      </c>
      <c r="V18" s="25">
        <v>0</v>
      </c>
      <c r="W18" s="25">
        <v>1</v>
      </c>
    </row>
    <row r="19" spans="1:23" ht="15" thickBot="1" x14ac:dyDescent="0.35">
      <c r="A19" s="147"/>
      <c r="B19" s="205">
        <v>14</v>
      </c>
      <c r="C19" s="206">
        <v>42928</v>
      </c>
      <c r="D19" s="161" t="s">
        <v>8</v>
      </c>
      <c r="E19" s="161" t="s">
        <v>139</v>
      </c>
      <c r="F19" s="207">
        <v>1515</v>
      </c>
      <c r="G19" s="207">
        <v>1508</v>
      </c>
      <c r="H19" s="161">
        <v>8</v>
      </c>
      <c r="I19" s="207">
        <v>198.01980198019803</v>
      </c>
      <c r="J19" s="242">
        <v>1584.1584158415842</v>
      </c>
      <c r="K19" s="153"/>
      <c r="M19" s="335"/>
      <c r="N19" s="379"/>
      <c r="O19" s="379"/>
      <c r="P19" s="379"/>
      <c r="Q19" s="379"/>
      <c r="R19" s="377"/>
      <c r="V19" s="25">
        <v>1</v>
      </c>
      <c r="W19" s="25">
        <v>0</v>
      </c>
    </row>
    <row r="20" spans="1:23" ht="15" customHeight="1" x14ac:dyDescent="0.3">
      <c r="A20" s="147"/>
      <c r="B20" s="205">
        <v>15</v>
      </c>
      <c r="C20" s="206">
        <v>42929</v>
      </c>
      <c r="D20" s="161" t="s">
        <v>9</v>
      </c>
      <c r="E20" s="161" t="s">
        <v>31</v>
      </c>
      <c r="F20" s="207">
        <v>1515</v>
      </c>
      <c r="G20" s="207">
        <v>1524.5</v>
      </c>
      <c r="H20" s="161">
        <v>9.5</v>
      </c>
      <c r="I20" s="207">
        <v>198.01980198019803</v>
      </c>
      <c r="J20" s="242">
        <v>1881.1881188118812</v>
      </c>
      <c r="K20" s="153"/>
      <c r="M20" s="316" t="s">
        <v>2253</v>
      </c>
      <c r="N20" s="317"/>
      <c r="O20" s="318"/>
      <c r="P20" s="325">
        <v>0.71250000000000002</v>
      </c>
      <c r="Q20" s="326"/>
      <c r="R20" s="327"/>
      <c r="V20" s="25">
        <v>1</v>
      </c>
      <c r="W20" s="25">
        <v>0</v>
      </c>
    </row>
    <row r="21" spans="1:23" ht="15" customHeight="1" x14ac:dyDescent="0.3">
      <c r="A21" s="147"/>
      <c r="B21" s="205">
        <v>16</v>
      </c>
      <c r="C21" s="206">
        <v>42929</v>
      </c>
      <c r="D21" s="161" t="s">
        <v>8</v>
      </c>
      <c r="E21" s="161" t="s">
        <v>124</v>
      </c>
      <c r="F21" s="207">
        <v>459</v>
      </c>
      <c r="G21" s="207">
        <v>456.7</v>
      </c>
      <c r="H21" s="161">
        <v>2.2999999999999998</v>
      </c>
      <c r="I21" s="207">
        <v>653.59477124183002</v>
      </c>
      <c r="J21" s="242">
        <v>1503.267973856209</v>
      </c>
      <c r="K21" s="153"/>
      <c r="M21" s="319"/>
      <c r="N21" s="320"/>
      <c r="O21" s="321"/>
      <c r="P21" s="328"/>
      <c r="Q21" s="329"/>
      <c r="R21" s="330"/>
      <c r="V21" s="25">
        <v>1</v>
      </c>
      <c r="W21" s="25">
        <v>0</v>
      </c>
    </row>
    <row r="22" spans="1:23" ht="15" customHeight="1" thickBot="1" x14ac:dyDescent="0.35">
      <c r="A22" s="147"/>
      <c r="B22" s="205">
        <v>17</v>
      </c>
      <c r="C22" s="206">
        <v>42930</v>
      </c>
      <c r="D22" s="161" t="s">
        <v>9</v>
      </c>
      <c r="E22" s="161" t="s">
        <v>175</v>
      </c>
      <c r="F22" s="207">
        <v>735</v>
      </c>
      <c r="G22" s="207">
        <v>750</v>
      </c>
      <c r="H22" s="161">
        <v>15</v>
      </c>
      <c r="I22" s="207">
        <v>408.16326530612247</v>
      </c>
      <c r="J22" s="242">
        <v>6122.4489795918371</v>
      </c>
      <c r="K22" s="153"/>
      <c r="M22" s="322"/>
      <c r="N22" s="323"/>
      <c r="O22" s="324"/>
      <c r="P22" s="331"/>
      <c r="Q22" s="332"/>
      <c r="R22" s="333"/>
      <c r="V22" s="25">
        <v>1</v>
      </c>
      <c r="W22" s="25">
        <v>0</v>
      </c>
    </row>
    <row r="23" spans="1:23" ht="15" customHeight="1" x14ac:dyDescent="0.3">
      <c r="A23" s="147"/>
      <c r="B23" s="205">
        <v>18</v>
      </c>
      <c r="C23" s="206">
        <v>42930</v>
      </c>
      <c r="D23" s="161" t="s">
        <v>8</v>
      </c>
      <c r="E23" s="161" t="s">
        <v>139</v>
      </c>
      <c r="F23" s="207">
        <v>1565</v>
      </c>
      <c r="G23" s="207">
        <v>1555</v>
      </c>
      <c r="H23" s="161">
        <v>10</v>
      </c>
      <c r="I23" s="207">
        <v>191.69329073482427</v>
      </c>
      <c r="J23" s="242">
        <v>1916.9329073482427</v>
      </c>
      <c r="K23" s="153"/>
      <c r="V23" s="25">
        <v>1</v>
      </c>
      <c r="W23" s="25">
        <v>0</v>
      </c>
    </row>
    <row r="24" spans="1:23" ht="15.75" customHeight="1" x14ac:dyDescent="0.3">
      <c r="A24" s="147"/>
      <c r="B24" s="205">
        <v>19</v>
      </c>
      <c r="C24" s="206">
        <v>42933</v>
      </c>
      <c r="D24" s="161" t="s">
        <v>9</v>
      </c>
      <c r="E24" s="161" t="s">
        <v>31</v>
      </c>
      <c r="F24" s="207">
        <v>1547</v>
      </c>
      <c r="G24" s="207">
        <v>1557</v>
      </c>
      <c r="H24" s="161">
        <v>10</v>
      </c>
      <c r="I24" s="207">
        <v>193.92372333548803</v>
      </c>
      <c r="J24" s="242">
        <v>1939.2372333548803</v>
      </c>
      <c r="K24" s="153"/>
      <c r="V24" s="25">
        <v>1</v>
      </c>
      <c r="W24" s="25">
        <v>0</v>
      </c>
    </row>
    <row r="25" spans="1:23" x14ac:dyDescent="0.3">
      <c r="A25" s="147"/>
      <c r="B25" s="205">
        <v>20</v>
      </c>
      <c r="C25" s="206">
        <v>42933</v>
      </c>
      <c r="D25" s="161" t="s">
        <v>8</v>
      </c>
      <c r="E25" s="161" t="s">
        <v>139</v>
      </c>
      <c r="F25" s="207">
        <v>1560</v>
      </c>
      <c r="G25" s="207">
        <v>1545</v>
      </c>
      <c r="H25" s="161">
        <v>15</v>
      </c>
      <c r="I25" s="207">
        <v>192.30769230769232</v>
      </c>
      <c r="J25" s="242">
        <v>2884.6153846153848</v>
      </c>
      <c r="K25" s="153"/>
      <c r="V25" s="25">
        <v>1</v>
      </c>
      <c r="W25" s="25">
        <v>0</v>
      </c>
    </row>
    <row r="26" spans="1:23" x14ac:dyDescent="0.3">
      <c r="A26" s="147"/>
      <c r="B26" s="205">
        <v>21</v>
      </c>
      <c r="C26" s="206">
        <v>42934</v>
      </c>
      <c r="D26" s="161" t="s">
        <v>9</v>
      </c>
      <c r="E26" s="161" t="s">
        <v>78</v>
      </c>
      <c r="F26" s="207">
        <v>1178</v>
      </c>
      <c r="G26" s="207">
        <v>1185</v>
      </c>
      <c r="H26" s="161">
        <v>7</v>
      </c>
      <c r="I26" s="207">
        <v>254.66893039049236</v>
      </c>
      <c r="J26" s="242">
        <v>1782.6825127334466</v>
      </c>
      <c r="K26" s="153"/>
      <c r="V26" s="25">
        <v>1</v>
      </c>
      <c r="W26" s="25">
        <v>0</v>
      </c>
    </row>
    <row r="27" spans="1:23" x14ac:dyDescent="0.3">
      <c r="A27" s="147"/>
      <c r="B27" s="205">
        <v>22</v>
      </c>
      <c r="C27" s="206">
        <v>42934</v>
      </c>
      <c r="D27" s="161" t="s">
        <v>8</v>
      </c>
      <c r="E27" s="161" t="s">
        <v>139</v>
      </c>
      <c r="F27" s="207">
        <v>1570</v>
      </c>
      <c r="G27" s="207">
        <v>1555</v>
      </c>
      <c r="H27" s="161">
        <v>15</v>
      </c>
      <c r="I27" s="207">
        <v>191.08280254777071</v>
      </c>
      <c r="J27" s="242">
        <v>2866.2420382165606</v>
      </c>
      <c r="K27" s="153"/>
      <c r="V27" s="25">
        <v>1</v>
      </c>
      <c r="W27" s="25">
        <v>0</v>
      </c>
    </row>
    <row r="28" spans="1:23" x14ac:dyDescent="0.3">
      <c r="A28" s="147"/>
      <c r="B28" s="205">
        <v>23</v>
      </c>
      <c r="C28" s="206">
        <v>42935</v>
      </c>
      <c r="D28" s="161" t="s">
        <v>9</v>
      </c>
      <c r="E28" s="161" t="s">
        <v>78</v>
      </c>
      <c r="F28" s="207">
        <v>1180</v>
      </c>
      <c r="G28" s="222">
        <v>1186.5</v>
      </c>
      <c r="H28" s="161">
        <v>6.5</v>
      </c>
      <c r="I28" s="207">
        <v>254.23728813559322</v>
      </c>
      <c r="J28" s="242">
        <v>1652.542372881356</v>
      </c>
      <c r="K28" s="153"/>
      <c r="V28" s="25">
        <v>1</v>
      </c>
      <c r="W28" s="25">
        <v>0</v>
      </c>
    </row>
    <row r="29" spans="1:23" x14ac:dyDescent="0.3">
      <c r="A29" s="147"/>
      <c r="B29" s="205">
        <v>24</v>
      </c>
      <c r="C29" s="206">
        <v>42935</v>
      </c>
      <c r="D29" s="161" t="s">
        <v>8</v>
      </c>
      <c r="E29" s="161" t="s">
        <v>139</v>
      </c>
      <c r="F29" s="207">
        <v>1555</v>
      </c>
      <c r="G29" s="207">
        <v>1570</v>
      </c>
      <c r="H29" s="161">
        <v>-15</v>
      </c>
      <c r="I29" s="207">
        <v>192.92604501607718</v>
      </c>
      <c r="J29" s="242">
        <v>-2893.8906752411576</v>
      </c>
      <c r="K29" s="153"/>
      <c r="V29" s="25">
        <v>0</v>
      </c>
      <c r="W29" s="25">
        <v>1</v>
      </c>
    </row>
    <row r="30" spans="1:23" x14ac:dyDescent="0.3">
      <c r="A30" s="147"/>
      <c r="B30" s="205">
        <v>25</v>
      </c>
      <c r="C30" s="206">
        <v>42936</v>
      </c>
      <c r="D30" s="161" t="s">
        <v>9</v>
      </c>
      <c r="E30" s="161" t="s">
        <v>78</v>
      </c>
      <c r="F30" s="207">
        <v>1185</v>
      </c>
      <c r="G30" s="207">
        <v>1194</v>
      </c>
      <c r="H30" s="161">
        <v>9</v>
      </c>
      <c r="I30" s="207">
        <v>253.16455696202533</v>
      </c>
      <c r="J30" s="242">
        <v>2278.4810126582279</v>
      </c>
      <c r="K30" s="153"/>
      <c r="V30" s="25">
        <v>1</v>
      </c>
      <c r="W30" s="25">
        <v>0</v>
      </c>
    </row>
    <row r="31" spans="1:23" x14ac:dyDescent="0.3">
      <c r="A31" s="147"/>
      <c r="B31" s="205">
        <v>26</v>
      </c>
      <c r="C31" s="206">
        <v>42936</v>
      </c>
      <c r="D31" s="161" t="s">
        <v>8</v>
      </c>
      <c r="E31" s="161" t="s">
        <v>552</v>
      </c>
      <c r="F31" s="207">
        <v>1572</v>
      </c>
      <c r="G31" s="207">
        <v>1556</v>
      </c>
      <c r="H31" s="161">
        <v>16</v>
      </c>
      <c r="I31" s="207">
        <v>190.83969465648855</v>
      </c>
      <c r="J31" s="242">
        <v>3053.4351145038167</v>
      </c>
      <c r="K31" s="153"/>
      <c r="V31" s="25">
        <v>1</v>
      </c>
      <c r="W31" s="25">
        <v>0</v>
      </c>
    </row>
    <row r="32" spans="1:23" x14ac:dyDescent="0.3">
      <c r="A32" s="147"/>
      <c r="B32" s="205">
        <v>27</v>
      </c>
      <c r="C32" s="206">
        <v>42937</v>
      </c>
      <c r="D32" s="161" t="s">
        <v>9</v>
      </c>
      <c r="E32" s="161" t="s">
        <v>139</v>
      </c>
      <c r="F32" s="207">
        <v>1568</v>
      </c>
      <c r="G32" s="207">
        <v>1580</v>
      </c>
      <c r="H32" s="161">
        <v>12</v>
      </c>
      <c r="I32" s="207">
        <v>191.32653061224491</v>
      </c>
      <c r="J32" s="242">
        <v>2295.9183673469388</v>
      </c>
      <c r="K32" s="153"/>
      <c r="V32" s="25">
        <v>1</v>
      </c>
      <c r="W32" s="25">
        <v>0</v>
      </c>
    </row>
    <row r="33" spans="1:23" x14ac:dyDescent="0.3">
      <c r="A33" s="147"/>
      <c r="B33" s="205">
        <v>28</v>
      </c>
      <c r="C33" s="206">
        <v>42937</v>
      </c>
      <c r="D33" s="161" t="s">
        <v>8</v>
      </c>
      <c r="E33" s="161" t="s">
        <v>78</v>
      </c>
      <c r="F33" s="207">
        <v>1186</v>
      </c>
      <c r="G33" s="222">
        <v>1170.5</v>
      </c>
      <c r="H33" s="161">
        <v>15.5</v>
      </c>
      <c r="I33" s="207">
        <v>252.95109612141653</v>
      </c>
      <c r="J33" s="242">
        <v>3920.7419898819562</v>
      </c>
      <c r="K33" s="153"/>
      <c r="V33" s="25">
        <v>1</v>
      </c>
      <c r="W33" s="25">
        <v>0</v>
      </c>
    </row>
    <row r="34" spans="1:23" x14ac:dyDescent="0.3">
      <c r="A34" s="147"/>
      <c r="B34" s="205">
        <v>29</v>
      </c>
      <c r="C34" s="206">
        <v>42940</v>
      </c>
      <c r="D34" s="161" t="s">
        <v>9</v>
      </c>
      <c r="E34" s="161" t="s">
        <v>31</v>
      </c>
      <c r="F34" s="207">
        <v>1620</v>
      </c>
      <c r="G34" s="207">
        <v>1613</v>
      </c>
      <c r="H34" s="161">
        <v>-7</v>
      </c>
      <c r="I34" s="207">
        <f t="shared" ref="I34:I45" si="0">300000/F34</f>
        <v>185.18518518518519</v>
      </c>
      <c r="J34" s="242">
        <f t="shared" ref="J34:J45" si="1">H34*I34</f>
        <v>-1296.2962962962963</v>
      </c>
      <c r="K34" s="153"/>
      <c r="V34" s="25">
        <v>0</v>
      </c>
      <c r="W34" s="25">
        <v>0</v>
      </c>
    </row>
    <row r="35" spans="1:23" x14ac:dyDescent="0.3">
      <c r="A35" s="147"/>
      <c r="B35" s="205">
        <v>30</v>
      </c>
      <c r="C35" s="206">
        <v>42940</v>
      </c>
      <c r="D35" s="161" t="s">
        <v>8</v>
      </c>
      <c r="E35" s="161" t="s">
        <v>78</v>
      </c>
      <c r="F35" s="207">
        <v>1175</v>
      </c>
      <c r="G35" s="207">
        <v>1176</v>
      </c>
      <c r="H35" s="161">
        <v>-1</v>
      </c>
      <c r="I35" s="207">
        <f t="shared" si="0"/>
        <v>255.31914893617022</v>
      </c>
      <c r="J35" s="242">
        <f t="shared" si="1"/>
        <v>-255.31914893617022</v>
      </c>
      <c r="K35" s="153"/>
      <c r="V35" s="25">
        <v>0</v>
      </c>
      <c r="W35" s="25">
        <v>0</v>
      </c>
    </row>
    <row r="36" spans="1:23" x14ac:dyDescent="0.3">
      <c r="A36" s="147"/>
      <c r="B36" s="205">
        <v>31</v>
      </c>
      <c r="C36" s="206">
        <v>42941</v>
      </c>
      <c r="D36" s="161" t="s">
        <v>9</v>
      </c>
      <c r="E36" s="161" t="s">
        <v>2298</v>
      </c>
      <c r="F36" s="207">
        <v>1640</v>
      </c>
      <c r="G36" s="207">
        <v>1670</v>
      </c>
      <c r="H36" s="161">
        <v>30</v>
      </c>
      <c r="I36" s="207">
        <f t="shared" si="0"/>
        <v>182.92682926829269</v>
      </c>
      <c r="J36" s="242">
        <f t="shared" si="1"/>
        <v>5487.8048780487807</v>
      </c>
      <c r="K36" s="153"/>
      <c r="V36" s="25">
        <v>0</v>
      </c>
      <c r="W36" s="25">
        <v>0</v>
      </c>
    </row>
    <row r="37" spans="1:23" x14ac:dyDescent="0.3">
      <c r="A37" s="147"/>
      <c r="B37" s="205">
        <v>32</v>
      </c>
      <c r="C37" s="206">
        <v>42941</v>
      </c>
      <c r="D37" s="161" t="s">
        <v>8</v>
      </c>
      <c r="E37" s="161" t="s">
        <v>31</v>
      </c>
      <c r="F37" s="207">
        <v>1610</v>
      </c>
      <c r="G37" s="207">
        <v>1600</v>
      </c>
      <c r="H37" s="161">
        <v>10</v>
      </c>
      <c r="I37" s="207">
        <f t="shared" si="0"/>
        <v>186.33540372670808</v>
      </c>
      <c r="J37" s="242">
        <f t="shared" si="1"/>
        <v>1863.3540372670809</v>
      </c>
      <c r="K37" s="153"/>
      <c r="V37" s="25">
        <v>0</v>
      </c>
      <c r="W37" s="25">
        <v>0</v>
      </c>
    </row>
    <row r="38" spans="1:23" x14ac:dyDescent="0.3">
      <c r="A38" s="147"/>
      <c r="B38" s="205">
        <v>33</v>
      </c>
      <c r="C38" s="206">
        <v>42942</v>
      </c>
      <c r="D38" s="161" t="s">
        <v>9</v>
      </c>
      <c r="E38" s="161" t="s">
        <v>31</v>
      </c>
      <c r="F38" s="207">
        <v>1610</v>
      </c>
      <c r="G38" s="207">
        <v>1627</v>
      </c>
      <c r="H38" s="161">
        <v>17</v>
      </c>
      <c r="I38" s="207">
        <f t="shared" si="0"/>
        <v>186.33540372670808</v>
      </c>
      <c r="J38" s="242">
        <f t="shared" si="1"/>
        <v>3167.7018633540374</v>
      </c>
      <c r="K38" s="153"/>
      <c r="V38" s="25">
        <v>0</v>
      </c>
      <c r="W38" s="25">
        <v>0</v>
      </c>
    </row>
    <row r="39" spans="1:23" x14ac:dyDescent="0.3">
      <c r="A39" s="147"/>
      <c r="B39" s="205">
        <v>34</v>
      </c>
      <c r="C39" s="206">
        <v>42942</v>
      </c>
      <c r="D39" s="161" t="s">
        <v>8</v>
      </c>
      <c r="E39" s="161" t="s">
        <v>2298</v>
      </c>
      <c r="F39" s="207">
        <v>1655</v>
      </c>
      <c r="G39" s="207">
        <v>1625</v>
      </c>
      <c r="H39" s="161">
        <v>30</v>
      </c>
      <c r="I39" s="207">
        <f t="shared" si="0"/>
        <v>181.26888217522659</v>
      </c>
      <c r="J39" s="242">
        <f t="shared" si="1"/>
        <v>5438.0664652567975</v>
      </c>
      <c r="K39" s="153"/>
      <c r="V39" s="25">
        <v>0</v>
      </c>
      <c r="W39" s="25">
        <v>0</v>
      </c>
    </row>
    <row r="40" spans="1:23" x14ac:dyDescent="0.3">
      <c r="A40" s="147"/>
      <c r="B40" s="205">
        <v>35</v>
      </c>
      <c r="C40" s="206">
        <v>42943</v>
      </c>
      <c r="D40" s="161" t="s">
        <v>9</v>
      </c>
      <c r="E40" s="161" t="s">
        <v>2023</v>
      </c>
      <c r="F40" s="207">
        <v>1715</v>
      </c>
      <c r="G40" s="207">
        <v>1735</v>
      </c>
      <c r="H40" s="161">
        <v>20</v>
      </c>
      <c r="I40" s="207">
        <f t="shared" si="0"/>
        <v>174.9271137026239</v>
      </c>
      <c r="J40" s="242">
        <f t="shared" si="1"/>
        <v>3498.5422740524782</v>
      </c>
      <c r="K40" s="153"/>
      <c r="V40" s="25">
        <v>0</v>
      </c>
      <c r="W40" s="25">
        <v>0</v>
      </c>
    </row>
    <row r="41" spans="1:23" x14ac:dyDescent="0.3">
      <c r="A41" s="147"/>
      <c r="B41" s="205">
        <v>36</v>
      </c>
      <c r="C41" s="206">
        <v>42943</v>
      </c>
      <c r="D41" s="161" t="s">
        <v>8</v>
      </c>
      <c r="E41" s="161" t="s">
        <v>2298</v>
      </c>
      <c r="F41" s="207">
        <v>1615</v>
      </c>
      <c r="G41" s="207">
        <v>1585</v>
      </c>
      <c r="H41" s="161">
        <v>30</v>
      </c>
      <c r="I41" s="207">
        <f t="shared" si="0"/>
        <v>185.75851393188856</v>
      </c>
      <c r="J41" s="242">
        <f t="shared" si="1"/>
        <v>5572.7554179566569</v>
      </c>
      <c r="K41" s="153"/>
      <c r="V41" s="25">
        <v>0</v>
      </c>
      <c r="W41" s="25">
        <v>0</v>
      </c>
    </row>
    <row r="42" spans="1:23" x14ac:dyDescent="0.3">
      <c r="A42" s="147"/>
      <c r="B42" s="205">
        <v>37</v>
      </c>
      <c r="C42" s="206">
        <v>42944</v>
      </c>
      <c r="D42" s="161" t="s">
        <v>9</v>
      </c>
      <c r="E42" s="161" t="s">
        <v>139</v>
      </c>
      <c r="F42" s="207">
        <v>1800</v>
      </c>
      <c r="G42" s="207">
        <v>1830</v>
      </c>
      <c r="H42" s="161">
        <v>30</v>
      </c>
      <c r="I42" s="207">
        <f t="shared" si="0"/>
        <v>166.66666666666666</v>
      </c>
      <c r="J42" s="242">
        <f t="shared" si="1"/>
        <v>5000</v>
      </c>
      <c r="K42" s="153"/>
      <c r="V42" s="25">
        <v>0</v>
      </c>
      <c r="W42" s="25">
        <v>0</v>
      </c>
    </row>
    <row r="43" spans="1:23" x14ac:dyDescent="0.3">
      <c r="A43" s="147"/>
      <c r="B43" s="205">
        <v>38</v>
      </c>
      <c r="C43" s="206">
        <v>42944</v>
      </c>
      <c r="D43" s="161" t="s">
        <v>8</v>
      </c>
      <c r="E43" s="161" t="s">
        <v>2023</v>
      </c>
      <c r="F43" s="207">
        <v>1700</v>
      </c>
      <c r="G43" s="207">
        <v>1676</v>
      </c>
      <c r="H43" s="161">
        <v>24</v>
      </c>
      <c r="I43" s="207">
        <f t="shared" si="0"/>
        <v>176.47058823529412</v>
      </c>
      <c r="J43" s="242">
        <f t="shared" si="1"/>
        <v>4235.2941176470586</v>
      </c>
      <c r="K43" s="153"/>
      <c r="V43" s="25">
        <v>0</v>
      </c>
      <c r="W43" s="25">
        <v>0</v>
      </c>
    </row>
    <row r="44" spans="1:23" x14ac:dyDescent="0.3">
      <c r="A44" s="147"/>
      <c r="B44" s="205">
        <v>39</v>
      </c>
      <c r="C44" s="206">
        <v>42947</v>
      </c>
      <c r="D44" s="161" t="s">
        <v>9</v>
      </c>
      <c r="E44" s="161" t="s">
        <v>2298</v>
      </c>
      <c r="F44" s="207">
        <v>1615</v>
      </c>
      <c r="G44" s="207">
        <v>1637</v>
      </c>
      <c r="H44" s="161">
        <v>22</v>
      </c>
      <c r="I44" s="207">
        <f t="shared" si="0"/>
        <v>185.75851393188856</v>
      </c>
      <c r="J44" s="242">
        <f t="shared" si="1"/>
        <v>4086.6873065015484</v>
      </c>
      <c r="K44" s="153"/>
      <c r="V44" s="25">
        <v>0</v>
      </c>
      <c r="W44" s="25">
        <v>0</v>
      </c>
    </row>
    <row r="45" spans="1:23" x14ac:dyDescent="0.3">
      <c r="A45" s="147"/>
      <c r="B45" s="205">
        <v>40</v>
      </c>
      <c r="C45" s="206">
        <v>42947</v>
      </c>
      <c r="D45" s="161" t="s">
        <v>8</v>
      </c>
      <c r="E45" s="161" t="s">
        <v>395</v>
      </c>
      <c r="F45" s="207">
        <v>2415</v>
      </c>
      <c r="G45" s="207">
        <v>2382</v>
      </c>
      <c r="H45" s="161">
        <v>33</v>
      </c>
      <c r="I45" s="207">
        <f t="shared" si="0"/>
        <v>124.22360248447205</v>
      </c>
      <c r="J45" s="242">
        <f t="shared" si="1"/>
        <v>4099.3788819875781</v>
      </c>
      <c r="K45" s="153"/>
      <c r="V45" s="25">
        <v>0</v>
      </c>
      <c r="W45" s="25">
        <v>0</v>
      </c>
    </row>
    <row r="46" spans="1:23" x14ac:dyDescent="0.3">
      <c r="A46" s="147"/>
      <c r="B46" s="205"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v>0</v>
      </c>
      <c r="W46" s="25">
        <v>0</v>
      </c>
    </row>
    <row r="47" spans="1:23" x14ac:dyDescent="0.3">
      <c r="A47" s="147"/>
      <c r="B47" s="205"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v>0</v>
      </c>
      <c r="W47" s="25">
        <v>0</v>
      </c>
    </row>
    <row r="48" spans="1:23" x14ac:dyDescent="0.3">
      <c r="A48" s="147"/>
      <c r="B48" s="205"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v>0</v>
      </c>
      <c r="W48" s="25">
        <v>0</v>
      </c>
    </row>
    <row r="49" spans="1:23" x14ac:dyDescent="0.3">
      <c r="A49" s="147"/>
      <c r="B49" s="205"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v>0</v>
      </c>
      <c r="W49" s="25">
        <v>0</v>
      </c>
    </row>
    <row r="50" spans="1:23" x14ac:dyDescent="0.3">
      <c r="A50" s="147"/>
      <c r="B50" s="205"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v>0</v>
      </c>
      <c r="W50" s="25">
        <v>0</v>
      </c>
    </row>
    <row r="51" spans="1:23" ht="15" thickBot="1" x14ac:dyDescent="0.35">
      <c r="A51" s="147"/>
      <c r="B51" s="208"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v>0</v>
      </c>
      <c r="W51" s="25"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v>81452</v>
      </c>
      <c r="K52" s="153"/>
      <c r="V52" s="25">
        <v>22</v>
      </c>
      <c r="W52" s="25"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2287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42919</v>
      </c>
      <c r="D60" s="158" t="s">
        <v>8</v>
      </c>
      <c r="E60" s="158" t="s">
        <v>78</v>
      </c>
      <c r="F60" s="204" t="s">
        <v>2230</v>
      </c>
      <c r="G60" s="204" t="s">
        <v>2237</v>
      </c>
      <c r="H60" s="158" t="s">
        <v>1115</v>
      </c>
      <c r="I60" s="204">
        <v>500</v>
      </c>
      <c r="J60" s="241">
        <v>-7500</v>
      </c>
      <c r="K60" s="153"/>
      <c r="V60" s="25">
        <v>0</v>
      </c>
      <c r="W60" s="25">
        <v>1</v>
      </c>
    </row>
    <row r="61" spans="1:23" x14ac:dyDescent="0.3">
      <c r="A61" s="147"/>
      <c r="B61" s="205">
        <v>2</v>
      </c>
      <c r="C61" s="206">
        <v>42920</v>
      </c>
      <c r="D61" s="161" t="s">
        <v>8</v>
      </c>
      <c r="E61" s="161" t="s">
        <v>19</v>
      </c>
      <c r="F61" s="207" t="s">
        <v>2238</v>
      </c>
      <c r="G61" s="207" t="s">
        <v>1706</v>
      </c>
      <c r="H61" s="161" t="s">
        <v>1345</v>
      </c>
      <c r="I61" s="207">
        <v>3000</v>
      </c>
      <c r="J61" s="242">
        <v>7500</v>
      </c>
      <c r="K61" s="153"/>
      <c r="V61" s="25">
        <v>1</v>
      </c>
      <c r="W61" s="25">
        <v>0</v>
      </c>
    </row>
    <row r="62" spans="1:23" x14ac:dyDescent="0.3">
      <c r="A62" s="147"/>
      <c r="B62" s="205">
        <v>3</v>
      </c>
      <c r="C62" s="206">
        <v>42921</v>
      </c>
      <c r="D62" s="161" t="s">
        <v>8</v>
      </c>
      <c r="E62" s="161" t="s">
        <v>19</v>
      </c>
      <c r="F62" s="207">
        <v>276.5</v>
      </c>
      <c r="G62" s="207">
        <v>275.2</v>
      </c>
      <c r="H62" s="161">
        <v>1.3</v>
      </c>
      <c r="I62" s="207">
        <v>3000</v>
      </c>
      <c r="J62" s="242">
        <v>3900</v>
      </c>
      <c r="K62" s="153"/>
      <c r="V62" s="25">
        <v>1</v>
      </c>
      <c r="W62" s="25">
        <v>0</v>
      </c>
    </row>
    <row r="63" spans="1:23" x14ac:dyDescent="0.3">
      <c r="A63" s="147"/>
      <c r="B63" s="205">
        <v>4</v>
      </c>
      <c r="C63" s="206">
        <v>42922</v>
      </c>
      <c r="D63" s="161" t="s">
        <v>8</v>
      </c>
      <c r="E63" s="161" t="s">
        <v>95</v>
      </c>
      <c r="F63" s="207">
        <v>294.5</v>
      </c>
      <c r="G63" s="207">
        <v>295</v>
      </c>
      <c r="H63" s="161">
        <v>-0.5</v>
      </c>
      <c r="I63" s="207">
        <v>2500</v>
      </c>
      <c r="J63" s="242">
        <v>-1250</v>
      </c>
      <c r="K63" s="153"/>
      <c r="V63" s="25">
        <v>0</v>
      </c>
      <c r="W63" s="25">
        <v>1</v>
      </c>
    </row>
    <row r="64" spans="1:23" x14ac:dyDescent="0.3">
      <c r="A64" s="147"/>
      <c r="B64" s="205">
        <v>5</v>
      </c>
      <c r="C64" s="206">
        <v>42923</v>
      </c>
      <c r="D64" s="161" t="s">
        <v>8</v>
      </c>
      <c r="E64" s="161" t="s">
        <v>129</v>
      </c>
      <c r="F64" s="207">
        <v>1615</v>
      </c>
      <c r="G64" s="207">
        <v>1618</v>
      </c>
      <c r="H64" s="161">
        <v>-3</v>
      </c>
      <c r="I64" s="207">
        <v>500</v>
      </c>
      <c r="J64" s="242">
        <v>-1500</v>
      </c>
      <c r="K64" s="153"/>
      <c r="V64" s="25">
        <v>0</v>
      </c>
      <c r="W64" s="25">
        <v>1</v>
      </c>
    </row>
    <row r="65" spans="1:23" x14ac:dyDescent="0.3">
      <c r="A65" s="147"/>
      <c r="B65" s="205">
        <v>6</v>
      </c>
      <c r="C65" s="206">
        <v>42927</v>
      </c>
      <c r="D65" s="161" t="s">
        <v>8</v>
      </c>
      <c r="E65" s="161" t="s">
        <v>129</v>
      </c>
      <c r="F65" s="207">
        <v>1625</v>
      </c>
      <c r="G65" s="207">
        <v>1630</v>
      </c>
      <c r="H65" s="161">
        <v>-5</v>
      </c>
      <c r="I65" s="207">
        <v>500</v>
      </c>
      <c r="J65" s="242">
        <v>-2500</v>
      </c>
      <c r="K65" s="153"/>
      <c r="V65" s="25">
        <v>0</v>
      </c>
      <c r="W65" s="25">
        <v>1</v>
      </c>
    </row>
    <row r="66" spans="1:23" x14ac:dyDescent="0.3">
      <c r="A66" s="147"/>
      <c r="B66" s="205">
        <v>7</v>
      </c>
      <c r="C66" s="206">
        <v>42928</v>
      </c>
      <c r="D66" s="161" t="s">
        <v>8</v>
      </c>
      <c r="E66" s="161" t="s">
        <v>119</v>
      </c>
      <c r="F66" s="207">
        <v>955</v>
      </c>
      <c r="G66" s="207">
        <v>960</v>
      </c>
      <c r="H66" s="161">
        <v>-5</v>
      </c>
      <c r="I66" s="207">
        <v>800</v>
      </c>
      <c r="J66" s="242">
        <v>-4000</v>
      </c>
      <c r="K66" s="153"/>
      <c r="V66" s="25">
        <v>0</v>
      </c>
      <c r="W66" s="25">
        <v>1</v>
      </c>
    </row>
    <row r="67" spans="1:23" x14ac:dyDescent="0.3">
      <c r="A67" s="147"/>
      <c r="B67" s="205">
        <v>8</v>
      </c>
      <c r="C67" s="206">
        <v>42929</v>
      </c>
      <c r="D67" s="161" t="s">
        <v>8</v>
      </c>
      <c r="E67" s="161" t="s">
        <v>19</v>
      </c>
      <c r="F67" s="207">
        <v>290</v>
      </c>
      <c r="G67" s="207">
        <v>287.7</v>
      </c>
      <c r="H67" s="161">
        <v>2.2999999999999998</v>
      </c>
      <c r="I67" s="207">
        <v>3000</v>
      </c>
      <c r="J67" s="242">
        <v>6899.9999999999991</v>
      </c>
      <c r="K67" s="153"/>
      <c r="V67" s="25">
        <v>1</v>
      </c>
      <c r="W67" s="25">
        <v>0</v>
      </c>
    </row>
    <row r="68" spans="1:23" x14ac:dyDescent="0.3">
      <c r="A68" s="147"/>
      <c r="B68" s="205">
        <v>9</v>
      </c>
      <c r="C68" s="206">
        <v>42930</v>
      </c>
      <c r="D68" s="161" t="s">
        <v>8</v>
      </c>
      <c r="E68" s="161" t="s">
        <v>2278</v>
      </c>
      <c r="F68" s="207">
        <v>530</v>
      </c>
      <c r="G68" s="207">
        <v>533</v>
      </c>
      <c r="H68" s="161">
        <v>-3</v>
      </c>
      <c r="I68" s="207">
        <v>1000</v>
      </c>
      <c r="J68" s="242">
        <v>-3000</v>
      </c>
      <c r="K68" s="153"/>
      <c r="V68" s="25">
        <v>0</v>
      </c>
      <c r="W68" s="25">
        <v>1</v>
      </c>
    </row>
    <row r="69" spans="1:23" x14ac:dyDescent="0.3">
      <c r="A69" s="147"/>
      <c r="B69" s="205">
        <v>10</v>
      </c>
      <c r="C69" s="206">
        <v>42933</v>
      </c>
      <c r="D69" s="161" t="s">
        <v>8</v>
      </c>
      <c r="E69" s="161" t="s">
        <v>19</v>
      </c>
      <c r="F69" s="207">
        <v>291</v>
      </c>
      <c r="G69" s="207">
        <v>294</v>
      </c>
      <c r="H69" s="161">
        <v>-3</v>
      </c>
      <c r="I69" s="207">
        <v>3000</v>
      </c>
      <c r="J69" s="242">
        <v>-9000</v>
      </c>
      <c r="K69" s="153"/>
      <c r="V69" s="25">
        <v>0</v>
      </c>
      <c r="W69" s="25">
        <v>1</v>
      </c>
    </row>
    <row r="70" spans="1:23" x14ac:dyDescent="0.3">
      <c r="A70" s="147"/>
      <c r="B70" s="205">
        <v>11</v>
      </c>
      <c r="C70" s="206">
        <v>42934</v>
      </c>
      <c r="D70" s="161" t="s">
        <v>8</v>
      </c>
      <c r="E70" s="161" t="s">
        <v>192</v>
      </c>
      <c r="F70" s="207">
        <v>371</v>
      </c>
      <c r="G70" s="222">
        <v>368.7</v>
      </c>
      <c r="H70" s="161">
        <v>2.2999999999999998</v>
      </c>
      <c r="I70" s="207">
        <v>3084</v>
      </c>
      <c r="J70" s="242">
        <v>7093.2</v>
      </c>
      <c r="K70" s="153"/>
      <c r="V70" s="25">
        <v>1</v>
      </c>
      <c r="W70" s="25">
        <v>0</v>
      </c>
    </row>
    <row r="71" spans="1:23" x14ac:dyDescent="0.3">
      <c r="A71" s="147"/>
      <c r="B71" s="205">
        <v>12</v>
      </c>
      <c r="C71" s="206">
        <v>42935</v>
      </c>
      <c r="D71" s="161" t="s">
        <v>8</v>
      </c>
      <c r="E71" s="161" t="s">
        <v>31</v>
      </c>
      <c r="F71" s="207">
        <v>1530</v>
      </c>
      <c r="G71" s="222">
        <v>1523.5</v>
      </c>
      <c r="H71" s="161">
        <v>6.5</v>
      </c>
      <c r="I71" s="207">
        <v>500</v>
      </c>
      <c r="J71" s="242">
        <v>3250</v>
      </c>
      <c r="K71" s="153"/>
      <c r="V71" s="25">
        <v>1</v>
      </c>
      <c r="W71" s="25">
        <v>0</v>
      </c>
    </row>
    <row r="72" spans="1:23" x14ac:dyDescent="0.3">
      <c r="A72" s="147"/>
      <c r="B72" s="205">
        <v>13</v>
      </c>
      <c r="C72" s="206">
        <v>42936</v>
      </c>
      <c r="D72" s="161" t="s">
        <v>8</v>
      </c>
      <c r="E72" s="161" t="s">
        <v>95</v>
      </c>
      <c r="F72" s="207">
        <v>302</v>
      </c>
      <c r="G72" s="222">
        <v>300.60000000000002</v>
      </c>
      <c r="H72" s="161">
        <v>1.4</v>
      </c>
      <c r="I72" s="207">
        <v>2500</v>
      </c>
      <c r="J72" s="242">
        <v>3500</v>
      </c>
      <c r="K72" s="153"/>
      <c r="V72" s="25">
        <v>1</v>
      </c>
      <c r="W72" s="25">
        <v>0</v>
      </c>
    </row>
    <row r="73" spans="1:23" x14ac:dyDescent="0.3">
      <c r="A73" s="147"/>
      <c r="B73" s="205">
        <v>14</v>
      </c>
      <c r="C73" s="206">
        <v>42937</v>
      </c>
      <c r="D73" s="161" t="s">
        <v>8</v>
      </c>
      <c r="E73" s="161" t="s">
        <v>192</v>
      </c>
      <c r="F73" s="223">
        <v>352.5</v>
      </c>
      <c r="G73" s="207">
        <v>347</v>
      </c>
      <c r="H73" s="161">
        <v>5.5</v>
      </c>
      <c r="I73" s="207">
        <v>3084</v>
      </c>
      <c r="J73" s="242">
        <v>16962</v>
      </c>
      <c r="K73" s="153"/>
      <c r="V73" s="25">
        <v>1</v>
      </c>
      <c r="W73" s="25">
        <v>0</v>
      </c>
    </row>
    <row r="74" spans="1:23" x14ac:dyDescent="0.3">
      <c r="A74" s="147"/>
      <c r="B74" s="205">
        <v>15</v>
      </c>
      <c r="C74" s="206">
        <v>42940</v>
      </c>
      <c r="D74" s="161" t="s">
        <v>8</v>
      </c>
      <c r="E74" s="161" t="s">
        <v>192</v>
      </c>
      <c r="F74" s="207">
        <v>356</v>
      </c>
      <c r="G74" s="207">
        <v>354</v>
      </c>
      <c r="H74" s="161">
        <v>2</v>
      </c>
      <c r="I74" s="207">
        <v>3084</v>
      </c>
      <c r="J74" s="242">
        <f t="shared" ref="J74:J79" si="2">I74*H74</f>
        <v>6168</v>
      </c>
      <c r="K74" s="153"/>
      <c r="V74" s="25">
        <v>0</v>
      </c>
      <c r="W74" s="25">
        <v>0</v>
      </c>
    </row>
    <row r="75" spans="1:23" x14ac:dyDescent="0.3">
      <c r="A75" s="147"/>
      <c r="B75" s="205">
        <v>16</v>
      </c>
      <c r="C75" s="206">
        <v>42941</v>
      </c>
      <c r="D75" s="161" t="s">
        <v>8</v>
      </c>
      <c r="E75" s="161" t="s">
        <v>192</v>
      </c>
      <c r="F75" s="207">
        <v>356</v>
      </c>
      <c r="G75" s="222">
        <v>354.8</v>
      </c>
      <c r="H75" s="161">
        <v>1.2</v>
      </c>
      <c r="I75" s="207">
        <v>3084</v>
      </c>
      <c r="J75" s="242">
        <f t="shared" si="2"/>
        <v>3700.7999999999997</v>
      </c>
      <c r="K75" s="153"/>
      <c r="V75" s="25">
        <v>0</v>
      </c>
      <c r="W75" s="25">
        <v>0</v>
      </c>
    </row>
    <row r="76" spans="1:23" x14ac:dyDescent="0.3">
      <c r="A76" s="147"/>
      <c r="B76" s="205">
        <v>17</v>
      </c>
      <c r="C76" s="206">
        <v>42942</v>
      </c>
      <c r="D76" s="161" t="s">
        <v>8</v>
      </c>
      <c r="E76" s="161" t="s">
        <v>19</v>
      </c>
      <c r="F76" s="207">
        <v>297</v>
      </c>
      <c r="G76" s="207">
        <v>295</v>
      </c>
      <c r="H76" s="161">
        <v>2</v>
      </c>
      <c r="I76" s="207">
        <v>3000</v>
      </c>
      <c r="J76" s="242">
        <f t="shared" si="2"/>
        <v>6000</v>
      </c>
      <c r="K76" s="153"/>
      <c r="V76" s="25">
        <v>0</v>
      </c>
      <c r="W76" s="25">
        <v>0</v>
      </c>
    </row>
    <row r="77" spans="1:23" x14ac:dyDescent="0.3">
      <c r="A77" s="147"/>
      <c r="B77" s="205">
        <v>18</v>
      </c>
      <c r="C77" s="206">
        <v>42943</v>
      </c>
      <c r="D77" s="161" t="s">
        <v>9</v>
      </c>
      <c r="E77" s="161" t="s">
        <v>192</v>
      </c>
      <c r="F77" s="207">
        <v>359</v>
      </c>
      <c r="G77" s="207">
        <v>356</v>
      </c>
      <c r="H77" s="161">
        <v>-3</v>
      </c>
      <c r="I77" s="207">
        <v>3084</v>
      </c>
      <c r="J77" s="242">
        <f t="shared" si="2"/>
        <v>-9252</v>
      </c>
      <c r="K77" s="153"/>
      <c r="V77" s="25">
        <v>0</v>
      </c>
      <c r="W77" s="25">
        <v>0</v>
      </c>
    </row>
    <row r="78" spans="1:23" x14ac:dyDescent="0.3">
      <c r="A78" s="147"/>
      <c r="B78" s="205">
        <v>19</v>
      </c>
      <c r="C78" s="206">
        <v>42944</v>
      </c>
      <c r="D78" s="161" t="s">
        <v>8</v>
      </c>
      <c r="E78" s="161" t="s">
        <v>78</v>
      </c>
      <c r="F78" s="207">
        <v>1160</v>
      </c>
      <c r="G78" s="207">
        <v>1148</v>
      </c>
      <c r="H78" s="161">
        <v>12</v>
      </c>
      <c r="I78" s="207">
        <v>500</v>
      </c>
      <c r="J78" s="242">
        <f t="shared" si="2"/>
        <v>6000</v>
      </c>
      <c r="K78" s="153"/>
      <c r="V78" s="25">
        <v>0</v>
      </c>
      <c r="W78" s="25">
        <v>0</v>
      </c>
    </row>
    <row r="79" spans="1:23" x14ac:dyDescent="0.3">
      <c r="A79" s="147"/>
      <c r="B79" s="205">
        <v>20</v>
      </c>
      <c r="C79" s="206">
        <v>42947</v>
      </c>
      <c r="D79" s="161" t="s">
        <v>8</v>
      </c>
      <c r="E79" s="161" t="s">
        <v>2023</v>
      </c>
      <c r="F79" s="207">
        <v>1715</v>
      </c>
      <c r="G79" s="207">
        <v>1713</v>
      </c>
      <c r="H79" s="161">
        <v>2</v>
      </c>
      <c r="I79" s="207">
        <v>500</v>
      </c>
      <c r="J79" s="242">
        <f t="shared" si="2"/>
        <v>1000</v>
      </c>
      <c r="K79" s="153"/>
      <c r="V79" s="25">
        <v>0</v>
      </c>
      <c r="W79" s="25">
        <v>0</v>
      </c>
    </row>
    <row r="80" spans="1:23" x14ac:dyDescent="0.3">
      <c r="A80" s="147"/>
      <c r="B80" s="205">
        <v>21</v>
      </c>
      <c r="C80" s="206"/>
      <c r="D80" s="161"/>
      <c r="E80" s="161"/>
      <c r="F80" s="207"/>
      <c r="G80" s="207"/>
      <c r="H80" s="161"/>
      <c r="I80" s="207"/>
      <c r="J80" s="242">
        <v>0</v>
      </c>
      <c r="K80" s="153"/>
      <c r="V80" s="25">
        <v>0</v>
      </c>
      <c r="W80" s="25">
        <v>0</v>
      </c>
    </row>
    <row r="81" spans="1:23" x14ac:dyDescent="0.3">
      <c r="A81" s="147"/>
      <c r="B81" s="205">
        <v>22</v>
      </c>
      <c r="C81" s="206"/>
      <c r="D81" s="161"/>
      <c r="E81" s="161"/>
      <c r="F81" s="207"/>
      <c r="G81" s="207"/>
      <c r="H81" s="161"/>
      <c r="I81" s="207"/>
      <c r="J81" s="242">
        <v>0</v>
      </c>
      <c r="K81" s="153"/>
      <c r="V81" s="25">
        <v>0</v>
      </c>
      <c r="W81" s="25">
        <v>0</v>
      </c>
    </row>
    <row r="82" spans="1:23" ht="15" thickBot="1" x14ac:dyDescent="0.35">
      <c r="A82" s="147"/>
      <c r="B82" s="208">
        <v>23</v>
      </c>
      <c r="C82" s="209"/>
      <c r="D82" s="166"/>
      <c r="E82" s="166"/>
      <c r="F82" s="210"/>
      <c r="G82" s="210"/>
      <c r="H82" s="166"/>
      <c r="I82" s="210"/>
      <c r="J82" s="244">
        <v>0</v>
      </c>
      <c r="K82" s="153"/>
      <c r="V82" s="25">
        <v>0</v>
      </c>
      <c r="W82" s="25"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v>33972</v>
      </c>
      <c r="K83" s="153"/>
      <c r="V83" s="25">
        <v>7</v>
      </c>
      <c r="W83" s="25">
        <v>7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2287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42919</v>
      </c>
      <c r="D91" s="185" t="s">
        <v>8</v>
      </c>
      <c r="E91" s="185" t="s">
        <v>39</v>
      </c>
      <c r="F91" s="219" t="s">
        <v>2239</v>
      </c>
      <c r="G91" s="219" t="s">
        <v>2240</v>
      </c>
      <c r="H91" s="185" t="s">
        <v>1098</v>
      </c>
      <c r="I91" s="219">
        <v>150</v>
      </c>
      <c r="J91" s="246">
        <v>-4500</v>
      </c>
      <c r="K91" s="153"/>
      <c r="V91" s="25">
        <v>0</v>
      </c>
      <c r="W91" s="25">
        <v>1</v>
      </c>
    </row>
    <row r="92" spans="1:23" x14ac:dyDescent="0.3">
      <c r="A92" s="147"/>
      <c r="B92" s="205">
        <v>2</v>
      </c>
      <c r="C92" s="206">
        <v>42920</v>
      </c>
      <c r="D92" s="161" t="s">
        <v>8</v>
      </c>
      <c r="E92" s="161" t="s">
        <v>39</v>
      </c>
      <c r="F92" s="207">
        <v>9610</v>
      </c>
      <c r="G92" s="207">
        <v>9625</v>
      </c>
      <c r="H92" s="161">
        <v>-15</v>
      </c>
      <c r="I92" s="207">
        <v>150</v>
      </c>
      <c r="J92" s="242">
        <v>-2250</v>
      </c>
      <c r="K92" s="153"/>
      <c r="V92" s="25">
        <v>0</v>
      </c>
      <c r="W92" s="25">
        <v>1</v>
      </c>
    </row>
    <row r="93" spans="1:23" x14ac:dyDescent="0.3">
      <c r="A93" s="147"/>
      <c r="B93" s="205">
        <v>3</v>
      </c>
      <c r="C93" s="206">
        <v>42921</v>
      </c>
      <c r="D93" s="161" t="s">
        <v>8</v>
      </c>
      <c r="E93" s="161" t="s">
        <v>39</v>
      </c>
      <c r="F93" s="207">
        <v>9640</v>
      </c>
      <c r="G93" s="207">
        <v>9627</v>
      </c>
      <c r="H93" s="161">
        <v>13</v>
      </c>
      <c r="I93" s="207">
        <v>150</v>
      </c>
      <c r="J93" s="242">
        <v>1950</v>
      </c>
      <c r="K93" s="153"/>
      <c r="V93" s="25">
        <v>1</v>
      </c>
      <c r="W93" s="25">
        <v>0</v>
      </c>
    </row>
    <row r="94" spans="1:23" x14ac:dyDescent="0.3">
      <c r="A94" s="147"/>
      <c r="B94" s="205">
        <v>4</v>
      </c>
      <c r="C94" s="206">
        <v>42922</v>
      </c>
      <c r="D94" s="161" t="s">
        <v>9</v>
      </c>
      <c r="E94" s="161" t="s">
        <v>39</v>
      </c>
      <c r="F94" s="207">
        <v>9670</v>
      </c>
      <c r="G94" s="207">
        <v>9700</v>
      </c>
      <c r="H94" s="161">
        <v>30</v>
      </c>
      <c r="I94" s="207">
        <v>150</v>
      </c>
      <c r="J94" s="242">
        <v>4500</v>
      </c>
      <c r="K94" s="153"/>
      <c r="V94" s="25">
        <v>1</v>
      </c>
      <c r="W94" s="25">
        <v>0</v>
      </c>
    </row>
    <row r="95" spans="1:23" x14ac:dyDescent="0.3">
      <c r="A95" s="147"/>
      <c r="B95" s="205">
        <v>5</v>
      </c>
      <c r="C95" s="206">
        <v>42923</v>
      </c>
      <c r="D95" s="161" t="s">
        <v>8</v>
      </c>
      <c r="E95" s="161" t="s">
        <v>39</v>
      </c>
      <c r="F95" s="207">
        <v>9655</v>
      </c>
      <c r="G95" s="207">
        <v>9665</v>
      </c>
      <c r="H95" s="161">
        <v>-10</v>
      </c>
      <c r="I95" s="207">
        <v>150</v>
      </c>
      <c r="J95" s="242">
        <v>-1500</v>
      </c>
      <c r="K95" s="153"/>
      <c r="V95" s="25">
        <v>0</v>
      </c>
      <c r="W95" s="25">
        <v>1</v>
      </c>
    </row>
    <row r="96" spans="1:23" x14ac:dyDescent="0.3">
      <c r="A96" s="147"/>
      <c r="B96" s="205">
        <v>6</v>
      </c>
      <c r="C96" s="206">
        <v>42927</v>
      </c>
      <c r="D96" s="161" t="s">
        <v>9</v>
      </c>
      <c r="E96" s="161" t="s">
        <v>39</v>
      </c>
      <c r="F96" s="207">
        <v>9805</v>
      </c>
      <c r="G96" s="207">
        <v>9829</v>
      </c>
      <c r="H96" s="161">
        <v>24</v>
      </c>
      <c r="I96" s="207">
        <v>150</v>
      </c>
      <c r="J96" s="242">
        <v>3600</v>
      </c>
      <c r="K96" s="153"/>
      <c r="V96" s="25">
        <v>1</v>
      </c>
      <c r="W96" s="25">
        <v>0</v>
      </c>
    </row>
    <row r="97" spans="1:23" x14ac:dyDescent="0.3">
      <c r="A97" s="147"/>
      <c r="B97" s="205">
        <v>7</v>
      </c>
      <c r="C97" s="206">
        <v>42928</v>
      </c>
      <c r="D97" s="161" t="s">
        <v>8</v>
      </c>
      <c r="E97" s="161" t="s">
        <v>39</v>
      </c>
      <c r="F97" s="207">
        <v>9805</v>
      </c>
      <c r="G97" s="207">
        <v>9790</v>
      </c>
      <c r="H97" s="161">
        <v>15</v>
      </c>
      <c r="I97" s="207">
        <v>150</v>
      </c>
      <c r="J97" s="242">
        <v>2250</v>
      </c>
      <c r="K97" s="153"/>
      <c r="V97" s="25">
        <v>1</v>
      </c>
      <c r="W97" s="25">
        <v>0</v>
      </c>
    </row>
    <row r="98" spans="1:23" x14ac:dyDescent="0.3">
      <c r="A98" s="147"/>
      <c r="B98" s="205">
        <v>8</v>
      </c>
      <c r="C98" s="206">
        <v>42929</v>
      </c>
      <c r="D98" s="161" t="s">
        <v>9</v>
      </c>
      <c r="E98" s="161" t="s">
        <v>39</v>
      </c>
      <c r="F98" s="207">
        <v>9870</v>
      </c>
      <c r="G98" s="207">
        <v>9890</v>
      </c>
      <c r="H98" s="161">
        <v>20</v>
      </c>
      <c r="I98" s="207">
        <v>150</v>
      </c>
      <c r="J98" s="242">
        <v>3000</v>
      </c>
      <c r="K98" s="153"/>
      <c r="V98" s="25">
        <v>1</v>
      </c>
      <c r="W98" s="25">
        <v>0</v>
      </c>
    </row>
    <row r="99" spans="1:23" x14ac:dyDescent="0.3">
      <c r="A99" s="147"/>
      <c r="B99" s="205">
        <v>9</v>
      </c>
      <c r="C99" s="206">
        <v>42930</v>
      </c>
      <c r="D99" s="161" t="s">
        <v>8</v>
      </c>
      <c r="E99" s="161" t="s">
        <v>39</v>
      </c>
      <c r="F99" s="207">
        <v>9875</v>
      </c>
      <c r="G99" s="207">
        <v>9860</v>
      </c>
      <c r="H99" s="161">
        <v>15</v>
      </c>
      <c r="I99" s="207">
        <v>150</v>
      </c>
      <c r="J99" s="242">
        <v>2250</v>
      </c>
      <c r="K99" s="153"/>
      <c r="V99" s="25">
        <v>1</v>
      </c>
      <c r="W99" s="25">
        <v>0</v>
      </c>
    </row>
    <row r="100" spans="1:23" x14ac:dyDescent="0.3">
      <c r="A100" s="147"/>
      <c r="B100" s="205">
        <v>10</v>
      </c>
      <c r="C100" s="206">
        <v>42933</v>
      </c>
      <c r="D100" s="161" t="s">
        <v>8</v>
      </c>
      <c r="E100" s="161" t="s">
        <v>39</v>
      </c>
      <c r="F100" s="207">
        <v>9920</v>
      </c>
      <c r="G100" s="207">
        <v>9930</v>
      </c>
      <c r="H100" s="161">
        <v>-10</v>
      </c>
      <c r="I100" s="207">
        <v>150</v>
      </c>
      <c r="J100" s="242">
        <v>-1500</v>
      </c>
      <c r="K100" s="153"/>
      <c r="V100" s="25">
        <v>0</v>
      </c>
      <c r="W100" s="25">
        <v>1</v>
      </c>
    </row>
    <row r="101" spans="1:23" x14ac:dyDescent="0.3">
      <c r="A101" s="147"/>
      <c r="B101" s="205">
        <v>11</v>
      </c>
      <c r="C101" s="206">
        <v>42934</v>
      </c>
      <c r="D101" s="161" t="s">
        <v>9</v>
      </c>
      <c r="E101" s="161" t="s">
        <v>39</v>
      </c>
      <c r="F101" s="207">
        <v>9890</v>
      </c>
      <c r="G101" s="207">
        <v>9860</v>
      </c>
      <c r="H101" s="161">
        <v>-30</v>
      </c>
      <c r="I101" s="207">
        <v>150</v>
      </c>
      <c r="J101" s="242">
        <v>-4500</v>
      </c>
      <c r="K101" s="153"/>
      <c r="V101" s="25">
        <v>0</v>
      </c>
      <c r="W101" s="25">
        <v>1</v>
      </c>
    </row>
    <row r="102" spans="1:23" x14ac:dyDescent="0.3">
      <c r="A102" s="147"/>
      <c r="B102" s="205">
        <v>12</v>
      </c>
      <c r="C102" s="206">
        <v>42935</v>
      </c>
      <c r="D102" s="161" t="s">
        <v>9</v>
      </c>
      <c r="E102" s="161" t="s">
        <v>39</v>
      </c>
      <c r="F102" s="207">
        <v>9870</v>
      </c>
      <c r="G102" s="207">
        <v>9920</v>
      </c>
      <c r="H102" s="161">
        <v>50</v>
      </c>
      <c r="I102" s="207">
        <v>150</v>
      </c>
      <c r="J102" s="242">
        <v>7500</v>
      </c>
      <c r="K102" s="153"/>
      <c r="V102" s="25">
        <v>1</v>
      </c>
      <c r="W102" s="25">
        <v>0</v>
      </c>
    </row>
    <row r="103" spans="1:23" x14ac:dyDescent="0.3">
      <c r="A103" s="147"/>
      <c r="B103" s="205">
        <v>13</v>
      </c>
      <c r="C103" s="206">
        <v>42936</v>
      </c>
      <c r="D103" s="161" t="s">
        <v>8</v>
      </c>
      <c r="E103" s="161" t="s">
        <v>39</v>
      </c>
      <c r="F103" s="207">
        <v>9910</v>
      </c>
      <c r="G103" s="207">
        <v>9868</v>
      </c>
      <c r="H103" s="161">
        <v>42</v>
      </c>
      <c r="I103" s="207">
        <v>150</v>
      </c>
      <c r="J103" s="242">
        <v>6300</v>
      </c>
      <c r="K103" s="153"/>
      <c r="V103" s="25">
        <v>1</v>
      </c>
      <c r="W103" s="25">
        <v>0</v>
      </c>
    </row>
    <row r="104" spans="1:23" x14ac:dyDescent="0.3">
      <c r="A104" s="147"/>
      <c r="B104" s="205">
        <v>14</v>
      </c>
      <c r="C104" s="206">
        <v>42937</v>
      </c>
      <c r="D104" s="161" t="s">
        <v>8</v>
      </c>
      <c r="E104" s="161" t="s">
        <v>39</v>
      </c>
      <c r="F104" s="207">
        <v>9915</v>
      </c>
      <c r="G104" s="207">
        <v>9855</v>
      </c>
      <c r="H104" s="161">
        <v>60</v>
      </c>
      <c r="I104" s="207">
        <v>150</v>
      </c>
      <c r="J104" s="242">
        <v>9000</v>
      </c>
      <c r="K104" s="153"/>
      <c r="V104" s="25">
        <v>1</v>
      </c>
      <c r="W104" s="25">
        <v>0</v>
      </c>
    </row>
    <row r="105" spans="1:23" x14ac:dyDescent="0.3">
      <c r="A105" s="147"/>
      <c r="B105" s="205">
        <v>15</v>
      </c>
      <c r="C105" s="206">
        <v>42940</v>
      </c>
      <c r="D105" s="161" t="s">
        <v>8</v>
      </c>
      <c r="E105" s="161" t="s">
        <v>39</v>
      </c>
      <c r="F105" s="207">
        <v>9950</v>
      </c>
      <c r="G105" s="207">
        <v>9938</v>
      </c>
      <c r="H105" s="161">
        <v>12</v>
      </c>
      <c r="I105" s="207">
        <v>150</v>
      </c>
      <c r="J105" s="242">
        <f t="shared" ref="J105:J110" si="3">I105*H105</f>
        <v>1800</v>
      </c>
      <c r="K105" s="153"/>
      <c r="V105" s="25">
        <v>0</v>
      </c>
      <c r="W105" s="25">
        <v>0</v>
      </c>
    </row>
    <row r="106" spans="1:23" x14ac:dyDescent="0.3">
      <c r="A106" s="147"/>
      <c r="B106" s="205">
        <v>16</v>
      </c>
      <c r="C106" s="206">
        <v>42941</v>
      </c>
      <c r="D106" s="161" t="s">
        <v>8</v>
      </c>
      <c r="E106" s="161" t="s">
        <v>39</v>
      </c>
      <c r="F106" s="207">
        <v>9965</v>
      </c>
      <c r="G106" s="207">
        <v>9951</v>
      </c>
      <c r="H106" s="161">
        <v>14</v>
      </c>
      <c r="I106" s="207">
        <v>150</v>
      </c>
      <c r="J106" s="242">
        <f t="shared" si="3"/>
        <v>2100</v>
      </c>
      <c r="K106" s="153"/>
      <c r="V106" s="25">
        <v>0</v>
      </c>
      <c r="W106" s="25">
        <v>0</v>
      </c>
    </row>
    <row r="107" spans="1:23" x14ac:dyDescent="0.3">
      <c r="A107" s="147"/>
      <c r="B107" s="205">
        <v>17</v>
      </c>
      <c r="C107" s="206">
        <v>42942</v>
      </c>
      <c r="D107" s="161" t="s">
        <v>8</v>
      </c>
      <c r="E107" s="161" t="s">
        <v>39</v>
      </c>
      <c r="F107" s="207">
        <v>9987</v>
      </c>
      <c r="G107" s="207">
        <v>10010</v>
      </c>
      <c r="H107" s="161">
        <v>-23</v>
      </c>
      <c r="I107" s="207">
        <v>150</v>
      </c>
      <c r="J107" s="242">
        <f t="shared" si="3"/>
        <v>-3450</v>
      </c>
      <c r="K107" s="153"/>
      <c r="V107" s="25">
        <v>0</v>
      </c>
      <c r="W107" s="25">
        <v>0</v>
      </c>
    </row>
    <row r="108" spans="1:23" x14ac:dyDescent="0.3">
      <c r="A108" s="147"/>
      <c r="B108" s="205">
        <v>18</v>
      </c>
      <c r="C108" s="206">
        <v>42943</v>
      </c>
      <c r="D108" s="161" t="s">
        <v>9</v>
      </c>
      <c r="E108" s="161" t="s">
        <v>39</v>
      </c>
      <c r="F108" s="207">
        <v>10090</v>
      </c>
      <c r="G108" s="207">
        <v>10115</v>
      </c>
      <c r="H108" s="161">
        <v>25</v>
      </c>
      <c r="I108" s="207">
        <v>150</v>
      </c>
      <c r="J108" s="242">
        <f t="shared" si="3"/>
        <v>3750</v>
      </c>
      <c r="K108" s="153"/>
      <c r="V108" s="25">
        <v>0</v>
      </c>
      <c r="W108" s="25">
        <v>0</v>
      </c>
    </row>
    <row r="109" spans="1:23" x14ac:dyDescent="0.3">
      <c r="A109" s="147"/>
      <c r="B109" s="205">
        <v>19</v>
      </c>
      <c r="C109" s="206">
        <v>42944</v>
      </c>
      <c r="D109" s="161" t="s">
        <v>9</v>
      </c>
      <c r="E109" s="161" t="s">
        <v>39</v>
      </c>
      <c r="F109" s="207">
        <v>10020</v>
      </c>
      <c r="G109" s="207">
        <v>10050</v>
      </c>
      <c r="H109" s="161">
        <v>30</v>
      </c>
      <c r="I109" s="207">
        <v>150</v>
      </c>
      <c r="J109" s="242">
        <f t="shared" si="3"/>
        <v>4500</v>
      </c>
      <c r="K109" s="153"/>
      <c r="V109" s="25">
        <v>0</v>
      </c>
      <c r="W109" s="25">
        <v>0</v>
      </c>
    </row>
    <row r="110" spans="1:23" x14ac:dyDescent="0.3">
      <c r="A110" s="147"/>
      <c r="B110" s="205">
        <v>20</v>
      </c>
      <c r="C110" s="206">
        <v>42947</v>
      </c>
      <c r="D110" s="161" t="s">
        <v>9</v>
      </c>
      <c r="E110" s="161" t="s">
        <v>39</v>
      </c>
      <c r="F110" s="207">
        <v>10070</v>
      </c>
      <c r="G110" s="207">
        <v>10100</v>
      </c>
      <c r="H110" s="161">
        <v>30</v>
      </c>
      <c r="I110" s="207">
        <v>150</v>
      </c>
      <c r="J110" s="242">
        <f t="shared" si="3"/>
        <v>4500</v>
      </c>
      <c r="K110" s="153"/>
      <c r="V110" s="25">
        <v>0</v>
      </c>
      <c r="W110" s="25">
        <v>0</v>
      </c>
    </row>
    <row r="111" spans="1:23" x14ac:dyDescent="0.3">
      <c r="A111" s="147"/>
      <c r="B111" s="205">
        <v>21</v>
      </c>
      <c r="C111" s="206"/>
      <c r="D111" s="161"/>
      <c r="E111" s="161"/>
      <c r="F111" s="207"/>
      <c r="G111" s="207"/>
      <c r="H111" s="161"/>
      <c r="I111" s="207"/>
      <c r="J111" s="242">
        <v>0</v>
      </c>
      <c r="K111" s="153"/>
      <c r="V111" s="25">
        <v>0</v>
      </c>
      <c r="W111" s="25">
        <v>0</v>
      </c>
    </row>
    <row r="112" spans="1:23" x14ac:dyDescent="0.3">
      <c r="A112" s="147"/>
      <c r="B112" s="205">
        <v>22</v>
      </c>
      <c r="C112" s="206"/>
      <c r="D112" s="161"/>
      <c r="E112" s="161"/>
      <c r="F112" s="207"/>
      <c r="G112" s="207"/>
      <c r="H112" s="161"/>
      <c r="I112" s="207"/>
      <c r="J112" s="242">
        <v>0</v>
      </c>
      <c r="K112" s="153"/>
      <c r="V112" s="25">
        <v>0</v>
      </c>
      <c r="W112" s="25">
        <v>0</v>
      </c>
    </row>
    <row r="113" spans="1:23" ht="15" thickBot="1" x14ac:dyDescent="0.35">
      <c r="A113" s="147"/>
      <c r="B113" s="208">
        <v>23</v>
      </c>
      <c r="C113" s="209"/>
      <c r="D113" s="166"/>
      <c r="E113" s="166"/>
      <c r="F113" s="210"/>
      <c r="G113" s="210"/>
      <c r="H113" s="166"/>
      <c r="I113" s="210"/>
      <c r="J113" s="244">
        <v>0</v>
      </c>
      <c r="K113" s="153"/>
      <c r="V113" s="25">
        <v>0</v>
      </c>
      <c r="W113" s="25"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v>39300</v>
      </c>
      <c r="K114" s="153"/>
      <c r="V114" s="25">
        <v>9</v>
      </c>
      <c r="W114" s="25"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2287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42919</v>
      </c>
      <c r="D122" s="185" t="s">
        <v>9</v>
      </c>
      <c r="E122" s="185" t="s">
        <v>2151</v>
      </c>
      <c r="F122" s="219" t="s">
        <v>227</v>
      </c>
      <c r="G122" s="219" t="s">
        <v>288</v>
      </c>
      <c r="H122" s="185" t="s">
        <v>1025</v>
      </c>
      <c r="I122" s="219">
        <v>300</v>
      </c>
      <c r="J122" s="246">
        <v>3000</v>
      </c>
      <c r="K122" s="153"/>
      <c r="V122" s="25">
        <v>1</v>
      </c>
      <c r="W122" s="25">
        <v>0</v>
      </c>
    </row>
    <row r="123" spans="1:23" x14ac:dyDescent="0.3">
      <c r="A123" s="147"/>
      <c r="B123" s="205">
        <v>2</v>
      </c>
      <c r="C123" s="206">
        <v>42920</v>
      </c>
      <c r="D123" s="161" t="s">
        <v>9</v>
      </c>
      <c r="E123" s="161" t="s">
        <v>2192</v>
      </c>
      <c r="F123" s="207">
        <v>135</v>
      </c>
      <c r="G123" s="207">
        <v>150</v>
      </c>
      <c r="H123" s="161">
        <v>15</v>
      </c>
      <c r="I123" s="207">
        <v>300</v>
      </c>
      <c r="J123" s="242">
        <v>4500</v>
      </c>
      <c r="K123" s="153"/>
      <c r="V123" s="25">
        <v>1</v>
      </c>
      <c r="W123" s="25">
        <v>0</v>
      </c>
    </row>
    <row r="124" spans="1:23" x14ac:dyDescent="0.3">
      <c r="A124" s="147"/>
      <c r="B124" s="205">
        <v>3</v>
      </c>
      <c r="C124" s="206">
        <v>42921</v>
      </c>
      <c r="D124" s="161" t="s">
        <v>9</v>
      </c>
      <c r="E124" s="161" t="s">
        <v>2192</v>
      </c>
      <c r="F124" s="207">
        <v>125</v>
      </c>
      <c r="G124" s="207">
        <v>133</v>
      </c>
      <c r="H124" s="161">
        <v>8</v>
      </c>
      <c r="I124" s="207">
        <v>300</v>
      </c>
      <c r="J124" s="242">
        <v>2400</v>
      </c>
      <c r="K124" s="153"/>
      <c r="V124" s="25">
        <v>1</v>
      </c>
      <c r="W124" s="25">
        <v>0</v>
      </c>
    </row>
    <row r="125" spans="1:23" x14ac:dyDescent="0.3">
      <c r="A125" s="147"/>
      <c r="B125" s="205">
        <v>4</v>
      </c>
      <c r="C125" s="206">
        <v>42922</v>
      </c>
      <c r="D125" s="161" t="s">
        <v>9</v>
      </c>
      <c r="E125" s="161" t="s">
        <v>2193</v>
      </c>
      <c r="F125" s="207">
        <v>130</v>
      </c>
      <c r="G125" s="207">
        <v>145</v>
      </c>
      <c r="H125" s="161">
        <v>15</v>
      </c>
      <c r="I125" s="207">
        <v>300</v>
      </c>
      <c r="J125" s="242">
        <v>4500</v>
      </c>
      <c r="K125" s="153"/>
      <c r="V125" s="25">
        <v>1</v>
      </c>
      <c r="W125" s="25">
        <v>0</v>
      </c>
    </row>
    <row r="126" spans="1:23" x14ac:dyDescent="0.3">
      <c r="A126" s="147"/>
      <c r="B126" s="205">
        <v>5</v>
      </c>
      <c r="C126" s="206">
        <v>42923</v>
      </c>
      <c r="D126" s="161" t="s">
        <v>9</v>
      </c>
      <c r="E126" s="161" t="s">
        <v>2192</v>
      </c>
      <c r="F126" s="207">
        <v>110</v>
      </c>
      <c r="G126" s="207">
        <v>105</v>
      </c>
      <c r="H126" s="161">
        <v>-5</v>
      </c>
      <c r="I126" s="207">
        <v>300</v>
      </c>
      <c r="J126" s="242">
        <v>-1500</v>
      </c>
      <c r="K126" s="153"/>
      <c r="V126" s="25">
        <v>0</v>
      </c>
      <c r="W126" s="25">
        <v>1</v>
      </c>
    </row>
    <row r="127" spans="1:23" x14ac:dyDescent="0.3">
      <c r="A127" s="147"/>
      <c r="B127" s="205">
        <v>6</v>
      </c>
      <c r="C127" s="206">
        <v>42927</v>
      </c>
      <c r="D127" s="161" t="s">
        <v>9</v>
      </c>
      <c r="E127" s="161" t="s">
        <v>2279</v>
      </c>
      <c r="F127" s="207">
        <v>150</v>
      </c>
      <c r="G127" s="207">
        <v>160</v>
      </c>
      <c r="H127" s="161">
        <v>10</v>
      </c>
      <c r="I127" s="207">
        <v>300</v>
      </c>
      <c r="J127" s="242">
        <v>3000</v>
      </c>
      <c r="K127" s="153"/>
      <c r="V127" s="25">
        <v>1</v>
      </c>
      <c r="W127" s="25">
        <v>0</v>
      </c>
    </row>
    <row r="128" spans="1:23" x14ac:dyDescent="0.3">
      <c r="A128" s="147"/>
      <c r="B128" s="205">
        <v>7</v>
      </c>
      <c r="C128" s="206">
        <v>42928</v>
      </c>
      <c r="D128" s="161" t="s">
        <v>9</v>
      </c>
      <c r="E128" s="161" t="s">
        <v>2280</v>
      </c>
      <c r="F128" s="207">
        <v>135</v>
      </c>
      <c r="G128" s="207">
        <v>144</v>
      </c>
      <c r="H128" s="161">
        <v>9</v>
      </c>
      <c r="I128" s="207">
        <v>300</v>
      </c>
      <c r="J128" s="242">
        <v>2700</v>
      </c>
      <c r="K128" s="153"/>
      <c r="V128" s="25">
        <v>1</v>
      </c>
      <c r="W128" s="25">
        <v>0</v>
      </c>
    </row>
    <row r="129" spans="1:23" x14ac:dyDescent="0.3">
      <c r="A129" s="147"/>
      <c r="B129" s="205">
        <v>8</v>
      </c>
      <c r="C129" s="206">
        <v>42929</v>
      </c>
      <c r="D129" s="161" t="s">
        <v>9</v>
      </c>
      <c r="E129" s="161" t="s">
        <v>2281</v>
      </c>
      <c r="F129" s="207">
        <v>120</v>
      </c>
      <c r="G129" s="207">
        <v>131</v>
      </c>
      <c r="H129" s="161">
        <v>11</v>
      </c>
      <c r="I129" s="207">
        <v>300</v>
      </c>
      <c r="J129" s="242">
        <v>3300</v>
      </c>
      <c r="K129" s="153"/>
      <c r="V129" s="25">
        <v>1</v>
      </c>
      <c r="W129" s="25">
        <v>0</v>
      </c>
    </row>
    <row r="130" spans="1:23" x14ac:dyDescent="0.3">
      <c r="A130" s="147"/>
      <c r="B130" s="205">
        <v>9</v>
      </c>
      <c r="C130" s="206">
        <v>42930</v>
      </c>
      <c r="D130" s="161" t="s">
        <v>9</v>
      </c>
      <c r="E130" s="161" t="s">
        <v>2280</v>
      </c>
      <c r="F130" s="207">
        <v>85</v>
      </c>
      <c r="G130" s="207">
        <v>70</v>
      </c>
      <c r="H130" s="161">
        <v>-15</v>
      </c>
      <c r="I130" s="207">
        <v>300</v>
      </c>
      <c r="J130" s="242">
        <v>-4500</v>
      </c>
      <c r="K130" s="153"/>
      <c r="V130" s="25">
        <v>0</v>
      </c>
      <c r="W130" s="25">
        <v>1</v>
      </c>
    </row>
    <row r="131" spans="1:23" x14ac:dyDescent="0.3">
      <c r="A131" s="147"/>
      <c r="B131" s="205">
        <v>10</v>
      </c>
      <c r="C131" s="206">
        <v>42933</v>
      </c>
      <c r="D131" s="161" t="s">
        <v>9</v>
      </c>
      <c r="E131" s="161" t="s">
        <v>2290</v>
      </c>
      <c r="F131" s="207">
        <v>105</v>
      </c>
      <c r="G131" s="207">
        <v>100</v>
      </c>
      <c r="H131" s="161">
        <v>-5</v>
      </c>
      <c r="I131" s="207">
        <v>300</v>
      </c>
      <c r="J131" s="242">
        <v>-1500</v>
      </c>
      <c r="K131" s="153"/>
      <c r="V131" s="25">
        <v>0</v>
      </c>
      <c r="W131" s="25">
        <v>1</v>
      </c>
    </row>
    <row r="132" spans="1:23" x14ac:dyDescent="0.3">
      <c r="A132" s="147"/>
      <c r="B132" s="205">
        <v>11</v>
      </c>
      <c r="C132" s="206">
        <v>42934</v>
      </c>
      <c r="D132" s="161" t="s">
        <v>9</v>
      </c>
      <c r="E132" s="161" t="s">
        <v>2290</v>
      </c>
      <c r="F132" s="207">
        <v>140</v>
      </c>
      <c r="G132" s="207">
        <v>166</v>
      </c>
      <c r="H132" s="161">
        <v>26</v>
      </c>
      <c r="I132" s="207">
        <v>300</v>
      </c>
      <c r="J132" s="242">
        <v>7800</v>
      </c>
      <c r="K132" s="153"/>
      <c r="V132" s="25">
        <v>1</v>
      </c>
      <c r="W132" s="25">
        <v>0</v>
      </c>
    </row>
    <row r="133" spans="1:23" x14ac:dyDescent="0.3">
      <c r="A133" s="147"/>
      <c r="B133" s="205">
        <v>12</v>
      </c>
      <c r="C133" s="206">
        <v>42935</v>
      </c>
      <c r="D133" s="161" t="s">
        <v>9</v>
      </c>
      <c r="E133" s="161" t="s">
        <v>2281</v>
      </c>
      <c r="F133" s="207">
        <v>105</v>
      </c>
      <c r="G133" s="207">
        <v>135</v>
      </c>
      <c r="H133" s="161">
        <v>30</v>
      </c>
      <c r="I133" s="207">
        <v>300</v>
      </c>
      <c r="J133" s="242">
        <v>9000</v>
      </c>
      <c r="K133" s="153"/>
      <c r="V133" s="25">
        <v>1</v>
      </c>
      <c r="W133" s="25">
        <v>0</v>
      </c>
    </row>
    <row r="134" spans="1:23" x14ac:dyDescent="0.3">
      <c r="A134" s="147"/>
      <c r="B134" s="205">
        <v>13</v>
      </c>
      <c r="C134" s="206">
        <v>42936</v>
      </c>
      <c r="D134" s="161" t="s">
        <v>9</v>
      </c>
      <c r="E134" s="161" t="s">
        <v>2290</v>
      </c>
      <c r="F134" s="207">
        <v>105</v>
      </c>
      <c r="G134" s="207">
        <v>140</v>
      </c>
      <c r="H134" s="161">
        <v>35</v>
      </c>
      <c r="I134" s="207">
        <v>300</v>
      </c>
      <c r="J134" s="242">
        <v>10500</v>
      </c>
      <c r="K134" s="153"/>
      <c r="V134" s="25">
        <v>1</v>
      </c>
      <c r="W134" s="25">
        <v>0</v>
      </c>
    </row>
    <row r="135" spans="1:23" x14ac:dyDescent="0.3">
      <c r="A135" s="147"/>
      <c r="B135" s="205">
        <v>14</v>
      </c>
      <c r="C135" s="206">
        <v>42937</v>
      </c>
      <c r="D135" s="161" t="s">
        <v>9</v>
      </c>
      <c r="E135" s="161" t="s">
        <v>2290</v>
      </c>
      <c r="F135" s="207">
        <v>100</v>
      </c>
      <c r="G135" s="207">
        <v>135</v>
      </c>
      <c r="H135" s="161">
        <v>35</v>
      </c>
      <c r="I135" s="207">
        <v>300</v>
      </c>
      <c r="J135" s="242">
        <v>10500</v>
      </c>
      <c r="K135" s="153"/>
      <c r="V135" s="25">
        <v>1</v>
      </c>
      <c r="W135" s="25">
        <v>0</v>
      </c>
    </row>
    <row r="136" spans="1:23" x14ac:dyDescent="0.3">
      <c r="A136" s="147"/>
      <c r="B136" s="205">
        <v>15</v>
      </c>
      <c r="C136" s="206">
        <v>42940</v>
      </c>
      <c r="D136" s="161" t="s">
        <v>9</v>
      </c>
      <c r="E136" s="161" t="s">
        <v>2299</v>
      </c>
      <c r="F136" s="207">
        <v>145</v>
      </c>
      <c r="G136" s="207">
        <v>160</v>
      </c>
      <c r="H136" s="161">
        <v>15</v>
      </c>
      <c r="I136" s="207">
        <v>300</v>
      </c>
      <c r="J136" s="242">
        <f t="shared" ref="J136:J141" si="4">I136*H136</f>
        <v>4500</v>
      </c>
      <c r="K136" s="153"/>
      <c r="V136" s="25">
        <v>0</v>
      </c>
      <c r="W136" s="25">
        <v>0</v>
      </c>
    </row>
    <row r="137" spans="1:23" x14ac:dyDescent="0.3">
      <c r="A137" s="147"/>
      <c r="B137" s="205">
        <v>16</v>
      </c>
      <c r="C137" s="206">
        <v>42941</v>
      </c>
      <c r="D137" s="161" t="s">
        <v>9</v>
      </c>
      <c r="E137" s="161" t="s">
        <v>2299</v>
      </c>
      <c r="F137" s="207">
        <v>135</v>
      </c>
      <c r="G137" s="207">
        <v>145</v>
      </c>
      <c r="H137" s="161">
        <v>10</v>
      </c>
      <c r="I137" s="207">
        <v>300</v>
      </c>
      <c r="J137" s="242">
        <f t="shared" si="4"/>
        <v>3000</v>
      </c>
      <c r="K137" s="153"/>
      <c r="V137" s="25">
        <v>0</v>
      </c>
      <c r="W137" s="25">
        <v>0</v>
      </c>
    </row>
    <row r="138" spans="1:23" x14ac:dyDescent="0.3">
      <c r="A138" s="147"/>
      <c r="B138" s="205">
        <v>17</v>
      </c>
      <c r="C138" s="206">
        <v>42942</v>
      </c>
      <c r="D138" s="161" t="s">
        <v>9</v>
      </c>
      <c r="E138" s="161" t="s">
        <v>2299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4"/>
        <v>-6000</v>
      </c>
      <c r="K138" s="153"/>
      <c r="V138" s="25">
        <v>0</v>
      </c>
      <c r="W138" s="25">
        <v>0</v>
      </c>
    </row>
    <row r="139" spans="1:23" x14ac:dyDescent="0.3">
      <c r="A139" s="147"/>
      <c r="B139" s="205">
        <v>18</v>
      </c>
      <c r="C139" s="206">
        <v>42943</v>
      </c>
      <c r="D139" s="161" t="s">
        <v>9</v>
      </c>
      <c r="E139" s="161" t="s">
        <v>2300</v>
      </c>
      <c r="F139" s="207">
        <v>95</v>
      </c>
      <c r="G139" s="207">
        <v>110</v>
      </c>
      <c r="H139" s="161">
        <v>15</v>
      </c>
      <c r="I139" s="207">
        <v>300</v>
      </c>
      <c r="J139" s="242">
        <f t="shared" si="4"/>
        <v>4500</v>
      </c>
      <c r="K139" s="153"/>
      <c r="V139" s="25">
        <v>0</v>
      </c>
      <c r="W139" s="25">
        <v>0</v>
      </c>
    </row>
    <row r="140" spans="1:23" x14ac:dyDescent="0.3">
      <c r="A140" s="147"/>
      <c r="B140" s="205">
        <v>19</v>
      </c>
      <c r="C140" s="206">
        <v>42944</v>
      </c>
      <c r="D140" s="161" t="s">
        <v>9</v>
      </c>
      <c r="E140" s="161" t="s">
        <v>2300</v>
      </c>
      <c r="F140" s="207">
        <v>135</v>
      </c>
      <c r="G140" s="207">
        <v>150</v>
      </c>
      <c r="H140" s="161">
        <v>15</v>
      </c>
      <c r="I140" s="207">
        <v>300</v>
      </c>
      <c r="J140" s="242">
        <f t="shared" si="4"/>
        <v>4500</v>
      </c>
      <c r="K140" s="153"/>
      <c r="V140" s="25">
        <v>0</v>
      </c>
      <c r="W140" s="25">
        <v>0</v>
      </c>
    </row>
    <row r="141" spans="1:23" x14ac:dyDescent="0.3">
      <c r="A141" s="147"/>
      <c r="B141" s="205">
        <v>20</v>
      </c>
      <c r="C141" s="206">
        <v>42947</v>
      </c>
      <c r="D141" s="161" t="s">
        <v>9</v>
      </c>
      <c r="E141" s="161" t="s">
        <v>2300</v>
      </c>
      <c r="F141" s="207">
        <v>160</v>
      </c>
      <c r="G141" s="207">
        <v>190</v>
      </c>
      <c r="H141" s="161">
        <v>30</v>
      </c>
      <c r="I141" s="207">
        <v>300</v>
      </c>
      <c r="J141" s="242">
        <f t="shared" si="4"/>
        <v>9000</v>
      </c>
      <c r="K141" s="153"/>
      <c r="V141" s="25">
        <v>0</v>
      </c>
      <c r="W141" s="25">
        <v>0</v>
      </c>
    </row>
    <row r="142" spans="1:23" x14ac:dyDescent="0.3">
      <c r="A142" s="147"/>
      <c r="B142" s="205">
        <v>21</v>
      </c>
      <c r="C142" s="206"/>
      <c r="D142" s="161"/>
      <c r="E142" s="161"/>
      <c r="F142" s="207"/>
      <c r="G142" s="207"/>
      <c r="H142" s="161"/>
      <c r="I142" s="207"/>
      <c r="J142" s="242">
        <v>0</v>
      </c>
      <c r="K142" s="153"/>
      <c r="V142" s="25">
        <v>0</v>
      </c>
      <c r="W142" s="25">
        <v>0</v>
      </c>
    </row>
    <row r="143" spans="1:23" x14ac:dyDescent="0.3">
      <c r="A143" s="147"/>
      <c r="B143" s="205">
        <v>22</v>
      </c>
      <c r="C143" s="206"/>
      <c r="D143" s="161"/>
      <c r="E143" s="161"/>
      <c r="F143" s="207"/>
      <c r="G143" s="207"/>
      <c r="H143" s="161"/>
      <c r="I143" s="207"/>
      <c r="J143" s="242">
        <v>0</v>
      </c>
      <c r="K143" s="153"/>
      <c r="V143" s="25">
        <v>0</v>
      </c>
      <c r="W143" s="25">
        <v>0</v>
      </c>
    </row>
    <row r="144" spans="1:23" ht="15" thickBot="1" x14ac:dyDescent="0.35">
      <c r="A144" s="147"/>
      <c r="B144" s="208">
        <v>23</v>
      </c>
      <c r="C144" s="209"/>
      <c r="D144" s="166"/>
      <c r="E144" s="166"/>
      <c r="F144" s="210"/>
      <c r="G144" s="210"/>
      <c r="H144" s="166"/>
      <c r="I144" s="210"/>
      <c r="J144" s="244">
        <v>0</v>
      </c>
      <c r="K144" s="153"/>
      <c r="V144" s="25">
        <v>0</v>
      </c>
      <c r="W144" s="25"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v>73200</v>
      </c>
      <c r="K145" s="153"/>
      <c r="V145" s="25">
        <v>11</v>
      </c>
      <c r="W145" s="25">
        <v>3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2287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2260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42919</v>
      </c>
      <c r="D153" s="185" t="s">
        <v>8</v>
      </c>
      <c r="E153" s="185" t="s">
        <v>301</v>
      </c>
      <c r="F153" s="219">
        <v>23270</v>
      </c>
      <c r="G153" s="219">
        <v>23230</v>
      </c>
      <c r="H153" s="185">
        <v>40</v>
      </c>
      <c r="I153" s="219">
        <v>80</v>
      </c>
      <c r="J153" s="246">
        <v>3200</v>
      </c>
      <c r="K153" s="153"/>
      <c r="V153" s="25">
        <v>1</v>
      </c>
      <c r="W153" s="25">
        <v>0</v>
      </c>
    </row>
    <row r="154" spans="1:23" x14ac:dyDescent="0.3">
      <c r="A154" s="147"/>
      <c r="B154" s="205">
        <v>2</v>
      </c>
      <c r="C154" s="206">
        <v>42920</v>
      </c>
      <c r="D154" s="161" t="s">
        <v>8</v>
      </c>
      <c r="E154" s="161" t="s">
        <v>301</v>
      </c>
      <c r="F154" s="207">
        <v>23320</v>
      </c>
      <c r="G154" s="207">
        <v>23160</v>
      </c>
      <c r="H154" s="161">
        <v>160</v>
      </c>
      <c r="I154" s="207">
        <v>80</v>
      </c>
      <c r="J154" s="242">
        <v>12800</v>
      </c>
      <c r="K154" s="153"/>
      <c r="V154" s="25">
        <v>1</v>
      </c>
      <c r="W154" s="25">
        <v>0</v>
      </c>
    </row>
    <row r="155" spans="1:23" x14ac:dyDescent="0.3">
      <c r="A155" s="147"/>
      <c r="B155" s="205">
        <v>3</v>
      </c>
      <c r="C155" s="206">
        <v>42921</v>
      </c>
      <c r="D155" s="161" t="s">
        <v>8</v>
      </c>
      <c r="E155" s="161" t="s">
        <v>301</v>
      </c>
      <c r="F155" s="207">
        <v>23370</v>
      </c>
      <c r="G155" s="207">
        <v>23330</v>
      </c>
      <c r="H155" s="161">
        <v>40</v>
      </c>
      <c r="I155" s="207">
        <v>80</v>
      </c>
      <c r="J155" s="242">
        <v>3200</v>
      </c>
      <c r="K155" s="153"/>
      <c r="V155" s="25">
        <v>1</v>
      </c>
      <c r="W155" s="25">
        <v>0</v>
      </c>
    </row>
    <row r="156" spans="1:23" x14ac:dyDescent="0.3">
      <c r="A156" s="147"/>
      <c r="B156" s="205">
        <v>4</v>
      </c>
      <c r="C156" s="206">
        <v>42922</v>
      </c>
      <c r="D156" s="161" t="s">
        <v>9</v>
      </c>
      <c r="E156" s="161" t="s">
        <v>301</v>
      </c>
      <c r="F156" s="207">
        <v>23450</v>
      </c>
      <c r="G156" s="207">
        <v>23550</v>
      </c>
      <c r="H156" s="161">
        <v>100</v>
      </c>
      <c r="I156" s="207">
        <v>80</v>
      </c>
      <c r="J156" s="242">
        <v>8000</v>
      </c>
      <c r="K156" s="153"/>
      <c r="V156" s="25">
        <v>1</v>
      </c>
      <c r="W156" s="25">
        <v>0</v>
      </c>
    </row>
    <row r="157" spans="1:23" x14ac:dyDescent="0.3">
      <c r="A157" s="147"/>
      <c r="B157" s="205">
        <v>5</v>
      </c>
      <c r="C157" s="206">
        <v>42923</v>
      </c>
      <c r="D157" s="161" t="s">
        <v>8</v>
      </c>
      <c r="E157" s="161" t="s">
        <v>301</v>
      </c>
      <c r="F157" s="207">
        <v>23460</v>
      </c>
      <c r="G157" s="207">
        <v>23450</v>
      </c>
      <c r="H157" s="161">
        <v>-10</v>
      </c>
      <c r="I157" s="207">
        <v>80</v>
      </c>
      <c r="J157" s="242">
        <v>-800</v>
      </c>
      <c r="K157" s="153"/>
      <c r="V157" s="25">
        <v>0</v>
      </c>
      <c r="W157" s="25">
        <v>1</v>
      </c>
    </row>
    <row r="158" spans="1:23" x14ac:dyDescent="0.3">
      <c r="A158" s="147"/>
      <c r="B158" s="205">
        <v>6</v>
      </c>
      <c r="C158" s="206">
        <v>42927</v>
      </c>
      <c r="D158" s="161" t="s">
        <v>9</v>
      </c>
      <c r="E158" s="161" t="s">
        <v>301</v>
      </c>
      <c r="F158" s="207">
        <v>23700</v>
      </c>
      <c r="G158" s="207">
        <v>23745</v>
      </c>
      <c r="H158" s="161">
        <v>45</v>
      </c>
      <c r="I158" s="207">
        <v>80</v>
      </c>
      <c r="J158" s="242">
        <v>3600</v>
      </c>
      <c r="K158" s="153"/>
      <c r="V158" s="25">
        <v>1</v>
      </c>
      <c r="W158" s="25">
        <v>0</v>
      </c>
    </row>
    <row r="159" spans="1:23" x14ac:dyDescent="0.3">
      <c r="A159" s="147"/>
      <c r="B159" s="205">
        <v>7</v>
      </c>
      <c r="C159" s="206">
        <v>42928</v>
      </c>
      <c r="D159" s="161" t="s">
        <v>8</v>
      </c>
      <c r="E159" s="161" t="s">
        <v>301</v>
      </c>
      <c r="F159" s="207">
        <v>23620</v>
      </c>
      <c r="G159" s="207">
        <v>23570</v>
      </c>
      <c r="H159" s="161">
        <v>50</v>
      </c>
      <c r="I159" s="207">
        <v>80</v>
      </c>
      <c r="J159" s="242">
        <v>4000</v>
      </c>
      <c r="K159" s="153"/>
      <c r="V159" s="25">
        <v>1</v>
      </c>
      <c r="W159" s="25">
        <v>0</v>
      </c>
    </row>
    <row r="160" spans="1:23" x14ac:dyDescent="0.3">
      <c r="A160" s="147"/>
      <c r="B160" s="205">
        <v>8</v>
      </c>
      <c r="C160" s="206">
        <v>42929</v>
      </c>
      <c r="D160" s="161" t="s">
        <v>9</v>
      </c>
      <c r="E160" s="161" t="s">
        <v>301</v>
      </c>
      <c r="F160" s="207">
        <v>23900</v>
      </c>
      <c r="G160" s="207">
        <v>23880</v>
      </c>
      <c r="H160" s="161">
        <v>-20</v>
      </c>
      <c r="I160" s="207">
        <v>80</v>
      </c>
      <c r="J160" s="242">
        <v>-1600</v>
      </c>
      <c r="K160" s="153"/>
      <c r="V160" s="25">
        <v>0</v>
      </c>
      <c r="W160" s="25">
        <v>1</v>
      </c>
    </row>
    <row r="161" spans="1:23" x14ac:dyDescent="0.3">
      <c r="A161" s="147"/>
      <c r="B161" s="205">
        <v>9</v>
      </c>
      <c r="C161" s="206">
        <v>42930</v>
      </c>
      <c r="D161" s="161" t="s">
        <v>8</v>
      </c>
      <c r="E161" s="161" t="s">
        <v>301</v>
      </c>
      <c r="F161" s="207">
        <v>23850</v>
      </c>
      <c r="G161" s="207">
        <v>24000</v>
      </c>
      <c r="H161" s="161">
        <v>-150</v>
      </c>
      <c r="I161" s="207">
        <v>80</v>
      </c>
      <c r="J161" s="242">
        <v>-12000</v>
      </c>
      <c r="K161" s="153"/>
      <c r="V161" s="25">
        <v>0</v>
      </c>
      <c r="W161" s="25">
        <v>1</v>
      </c>
    </row>
    <row r="162" spans="1:23" x14ac:dyDescent="0.3">
      <c r="A162" s="147"/>
      <c r="B162" s="205">
        <v>10</v>
      </c>
      <c r="C162" s="206">
        <v>42933</v>
      </c>
      <c r="D162" s="161" t="s">
        <v>8</v>
      </c>
      <c r="E162" s="161" t="s">
        <v>301</v>
      </c>
      <c r="F162" s="207">
        <v>23970</v>
      </c>
      <c r="G162" s="207">
        <v>24000</v>
      </c>
      <c r="H162" s="161">
        <v>-30</v>
      </c>
      <c r="I162" s="207">
        <v>80</v>
      </c>
      <c r="J162" s="242">
        <v>-2400</v>
      </c>
      <c r="K162" s="153"/>
      <c r="V162" s="25">
        <v>0</v>
      </c>
      <c r="W162" s="25">
        <v>1</v>
      </c>
    </row>
    <row r="163" spans="1:23" x14ac:dyDescent="0.3">
      <c r="A163" s="147"/>
      <c r="B163" s="205">
        <v>11</v>
      </c>
      <c r="C163" s="206">
        <v>42934</v>
      </c>
      <c r="D163" s="161" t="s">
        <v>9</v>
      </c>
      <c r="E163" s="161" t="s">
        <v>301</v>
      </c>
      <c r="F163" s="207">
        <v>24100</v>
      </c>
      <c r="G163" s="207">
        <v>24180</v>
      </c>
      <c r="H163" s="161">
        <v>80</v>
      </c>
      <c r="I163" s="207">
        <v>80</v>
      </c>
      <c r="J163" s="242">
        <v>6400</v>
      </c>
      <c r="K163" s="153"/>
      <c r="V163" s="25">
        <v>1</v>
      </c>
      <c r="W163" s="25">
        <v>0</v>
      </c>
    </row>
    <row r="164" spans="1:23" x14ac:dyDescent="0.3">
      <c r="A164" s="147"/>
      <c r="B164" s="205">
        <v>12</v>
      </c>
      <c r="C164" s="206">
        <v>42935</v>
      </c>
      <c r="D164" s="161" t="s">
        <v>9</v>
      </c>
      <c r="E164" s="161" t="s">
        <v>301</v>
      </c>
      <c r="F164" s="207">
        <v>24100</v>
      </c>
      <c r="G164" s="207">
        <v>24200</v>
      </c>
      <c r="H164" s="161">
        <v>100</v>
      </c>
      <c r="I164" s="207">
        <v>80</v>
      </c>
      <c r="J164" s="242">
        <v>8000</v>
      </c>
      <c r="K164" s="153"/>
      <c r="V164" s="25">
        <v>1</v>
      </c>
      <c r="W164" s="25">
        <v>0</v>
      </c>
    </row>
    <row r="165" spans="1:23" x14ac:dyDescent="0.3">
      <c r="A165" s="147"/>
      <c r="B165" s="205">
        <v>13</v>
      </c>
      <c r="C165" s="206">
        <v>42936</v>
      </c>
      <c r="D165" s="161" t="s">
        <v>8</v>
      </c>
      <c r="E165" s="161" t="s">
        <v>301</v>
      </c>
      <c r="F165" s="207">
        <v>24250</v>
      </c>
      <c r="G165" s="207">
        <v>24200</v>
      </c>
      <c r="H165" s="161">
        <v>50</v>
      </c>
      <c r="I165" s="207">
        <v>80</v>
      </c>
      <c r="J165" s="242">
        <v>4000</v>
      </c>
      <c r="K165" s="153"/>
      <c r="V165" s="25">
        <v>1</v>
      </c>
      <c r="W165" s="25">
        <v>0</v>
      </c>
    </row>
    <row r="166" spans="1:23" x14ac:dyDescent="0.3">
      <c r="A166" s="147"/>
      <c r="B166" s="205">
        <v>14</v>
      </c>
      <c r="C166" s="206">
        <v>42937</v>
      </c>
      <c r="D166" s="161" t="s">
        <v>8</v>
      </c>
      <c r="E166" s="161" t="s">
        <v>301</v>
      </c>
      <c r="F166" s="207">
        <v>24260</v>
      </c>
      <c r="G166" s="207">
        <v>24080</v>
      </c>
      <c r="H166" s="161">
        <v>180</v>
      </c>
      <c r="I166" s="207">
        <v>80</v>
      </c>
      <c r="J166" s="242">
        <v>14400</v>
      </c>
      <c r="K166" s="153"/>
      <c r="V166" s="25">
        <v>1</v>
      </c>
      <c r="W166" s="25">
        <v>0</v>
      </c>
    </row>
    <row r="167" spans="1:23" x14ac:dyDescent="0.3">
      <c r="A167" s="147"/>
      <c r="B167" s="205">
        <v>15</v>
      </c>
      <c r="C167" s="206">
        <v>42940</v>
      </c>
      <c r="D167" s="161" t="s">
        <v>8</v>
      </c>
      <c r="E167" s="161" t="s">
        <v>301</v>
      </c>
      <c r="F167" s="207">
        <v>24350</v>
      </c>
      <c r="G167" s="207">
        <v>24360</v>
      </c>
      <c r="H167" s="161">
        <v>-10</v>
      </c>
      <c r="I167" s="207">
        <v>80</v>
      </c>
      <c r="J167" s="242">
        <f t="shared" ref="J167:J172" si="5">I167*H167</f>
        <v>-800</v>
      </c>
      <c r="K167" s="153"/>
      <c r="V167" s="25">
        <v>0</v>
      </c>
      <c r="W167" s="25">
        <v>0</v>
      </c>
    </row>
    <row r="168" spans="1:23" x14ac:dyDescent="0.3">
      <c r="A168" s="147"/>
      <c r="B168" s="205">
        <v>16</v>
      </c>
      <c r="C168" s="206">
        <v>42941</v>
      </c>
      <c r="D168" s="161" t="s">
        <v>8</v>
      </c>
      <c r="E168" s="161" t="s">
        <v>301</v>
      </c>
      <c r="F168" s="207">
        <v>24500</v>
      </c>
      <c r="G168" s="207">
        <v>24515</v>
      </c>
      <c r="H168" s="161">
        <v>-15</v>
      </c>
      <c r="I168" s="207">
        <v>80</v>
      </c>
      <c r="J168" s="242">
        <f t="shared" si="5"/>
        <v>-1200</v>
      </c>
      <c r="K168" s="153"/>
      <c r="V168" s="25">
        <v>0</v>
      </c>
      <c r="W168" s="25">
        <v>0</v>
      </c>
    </row>
    <row r="169" spans="1:23" x14ac:dyDescent="0.3">
      <c r="A169" s="147"/>
      <c r="B169" s="205">
        <v>17</v>
      </c>
      <c r="C169" s="206">
        <v>42942</v>
      </c>
      <c r="D169" s="161" t="s">
        <v>8</v>
      </c>
      <c r="E169" s="161" t="s">
        <v>301</v>
      </c>
      <c r="F169" s="207">
        <v>24550</v>
      </c>
      <c r="G169" s="207">
        <v>24620</v>
      </c>
      <c r="H169" s="161">
        <v>-70</v>
      </c>
      <c r="I169" s="207">
        <v>80</v>
      </c>
      <c r="J169" s="242">
        <f t="shared" si="5"/>
        <v>-5600</v>
      </c>
      <c r="K169" s="153"/>
      <c r="V169" s="25">
        <v>0</v>
      </c>
      <c r="W169" s="25">
        <v>0</v>
      </c>
    </row>
    <row r="170" spans="1:23" x14ac:dyDescent="0.3">
      <c r="A170" s="147"/>
      <c r="B170" s="205">
        <v>18</v>
      </c>
      <c r="C170" s="206">
        <v>42943</v>
      </c>
      <c r="D170" s="161" t="s">
        <v>9</v>
      </c>
      <c r="E170" s="161" t="s">
        <v>301</v>
      </c>
      <c r="F170" s="207">
        <v>24900</v>
      </c>
      <c r="G170" s="207">
        <v>25000</v>
      </c>
      <c r="H170" s="161">
        <v>100</v>
      </c>
      <c r="I170" s="207">
        <v>80</v>
      </c>
      <c r="J170" s="242">
        <f t="shared" si="5"/>
        <v>8000</v>
      </c>
      <c r="K170" s="153"/>
      <c r="V170" s="25">
        <v>0</v>
      </c>
      <c r="W170" s="25">
        <v>0</v>
      </c>
    </row>
    <row r="171" spans="1:23" x14ac:dyDescent="0.3">
      <c r="A171" s="147"/>
      <c r="B171" s="205">
        <v>19</v>
      </c>
      <c r="C171" s="206">
        <v>42944</v>
      </c>
      <c r="D171" s="161" t="s">
        <v>9</v>
      </c>
      <c r="E171" s="161" t="s">
        <v>301</v>
      </c>
      <c r="F171" s="207">
        <v>24920</v>
      </c>
      <c r="G171" s="207">
        <v>24950</v>
      </c>
      <c r="H171" s="161">
        <v>30</v>
      </c>
      <c r="I171" s="207">
        <v>80</v>
      </c>
      <c r="J171" s="242">
        <f t="shared" si="5"/>
        <v>2400</v>
      </c>
      <c r="K171" s="153"/>
      <c r="V171" s="25">
        <v>0</v>
      </c>
      <c r="W171" s="25">
        <v>0</v>
      </c>
    </row>
    <row r="172" spans="1:23" x14ac:dyDescent="0.3">
      <c r="A172" s="147"/>
      <c r="B172" s="205">
        <v>20</v>
      </c>
      <c r="C172" s="206">
        <v>42947</v>
      </c>
      <c r="D172" s="161" t="s">
        <v>9</v>
      </c>
      <c r="E172" s="161" t="s">
        <v>301</v>
      </c>
      <c r="F172" s="207">
        <v>24970</v>
      </c>
      <c r="G172" s="207">
        <v>25130</v>
      </c>
      <c r="H172" s="161">
        <v>160</v>
      </c>
      <c r="I172" s="207">
        <v>80</v>
      </c>
      <c r="J172" s="242">
        <f t="shared" si="5"/>
        <v>12800</v>
      </c>
      <c r="K172" s="153"/>
      <c r="V172" s="25">
        <v>0</v>
      </c>
      <c r="W172" s="25">
        <v>0</v>
      </c>
    </row>
    <row r="173" spans="1:23" x14ac:dyDescent="0.3">
      <c r="A173" s="147"/>
      <c r="B173" s="205">
        <v>21</v>
      </c>
      <c r="C173" s="206"/>
      <c r="D173" s="161"/>
      <c r="E173" s="161"/>
      <c r="F173" s="207"/>
      <c r="G173" s="207"/>
      <c r="H173" s="161"/>
      <c r="I173" s="207"/>
      <c r="J173" s="242">
        <v>0</v>
      </c>
      <c r="K173" s="153"/>
      <c r="V173" s="25">
        <v>0</v>
      </c>
      <c r="W173" s="25">
        <v>0</v>
      </c>
    </row>
    <row r="174" spans="1:23" x14ac:dyDescent="0.3">
      <c r="A174" s="147"/>
      <c r="B174" s="205">
        <v>22</v>
      </c>
      <c r="C174" s="206"/>
      <c r="D174" s="161"/>
      <c r="E174" s="161"/>
      <c r="F174" s="207"/>
      <c r="G174" s="207"/>
      <c r="H174" s="161"/>
      <c r="I174" s="207"/>
      <c r="J174" s="242">
        <v>0</v>
      </c>
      <c r="K174" s="153"/>
      <c r="V174" s="25">
        <v>0</v>
      </c>
      <c r="W174" s="25">
        <v>0</v>
      </c>
    </row>
    <row r="175" spans="1:23" ht="15" thickBot="1" x14ac:dyDescent="0.35">
      <c r="A175" s="147"/>
      <c r="B175" s="208">
        <v>23</v>
      </c>
      <c r="C175" s="209"/>
      <c r="D175" s="166"/>
      <c r="E175" s="166"/>
      <c r="F175" s="210"/>
      <c r="G175" s="210"/>
      <c r="H175" s="166"/>
      <c r="I175" s="210"/>
      <c r="J175" s="244">
        <v>0</v>
      </c>
      <c r="K175" s="153"/>
      <c r="V175" s="25">
        <v>0</v>
      </c>
      <c r="W175" s="25"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v>66400</v>
      </c>
      <c r="K176" s="153"/>
      <c r="V176" s="25">
        <v>10</v>
      </c>
      <c r="W176" s="25"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2287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42919</v>
      </c>
      <c r="D184" s="185" t="s">
        <v>9</v>
      </c>
      <c r="E184" s="185" t="s">
        <v>2217</v>
      </c>
      <c r="F184" s="219">
        <v>240</v>
      </c>
      <c r="G184" s="219">
        <v>275</v>
      </c>
      <c r="H184" s="185">
        <v>35</v>
      </c>
      <c r="I184" s="219">
        <v>160</v>
      </c>
      <c r="J184" s="246">
        <v>5600</v>
      </c>
      <c r="K184" s="153"/>
      <c r="V184" s="25">
        <v>1</v>
      </c>
      <c r="W184" s="25">
        <v>0</v>
      </c>
    </row>
    <row r="185" spans="1:23" x14ac:dyDescent="0.3">
      <c r="A185" s="147"/>
      <c r="B185" s="205">
        <v>2</v>
      </c>
      <c r="C185" s="206">
        <v>42920</v>
      </c>
      <c r="D185" s="161" t="s">
        <v>9</v>
      </c>
      <c r="E185" s="161" t="s">
        <v>2217</v>
      </c>
      <c r="F185" s="207">
        <v>230</v>
      </c>
      <c r="G185" s="207">
        <v>290</v>
      </c>
      <c r="H185" s="161">
        <v>60</v>
      </c>
      <c r="I185" s="207">
        <v>160</v>
      </c>
      <c r="J185" s="242">
        <v>9600</v>
      </c>
      <c r="K185" s="153"/>
      <c r="V185" s="25">
        <v>1</v>
      </c>
      <c r="W185" s="25">
        <v>0</v>
      </c>
    </row>
    <row r="186" spans="1:23" x14ac:dyDescent="0.3">
      <c r="A186" s="147"/>
      <c r="B186" s="205">
        <v>3</v>
      </c>
      <c r="C186" s="206">
        <v>42921</v>
      </c>
      <c r="D186" s="161" t="s">
        <v>9</v>
      </c>
      <c r="E186" s="161" t="s">
        <v>2217</v>
      </c>
      <c r="F186" s="207">
        <v>210</v>
      </c>
      <c r="G186" s="207">
        <v>195</v>
      </c>
      <c r="H186" s="161">
        <v>-15</v>
      </c>
      <c r="I186" s="207">
        <v>160</v>
      </c>
      <c r="J186" s="242">
        <v>-2400</v>
      </c>
      <c r="K186" s="153"/>
      <c r="V186" s="25">
        <v>0</v>
      </c>
      <c r="W186" s="25">
        <v>1</v>
      </c>
    </row>
    <row r="187" spans="1:23" x14ac:dyDescent="0.3">
      <c r="A187" s="147"/>
      <c r="B187" s="205">
        <v>4</v>
      </c>
      <c r="C187" s="206">
        <v>42922</v>
      </c>
      <c r="D187" s="161" t="s">
        <v>9</v>
      </c>
      <c r="E187" s="161" t="s">
        <v>2195</v>
      </c>
      <c r="F187" s="207">
        <v>310</v>
      </c>
      <c r="G187" s="207">
        <v>370</v>
      </c>
      <c r="H187" s="161">
        <v>60</v>
      </c>
      <c r="I187" s="207">
        <v>160</v>
      </c>
      <c r="J187" s="242">
        <v>9600</v>
      </c>
      <c r="K187" s="153"/>
      <c r="V187" s="25">
        <v>1</v>
      </c>
      <c r="W187" s="25">
        <v>0</v>
      </c>
    </row>
    <row r="188" spans="1:23" x14ac:dyDescent="0.3">
      <c r="A188" s="147"/>
      <c r="B188" s="205">
        <v>5</v>
      </c>
      <c r="C188" s="206">
        <v>42923</v>
      </c>
      <c r="D188" s="161" t="s">
        <v>9</v>
      </c>
      <c r="E188" s="161" t="s">
        <v>2216</v>
      </c>
      <c r="F188" s="207">
        <v>240</v>
      </c>
      <c r="G188" s="207">
        <v>245</v>
      </c>
      <c r="H188" s="161">
        <v>-5</v>
      </c>
      <c r="I188" s="207">
        <v>160</v>
      </c>
      <c r="J188" s="242">
        <v>-800</v>
      </c>
      <c r="K188" s="153"/>
      <c r="V188" s="25">
        <v>0</v>
      </c>
      <c r="W188" s="25">
        <v>1</v>
      </c>
    </row>
    <row r="189" spans="1:23" x14ac:dyDescent="0.3">
      <c r="A189" s="147"/>
      <c r="B189" s="205">
        <v>6</v>
      </c>
      <c r="C189" s="206">
        <v>42927</v>
      </c>
      <c r="D189" s="161" t="s">
        <v>9</v>
      </c>
      <c r="E189" s="161" t="s">
        <v>2207</v>
      </c>
      <c r="F189" s="207">
        <v>320</v>
      </c>
      <c r="G189" s="207">
        <v>260</v>
      </c>
      <c r="H189" s="161">
        <v>-60</v>
      </c>
      <c r="I189" s="207">
        <v>160</v>
      </c>
      <c r="J189" s="242">
        <v>-9600</v>
      </c>
      <c r="K189" s="153"/>
      <c r="V189" s="25">
        <v>0</v>
      </c>
      <c r="W189" s="25">
        <v>1</v>
      </c>
    </row>
    <row r="190" spans="1:23" x14ac:dyDescent="0.3">
      <c r="A190" s="147"/>
      <c r="B190" s="205">
        <v>7</v>
      </c>
      <c r="C190" s="206">
        <v>42928</v>
      </c>
      <c r="D190" s="161" t="s">
        <v>9</v>
      </c>
      <c r="E190" s="161" t="s">
        <v>2206</v>
      </c>
      <c r="F190" s="207">
        <v>240</v>
      </c>
      <c r="G190" s="207">
        <v>215</v>
      </c>
      <c r="H190" s="161">
        <v>-25</v>
      </c>
      <c r="I190" s="207">
        <v>160</v>
      </c>
      <c r="J190" s="242">
        <v>-4000</v>
      </c>
      <c r="K190" s="153"/>
      <c r="V190" s="25">
        <v>0</v>
      </c>
      <c r="W190" s="25">
        <v>1</v>
      </c>
    </row>
    <row r="191" spans="1:23" x14ac:dyDescent="0.3">
      <c r="A191" s="147"/>
      <c r="B191" s="205">
        <v>8</v>
      </c>
      <c r="C191" s="206">
        <v>42929</v>
      </c>
      <c r="D191" s="161" t="s">
        <v>9</v>
      </c>
      <c r="E191" s="161" t="s">
        <v>2282</v>
      </c>
      <c r="F191" s="207">
        <v>300</v>
      </c>
      <c r="G191" s="207">
        <v>270</v>
      </c>
      <c r="H191" s="161">
        <v>-30</v>
      </c>
      <c r="I191" s="207">
        <v>160</v>
      </c>
      <c r="J191" s="242">
        <v>-4800</v>
      </c>
      <c r="K191" s="153"/>
      <c r="V191" s="25">
        <v>0</v>
      </c>
      <c r="W191" s="25">
        <v>1</v>
      </c>
    </row>
    <row r="192" spans="1:23" x14ac:dyDescent="0.3">
      <c r="A192" s="147"/>
      <c r="B192" s="205">
        <v>9</v>
      </c>
      <c r="C192" s="206">
        <v>42930</v>
      </c>
      <c r="D192" s="161" t="s">
        <v>9</v>
      </c>
      <c r="E192" s="161" t="s">
        <v>2208</v>
      </c>
      <c r="F192" s="207">
        <v>190</v>
      </c>
      <c r="G192" s="207">
        <v>130</v>
      </c>
      <c r="H192" s="161">
        <v>-60</v>
      </c>
      <c r="I192" s="207">
        <v>160</v>
      </c>
      <c r="J192" s="242">
        <v>-9600</v>
      </c>
      <c r="K192" s="153"/>
      <c r="V192" s="25">
        <v>0</v>
      </c>
      <c r="W192" s="25">
        <v>1</v>
      </c>
    </row>
    <row r="193" spans="1:23" x14ac:dyDescent="0.3">
      <c r="A193" s="147"/>
      <c r="B193" s="205">
        <v>10</v>
      </c>
      <c r="C193" s="206">
        <v>42933</v>
      </c>
      <c r="D193" s="161" t="s">
        <v>9</v>
      </c>
      <c r="E193" s="161" t="s">
        <v>2209</v>
      </c>
      <c r="F193" s="207">
        <v>180</v>
      </c>
      <c r="G193" s="207">
        <v>160</v>
      </c>
      <c r="H193" s="161">
        <v>-20</v>
      </c>
      <c r="I193" s="207">
        <v>160</v>
      </c>
      <c r="J193" s="242">
        <v>-3200</v>
      </c>
      <c r="K193" s="153"/>
      <c r="V193" s="25">
        <v>0</v>
      </c>
      <c r="W193" s="25">
        <v>1</v>
      </c>
    </row>
    <row r="194" spans="1:23" x14ac:dyDescent="0.3">
      <c r="A194" s="147"/>
      <c r="B194" s="205">
        <v>11</v>
      </c>
      <c r="C194" s="206">
        <v>42934</v>
      </c>
      <c r="D194" s="161" t="s">
        <v>9</v>
      </c>
      <c r="E194" s="161" t="s">
        <v>2291</v>
      </c>
      <c r="F194" s="207">
        <v>150</v>
      </c>
      <c r="G194" s="207">
        <v>190</v>
      </c>
      <c r="H194" s="161">
        <v>40</v>
      </c>
      <c r="I194" s="207">
        <v>160</v>
      </c>
      <c r="J194" s="242">
        <v>6400</v>
      </c>
      <c r="K194" s="153"/>
      <c r="V194" s="25">
        <v>1</v>
      </c>
      <c r="W194" s="25">
        <v>0</v>
      </c>
    </row>
    <row r="195" spans="1:23" x14ac:dyDescent="0.3">
      <c r="A195" s="147"/>
      <c r="B195" s="205">
        <v>12</v>
      </c>
      <c r="C195" s="206">
        <v>42935</v>
      </c>
      <c r="D195" s="161" t="s">
        <v>9</v>
      </c>
      <c r="E195" s="161" t="s">
        <v>2292</v>
      </c>
      <c r="F195" s="207">
        <v>190</v>
      </c>
      <c r="G195" s="207">
        <v>235</v>
      </c>
      <c r="H195" s="161">
        <v>45</v>
      </c>
      <c r="I195" s="207">
        <v>160</v>
      </c>
      <c r="J195" s="242">
        <v>7200</v>
      </c>
      <c r="K195" s="153"/>
      <c r="V195" s="25">
        <v>1</v>
      </c>
      <c r="W195" s="25">
        <v>0</v>
      </c>
    </row>
    <row r="196" spans="1:23" x14ac:dyDescent="0.3">
      <c r="A196" s="147"/>
      <c r="B196" s="205">
        <v>13</v>
      </c>
      <c r="C196" s="206">
        <v>42936</v>
      </c>
      <c r="D196" s="161" t="s">
        <v>9</v>
      </c>
      <c r="E196" s="161" t="s">
        <v>2293</v>
      </c>
      <c r="F196" s="207">
        <v>170</v>
      </c>
      <c r="G196" s="207">
        <v>210</v>
      </c>
      <c r="H196" s="161">
        <v>40</v>
      </c>
      <c r="I196" s="207">
        <v>160</v>
      </c>
      <c r="J196" s="242">
        <v>6400</v>
      </c>
      <c r="K196" s="153"/>
      <c r="V196" s="25">
        <v>1</v>
      </c>
      <c r="W196" s="25">
        <v>0</v>
      </c>
    </row>
    <row r="197" spans="1:23" x14ac:dyDescent="0.3">
      <c r="A197" s="147"/>
      <c r="B197" s="205">
        <v>14</v>
      </c>
      <c r="C197" s="206">
        <v>42937</v>
      </c>
      <c r="D197" s="161" t="s">
        <v>9</v>
      </c>
      <c r="E197" s="161" t="s">
        <v>2293</v>
      </c>
      <c r="F197" s="207">
        <v>150</v>
      </c>
      <c r="G197" s="207">
        <v>269</v>
      </c>
      <c r="H197" s="161">
        <v>119</v>
      </c>
      <c r="I197" s="207">
        <v>160</v>
      </c>
      <c r="J197" s="242">
        <v>19040</v>
      </c>
      <c r="K197" s="153"/>
      <c r="V197" s="25">
        <v>1</v>
      </c>
      <c r="W197" s="25">
        <v>0</v>
      </c>
    </row>
    <row r="198" spans="1:23" x14ac:dyDescent="0.3">
      <c r="A198" s="147"/>
      <c r="B198" s="205">
        <v>15</v>
      </c>
      <c r="C198" s="206">
        <v>42940</v>
      </c>
      <c r="D198" s="161" t="s">
        <v>9</v>
      </c>
      <c r="E198" s="161" t="s">
        <v>2301</v>
      </c>
      <c r="F198" s="207">
        <v>190</v>
      </c>
      <c r="G198" s="207">
        <v>200</v>
      </c>
      <c r="H198" s="161">
        <v>10</v>
      </c>
      <c r="I198" s="207">
        <v>160</v>
      </c>
      <c r="J198" s="242">
        <f t="shared" ref="J198:J203" si="6">I198*H198</f>
        <v>1600</v>
      </c>
      <c r="K198" s="153"/>
      <c r="V198" s="25">
        <v>0</v>
      </c>
      <c r="W198" s="25">
        <v>0</v>
      </c>
    </row>
    <row r="199" spans="1:23" x14ac:dyDescent="0.3">
      <c r="A199" s="147"/>
      <c r="B199" s="205">
        <v>16</v>
      </c>
      <c r="C199" s="206">
        <v>42941</v>
      </c>
      <c r="D199" s="161" t="s">
        <v>9</v>
      </c>
      <c r="E199" s="161" t="s">
        <v>2302</v>
      </c>
      <c r="F199" s="207">
        <v>170</v>
      </c>
      <c r="G199" s="207">
        <v>135</v>
      </c>
      <c r="H199" s="161">
        <v>-35</v>
      </c>
      <c r="I199" s="207">
        <v>160</v>
      </c>
      <c r="J199" s="242">
        <f t="shared" si="6"/>
        <v>-5600</v>
      </c>
      <c r="K199" s="153"/>
      <c r="V199" s="25">
        <v>0</v>
      </c>
      <c r="W199" s="25">
        <v>0</v>
      </c>
    </row>
    <row r="200" spans="1:23" x14ac:dyDescent="0.3">
      <c r="A200" s="147"/>
      <c r="B200" s="205">
        <v>17</v>
      </c>
      <c r="C200" s="206">
        <v>42942</v>
      </c>
      <c r="D200" s="161" t="s">
        <v>9</v>
      </c>
      <c r="E200" s="161" t="s">
        <v>2303</v>
      </c>
      <c r="F200" s="207">
        <v>160</v>
      </c>
      <c r="G200" s="207">
        <v>115</v>
      </c>
      <c r="H200" s="161">
        <v>-45</v>
      </c>
      <c r="I200" s="207">
        <v>160</v>
      </c>
      <c r="J200" s="242">
        <f t="shared" si="6"/>
        <v>-7200</v>
      </c>
      <c r="K200" s="153"/>
      <c r="V200" s="25">
        <v>0</v>
      </c>
      <c r="W200" s="25">
        <v>0</v>
      </c>
    </row>
    <row r="201" spans="1:23" x14ac:dyDescent="0.3">
      <c r="A201" s="147"/>
      <c r="B201" s="205">
        <v>18</v>
      </c>
      <c r="C201" s="206">
        <v>42943</v>
      </c>
      <c r="D201" s="161" t="s">
        <v>9</v>
      </c>
      <c r="E201" s="161" t="s">
        <v>2304</v>
      </c>
      <c r="F201" s="207">
        <v>130</v>
      </c>
      <c r="G201" s="207">
        <v>225</v>
      </c>
      <c r="H201" s="161">
        <v>95</v>
      </c>
      <c r="I201" s="207">
        <v>160</v>
      </c>
      <c r="J201" s="242">
        <f t="shared" si="6"/>
        <v>15200</v>
      </c>
      <c r="K201" s="153"/>
      <c r="V201" s="25">
        <v>0</v>
      </c>
      <c r="W201" s="25">
        <v>0</v>
      </c>
    </row>
    <row r="202" spans="1:23" x14ac:dyDescent="0.3">
      <c r="A202" s="147"/>
      <c r="B202" s="205">
        <v>19</v>
      </c>
      <c r="C202" s="206">
        <v>42944</v>
      </c>
      <c r="D202" s="161" t="s">
        <v>9</v>
      </c>
      <c r="E202" s="161" t="s">
        <v>2305</v>
      </c>
      <c r="F202" s="207">
        <v>330</v>
      </c>
      <c r="G202" s="207">
        <v>335</v>
      </c>
      <c r="H202" s="161">
        <v>5</v>
      </c>
      <c r="I202" s="207">
        <v>160</v>
      </c>
      <c r="J202" s="242">
        <f t="shared" si="6"/>
        <v>800</v>
      </c>
      <c r="K202" s="153"/>
      <c r="V202" s="25">
        <v>0</v>
      </c>
      <c r="W202" s="25">
        <v>0</v>
      </c>
    </row>
    <row r="203" spans="1:23" x14ac:dyDescent="0.3">
      <c r="A203" s="147"/>
      <c r="B203" s="205">
        <v>20</v>
      </c>
      <c r="C203" s="206">
        <v>42947</v>
      </c>
      <c r="D203" s="161" t="s">
        <v>9</v>
      </c>
      <c r="E203" s="161" t="s">
        <v>2305</v>
      </c>
      <c r="F203" s="207">
        <v>340</v>
      </c>
      <c r="G203" s="207">
        <v>450</v>
      </c>
      <c r="H203" s="161">
        <v>110</v>
      </c>
      <c r="I203" s="207">
        <v>160</v>
      </c>
      <c r="J203" s="242">
        <f t="shared" si="6"/>
        <v>17600</v>
      </c>
      <c r="K203" s="153"/>
      <c r="V203" s="25">
        <v>0</v>
      </c>
      <c r="W203" s="25">
        <v>0</v>
      </c>
    </row>
    <row r="204" spans="1:23" x14ac:dyDescent="0.3">
      <c r="A204" s="147"/>
      <c r="B204" s="205">
        <v>21</v>
      </c>
      <c r="C204" s="206"/>
      <c r="D204" s="161"/>
      <c r="E204" s="161"/>
      <c r="F204" s="207"/>
      <c r="G204" s="207"/>
      <c r="H204" s="161"/>
      <c r="I204" s="207"/>
      <c r="J204" s="242">
        <v>0</v>
      </c>
      <c r="K204" s="153"/>
      <c r="V204" s="25">
        <v>0</v>
      </c>
      <c r="W204" s="25">
        <v>0</v>
      </c>
    </row>
    <row r="205" spans="1:23" x14ac:dyDescent="0.3">
      <c r="A205" s="147"/>
      <c r="B205" s="205">
        <v>22</v>
      </c>
      <c r="C205" s="206"/>
      <c r="D205" s="161"/>
      <c r="E205" s="161"/>
      <c r="F205" s="207"/>
      <c r="G205" s="207"/>
      <c r="H205" s="161"/>
      <c r="I205" s="207"/>
      <c r="J205" s="242">
        <v>0</v>
      </c>
      <c r="K205" s="153"/>
      <c r="V205" s="25">
        <v>0</v>
      </c>
      <c r="W205" s="25">
        <v>0</v>
      </c>
    </row>
    <row r="206" spans="1:23" ht="15" thickBot="1" x14ac:dyDescent="0.35">
      <c r="A206" s="147"/>
      <c r="B206" s="208">
        <v>23</v>
      </c>
      <c r="C206" s="209"/>
      <c r="D206" s="166"/>
      <c r="E206" s="166"/>
      <c r="F206" s="210"/>
      <c r="G206" s="210"/>
      <c r="H206" s="166"/>
      <c r="I206" s="210"/>
      <c r="J206" s="244">
        <v>0</v>
      </c>
      <c r="K206" s="153"/>
      <c r="V206" s="25">
        <v>0</v>
      </c>
      <c r="W206" s="25"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v>51840</v>
      </c>
      <c r="K207" s="153"/>
      <c r="V207" s="25">
        <v>7</v>
      </c>
      <c r="W207" s="25"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2287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42919</v>
      </c>
      <c r="D215" s="185" t="s">
        <v>9</v>
      </c>
      <c r="E215" s="185" t="s">
        <v>2241</v>
      </c>
      <c r="F215" s="219">
        <v>34</v>
      </c>
      <c r="G215" s="219">
        <v>24</v>
      </c>
      <c r="H215" s="185">
        <v>-10</v>
      </c>
      <c r="I215" s="219">
        <v>350</v>
      </c>
      <c r="J215" s="246">
        <v>-3500</v>
      </c>
      <c r="K215" s="153"/>
      <c r="V215" s="25">
        <v>0</v>
      </c>
      <c r="W215" s="25">
        <v>1</v>
      </c>
    </row>
    <row r="216" spans="1:23" x14ac:dyDescent="0.3">
      <c r="A216" s="147"/>
      <c r="B216" s="205">
        <v>2</v>
      </c>
      <c r="C216" s="206">
        <v>42920</v>
      </c>
      <c r="D216" s="161" t="s">
        <v>9</v>
      </c>
      <c r="E216" s="161" t="s">
        <v>2214</v>
      </c>
      <c r="F216" s="207">
        <v>75</v>
      </c>
      <c r="G216" s="207">
        <v>85</v>
      </c>
      <c r="H216" s="161">
        <v>10</v>
      </c>
      <c r="I216" s="207">
        <v>200</v>
      </c>
      <c r="J216" s="242">
        <v>2000</v>
      </c>
      <c r="K216" s="153"/>
      <c r="V216" s="25">
        <v>1</v>
      </c>
      <c r="W216" s="25">
        <v>0</v>
      </c>
    </row>
    <row r="217" spans="1:23" x14ac:dyDescent="0.3">
      <c r="A217" s="147"/>
      <c r="B217" s="205">
        <v>3</v>
      </c>
      <c r="C217" s="206">
        <v>42921</v>
      </c>
      <c r="D217" s="161" t="s">
        <v>9</v>
      </c>
      <c r="E217" s="161" t="s">
        <v>2242</v>
      </c>
      <c r="F217" s="207">
        <v>40</v>
      </c>
      <c r="G217" s="207">
        <v>41</v>
      </c>
      <c r="H217" s="161">
        <v>1</v>
      </c>
      <c r="I217" s="207">
        <v>350</v>
      </c>
      <c r="J217" s="242">
        <v>350</v>
      </c>
      <c r="K217" s="153"/>
      <c r="V217" s="25">
        <v>1</v>
      </c>
      <c r="W217" s="25">
        <v>0</v>
      </c>
    </row>
    <row r="218" spans="1:23" x14ac:dyDescent="0.3">
      <c r="A218" s="147"/>
      <c r="B218" s="205">
        <v>4</v>
      </c>
      <c r="C218" s="206">
        <v>42922</v>
      </c>
      <c r="D218" s="161" t="s">
        <v>9</v>
      </c>
      <c r="E218" s="161" t="s">
        <v>2214</v>
      </c>
      <c r="F218" s="207">
        <v>65</v>
      </c>
      <c r="G218" s="207">
        <v>61</v>
      </c>
      <c r="H218" s="161">
        <v>-4</v>
      </c>
      <c r="I218" s="207">
        <v>200</v>
      </c>
      <c r="J218" s="242">
        <v>-800</v>
      </c>
      <c r="K218" s="153"/>
      <c r="V218" s="25">
        <v>0</v>
      </c>
      <c r="W218" s="25">
        <v>1</v>
      </c>
    </row>
    <row r="219" spans="1:23" x14ac:dyDescent="0.3">
      <c r="A219" s="147"/>
      <c r="B219" s="205">
        <v>5</v>
      </c>
      <c r="C219" s="206">
        <v>42923</v>
      </c>
      <c r="D219" s="161" t="s">
        <v>9</v>
      </c>
      <c r="E219" s="161" t="s">
        <v>2243</v>
      </c>
      <c r="F219" s="207">
        <v>33</v>
      </c>
      <c r="G219" s="207">
        <v>37.5</v>
      </c>
      <c r="H219" s="161">
        <v>4.5</v>
      </c>
      <c r="I219" s="207">
        <v>400</v>
      </c>
      <c r="J219" s="242">
        <v>1800</v>
      </c>
      <c r="K219" s="153"/>
      <c r="V219" s="25">
        <v>1</v>
      </c>
      <c r="W219" s="25">
        <v>0</v>
      </c>
    </row>
    <row r="220" spans="1:23" x14ac:dyDescent="0.3">
      <c r="A220" s="147"/>
      <c r="B220" s="205">
        <v>6</v>
      </c>
      <c r="C220" s="206">
        <v>42927</v>
      </c>
      <c r="D220" s="161" t="s">
        <v>9</v>
      </c>
      <c r="E220" s="161" t="s">
        <v>2283</v>
      </c>
      <c r="F220" s="207">
        <v>5</v>
      </c>
      <c r="G220" s="207">
        <v>5.7</v>
      </c>
      <c r="H220" s="161">
        <v>0.7</v>
      </c>
      <c r="I220" s="207">
        <v>2500</v>
      </c>
      <c r="J220" s="242">
        <v>1750</v>
      </c>
      <c r="K220" s="153"/>
      <c r="V220" s="25">
        <v>1</v>
      </c>
      <c r="W220" s="25">
        <v>0</v>
      </c>
    </row>
    <row r="221" spans="1:23" x14ac:dyDescent="0.3">
      <c r="A221" s="147"/>
      <c r="B221" s="205">
        <v>7</v>
      </c>
      <c r="C221" s="206">
        <v>42928</v>
      </c>
      <c r="D221" s="161" t="s">
        <v>9</v>
      </c>
      <c r="E221" s="161" t="s">
        <v>2283</v>
      </c>
      <c r="F221" s="207">
        <v>6.5</v>
      </c>
      <c r="G221" s="207">
        <v>8.5</v>
      </c>
      <c r="H221" s="161">
        <v>2</v>
      </c>
      <c r="I221" s="207">
        <v>2500</v>
      </c>
      <c r="J221" s="242">
        <v>5000</v>
      </c>
      <c r="K221" s="153"/>
      <c r="V221" s="25">
        <v>1</v>
      </c>
      <c r="W221" s="25">
        <v>0</v>
      </c>
    </row>
    <row r="222" spans="1:23" x14ac:dyDescent="0.3">
      <c r="A222" s="147"/>
      <c r="B222" s="205">
        <v>8</v>
      </c>
      <c r="C222" s="206">
        <v>42929</v>
      </c>
      <c r="D222" s="161" t="s">
        <v>9</v>
      </c>
      <c r="E222" s="161" t="s">
        <v>2284</v>
      </c>
      <c r="F222" s="207">
        <v>19</v>
      </c>
      <c r="G222" s="207">
        <v>26.5</v>
      </c>
      <c r="H222" s="161">
        <v>7.5</v>
      </c>
      <c r="I222" s="207">
        <v>500</v>
      </c>
      <c r="J222" s="242">
        <v>3750</v>
      </c>
      <c r="K222" s="153"/>
      <c r="V222" s="25">
        <v>1</v>
      </c>
      <c r="W222" s="25">
        <v>0</v>
      </c>
    </row>
    <row r="223" spans="1:23" x14ac:dyDescent="0.3">
      <c r="A223" s="147"/>
      <c r="B223" s="205">
        <v>9</v>
      </c>
      <c r="C223" s="206">
        <v>42930</v>
      </c>
      <c r="D223" s="161" t="s">
        <v>9</v>
      </c>
      <c r="E223" s="161" t="s">
        <v>2285</v>
      </c>
      <c r="F223" s="207">
        <v>4.5</v>
      </c>
      <c r="G223" s="207">
        <v>3.5</v>
      </c>
      <c r="H223" s="161">
        <v>-1</v>
      </c>
      <c r="I223" s="207">
        <v>2500</v>
      </c>
      <c r="J223" s="242">
        <v>-2500</v>
      </c>
      <c r="K223" s="153"/>
      <c r="V223" s="25">
        <v>0</v>
      </c>
      <c r="W223" s="25">
        <v>1</v>
      </c>
    </row>
    <row r="224" spans="1:23" x14ac:dyDescent="0.3">
      <c r="A224" s="147"/>
      <c r="B224" s="205">
        <v>10</v>
      </c>
      <c r="C224" s="206">
        <v>42933</v>
      </c>
      <c r="D224" s="161" t="s">
        <v>9</v>
      </c>
      <c r="E224" s="161" t="s">
        <v>2294</v>
      </c>
      <c r="F224" s="207">
        <v>6</v>
      </c>
      <c r="G224" s="222">
        <v>7.5</v>
      </c>
      <c r="H224" s="161">
        <v>1.5</v>
      </c>
      <c r="I224" s="207">
        <v>2500</v>
      </c>
      <c r="J224" s="242">
        <v>3750</v>
      </c>
      <c r="K224" s="153"/>
      <c r="V224" s="25">
        <v>1</v>
      </c>
      <c r="W224" s="25">
        <v>0</v>
      </c>
    </row>
    <row r="225" spans="1:23" x14ac:dyDescent="0.3">
      <c r="A225" s="147"/>
      <c r="B225" s="205">
        <v>11</v>
      </c>
      <c r="C225" s="206">
        <v>42934</v>
      </c>
      <c r="D225" s="161" t="s">
        <v>9</v>
      </c>
      <c r="E225" s="161" t="s">
        <v>2295</v>
      </c>
      <c r="F225" s="207">
        <v>30</v>
      </c>
      <c r="G225" s="222">
        <v>37.700000000000003</v>
      </c>
      <c r="H225" s="161">
        <v>7.7</v>
      </c>
      <c r="I225" s="207">
        <v>500</v>
      </c>
      <c r="J225" s="242">
        <v>3850</v>
      </c>
      <c r="K225" s="153"/>
      <c r="V225" s="25">
        <v>1</v>
      </c>
      <c r="W225" s="25">
        <v>0</v>
      </c>
    </row>
    <row r="226" spans="1:23" x14ac:dyDescent="0.3">
      <c r="A226" s="147"/>
      <c r="B226" s="205">
        <v>12</v>
      </c>
      <c r="C226" s="206">
        <v>42935</v>
      </c>
      <c r="D226" s="161" t="s">
        <v>9</v>
      </c>
      <c r="E226" s="161" t="s">
        <v>2296</v>
      </c>
      <c r="F226" s="207">
        <v>50</v>
      </c>
      <c r="G226" s="207">
        <v>42</v>
      </c>
      <c r="H226" s="161">
        <v>-8</v>
      </c>
      <c r="I226" s="207">
        <v>200</v>
      </c>
      <c r="J226" s="242">
        <v>-1600</v>
      </c>
      <c r="K226" s="153"/>
      <c r="V226" s="25">
        <v>0</v>
      </c>
      <c r="W226" s="25">
        <v>1</v>
      </c>
    </row>
    <row r="227" spans="1:23" x14ac:dyDescent="0.3">
      <c r="A227" s="147"/>
      <c r="B227" s="205">
        <v>13</v>
      </c>
      <c r="C227" s="206">
        <v>42936</v>
      </c>
      <c r="D227" s="161" t="s">
        <v>9</v>
      </c>
      <c r="E227" s="161" t="s">
        <v>2297</v>
      </c>
      <c r="F227" s="207">
        <v>33</v>
      </c>
      <c r="G227" s="207">
        <v>42</v>
      </c>
      <c r="H227" s="161">
        <v>9</v>
      </c>
      <c r="I227" s="207">
        <v>500</v>
      </c>
      <c r="J227" s="242">
        <v>4500</v>
      </c>
      <c r="K227" s="153"/>
      <c r="V227" s="25">
        <v>1</v>
      </c>
      <c r="W227" s="25">
        <v>0</v>
      </c>
    </row>
    <row r="228" spans="1:23" x14ac:dyDescent="0.3">
      <c r="A228" s="147"/>
      <c r="B228" s="205">
        <v>14</v>
      </c>
      <c r="C228" s="206">
        <v>42937</v>
      </c>
      <c r="D228" s="161" t="s">
        <v>9</v>
      </c>
      <c r="E228" s="161" t="s">
        <v>1534</v>
      </c>
      <c r="F228" s="207">
        <v>14</v>
      </c>
      <c r="G228" s="216">
        <v>16.5</v>
      </c>
      <c r="H228" s="161">
        <v>2.5</v>
      </c>
      <c r="I228" s="207">
        <v>1200</v>
      </c>
      <c r="J228" s="242">
        <v>3000</v>
      </c>
      <c r="K228" s="153"/>
      <c r="V228" s="25">
        <v>1</v>
      </c>
      <c r="W228" s="25">
        <v>0</v>
      </c>
    </row>
    <row r="229" spans="1:23" x14ac:dyDescent="0.3">
      <c r="A229" s="147"/>
      <c r="B229" s="205">
        <v>15</v>
      </c>
      <c r="C229" s="206">
        <v>42940</v>
      </c>
      <c r="D229" s="161" t="s">
        <v>9</v>
      </c>
      <c r="E229" s="161" t="s">
        <v>2306</v>
      </c>
      <c r="F229" s="222">
        <v>3.5</v>
      </c>
      <c r="G229" s="222">
        <v>4.5999999999999996</v>
      </c>
      <c r="H229" s="161">
        <v>1.1000000000000001</v>
      </c>
      <c r="I229" s="207">
        <v>3000</v>
      </c>
      <c r="J229" s="242">
        <f t="shared" ref="J229:J234" si="7">I229*H229</f>
        <v>3300.0000000000005</v>
      </c>
      <c r="K229" s="153"/>
      <c r="V229" s="25">
        <v>0</v>
      </c>
      <c r="W229" s="25">
        <v>0</v>
      </c>
    </row>
    <row r="230" spans="1:23" x14ac:dyDescent="0.3">
      <c r="A230" s="147"/>
      <c r="B230" s="205">
        <v>16</v>
      </c>
      <c r="C230" s="206">
        <v>42941</v>
      </c>
      <c r="D230" s="161" t="s">
        <v>9</v>
      </c>
      <c r="E230" s="161" t="s">
        <v>2307</v>
      </c>
      <c r="F230" s="207">
        <v>17</v>
      </c>
      <c r="G230" s="207">
        <v>20</v>
      </c>
      <c r="H230" s="161">
        <v>3</v>
      </c>
      <c r="I230" s="207">
        <v>600</v>
      </c>
      <c r="J230" s="242">
        <f t="shared" si="7"/>
        <v>1800</v>
      </c>
      <c r="K230" s="153"/>
      <c r="V230" s="25">
        <v>0</v>
      </c>
      <c r="W230" s="25">
        <v>0</v>
      </c>
    </row>
    <row r="231" spans="1:23" x14ac:dyDescent="0.3">
      <c r="A231" s="147"/>
      <c r="B231" s="205">
        <v>17</v>
      </c>
      <c r="C231" s="206">
        <v>42942</v>
      </c>
      <c r="D231" s="161" t="s">
        <v>9</v>
      </c>
      <c r="E231" s="161" t="s">
        <v>2308</v>
      </c>
      <c r="F231" s="222">
        <v>3.5</v>
      </c>
      <c r="G231" s="222">
        <v>5.5</v>
      </c>
      <c r="H231" s="161">
        <v>2</v>
      </c>
      <c r="I231" s="207">
        <v>3000</v>
      </c>
      <c r="J231" s="242">
        <f t="shared" si="7"/>
        <v>6000</v>
      </c>
      <c r="K231" s="153"/>
      <c r="V231" s="25">
        <v>0</v>
      </c>
      <c r="W231" s="25">
        <v>0</v>
      </c>
    </row>
    <row r="232" spans="1:23" x14ac:dyDescent="0.3">
      <c r="A232" s="147"/>
      <c r="B232" s="205">
        <v>18</v>
      </c>
      <c r="C232" s="206">
        <v>42943</v>
      </c>
      <c r="D232" s="161" t="s">
        <v>9</v>
      </c>
      <c r="E232" s="161" t="s">
        <v>2309</v>
      </c>
      <c r="F232" s="207">
        <v>4</v>
      </c>
      <c r="G232" s="222">
        <v>4.9000000000000004</v>
      </c>
      <c r="H232" s="161">
        <v>0.9</v>
      </c>
      <c r="I232" s="207">
        <v>2750</v>
      </c>
      <c r="J232" s="242">
        <f t="shared" si="7"/>
        <v>2475</v>
      </c>
      <c r="K232" s="153"/>
      <c r="V232" s="25">
        <v>0</v>
      </c>
      <c r="W232" s="25">
        <v>0</v>
      </c>
    </row>
    <row r="233" spans="1:23" x14ac:dyDescent="0.3">
      <c r="A233" s="147"/>
      <c r="B233" s="205">
        <v>19</v>
      </c>
      <c r="C233" s="206">
        <v>42944</v>
      </c>
      <c r="D233" s="161" t="s">
        <v>9</v>
      </c>
      <c r="E233" s="161" t="s">
        <v>2310</v>
      </c>
      <c r="F233" s="207">
        <v>55</v>
      </c>
      <c r="G233" s="207">
        <v>90</v>
      </c>
      <c r="H233" s="161">
        <v>35</v>
      </c>
      <c r="I233" s="207">
        <v>350</v>
      </c>
      <c r="J233" s="242">
        <f t="shared" si="7"/>
        <v>12250</v>
      </c>
      <c r="K233" s="153"/>
      <c r="V233" s="25">
        <v>0</v>
      </c>
      <c r="W233" s="25">
        <v>0</v>
      </c>
    </row>
    <row r="234" spans="1:23" x14ac:dyDescent="0.3">
      <c r="A234" s="147"/>
      <c r="B234" s="205">
        <v>20</v>
      </c>
      <c r="C234" s="206">
        <v>42947</v>
      </c>
      <c r="D234" s="161" t="s">
        <v>9</v>
      </c>
      <c r="E234" s="161" t="s">
        <v>2311</v>
      </c>
      <c r="F234" s="207">
        <v>50</v>
      </c>
      <c r="G234" s="207">
        <v>58</v>
      </c>
      <c r="H234" s="161">
        <v>8</v>
      </c>
      <c r="I234" s="207">
        <v>350</v>
      </c>
      <c r="J234" s="242">
        <f t="shared" si="7"/>
        <v>2800</v>
      </c>
      <c r="K234" s="153"/>
      <c r="V234" s="25">
        <v>0</v>
      </c>
      <c r="W234" s="25">
        <v>0</v>
      </c>
    </row>
    <row r="235" spans="1:23" x14ac:dyDescent="0.3">
      <c r="A235" s="147"/>
      <c r="B235" s="205">
        <v>21</v>
      </c>
      <c r="C235" s="206"/>
      <c r="D235" s="161"/>
      <c r="E235" s="161"/>
      <c r="F235" s="207"/>
      <c r="G235" s="207"/>
      <c r="H235" s="161"/>
      <c r="I235" s="207"/>
      <c r="J235" s="242">
        <v>0</v>
      </c>
      <c r="K235" s="153"/>
      <c r="V235" s="25">
        <v>0</v>
      </c>
      <c r="W235" s="25">
        <v>0</v>
      </c>
    </row>
    <row r="236" spans="1:23" x14ac:dyDescent="0.3">
      <c r="A236" s="147"/>
      <c r="B236" s="205">
        <v>22</v>
      </c>
      <c r="C236" s="206"/>
      <c r="D236" s="161"/>
      <c r="E236" s="161"/>
      <c r="F236" s="207"/>
      <c r="G236" s="207"/>
      <c r="H236" s="161"/>
      <c r="I236" s="207"/>
      <c r="J236" s="242">
        <v>0</v>
      </c>
      <c r="K236" s="153"/>
      <c r="V236" s="25">
        <v>0</v>
      </c>
      <c r="W236" s="25">
        <v>0</v>
      </c>
    </row>
    <row r="237" spans="1:23" ht="15" thickBot="1" x14ac:dyDescent="0.35">
      <c r="A237" s="147"/>
      <c r="B237" s="208">
        <v>23</v>
      </c>
      <c r="C237" s="209"/>
      <c r="D237" s="166"/>
      <c r="E237" s="166"/>
      <c r="F237" s="210"/>
      <c r="G237" s="210"/>
      <c r="H237" s="166"/>
      <c r="I237" s="210"/>
      <c r="J237" s="244">
        <v>0</v>
      </c>
      <c r="K237" s="153"/>
      <c r="V237" s="25">
        <v>0</v>
      </c>
      <c r="W237" s="25"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v>49975</v>
      </c>
      <c r="K238" s="153"/>
      <c r="V238" s="25">
        <v>10</v>
      </c>
      <c r="W238" s="25"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150:J150"/>
    <mergeCell ref="B151:J151"/>
    <mergeCell ref="B118:J118"/>
    <mergeCell ref="B119:J119"/>
    <mergeCell ref="B120:J120"/>
    <mergeCell ref="B145:H145"/>
    <mergeCell ref="B149:J149"/>
    <mergeCell ref="B83:H83"/>
    <mergeCell ref="B87:J87"/>
    <mergeCell ref="B88:J88"/>
    <mergeCell ref="B89:J89"/>
    <mergeCell ref="B114:H114"/>
    <mergeCell ref="B4:J4"/>
    <mergeCell ref="M4:M5"/>
    <mergeCell ref="N4:N5"/>
    <mergeCell ref="M8:M9"/>
    <mergeCell ref="N8:N9"/>
    <mergeCell ref="O2:O3"/>
    <mergeCell ref="P2:P3"/>
    <mergeCell ref="Q2:Q3"/>
    <mergeCell ref="R2:R3"/>
    <mergeCell ref="B3:J3"/>
    <mergeCell ref="B2:J2"/>
    <mergeCell ref="M2:M3"/>
    <mergeCell ref="N2:N3"/>
    <mergeCell ref="O4:O5"/>
    <mergeCell ref="P4:P5"/>
    <mergeCell ref="Q4:Q5"/>
    <mergeCell ref="R4:R5"/>
    <mergeCell ref="M6:M7"/>
    <mergeCell ref="N6:N7"/>
    <mergeCell ref="O6:O7"/>
    <mergeCell ref="P6:P7"/>
    <mergeCell ref="Q6:Q7"/>
    <mergeCell ref="R6:R7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0:R11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R14:R15"/>
    <mergeCell ref="M12:M13"/>
    <mergeCell ref="N12:N13"/>
    <mergeCell ref="O16:O17"/>
    <mergeCell ref="P16:P17"/>
    <mergeCell ref="Q16:Q17"/>
    <mergeCell ref="R16:R17"/>
    <mergeCell ref="M18:M19"/>
    <mergeCell ref="N18:N19"/>
    <mergeCell ref="O18:O19"/>
    <mergeCell ref="P18:P19"/>
    <mergeCell ref="Q18:Q19"/>
    <mergeCell ref="R18:R19"/>
    <mergeCell ref="M16:M17"/>
    <mergeCell ref="N16:N17"/>
    <mergeCell ref="P20:R22"/>
    <mergeCell ref="B52:H52"/>
    <mergeCell ref="B56:J56"/>
    <mergeCell ref="B57:J57"/>
    <mergeCell ref="B58:J58"/>
    <mergeCell ref="M20:O22"/>
    <mergeCell ref="B211:J211"/>
    <mergeCell ref="B212:J212"/>
    <mergeCell ref="B213:J213"/>
    <mergeCell ref="B238:H238"/>
    <mergeCell ref="B176:H176"/>
    <mergeCell ref="B180:J180"/>
    <mergeCell ref="B181:J181"/>
    <mergeCell ref="B182:J182"/>
    <mergeCell ref="B207:H207"/>
  </mergeCells>
  <hyperlinks>
    <hyperlink ref="B52" r:id="rId1" xr:uid="{00000000-0004-0000-3300-000000000000}"/>
    <hyperlink ref="B83" r:id="rId2" xr:uid="{00000000-0004-0000-3300-000001000000}"/>
    <hyperlink ref="M4:M5" location="'JULY 2017'!A1" display="CASH" xr:uid="{00000000-0004-0000-3300-000002000000}"/>
    <hyperlink ref="M6:M7" location="'JULY 2017'!A77" display="STOCK FUTURE" xr:uid="{00000000-0004-0000-3300-000003000000}"/>
    <hyperlink ref="B114" r:id="rId3" xr:uid="{00000000-0004-0000-3300-000004000000}"/>
    <hyperlink ref="M8:M9" location="'JULY 2017'!A108" display="NIFTY FUTURE" xr:uid="{00000000-0004-0000-3300-000005000000}"/>
    <hyperlink ref="B145" r:id="rId4" xr:uid="{00000000-0004-0000-3300-000006000000}"/>
    <hyperlink ref="M10:M11" location="'JULY 2017'!A139" display="NF. OPTION" xr:uid="{00000000-0004-0000-3300-000007000000}"/>
    <hyperlink ref="B176" r:id="rId5" xr:uid="{00000000-0004-0000-3300-000008000000}"/>
    <hyperlink ref="M12:M13" location="'JULY 2017'!A170" display="BANK NIFTY" xr:uid="{00000000-0004-0000-3300-000009000000}"/>
    <hyperlink ref="B207" r:id="rId6" xr:uid="{00000000-0004-0000-3300-00000A000000}"/>
    <hyperlink ref="M14:M15" location="'JULY 2017'!A201" display="B.NIFTY OPTION" xr:uid="{00000000-0004-0000-3300-00000B000000}"/>
    <hyperlink ref="B238" r:id="rId7" xr:uid="{00000000-0004-0000-3300-00000C000000}"/>
    <hyperlink ref="M16:M17" location="'JULY 2017'!A232" display="STOCK OPTION" xr:uid="{00000000-0004-0000-3300-00000D000000}"/>
    <hyperlink ref="M1" location="'MASTER '!A1" display="Back" xr:uid="{00000000-0004-0000-3300-00000E000000}"/>
  </hyperlinks>
  <pageMargins left="0.7" right="0.7" top="0.75" bottom="0.75" header="0.3" footer="0.3"/>
  <pageSetup paperSize="9" orientation="portrait" r:id="rId8"/>
  <ignoredErrors>
    <ignoredError sqref="F6:H7 F60:H65 F91:H92 F122:H125 F9:H19 F8:G8" numberStoredAsText="1"/>
  </ignoredErrors>
  <drawing r:id="rId9"/>
  <legacyDrawing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W239"/>
  <sheetViews>
    <sheetView workbookViewId="0">
      <selection activeCell="M1" sqref="M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2313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52" t="s">
        <v>449</v>
      </c>
      <c r="N4" s="353">
        <f>COUNT(C6:C51)</f>
        <v>40</v>
      </c>
      <c r="O4" s="354">
        <f>V52</f>
        <v>33</v>
      </c>
      <c r="P4" s="354">
        <f>W52</f>
        <v>4</v>
      </c>
      <c r="Q4" s="355">
        <f>N4-O4-P4</f>
        <v>3</v>
      </c>
      <c r="R4" s="314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41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42948</v>
      </c>
      <c r="D6" s="158" t="s">
        <v>9</v>
      </c>
      <c r="E6" s="158" t="s">
        <v>395</v>
      </c>
      <c r="F6" s="204">
        <v>2405</v>
      </c>
      <c r="G6" s="204">
        <v>2455</v>
      </c>
      <c r="H6" s="158">
        <v>50</v>
      </c>
      <c r="I6" s="204">
        <f>300000/F6</f>
        <v>124.74012474012474</v>
      </c>
      <c r="J6" s="241">
        <f>H6*I6</f>
        <v>6237.0062370062369</v>
      </c>
      <c r="K6" s="153"/>
      <c r="M6" s="341" t="s">
        <v>450</v>
      </c>
      <c r="N6" s="343">
        <f>COUNT(C60:C82)</f>
        <v>20</v>
      </c>
      <c r="O6" s="345">
        <f>V83</f>
        <v>17</v>
      </c>
      <c r="P6" s="345">
        <f>W83</f>
        <v>3</v>
      </c>
      <c r="Q6" s="347">
        <f>N6-O6-P6</f>
        <v>0</v>
      </c>
      <c r="R6" s="340">
        <f t="shared" ref="R6" si="0">O6/N6</f>
        <v>0.85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42948</v>
      </c>
      <c r="D7" s="161" t="s">
        <v>8</v>
      </c>
      <c r="E7" s="161" t="s">
        <v>2298</v>
      </c>
      <c r="F7" s="207">
        <v>1620</v>
      </c>
      <c r="G7" s="207">
        <v>1605</v>
      </c>
      <c r="H7" s="234">
        <v>15</v>
      </c>
      <c r="I7" s="207">
        <f t="shared" ref="I7" si="1">300000/F7</f>
        <v>185.18518518518519</v>
      </c>
      <c r="J7" s="242">
        <f t="shared" ref="J7" si="2">H7*I7</f>
        <v>2777.7777777777778</v>
      </c>
      <c r="K7" s="153"/>
      <c r="M7" s="341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42949</v>
      </c>
      <c r="D8" s="161" t="s">
        <v>9</v>
      </c>
      <c r="E8" s="161" t="s">
        <v>31</v>
      </c>
      <c r="F8" s="207">
        <v>1615</v>
      </c>
      <c r="G8" s="207">
        <v>1635</v>
      </c>
      <c r="H8" s="161">
        <v>20</v>
      </c>
      <c r="I8" s="207">
        <f t="shared" ref="I8:I45" si="6">300000/F8</f>
        <v>185.75851393188856</v>
      </c>
      <c r="J8" s="242">
        <f t="shared" ref="J8:J45" si="7">H8*I8</f>
        <v>3715.1702786377709</v>
      </c>
      <c r="K8" s="153"/>
      <c r="M8" s="341" t="s">
        <v>451</v>
      </c>
      <c r="N8" s="343">
        <f>COUNT(C91:C113)</f>
        <v>20</v>
      </c>
      <c r="O8" s="345">
        <f>V114</f>
        <v>14</v>
      </c>
      <c r="P8" s="345">
        <f>W114</f>
        <v>6</v>
      </c>
      <c r="Q8" s="347">
        <f>N8-O8-P8</f>
        <v>0</v>
      </c>
      <c r="R8" s="340">
        <f t="shared" ref="R8" si="8">O8/N8</f>
        <v>0.7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42949</v>
      </c>
      <c r="D9" s="161" t="s">
        <v>8</v>
      </c>
      <c r="E9" s="161" t="s">
        <v>2298</v>
      </c>
      <c r="F9" s="207">
        <v>1585</v>
      </c>
      <c r="G9" s="207">
        <v>1570</v>
      </c>
      <c r="H9" s="161">
        <v>15</v>
      </c>
      <c r="I9" s="207">
        <f t="shared" si="6"/>
        <v>189.2744479495268</v>
      </c>
      <c r="J9" s="242">
        <f t="shared" si="7"/>
        <v>2839.116719242902</v>
      </c>
      <c r="K9" s="153"/>
      <c r="M9" s="341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42950</v>
      </c>
      <c r="D10" s="161" t="s">
        <v>9</v>
      </c>
      <c r="E10" s="161" t="s">
        <v>31</v>
      </c>
      <c r="F10" s="207">
        <v>1630</v>
      </c>
      <c r="G10" s="207">
        <v>1660</v>
      </c>
      <c r="H10" s="161">
        <v>30</v>
      </c>
      <c r="I10" s="207">
        <f t="shared" si="6"/>
        <v>184.04907975460122</v>
      </c>
      <c r="J10" s="242">
        <f t="shared" si="7"/>
        <v>5521.4723926380366</v>
      </c>
      <c r="K10" s="153"/>
      <c r="M10" s="341" t="s">
        <v>1176</v>
      </c>
      <c r="N10" s="343">
        <f>COUNT(C122:C144)</f>
        <v>20</v>
      </c>
      <c r="O10" s="345">
        <f>V145</f>
        <v>14</v>
      </c>
      <c r="P10" s="345">
        <f>W145</f>
        <v>6</v>
      </c>
      <c r="Q10" s="347">
        <f t="shared" ref="Q10" si="9">N10-O10-P10</f>
        <v>0</v>
      </c>
      <c r="R10" s="340">
        <f t="shared" ref="R10:R16" si="10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42950</v>
      </c>
      <c r="D11" s="161" t="s">
        <v>8</v>
      </c>
      <c r="E11" s="161" t="s">
        <v>2298</v>
      </c>
      <c r="F11" s="207">
        <v>1610</v>
      </c>
      <c r="G11" s="207">
        <v>1590</v>
      </c>
      <c r="H11" s="234">
        <v>20</v>
      </c>
      <c r="I11" s="207">
        <f t="shared" si="6"/>
        <v>186.33540372670808</v>
      </c>
      <c r="J11" s="242">
        <f t="shared" si="7"/>
        <v>3726.7080745341618</v>
      </c>
      <c r="K11" s="153"/>
      <c r="M11" s="341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42951</v>
      </c>
      <c r="D12" s="161" t="s">
        <v>9</v>
      </c>
      <c r="E12" s="161" t="s">
        <v>139</v>
      </c>
      <c r="F12" s="207">
        <v>1790</v>
      </c>
      <c r="G12" s="207">
        <v>1775</v>
      </c>
      <c r="H12" s="161">
        <v>-15</v>
      </c>
      <c r="I12" s="207">
        <f t="shared" si="6"/>
        <v>167.5977653631285</v>
      </c>
      <c r="J12" s="242">
        <f t="shared" si="7"/>
        <v>-2513.9664804469276</v>
      </c>
      <c r="K12" s="153"/>
      <c r="M12" s="341" t="s">
        <v>41</v>
      </c>
      <c r="N12" s="343">
        <f>COUNT(C153:C175)</f>
        <v>20</v>
      </c>
      <c r="O12" s="345">
        <f>V176</f>
        <v>18</v>
      </c>
      <c r="P12" s="345">
        <f>W176</f>
        <v>2</v>
      </c>
      <c r="Q12" s="347">
        <v>0</v>
      </c>
      <c r="R12" s="340">
        <f t="shared" si="10"/>
        <v>0.9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42951</v>
      </c>
      <c r="D13" s="161" t="s">
        <v>8</v>
      </c>
      <c r="E13" s="161" t="s">
        <v>2298</v>
      </c>
      <c r="F13" s="207">
        <v>1600</v>
      </c>
      <c r="G13" s="207">
        <v>1580</v>
      </c>
      <c r="H13" s="234">
        <v>20</v>
      </c>
      <c r="I13" s="207">
        <f t="shared" si="6"/>
        <v>187.5</v>
      </c>
      <c r="J13" s="242">
        <f t="shared" si="7"/>
        <v>3750</v>
      </c>
      <c r="K13" s="153"/>
      <c r="L13" s="229"/>
      <c r="M13" s="341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42955</v>
      </c>
      <c r="D14" s="161" t="s">
        <v>9</v>
      </c>
      <c r="E14" s="161" t="s">
        <v>31</v>
      </c>
      <c r="F14" s="207">
        <v>1605</v>
      </c>
      <c r="G14" s="207">
        <v>1605</v>
      </c>
      <c r="H14" s="161">
        <v>0</v>
      </c>
      <c r="I14" s="207">
        <f t="shared" si="6"/>
        <v>186.9158878504673</v>
      </c>
      <c r="J14" s="242">
        <f t="shared" si="7"/>
        <v>0</v>
      </c>
      <c r="K14" s="153"/>
      <c r="M14" s="341" t="s">
        <v>1175</v>
      </c>
      <c r="N14" s="343">
        <f>COUNT(C184:C206)</f>
        <v>20</v>
      </c>
      <c r="O14" s="345">
        <f>V207</f>
        <v>14</v>
      </c>
      <c r="P14" s="345">
        <f>W207</f>
        <v>5</v>
      </c>
      <c r="Q14" s="347">
        <v>0</v>
      </c>
      <c r="R14" s="340">
        <f t="shared" si="10"/>
        <v>0.7</v>
      </c>
      <c r="V14" s="25">
        <f t="shared" si="3"/>
        <v>0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42955</v>
      </c>
      <c r="D15" s="161" t="s">
        <v>8</v>
      </c>
      <c r="E15" s="161" t="s">
        <v>2298</v>
      </c>
      <c r="F15" s="207">
        <v>1630</v>
      </c>
      <c r="G15" s="207">
        <v>1609</v>
      </c>
      <c r="H15" s="161">
        <v>21</v>
      </c>
      <c r="I15" s="207">
        <f t="shared" si="6"/>
        <v>184.04907975460122</v>
      </c>
      <c r="J15" s="242">
        <f t="shared" si="7"/>
        <v>3865.0306748466255</v>
      </c>
      <c r="K15" s="153"/>
      <c r="M15" s="341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42956</v>
      </c>
      <c r="D16" s="161" t="s">
        <v>9</v>
      </c>
      <c r="E16" s="161" t="s">
        <v>139</v>
      </c>
      <c r="F16" s="207">
        <v>1755</v>
      </c>
      <c r="G16" s="207">
        <v>1770</v>
      </c>
      <c r="H16" s="161">
        <v>15</v>
      </c>
      <c r="I16" s="207">
        <f t="shared" si="6"/>
        <v>170.94017094017093</v>
      </c>
      <c r="J16" s="242">
        <f t="shared" si="7"/>
        <v>2564.102564102564</v>
      </c>
      <c r="K16" s="153"/>
      <c r="L16" s="25" t="s">
        <v>2008</v>
      </c>
      <c r="M16" s="341" t="s">
        <v>1090</v>
      </c>
      <c r="N16" s="343">
        <f>COUNT(C215:C237)</f>
        <v>20</v>
      </c>
      <c r="O16" s="345">
        <f>V238</f>
        <v>15</v>
      </c>
      <c r="P16" s="345">
        <f>W238</f>
        <v>5</v>
      </c>
      <c r="Q16" s="347">
        <f t="shared" ref="Q16" si="11">N16-O16-P16</f>
        <v>0</v>
      </c>
      <c r="R16" s="340">
        <f t="shared" si="10"/>
        <v>0.75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42956</v>
      </c>
      <c r="D17" s="161" t="s">
        <v>8</v>
      </c>
      <c r="E17" s="161" t="s">
        <v>395</v>
      </c>
      <c r="F17" s="207">
        <v>2070</v>
      </c>
      <c r="G17" s="207">
        <v>2035</v>
      </c>
      <c r="H17" s="161">
        <v>35</v>
      </c>
      <c r="I17" s="207">
        <f t="shared" si="6"/>
        <v>144.92753623188406</v>
      </c>
      <c r="J17" s="242">
        <f t="shared" si="7"/>
        <v>5072.463768115942</v>
      </c>
      <c r="K17" s="153"/>
      <c r="M17" s="342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42957</v>
      </c>
      <c r="D18" s="161" t="s">
        <v>9</v>
      </c>
      <c r="E18" s="161" t="s">
        <v>58</v>
      </c>
      <c r="F18" s="207">
        <v>488</v>
      </c>
      <c r="G18" s="207">
        <v>492</v>
      </c>
      <c r="H18" s="161">
        <v>4</v>
      </c>
      <c r="I18" s="207">
        <f t="shared" si="6"/>
        <v>614.75409836065569</v>
      </c>
      <c r="J18" s="242">
        <f t="shared" si="7"/>
        <v>2459.0163934426228</v>
      </c>
      <c r="K18" s="153"/>
      <c r="M18" s="334" t="s">
        <v>946</v>
      </c>
      <c r="N18" s="336">
        <f>SUM(N4:N17)</f>
        <v>160</v>
      </c>
      <c r="O18" s="336">
        <f t="shared" ref="O18:Q18" si="12">SUM(O4:O17)</f>
        <v>125</v>
      </c>
      <c r="P18" s="336">
        <f t="shared" si="12"/>
        <v>31</v>
      </c>
      <c r="Q18" s="338">
        <f t="shared" si="12"/>
        <v>3</v>
      </c>
      <c r="R18" s="314">
        <f t="shared" ref="R18" si="13">O18/N18</f>
        <v>0.78125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42957</v>
      </c>
      <c r="D19" s="161" t="s">
        <v>8</v>
      </c>
      <c r="E19" s="161" t="s">
        <v>2298</v>
      </c>
      <c r="F19" s="207">
        <v>1585</v>
      </c>
      <c r="G19" s="207">
        <v>1555</v>
      </c>
      <c r="H19" s="161">
        <v>30</v>
      </c>
      <c r="I19" s="207">
        <f t="shared" si="6"/>
        <v>189.2744479495268</v>
      </c>
      <c r="J19" s="242">
        <f t="shared" si="7"/>
        <v>5678.2334384858041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42958</v>
      </c>
      <c r="D20" s="161" t="s">
        <v>9</v>
      </c>
      <c r="E20" s="161" t="s">
        <v>58</v>
      </c>
      <c r="F20" s="207">
        <v>484</v>
      </c>
      <c r="G20" s="207">
        <v>492</v>
      </c>
      <c r="H20" s="161">
        <v>8</v>
      </c>
      <c r="I20" s="207">
        <f t="shared" si="6"/>
        <v>619.83471074380168</v>
      </c>
      <c r="J20" s="242">
        <f t="shared" si="7"/>
        <v>4958.6776859504134</v>
      </c>
      <c r="K20" s="153"/>
      <c r="M20" s="316" t="s">
        <v>2253</v>
      </c>
      <c r="N20" s="317"/>
      <c r="O20" s="318"/>
      <c r="P20" s="325">
        <f>R18</f>
        <v>0.78125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42958</v>
      </c>
      <c r="D21" s="161" t="s">
        <v>8</v>
      </c>
      <c r="E21" s="161" t="s">
        <v>31</v>
      </c>
      <c r="F21" s="207">
        <v>1565</v>
      </c>
      <c r="G21" s="207">
        <v>1535</v>
      </c>
      <c r="H21" s="161">
        <v>30</v>
      </c>
      <c r="I21" s="207">
        <f t="shared" si="6"/>
        <v>191.69329073482427</v>
      </c>
      <c r="J21" s="242">
        <f t="shared" si="7"/>
        <v>5750.7987220447285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42961</v>
      </c>
      <c r="D22" s="161" t="s">
        <v>9</v>
      </c>
      <c r="E22" s="161" t="s">
        <v>139</v>
      </c>
      <c r="F22" s="207">
        <v>1765</v>
      </c>
      <c r="G22" s="207">
        <v>1786</v>
      </c>
      <c r="H22" s="161">
        <v>21</v>
      </c>
      <c r="I22" s="207">
        <f t="shared" si="6"/>
        <v>169.97167138810198</v>
      </c>
      <c r="J22" s="242">
        <f t="shared" si="7"/>
        <v>3569.4050991501417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42961</v>
      </c>
      <c r="D23" s="161" t="s">
        <v>8</v>
      </c>
      <c r="E23" s="161" t="s">
        <v>395</v>
      </c>
      <c r="F23" s="207">
        <v>2005</v>
      </c>
      <c r="G23" s="207">
        <v>1985</v>
      </c>
      <c r="H23" s="161">
        <v>20</v>
      </c>
      <c r="I23" s="207">
        <f t="shared" si="6"/>
        <v>149.62593516209478</v>
      </c>
      <c r="J23" s="242">
        <f t="shared" si="7"/>
        <v>2992.5187032418953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42963</v>
      </c>
      <c r="D24" s="161" t="s">
        <v>9</v>
      </c>
      <c r="E24" s="161" t="s">
        <v>2023</v>
      </c>
      <c r="F24" s="207">
        <v>1700</v>
      </c>
      <c r="G24" s="207">
        <v>1724</v>
      </c>
      <c r="H24" s="161">
        <v>24</v>
      </c>
      <c r="I24" s="207">
        <f t="shared" si="6"/>
        <v>176.47058823529412</v>
      </c>
      <c r="J24" s="242">
        <f t="shared" si="7"/>
        <v>4235.2941176470586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42963</v>
      </c>
      <c r="D25" s="161" t="s">
        <v>8</v>
      </c>
      <c r="E25" s="161" t="s">
        <v>2298</v>
      </c>
      <c r="F25" s="207">
        <v>1515</v>
      </c>
      <c r="G25" s="207">
        <v>1530</v>
      </c>
      <c r="H25" s="161">
        <v>-15</v>
      </c>
      <c r="I25" s="207">
        <f t="shared" si="6"/>
        <v>198.01980198019803</v>
      </c>
      <c r="J25" s="242">
        <f t="shared" si="7"/>
        <v>-2970.2970297029706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42964</v>
      </c>
      <c r="D26" s="161" t="s">
        <v>9</v>
      </c>
      <c r="E26" s="161" t="s">
        <v>78</v>
      </c>
      <c r="F26" s="207">
        <v>1150</v>
      </c>
      <c r="G26" s="222">
        <v>1156.5</v>
      </c>
      <c r="H26" s="161">
        <v>6.5</v>
      </c>
      <c r="I26" s="207">
        <f t="shared" si="6"/>
        <v>260.86956521739131</v>
      </c>
      <c r="J26" s="242">
        <f t="shared" si="7"/>
        <v>1695.6521739130435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42964</v>
      </c>
      <c r="D27" s="161" t="s">
        <v>8</v>
      </c>
      <c r="E27" s="161" t="s">
        <v>139</v>
      </c>
      <c r="F27" s="207">
        <v>1757</v>
      </c>
      <c r="G27" s="207">
        <v>1730</v>
      </c>
      <c r="H27" s="161">
        <v>27</v>
      </c>
      <c r="I27" s="207">
        <f t="shared" si="6"/>
        <v>170.74558907228229</v>
      </c>
      <c r="J27" s="242">
        <f t="shared" si="7"/>
        <v>4610.1309049516221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42965</v>
      </c>
      <c r="D28" s="161" t="s">
        <v>9</v>
      </c>
      <c r="E28" s="161" t="s">
        <v>78</v>
      </c>
      <c r="F28" s="207">
        <v>1130</v>
      </c>
      <c r="G28" s="222">
        <v>1135</v>
      </c>
      <c r="H28" s="161">
        <v>5</v>
      </c>
      <c r="I28" s="207">
        <f t="shared" si="6"/>
        <v>265.48672566371681</v>
      </c>
      <c r="J28" s="242">
        <f t="shared" si="7"/>
        <v>1327.4336283185839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42965</v>
      </c>
      <c r="D29" s="161" t="s">
        <v>8</v>
      </c>
      <c r="E29" s="161" t="s">
        <v>139</v>
      </c>
      <c r="F29" s="207">
        <v>1725</v>
      </c>
      <c r="G29" s="207">
        <v>1710</v>
      </c>
      <c r="H29" s="161">
        <v>15</v>
      </c>
      <c r="I29" s="207">
        <f t="shared" si="6"/>
        <v>173.91304347826087</v>
      </c>
      <c r="J29" s="242">
        <f t="shared" si="7"/>
        <v>2608.695652173913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42968</v>
      </c>
      <c r="D30" s="161" t="s">
        <v>9</v>
      </c>
      <c r="E30" s="161" t="s">
        <v>58</v>
      </c>
      <c r="F30" s="207">
        <v>496</v>
      </c>
      <c r="G30" s="207">
        <v>502</v>
      </c>
      <c r="H30" s="161">
        <v>6</v>
      </c>
      <c r="I30" s="207">
        <f t="shared" si="6"/>
        <v>604.83870967741939</v>
      </c>
      <c r="J30" s="242">
        <f t="shared" si="7"/>
        <v>3629.0322580645161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42968</v>
      </c>
      <c r="D31" s="161" t="s">
        <v>8</v>
      </c>
      <c r="E31" s="161" t="s">
        <v>139</v>
      </c>
      <c r="F31" s="207">
        <v>1738</v>
      </c>
      <c r="G31" s="207">
        <v>1715</v>
      </c>
      <c r="H31" s="161">
        <v>23</v>
      </c>
      <c r="I31" s="207">
        <f t="shared" si="6"/>
        <v>172.61219792865361</v>
      </c>
      <c r="J31" s="242">
        <f t="shared" si="7"/>
        <v>3970.0805523590329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42969</v>
      </c>
      <c r="D32" s="161" t="s">
        <v>9</v>
      </c>
      <c r="E32" s="161" t="s">
        <v>58</v>
      </c>
      <c r="F32" s="207">
        <v>500</v>
      </c>
      <c r="G32" s="222">
        <v>502.2</v>
      </c>
      <c r="H32" s="161">
        <v>2.2000000000000002</v>
      </c>
      <c r="I32" s="207">
        <f t="shared" si="6"/>
        <v>600</v>
      </c>
      <c r="J32" s="242">
        <f t="shared" si="7"/>
        <v>1320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42969</v>
      </c>
      <c r="D33" s="161" t="s">
        <v>8</v>
      </c>
      <c r="E33" s="161" t="s">
        <v>139</v>
      </c>
      <c r="F33" s="207">
        <v>1700</v>
      </c>
      <c r="G33" s="222">
        <v>1692</v>
      </c>
      <c r="H33" s="161">
        <v>8</v>
      </c>
      <c r="I33" s="207">
        <f t="shared" si="6"/>
        <v>176.47058823529412</v>
      </c>
      <c r="J33" s="242">
        <f t="shared" si="7"/>
        <v>1411.7647058823529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42970</v>
      </c>
      <c r="D34" s="161" t="s">
        <v>9</v>
      </c>
      <c r="E34" s="161" t="s">
        <v>133</v>
      </c>
      <c r="F34" s="207">
        <v>954</v>
      </c>
      <c r="G34" s="207">
        <v>954</v>
      </c>
      <c r="H34" s="161">
        <v>0</v>
      </c>
      <c r="I34" s="207">
        <f t="shared" si="6"/>
        <v>314.46540880503147</v>
      </c>
      <c r="J34" s="242">
        <f t="shared" si="7"/>
        <v>0</v>
      </c>
      <c r="K34" s="153"/>
      <c r="V34" s="25">
        <f t="shared" si="3"/>
        <v>0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42970</v>
      </c>
      <c r="D35" s="161" t="s">
        <v>8</v>
      </c>
      <c r="E35" s="161" t="s">
        <v>139</v>
      </c>
      <c r="F35" s="207">
        <v>1720</v>
      </c>
      <c r="G35" s="207">
        <v>1698</v>
      </c>
      <c r="H35" s="161">
        <v>22</v>
      </c>
      <c r="I35" s="207">
        <f t="shared" si="6"/>
        <v>174.41860465116278</v>
      </c>
      <c r="J35" s="242">
        <f t="shared" si="7"/>
        <v>3837.2093023255811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42971</v>
      </c>
      <c r="D36" s="161" t="s">
        <v>9</v>
      </c>
      <c r="E36" s="161" t="s">
        <v>58</v>
      </c>
      <c r="F36" s="207">
        <v>505</v>
      </c>
      <c r="G36" s="207">
        <v>510</v>
      </c>
      <c r="H36" s="161">
        <v>5</v>
      </c>
      <c r="I36" s="207">
        <f t="shared" si="6"/>
        <v>594.05940594059405</v>
      </c>
      <c r="J36" s="242">
        <f t="shared" si="7"/>
        <v>2970.2970297029701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42971</v>
      </c>
      <c r="D37" s="161" t="s">
        <v>8</v>
      </c>
      <c r="E37" s="161" t="s">
        <v>139</v>
      </c>
      <c r="F37" s="207">
        <v>1720</v>
      </c>
      <c r="G37" s="207">
        <v>1735</v>
      </c>
      <c r="H37" s="161">
        <v>-15</v>
      </c>
      <c r="I37" s="207">
        <f t="shared" si="6"/>
        <v>174.41860465116278</v>
      </c>
      <c r="J37" s="242">
        <f t="shared" si="7"/>
        <v>-2616.2790697674418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42975</v>
      </c>
      <c r="D38" s="161" t="s">
        <v>9</v>
      </c>
      <c r="E38" s="161" t="s">
        <v>78</v>
      </c>
      <c r="F38" s="207">
        <v>1140</v>
      </c>
      <c r="G38" s="207">
        <v>1145</v>
      </c>
      <c r="H38" s="161">
        <v>15</v>
      </c>
      <c r="I38" s="207">
        <f t="shared" si="6"/>
        <v>263.15789473684208</v>
      </c>
      <c r="J38" s="242">
        <f t="shared" si="7"/>
        <v>3947.3684210526312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42975</v>
      </c>
      <c r="D39" s="161" t="s">
        <v>8</v>
      </c>
      <c r="E39" s="161" t="s">
        <v>395</v>
      </c>
      <c r="F39" s="207">
        <v>2060</v>
      </c>
      <c r="G39" s="207">
        <v>2030</v>
      </c>
      <c r="H39" s="161">
        <v>30</v>
      </c>
      <c r="I39" s="207">
        <f t="shared" si="6"/>
        <v>145.63106796116506</v>
      </c>
      <c r="J39" s="242">
        <f t="shared" si="7"/>
        <v>4368.9320388349515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42976</v>
      </c>
      <c r="D40" s="161" t="s">
        <v>9</v>
      </c>
      <c r="E40" s="161" t="s">
        <v>192</v>
      </c>
      <c r="F40" s="207">
        <v>340</v>
      </c>
      <c r="G40" s="222">
        <v>342.5</v>
      </c>
      <c r="H40" s="161">
        <v>2.5</v>
      </c>
      <c r="I40" s="207">
        <f t="shared" si="6"/>
        <v>882.35294117647061</v>
      </c>
      <c r="J40" s="242">
        <f t="shared" si="7"/>
        <v>2205.8823529411766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42976</v>
      </c>
      <c r="D41" s="161" t="s">
        <v>8</v>
      </c>
      <c r="E41" s="161" t="s">
        <v>78</v>
      </c>
      <c r="F41" s="207">
        <v>1132</v>
      </c>
      <c r="G41" s="207">
        <v>1125</v>
      </c>
      <c r="H41" s="161">
        <v>7</v>
      </c>
      <c r="I41" s="207">
        <f t="shared" si="6"/>
        <v>265.01766784452298</v>
      </c>
      <c r="J41" s="242">
        <f t="shared" si="7"/>
        <v>1855.1236749116608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42977</v>
      </c>
      <c r="D42" s="161" t="s">
        <v>9</v>
      </c>
      <c r="E42" s="161" t="s">
        <v>78</v>
      </c>
      <c r="F42" s="207">
        <v>1140</v>
      </c>
      <c r="G42" s="207">
        <v>1140</v>
      </c>
      <c r="H42" s="161">
        <v>0</v>
      </c>
      <c r="I42" s="207">
        <f t="shared" si="6"/>
        <v>263.15789473684208</v>
      </c>
      <c r="J42" s="242">
        <f t="shared" si="7"/>
        <v>0</v>
      </c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42977</v>
      </c>
      <c r="D43" s="161" t="s">
        <v>8</v>
      </c>
      <c r="E43" s="161" t="s">
        <v>31</v>
      </c>
      <c r="F43" s="207">
        <v>1548</v>
      </c>
      <c r="G43" s="207">
        <v>1563</v>
      </c>
      <c r="H43" s="161">
        <v>-15</v>
      </c>
      <c r="I43" s="207">
        <f t="shared" si="6"/>
        <v>193.79844961240309</v>
      </c>
      <c r="J43" s="242">
        <f t="shared" si="7"/>
        <v>-2906.9767441860463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42978</v>
      </c>
      <c r="D44" s="161" t="s">
        <v>9</v>
      </c>
      <c r="E44" s="161" t="s">
        <v>139</v>
      </c>
      <c r="F44" s="207">
        <v>1760</v>
      </c>
      <c r="G44" s="207">
        <v>1774</v>
      </c>
      <c r="H44" s="161">
        <v>14</v>
      </c>
      <c r="I44" s="207">
        <f t="shared" si="6"/>
        <v>170.45454545454547</v>
      </c>
      <c r="J44" s="242">
        <f t="shared" si="7"/>
        <v>2386.3636363636365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42978</v>
      </c>
      <c r="D45" s="161" t="s">
        <v>8</v>
      </c>
      <c r="E45" s="161" t="s">
        <v>78</v>
      </c>
      <c r="F45" s="207">
        <v>1140</v>
      </c>
      <c r="G45" s="207">
        <v>1133</v>
      </c>
      <c r="H45" s="161">
        <v>7</v>
      </c>
      <c r="I45" s="207">
        <f t="shared" si="6"/>
        <v>263.15789473684208</v>
      </c>
      <c r="J45" s="242">
        <f t="shared" si="7"/>
        <v>1842.1052631578946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102691.34491771489</v>
      </c>
      <c r="K52" s="153"/>
      <c r="V52" s="25">
        <f>SUM(V6:V51)</f>
        <v>33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2313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42948</v>
      </c>
      <c r="D60" s="158" t="s">
        <v>8</v>
      </c>
      <c r="E60" s="158" t="s">
        <v>31</v>
      </c>
      <c r="F60" s="204">
        <v>1618</v>
      </c>
      <c r="G60" s="204">
        <v>1606</v>
      </c>
      <c r="H60" s="158">
        <v>12</v>
      </c>
      <c r="I60" s="204">
        <v>500</v>
      </c>
      <c r="J60" s="241">
        <f t="shared" ref="J60:J82" si="14">I60*H60</f>
        <v>6000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42949</v>
      </c>
      <c r="D61" s="161" t="s">
        <v>8</v>
      </c>
      <c r="E61" s="161" t="s">
        <v>2023</v>
      </c>
      <c r="F61" s="207">
        <v>1720</v>
      </c>
      <c r="G61" s="207">
        <v>1705</v>
      </c>
      <c r="H61" s="161">
        <v>15</v>
      </c>
      <c r="I61" s="207">
        <v>500</v>
      </c>
      <c r="J61" s="242">
        <f t="shared" si="14"/>
        <v>7500</v>
      </c>
      <c r="K61" s="153"/>
      <c r="V61" s="25">
        <f t="shared" ref="V61:V82" si="15">IF($J61&gt;0,1,0)</f>
        <v>1</v>
      </c>
      <c r="W61" s="25">
        <f t="shared" ref="W61:W82" si="16">IF($J61&lt;0,1,0)</f>
        <v>0</v>
      </c>
    </row>
    <row r="62" spans="1:23" x14ac:dyDescent="0.3">
      <c r="A62" s="147"/>
      <c r="B62" s="205">
        <f t="shared" ref="B62:B82" si="17">B61+1</f>
        <v>3</v>
      </c>
      <c r="C62" s="206">
        <v>42950</v>
      </c>
      <c r="D62" s="161" t="s">
        <v>8</v>
      </c>
      <c r="E62" s="161" t="s">
        <v>2023</v>
      </c>
      <c r="F62" s="207">
        <v>1710</v>
      </c>
      <c r="G62" s="207">
        <v>1725</v>
      </c>
      <c r="H62" s="161">
        <v>-15</v>
      </c>
      <c r="I62" s="207">
        <v>500</v>
      </c>
      <c r="J62" s="242">
        <f t="shared" si="14"/>
        <v>-7500</v>
      </c>
      <c r="K62" s="153"/>
      <c r="V62" s="25">
        <f t="shared" si="15"/>
        <v>0</v>
      </c>
      <c r="W62" s="25">
        <f t="shared" si="16"/>
        <v>1</v>
      </c>
    </row>
    <row r="63" spans="1:23" x14ac:dyDescent="0.3">
      <c r="A63" s="147"/>
      <c r="B63" s="205">
        <f t="shared" si="17"/>
        <v>4</v>
      </c>
      <c r="C63" s="206">
        <v>42951</v>
      </c>
      <c r="D63" s="161" t="s">
        <v>8</v>
      </c>
      <c r="E63" s="161" t="s">
        <v>31</v>
      </c>
      <c r="F63" s="207">
        <v>1645</v>
      </c>
      <c r="G63" s="207">
        <v>1623</v>
      </c>
      <c r="H63" s="161">
        <v>22</v>
      </c>
      <c r="I63" s="207">
        <v>500</v>
      </c>
      <c r="J63" s="242">
        <f t="shared" si="14"/>
        <v>11000</v>
      </c>
      <c r="K63" s="153"/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42955</v>
      </c>
      <c r="D64" s="161" t="s">
        <v>8</v>
      </c>
      <c r="E64" s="161" t="s">
        <v>192</v>
      </c>
      <c r="F64" s="207">
        <v>350</v>
      </c>
      <c r="G64" s="222">
        <v>345.5</v>
      </c>
      <c r="H64" s="161">
        <v>4.5</v>
      </c>
      <c r="I64" s="207">
        <v>3084</v>
      </c>
      <c r="J64" s="242">
        <f t="shared" si="14"/>
        <v>13878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42956</v>
      </c>
      <c r="D65" s="161" t="s">
        <v>8</v>
      </c>
      <c r="E65" s="161" t="s">
        <v>192</v>
      </c>
      <c r="F65" s="207">
        <v>349</v>
      </c>
      <c r="G65" s="222">
        <v>343.5</v>
      </c>
      <c r="H65" s="161">
        <v>5.5</v>
      </c>
      <c r="I65" s="207">
        <v>3084</v>
      </c>
      <c r="J65" s="242">
        <f t="shared" si="14"/>
        <v>16962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42957</v>
      </c>
      <c r="D66" s="161" t="s">
        <v>8</v>
      </c>
      <c r="E66" s="161" t="s">
        <v>192</v>
      </c>
      <c r="F66" s="207">
        <v>339</v>
      </c>
      <c r="G66" s="207">
        <v>333</v>
      </c>
      <c r="H66" s="161">
        <v>6</v>
      </c>
      <c r="I66" s="207">
        <v>3084</v>
      </c>
      <c r="J66" s="242">
        <f t="shared" si="14"/>
        <v>18504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42958</v>
      </c>
      <c r="D67" s="161" t="s">
        <v>8</v>
      </c>
      <c r="E67" s="161" t="s">
        <v>192</v>
      </c>
      <c r="F67" s="207">
        <v>331</v>
      </c>
      <c r="G67" s="222">
        <v>329.8</v>
      </c>
      <c r="H67" s="161">
        <v>1.2</v>
      </c>
      <c r="I67" s="207">
        <v>3084</v>
      </c>
      <c r="J67" s="242">
        <f t="shared" si="14"/>
        <v>3700.7999999999997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42961</v>
      </c>
      <c r="D68" s="161" t="s">
        <v>8</v>
      </c>
      <c r="E68" s="161" t="s">
        <v>31</v>
      </c>
      <c r="F68" s="207">
        <v>1574</v>
      </c>
      <c r="G68" s="207">
        <v>1580</v>
      </c>
      <c r="H68" s="161">
        <v>-4</v>
      </c>
      <c r="I68" s="207">
        <v>500</v>
      </c>
      <c r="J68" s="242">
        <f t="shared" si="14"/>
        <v>-2000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42963</v>
      </c>
      <c r="D69" s="161" t="s">
        <v>8</v>
      </c>
      <c r="E69" s="161" t="s">
        <v>31</v>
      </c>
      <c r="F69" s="207">
        <v>1560</v>
      </c>
      <c r="G69" s="207">
        <v>1553</v>
      </c>
      <c r="H69" s="161">
        <v>7</v>
      </c>
      <c r="I69" s="207">
        <v>500</v>
      </c>
      <c r="J69" s="242">
        <f t="shared" si="14"/>
        <v>3500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42964</v>
      </c>
      <c r="D70" s="161" t="s">
        <v>8</v>
      </c>
      <c r="E70" s="161" t="s">
        <v>192</v>
      </c>
      <c r="F70" s="207">
        <v>337</v>
      </c>
      <c r="G70" s="222">
        <v>335.5</v>
      </c>
      <c r="H70" s="161">
        <v>1.5</v>
      </c>
      <c r="I70" s="207">
        <v>3084</v>
      </c>
      <c r="J70" s="242">
        <f t="shared" si="14"/>
        <v>4626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42965</v>
      </c>
      <c r="D71" s="161" t="s">
        <v>8</v>
      </c>
      <c r="E71" s="161" t="s">
        <v>395</v>
      </c>
      <c r="F71" s="207">
        <v>1992</v>
      </c>
      <c r="G71" s="222">
        <v>1981</v>
      </c>
      <c r="H71" s="161">
        <v>11</v>
      </c>
      <c r="I71" s="207">
        <v>200</v>
      </c>
      <c r="J71" s="242">
        <f t="shared" si="14"/>
        <v>2200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42968</v>
      </c>
      <c r="D72" s="161" t="s">
        <v>8</v>
      </c>
      <c r="E72" s="161" t="s">
        <v>395</v>
      </c>
      <c r="F72" s="207">
        <v>1988</v>
      </c>
      <c r="G72" s="222">
        <v>1948</v>
      </c>
      <c r="H72" s="161">
        <v>40</v>
      </c>
      <c r="I72" s="207">
        <v>200</v>
      </c>
      <c r="J72" s="242">
        <f t="shared" si="14"/>
        <v>8000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42969</v>
      </c>
      <c r="D73" s="161" t="s">
        <v>8</v>
      </c>
      <c r="E73" s="161" t="s">
        <v>31</v>
      </c>
      <c r="F73" s="223">
        <v>1577</v>
      </c>
      <c r="G73" s="207">
        <v>1567</v>
      </c>
      <c r="H73" s="238">
        <v>-10</v>
      </c>
      <c r="I73" s="207">
        <v>500</v>
      </c>
      <c r="J73" s="242">
        <f t="shared" si="14"/>
        <v>-5000</v>
      </c>
      <c r="K73" s="153"/>
      <c r="V73" s="25">
        <f t="shared" si="15"/>
        <v>0</v>
      </c>
      <c r="W73" s="25">
        <f t="shared" si="16"/>
        <v>1</v>
      </c>
    </row>
    <row r="74" spans="1:23" x14ac:dyDescent="0.3">
      <c r="A74" s="147"/>
      <c r="B74" s="205">
        <f t="shared" si="17"/>
        <v>15</v>
      </c>
      <c r="C74" s="206">
        <v>42970</v>
      </c>
      <c r="D74" s="161" t="s">
        <v>8</v>
      </c>
      <c r="E74" s="161" t="s">
        <v>192</v>
      </c>
      <c r="F74" s="207">
        <v>334</v>
      </c>
      <c r="G74" s="222">
        <v>332.5</v>
      </c>
      <c r="H74" s="161">
        <v>1.5</v>
      </c>
      <c r="I74" s="207">
        <v>3084</v>
      </c>
      <c r="J74" s="242">
        <f t="shared" si="14"/>
        <v>4626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42971</v>
      </c>
      <c r="D75" s="161" t="s">
        <v>8</v>
      </c>
      <c r="E75" s="161" t="s">
        <v>31</v>
      </c>
      <c r="F75" s="207">
        <v>1580</v>
      </c>
      <c r="G75" s="222">
        <v>1572</v>
      </c>
      <c r="H75" s="161">
        <v>8</v>
      </c>
      <c r="I75" s="207">
        <v>500</v>
      </c>
      <c r="J75" s="242">
        <f t="shared" si="14"/>
        <v>4000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42975</v>
      </c>
      <c r="D76" s="161" t="s">
        <v>8</v>
      </c>
      <c r="E76" s="161" t="s">
        <v>192</v>
      </c>
      <c r="F76" s="207">
        <v>342</v>
      </c>
      <c r="G76" s="207">
        <v>339</v>
      </c>
      <c r="H76" s="161">
        <v>3</v>
      </c>
      <c r="I76" s="207">
        <v>3084</v>
      </c>
      <c r="J76" s="242">
        <f t="shared" si="14"/>
        <v>9252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42976</v>
      </c>
      <c r="D77" s="161" t="s">
        <v>8</v>
      </c>
      <c r="E77" s="161" t="s">
        <v>31</v>
      </c>
      <c r="F77" s="207">
        <v>1560</v>
      </c>
      <c r="G77" s="207">
        <v>1540</v>
      </c>
      <c r="H77" s="161">
        <v>20</v>
      </c>
      <c r="I77" s="207">
        <v>500</v>
      </c>
      <c r="J77" s="242">
        <f t="shared" si="14"/>
        <v>10000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42977</v>
      </c>
      <c r="D78" s="161" t="s">
        <v>8</v>
      </c>
      <c r="E78" s="161" t="s">
        <v>192</v>
      </c>
      <c r="F78" s="207">
        <v>340</v>
      </c>
      <c r="G78" s="222">
        <v>338.8</v>
      </c>
      <c r="H78" s="161">
        <v>1.2</v>
      </c>
      <c r="I78" s="207">
        <v>3084</v>
      </c>
      <c r="J78" s="242">
        <f t="shared" si="14"/>
        <v>3700.7999999999997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42978</v>
      </c>
      <c r="D79" s="161" t="s">
        <v>8</v>
      </c>
      <c r="E79" s="161" t="s">
        <v>19</v>
      </c>
      <c r="F79" s="207">
        <v>276</v>
      </c>
      <c r="G79" s="207">
        <v>274</v>
      </c>
      <c r="H79" s="161">
        <v>2</v>
      </c>
      <c r="I79" s="207">
        <v>3000</v>
      </c>
      <c r="J79" s="242">
        <f t="shared" si="14"/>
        <v>6000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/>
      <c r="D80" s="161"/>
      <c r="E80" s="161"/>
      <c r="F80" s="207"/>
      <c r="G80" s="207"/>
      <c r="H80" s="161"/>
      <c r="I80" s="207"/>
      <c r="J80" s="242">
        <f t="shared" si="14"/>
        <v>0</v>
      </c>
      <c r="K80" s="153"/>
      <c r="V80" s="25">
        <f t="shared" si="15"/>
        <v>0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07"/>
      <c r="G81" s="207"/>
      <c r="H81" s="161"/>
      <c r="I81" s="207"/>
      <c r="J81" s="242">
        <f t="shared" si="14"/>
        <v>0</v>
      </c>
      <c r="K81" s="153"/>
      <c r="V81" s="25">
        <f t="shared" si="15"/>
        <v>0</v>
      </c>
      <c r="W81" s="25">
        <f t="shared" si="16"/>
        <v>0</v>
      </c>
    </row>
    <row r="82" spans="1:23" ht="15" thickBot="1" x14ac:dyDescent="0.35">
      <c r="A82" s="147"/>
      <c r="B82" s="208">
        <f t="shared" si="17"/>
        <v>23</v>
      </c>
      <c r="C82" s="209"/>
      <c r="D82" s="166"/>
      <c r="E82" s="166"/>
      <c r="F82" s="210"/>
      <c r="G82" s="210"/>
      <c r="H82" s="166"/>
      <c r="I82" s="210"/>
      <c r="J82" s="244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118949.6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2313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42948</v>
      </c>
      <c r="D91" s="185" t="s">
        <v>9</v>
      </c>
      <c r="E91" s="185" t="s">
        <v>39</v>
      </c>
      <c r="F91" s="219">
        <v>10120</v>
      </c>
      <c r="G91" s="219">
        <v>10145</v>
      </c>
      <c r="H91" s="185">
        <v>25</v>
      </c>
      <c r="I91" s="219">
        <v>150</v>
      </c>
      <c r="J91" s="246">
        <f t="shared" ref="J91:J113" si="18">I91*H91</f>
        <v>3750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42949</v>
      </c>
      <c r="D92" s="161" t="s">
        <v>8</v>
      </c>
      <c r="E92" s="161" t="s">
        <v>39</v>
      </c>
      <c r="F92" s="207">
        <v>10130</v>
      </c>
      <c r="G92" s="207">
        <v>10090</v>
      </c>
      <c r="H92" s="161">
        <v>40</v>
      </c>
      <c r="I92" s="207">
        <v>150</v>
      </c>
      <c r="J92" s="242">
        <f t="shared" si="18"/>
        <v>6000</v>
      </c>
      <c r="K92" s="153"/>
      <c r="V92" s="25">
        <f t="shared" ref="V92:V113" si="19">IF($J92&gt;0,1,0)</f>
        <v>1</v>
      </c>
      <c r="W92" s="25">
        <f t="shared" ref="W92:W113" si="20">IF($J92&lt;0,1,0)</f>
        <v>0</v>
      </c>
    </row>
    <row r="93" spans="1:23" x14ac:dyDescent="0.3">
      <c r="A93" s="147"/>
      <c r="B93" s="205">
        <f t="shared" ref="B93:B113" si="21">B92+1</f>
        <v>3</v>
      </c>
      <c r="C93" s="206">
        <v>42950</v>
      </c>
      <c r="D93" s="161" t="s">
        <v>8</v>
      </c>
      <c r="E93" s="161" t="s">
        <v>39</v>
      </c>
      <c r="F93" s="207">
        <v>10065</v>
      </c>
      <c r="G93" s="207">
        <v>10025</v>
      </c>
      <c r="H93" s="161">
        <v>40</v>
      </c>
      <c r="I93" s="207">
        <v>150</v>
      </c>
      <c r="J93" s="242">
        <f t="shared" si="18"/>
        <v>6000</v>
      </c>
      <c r="K93" s="153"/>
      <c r="V93" s="25">
        <f t="shared" si="19"/>
        <v>1</v>
      </c>
      <c r="W93" s="25">
        <f t="shared" si="20"/>
        <v>0</v>
      </c>
    </row>
    <row r="94" spans="1:23" x14ac:dyDescent="0.3">
      <c r="A94" s="147"/>
      <c r="B94" s="205">
        <f t="shared" si="21"/>
        <v>4</v>
      </c>
      <c r="C94" s="206">
        <v>42951</v>
      </c>
      <c r="D94" s="161" t="s">
        <v>8</v>
      </c>
      <c r="E94" s="161" t="s">
        <v>39</v>
      </c>
      <c r="F94" s="207">
        <v>10045</v>
      </c>
      <c r="G94" s="207">
        <v>10030</v>
      </c>
      <c r="H94" s="161">
        <v>15</v>
      </c>
      <c r="I94" s="207">
        <v>150</v>
      </c>
      <c r="J94" s="242">
        <f t="shared" si="18"/>
        <v>2250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5</v>
      </c>
      <c r="C95" s="206">
        <v>42955</v>
      </c>
      <c r="D95" s="161" t="s">
        <v>8</v>
      </c>
      <c r="E95" s="161" t="s">
        <v>39</v>
      </c>
      <c r="F95" s="207">
        <v>10060</v>
      </c>
      <c r="G95" s="207">
        <v>10000</v>
      </c>
      <c r="H95" s="161"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6</v>
      </c>
      <c r="C96" s="206">
        <v>42956</v>
      </c>
      <c r="D96" s="161" t="s">
        <v>8</v>
      </c>
      <c r="E96" s="161" t="s">
        <v>39</v>
      </c>
      <c r="F96" s="207">
        <v>9970</v>
      </c>
      <c r="G96" s="207">
        <v>9918</v>
      </c>
      <c r="H96" s="161">
        <v>52</v>
      </c>
      <c r="I96" s="207">
        <v>150</v>
      </c>
      <c r="J96" s="242">
        <f t="shared" si="18"/>
        <v>7800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7</v>
      </c>
      <c r="C97" s="206">
        <v>42957</v>
      </c>
      <c r="D97" s="161" t="s">
        <v>8</v>
      </c>
      <c r="E97" s="161" t="s">
        <v>39</v>
      </c>
      <c r="F97" s="207">
        <v>9885</v>
      </c>
      <c r="G97" s="207">
        <v>9915</v>
      </c>
      <c r="H97" s="161">
        <v>-30</v>
      </c>
      <c r="I97" s="207">
        <v>150</v>
      </c>
      <c r="J97" s="242">
        <f t="shared" si="18"/>
        <v>-4500</v>
      </c>
      <c r="K97" s="153"/>
      <c r="V97" s="25">
        <f t="shared" si="19"/>
        <v>0</v>
      </c>
      <c r="W97" s="25">
        <f t="shared" si="20"/>
        <v>1</v>
      </c>
    </row>
    <row r="98" spans="1:23" x14ac:dyDescent="0.3">
      <c r="A98" s="147"/>
      <c r="B98" s="205">
        <f t="shared" si="21"/>
        <v>8</v>
      </c>
      <c r="C98" s="206">
        <v>42958</v>
      </c>
      <c r="D98" s="161" t="s">
        <v>8</v>
      </c>
      <c r="E98" s="161" t="s">
        <v>39</v>
      </c>
      <c r="F98" s="207">
        <v>9760</v>
      </c>
      <c r="G98" s="207">
        <v>9790</v>
      </c>
      <c r="H98" s="161">
        <v>-30</v>
      </c>
      <c r="I98" s="207">
        <v>150</v>
      </c>
      <c r="J98" s="242">
        <f t="shared" si="18"/>
        <v>-4500</v>
      </c>
      <c r="K98" s="153"/>
      <c r="V98" s="25">
        <f t="shared" si="19"/>
        <v>0</v>
      </c>
      <c r="W98" s="25">
        <f t="shared" si="20"/>
        <v>1</v>
      </c>
    </row>
    <row r="99" spans="1:23" x14ac:dyDescent="0.3">
      <c r="A99" s="147"/>
      <c r="B99" s="205">
        <f t="shared" si="21"/>
        <v>9</v>
      </c>
      <c r="C99" s="206">
        <v>42961</v>
      </c>
      <c r="D99" s="161" t="s">
        <v>8</v>
      </c>
      <c r="E99" s="161" t="s">
        <v>39</v>
      </c>
      <c r="F99" s="207">
        <v>9810</v>
      </c>
      <c r="G99" s="207">
        <v>9820</v>
      </c>
      <c r="H99" s="161">
        <v>-10</v>
      </c>
      <c r="I99" s="207">
        <v>150</v>
      </c>
      <c r="J99" s="242">
        <f t="shared" si="18"/>
        <v>-1500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10</v>
      </c>
      <c r="C100" s="206">
        <v>42963</v>
      </c>
      <c r="D100" s="161" t="s">
        <v>8</v>
      </c>
      <c r="E100" s="161" t="s">
        <v>39</v>
      </c>
      <c r="F100" s="207">
        <v>9790</v>
      </c>
      <c r="G100" s="207">
        <v>9820</v>
      </c>
      <c r="H100" s="161">
        <v>-30</v>
      </c>
      <c r="I100" s="207">
        <v>150</v>
      </c>
      <c r="J100" s="242">
        <f t="shared" si="18"/>
        <v>-4500</v>
      </c>
      <c r="K100" s="153"/>
      <c r="V100" s="25">
        <f t="shared" si="19"/>
        <v>0</v>
      </c>
      <c r="W100" s="25">
        <f t="shared" si="20"/>
        <v>1</v>
      </c>
    </row>
    <row r="101" spans="1:23" x14ac:dyDescent="0.3">
      <c r="A101" s="147"/>
      <c r="B101" s="205">
        <f t="shared" si="21"/>
        <v>11</v>
      </c>
      <c r="C101" s="206">
        <v>42964</v>
      </c>
      <c r="D101" s="161" t="s">
        <v>8</v>
      </c>
      <c r="E101" s="161" t="s">
        <v>39</v>
      </c>
      <c r="F101" s="207">
        <v>9935</v>
      </c>
      <c r="G101" s="207">
        <v>9895</v>
      </c>
      <c r="H101" s="161">
        <v>40</v>
      </c>
      <c r="I101" s="207">
        <v>150</v>
      </c>
      <c r="J101" s="242">
        <f t="shared" si="18"/>
        <v>6000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12</v>
      </c>
      <c r="C102" s="206">
        <v>42965</v>
      </c>
      <c r="D102" s="161" t="s">
        <v>8</v>
      </c>
      <c r="E102" s="161" t="s">
        <v>39</v>
      </c>
      <c r="F102" s="207">
        <v>9850</v>
      </c>
      <c r="G102" s="207">
        <v>9810</v>
      </c>
      <c r="H102" s="161">
        <v>40</v>
      </c>
      <c r="I102" s="207">
        <v>150</v>
      </c>
      <c r="J102" s="242">
        <f t="shared" si="18"/>
        <v>6000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13</v>
      </c>
      <c r="C103" s="206">
        <v>42968</v>
      </c>
      <c r="D103" s="161" t="s">
        <v>8</v>
      </c>
      <c r="E103" s="161" t="s">
        <v>39</v>
      </c>
      <c r="F103" s="207">
        <v>9860</v>
      </c>
      <c r="G103" s="207">
        <v>9800</v>
      </c>
      <c r="H103" s="161">
        <v>60</v>
      </c>
      <c r="I103" s="207">
        <v>150</v>
      </c>
      <c r="J103" s="242">
        <f t="shared" si="18"/>
        <v>9000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14</v>
      </c>
      <c r="C104" s="206">
        <v>42969</v>
      </c>
      <c r="D104" s="161" t="s">
        <v>8</v>
      </c>
      <c r="E104" s="161" t="s">
        <v>39</v>
      </c>
      <c r="F104" s="207">
        <v>9810</v>
      </c>
      <c r="G104" s="207">
        <v>9770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15</v>
      </c>
      <c r="C105" s="206">
        <v>42970</v>
      </c>
      <c r="D105" s="161" t="s">
        <v>8</v>
      </c>
      <c r="E105" s="161" t="s">
        <v>39</v>
      </c>
      <c r="F105" s="207">
        <v>9820</v>
      </c>
      <c r="G105" s="207">
        <v>9805</v>
      </c>
      <c r="H105" s="161">
        <v>15</v>
      </c>
      <c r="I105" s="207">
        <v>150</v>
      </c>
      <c r="J105" s="242">
        <f t="shared" si="18"/>
        <v>2250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16</v>
      </c>
      <c r="C106" s="206">
        <v>42971</v>
      </c>
      <c r="D106" s="161" t="s">
        <v>8</v>
      </c>
      <c r="E106" s="161" t="s">
        <v>39</v>
      </c>
      <c r="F106" s="207">
        <v>9860</v>
      </c>
      <c r="G106" s="207">
        <v>9873</v>
      </c>
      <c r="H106" s="161">
        <v>-13</v>
      </c>
      <c r="I106" s="207">
        <v>150</v>
      </c>
      <c r="J106" s="242">
        <f t="shared" si="18"/>
        <v>-1950</v>
      </c>
      <c r="K106" s="153"/>
      <c r="V106" s="25">
        <f t="shared" si="19"/>
        <v>0</v>
      </c>
      <c r="W106" s="25">
        <f t="shared" si="20"/>
        <v>1</v>
      </c>
    </row>
    <row r="107" spans="1:23" x14ac:dyDescent="0.3">
      <c r="A107" s="147"/>
      <c r="B107" s="205">
        <f t="shared" si="21"/>
        <v>17</v>
      </c>
      <c r="C107" s="206">
        <v>42975</v>
      </c>
      <c r="D107" s="161" t="s">
        <v>8</v>
      </c>
      <c r="E107" s="161" t="s">
        <v>39</v>
      </c>
      <c r="F107" s="207">
        <v>9915</v>
      </c>
      <c r="G107" s="207">
        <v>9900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18</v>
      </c>
      <c r="C108" s="206">
        <v>42976</v>
      </c>
      <c r="D108" s="161" t="s">
        <v>8</v>
      </c>
      <c r="E108" s="161" t="s">
        <v>39</v>
      </c>
      <c r="F108" s="207">
        <v>9860</v>
      </c>
      <c r="G108" s="207">
        <v>9800</v>
      </c>
      <c r="H108" s="161">
        <v>60</v>
      </c>
      <c r="I108" s="207">
        <v>150</v>
      </c>
      <c r="J108" s="242">
        <f t="shared" si="18"/>
        <v>9000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19</v>
      </c>
      <c r="C109" s="206">
        <v>42977</v>
      </c>
      <c r="D109" s="161" t="s">
        <v>8</v>
      </c>
      <c r="E109" s="161" t="s">
        <v>39</v>
      </c>
      <c r="F109" s="207">
        <v>9875</v>
      </c>
      <c r="G109" s="207">
        <v>9905</v>
      </c>
      <c r="H109" s="161">
        <v>-30</v>
      </c>
      <c r="I109" s="207">
        <v>150</v>
      </c>
      <c r="J109" s="242">
        <f t="shared" si="18"/>
        <v>-4500</v>
      </c>
      <c r="K109" s="153"/>
      <c r="V109" s="25">
        <f t="shared" si="19"/>
        <v>0</v>
      </c>
      <c r="W109" s="25">
        <f t="shared" si="20"/>
        <v>1</v>
      </c>
    </row>
    <row r="110" spans="1:23" x14ac:dyDescent="0.3">
      <c r="A110" s="147"/>
      <c r="B110" s="205">
        <f t="shared" si="21"/>
        <v>20</v>
      </c>
      <c r="C110" s="206">
        <v>42978</v>
      </c>
      <c r="D110" s="161" t="s">
        <v>8</v>
      </c>
      <c r="E110" s="161" t="s">
        <v>39</v>
      </c>
      <c r="F110" s="207">
        <v>9875</v>
      </c>
      <c r="G110" s="207">
        <v>9860</v>
      </c>
      <c r="H110" s="161">
        <v>15</v>
      </c>
      <c r="I110" s="207">
        <v>150</v>
      </c>
      <c r="J110" s="242">
        <f t="shared" si="18"/>
        <v>2250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8"/>
        <v>0</v>
      </c>
      <c r="K111" s="153"/>
      <c r="V111" s="25">
        <f t="shared" si="19"/>
        <v>0</v>
      </c>
      <c r="W111" s="25">
        <f t="shared" si="20"/>
        <v>0</v>
      </c>
    </row>
    <row r="112" spans="1:23" x14ac:dyDescent="0.3">
      <c r="A112" s="147"/>
      <c r="B112" s="205">
        <f t="shared" si="21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ht="15" thickBot="1" x14ac:dyDescent="0.35">
      <c r="A113" s="147"/>
      <c r="B113" s="208">
        <f t="shared" si="21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56100</v>
      </c>
      <c r="K114" s="153"/>
      <c r="V114" s="25">
        <f>SUM(V91:V113)</f>
        <v>14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2313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42948</v>
      </c>
      <c r="D122" s="185" t="s">
        <v>9</v>
      </c>
      <c r="E122" s="185" t="s">
        <v>2314</v>
      </c>
      <c r="F122" s="219">
        <v>135</v>
      </c>
      <c r="G122" s="219">
        <v>145</v>
      </c>
      <c r="H122" s="185">
        <v>10</v>
      </c>
      <c r="I122" s="219">
        <v>300</v>
      </c>
      <c r="J122" s="246">
        <f t="shared" ref="J122:J144" si="22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42949</v>
      </c>
      <c r="D123" s="161" t="s">
        <v>9</v>
      </c>
      <c r="E123" s="161" t="s">
        <v>2299</v>
      </c>
      <c r="F123" s="207">
        <v>110</v>
      </c>
      <c r="G123" s="207">
        <v>125</v>
      </c>
      <c r="H123" s="161">
        <v>15</v>
      </c>
      <c r="I123" s="207">
        <v>300</v>
      </c>
      <c r="J123" s="242">
        <f t="shared" si="22"/>
        <v>4500</v>
      </c>
      <c r="K123" s="153"/>
      <c r="V123" s="25">
        <f t="shared" ref="V123:V144" si="23">IF($J123&gt;0,1,0)</f>
        <v>1</v>
      </c>
      <c r="W123" s="25">
        <f t="shared" ref="W123:W144" si="24">IF($J123&lt;0,1,0)</f>
        <v>0</v>
      </c>
    </row>
    <row r="124" spans="1:23" x14ac:dyDescent="0.3">
      <c r="A124" s="147"/>
      <c r="B124" s="205">
        <f t="shared" ref="B124:B144" si="25">B123+1</f>
        <v>3</v>
      </c>
      <c r="C124" s="206">
        <v>42950</v>
      </c>
      <c r="D124" s="161" t="s">
        <v>9</v>
      </c>
      <c r="E124" s="161" t="s">
        <v>2299</v>
      </c>
      <c r="F124" s="207">
        <v>135</v>
      </c>
      <c r="G124" s="207">
        <v>149</v>
      </c>
      <c r="H124" s="161">
        <v>14</v>
      </c>
      <c r="I124" s="207">
        <v>300</v>
      </c>
      <c r="J124" s="242">
        <f t="shared" si="22"/>
        <v>4200</v>
      </c>
      <c r="K124" s="153"/>
      <c r="V124" s="25">
        <f t="shared" si="23"/>
        <v>1</v>
      </c>
      <c r="W124" s="25">
        <f t="shared" si="24"/>
        <v>0</v>
      </c>
    </row>
    <row r="125" spans="1:23" x14ac:dyDescent="0.3">
      <c r="A125" s="147"/>
      <c r="B125" s="205">
        <f t="shared" si="25"/>
        <v>4</v>
      </c>
      <c r="C125" s="206">
        <v>42951</v>
      </c>
      <c r="D125" s="161" t="s">
        <v>9</v>
      </c>
      <c r="E125" s="161" t="s">
        <v>2299</v>
      </c>
      <c r="F125" s="207">
        <v>130</v>
      </c>
      <c r="G125" s="207">
        <v>140</v>
      </c>
      <c r="H125" s="161">
        <v>10</v>
      </c>
      <c r="I125" s="207">
        <v>300</v>
      </c>
      <c r="J125" s="242">
        <f t="shared" si="22"/>
        <v>3000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5</v>
      </c>
      <c r="C126" s="206">
        <v>42955</v>
      </c>
      <c r="D126" s="161" t="s">
        <v>9</v>
      </c>
      <c r="E126" s="161" t="s">
        <v>2299</v>
      </c>
      <c r="F126" s="207">
        <v>135</v>
      </c>
      <c r="G126" s="207">
        <v>170</v>
      </c>
      <c r="H126" s="161">
        <v>35</v>
      </c>
      <c r="I126" s="207">
        <v>300</v>
      </c>
      <c r="J126" s="242">
        <f t="shared" si="22"/>
        <v>10500</v>
      </c>
      <c r="K126" s="153"/>
      <c r="M126" s="25" t="s">
        <v>2008</v>
      </c>
      <c r="N126" s="25" t="s">
        <v>2008</v>
      </c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6</v>
      </c>
      <c r="C127" s="206">
        <v>42956</v>
      </c>
      <c r="D127" s="161" t="s">
        <v>9</v>
      </c>
      <c r="E127" s="161" t="s">
        <v>2290</v>
      </c>
      <c r="F127" s="207">
        <v>125</v>
      </c>
      <c r="G127" s="207">
        <v>150</v>
      </c>
      <c r="H127" s="161">
        <v>25</v>
      </c>
      <c r="I127" s="207">
        <v>300</v>
      </c>
      <c r="J127" s="242">
        <f t="shared" si="22"/>
        <v>7500</v>
      </c>
      <c r="K127" s="153"/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7</v>
      </c>
      <c r="C128" s="206">
        <v>42957</v>
      </c>
      <c r="D128" s="161" t="s">
        <v>9</v>
      </c>
      <c r="E128" s="161" t="s">
        <v>2280</v>
      </c>
      <c r="F128" s="207">
        <v>125</v>
      </c>
      <c r="G128" s="207">
        <v>105</v>
      </c>
      <c r="H128" s="161">
        <v>-20</v>
      </c>
      <c r="I128" s="207">
        <v>300</v>
      </c>
      <c r="J128" s="242">
        <f t="shared" si="22"/>
        <v>-6000</v>
      </c>
      <c r="K128" s="153"/>
      <c r="V128" s="25">
        <f t="shared" si="23"/>
        <v>0</v>
      </c>
      <c r="W128" s="25">
        <f t="shared" si="24"/>
        <v>1</v>
      </c>
    </row>
    <row r="129" spans="1:23" x14ac:dyDescent="0.3">
      <c r="A129" s="147"/>
      <c r="B129" s="205">
        <f t="shared" si="25"/>
        <v>8</v>
      </c>
      <c r="C129" s="206">
        <v>42958</v>
      </c>
      <c r="D129" s="161" t="s">
        <v>9</v>
      </c>
      <c r="E129" s="161" t="s">
        <v>2205</v>
      </c>
      <c r="F129" s="207">
        <v>140</v>
      </c>
      <c r="G129" s="207">
        <v>120</v>
      </c>
      <c r="H129" s="161">
        <v>-20</v>
      </c>
      <c r="I129" s="207">
        <v>300</v>
      </c>
      <c r="J129" s="242">
        <f t="shared" si="22"/>
        <v>-6000</v>
      </c>
      <c r="K129" s="153"/>
      <c r="V129" s="25">
        <f t="shared" si="23"/>
        <v>0</v>
      </c>
      <c r="W129" s="25">
        <f t="shared" si="24"/>
        <v>1</v>
      </c>
    </row>
    <row r="130" spans="1:23" x14ac:dyDescent="0.3">
      <c r="A130" s="147"/>
      <c r="B130" s="205">
        <f t="shared" si="25"/>
        <v>9</v>
      </c>
      <c r="C130" s="206">
        <v>42961</v>
      </c>
      <c r="D130" s="161" t="s">
        <v>9</v>
      </c>
      <c r="E130" s="161" t="s">
        <v>2205</v>
      </c>
      <c r="F130" s="207">
        <v>105</v>
      </c>
      <c r="G130" s="207">
        <v>100</v>
      </c>
      <c r="H130" s="161">
        <v>-5</v>
      </c>
      <c r="I130" s="207">
        <v>300</v>
      </c>
      <c r="J130" s="242">
        <f t="shared" si="22"/>
        <v>-1500</v>
      </c>
      <c r="K130" s="153"/>
      <c r="V130" s="25">
        <f t="shared" si="23"/>
        <v>0</v>
      </c>
      <c r="W130" s="25">
        <f t="shared" si="24"/>
        <v>1</v>
      </c>
    </row>
    <row r="131" spans="1:23" x14ac:dyDescent="0.3">
      <c r="A131" s="147"/>
      <c r="B131" s="205">
        <f t="shared" si="25"/>
        <v>10</v>
      </c>
      <c r="C131" s="206">
        <v>42963</v>
      </c>
      <c r="D131" s="161" t="s">
        <v>9</v>
      </c>
      <c r="E131" s="161" t="s">
        <v>2205</v>
      </c>
      <c r="F131" s="207">
        <v>110</v>
      </c>
      <c r="G131" s="207">
        <v>90</v>
      </c>
      <c r="H131" s="161">
        <v>-20</v>
      </c>
      <c r="I131" s="207">
        <v>300</v>
      </c>
      <c r="J131" s="242">
        <f t="shared" si="22"/>
        <v>-6000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11</v>
      </c>
      <c r="C132" s="206">
        <v>42964</v>
      </c>
      <c r="D132" s="161" t="s">
        <v>9</v>
      </c>
      <c r="E132" s="161" t="s">
        <v>2290</v>
      </c>
      <c r="F132" s="207">
        <v>125</v>
      </c>
      <c r="G132" s="207">
        <v>150</v>
      </c>
      <c r="H132" s="161">
        <v>25</v>
      </c>
      <c r="I132" s="207">
        <v>300</v>
      </c>
      <c r="J132" s="242">
        <f t="shared" si="22"/>
        <v>7500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12</v>
      </c>
      <c r="C133" s="206">
        <v>42965</v>
      </c>
      <c r="D133" s="161" t="s">
        <v>9</v>
      </c>
      <c r="E133" s="161" t="s">
        <v>2280</v>
      </c>
      <c r="F133" s="207">
        <v>110</v>
      </c>
      <c r="G133" s="207">
        <v>145</v>
      </c>
      <c r="H133" s="161">
        <v>35</v>
      </c>
      <c r="I133" s="207">
        <v>300</v>
      </c>
      <c r="J133" s="242">
        <f t="shared" si="22"/>
        <v>10500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13</v>
      </c>
      <c r="C134" s="206">
        <v>42968</v>
      </c>
      <c r="D134" s="161" t="s">
        <v>9</v>
      </c>
      <c r="E134" s="161" t="s">
        <v>2280</v>
      </c>
      <c r="F134" s="207">
        <v>97</v>
      </c>
      <c r="G134" s="207">
        <v>132</v>
      </c>
      <c r="H134" s="161">
        <v>35</v>
      </c>
      <c r="I134" s="207">
        <v>300</v>
      </c>
      <c r="J134" s="242">
        <f t="shared" si="22"/>
        <v>10500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14</v>
      </c>
      <c r="C135" s="206">
        <v>42969</v>
      </c>
      <c r="D135" s="161" t="s">
        <v>9</v>
      </c>
      <c r="E135" s="161" t="s">
        <v>2280</v>
      </c>
      <c r="F135" s="207">
        <v>120</v>
      </c>
      <c r="G135" s="207">
        <v>145</v>
      </c>
      <c r="H135" s="161">
        <v>25</v>
      </c>
      <c r="I135" s="207">
        <v>300</v>
      </c>
      <c r="J135" s="242">
        <f>I135*H135</f>
        <v>7500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5"/>
        <v>15</v>
      </c>
      <c r="C136" s="206">
        <v>42970</v>
      </c>
      <c r="D136" s="161" t="s">
        <v>9</v>
      </c>
      <c r="E136" s="161" t="s">
        <v>2280</v>
      </c>
      <c r="F136" s="207">
        <v>110</v>
      </c>
      <c r="G136" s="207">
        <v>120</v>
      </c>
      <c r="H136" s="161">
        <v>10</v>
      </c>
      <c r="I136" s="207">
        <v>300</v>
      </c>
      <c r="J136" s="242">
        <f t="shared" si="22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16</v>
      </c>
      <c r="C137" s="206">
        <v>42971</v>
      </c>
      <c r="D137" s="161" t="s">
        <v>9</v>
      </c>
      <c r="E137" s="161" t="s">
        <v>2290</v>
      </c>
      <c r="F137" s="207">
        <v>145</v>
      </c>
      <c r="G137" s="207">
        <v>125</v>
      </c>
      <c r="H137" s="161">
        <v>-20</v>
      </c>
      <c r="I137" s="207">
        <v>300</v>
      </c>
      <c r="J137" s="242">
        <f t="shared" si="22"/>
        <v>-6000</v>
      </c>
      <c r="K137" s="153"/>
      <c r="V137" s="25">
        <f t="shared" si="23"/>
        <v>0</v>
      </c>
      <c r="W137" s="25">
        <f t="shared" si="24"/>
        <v>1</v>
      </c>
    </row>
    <row r="138" spans="1:23" x14ac:dyDescent="0.3">
      <c r="A138" s="147"/>
      <c r="B138" s="205">
        <f t="shared" si="25"/>
        <v>17</v>
      </c>
      <c r="C138" s="206">
        <v>42975</v>
      </c>
      <c r="D138" s="161" t="s">
        <v>9</v>
      </c>
      <c r="E138" s="161" t="s">
        <v>2290</v>
      </c>
      <c r="F138" s="207">
        <v>95</v>
      </c>
      <c r="G138" s="207">
        <v>105</v>
      </c>
      <c r="H138" s="161">
        <v>10</v>
      </c>
      <c r="I138" s="207">
        <v>300</v>
      </c>
      <c r="J138" s="242">
        <f t="shared" si="22"/>
        <v>3000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18</v>
      </c>
      <c r="C139" s="206">
        <v>42976</v>
      </c>
      <c r="D139" s="161" t="s">
        <v>9</v>
      </c>
      <c r="E139" s="161" t="s">
        <v>2290</v>
      </c>
      <c r="F139" s="207">
        <v>140</v>
      </c>
      <c r="G139" s="207">
        <v>175</v>
      </c>
      <c r="H139" s="161">
        <v>35</v>
      </c>
      <c r="I139" s="207">
        <v>300</v>
      </c>
      <c r="J139" s="242">
        <f t="shared" si="22"/>
        <v>10500</v>
      </c>
      <c r="K139" s="153"/>
      <c r="V139" s="25">
        <f t="shared" si="23"/>
        <v>1</v>
      </c>
      <c r="W139" s="25">
        <f t="shared" si="24"/>
        <v>0</v>
      </c>
    </row>
    <row r="140" spans="1:23" x14ac:dyDescent="0.3">
      <c r="A140" s="147"/>
      <c r="B140" s="205">
        <f t="shared" si="25"/>
        <v>19</v>
      </c>
      <c r="C140" s="206">
        <v>42977</v>
      </c>
      <c r="D140" s="161" t="s">
        <v>9</v>
      </c>
      <c r="E140" s="161" t="s">
        <v>2290</v>
      </c>
      <c r="F140" s="207">
        <v>125</v>
      </c>
      <c r="G140" s="207">
        <v>105</v>
      </c>
      <c r="H140" s="161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20</v>
      </c>
      <c r="C141" s="206">
        <v>42978</v>
      </c>
      <c r="D141" s="161" t="s">
        <v>9</v>
      </c>
      <c r="E141" s="161" t="s">
        <v>2290</v>
      </c>
      <c r="F141" s="207">
        <v>125</v>
      </c>
      <c r="G141" s="207">
        <v>140</v>
      </c>
      <c r="H141" s="161">
        <v>15</v>
      </c>
      <c r="I141" s="207">
        <v>300</v>
      </c>
      <c r="J141" s="242">
        <f t="shared" si="22"/>
        <v>4500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2"/>
        <v>0</v>
      </c>
      <c r="K142" s="153"/>
      <c r="V142" s="25">
        <f t="shared" si="23"/>
        <v>0</v>
      </c>
      <c r="W142" s="25">
        <f t="shared" si="24"/>
        <v>0</v>
      </c>
    </row>
    <row r="143" spans="1:23" x14ac:dyDescent="0.3">
      <c r="A143" s="147"/>
      <c r="B143" s="205">
        <f t="shared" si="25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ht="15" thickBot="1" x14ac:dyDescent="0.35">
      <c r="A144" s="147"/>
      <c r="B144" s="208">
        <f t="shared" si="25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58200</v>
      </c>
      <c r="K145" s="153"/>
      <c r="V145" s="25">
        <f>SUM(V122:V144)</f>
        <v>14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2313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2260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42948</v>
      </c>
      <c r="D153" s="185" t="s">
        <v>9</v>
      </c>
      <c r="E153" s="185" t="s">
        <v>301</v>
      </c>
      <c r="F153" s="219">
        <v>25180</v>
      </c>
      <c r="G153" s="219">
        <v>25200</v>
      </c>
      <c r="H153" s="185">
        <v>20</v>
      </c>
      <c r="I153" s="219">
        <v>80</v>
      </c>
      <c r="J153" s="246">
        <f t="shared" ref="J153:J175" si="26">I153*H153</f>
        <v>1600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42949</v>
      </c>
      <c r="D154" s="161" t="s">
        <v>8</v>
      </c>
      <c r="E154" s="161" t="s">
        <v>301</v>
      </c>
      <c r="F154" s="207">
        <v>25190</v>
      </c>
      <c r="G154" s="207">
        <v>25040</v>
      </c>
      <c r="H154" s="161">
        <v>150</v>
      </c>
      <c r="I154" s="207">
        <v>80</v>
      </c>
      <c r="J154" s="242">
        <f t="shared" si="26"/>
        <v>12000</v>
      </c>
      <c r="K154" s="153"/>
      <c r="V154" s="25">
        <f t="shared" ref="V154:V175" si="27">IF($J154&gt;0,1,0)</f>
        <v>1</v>
      </c>
      <c r="W154" s="25">
        <f t="shared" ref="W154:W175" si="28">IF($J154&lt;0,1,0)</f>
        <v>0</v>
      </c>
    </row>
    <row r="155" spans="1:23" x14ac:dyDescent="0.3">
      <c r="A155" s="147"/>
      <c r="B155" s="205">
        <f t="shared" ref="B155:B175" si="29">B154+1</f>
        <v>3</v>
      </c>
      <c r="C155" s="206">
        <v>42950</v>
      </c>
      <c r="D155" s="161" t="s">
        <v>8</v>
      </c>
      <c r="E155" s="161" t="s">
        <v>301</v>
      </c>
      <c r="F155" s="207">
        <v>24940</v>
      </c>
      <c r="G155" s="207">
        <v>24730</v>
      </c>
      <c r="H155" s="161">
        <v>210</v>
      </c>
      <c r="I155" s="207">
        <v>80</v>
      </c>
      <c r="J155" s="242">
        <f t="shared" si="26"/>
        <v>16800</v>
      </c>
      <c r="K155" s="153"/>
      <c r="V155" s="25">
        <f t="shared" si="27"/>
        <v>1</v>
      </c>
      <c r="W155" s="25">
        <f t="shared" si="28"/>
        <v>0</v>
      </c>
    </row>
    <row r="156" spans="1:23" x14ac:dyDescent="0.3">
      <c r="A156" s="147"/>
      <c r="B156" s="205">
        <f t="shared" si="29"/>
        <v>4</v>
      </c>
      <c r="C156" s="206">
        <v>42951</v>
      </c>
      <c r="D156" s="161" t="s">
        <v>8</v>
      </c>
      <c r="E156" s="161" t="s">
        <v>301</v>
      </c>
      <c r="F156" s="207">
        <v>24780</v>
      </c>
      <c r="G156" s="207">
        <v>24730</v>
      </c>
      <c r="H156" s="161">
        <v>50</v>
      </c>
      <c r="I156" s="207">
        <v>80</v>
      </c>
      <c r="J156" s="242">
        <f t="shared" si="26"/>
        <v>4000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5</v>
      </c>
      <c r="C157" s="206">
        <v>42955</v>
      </c>
      <c r="D157" s="161" t="s">
        <v>8</v>
      </c>
      <c r="E157" s="161" t="s">
        <v>301</v>
      </c>
      <c r="F157" s="207">
        <v>24800</v>
      </c>
      <c r="G157" s="207">
        <v>24620</v>
      </c>
      <c r="H157" s="161">
        <v>180</v>
      </c>
      <c r="I157" s="207">
        <v>80</v>
      </c>
      <c r="J157" s="242">
        <f t="shared" si="26"/>
        <v>14400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6</v>
      </c>
      <c r="C158" s="206">
        <v>42956</v>
      </c>
      <c r="D158" s="161" t="s">
        <v>8</v>
      </c>
      <c r="E158" s="161" t="s">
        <v>301</v>
      </c>
      <c r="F158" s="207">
        <v>24550</v>
      </c>
      <c r="G158" s="207">
        <v>24450</v>
      </c>
      <c r="H158" s="161">
        <v>100</v>
      </c>
      <c r="I158" s="207">
        <v>80</v>
      </c>
      <c r="J158" s="242">
        <f t="shared" si="26"/>
        <v>8000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7</v>
      </c>
      <c r="C159" s="206">
        <v>42957</v>
      </c>
      <c r="D159" s="161" t="s">
        <v>8</v>
      </c>
      <c r="E159" s="161" t="s">
        <v>301</v>
      </c>
      <c r="F159" s="207">
        <v>24300</v>
      </c>
      <c r="G159" s="207">
        <v>24200</v>
      </c>
      <c r="H159" s="161">
        <v>100</v>
      </c>
      <c r="I159" s="207">
        <v>80</v>
      </c>
      <c r="J159" s="242">
        <f t="shared" si="26"/>
        <v>8000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8</v>
      </c>
      <c r="C160" s="206">
        <v>42958</v>
      </c>
      <c r="D160" s="161" t="s">
        <v>8</v>
      </c>
      <c r="E160" s="161" t="s">
        <v>301</v>
      </c>
      <c r="F160" s="207">
        <v>24120</v>
      </c>
      <c r="G160" s="207">
        <v>24270</v>
      </c>
      <c r="H160" s="161">
        <v>-150</v>
      </c>
      <c r="I160" s="207">
        <v>80</v>
      </c>
      <c r="J160" s="242">
        <f t="shared" si="26"/>
        <v>-12000</v>
      </c>
      <c r="K160" s="153"/>
      <c r="V160" s="25">
        <f t="shared" si="27"/>
        <v>0</v>
      </c>
      <c r="W160" s="25">
        <f t="shared" si="28"/>
        <v>1</v>
      </c>
    </row>
    <row r="161" spans="1:23" x14ac:dyDescent="0.3">
      <c r="A161" s="147"/>
      <c r="B161" s="205">
        <f t="shared" si="29"/>
        <v>9</v>
      </c>
      <c r="C161" s="206">
        <v>42961</v>
      </c>
      <c r="D161" s="161" t="s">
        <v>8</v>
      </c>
      <c r="E161" s="161" t="s">
        <v>301</v>
      </c>
      <c r="F161" s="207">
        <v>24260</v>
      </c>
      <c r="G161" s="207">
        <v>24210</v>
      </c>
      <c r="H161" s="161">
        <v>50</v>
      </c>
      <c r="I161" s="207">
        <v>80</v>
      </c>
      <c r="J161" s="242">
        <f t="shared" si="26"/>
        <v>4000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10</v>
      </c>
      <c r="C162" s="206">
        <v>42963</v>
      </c>
      <c r="D162" s="161" t="s">
        <v>8</v>
      </c>
      <c r="E162" s="161" t="s">
        <v>301</v>
      </c>
      <c r="F162" s="207">
        <v>24050</v>
      </c>
      <c r="G162" s="207">
        <v>24000</v>
      </c>
      <c r="H162" s="161">
        <v>50</v>
      </c>
      <c r="I162" s="207">
        <v>80</v>
      </c>
      <c r="J162" s="242">
        <f t="shared" si="26"/>
        <v>4000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11</v>
      </c>
      <c r="C163" s="206">
        <v>42964</v>
      </c>
      <c r="D163" s="161" t="s">
        <v>8</v>
      </c>
      <c r="E163" s="161" t="s">
        <v>301</v>
      </c>
      <c r="F163" s="207">
        <v>24420</v>
      </c>
      <c r="G163" s="207">
        <v>24150</v>
      </c>
      <c r="H163" s="161">
        <v>270</v>
      </c>
      <c r="I163" s="207">
        <v>80</v>
      </c>
      <c r="J163" s="242">
        <f t="shared" si="26"/>
        <v>21600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12</v>
      </c>
      <c r="C164" s="206">
        <v>42965</v>
      </c>
      <c r="D164" s="161" t="s">
        <v>8</v>
      </c>
      <c r="E164" s="161" t="s">
        <v>301</v>
      </c>
      <c r="F164" s="207">
        <v>24060</v>
      </c>
      <c r="G164" s="207">
        <v>24100</v>
      </c>
      <c r="H164" s="161">
        <v>-40</v>
      </c>
      <c r="I164" s="207">
        <v>80</v>
      </c>
      <c r="J164" s="242">
        <f t="shared" si="26"/>
        <v>-3200</v>
      </c>
      <c r="K164" s="153"/>
      <c r="V164" s="25">
        <f t="shared" si="27"/>
        <v>0</v>
      </c>
      <c r="W164" s="25">
        <f t="shared" si="28"/>
        <v>1</v>
      </c>
    </row>
    <row r="165" spans="1:23" x14ac:dyDescent="0.3">
      <c r="A165" s="147"/>
      <c r="B165" s="205">
        <f t="shared" si="29"/>
        <v>13</v>
      </c>
      <c r="C165" s="206">
        <v>42968</v>
      </c>
      <c r="D165" s="161" t="s">
        <v>8</v>
      </c>
      <c r="E165" s="161" t="s">
        <v>301</v>
      </c>
      <c r="F165" s="207">
        <v>24220</v>
      </c>
      <c r="G165" s="207">
        <v>23940</v>
      </c>
      <c r="H165" s="161">
        <v>280</v>
      </c>
      <c r="I165" s="207">
        <v>80</v>
      </c>
      <c r="J165" s="242">
        <f t="shared" si="26"/>
        <v>22400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14</v>
      </c>
      <c r="C166" s="206">
        <v>42969</v>
      </c>
      <c r="D166" s="161" t="s">
        <v>8</v>
      </c>
      <c r="E166" s="161" t="s">
        <v>301</v>
      </c>
      <c r="F166" s="207">
        <v>24000</v>
      </c>
      <c r="G166" s="207">
        <v>23900</v>
      </c>
      <c r="H166" s="161">
        <v>100</v>
      </c>
      <c r="I166" s="207">
        <v>80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15</v>
      </c>
      <c r="C167" s="206">
        <v>42970</v>
      </c>
      <c r="D167" s="161" t="s">
        <v>8</v>
      </c>
      <c r="E167" s="161" t="s">
        <v>301</v>
      </c>
      <c r="F167" s="207">
        <v>24180</v>
      </c>
      <c r="G167" s="207">
        <v>24130</v>
      </c>
      <c r="H167" s="161">
        <v>50</v>
      </c>
      <c r="I167" s="207">
        <v>80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16</v>
      </c>
      <c r="C168" s="206">
        <v>42971</v>
      </c>
      <c r="D168" s="161" t="s">
        <v>8</v>
      </c>
      <c r="E168" s="161" t="s">
        <v>301</v>
      </c>
      <c r="F168" s="207">
        <v>24300</v>
      </c>
      <c r="G168" s="207">
        <v>24240</v>
      </c>
      <c r="H168" s="161">
        <v>60</v>
      </c>
      <c r="I168" s="207">
        <v>80</v>
      </c>
      <c r="J168" s="242">
        <f t="shared" si="26"/>
        <v>4800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17</v>
      </c>
      <c r="C169" s="206">
        <v>42975</v>
      </c>
      <c r="D169" s="161" t="s">
        <v>8</v>
      </c>
      <c r="E169" s="161" t="s">
        <v>301</v>
      </c>
      <c r="F169" s="207">
        <v>24410</v>
      </c>
      <c r="G169" s="207">
        <v>24355</v>
      </c>
      <c r="H169" s="161">
        <v>55</v>
      </c>
      <c r="I169" s="207">
        <v>80</v>
      </c>
      <c r="J169" s="242">
        <f t="shared" si="26"/>
        <v>4400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18</v>
      </c>
      <c r="C170" s="206">
        <v>42976</v>
      </c>
      <c r="D170" s="161" t="s">
        <v>8</v>
      </c>
      <c r="E170" s="161" t="s">
        <v>301</v>
      </c>
      <c r="F170" s="207">
        <v>24200</v>
      </c>
      <c r="G170" s="207">
        <v>24100</v>
      </c>
      <c r="H170" s="161">
        <v>100</v>
      </c>
      <c r="I170" s="207">
        <v>80</v>
      </c>
      <c r="J170" s="242">
        <f t="shared" si="26"/>
        <v>8000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19</v>
      </c>
      <c r="C171" s="206">
        <v>42977</v>
      </c>
      <c r="D171" s="161" t="s">
        <v>8</v>
      </c>
      <c r="E171" s="161" t="s">
        <v>301</v>
      </c>
      <c r="F171" s="207">
        <v>24320</v>
      </c>
      <c r="G171" s="207">
        <v>24275</v>
      </c>
      <c r="H171" s="161">
        <v>45</v>
      </c>
      <c r="I171" s="207">
        <v>80</v>
      </c>
      <c r="J171" s="242">
        <f t="shared" si="26"/>
        <v>3600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20</v>
      </c>
      <c r="C172" s="206">
        <v>42978</v>
      </c>
      <c r="D172" s="161" t="s">
        <v>8</v>
      </c>
      <c r="E172" s="161" t="s">
        <v>301</v>
      </c>
      <c r="F172" s="207">
        <v>24250</v>
      </c>
      <c r="G172" s="207">
        <v>24200</v>
      </c>
      <c r="H172" s="161">
        <v>50</v>
      </c>
      <c r="I172" s="207">
        <v>80</v>
      </c>
      <c r="J172" s="242">
        <f t="shared" si="26"/>
        <v>4000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6"/>
        <v>0</v>
      </c>
      <c r="K173" s="153"/>
      <c r="V173" s="25">
        <f t="shared" si="27"/>
        <v>0</v>
      </c>
      <c r="W173" s="25">
        <f t="shared" si="28"/>
        <v>0</v>
      </c>
    </row>
    <row r="174" spans="1:23" x14ac:dyDescent="0.3">
      <c r="A174" s="147"/>
      <c r="B174" s="205">
        <f t="shared" si="29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ht="15" thickBot="1" x14ac:dyDescent="0.35">
      <c r="A175" s="147"/>
      <c r="B175" s="208">
        <f t="shared" si="29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138400</v>
      </c>
      <c r="K176" s="153"/>
      <c r="V176" s="25">
        <f>SUM(V153:V175)</f>
        <v>18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2313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42948</v>
      </c>
      <c r="D184" s="185" t="s">
        <v>9</v>
      </c>
      <c r="E184" s="185" t="s">
        <v>2315</v>
      </c>
      <c r="F184" s="219">
        <v>380</v>
      </c>
      <c r="G184" s="219">
        <v>370</v>
      </c>
      <c r="H184" s="185">
        <v>-10</v>
      </c>
      <c r="I184" s="219">
        <v>160</v>
      </c>
      <c r="J184" s="246">
        <f t="shared" ref="J184:J206" si="30">I184*H184</f>
        <v>-1600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42949</v>
      </c>
      <c r="D185" s="161" t="s">
        <v>9</v>
      </c>
      <c r="E185" s="161" t="s">
        <v>2317</v>
      </c>
      <c r="F185" s="207">
        <v>310</v>
      </c>
      <c r="G185" s="207">
        <v>370</v>
      </c>
      <c r="H185" s="161">
        <v>60</v>
      </c>
      <c r="I185" s="207">
        <v>160</v>
      </c>
      <c r="J185" s="242">
        <f t="shared" si="30"/>
        <v>9600</v>
      </c>
      <c r="K185" s="153"/>
      <c r="V185" s="25">
        <f t="shared" ref="V185:V206" si="31">IF($J185&gt;0,1,0)</f>
        <v>1</v>
      </c>
      <c r="W185" s="25">
        <f t="shared" ref="W185:W206" si="32">IF($J185&lt;0,1,0)</f>
        <v>0</v>
      </c>
    </row>
    <row r="186" spans="1:23" x14ac:dyDescent="0.3">
      <c r="A186" s="147"/>
      <c r="B186" s="205">
        <f t="shared" ref="B186:B206" si="33">B185+1</f>
        <v>3</v>
      </c>
      <c r="C186" s="206">
        <v>42950</v>
      </c>
      <c r="D186" s="161" t="s">
        <v>9</v>
      </c>
      <c r="E186" s="161" t="s">
        <v>2319</v>
      </c>
      <c r="F186" s="207">
        <v>340</v>
      </c>
      <c r="G186" s="207">
        <v>400</v>
      </c>
      <c r="H186" s="161">
        <v>60</v>
      </c>
      <c r="I186" s="207">
        <v>160</v>
      </c>
      <c r="J186" s="242">
        <f t="shared" si="30"/>
        <v>9600</v>
      </c>
      <c r="K186" s="153"/>
      <c r="V186" s="25">
        <f t="shared" si="31"/>
        <v>1</v>
      </c>
      <c r="W186" s="25">
        <f t="shared" si="32"/>
        <v>0</v>
      </c>
    </row>
    <row r="187" spans="1:23" x14ac:dyDescent="0.3">
      <c r="A187" s="147"/>
      <c r="B187" s="205">
        <f t="shared" si="33"/>
        <v>4</v>
      </c>
      <c r="C187" s="206">
        <v>42951</v>
      </c>
      <c r="D187" s="161" t="s">
        <v>9</v>
      </c>
      <c r="E187" s="161" t="s">
        <v>2321</v>
      </c>
      <c r="F187" s="207">
        <v>330</v>
      </c>
      <c r="G187" s="207">
        <v>360</v>
      </c>
      <c r="H187" s="161">
        <v>30</v>
      </c>
      <c r="I187" s="207">
        <v>160</v>
      </c>
      <c r="J187" s="242">
        <f t="shared" si="30"/>
        <v>4800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5</v>
      </c>
      <c r="C188" s="206">
        <v>42955</v>
      </c>
      <c r="D188" s="161" t="s">
        <v>9</v>
      </c>
      <c r="E188" s="161" t="s">
        <v>2321</v>
      </c>
      <c r="F188" s="207">
        <v>300</v>
      </c>
      <c r="G188" s="207">
        <v>420</v>
      </c>
      <c r="H188" s="161">
        <v>120</v>
      </c>
      <c r="I188" s="207">
        <v>160</v>
      </c>
      <c r="J188" s="242">
        <f t="shared" si="30"/>
        <v>19200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6</v>
      </c>
      <c r="C189" s="206">
        <v>42956</v>
      </c>
      <c r="D189" s="161" t="s">
        <v>9</v>
      </c>
      <c r="E189" s="161" t="s">
        <v>2301</v>
      </c>
      <c r="F189" s="207">
        <v>290</v>
      </c>
      <c r="G189" s="207">
        <v>350</v>
      </c>
      <c r="H189" s="161">
        <v>60</v>
      </c>
      <c r="I189" s="207">
        <v>160</v>
      </c>
      <c r="J189" s="242">
        <f t="shared" si="30"/>
        <v>9600</v>
      </c>
      <c r="K189" s="153"/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7</v>
      </c>
      <c r="C190" s="206">
        <v>42957</v>
      </c>
      <c r="D190" s="161" t="s">
        <v>9</v>
      </c>
      <c r="E190" s="161" t="s">
        <v>2293</v>
      </c>
      <c r="F190" s="207">
        <v>310</v>
      </c>
      <c r="G190" s="207">
        <v>250</v>
      </c>
      <c r="H190" s="161">
        <v>-60</v>
      </c>
      <c r="I190" s="207">
        <v>160</v>
      </c>
      <c r="J190" s="242">
        <f t="shared" si="30"/>
        <v>-9600</v>
      </c>
      <c r="K190" s="153"/>
      <c r="V190" s="25">
        <f t="shared" si="31"/>
        <v>0</v>
      </c>
      <c r="W190" s="25">
        <f t="shared" si="32"/>
        <v>1</v>
      </c>
    </row>
    <row r="191" spans="1:23" x14ac:dyDescent="0.3">
      <c r="A191" s="147"/>
      <c r="B191" s="205">
        <f t="shared" si="33"/>
        <v>8</v>
      </c>
      <c r="C191" s="206">
        <v>42958</v>
      </c>
      <c r="D191" s="161" t="s">
        <v>9</v>
      </c>
      <c r="E191" s="161" t="s">
        <v>2325</v>
      </c>
      <c r="F191" s="207">
        <v>320</v>
      </c>
      <c r="G191" s="207">
        <v>260</v>
      </c>
      <c r="H191" s="161">
        <v>-60</v>
      </c>
      <c r="I191" s="207">
        <v>160</v>
      </c>
      <c r="J191" s="242">
        <f t="shared" si="30"/>
        <v>-9600</v>
      </c>
      <c r="K191" s="153"/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9</v>
      </c>
      <c r="C192" s="206">
        <v>42961</v>
      </c>
      <c r="D192" s="161" t="s">
        <v>9</v>
      </c>
      <c r="E192" s="161" t="s">
        <v>2327</v>
      </c>
      <c r="F192" s="207">
        <v>260</v>
      </c>
      <c r="G192" s="207">
        <v>290</v>
      </c>
      <c r="H192" s="161">
        <v>30</v>
      </c>
      <c r="I192" s="207">
        <v>160</v>
      </c>
      <c r="J192" s="242">
        <f t="shared" si="30"/>
        <v>4800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10</v>
      </c>
      <c r="C193" s="206">
        <v>42963</v>
      </c>
      <c r="D193" s="161" t="s">
        <v>9</v>
      </c>
      <c r="E193" s="161" t="s">
        <v>2325</v>
      </c>
      <c r="F193" s="207">
        <v>320</v>
      </c>
      <c r="G193" s="207">
        <v>260</v>
      </c>
      <c r="H193" s="161">
        <v>-60</v>
      </c>
      <c r="I193" s="207">
        <v>160</v>
      </c>
      <c r="J193" s="242">
        <f t="shared" si="30"/>
        <v>-9600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11</v>
      </c>
      <c r="C194" s="206">
        <v>42964</v>
      </c>
      <c r="D194" s="161" t="s">
        <v>9</v>
      </c>
      <c r="E194" s="161" t="s">
        <v>2328</v>
      </c>
      <c r="F194" s="207">
        <v>260</v>
      </c>
      <c r="G194" s="207">
        <v>380</v>
      </c>
      <c r="H194" s="161">
        <v>120</v>
      </c>
      <c r="I194" s="207">
        <v>160</v>
      </c>
      <c r="J194" s="242">
        <f t="shared" si="30"/>
        <v>19200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12</v>
      </c>
      <c r="C195" s="206">
        <v>42965</v>
      </c>
      <c r="D195" s="161" t="s">
        <v>9</v>
      </c>
      <c r="E195" s="161" t="s">
        <v>2325</v>
      </c>
      <c r="F195" s="207">
        <v>300</v>
      </c>
      <c r="G195" s="207">
        <v>320</v>
      </c>
      <c r="H195" s="161">
        <v>20</v>
      </c>
      <c r="I195" s="207">
        <v>160</v>
      </c>
      <c r="J195" s="242">
        <f t="shared" si="30"/>
        <v>3200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13</v>
      </c>
      <c r="C196" s="206">
        <v>42968</v>
      </c>
      <c r="D196" s="161" t="s">
        <v>9</v>
      </c>
      <c r="E196" s="161" t="s">
        <v>2327</v>
      </c>
      <c r="F196" s="207">
        <v>240</v>
      </c>
      <c r="G196" s="207">
        <v>360</v>
      </c>
      <c r="H196" s="161">
        <v>120</v>
      </c>
      <c r="I196" s="207">
        <v>160</v>
      </c>
      <c r="J196" s="242">
        <f t="shared" si="30"/>
        <v>19200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14</v>
      </c>
      <c r="C197" s="206">
        <v>42969</v>
      </c>
      <c r="D197" s="161" t="s">
        <v>9</v>
      </c>
      <c r="E197" s="161" t="s">
        <v>2331</v>
      </c>
      <c r="F197" s="207">
        <v>220</v>
      </c>
      <c r="G197" s="207">
        <v>280</v>
      </c>
      <c r="H197" s="161">
        <v>60</v>
      </c>
      <c r="I197" s="207">
        <v>160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15</v>
      </c>
      <c r="C198" s="206">
        <v>42970</v>
      </c>
      <c r="D198" s="161" t="s">
        <v>9</v>
      </c>
      <c r="E198" s="161" t="s">
        <v>2327</v>
      </c>
      <c r="F198" s="207">
        <v>220</v>
      </c>
      <c r="G198" s="207">
        <v>160</v>
      </c>
      <c r="H198" s="161">
        <v>-60</v>
      </c>
      <c r="I198" s="207">
        <v>160</v>
      </c>
      <c r="J198" s="242">
        <f t="shared" si="30"/>
        <v>-9600</v>
      </c>
      <c r="K198" s="153"/>
      <c r="V198" s="25">
        <f t="shared" si="31"/>
        <v>0</v>
      </c>
      <c r="W198" s="25">
        <f t="shared" si="32"/>
        <v>1</v>
      </c>
    </row>
    <row r="199" spans="1:23" x14ac:dyDescent="0.3">
      <c r="A199" s="147"/>
      <c r="B199" s="205">
        <f t="shared" si="33"/>
        <v>16</v>
      </c>
      <c r="C199" s="206">
        <v>42971</v>
      </c>
      <c r="D199" s="161" t="s">
        <v>9</v>
      </c>
      <c r="E199" s="161" t="s">
        <v>2328</v>
      </c>
      <c r="F199" s="207">
        <v>240</v>
      </c>
      <c r="G199" s="207">
        <v>180</v>
      </c>
      <c r="H199" s="161">
        <v>30</v>
      </c>
      <c r="I199" s="207">
        <v>160</v>
      </c>
      <c r="J199" s="242">
        <f t="shared" si="30"/>
        <v>4800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17</v>
      </c>
      <c r="C200" s="206">
        <v>42975</v>
      </c>
      <c r="D200" s="161" t="s">
        <v>9</v>
      </c>
      <c r="E200" s="161" t="s">
        <v>2328</v>
      </c>
      <c r="F200" s="207">
        <v>140</v>
      </c>
      <c r="G200" s="207">
        <v>165</v>
      </c>
      <c r="H200" s="161">
        <v>25</v>
      </c>
      <c r="I200" s="207">
        <v>160</v>
      </c>
      <c r="J200" s="242">
        <f t="shared" si="30"/>
        <v>4000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18</v>
      </c>
      <c r="C201" s="206">
        <v>42976</v>
      </c>
      <c r="D201" s="161" t="s">
        <v>9</v>
      </c>
      <c r="E201" s="161" t="s">
        <v>2327</v>
      </c>
      <c r="F201" s="207">
        <v>140</v>
      </c>
      <c r="G201" s="207">
        <v>170</v>
      </c>
      <c r="H201" s="161">
        <v>30</v>
      </c>
      <c r="I201" s="207">
        <v>160</v>
      </c>
      <c r="J201" s="242">
        <f t="shared" si="30"/>
        <v>4800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19</v>
      </c>
      <c r="C202" s="206">
        <v>42977</v>
      </c>
      <c r="D202" s="161" t="s">
        <v>9</v>
      </c>
      <c r="E202" s="161" t="s">
        <v>2328</v>
      </c>
      <c r="F202" s="207">
        <v>140</v>
      </c>
      <c r="G202" s="207">
        <v>140</v>
      </c>
      <c r="H202" s="161">
        <v>0</v>
      </c>
      <c r="I202" s="207">
        <v>160</v>
      </c>
      <c r="J202" s="242">
        <f t="shared" si="30"/>
        <v>0</v>
      </c>
      <c r="K202" s="153"/>
      <c r="V202" s="25">
        <f t="shared" si="31"/>
        <v>0</v>
      </c>
      <c r="W202" s="25">
        <f t="shared" si="32"/>
        <v>0</v>
      </c>
    </row>
    <row r="203" spans="1:23" x14ac:dyDescent="0.3">
      <c r="A203" s="147"/>
      <c r="B203" s="205">
        <f t="shared" si="33"/>
        <v>20</v>
      </c>
      <c r="C203" s="206">
        <v>42978</v>
      </c>
      <c r="D203" s="161" t="s">
        <v>9</v>
      </c>
      <c r="E203" s="161" t="s">
        <v>2328</v>
      </c>
      <c r="F203" s="207">
        <v>160</v>
      </c>
      <c r="G203" s="207">
        <v>190</v>
      </c>
      <c r="H203" s="161">
        <v>30</v>
      </c>
      <c r="I203" s="207">
        <v>160</v>
      </c>
      <c r="J203" s="242">
        <f t="shared" si="30"/>
        <v>4800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0"/>
        <v>0</v>
      </c>
      <c r="K204" s="153"/>
      <c r="V204" s="25">
        <f t="shared" si="31"/>
        <v>0</v>
      </c>
      <c r="W204" s="25">
        <f t="shared" si="32"/>
        <v>0</v>
      </c>
    </row>
    <row r="205" spans="1:23" x14ac:dyDescent="0.3">
      <c r="A205" s="147"/>
      <c r="B205" s="205">
        <f t="shared" si="33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ht="15" thickBot="1" x14ac:dyDescent="0.35">
      <c r="A206" s="147"/>
      <c r="B206" s="208">
        <f t="shared" si="33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87200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2313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42948</v>
      </c>
      <c r="D215" s="185" t="s">
        <v>9</v>
      </c>
      <c r="E215" s="185" t="s">
        <v>2316</v>
      </c>
      <c r="F215" s="219">
        <v>65</v>
      </c>
      <c r="G215" s="219">
        <v>71</v>
      </c>
      <c r="H215" s="185">
        <v>6</v>
      </c>
      <c r="I215" s="219">
        <v>350</v>
      </c>
      <c r="J215" s="246">
        <f t="shared" ref="J215:J237" si="34">I215*H215</f>
        <v>2100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42949</v>
      </c>
      <c r="D216" s="161" t="s">
        <v>9</v>
      </c>
      <c r="E216" s="161" t="s">
        <v>2318</v>
      </c>
      <c r="F216" s="207">
        <v>23</v>
      </c>
      <c r="G216" s="222">
        <v>22.8</v>
      </c>
      <c r="H216" s="234">
        <v>-0.2</v>
      </c>
      <c r="I216" s="207">
        <v>500</v>
      </c>
      <c r="J216" s="242">
        <f>I216*H216</f>
        <v>-100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5">B216+1</f>
        <v>3</v>
      </c>
      <c r="C217" s="206">
        <v>42950</v>
      </c>
      <c r="D217" s="161" t="s">
        <v>9</v>
      </c>
      <c r="E217" s="161" t="s">
        <v>2320</v>
      </c>
      <c r="F217" s="207">
        <v>47</v>
      </c>
      <c r="G217" s="207">
        <v>57</v>
      </c>
      <c r="H217" s="234">
        <v>10</v>
      </c>
      <c r="I217" s="207">
        <v>350</v>
      </c>
      <c r="J217" s="242">
        <f t="shared" si="34"/>
        <v>3500</v>
      </c>
      <c r="K217" s="153"/>
      <c r="V217" s="25">
        <f t="shared" ref="V217:V237" si="36">IF($J217&gt;0,1,0)</f>
        <v>1</v>
      </c>
      <c r="W217" s="25">
        <f t="shared" ref="W217:W237" si="37">IF($J217&lt;0,1,0)</f>
        <v>0</v>
      </c>
    </row>
    <row r="218" spans="1:23" x14ac:dyDescent="0.3">
      <c r="A218" s="147"/>
      <c r="B218" s="205">
        <f t="shared" si="35"/>
        <v>4</v>
      </c>
      <c r="C218" s="206">
        <v>42951</v>
      </c>
      <c r="D218" s="161" t="s">
        <v>9</v>
      </c>
      <c r="E218" s="161" t="s">
        <v>370</v>
      </c>
      <c r="F218" s="207">
        <v>69</v>
      </c>
      <c r="G218" s="207">
        <v>89</v>
      </c>
      <c r="H218" s="234">
        <v>20</v>
      </c>
      <c r="I218" s="207">
        <v>200</v>
      </c>
      <c r="J218" s="242">
        <f t="shared" si="34"/>
        <v>4000</v>
      </c>
      <c r="K218" s="153"/>
      <c r="V218" s="25">
        <f t="shared" si="36"/>
        <v>1</v>
      </c>
      <c r="W218" s="25">
        <f t="shared" si="37"/>
        <v>0</v>
      </c>
    </row>
    <row r="219" spans="1:23" x14ac:dyDescent="0.3">
      <c r="A219" s="147"/>
      <c r="B219" s="205">
        <f t="shared" si="35"/>
        <v>5</v>
      </c>
      <c r="C219" s="206">
        <v>42955</v>
      </c>
      <c r="D219" s="161" t="s">
        <v>9</v>
      </c>
      <c r="E219" s="161" t="s">
        <v>2322</v>
      </c>
      <c r="F219" s="207">
        <v>40</v>
      </c>
      <c r="G219" s="207">
        <v>54</v>
      </c>
      <c r="H219" s="234">
        <v>14</v>
      </c>
      <c r="I219" s="207">
        <v>350</v>
      </c>
      <c r="J219" s="242">
        <f t="shared" si="34"/>
        <v>4900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6</v>
      </c>
      <c r="C220" s="206">
        <v>42956</v>
      </c>
      <c r="D220" s="161" t="s">
        <v>9</v>
      </c>
      <c r="E220" s="161" t="s">
        <v>2323</v>
      </c>
      <c r="F220" s="207">
        <v>65</v>
      </c>
      <c r="G220" s="207">
        <v>88</v>
      </c>
      <c r="H220" s="234">
        <v>23</v>
      </c>
      <c r="I220" s="207">
        <v>200</v>
      </c>
      <c r="J220" s="242">
        <f t="shared" si="34"/>
        <v>4600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7</v>
      </c>
      <c r="C221" s="206">
        <v>42957</v>
      </c>
      <c r="D221" s="161" t="s">
        <v>9</v>
      </c>
      <c r="E221" s="161" t="s">
        <v>2324</v>
      </c>
      <c r="F221" s="207">
        <v>38</v>
      </c>
      <c r="G221" s="207">
        <v>44</v>
      </c>
      <c r="H221" s="234">
        <v>6</v>
      </c>
      <c r="I221" s="207">
        <v>350</v>
      </c>
      <c r="J221" s="242">
        <f t="shared" si="34"/>
        <v>2100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8</v>
      </c>
      <c r="C222" s="206">
        <v>42958</v>
      </c>
      <c r="D222" s="161" t="s">
        <v>9</v>
      </c>
      <c r="E222" s="161" t="s">
        <v>2326</v>
      </c>
      <c r="F222" s="207">
        <v>85</v>
      </c>
      <c r="G222" s="207">
        <v>70</v>
      </c>
      <c r="H222" s="234">
        <v>-15</v>
      </c>
      <c r="I222" s="207">
        <v>200</v>
      </c>
      <c r="J222" s="242">
        <f t="shared" si="34"/>
        <v>-3000</v>
      </c>
      <c r="K222" s="153"/>
      <c r="V222" s="25">
        <f t="shared" si="36"/>
        <v>0</v>
      </c>
      <c r="W222" s="25">
        <f t="shared" si="37"/>
        <v>1</v>
      </c>
    </row>
    <row r="223" spans="1:23" x14ac:dyDescent="0.3">
      <c r="A223" s="147"/>
      <c r="B223" s="205">
        <f t="shared" si="35"/>
        <v>9</v>
      </c>
      <c r="C223" s="206">
        <v>42961</v>
      </c>
      <c r="D223" s="161" t="s">
        <v>9</v>
      </c>
      <c r="E223" s="161" t="s">
        <v>2329</v>
      </c>
      <c r="F223" s="207">
        <v>11</v>
      </c>
      <c r="G223" s="222">
        <v>9.75</v>
      </c>
      <c r="H223" s="234">
        <v>-1.25</v>
      </c>
      <c r="I223" s="207">
        <v>3084</v>
      </c>
      <c r="J223" s="242">
        <f t="shared" si="34"/>
        <v>-3855</v>
      </c>
      <c r="K223" s="153"/>
      <c r="V223" s="25">
        <f t="shared" si="36"/>
        <v>0</v>
      </c>
      <c r="W223" s="25">
        <f t="shared" si="37"/>
        <v>1</v>
      </c>
    </row>
    <row r="224" spans="1:23" x14ac:dyDescent="0.3">
      <c r="A224" s="147"/>
      <c r="B224" s="205">
        <f t="shared" si="35"/>
        <v>10</v>
      </c>
      <c r="C224" s="206">
        <v>42963</v>
      </c>
      <c r="D224" s="161" t="s">
        <v>9</v>
      </c>
      <c r="E224" s="161" t="s">
        <v>2006</v>
      </c>
      <c r="F224" s="222">
        <v>6.5</v>
      </c>
      <c r="G224" s="222">
        <v>4.5</v>
      </c>
      <c r="H224" s="234">
        <v>-2</v>
      </c>
      <c r="I224" s="207">
        <v>3000</v>
      </c>
      <c r="J224" s="242">
        <f t="shared" si="34"/>
        <v>-6000</v>
      </c>
      <c r="K224" s="153"/>
      <c r="V224" s="25">
        <f t="shared" si="36"/>
        <v>0</v>
      </c>
      <c r="W224" s="25">
        <f t="shared" si="37"/>
        <v>1</v>
      </c>
    </row>
    <row r="225" spans="1:23" x14ac:dyDescent="0.3">
      <c r="A225" s="147"/>
      <c r="B225" s="205">
        <f t="shared" si="35"/>
        <v>11</v>
      </c>
      <c r="C225" s="206">
        <v>42964</v>
      </c>
      <c r="D225" s="161" t="s">
        <v>9</v>
      </c>
      <c r="E225" s="161" t="s">
        <v>2330</v>
      </c>
      <c r="F225" s="207">
        <v>33</v>
      </c>
      <c r="G225" s="222">
        <v>53</v>
      </c>
      <c r="H225" s="234">
        <v>20</v>
      </c>
      <c r="I225" s="207">
        <v>350</v>
      </c>
      <c r="J225" s="242">
        <f t="shared" si="34"/>
        <v>7000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12</v>
      </c>
      <c r="C226" s="206">
        <v>42965</v>
      </c>
      <c r="D226" s="161" t="s">
        <v>9</v>
      </c>
      <c r="E226" s="161" t="s">
        <v>1882</v>
      </c>
      <c r="F226" s="207">
        <v>6</v>
      </c>
      <c r="G226" s="207">
        <v>7</v>
      </c>
      <c r="H226" s="234">
        <v>1</v>
      </c>
      <c r="I226" s="207">
        <v>3000</v>
      </c>
      <c r="J226" s="242">
        <f t="shared" si="34"/>
        <v>3000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13</v>
      </c>
      <c r="C227" s="206">
        <v>42968</v>
      </c>
      <c r="D227" s="161" t="s">
        <v>9</v>
      </c>
      <c r="E227" s="161" t="s">
        <v>2329</v>
      </c>
      <c r="F227" s="222">
        <v>5.5</v>
      </c>
      <c r="G227" s="222">
        <v>9.5</v>
      </c>
      <c r="H227" s="234">
        <v>4</v>
      </c>
      <c r="I227" s="207">
        <v>3084</v>
      </c>
      <c r="J227" s="242">
        <f t="shared" si="34"/>
        <v>12336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14</v>
      </c>
      <c r="C228" s="206">
        <v>42969</v>
      </c>
      <c r="D228" s="161" t="s">
        <v>9</v>
      </c>
      <c r="E228" s="161" t="s">
        <v>2332</v>
      </c>
      <c r="F228" s="207">
        <v>7</v>
      </c>
      <c r="G228" s="222">
        <v>8</v>
      </c>
      <c r="H228" s="234">
        <v>1</v>
      </c>
      <c r="I228" s="207">
        <v>3084</v>
      </c>
      <c r="J228" s="242">
        <f>I228*H228</f>
        <v>3084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15</v>
      </c>
      <c r="C229" s="206">
        <v>42970</v>
      </c>
      <c r="D229" s="161" t="s">
        <v>9</v>
      </c>
      <c r="E229" s="161" t="s">
        <v>2333</v>
      </c>
      <c r="F229" s="222">
        <v>27</v>
      </c>
      <c r="G229" s="222">
        <v>33</v>
      </c>
      <c r="H229" s="234">
        <v>6</v>
      </c>
      <c r="I229" s="207">
        <v>500</v>
      </c>
      <c r="J229" s="242">
        <f t="shared" si="34"/>
        <v>3000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16</v>
      </c>
      <c r="C230" s="206">
        <v>42971</v>
      </c>
      <c r="D230" s="161" t="s">
        <v>9</v>
      </c>
      <c r="E230" s="161" t="s">
        <v>2334</v>
      </c>
      <c r="F230" s="222">
        <v>5.5</v>
      </c>
      <c r="G230" s="222">
        <v>3.5</v>
      </c>
      <c r="H230" s="161">
        <v>-2</v>
      </c>
      <c r="I230" s="207">
        <v>3084</v>
      </c>
      <c r="J230" s="242">
        <f t="shared" si="34"/>
        <v>-6168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17</v>
      </c>
      <c r="C231" s="206">
        <v>42975</v>
      </c>
      <c r="D231" s="161" t="s">
        <v>9</v>
      </c>
      <c r="E231" s="161" t="s">
        <v>2323</v>
      </c>
      <c r="F231" s="222">
        <v>33</v>
      </c>
      <c r="G231" s="222">
        <v>48</v>
      </c>
      <c r="H231" s="161">
        <v>15</v>
      </c>
      <c r="I231" s="207">
        <v>200</v>
      </c>
      <c r="J231" s="242">
        <f t="shared" si="34"/>
        <v>3000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18</v>
      </c>
      <c r="C232" s="206">
        <v>42976</v>
      </c>
      <c r="D232" s="161" t="s">
        <v>9</v>
      </c>
      <c r="E232" s="161" t="s">
        <v>2335</v>
      </c>
      <c r="F232" s="207">
        <v>19</v>
      </c>
      <c r="G232" s="222">
        <v>32</v>
      </c>
      <c r="H232" s="161">
        <v>13</v>
      </c>
      <c r="I232" s="207">
        <v>350</v>
      </c>
      <c r="J232" s="242">
        <f t="shared" si="34"/>
        <v>4550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19</v>
      </c>
      <c r="C233" s="206">
        <v>42977</v>
      </c>
      <c r="D233" s="161" t="s">
        <v>9</v>
      </c>
      <c r="E233" s="161" t="s">
        <v>2335</v>
      </c>
      <c r="F233" s="207">
        <v>19</v>
      </c>
      <c r="G233" s="207">
        <v>26</v>
      </c>
      <c r="H233" s="161">
        <v>7</v>
      </c>
      <c r="I233" s="207">
        <v>350</v>
      </c>
      <c r="J233" s="242">
        <f t="shared" si="34"/>
        <v>2450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20</v>
      </c>
      <c r="C234" s="206">
        <v>42978</v>
      </c>
      <c r="D234" s="161" t="s">
        <v>9</v>
      </c>
      <c r="E234" s="161" t="s">
        <v>2323</v>
      </c>
      <c r="F234" s="207">
        <v>30</v>
      </c>
      <c r="G234" s="207">
        <v>38</v>
      </c>
      <c r="H234" s="161">
        <v>8</v>
      </c>
      <c r="I234" s="207">
        <v>200</v>
      </c>
      <c r="J234" s="242">
        <f t="shared" si="34"/>
        <v>1600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34"/>
        <v>0</v>
      </c>
      <c r="K235" s="153"/>
      <c r="V235" s="25">
        <f t="shared" si="36"/>
        <v>0</v>
      </c>
      <c r="W235" s="25">
        <f t="shared" si="37"/>
        <v>0</v>
      </c>
    </row>
    <row r="236" spans="1:23" x14ac:dyDescent="0.3">
      <c r="A236" s="147"/>
      <c r="B236" s="205">
        <f t="shared" si="35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ht="15" thickBot="1" x14ac:dyDescent="0.35">
      <c r="A237" s="147"/>
      <c r="B237" s="208">
        <f t="shared" si="35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42097</v>
      </c>
      <c r="K238" s="153"/>
      <c r="V238" s="25">
        <f>SUM(V215:V237)</f>
        <v>15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400-000000000000}"/>
    <hyperlink ref="B83" r:id="rId2" xr:uid="{00000000-0004-0000-3400-000001000000}"/>
    <hyperlink ref="B114" r:id="rId3" xr:uid="{00000000-0004-0000-3400-000002000000}"/>
    <hyperlink ref="M8:M9" location="'AUG 2017'!A108" display="NIFTY FUTURE" xr:uid="{00000000-0004-0000-3400-000003000000}"/>
    <hyperlink ref="B145" r:id="rId4" xr:uid="{00000000-0004-0000-3400-000004000000}"/>
    <hyperlink ref="M10:M11" location="'AUG 2017'!A139" display="NF. OPTION" xr:uid="{00000000-0004-0000-3400-000005000000}"/>
    <hyperlink ref="B176" r:id="rId5" xr:uid="{00000000-0004-0000-3400-000006000000}"/>
    <hyperlink ref="M12:M13" location="'AUG 2017'!A170" display="BANK NIFTY" xr:uid="{00000000-0004-0000-3400-000007000000}"/>
    <hyperlink ref="B207" r:id="rId6" xr:uid="{00000000-0004-0000-3400-000008000000}"/>
    <hyperlink ref="M14:M15" location="'AUG 2017'!A201" display="B.NIFTY OPTION" xr:uid="{00000000-0004-0000-3400-000009000000}"/>
    <hyperlink ref="B238" r:id="rId7" xr:uid="{00000000-0004-0000-3400-00000A000000}"/>
    <hyperlink ref="M16:M17" location="'AUG 2017'!A232" display="STOCK OPTION" xr:uid="{00000000-0004-0000-3400-00000B000000}"/>
    <hyperlink ref="M6:M7" location="'AUG 2017'!A77" display="STOCK FUTURE" xr:uid="{00000000-0004-0000-3400-00000C000000}"/>
    <hyperlink ref="M4:M5" location="'AUG 2017'!A1" display="CASH" xr:uid="{00000000-0004-0000-3400-00000D000000}"/>
    <hyperlink ref="M1" location="'MASTER '!A1" display="Back" xr:uid="{00000000-0004-0000-3400-00000E000000}"/>
  </hyperlinks>
  <pageMargins left="0" right="0" top="0" bottom="0" header="0" footer="0"/>
  <pageSetup scale="95" orientation="portrait" r:id="rId8"/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2313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31</v>
      </c>
      <c r="P4" s="354">
        <f>W52</f>
        <v>8</v>
      </c>
      <c r="Q4" s="355">
        <f>N4-O4-P4</f>
        <v>3</v>
      </c>
      <c r="R4" s="314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42979</v>
      </c>
      <c r="D6" s="158" t="s">
        <v>9</v>
      </c>
      <c r="E6" s="158" t="s">
        <v>58</v>
      </c>
      <c r="F6" s="204">
        <v>501</v>
      </c>
      <c r="G6" s="230">
        <v>507.5</v>
      </c>
      <c r="H6" s="158">
        <v>6.5</v>
      </c>
      <c r="I6" s="204">
        <f>300000/F6</f>
        <v>598.80239520958082</v>
      </c>
      <c r="J6" s="241">
        <f>H6*I6</f>
        <v>3892.2155688622752</v>
      </c>
      <c r="K6" s="153"/>
      <c r="M6" s="389" t="s">
        <v>450</v>
      </c>
      <c r="N6" s="343">
        <f>COUNT(C60:C82)</f>
        <v>21</v>
      </c>
      <c r="O6" s="345">
        <f>V83</f>
        <v>17</v>
      </c>
      <c r="P6" s="345">
        <f>W83</f>
        <v>3</v>
      </c>
      <c r="Q6" s="347">
        <f>N6-O6-P6</f>
        <v>1</v>
      </c>
      <c r="R6" s="340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42979</v>
      </c>
      <c r="D7" s="161" t="s">
        <v>8</v>
      </c>
      <c r="E7" s="161" t="s">
        <v>78</v>
      </c>
      <c r="F7" s="207">
        <v>1140</v>
      </c>
      <c r="G7" s="207">
        <v>1135</v>
      </c>
      <c r="H7" s="234">
        <v>5</v>
      </c>
      <c r="I7" s="207">
        <f t="shared" ref="I7" si="1">300000/F7</f>
        <v>263.15789473684208</v>
      </c>
      <c r="J7" s="242">
        <f t="shared" ref="J7" si="2">H7*I7</f>
        <v>1315.7894736842104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42982</v>
      </c>
      <c r="D8" s="161" t="s">
        <v>9</v>
      </c>
      <c r="E8" s="161" t="s">
        <v>834</v>
      </c>
      <c r="F8" s="207">
        <v>318</v>
      </c>
      <c r="G8" s="207">
        <v>314</v>
      </c>
      <c r="H8" s="161">
        <v>-4</v>
      </c>
      <c r="I8" s="207">
        <f t="shared" ref="I8" si="6">300000/F8</f>
        <v>943.39622641509436</v>
      </c>
      <c r="J8" s="242">
        <f t="shared" ref="J8" si="7">H8*I8</f>
        <v>-3773.5849056603774</v>
      </c>
      <c r="K8" s="153"/>
      <c r="M8" s="389" t="s">
        <v>451</v>
      </c>
      <c r="N8" s="343">
        <f>COUNT(C91:C113)</f>
        <v>19</v>
      </c>
      <c r="O8" s="345">
        <f>V114</f>
        <v>12</v>
      </c>
      <c r="P8" s="345">
        <f>W114</f>
        <v>7</v>
      </c>
      <c r="Q8" s="347">
        <f>N8-O8-P8</f>
        <v>0</v>
      </c>
      <c r="R8" s="340">
        <f t="shared" ref="R8" si="8">O8/N8</f>
        <v>0.63157894736842102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42982</v>
      </c>
      <c r="D9" s="161" t="s">
        <v>8</v>
      </c>
      <c r="E9" s="161" t="s">
        <v>78</v>
      </c>
      <c r="F9" s="207">
        <v>1132</v>
      </c>
      <c r="G9" s="222">
        <v>1122.5</v>
      </c>
      <c r="H9" s="161">
        <v>9.5</v>
      </c>
      <c r="I9" s="207">
        <f t="shared" ref="I9:I47" si="9">300000/F9</f>
        <v>265.01766784452298</v>
      </c>
      <c r="J9" s="242">
        <f t="shared" ref="J9:J47" si="10">H9*I9</f>
        <v>2517.6678445229682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42983</v>
      </c>
      <c r="D10" s="161" t="s">
        <v>9</v>
      </c>
      <c r="E10" s="161" t="s">
        <v>139</v>
      </c>
      <c r="F10" s="207">
        <v>1780</v>
      </c>
      <c r="G10" s="207">
        <v>1780</v>
      </c>
      <c r="H10" s="161">
        <v>0</v>
      </c>
      <c r="I10" s="207">
        <f t="shared" si="9"/>
        <v>168.53932584269663</v>
      </c>
      <c r="J10" s="242">
        <f t="shared" si="10"/>
        <v>0</v>
      </c>
      <c r="K10" s="153"/>
      <c r="M10" s="389" t="s">
        <v>1176</v>
      </c>
      <c r="N10" s="343">
        <f>COUNT(C122:C144)</f>
        <v>20</v>
      </c>
      <c r="O10" s="345">
        <f>V145</f>
        <v>11</v>
      </c>
      <c r="P10" s="345">
        <f>W145</f>
        <v>9</v>
      </c>
      <c r="Q10" s="347">
        <f t="shared" ref="Q10" si="11">N10-O10-P10</f>
        <v>0</v>
      </c>
      <c r="R10" s="340">
        <f t="shared" ref="R10:R16" si="12">O10/N10</f>
        <v>0.55000000000000004</v>
      </c>
      <c r="V10" s="25">
        <f t="shared" si="3"/>
        <v>0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42983</v>
      </c>
      <c r="D11" s="161" t="s">
        <v>8</v>
      </c>
      <c r="E11" s="161" t="s">
        <v>2107</v>
      </c>
      <c r="F11" s="207">
        <v>2730</v>
      </c>
      <c r="G11" s="207">
        <v>2690</v>
      </c>
      <c r="H11" s="234">
        <v>40</v>
      </c>
      <c r="I11" s="207">
        <f t="shared" si="9"/>
        <v>109.89010989010988</v>
      </c>
      <c r="J11" s="242">
        <f t="shared" si="10"/>
        <v>4395.604395604395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42984</v>
      </c>
      <c r="D12" s="161" t="s">
        <v>9</v>
      </c>
      <c r="E12" s="161" t="s">
        <v>395</v>
      </c>
      <c r="F12" s="207">
        <v>2195</v>
      </c>
      <c r="G12" s="207">
        <v>2205</v>
      </c>
      <c r="H12" s="161">
        <v>10</v>
      </c>
      <c r="I12" s="207">
        <f t="shared" si="9"/>
        <v>136.67425968109339</v>
      </c>
      <c r="J12" s="242">
        <f t="shared" si="10"/>
        <v>1366.7425968109339</v>
      </c>
      <c r="K12" s="153"/>
      <c r="M12" s="389" t="s">
        <v>41</v>
      </c>
      <c r="N12" s="343">
        <f>COUNT(C153:C175)</f>
        <v>20</v>
      </c>
      <c r="O12" s="345">
        <f>V176</f>
        <v>14</v>
      </c>
      <c r="P12" s="345">
        <f>W176</f>
        <v>5</v>
      </c>
      <c r="Q12" s="347">
        <v>1</v>
      </c>
      <c r="R12" s="340">
        <f t="shared" si="12"/>
        <v>0.7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42984</v>
      </c>
      <c r="D13" s="161" t="s">
        <v>8</v>
      </c>
      <c r="E13" s="161" t="s">
        <v>31</v>
      </c>
      <c r="F13" s="207">
        <v>1640</v>
      </c>
      <c r="G13" s="207">
        <v>1643</v>
      </c>
      <c r="H13" s="234">
        <v>-3</v>
      </c>
      <c r="I13" s="207">
        <f t="shared" si="9"/>
        <v>182.92682926829269</v>
      </c>
      <c r="J13" s="242">
        <f t="shared" si="10"/>
        <v>-548.78048780487802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42985</v>
      </c>
      <c r="D14" s="161" t="s">
        <v>9</v>
      </c>
      <c r="E14" s="161" t="s">
        <v>139</v>
      </c>
      <c r="F14" s="207">
        <v>1810</v>
      </c>
      <c r="G14" s="207">
        <v>1819</v>
      </c>
      <c r="H14" s="161">
        <v>9</v>
      </c>
      <c r="I14" s="207">
        <f t="shared" si="9"/>
        <v>165.74585635359117</v>
      </c>
      <c r="J14" s="242">
        <f t="shared" si="10"/>
        <v>1491.7127071823204</v>
      </c>
      <c r="K14" s="153"/>
      <c r="M14" s="389" t="s">
        <v>1175</v>
      </c>
      <c r="N14" s="343">
        <f>COUNT(C184:C206)</f>
        <v>19</v>
      </c>
      <c r="O14" s="345">
        <f>V207</f>
        <v>11</v>
      </c>
      <c r="P14" s="345">
        <f>W207</f>
        <v>7</v>
      </c>
      <c r="Q14" s="347">
        <v>1</v>
      </c>
      <c r="R14" s="340">
        <f t="shared" si="12"/>
        <v>0.57894736842105265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42985</v>
      </c>
      <c r="D15" s="161" t="s">
        <v>8</v>
      </c>
      <c r="E15" s="161" t="s">
        <v>2107</v>
      </c>
      <c r="F15" s="207">
        <v>2705</v>
      </c>
      <c r="G15" s="207">
        <v>2694</v>
      </c>
      <c r="H15" s="161">
        <v>11</v>
      </c>
      <c r="I15" s="207">
        <f t="shared" si="9"/>
        <v>110.90573012939002</v>
      </c>
      <c r="J15" s="242">
        <f t="shared" si="10"/>
        <v>1219.9630314232902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42986</v>
      </c>
      <c r="D16" s="161" t="s">
        <v>9</v>
      </c>
      <c r="E16" s="161" t="s">
        <v>78</v>
      </c>
      <c r="F16" s="207">
        <v>1150</v>
      </c>
      <c r="G16" s="207">
        <v>1170</v>
      </c>
      <c r="H16" s="161">
        <v>20</v>
      </c>
      <c r="I16" s="207">
        <f t="shared" si="9"/>
        <v>260.86956521739131</v>
      </c>
      <c r="J16" s="242">
        <f t="shared" si="10"/>
        <v>5217.391304347826</v>
      </c>
      <c r="K16" s="153"/>
      <c r="L16" s="25" t="s">
        <v>2008</v>
      </c>
      <c r="M16" s="389" t="s">
        <v>1090</v>
      </c>
      <c r="N16" s="343">
        <f>COUNT(C215:C237)</f>
        <v>20</v>
      </c>
      <c r="O16" s="345">
        <f>V238</f>
        <v>10</v>
      </c>
      <c r="P16" s="345">
        <f>W238</f>
        <v>7</v>
      </c>
      <c r="Q16" s="347">
        <f t="shared" ref="Q16" si="13">N16-O16-P16</f>
        <v>3</v>
      </c>
      <c r="R16" s="340">
        <f t="shared" si="12"/>
        <v>0.5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42986</v>
      </c>
      <c r="D17" s="161" t="s">
        <v>8</v>
      </c>
      <c r="E17" s="161" t="s">
        <v>139</v>
      </c>
      <c r="F17" s="207">
        <v>1800</v>
      </c>
      <c r="G17" s="207">
        <v>1785</v>
      </c>
      <c r="H17" s="161">
        <v>15</v>
      </c>
      <c r="I17" s="207">
        <f t="shared" si="9"/>
        <v>166.66666666666666</v>
      </c>
      <c r="J17" s="242">
        <f t="shared" si="10"/>
        <v>2500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42989</v>
      </c>
      <c r="D18" s="161" t="s">
        <v>9</v>
      </c>
      <c r="E18" s="161" t="s">
        <v>78</v>
      </c>
      <c r="F18" s="207">
        <v>1205</v>
      </c>
      <c r="G18" s="207">
        <v>1220</v>
      </c>
      <c r="H18" s="161">
        <v>15</v>
      </c>
      <c r="I18" s="207">
        <f t="shared" si="9"/>
        <v>248.96265560165975</v>
      </c>
      <c r="J18" s="242">
        <f t="shared" si="10"/>
        <v>3734.4398340248963</v>
      </c>
      <c r="K18" s="153"/>
      <c r="M18" s="334" t="s">
        <v>946</v>
      </c>
      <c r="N18" s="336">
        <f>SUM(N4:N17)</f>
        <v>161</v>
      </c>
      <c r="O18" s="336">
        <f t="shared" ref="O18:Q18" si="14">SUM(O4:O17)</f>
        <v>106</v>
      </c>
      <c r="P18" s="336">
        <f t="shared" si="14"/>
        <v>46</v>
      </c>
      <c r="Q18" s="338">
        <f t="shared" si="14"/>
        <v>9</v>
      </c>
      <c r="R18" s="314">
        <f t="shared" ref="R18" si="15">O18/N18</f>
        <v>0.65838509316770188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42989</v>
      </c>
      <c r="D19" s="161" t="s">
        <v>8</v>
      </c>
      <c r="E19" s="161" t="s">
        <v>95</v>
      </c>
      <c r="F19" s="207">
        <v>292</v>
      </c>
      <c r="G19" s="222">
        <v>289.10000000000002</v>
      </c>
      <c r="H19" s="161">
        <v>2.9</v>
      </c>
      <c r="I19" s="207">
        <f t="shared" si="9"/>
        <v>1027.3972602739725</v>
      </c>
      <c r="J19" s="242">
        <f t="shared" si="10"/>
        <v>2979.4520547945203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42990</v>
      </c>
      <c r="D20" s="161" t="s">
        <v>9</v>
      </c>
      <c r="E20" s="161" t="s">
        <v>58</v>
      </c>
      <c r="F20" s="207">
        <v>497</v>
      </c>
      <c r="G20" s="207">
        <v>502</v>
      </c>
      <c r="H20" s="161">
        <v>5</v>
      </c>
      <c r="I20" s="207">
        <f t="shared" si="9"/>
        <v>603.62173038229378</v>
      </c>
      <c r="J20" s="242">
        <f t="shared" si="10"/>
        <v>3018.1086519114688</v>
      </c>
      <c r="K20" s="153"/>
      <c r="M20" s="316" t="s">
        <v>2253</v>
      </c>
      <c r="N20" s="317"/>
      <c r="O20" s="318"/>
      <c r="P20" s="325">
        <f>R18</f>
        <v>0.65838509316770188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42990</v>
      </c>
      <c r="D21" s="161" t="s">
        <v>8</v>
      </c>
      <c r="E21" s="161" t="s">
        <v>395</v>
      </c>
      <c r="F21" s="207">
        <v>2140</v>
      </c>
      <c r="G21" s="207">
        <v>2160</v>
      </c>
      <c r="H21" s="161">
        <v>-20</v>
      </c>
      <c r="I21" s="207">
        <f t="shared" si="9"/>
        <v>140.18691588785046</v>
      </c>
      <c r="J21" s="242">
        <f t="shared" si="10"/>
        <v>-2803.7383177570091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42991</v>
      </c>
      <c r="D22" s="161" t="s">
        <v>9</v>
      </c>
      <c r="E22" s="161" t="s">
        <v>58</v>
      </c>
      <c r="F22" s="207">
        <v>498</v>
      </c>
      <c r="G22" s="207">
        <v>505</v>
      </c>
      <c r="H22" s="161">
        <v>7</v>
      </c>
      <c r="I22" s="207">
        <f t="shared" si="9"/>
        <v>602.40963855421683</v>
      </c>
      <c r="J22" s="242">
        <f t="shared" si="10"/>
        <v>4216.8674698795176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42991</v>
      </c>
      <c r="D23" s="161" t="s">
        <v>8</v>
      </c>
      <c r="E23" s="161" t="s">
        <v>78</v>
      </c>
      <c r="F23" s="207">
        <v>1218</v>
      </c>
      <c r="G23" s="207">
        <v>1208</v>
      </c>
      <c r="H23" s="161">
        <v>10</v>
      </c>
      <c r="I23" s="207">
        <f t="shared" si="9"/>
        <v>246.30541871921181</v>
      </c>
      <c r="J23" s="242">
        <f t="shared" si="10"/>
        <v>2463.0541871921182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42992</v>
      </c>
      <c r="D24" s="161" t="s">
        <v>9</v>
      </c>
      <c r="E24" s="161" t="s">
        <v>19</v>
      </c>
      <c r="F24" s="207">
        <v>275</v>
      </c>
      <c r="G24" s="207">
        <v>275</v>
      </c>
      <c r="H24" s="161">
        <v>0</v>
      </c>
      <c r="I24" s="207">
        <f t="shared" si="9"/>
        <v>1090.909090909091</v>
      </c>
      <c r="J24" s="242">
        <f t="shared" si="10"/>
        <v>0</v>
      </c>
      <c r="K24" s="153"/>
      <c r="V24" s="25">
        <f t="shared" si="3"/>
        <v>0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42992</v>
      </c>
      <c r="D25" s="161" t="s">
        <v>8</v>
      </c>
      <c r="E25" s="161" t="s">
        <v>78</v>
      </c>
      <c r="F25" s="207">
        <v>1227</v>
      </c>
      <c r="G25" s="207">
        <v>1213</v>
      </c>
      <c r="H25" s="161">
        <v>14</v>
      </c>
      <c r="I25" s="207">
        <f t="shared" si="9"/>
        <v>244.49877750611248</v>
      </c>
      <c r="J25" s="242">
        <f t="shared" si="10"/>
        <v>3422.9828850855747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42993</v>
      </c>
      <c r="D26" s="161" t="s">
        <v>9</v>
      </c>
      <c r="E26" s="161" t="s">
        <v>862</v>
      </c>
      <c r="F26" s="207">
        <v>825</v>
      </c>
      <c r="G26" s="222">
        <v>830</v>
      </c>
      <c r="H26" s="161">
        <v>5</v>
      </c>
      <c r="I26" s="207">
        <f t="shared" si="9"/>
        <v>363.63636363636363</v>
      </c>
      <c r="J26" s="242">
        <f t="shared" si="10"/>
        <v>1818.181818181818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42993</v>
      </c>
      <c r="D27" s="161" t="s">
        <v>8</v>
      </c>
      <c r="E27" s="161" t="s">
        <v>58</v>
      </c>
      <c r="F27" s="207">
        <v>513</v>
      </c>
      <c r="G27" s="207">
        <v>518</v>
      </c>
      <c r="H27" s="161">
        <v>-5</v>
      </c>
      <c r="I27" s="207">
        <f t="shared" si="9"/>
        <v>584.79532163742692</v>
      </c>
      <c r="J27" s="242">
        <f t="shared" si="10"/>
        <v>-2923.9766081871348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42996</v>
      </c>
      <c r="D28" s="161" t="s">
        <v>9</v>
      </c>
      <c r="E28" s="161" t="s">
        <v>58</v>
      </c>
      <c r="F28" s="207">
        <v>523</v>
      </c>
      <c r="G28" s="222">
        <v>524.20000000000005</v>
      </c>
      <c r="H28" s="161">
        <v>1.2</v>
      </c>
      <c r="I28" s="207">
        <f t="shared" si="9"/>
        <v>573.61376673040149</v>
      </c>
      <c r="J28" s="242">
        <f t="shared" si="10"/>
        <v>688.33652007648175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42996</v>
      </c>
      <c r="D29" s="161" t="s">
        <v>8</v>
      </c>
      <c r="E29" s="161" t="s">
        <v>31</v>
      </c>
      <c r="F29" s="207">
        <v>846</v>
      </c>
      <c r="G29" s="222">
        <v>845.5</v>
      </c>
      <c r="H29" s="161">
        <v>0.5</v>
      </c>
      <c r="I29" s="207">
        <f t="shared" si="9"/>
        <v>354.6099290780142</v>
      </c>
      <c r="J29" s="242">
        <f t="shared" si="10"/>
        <v>177.3049645390071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42997</v>
      </c>
      <c r="D30" s="161" t="s">
        <v>9</v>
      </c>
      <c r="E30" s="161" t="s">
        <v>2093</v>
      </c>
      <c r="F30" s="207">
        <v>644</v>
      </c>
      <c r="G30" s="207">
        <v>652</v>
      </c>
      <c r="H30" s="161">
        <v>8</v>
      </c>
      <c r="I30" s="207">
        <f t="shared" si="9"/>
        <v>465.83850931677017</v>
      </c>
      <c r="J30" s="242">
        <f t="shared" si="10"/>
        <v>3726.7080745341614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42997</v>
      </c>
      <c r="D31" s="161" t="s">
        <v>8</v>
      </c>
      <c r="E31" s="161" t="s">
        <v>95</v>
      </c>
      <c r="F31" s="207">
        <v>291</v>
      </c>
      <c r="G31" s="207">
        <v>290</v>
      </c>
      <c r="H31" s="161">
        <v>1</v>
      </c>
      <c r="I31" s="207">
        <f t="shared" si="9"/>
        <v>1030.9278350515465</v>
      </c>
      <c r="J31" s="242">
        <f t="shared" si="10"/>
        <v>1030.9278350515465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42998</v>
      </c>
      <c r="D32" s="161" t="s">
        <v>9</v>
      </c>
      <c r="E32" s="161" t="s">
        <v>99</v>
      </c>
      <c r="F32" s="207">
        <v>270</v>
      </c>
      <c r="G32" s="222">
        <v>271.3</v>
      </c>
      <c r="H32" s="161">
        <v>1.3</v>
      </c>
      <c r="I32" s="207">
        <f t="shared" si="9"/>
        <v>1111.1111111111111</v>
      </c>
      <c r="J32" s="242">
        <f t="shared" si="10"/>
        <v>1444.4444444444446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42998</v>
      </c>
      <c r="D33" s="161" t="s">
        <v>8</v>
      </c>
      <c r="E33" s="161" t="s">
        <v>2203</v>
      </c>
      <c r="F33" s="207">
        <v>1120</v>
      </c>
      <c r="G33" s="222">
        <v>1118</v>
      </c>
      <c r="H33" s="161">
        <v>-2</v>
      </c>
      <c r="I33" s="207">
        <f t="shared" si="9"/>
        <v>267.85714285714283</v>
      </c>
      <c r="J33" s="242">
        <f t="shared" si="10"/>
        <v>-535.71428571428567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42999</v>
      </c>
      <c r="D34" s="161" t="s">
        <v>9</v>
      </c>
      <c r="E34" s="161" t="s">
        <v>2093</v>
      </c>
      <c r="F34" s="207">
        <v>633</v>
      </c>
      <c r="G34" s="207">
        <v>647</v>
      </c>
      <c r="H34" s="161">
        <v>14</v>
      </c>
      <c r="I34" s="207">
        <f t="shared" si="9"/>
        <v>473.93364928909955</v>
      </c>
      <c r="J34" s="242">
        <f t="shared" si="10"/>
        <v>6635.0710900473932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42999</v>
      </c>
      <c r="D35" s="161" t="s">
        <v>8</v>
      </c>
      <c r="E35" s="161" t="s">
        <v>78</v>
      </c>
      <c r="F35" s="207">
        <v>1216</v>
      </c>
      <c r="G35" s="207">
        <v>1226</v>
      </c>
      <c r="H35" s="161">
        <v>-10</v>
      </c>
      <c r="I35" s="207">
        <f t="shared" si="9"/>
        <v>246.71052631578948</v>
      </c>
      <c r="J35" s="242">
        <f t="shared" si="10"/>
        <v>-2467.105263157895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43000</v>
      </c>
      <c r="D36" s="161" t="s">
        <v>9</v>
      </c>
      <c r="E36" s="161" t="s">
        <v>2093</v>
      </c>
      <c r="F36" s="207">
        <v>639</v>
      </c>
      <c r="G36" s="207">
        <v>632</v>
      </c>
      <c r="H36" s="161">
        <v>-7</v>
      </c>
      <c r="I36" s="207">
        <f t="shared" si="9"/>
        <v>469.48356807511738</v>
      </c>
      <c r="J36" s="242">
        <f t="shared" si="10"/>
        <v>-3286.3849765258215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43000</v>
      </c>
      <c r="D37" s="161" t="s">
        <v>8</v>
      </c>
      <c r="E37" s="161" t="s">
        <v>58</v>
      </c>
      <c r="F37" s="207">
        <v>505</v>
      </c>
      <c r="G37" s="207">
        <v>505</v>
      </c>
      <c r="H37" s="161">
        <v>0</v>
      </c>
      <c r="I37" s="207">
        <f t="shared" si="9"/>
        <v>594.05940594059405</v>
      </c>
      <c r="J37" s="242">
        <f t="shared" si="10"/>
        <v>0</v>
      </c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43003</v>
      </c>
      <c r="D38" s="161" t="s">
        <v>9</v>
      </c>
      <c r="E38" s="161" t="s">
        <v>58</v>
      </c>
      <c r="F38" s="207">
        <v>495</v>
      </c>
      <c r="G38" s="207">
        <v>502</v>
      </c>
      <c r="H38" s="161">
        <v>7</v>
      </c>
      <c r="I38" s="207">
        <f t="shared" si="9"/>
        <v>606.06060606060601</v>
      </c>
      <c r="J38" s="242">
        <f t="shared" si="10"/>
        <v>4242.424242424242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43003</v>
      </c>
      <c r="D39" s="161" t="s">
        <v>8</v>
      </c>
      <c r="E39" s="161" t="s">
        <v>139</v>
      </c>
      <c r="F39" s="207">
        <v>350</v>
      </c>
      <c r="G39" s="207">
        <v>354</v>
      </c>
      <c r="H39" s="161">
        <v>-4</v>
      </c>
      <c r="I39" s="207">
        <f t="shared" si="9"/>
        <v>857.14285714285711</v>
      </c>
      <c r="J39" s="242">
        <f t="shared" si="10"/>
        <v>-3428.5714285714284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43004</v>
      </c>
      <c r="D40" s="161" t="s">
        <v>9</v>
      </c>
      <c r="E40" s="161" t="s">
        <v>58</v>
      </c>
      <c r="F40" s="207">
        <v>505</v>
      </c>
      <c r="G40" s="222">
        <v>515</v>
      </c>
      <c r="H40" s="161">
        <v>10</v>
      </c>
      <c r="I40" s="207">
        <f t="shared" si="9"/>
        <v>594.05940594059405</v>
      </c>
      <c r="J40" s="242">
        <f t="shared" si="10"/>
        <v>5940.5940594059402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43004</v>
      </c>
      <c r="D41" s="161" t="s">
        <v>8</v>
      </c>
      <c r="E41" s="161" t="s">
        <v>395</v>
      </c>
      <c r="F41" s="207">
        <v>2390</v>
      </c>
      <c r="G41" s="207">
        <v>2350</v>
      </c>
      <c r="H41" s="161">
        <v>40</v>
      </c>
      <c r="I41" s="207">
        <f t="shared" si="9"/>
        <v>125.52301255230125</v>
      </c>
      <c r="J41" s="242">
        <f t="shared" si="10"/>
        <v>5020.9205020920499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43005</v>
      </c>
      <c r="D42" s="161" t="s">
        <v>9</v>
      </c>
      <c r="E42" s="161" t="s">
        <v>90</v>
      </c>
      <c r="F42" s="207">
        <v>452</v>
      </c>
      <c r="G42" s="207">
        <v>457</v>
      </c>
      <c r="H42" s="161">
        <v>5</v>
      </c>
      <c r="I42" s="207">
        <f t="shared" si="9"/>
        <v>663.71681415929208</v>
      </c>
      <c r="J42" s="242">
        <f t="shared" si="10"/>
        <v>3318.5840707964603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43005</v>
      </c>
      <c r="D43" s="161" t="s">
        <v>8</v>
      </c>
      <c r="E43" s="161" t="s">
        <v>395</v>
      </c>
      <c r="F43" s="207">
        <v>2355</v>
      </c>
      <c r="G43" s="207">
        <v>2315</v>
      </c>
      <c r="H43" s="161">
        <v>40</v>
      </c>
      <c r="I43" s="207">
        <f t="shared" si="9"/>
        <v>127.38853503184713</v>
      </c>
      <c r="J43" s="242">
        <f t="shared" si="10"/>
        <v>5095.5414012738847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43006</v>
      </c>
      <c r="D44" s="161" t="s">
        <v>9</v>
      </c>
      <c r="E44" s="161" t="s">
        <v>395</v>
      </c>
      <c r="F44" s="207">
        <v>2310</v>
      </c>
      <c r="G44" s="207">
        <v>2350</v>
      </c>
      <c r="H44" s="161">
        <v>40</v>
      </c>
      <c r="I44" s="207">
        <f t="shared" si="9"/>
        <v>129.87012987012986</v>
      </c>
      <c r="J44" s="242">
        <f t="shared" si="10"/>
        <v>5194.8051948051943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43006</v>
      </c>
      <c r="D45" s="161" t="s">
        <v>8</v>
      </c>
      <c r="E45" s="161" t="s">
        <v>95</v>
      </c>
      <c r="F45" s="207">
        <v>276</v>
      </c>
      <c r="G45" s="207">
        <v>270</v>
      </c>
      <c r="H45" s="161">
        <v>6</v>
      </c>
      <c r="I45" s="207">
        <f t="shared" si="9"/>
        <v>1086.9565217391305</v>
      </c>
      <c r="J45" s="242">
        <f t="shared" si="10"/>
        <v>6521.739130434783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43007</v>
      </c>
      <c r="D46" s="161" t="s">
        <v>9</v>
      </c>
      <c r="E46" s="161" t="s">
        <v>2093</v>
      </c>
      <c r="F46" s="207">
        <v>591</v>
      </c>
      <c r="G46" s="207">
        <v>603</v>
      </c>
      <c r="H46" s="161">
        <v>12</v>
      </c>
      <c r="I46" s="207">
        <f t="shared" si="9"/>
        <v>507.61421319796955</v>
      </c>
      <c r="J46" s="242">
        <f t="shared" si="10"/>
        <v>6091.3705583756346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43007</v>
      </c>
      <c r="D47" s="161" t="s">
        <v>8</v>
      </c>
      <c r="E47" s="161" t="s">
        <v>31</v>
      </c>
      <c r="F47" s="207">
        <v>786</v>
      </c>
      <c r="G47" s="207">
        <v>780</v>
      </c>
      <c r="H47" s="161">
        <v>6</v>
      </c>
      <c r="I47" s="207">
        <f t="shared" si="9"/>
        <v>381.67938931297709</v>
      </c>
      <c r="J47" s="242">
        <f t="shared" si="10"/>
        <v>2290.0763358778627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83221.165974308402</v>
      </c>
      <c r="K52" s="153"/>
      <c r="V52" s="25">
        <f>SUM(V6:V51)</f>
        <v>31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2313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42979</v>
      </c>
      <c r="D60" s="158" t="s">
        <v>8</v>
      </c>
      <c r="E60" s="158" t="s">
        <v>19</v>
      </c>
      <c r="F60" s="204">
        <v>281</v>
      </c>
      <c r="G60" s="230">
        <v>278.39999999999998</v>
      </c>
      <c r="H60" s="158">
        <v>2.6</v>
      </c>
      <c r="I60" s="204">
        <v>3000</v>
      </c>
      <c r="J60" s="241">
        <f t="shared" ref="J60:J82" si="16">I60*H60</f>
        <v>7800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42982</v>
      </c>
      <c r="D61" s="161" t="s">
        <v>8</v>
      </c>
      <c r="E61" s="161" t="s">
        <v>192</v>
      </c>
      <c r="F61" s="207">
        <v>341</v>
      </c>
      <c r="G61" s="222">
        <v>335.5</v>
      </c>
      <c r="H61" s="161">
        <v>5.5</v>
      </c>
      <c r="I61" s="207">
        <v>3084</v>
      </c>
      <c r="J61" s="242">
        <f t="shared" si="16"/>
        <v>16962</v>
      </c>
      <c r="K61" s="153"/>
      <c r="V61" s="25">
        <f t="shared" ref="V61:V82" si="17">IF($J61&gt;0,1,0)</f>
        <v>1</v>
      </c>
      <c r="W61" s="25">
        <f t="shared" ref="W61:W82" si="18">IF($J61&lt;0,1,0)</f>
        <v>0</v>
      </c>
    </row>
    <row r="62" spans="1:23" x14ac:dyDescent="0.3">
      <c r="A62" s="147"/>
      <c r="B62" s="205">
        <f t="shared" ref="B62:B82" si="19">B61+1</f>
        <v>3</v>
      </c>
      <c r="C62" s="206">
        <v>42983</v>
      </c>
      <c r="D62" s="161" t="s">
        <v>8</v>
      </c>
      <c r="E62" s="161" t="s">
        <v>78</v>
      </c>
      <c r="F62" s="207">
        <v>1135</v>
      </c>
      <c r="G62" s="207">
        <v>1135</v>
      </c>
      <c r="H62" s="161">
        <v>0</v>
      </c>
      <c r="I62" s="207">
        <v>750</v>
      </c>
      <c r="J62" s="242">
        <f t="shared" si="16"/>
        <v>0</v>
      </c>
      <c r="K62" s="153"/>
      <c r="V62" s="25">
        <f t="shared" si="17"/>
        <v>0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42984</v>
      </c>
      <c r="D63" s="161" t="s">
        <v>8</v>
      </c>
      <c r="E63" s="161" t="s">
        <v>19</v>
      </c>
      <c r="F63" s="222">
        <v>276.5</v>
      </c>
      <c r="G63" s="222">
        <v>275.2</v>
      </c>
      <c r="H63" s="161">
        <v>1.3</v>
      </c>
      <c r="I63" s="207">
        <v>3000</v>
      </c>
      <c r="J63" s="242">
        <f t="shared" si="16"/>
        <v>3900</v>
      </c>
      <c r="K63" s="153"/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42985</v>
      </c>
      <c r="D64" s="161" t="s">
        <v>8</v>
      </c>
      <c r="E64" s="161" t="s">
        <v>160</v>
      </c>
      <c r="F64" s="207">
        <v>558</v>
      </c>
      <c r="G64" s="222">
        <v>553</v>
      </c>
      <c r="H64" s="161">
        <v>5</v>
      </c>
      <c r="I64" s="207">
        <v>1000</v>
      </c>
      <c r="J64" s="242">
        <f t="shared" si="16"/>
        <v>5000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42986</v>
      </c>
      <c r="D65" s="161" t="s">
        <v>8</v>
      </c>
      <c r="E65" s="161" t="s">
        <v>95</v>
      </c>
      <c r="F65" s="207">
        <v>294</v>
      </c>
      <c r="G65" s="222">
        <v>291</v>
      </c>
      <c r="H65" s="161">
        <v>3</v>
      </c>
      <c r="I65" s="207">
        <v>2750</v>
      </c>
      <c r="J65" s="242">
        <f t="shared" si="16"/>
        <v>8250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42989</v>
      </c>
      <c r="D66" s="161" t="s">
        <v>8</v>
      </c>
      <c r="E66" s="161" t="s">
        <v>192</v>
      </c>
      <c r="F66" s="207">
        <v>334</v>
      </c>
      <c r="G66" s="207">
        <v>337</v>
      </c>
      <c r="H66" s="161">
        <v>-3</v>
      </c>
      <c r="I66" s="207">
        <v>3084</v>
      </c>
      <c r="J66" s="242">
        <f t="shared" si="16"/>
        <v>-9252</v>
      </c>
      <c r="K66" s="153"/>
      <c r="V66" s="25">
        <f t="shared" si="17"/>
        <v>0</v>
      </c>
      <c r="W66" s="25">
        <f t="shared" si="18"/>
        <v>1</v>
      </c>
    </row>
    <row r="67" spans="1:23" x14ac:dyDescent="0.3">
      <c r="A67" s="147"/>
      <c r="B67" s="205">
        <f t="shared" si="19"/>
        <v>8</v>
      </c>
      <c r="C67" s="206">
        <v>42990</v>
      </c>
      <c r="D67" s="161" t="s">
        <v>9</v>
      </c>
      <c r="E67" s="161" t="s">
        <v>192</v>
      </c>
      <c r="F67" s="207">
        <v>340</v>
      </c>
      <c r="G67" s="222">
        <v>343</v>
      </c>
      <c r="H67" s="161">
        <v>3</v>
      </c>
      <c r="I67" s="207">
        <v>3084</v>
      </c>
      <c r="J67" s="242">
        <f t="shared" si="16"/>
        <v>9252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42991</v>
      </c>
      <c r="D68" s="161" t="s">
        <v>9</v>
      </c>
      <c r="E68" s="161" t="s">
        <v>19</v>
      </c>
      <c r="F68" s="207">
        <v>277</v>
      </c>
      <c r="G68" s="207">
        <v>275</v>
      </c>
      <c r="H68" s="161">
        <v>-2</v>
      </c>
      <c r="I68" s="207">
        <v>3000</v>
      </c>
      <c r="J68" s="242">
        <f t="shared" si="16"/>
        <v>-6000</v>
      </c>
      <c r="K68" s="153"/>
      <c r="V68" s="25">
        <f t="shared" si="17"/>
        <v>0</v>
      </c>
      <c r="W68" s="25">
        <f t="shared" si="18"/>
        <v>1</v>
      </c>
    </row>
    <row r="69" spans="1:23" x14ac:dyDescent="0.3">
      <c r="A69" s="147"/>
      <c r="B69" s="205">
        <f t="shared" si="19"/>
        <v>10</v>
      </c>
      <c r="C69" s="206">
        <v>42992</v>
      </c>
      <c r="D69" s="161" t="s">
        <v>8</v>
      </c>
      <c r="E69" s="161" t="s">
        <v>78</v>
      </c>
      <c r="F69" s="207">
        <v>1228</v>
      </c>
      <c r="G69" s="207">
        <v>1218</v>
      </c>
      <c r="H69" s="161">
        <v>10</v>
      </c>
      <c r="I69" s="207">
        <v>750</v>
      </c>
      <c r="J69" s="242">
        <f t="shared" si="16"/>
        <v>7500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42993</v>
      </c>
      <c r="D70" s="161" t="s">
        <v>8</v>
      </c>
      <c r="E70" s="161" t="s">
        <v>95</v>
      </c>
      <c r="F70" s="207">
        <v>294</v>
      </c>
      <c r="G70" s="222">
        <v>292.55</v>
      </c>
      <c r="H70" s="161">
        <v>1.45</v>
      </c>
      <c r="I70" s="207">
        <v>2750</v>
      </c>
      <c r="J70" s="242">
        <f t="shared" si="16"/>
        <v>3987.5</v>
      </c>
      <c r="K70" s="153"/>
      <c r="V70" s="25">
        <f t="shared" si="17"/>
        <v>1</v>
      </c>
      <c r="W70" s="25">
        <f t="shared" si="18"/>
        <v>0</v>
      </c>
    </row>
    <row r="71" spans="1:23" x14ac:dyDescent="0.3">
      <c r="A71" s="147"/>
      <c r="B71" s="205">
        <f t="shared" si="19"/>
        <v>12</v>
      </c>
      <c r="C71" s="206">
        <v>42996</v>
      </c>
      <c r="D71" s="161" t="s">
        <v>8</v>
      </c>
      <c r="E71" s="161" t="s">
        <v>95</v>
      </c>
      <c r="F71" s="207">
        <v>294</v>
      </c>
      <c r="G71" s="222">
        <v>293.7</v>
      </c>
      <c r="H71" s="161">
        <v>0.3</v>
      </c>
      <c r="I71" s="207">
        <v>2750</v>
      </c>
      <c r="J71" s="242">
        <f t="shared" si="16"/>
        <v>825</v>
      </c>
      <c r="K71" s="153"/>
      <c r="V71" s="25">
        <f t="shared" si="17"/>
        <v>1</v>
      </c>
      <c r="W71" s="25">
        <f t="shared" si="18"/>
        <v>0</v>
      </c>
    </row>
    <row r="72" spans="1:23" x14ac:dyDescent="0.3">
      <c r="A72" s="147"/>
      <c r="B72" s="205">
        <f t="shared" si="19"/>
        <v>13</v>
      </c>
      <c r="C72" s="206">
        <v>42997</v>
      </c>
      <c r="D72" s="161" t="s">
        <v>8</v>
      </c>
      <c r="E72" s="161" t="s">
        <v>19</v>
      </c>
      <c r="F72" s="222">
        <v>269.5</v>
      </c>
      <c r="G72" s="222">
        <v>267.60000000000002</v>
      </c>
      <c r="H72" s="161">
        <v>1.9</v>
      </c>
      <c r="I72" s="207">
        <v>3000</v>
      </c>
      <c r="J72" s="242">
        <f t="shared" si="16"/>
        <v>5700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42998</v>
      </c>
      <c r="D73" s="161" t="s">
        <v>8</v>
      </c>
      <c r="E73" s="161" t="s">
        <v>2093</v>
      </c>
      <c r="F73" s="223">
        <v>642</v>
      </c>
      <c r="G73" s="207">
        <v>636</v>
      </c>
      <c r="H73" s="234">
        <v>6</v>
      </c>
      <c r="I73" s="207">
        <v>1000</v>
      </c>
      <c r="J73" s="242">
        <f t="shared" si="16"/>
        <v>6000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42999</v>
      </c>
      <c r="D74" s="161" t="s">
        <v>8</v>
      </c>
      <c r="E74" s="161" t="s">
        <v>192</v>
      </c>
      <c r="F74" s="207">
        <v>340</v>
      </c>
      <c r="G74" s="222">
        <v>340.8</v>
      </c>
      <c r="H74" s="238">
        <v>-0.8</v>
      </c>
      <c r="I74" s="207">
        <v>3084</v>
      </c>
      <c r="J74" s="242">
        <f t="shared" si="16"/>
        <v>-2467.2000000000003</v>
      </c>
      <c r="K74" s="153"/>
      <c r="V74" s="25">
        <f t="shared" si="17"/>
        <v>0</v>
      </c>
      <c r="W74" s="25">
        <f t="shared" si="18"/>
        <v>1</v>
      </c>
    </row>
    <row r="75" spans="1:23" x14ac:dyDescent="0.3">
      <c r="A75" s="147"/>
      <c r="B75" s="205">
        <f t="shared" si="19"/>
        <v>16</v>
      </c>
      <c r="C75" s="206">
        <v>43000</v>
      </c>
      <c r="D75" s="161" t="s">
        <v>9</v>
      </c>
      <c r="E75" s="161" t="s">
        <v>2093</v>
      </c>
      <c r="F75" s="207">
        <v>637</v>
      </c>
      <c r="G75" s="222">
        <v>645</v>
      </c>
      <c r="H75" s="161">
        <v>8</v>
      </c>
      <c r="I75" s="207">
        <v>1000</v>
      </c>
      <c r="J75" s="242">
        <f t="shared" si="16"/>
        <v>8000</v>
      </c>
      <c r="K75" s="153"/>
      <c r="V75" s="25">
        <f t="shared" si="17"/>
        <v>1</v>
      </c>
      <c r="W75" s="25">
        <f t="shared" si="18"/>
        <v>0</v>
      </c>
    </row>
    <row r="76" spans="1:23" x14ac:dyDescent="0.3">
      <c r="A76" s="147"/>
      <c r="B76" s="205">
        <f t="shared" si="19"/>
        <v>17</v>
      </c>
      <c r="C76" s="206">
        <v>43003</v>
      </c>
      <c r="D76" s="161" t="s">
        <v>8</v>
      </c>
      <c r="E76" s="161" t="s">
        <v>124</v>
      </c>
      <c r="F76" s="207">
        <v>409</v>
      </c>
      <c r="G76" s="222">
        <v>407.5</v>
      </c>
      <c r="H76" s="161">
        <v>1.5</v>
      </c>
      <c r="I76" s="207">
        <v>1500</v>
      </c>
      <c r="J76" s="242">
        <f t="shared" si="16"/>
        <v>2250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43004</v>
      </c>
      <c r="D77" s="161" t="s">
        <v>8</v>
      </c>
      <c r="E77" s="161" t="s">
        <v>31</v>
      </c>
      <c r="F77" s="207">
        <v>820</v>
      </c>
      <c r="G77" s="222">
        <v>813.5</v>
      </c>
      <c r="H77" s="161">
        <v>6.5</v>
      </c>
      <c r="I77" s="207">
        <v>1000</v>
      </c>
      <c r="J77" s="242">
        <f t="shared" si="16"/>
        <v>6500</v>
      </c>
      <c r="K77" s="153"/>
      <c r="V77" s="25">
        <f t="shared" si="17"/>
        <v>1</v>
      </c>
      <c r="W77" s="25">
        <f t="shared" si="18"/>
        <v>0</v>
      </c>
    </row>
    <row r="78" spans="1:23" x14ac:dyDescent="0.3">
      <c r="A78" s="147"/>
      <c r="B78" s="205">
        <f t="shared" si="19"/>
        <v>19</v>
      </c>
      <c r="C78" s="206">
        <v>43005</v>
      </c>
      <c r="D78" s="161" t="s">
        <v>8</v>
      </c>
      <c r="E78" s="161" t="s">
        <v>192</v>
      </c>
      <c r="F78" s="207">
        <v>325</v>
      </c>
      <c r="G78" s="222">
        <v>319</v>
      </c>
      <c r="H78" s="161">
        <v>6</v>
      </c>
      <c r="I78" s="207">
        <v>3084</v>
      </c>
      <c r="J78" s="242">
        <f t="shared" si="16"/>
        <v>18504</v>
      </c>
      <c r="K78" s="153"/>
      <c r="V78" s="25">
        <f t="shared" si="17"/>
        <v>1</v>
      </c>
      <c r="W78" s="25">
        <f t="shared" si="18"/>
        <v>0</v>
      </c>
    </row>
    <row r="79" spans="1:23" x14ac:dyDescent="0.3">
      <c r="A79" s="147"/>
      <c r="B79" s="205">
        <f t="shared" si="19"/>
        <v>20</v>
      </c>
      <c r="C79" s="206">
        <v>43006</v>
      </c>
      <c r="D79" s="161" t="s">
        <v>8</v>
      </c>
      <c r="E79" s="161" t="s">
        <v>192</v>
      </c>
      <c r="F79" s="207">
        <v>317</v>
      </c>
      <c r="G79" s="222">
        <v>315.5</v>
      </c>
      <c r="H79" s="161">
        <v>1.5</v>
      </c>
      <c r="I79" s="207">
        <v>3084</v>
      </c>
      <c r="J79" s="242">
        <f t="shared" si="16"/>
        <v>4626</v>
      </c>
      <c r="K79" s="153"/>
      <c r="V79" s="25">
        <f t="shared" si="17"/>
        <v>1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>
        <v>43007</v>
      </c>
      <c r="D80" s="161" t="s">
        <v>8</v>
      </c>
      <c r="E80" s="161" t="s">
        <v>192</v>
      </c>
      <c r="F80" s="207">
        <v>318</v>
      </c>
      <c r="G80" s="207">
        <v>312</v>
      </c>
      <c r="H80" s="161">
        <v>6</v>
      </c>
      <c r="I80" s="207">
        <v>3084</v>
      </c>
      <c r="J80" s="242">
        <f t="shared" si="16"/>
        <v>18504</v>
      </c>
      <c r="K80" s="153"/>
      <c r="V80" s="25">
        <f t="shared" si="17"/>
        <v>1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07"/>
      <c r="G81" s="207"/>
      <c r="H81" s="161"/>
      <c r="I81" s="207"/>
      <c r="J81" s="242">
        <f t="shared" si="16"/>
        <v>0</v>
      </c>
      <c r="K81" s="153"/>
      <c r="V81" s="25">
        <f t="shared" si="17"/>
        <v>0</v>
      </c>
      <c r="W81" s="25">
        <f t="shared" si="18"/>
        <v>0</v>
      </c>
    </row>
    <row r="82" spans="1:23" ht="15" thickBot="1" x14ac:dyDescent="0.35">
      <c r="A82" s="147"/>
      <c r="B82" s="208">
        <f t="shared" si="19"/>
        <v>23</v>
      </c>
      <c r="C82" s="209"/>
      <c r="D82" s="166"/>
      <c r="E82" s="166"/>
      <c r="F82" s="210"/>
      <c r="G82" s="210"/>
      <c r="H82" s="166"/>
      <c r="I82" s="210"/>
      <c r="J82" s="244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115841.3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2313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42979</v>
      </c>
      <c r="D91" s="185" t="s">
        <v>8</v>
      </c>
      <c r="E91" s="185" t="s">
        <v>39</v>
      </c>
      <c r="F91" s="219">
        <v>9990</v>
      </c>
      <c r="G91" s="219">
        <v>10010</v>
      </c>
      <c r="H91" s="185">
        <v>-20</v>
      </c>
      <c r="I91" s="219">
        <v>150</v>
      </c>
      <c r="J91" s="246">
        <f t="shared" ref="J91:J113" si="20">I91*H91</f>
        <v>-3000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42982</v>
      </c>
      <c r="D92" s="161" t="s">
        <v>8</v>
      </c>
      <c r="E92" s="161" t="s">
        <v>39</v>
      </c>
      <c r="F92" s="207">
        <v>9975</v>
      </c>
      <c r="G92" s="207">
        <v>9915</v>
      </c>
      <c r="H92" s="161">
        <v>60</v>
      </c>
      <c r="I92" s="207">
        <v>150</v>
      </c>
      <c r="J92" s="242">
        <f t="shared" si="20"/>
        <v>9000</v>
      </c>
      <c r="K92" s="153"/>
      <c r="V92" s="25">
        <f t="shared" ref="V92:V113" si="21">IF($J92&gt;0,1,0)</f>
        <v>1</v>
      </c>
      <c r="W92" s="25">
        <f t="shared" ref="W92:W113" si="22">IF($J92&lt;0,1,0)</f>
        <v>0</v>
      </c>
    </row>
    <row r="93" spans="1:23" x14ac:dyDescent="0.3">
      <c r="A93" s="147"/>
      <c r="B93" s="205">
        <f t="shared" ref="B93:B113" si="23">B92+1</f>
        <v>3</v>
      </c>
      <c r="C93" s="206">
        <v>42983</v>
      </c>
      <c r="D93" s="161" t="s">
        <v>8</v>
      </c>
      <c r="E93" s="161" t="s">
        <v>39</v>
      </c>
      <c r="F93" s="207">
        <v>9963</v>
      </c>
      <c r="G93" s="207">
        <v>9922</v>
      </c>
      <c r="H93" s="161">
        <v>41</v>
      </c>
      <c r="I93" s="207">
        <v>150</v>
      </c>
      <c r="J93" s="242">
        <f t="shared" si="20"/>
        <v>6150</v>
      </c>
      <c r="K93" s="153"/>
      <c r="V93" s="25">
        <f t="shared" si="21"/>
        <v>1</v>
      </c>
      <c r="W93" s="25">
        <f t="shared" si="22"/>
        <v>0</v>
      </c>
    </row>
    <row r="94" spans="1:23" x14ac:dyDescent="0.3">
      <c r="A94" s="147"/>
      <c r="B94" s="205">
        <f t="shared" si="23"/>
        <v>4</v>
      </c>
      <c r="C94" s="206">
        <v>42984</v>
      </c>
      <c r="D94" s="161" t="s">
        <v>8</v>
      </c>
      <c r="E94" s="161" t="s">
        <v>39</v>
      </c>
      <c r="F94" s="207">
        <v>9925</v>
      </c>
      <c r="G94" s="207">
        <v>9930</v>
      </c>
      <c r="H94" s="161">
        <v>-5</v>
      </c>
      <c r="I94" s="207">
        <v>150</v>
      </c>
      <c r="J94" s="242">
        <f t="shared" si="20"/>
        <v>-750</v>
      </c>
      <c r="K94" s="153"/>
      <c r="V94" s="25">
        <f t="shared" si="21"/>
        <v>0</v>
      </c>
      <c r="W94" s="25">
        <f t="shared" si="22"/>
        <v>1</v>
      </c>
    </row>
    <row r="95" spans="1:23" x14ac:dyDescent="0.3">
      <c r="A95" s="147"/>
      <c r="B95" s="205">
        <f t="shared" si="23"/>
        <v>5</v>
      </c>
      <c r="C95" s="206">
        <v>42985</v>
      </c>
      <c r="D95" s="161" t="s">
        <v>8</v>
      </c>
      <c r="E95" s="161" t="s">
        <v>39</v>
      </c>
      <c r="F95" s="207">
        <v>9970</v>
      </c>
      <c r="G95" s="207">
        <v>9953</v>
      </c>
      <c r="H95" s="161">
        <v>17</v>
      </c>
      <c r="I95" s="207">
        <v>150</v>
      </c>
      <c r="J95" s="242">
        <f t="shared" si="20"/>
        <v>2550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6</v>
      </c>
      <c r="C96" s="206">
        <v>42986</v>
      </c>
      <c r="D96" s="161" t="s">
        <v>8</v>
      </c>
      <c r="E96" s="161" t="s">
        <v>39</v>
      </c>
      <c r="F96" s="207">
        <v>9970</v>
      </c>
      <c r="G96" s="207">
        <v>9930</v>
      </c>
      <c r="H96" s="161">
        <v>40</v>
      </c>
      <c r="I96" s="207">
        <v>150</v>
      </c>
      <c r="J96" s="242">
        <f t="shared" si="20"/>
        <v>6000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7</v>
      </c>
      <c r="C97" s="206">
        <v>42989</v>
      </c>
      <c r="D97" s="161" t="s">
        <v>8</v>
      </c>
      <c r="E97" s="161" t="s">
        <v>39</v>
      </c>
      <c r="F97" s="207">
        <v>10005</v>
      </c>
      <c r="G97" s="207">
        <v>10035</v>
      </c>
      <c r="H97" s="161">
        <v>-30</v>
      </c>
      <c r="I97" s="207">
        <v>150</v>
      </c>
      <c r="J97" s="242">
        <f t="shared" si="20"/>
        <v>-4500</v>
      </c>
      <c r="K97" s="153"/>
      <c r="V97" s="25">
        <f t="shared" si="21"/>
        <v>0</v>
      </c>
      <c r="W97" s="25">
        <f t="shared" si="22"/>
        <v>1</v>
      </c>
    </row>
    <row r="98" spans="1:23" x14ac:dyDescent="0.3">
      <c r="A98" s="147"/>
      <c r="B98" s="205">
        <f t="shared" si="23"/>
        <v>8</v>
      </c>
      <c r="C98" s="206">
        <v>42990</v>
      </c>
      <c r="D98" s="161" t="s">
        <v>8</v>
      </c>
      <c r="E98" s="161" t="s">
        <v>39</v>
      </c>
      <c r="F98" s="207">
        <v>10068</v>
      </c>
      <c r="G98" s="207">
        <v>10098</v>
      </c>
      <c r="H98" s="161">
        <v>-30</v>
      </c>
      <c r="I98" s="207">
        <v>150</v>
      </c>
      <c r="J98" s="242">
        <f t="shared" si="20"/>
        <v>-4500</v>
      </c>
      <c r="K98" s="153"/>
      <c r="V98" s="25">
        <f t="shared" si="21"/>
        <v>0</v>
      </c>
      <c r="W98" s="25">
        <f t="shared" si="22"/>
        <v>1</v>
      </c>
    </row>
    <row r="99" spans="1:23" x14ac:dyDescent="0.3">
      <c r="A99" s="147"/>
      <c r="B99" s="205">
        <f t="shared" si="23"/>
        <v>9</v>
      </c>
      <c r="C99" s="206">
        <v>42991</v>
      </c>
      <c r="D99" s="161" t="s">
        <v>9</v>
      </c>
      <c r="E99" s="161" t="s">
        <v>39</v>
      </c>
      <c r="F99" s="207">
        <v>10120</v>
      </c>
      <c r="G99" s="207">
        <v>10135</v>
      </c>
      <c r="H99" s="161">
        <v>15</v>
      </c>
      <c r="I99" s="207">
        <v>150</v>
      </c>
      <c r="J99" s="242">
        <f t="shared" si="20"/>
        <v>2250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10</v>
      </c>
      <c r="C100" s="206">
        <v>42992</v>
      </c>
      <c r="D100" s="161" t="s">
        <v>9</v>
      </c>
      <c r="E100" s="161" t="s">
        <v>39</v>
      </c>
      <c r="F100" s="207">
        <v>10130</v>
      </c>
      <c r="G100" s="207">
        <v>10100</v>
      </c>
      <c r="H100" s="161">
        <v>-30</v>
      </c>
      <c r="I100" s="207">
        <v>150</v>
      </c>
      <c r="J100" s="242">
        <f t="shared" si="20"/>
        <v>-4500</v>
      </c>
      <c r="K100" s="153"/>
      <c r="V100" s="25">
        <f t="shared" si="21"/>
        <v>0</v>
      </c>
      <c r="W100" s="25">
        <f t="shared" si="22"/>
        <v>1</v>
      </c>
    </row>
    <row r="101" spans="1:23" x14ac:dyDescent="0.3">
      <c r="A101" s="147"/>
      <c r="B101" s="205">
        <f t="shared" si="23"/>
        <v>11</v>
      </c>
      <c r="C101" s="206">
        <v>42993</v>
      </c>
      <c r="D101" s="161" t="s">
        <v>8</v>
      </c>
      <c r="E101" s="161" t="s">
        <v>39</v>
      </c>
      <c r="F101" s="207">
        <v>10080</v>
      </c>
      <c r="G101" s="207">
        <v>10067</v>
      </c>
      <c r="H101" s="161">
        <v>13</v>
      </c>
      <c r="I101" s="207">
        <v>150</v>
      </c>
      <c r="J101" s="242">
        <f t="shared" si="20"/>
        <v>1950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12</v>
      </c>
      <c r="C102" s="206">
        <v>42996</v>
      </c>
      <c r="D102" s="161" t="s">
        <v>9</v>
      </c>
      <c r="E102" s="161" t="s">
        <v>39</v>
      </c>
      <c r="F102" s="207">
        <v>10170</v>
      </c>
      <c r="G102" s="207">
        <v>10185</v>
      </c>
      <c r="H102" s="161">
        <v>15</v>
      </c>
      <c r="I102" s="207">
        <v>150</v>
      </c>
      <c r="J102" s="242">
        <f t="shared" si="20"/>
        <v>2250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13</v>
      </c>
      <c r="C103" s="206">
        <v>42997</v>
      </c>
      <c r="D103" s="161" t="s">
        <v>8</v>
      </c>
      <c r="E103" s="161" t="s">
        <v>39</v>
      </c>
      <c r="F103" s="207">
        <v>10155</v>
      </c>
      <c r="G103" s="207">
        <v>10165</v>
      </c>
      <c r="H103" s="161">
        <v>-5</v>
      </c>
      <c r="I103" s="207">
        <v>150</v>
      </c>
      <c r="J103" s="242">
        <f t="shared" si="20"/>
        <v>-750</v>
      </c>
      <c r="K103" s="153"/>
      <c r="V103" s="25">
        <f t="shared" si="21"/>
        <v>0</v>
      </c>
      <c r="W103" s="25">
        <f t="shared" si="22"/>
        <v>1</v>
      </c>
    </row>
    <row r="104" spans="1:23" x14ac:dyDescent="0.3">
      <c r="A104" s="147"/>
      <c r="B104" s="205">
        <f t="shared" si="23"/>
        <v>14</v>
      </c>
      <c r="C104" s="206">
        <v>42999</v>
      </c>
      <c r="D104" s="161" t="s">
        <v>8</v>
      </c>
      <c r="E104" s="161" t="s">
        <v>39</v>
      </c>
      <c r="F104" s="207">
        <v>10110</v>
      </c>
      <c r="G104" s="207">
        <v>10080</v>
      </c>
      <c r="H104" s="161">
        <v>30</v>
      </c>
      <c r="I104" s="207">
        <v>150</v>
      </c>
      <c r="J104" s="242">
        <f t="shared" si="20"/>
        <v>4500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15</v>
      </c>
      <c r="C105" s="206">
        <v>43000</v>
      </c>
      <c r="D105" s="161" t="s">
        <v>8</v>
      </c>
      <c r="E105" s="161" t="s">
        <v>39</v>
      </c>
      <c r="F105" s="207">
        <v>10040</v>
      </c>
      <c r="G105" s="207">
        <v>9980</v>
      </c>
      <c r="H105" s="161">
        <v>60</v>
      </c>
      <c r="I105" s="207">
        <v>150</v>
      </c>
      <c r="J105" s="242">
        <f t="shared" si="20"/>
        <v>9000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16</v>
      </c>
      <c r="C106" s="206">
        <v>43003</v>
      </c>
      <c r="D106" s="161" t="s">
        <v>8</v>
      </c>
      <c r="E106" s="161" t="s">
        <v>39</v>
      </c>
      <c r="F106" s="207">
        <v>9900</v>
      </c>
      <c r="G106" s="207">
        <v>9855</v>
      </c>
      <c r="H106" s="161">
        <v>45</v>
      </c>
      <c r="I106" s="207">
        <v>150</v>
      </c>
      <c r="J106" s="242">
        <f t="shared" si="20"/>
        <v>6750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17</v>
      </c>
      <c r="C107" s="206">
        <v>43005</v>
      </c>
      <c r="D107" s="161" t="s">
        <v>8</v>
      </c>
      <c r="E107" s="161" t="s">
        <v>39</v>
      </c>
      <c r="F107" s="207">
        <v>9875</v>
      </c>
      <c r="G107" s="207">
        <v>9815</v>
      </c>
      <c r="H107" s="161">
        <v>60</v>
      </c>
      <c r="I107" s="207">
        <v>150</v>
      </c>
      <c r="J107" s="242">
        <f t="shared" si="20"/>
        <v>9000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18</v>
      </c>
      <c r="C108" s="206">
        <v>43006</v>
      </c>
      <c r="D108" s="161" t="s">
        <v>8</v>
      </c>
      <c r="E108" s="161" t="s">
        <v>39</v>
      </c>
      <c r="F108" s="207">
        <v>9745</v>
      </c>
      <c r="G108" s="207">
        <v>9705</v>
      </c>
      <c r="H108" s="161">
        <v>40</v>
      </c>
      <c r="I108" s="207">
        <v>150</v>
      </c>
      <c r="J108" s="242">
        <f t="shared" si="20"/>
        <v>6000</v>
      </c>
      <c r="K108" s="153"/>
      <c r="V108" s="25">
        <f t="shared" si="21"/>
        <v>1</v>
      </c>
      <c r="W108" s="25">
        <f t="shared" si="22"/>
        <v>0</v>
      </c>
    </row>
    <row r="109" spans="1:23" x14ac:dyDescent="0.3">
      <c r="A109" s="147"/>
      <c r="B109" s="205">
        <f t="shared" si="23"/>
        <v>19</v>
      </c>
      <c r="C109" s="206">
        <v>43007</v>
      </c>
      <c r="D109" s="161" t="s">
        <v>8</v>
      </c>
      <c r="E109" s="161" t="s">
        <v>39</v>
      </c>
      <c r="F109" s="207">
        <v>9840</v>
      </c>
      <c r="G109" s="207">
        <v>9870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1"/>
        <v>0</v>
      </c>
      <c r="W109" s="25">
        <f t="shared" si="22"/>
        <v>1</v>
      </c>
    </row>
    <row r="110" spans="1:23" x14ac:dyDescent="0.3">
      <c r="A110" s="147"/>
      <c r="B110" s="205">
        <f t="shared" si="23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0"/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0"/>
        <v>0</v>
      </c>
      <c r="K112" s="153"/>
      <c r="V112" s="25">
        <f t="shared" si="21"/>
        <v>0</v>
      </c>
      <c r="W112" s="25">
        <f t="shared" si="22"/>
        <v>0</v>
      </c>
    </row>
    <row r="113" spans="1:23" ht="15" thickBot="1" x14ac:dyDescent="0.35">
      <c r="A113" s="147"/>
      <c r="B113" s="208">
        <f t="shared" si="23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42900</v>
      </c>
      <c r="K114" s="153"/>
      <c r="V114" s="25">
        <f>SUM(V91:V113)</f>
        <v>12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2313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42979</v>
      </c>
      <c r="D122" s="185" t="s">
        <v>9</v>
      </c>
      <c r="E122" s="185" t="s">
        <v>2290</v>
      </c>
      <c r="F122" s="219">
        <v>115</v>
      </c>
      <c r="G122" s="219">
        <v>105</v>
      </c>
      <c r="H122" s="185">
        <v>-10</v>
      </c>
      <c r="I122" s="219">
        <v>300</v>
      </c>
      <c r="J122" s="246">
        <f t="shared" ref="J122:J144" si="24">I122*H122</f>
        <v>-3000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42982</v>
      </c>
      <c r="D123" s="161" t="s">
        <v>9</v>
      </c>
      <c r="E123" s="161" t="s">
        <v>2290</v>
      </c>
      <c r="F123" s="207">
        <v>130</v>
      </c>
      <c r="G123" s="207">
        <v>165</v>
      </c>
      <c r="H123" s="161">
        <v>35</v>
      </c>
      <c r="I123" s="207">
        <v>300</v>
      </c>
      <c r="J123" s="242">
        <f t="shared" si="24"/>
        <v>10500</v>
      </c>
      <c r="K123" s="153"/>
      <c r="V123" s="25">
        <f t="shared" ref="V123:V144" si="25">IF($J123&gt;0,1,0)</f>
        <v>1</v>
      </c>
      <c r="W123" s="25">
        <f t="shared" ref="W123:W144" si="26">IF($J123&lt;0,1,0)</f>
        <v>0</v>
      </c>
    </row>
    <row r="124" spans="1:23" x14ac:dyDescent="0.3">
      <c r="A124" s="147"/>
      <c r="B124" s="205">
        <f t="shared" ref="B124:B144" si="27">B123+1</f>
        <v>3</v>
      </c>
      <c r="C124" s="206">
        <v>42983</v>
      </c>
      <c r="D124" s="161" t="s">
        <v>9</v>
      </c>
      <c r="E124" s="161" t="s">
        <v>2290</v>
      </c>
      <c r="F124" s="207">
        <v>130</v>
      </c>
      <c r="G124" s="207">
        <v>155</v>
      </c>
      <c r="H124" s="161">
        <v>25</v>
      </c>
      <c r="I124" s="207">
        <v>300</v>
      </c>
      <c r="J124" s="242">
        <f t="shared" si="24"/>
        <v>7500</v>
      </c>
      <c r="K124" s="153"/>
      <c r="V124" s="25">
        <f t="shared" si="25"/>
        <v>1</v>
      </c>
      <c r="W124" s="25">
        <f t="shared" si="26"/>
        <v>0</v>
      </c>
    </row>
    <row r="125" spans="1:23" x14ac:dyDescent="0.3">
      <c r="A125" s="147"/>
      <c r="B125" s="205">
        <f t="shared" si="27"/>
        <v>4</v>
      </c>
      <c r="C125" s="206">
        <v>42984</v>
      </c>
      <c r="D125" s="161" t="s">
        <v>9</v>
      </c>
      <c r="E125" s="161" t="s">
        <v>2280</v>
      </c>
      <c r="F125" s="207">
        <v>110</v>
      </c>
      <c r="G125" s="207">
        <v>102</v>
      </c>
      <c r="H125" s="161">
        <v>-8</v>
      </c>
      <c r="I125" s="207">
        <v>300</v>
      </c>
      <c r="J125" s="242">
        <f t="shared" si="24"/>
        <v>-2400</v>
      </c>
      <c r="K125" s="153"/>
      <c r="V125" s="25">
        <f t="shared" si="25"/>
        <v>0</v>
      </c>
      <c r="W125" s="25">
        <f t="shared" si="26"/>
        <v>1</v>
      </c>
    </row>
    <row r="126" spans="1:23" x14ac:dyDescent="0.3">
      <c r="A126" s="147"/>
      <c r="B126" s="205">
        <f t="shared" si="27"/>
        <v>5</v>
      </c>
      <c r="C126" s="206">
        <v>42985</v>
      </c>
      <c r="D126" s="161" t="s">
        <v>9</v>
      </c>
      <c r="E126" s="161" t="s">
        <v>2290</v>
      </c>
      <c r="F126" s="207">
        <v>125</v>
      </c>
      <c r="G126" s="207">
        <v>134</v>
      </c>
      <c r="H126" s="161">
        <v>9</v>
      </c>
      <c r="I126" s="207">
        <v>300</v>
      </c>
      <c r="J126" s="242">
        <f t="shared" si="24"/>
        <v>2700</v>
      </c>
      <c r="K126" s="153"/>
      <c r="M126" s="25" t="s">
        <v>2008</v>
      </c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6</v>
      </c>
      <c r="C127" s="206">
        <v>42986</v>
      </c>
      <c r="D127" s="161" t="s">
        <v>9</v>
      </c>
      <c r="E127" s="161" t="s">
        <v>2290</v>
      </c>
      <c r="F127" s="207">
        <v>120</v>
      </c>
      <c r="G127" s="207">
        <v>135</v>
      </c>
      <c r="H127" s="161">
        <v>15</v>
      </c>
      <c r="I127" s="207">
        <v>300</v>
      </c>
      <c r="J127" s="242">
        <f t="shared" si="24"/>
        <v>4500</v>
      </c>
      <c r="K127" s="153"/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7</v>
      </c>
      <c r="C128" s="206">
        <v>42989</v>
      </c>
      <c r="D128" s="161" t="s">
        <v>9</v>
      </c>
      <c r="E128" s="161" t="s">
        <v>2290</v>
      </c>
      <c r="F128" s="207">
        <v>95</v>
      </c>
      <c r="G128" s="207">
        <v>75</v>
      </c>
      <c r="H128" s="161">
        <v>-20</v>
      </c>
      <c r="I128" s="207">
        <v>300</v>
      </c>
      <c r="J128" s="242">
        <f t="shared" si="24"/>
        <v>-6000</v>
      </c>
      <c r="K128" s="153"/>
      <c r="V128" s="25">
        <f t="shared" si="25"/>
        <v>0</v>
      </c>
      <c r="W128" s="25">
        <f t="shared" si="26"/>
        <v>1</v>
      </c>
    </row>
    <row r="129" spans="1:23" x14ac:dyDescent="0.3">
      <c r="A129" s="147"/>
      <c r="B129" s="205">
        <f t="shared" si="27"/>
        <v>8</v>
      </c>
      <c r="C129" s="206">
        <v>42990</v>
      </c>
      <c r="D129" s="161" t="s">
        <v>9</v>
      </c>
      <c r="E129" s="161" t="s">
        <v>2299</v>
      </c>
      <c r="F129" s="207">
        <v>97</v>
      </c>
      <c r="G129" s="207">
        <v>77</v>
      </c>
      <c r="H129" s="161">
        <v>-20</v>
      </c>
      <c r="I129" s="207">
        <v>300</v>
      </c>
      <c r="J129" s="242">
        <f t="shared" si="24"/>
        <v>-6000</v>
      </c>
      <c r="K129" s="153"/>
      <c r="V129" s="25">
        <f t="shared" si="25"/>
        <v>0</v>
      </c>
      <c r="W129" s="25">
        <f t="shared" si="26"/>
        <v>1</v>
      </c>
    </row>
    <row r="130" spans="1:23" x14ac:dyDescent="0.3">
      <c r="A130" s="147"/>
      <c r="B130" s="205">
        <f t="shared" si="27"/>
        <v>9</v>
      </c>
      <c r="C130" s="206">
        <v>42991</v>
      </c>
      <c r="D130" s="161" t="s">
        <v>9</v>
      </c>
      <c r="E130" s="161" t="s">
        <v>2300</v>
      </c>
      <c r="F130" s="207">
        <v>160</v>
      </c>
      <c r="G130" s="207">
        <v>175</v>
      </c>
      <c r="H130" s="161"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10</v>
      </c>
      <c r="C131" s="206">
        <v>42992</v>
      </c>
      <c r="D131" s="161" t="s">
        <v>9</v>
      </c>
      <c r="E131" s="161" t="s">
        <v>2314</v>
      </c>
      <c r="F131" s="207">
        <v>92</v>
      </c>
      <c r="G131" s="207">
        <v>72</v>
      </c>
      <c r="H131" s="161">
        <v>-20</v>
      </c>
      <c r="I131" s="207">
        <v>300</v>
      </c>
      <c r="J131" s="242">
        <f t="shared" si="24"/>
        <v>-6000</v>
      </c>
      <c r="K131" s="153"/>
      <c r="V131" s="25">
        <f t="shared" si="25"/>
        <v>0</v>
      </c>
      <c r="W131" s="25">
        <f t="shared" si="26"/>
        <v>1</v>
      </c>
    </row>
    <row r="132" spans="1:23" x14ac:dyDescent="0.3">
      <c r="A132" s="147"/>
      <c r="B132" s="205">
        <f t="shared" si="27"/>
        <v>11</v>
      </c>
      <c r="C132" s="206">
        <v>42993</v>
      </c>
      <c r="D132" s="161" t="s">
        <v>9</v>
      </c>
      <c r="E132" s="161" t="s">
        <v>2346</v>
      </c>
      <c r="F132" s="207">
        <v>145</v>
      </c>
      <c r="G132" s="207">
        <v>125</v>
      </c>
      <c r="H132" s="161">
        <v>-20</v>
      </c>
      <c r="I132" s="207">
        <v>300</v>
      </c>
      <c r="J132" s="242">
        <f t="shared" si="24"/>
        <v>-6000</v>
      </c>
      <c r="K132" s="153"/>
      <c r="V132" s="25">
        <f t="shared" si="25"/>
        <v>0</v>
      </c>
      <c r="W132" s="25">
        <f t="shared" si="26"/>
        <v>1</v>
      </c>
    </row>
    <row r="133" spans="1:23" x14ac:dyDescent="0.3">
      <c r="A133" s="147"/>
      <c r="B133" s="205">
        <f t="shared" si="27"/>
        <v>12</v>
      </c>
      <c r="C133" s="206">
        <v>42996</v>
      </c>
      <c r="D133" s="161" t="s">
        <v>9</v>
      </c>
      <c r="E133" s="161" t="s">
        <v>2314</v>
      </c>
      <c r="F133" s="207">
        <v>110</v>
      </c>
      <c r="G133" s="207">
        <v>118</v>
      </c>
      <c r="H133" s="161">
        <v>8</v>
      </c>
      <c r="I133" s="207">
        <v>300</v>
      </c>
      <c r="J133" s="242">
        <f t="shared" si="24"/>
        <v>2400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13</v>
      </c>
      <c r="C134" s="206">
        <v>42997</v>
      </c>
      <c r="D134" s="161" t="s">
        <v>9</v>
      </c>
      <c r="E134" s="161" t="s">
        <v>2348</v>
      </c>
      <c r="F134" s="207">
        <v>155</v>
      </c>
      <c r="G134" s="207">
        <v>135</v>
      </c>
      <c r="H134" s="161">
        <v>-20</v>
      </c>
      <c r="I134" s="207">
        <v>300</v>
      </c>
      <c r="J134" s="242">
        <f t="shared" si="24"/>
        <v>-6000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14</v>
      </c>
      <c r="C135" s="206">
        <v>42999</v>
      </c>
      <c r="D135" s="161" t="s">
        <v>9</v>
      </c>
      <c r="E135" s="161" t="s">
        <v>2346</v>
      </c>
      <c r="F135" s="207">
        <v>110</v>
      </c>
      <c r="G135" s="207">
        <v>135</v>
      </c>
      <c r="H135" s="161">
        <v>25</v>
      </c>
      <c r="I135" s="207">
        <v>300</v>
      </c>
      <c r="J135" s="242">
        <f>I135*H135</f>
        <v>7500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7"/>
        <v>15</v>
      </c>
      <c r="C136" s="206">
        <v>43000</v>
      </c>
      <c r="D136" s="161" t="s">
        <v>9</v>
      </c>
      <c r="E136" s="161" t="s">
        <v>2299</v>
      </c>
      <c r="F136" s="207">
        <v>90</v>
      </c>
      <c r="G136" s="207">
        <v>125</v>
      </c>
      <c r="H136" s="161">
        <v>35</v>
      </c>
      <c r="I136" s="207">
        <v>300</v>
      </c>
      <c r="J136" s="242">
        <f t="shared" si="24"/>
        <v>10500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16</v>
      </c>
      <c r="C137" s="206">
        <v>43003</v>
      </c>
      <c r="D137" s="161" t="s">
        <v>9</v>
      </c>
      <c r="E137" s="161" t="s">
        <v>2290</v>
      </c>
      <c r="F137" s="207">
        <v>115</v>
      </c>
      <c r="G137" s="207">
        <v>150</v>
      </c>
      <c r="H137" s="161">
        <v>35</v>
      </c>
      <c r="I137" s="207">
        <v>300</v>
      </c>
      <c r="J137" s="242">
        <f t="shared" si="24"/>
        <v>10500</v>
      </c>
      <c r="K137" s="153"/>
      <c r="V137" s="25">
        <f t="shared" si="25"/>
        <v>1</v>
      </c>
      <c r="W137" s="25">
        <f t="shared" si="26"/>
        <v>0</v>
      </c>
    </row>
    <row r="138" spans="1:23" x14ac:dyDescent="0.3">
      <c r="A138" s="147"/>
      <c r="B138" s="205">
        <f t="shared" si="27"/>
        <v>17</v>
      </c>
      <c r="C138" s="206">
        <v>43004</v>
      </c>
      <c r="D138" s="161" t="s">
        <v>9</v>
      </c>
      <c r="E138" s="161" t="s">
        <v>2280</v>
      </c>
      <c r="F138" s="207">
        <v>85</v>
      </c>
      <c r="G138" s="207">
        <v>65</v>
      </c>
      <c r="H138" s="161">
        <v>-20</v>
      </c>
      <c r="I138" s="207">
        <v>300</v>
      </c>
      <c r="J138" s="242">
        <f t="shared" si="24"/>
        <v>-6000</v>
      </c>
      <c r="K138" s="153"/>
      <c r="V138" s="25">
        <f t="shared" si="25"/>
        <v>0</v>
      </c>
      <c r="W138" s="25">
        <f t="shared" si="26"/>
        <v>1</v>
      </c>
    </row>
    <row r="139" spans="1:23" x14ac:dyDescent="0.3">
      <c r="A139" s="147"/>
      <c r="B139" s="205">
        <f t="shared" si="27"/>
        <v>18</v>
      </c>
      <c r="C139" s="206">
        <v>43005</v>
      </c>
      <c r="D139" s="161" t="s">
        <v>9</v>
      </c>
      <c r="E139" s="161" t="s">
        <v>2290</v>
      </c>
      <c r="F139" s="207">
        <v>125</v>
      </c>
      <c r="G139" s="207">
        <v>160</v>
      </c>
      <c r="H139" s="161">
        <v>35</v>
      </c>
      <c r="I139" s="207">
        <v>300</v>
      </c>
      <c r="J139" s="242">
        <f t="shared" si="24"/>
        <v>10500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19</v>
      </c>
      <c r="C140" s="206">
        <v>43006</v>
      </c>
      <c r="D140" s="161" t="s">
        <v>9</v>
      </c>
      <c r="E140" s="161" t="s">
        <v>2205</v>
      </c>
      <c r="F140" s="207">
        <v>60</v>
      </c>
      <c r="G140" s="207">
        <v>95</v>
      </c>
      <c r="H140" s="161">
        <v>35</v>
      </c>
      <c r="I140" s="207">
        <v>300</v>
      </c>
      <c r="J140" s="242">
        <f t="shared" si="24"/>
        <v>10500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20</v>
      </c>
      <c r="C141" s="206">
        <v>43007</v>
      </c>
      <c r="D141" s="161" t="s">
        <v>9</v>
      </c>
      <c r="E141" s="161" t="s">
        <v>2280</v>
      </c>
      <c r="F141" s="207">
        <v>145</v>
      </c>
      <c r="G141" s="207">
        <v>125</v>
      </c>
      <c r="H141" s="161">
        <v>-20</v>
      </c>
      <c r="I141" s="207">
        <v>300</v>
      </c>
      <c r="J141" s="242">
        <f t="shared" si="24"/>
        <v>-6000</v>
      </c>
      <c r="K141" s="153"/>
      <c r="V141" s="25">
        <f t="shared" si="25"/>
        <v>0</v>
      </c>
      <c r="W141" s="25">
        <f t="shared" si="26"/>
        <v>1</v>
      </c>
    </row>
    <row r="142" spans="1:23" x14ac:dyDescent="0.3">
      <c r="A142" s="147"/>
      <c r="B142" s="205">
        <f t="shared" si="27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ht="15" thickBot="1" x14ac:dyDescent="0.35">
      <c r="A144" s="147"/>
      <c r="B144" s="208">
        <f t="shared" si="27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34200</v>
      </c>
      <c r="K145" s="153"/>
      <c r="V145" s="25">
        <f>SUM(V122:V144)</f>
        <v>11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2313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2260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42979</v>
      </c>
      <c r="D153" s="185" t="s">
        <v>8</v>
      </c>
      <c r="E153" s="185" t="s">
        <v>301</v>
      </c>
      <c r="F153" s="219">
        <v>24480</v>
      </c>
      <c r="G153" s="219">
        <v>24500</v>
      </c>
      <c r="H153" s="185">
        <v>-20</v>
      </c>
      <c r="I153" s="219">
        <v>80</v>
      </c>
      <c r="J153" s="246">
        <f t="shared" ref="J153:J175" si="28">I153*H153</f>
        <v>-1600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42982</v>
      </c>
      <c r="D154" s="161" t="s">
        <v>8</v>
      </c>
      <c r="E154" s="161" t="s">
        <v>301</v>
      </c>
      <c r="F154" s="207">
        <v>24420</v>
      </c>
      <c r="G154" s="207">
        <v>24220</v>
      </c>
      <c r="H154" s="161">
        <v>200</v>
      </c>
      <c r="I154" s="207">
        <v>80</v>
      </c>
      <c r="J154" s="242">
        <f t="shared" si="28"/>
        <v>16000</v>
      </c>
      <c r="K154" s="153"/>
      <c r="V154" s="25">
        <f t="shared" ref="V154:V175" si="29">IF($J154&gt;0,1,0)</f>
        <v>1</v>
      </c>
      <c r="W154" s="25">
        <f t="shared" ref="W154:W175" si="30">IF($J154&lt;0,1,0)</f>
        <v>0</v>
      </c>
    </row>
    <row r="155" spans="1:23" x14ac:dyDescent="0.3">
      <c r="A155" s="147"/>
      <c r="B155" s="205">
        <f t="shared" ref="B155:B175" si="31">B154+1</f>
        <v>3</v>
      </c>
      <c r="C155" s="206">
        <v>42983</v>
      </c>
      <c r="D155" s="161" t="s">
        <v>8</v>
      </c>
      <c r="E155" s="161" t="s">
        <v>301</v>
      </c>
      <c r="F155" s="207">
        <v>24400</v>
      </c>
      <c r="G155" s="207">
        <v>24350</v>
      </c>
      <c r="H155" s="161">
        <v>50</v>
      </c>
      <c r="I155" s="207">
        <v>80</v>
      </c>
      <c r="J155" s="242">
        <f t="shared" si="28"/>
        <v>4000</v>
      </c>
      <c r="K155" s="153"/>
      <c r="V155" s="25">
        <f t="shared" si="29"/>
        <v>1</v>
      </c>
      <c r="W155" s="25">
        <f t="shared" si="30"/>
        <v>0</v>
      </c>
    </row>
    <row r="156" spans="1:23" x14ac:dyDescent="0.3">
      <c r="A156" s="147"/>
      <c r="B156" s="205">
        <f t="shared" si="31"/>
        <v>4</v>
      </c>
      <c r="C156" s="206">
        <v>42984</v>
      </c>
      <c r="D156" s="161" t="s">
        <v>8</v>
      </c>
      <c r="E156" s="161" t="s">
        <v>301</v>
      </c>
      <c r="F156" s="207">
        <v>24230</v>
      </c>
      <c r="G156" s="207">
        <v>24290</v>
      </c>
      <c r="H156" s="161">
        <v>-60</v>
      </c>
      <c r="I156" s="207">
        <v>80</v>
      </c>
      <c r="J156" s="242">
        <f t="shared" si="28"/>
        <v>-4800</v>
      </c>
      <c r="K156" s="153"/>
      <c r="V156" s="25">
        <f t="shared" si="29"/>
        <v>0</v>
      </c>
      <c r="W156" s="25">
        <f t="shared" si="30"/>
        <v>1</v>
      </c>
    </row>
    <row r="157" spans="1:23" x14ac:dyDescent="0.3">
      <c r="A157" s="147"/>
      <c r="B157" s="205">
        <f t="shared" si="31"/>
        <v>5</v>
      </c>
      <c r="C157" s="206">
        <v>42985</v>
      </c>
      <c r="D157" s="161" t="s">
        <v>8</v>
      </c>
      <c r="E157" s="161" t="s">
        <v>301</v>
      </c>
      <c r="F157" s="207">
        <v>24420</v>
      </c>
      <c r="G157" s="207">
        <v>24320</v>
      </c>
      <c r="H157" s="161">
        <v>100</v>
      </c>
      <c r="I157" s="207">
        <v>80</v>
      </c>
      <c r="J157" s="242">
        <f t="shared" si="28"/>
        <v>8000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6</v>
      </c>
      <c r="C158" s="206">
        <v>42986</v>
      </c>
      <c r="D158" s="161" t="s">
        <v>8</v>
      </c>
      <c r="E158" s="161" t="s">
        <v>301</v>
      </c>
      <c r="F158" s="207">
        <v>24400</v>
      </c>
      <c r="G158" s="207">
        <v>24300</v>
      </c>
      <c r="H158" s="161">
        <v>100</v>
      </c>
      <c r="I158" s="207">
        <v>80</v>
      </c>
      <c r="J158" s="242">
        <f t="shared" si="28"/>
        <v>8000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7</v>
      </c>
      <c r="C159" s="206">
        <v>42989</v>
      </c>
      <c r="D159" s="161" t="s">
        <v>8</v>
      </c>
      <c r="E159" s="161" t="s">
        <v>301</v>
      </c>
      <c r="F159" s="207">
        <v>24500</v>
      </c>
      <c r="G159" s="207">
        <v>24650</v>
      </c>
      <c r="H159" s="161">
        <v>-100</v>
      </c>
      <c r="I159" s="207">
        <v>80</v>
      </c>
      <c r="J159" s="242">
        <f t="shared" si="28"/>
        <v>-8000</v>
      </c>
      <c r="K159" s="153"/>
      <c r="V159" s="25">
        <f t="shared" si="29"/>
        <v>0</v>
      </c>
      <c r="W159" s="25">
        <f t="shared" si="30"/>
        <v>1</v>
      </c>
    </row>
    <row r="160" spans="1:23" x14ac:dyDescent="0.3">
      <c r="A160" s="147"/>
      <c r="B160" s="205">
        <f t="shared" si="31"/>
        <v>8</v>
      </c>
      <c r="C160" s="206">
        <v>42990</v>
      </c>
      <c r="D160" s="161" t="s">
        <v>8</v>
      </c>
      <c r="E160" s="161" t="s">
        <v>301</v>
      </c>
      <c r="F160" s="207">
        <v>24780</v>
      </c>
      <c r="G160" s="207">
        <v>24780</v>
      </c>
      <c r="H160" s="161">
        <v>0</v>
      </c>
      <c r="I160" s="207">
        <v>80</v>
      </c>
      <c r="J160" s="242">
        <f t="shared" si="28"/>
        <v>0</v>
      </c>
      <c r="K160" s="153"/>
      <c r="V160" s="25">
        <f t="shared" si="29"/>
        <v>0</v>
      </c>
      <c r="W160" s="25">
        <f t="shared" si="30"/>
        <v>0</v>
      </c>
    </row>
    <row r="161" spans="1:23" x14ac:dyDescent="0.3">
      <c r="A161" s="147"/>
      <c r="B161" s="205">
        <f t="shared" si="31"/>
        <v>9</v>
      </c>
      <c r="C161" s="206">
        <v>42991</v>
      </c>
      <c r="D161" s="161" t="s">
        <v>9</v>
      </c>
      <c r="E161" s="161" t="s">
        <v>301</v>
      </c>
      <c r="F161" s="207">
        <v>24860</v>
      </c>
      <c r="G161" s="207">
        <v>24900</v>
      </c>
      <c r="H161" s="161">
        <v>40</v>
      </c>
      <c r="I161" s="207">
        <v>80</v>
      </c>
      <c r="J161" s="242">
        <f t="shared" si="28"/>
        <v>3200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10</v>
      </c>
      <c r="C162" s="206">
        <v>42992</v>
      </c>
      <c r="D162" s="161" t="s">
        <v>9</v>
      </c>
      <c r="E162" s="161" t="s">
        <v>301</v>
      </c>
      <c r="F162" s="207">
        <v>24930</v>
      </c>
      <c r="G162" s="207">
        <v>24955</v>
      </c>
      <c r="H162" s="161">
        <v>25</v>
      </c>
      <c r="I162" s="207">
        <v>80</v>
      </c>
      <c r="J162" s="242">
        <f t="shared" si="28"/>
        <v>2000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11</v>
      </c>
      <c r="C163" s="206">
        <v>42993</v>
      </c>
      <c r="D163" s="161" t="s">
        <v>8</v>
      </c>
      <c r="E163" s="161" t="s">
        <v>301</v>
      </c>
      <c r="F163" s="207">
        <v>24860</v>
      </c>
      <c r="G163" s="207">
        <v>24850</v>
      </c>
      <c r="H163" s="161">
        <v>10</v>
      </c>
      <c r="I163" s="207">
        <v>80</v>
      </c>
      <c r="J163" s="242">
        <f t="shared" si="28"/>
        <v>800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12</v>
      </c>
      <c r="C164" s="206">
        <v>42996</v>
      </c>
      <c r="D164" s="161" t="s">
        <v>9</v>
      </c>
      <c r="E164" s="161" t="s">
        <v>301</v>
      </c>
      <c r="F164" s="207">
        <v>25050</v>
      </c>
      <c r="G164" s="207">
        <v>25095</v>
      </c>
      <c r="H164" s="161">
        <v>45</v>
      </c>
      <c r="I164" s="207">
        <v>80</v>
      </c>
      <c r="J164" s="242">
        <f t="shared" si="28"/>
        <v>3600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13</v>
      </c>
      <c r="C165" s="206">
        <v>42997</v>
      </c>
      <c r="D165" s="161" t="s">
        <v>8</v>
      </c>
      <c r="E165" s="161" t="s">
        <v>301</v>
      </c>
      <c r="F165" s="207">
        <v>25030</v>
      </c>
      <c r="G165" s="207">
        <v>25050</v>
      </c>
      <c r="H165" s="161">
        <v>-20</v>
      </c>
      <c r="I165" s="207">
        <v>80</v>
      </c>
      <c r="J165" s="242">
        <f t="shared" si="28"/>
        <v>-1600</v>
      </c>
      <c r="K165" s="153"/>
      <c r="V165" s="25">
        <f t="shared" si="29"/>
        <v>0</v>
      </c>
      <c r="W165" s="25">
        <f t="shared" si="30"/>
        <v>1</v>
      </c>
    </row>
    <row r="166" spans="1:23" x14ac:dyDescent="0.3">
      <c r="A166" s="147"/>
      <c r="B166" s="205">
        <f t="shared" si="31"/>
        <v>14</v>
      </c>
      <c r="C166" s="206">
        <v>42999</v>
      </c>
      <c r="D166" s="161" t="s">
        <v>8</v>
      </c>
      <c r="E166" s="161" t="s">
        <v>301</v>
      </c>
      <c r="F166" s="207">
        <v>24800</v>
      </c>
      <c r="G166" s="207">
        <v>24840</v>
      </c>
      <c r="H166" s="161">
        <v>-40</v>
      </c>
      <c r="I166" s="207">
        <v>80</v>
      </c>
      <c r="J166" s="242">
        <f t="shared" si="28"/>
        <v>-3200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15</v>
      </c>
      <c r="C167" s="206">
        <v>43000</v>
      </c>
      <c r="D167" s="161" t="s">
        <v>8</v>
      </c>
      <c r="E167" s="161" t="s">
        <v>301</v>
      </c>
      <c r="F167" s="207">
        <v>24550</v>
      </c>
      <c r="G167" s="207">
        <v>24415</v>
      </c>
      <c r="H167" s="161">
        <v>135</v>
      </c>
      <c r="I167" s="207">
        <v>80</v>
      </c>
      <c r="J167" s="242">
        <f t="shared" si="28"/>
        <v>10800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16</v>
      </c>
      <c r="C168" s="206">
        <v>43003</v>
      </c>
      <c r="D168" s="161" t="s">
        <v>8</v>
      </c>
      <c r="E168" s="161" t="s">
        <v>301</v>
      </c>
      <c r="F168" s="207">
        <v>24170</v>
      </c>
      <c r="G168" s="207">
        <v>24115</v>
      </c>
      <c r="H168" s="161">
        <v>55</v>
      </c>
      <c r="I168" s="207">
        <v>80</v>
      </c>
      <c r="J168" s="242">
        <f t="shared" si="28"/>
        <v>4400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17</v>
      </c>
      <c r="C169" s="206">
        <v>43004</v>
      </c>
      <c r="D169" s="161" t="s">
        <v>8</v>
      </c>
      <c r="E169" s="161" t="s">
        <v>301</v>
      </c>
      <c r="F169" s="207">
        <v>24150</v>
      </c>
      <c r="G169" s="207">
        <v>24250</v>
      </c>
      <c r="H169" s="161">
        <v>100</v>
      </c>
      <c r="I169" s="207">
        <v>80</v>
      </c>
      <c r="J169" s="242">
        <f t="shared" si="28"/>
        <v>8000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18</v>
      </c>
      <c r="C170" s="206">
        <v>43005</v>
      </c>
      <c r="D170" s="161" t="s">
        <v>8</v>
      </c>
      <c r="E170" s="161" t="s">
        <v>301</v>
      </c>
      <c r="F170" s="207">
        <v>24260</v>
      </c>
      <c r="G170" s="207">
        <v>23960</v>
      </c>
      <c r="H170" s="161">
        <v>300</v>
      </c>
      <c r="I170" s="207">
        <v>80</v>
      </c>
      <c r="J170" s="242">
        <f t="shared" si="28"/>
        <v>24000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19</v>
      </c>
      <c r="C171" s="206">
        <v>43006</v>
      </c>
      <c r="D171" s="161" t="s">
        <v>8</v>
      </c>
      <c r="E171" s="161" t="s">
        <v>301</v>
      </c>
      <c r="F171" s="207">
        <v>23760</v>
      </c>
      <c r="G171" s="207">
        <v>23660</v>
      </c>
      <c r="H171" s="161">
        <v>100</v>
      </c>
      <c r="I171" s="207">
        <v>80</v>
      </c>
      <c r="J171" s="242">
        <f t="shared" si="28"/>
        <v>8000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20</v>
      </c>
      <c r="C172" s="206">
        <v>43007</v>
      </c>
      <c r="D172" s="161" t="s">
        <v>8</v>
      </c>
      <c r="E172" s="161" t="s">
        <v>301</v>
      </c>
      <c r="F172" s="207">
        <v>24200</v>
      </c>
      <c r="G172" s="207">
        <v>24060</v>
      </c>
      <c r="H172" s="161">
        <v>140</v>
      </c>
      <c r="I172" s="207">
        <v>80</v>
      </c>
      <c r="J172" s="242">
        <f t="shared" si="28"/>
        <v>11200</v>
      </c>
      <c r="K172" s="153"/>
      <c r="V172" s="25">
        <f t="shared" si="29"/>
        <v>1</v>
      </c>
      <c r="W172" s="25">
        <f t="shared" si="30"/>
        <v>0</v>
      </c>
    </row>
    <row r="173" spans="1:23" x14ac:dyDescent="0.3">
      <c r="A173" s="147"/>
      <c r="B173" s="205">
        <f t="shared" si="31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8"/>
        <v>0</v>
      </c>
      <c r="K173" s="153"/>
      <c r="V173" s="25">
        <f t="shared" si="29"/>
        <v>0</v>
      </c>
      <c r="W173" s="25">
        <f t="shared" si="30"/>
        <v>0</v>
      </c>
    </row>
    <row r="174" spans="1:23" x14ac:dyDescent="0.3">
      <c r="A174" s="147"/>
      <c r="B174" s="205">
        <f t="shared" si="31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ht="15" thickBot="1" x14ac:dyDescent="0.35">
      <c r="A175" s="147"/>
      <c r="B175" s="208">
        <f t="shared" si="31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92800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2313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42979</v>
      </c>
      <c r="D184" s="185" t="s">
        <v>9</v>
      </c>
      <c r="E184" s="185" t="s">
        <v>2328</v>
      </c>
      <c r="F184" s="219">
        <v>310</v>
      </c>
      <c r="G184" s="219">
        <v>290</v>
      </c>
      <c r="H184" s="185">
        <v>-20</v>
      </c>
      <c r="I184" s="219">
        <v>160</v>
      </c>
      <c r="J184" s="246">
        <f t="shared" ref="J184:J206" si="32">I184*H184</f>
        <v>-3200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42982</v>
      </c>
      <c r="D185" s="161" t="s">
        <v>9</v>
      </c>
      <c r="E185" s="161" t="s">
        <v>2328</v>
      </c>
      <c r="F185" s="207">
        <v>330</v>
      </c>
      <c r="G185" s="207">
        <v>450</v>
      </c>
      <c r="H185" s="161">
        <v>120</v>
      </c>
      <c r="I185" s="207">
        <v>160</v>
      </c>
      <c r="J185" s="242">
        <f t="shared" si="32"/>
        <v>19200</v>
      </c>
      <c r="K185" s="153"/>
      <c r="V185" s="25">
        <f t="shared" ref="V185:V206" si="33">IF($J185&gt;0,1,0)</f>
        <v>1</v>
      </c>
      <c r="W185" s="25">
        <f t="shared" ref="W185:W206" si="34">IF($J185&lt;0,1,0)</f>
        <v>0</v>
      </c>
    </row>
    <row r="186" spans="1:23" x14ac:dyDescent="0.3">
      <c r="A186" s="147"/>
      <c r="B186" s="205">
        <f t="shared" ref="B186:B206" si="35">B185+1</f>
        <v>3</v>
      </c>
      <c r="C186" s="206">
        <v>42983</v>
      </c>
      <c r="D186" s="161" t="s">
        <v>9</v>
      </c>
      <c r="E186" s="161" t="s">
        <v>2328</v>
      </c>
      <c r="F186" s="207">
        <v>330</v>
      </c>
      <c r="G186" s="207">
        <v>365</v>
      </c>
      <c r="H186" s="161">
        <v>35</v>
      </c>
      <c r="I186" s="207">
        <v>160</v>
      </c>
      <c r="J186" s="242">
        <f t="shared" si="32"/>
        <v>5600</v>
      </c>
      <c r="K186" s="153"/>
      <c r="V186" s="25">
        <f t="shared" si="33"/>
        <v>1</v>
      </c>
      <c r="W186" s="25">
        <f t="shared" si="34"/>
        <v>0</v>
      </c>
    </row>
    <row r="187" spans="1:23" x14ac:dyDescent="0.3">
      <c r="A187" s="147"/>
      <c r="B187" s="205">
        <f t="shared" si="35"/>
        <v>4</v>
      </c>
      <c r="C187" s="206">
        <v>42984</v>
      </c>
      <c r="D187" s="161" t="s">
        <v>9</v>
      </c>
      <c r="E187" s="161" t="s">
        <v>2293</v>
      </c>
      <c r="F187" s="207">
        <v>360</v>
      </c>
      <c r="G187" s="207">
        <v>325</v>
      </c>
      <c r="H187" s="161">
        <v>-35</v>
      </c>
      <c r="I187" s="207">
        <v>160</v>
      </c>
      <c r="J187" s="242">
        <f t="shared" si="32"/>
        <v>-5600</v>
      </c>
      <c r="K187" s="153"/>
      <c r="V187" s="25">
        <f t="shared" si="33"/>
        <v>0</v>
      </c>
      <c r="W187" s="25">
        <f t="shared" si="34"/>
        <v>1</v>
      </c>
    </row>
    <row r="188" spans="1:23" x14ac:dyDescent="0.3">
      <c r="A188" s="147"/>
      <c r="B188" s="205">
        <f t="shared" si="35"/>
        <v>5</v>
      </c>
      <c r="C188" s="206">
        <v>42985</v>
      </c>
      <c r="D188" s="161" t="s">
        <v>9</v>
      </c>
      <c r="E188" s="161" t="s">
        <v>2293</v>
      </c>
      <c r="F188" s="207">
        <v>260</v>
      </c>
      <c r="G188" s="207">
        <v>280</v>
      </c>
      <c r="H188" s="161">
        <v>20</v>
      </c>
      <c r="I188" s="207">
        <v>160</v>
      </c>
      <c r="J188" s="242">
        <f t="shared" si="32"/>
        <v>3200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6</v>
      </c>
      <c r="C189" s="206">
        <v>42986</v>
      </c>
      <c r="D189" s="161" t="s">
        <v>9</v>
      </c>
      <c r="E189" s="161" t="s">
        <v>2293</v>
      </c>
      <c r="F189" s="207">
        <v>260</v>
      </c>
      <c r="G189" s="207">
        <v>290</v>
      </c>
      <c r="H189" s="161">
        <v>30</v>
      </c>
      <c r="I189" s="207">
        <v>160</v>
      </c>
      <c r="J189" s="242">
        <f t="shared" si="32"/>
        <v>4800</v>
      </c>
      <c r="K189" s="153"/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7</v>
      </c>
      <c r="C190" s="206">
        <v>42989</v>
      </c>
      <c r="D190" s="161" t="s">
        <v>9</v>
      </c>
      <c r="E190" s="161" t="s">
        <v>2301</v>
      </c>
      <c r="F190" s="207">
        <v>270</v>
      </c>
      <c r="G190" s="207">
        <v>210</v>
      </c>
      <c r="H190" s="161">
        <v>-60</v>
      </c>
      <c r="I190" s="207">
        <v>160</v>
      </c>
      <c r="J190" s="242">
        <f t="shared" si="32"/>
        <v>-9600</v>
      </c>
      <c r="K190" s="153"/>
      <c r="V190" s="25">
        <f t="shared" si="33"/>
        <v>0</v>
      </c>
      <c r="W190" s="25">
        <f t="shared" si="34"/>
        <v>1</v>
      </c>
    </row>
    <row r="191" spans="1:23" x14ac:dyDescent="0.3">
      <c r="A191" s="147"/>
      <c r="B191" s="205">
        <f t="shared" si="35"/>
        <v>8</v>
      </c>
      <c r="C191" s="206">
        <v>42990</v>
      </c>
      <c r="D191" s="161" t="s">
        <v>9</v>
      </c>
      <c r="E191" s="161" t="s">
        <v>2303</v>
      </c>
      <c r="F191" s="207">
        <v>210</v>
      </c>
      <c r="G191" s="207">
        <v>210</v>
      </c>
      <c r="H191" s="161">
        <v>0</v>
      </c>
      <c r="I191" s="207">
        <v>160</v>
      </c>
      <c r="J191" s="242">
        <f t="shared" si="32"/>
        <v>0</v>
      </c>
      <c r="K191" s="153"/>
      <c r="V191" s="25">
        <f t="shared" si="33"/>
        <v>0</v>
      </c>
      <c r="W191" s="25">
        <f t="shared" si="34"/>
        <v>0</v>
      </c>
    </row>
    <row r="192" spans="1:23" x14ac:dyDescent="0.3">
      <c r="A192" s="147"/>
      <c r="B192" s="205">
        <f t="shared" si="35"/>
        <v>9</v>
      </c>
      <c r="C192" s="206">
        <v>42991</v>
      </c>
      <c r="D192" s="161" t="s">
        <v>9</v>
      </c>
      <c r="E192" s="161" t="s">
        <v>2304</v>
      </c>
      <c r="F192" s="207">
        <v>270</v>
      </c>
      <c r="G192" s="207">
        <v>295</v>
      </c>
      <c r="H192" s="161">
        <v>25</v>
      </c>
      <c r="I192" s="207">
        <v>160</v>
      </c>
      <c r="J192" s="242">
        <f t="shared" si="32"/>
        <v>4000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10</v>
      </c>
      <c r="C193" s="206">
        <v>42992</v>
      </c>
      <c r="D193" s="161" t="s">
        <v>9</v>
      </c>
      <c r="E193" s="161" t="s">
        <v>2344</v>
      </c>
      <c r="F193" s="207">
        <v>240</v>
      </c>
      <c r="G193" s="207">
        <v>225</v>
      </c>
      <c r="H193" s="161">
        <v>-15</v>
      </c>
      <c r="I193" s="207">
        <v>160</v>
      </c>
      <c r="J193" s="242">
        <f t="shared" si="32"/>
        <v>-2400</v>
      </c>
      <c r="K193" s="153"/>
      <c r="V193" s="25">
        <f t="shared" si="33"/>
        <v>0</v>
      </c>
      <c r="W193" s="25">
        <f t="shared" si="34"/>
        <v>1</v>
      </c>
    </row>
    <row r="194" spans="1:23" x14ac:dyDescent="0.3">
      <c r="A194" s="147"/>
      <c r="B194" s="205">
        <f t="shared" si="35"/>
        <v>11</v>
      </c>
      <c r="C194" s="206">
        <v>42993</v>
      </c>
      <c r="D194" s="161" t="s">
        <v>9</v>
      </c>
      <c r="E194" s="161" t="s">
        <v>2319</v>
      </c>
      <c r="F194" s="207">
        <v>220</v>
      </c>
      <c r="G194" s="207">
        <v>225</v>
      </c>
      <c r="H194" s="161">
        <v>5</v>
      </c>
      <c r="I194" s="207">
        <v>160</v>
      </c>
      <c r="J194" s="242">
        <f t="shared" si="32"/>
        <v>800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12</v>
      </c>
      <c r="C195" s="206">
        <v>42996</v>
      </c>
      <c r="D195" s="161" t="s">
        <v>9</v>
      </c>
      <c r="E195" s="161" t="s">
        <v>2305</v>
      </c>
      <c r="F195" s="207">
        <v>230</v>
      </c>
      <c r="G195" s="207">
        <v>250</v>
      </c>
      <c r="H195" s="161">
        <v>20</v>
      </c>
      <c r="I195" s="207">
        <v>160</v>
      </c>
      <c r="J195" s="242">
        <f t="shared" si="32"/>
        <v>3200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13</v>
      </c>
      <c r="C196" s="206">
        <v>42997</v>
      </c>
      <c r="D196" s="161" t="s">
        <v>9</v>
      </c>
      <c r="E196" s="161" t="s">
        <v>2317</v>
      </c>
      <c r="F196" s="207">
        <v>230</v>
      </c>
      <c r="G196" s="207">
        <v>210</v>
      </c>
      <c r="H196" s="161">
        <v>-20</v>
      </c>
      <c r="I196" s="207">
        <v>160</v>
      </c>
      <c r="J196" s="242">
        <f t="shared" si="32"/>
        <v>-3200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14</v>
      </c>
      <c r="C197" s="206">
        <v>42999</v>
      </c>
      <c r="D197" s="161" t="s">
        <v>9</v>
      </c>
      <c r="E197" s="161" t="s">
        <v>2321</v>
      </c>
      <c r="F197" s="207">
        <v>200</v>
      </c>
      <c r="G197" s="207">
        <v>140</v>
      </c>
      <c r="H197" s="161">
        <v>-60</v>
      </c>
      <c r="I197" s="207">
        <v>160</v>
      </c>
      <c r="J197" s="242">
        <f t="shared" si="32"/>
        <v>-9600</v>
      </c>
      <c r="K197" s="153"/>
      <c r="V197" s="25">
        <f t="shared" si="33"/>
        <v>0</v>
      </c>
      <c r="W197" s="25">
        <f t="shared" si="34"/>
        <v>1</v>
      </c>
    </row>
    <row r="198" spans="1:23" x14ac:dyDescent="0.3">
      <c r="A198" s="147"/>
      <c r="B198" s="205">
        <f t="shared" si="35"/>
        <v>15</v>
      </c>
      <c r="C198" s="206">
        <v>43000</v>
      </c>
      <c r="D198" s="161" t="s">
        <v>9</v>
      </c>
      <c r="E198" s="161" t="s">
        <v>2302</v>
      </c>
      <c r="F198" s="207">
        <v>190</v>
      </c>
      <c r="G198" s="207">
        <v>270</v>
      </c>
      <c r="H198" s="161">
        <v>80</v>
      </c>
      <c r="I198" s="207">
        <v>160</v>
      </c>
      <c r="J198" s="242">
        <f t="shared" si="32"/>
        <v>12800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16</v>
      </c>
      <c r="C199" s="206">
        <v>43003</v>
      </c>
      <c r="D199" s="161" t="s">
        <v>9</v>
      </c>
      <c r="E199" s="161" t="s">
        <v>2327</v>
      </c>
      <c r="F199" s="207">
        <v>170</v>
      </c>
      <c r="G199" s="207">
        <v>210</v>
      </c>
      <c r="H199" s="161">
        <v>40</v>
      </c>
      <c r="I199" s="207">
        <v>160</v>
      </c>
      <c r="J199" s="242">
        <f t="shared" si="32"/>
        <v>6400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17</v>
      </c>
      <c r="C200" s="206">
        <v>43004</v>
      </c>
      <c r="D200" s="161" t="s">
        <v>9</v>
      </c>
      <c r="E200" s="161" t="s">
        <v>2292</v>
      </c>
      <c r="F200" s="207">
        <v>160</v>
      </c>
      <c r="G200" s="207">
        <v>100</v>
      </c>
      <c r="H200" s="161">
        <v>-60</v>
      </c>
      <c r="I200" s="207">
        <v>160</v>
      </c>
      <c r="J200" s="242">
        <f t="shared" si="32"/>
        <v>-9600</v>
      </c>
      <c r="K200" s="153"/>
      <c r="V200" s="25">
        <f t="shared" si="33"/>
        <v>0</v>
      </c>
      <c r="W200" s="25">
        <f t="shared" si="34"/>
        <v>1</v>
      </c>
    </row>
    <row r="201" spans="1:23" x14ac:dyDescent="0.3">
      <c r="A201" s="147"/>
      <c r="B201" s="205">
        <f t="shared" si="35"/>
        <v>18</v>
      </c>
      <c r="C201" s="206">
        <v>43005</v>
      </c>
      <c r="D201" s="161" t="s">
        <v>9</v>
      </c>
      <c r="E201" s="161" t="s">
        <v>2328</v>
      </c>
      <c r="F201" s="207">
        <v>170</v>
      </c>
      <c r="G201" s="207">
        <v>290</v>
      </c>
      <c r="H201" s="161">
        <v>120</v>
      </c>
      <c r="I201" s="207">
        <v>160</v>
      </c>
      <c r="J201" s="242">
        <f t="shared" si="32"/>
        <v>19200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19</v>
      </c>
      <c r="C202" s="206">
        <v>43007</v>
      </c>
      <c r="D202" s="161" t="s">
        <v>9</v>
      </c>
      <c r="E202" s="161" t="s">
        <v>2331</v>
      </c>
      <c r="F202" s="207">
        <v>260</v>
      </c>
      <c r="G202" s="207">
        <v>340</v>
      </c>
      <c r="H202" s="161">
        <v>80</v>
      </c>
      <c r="I202" s="207">
        <v>160</v>
      </c>
      <c r="J202" s="242">
        <f t="shared" si="32"/>
        <v>12800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2"/>
        <v>0</v>
      </c>
      <c r="K203" s="153"/>
      <c r="V203" s="25">
        <f t="shared" si="33"/>
        <v>0</v>
      </c>
      <c r="W203" s="25">
        <f t="shared" si="34"/>
        <v>0</v>
      </c>
    </row>
    <row r="204" spans="1:23" x14ac:dyDescent="0.3">
      <c r="A204" s="147"/>
      <c r="B204" s="205">
        <f t="shared" si="35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2"/>
        <v>0</v>
      </c>
      <c r="K204" s="153"/>
      <c r="V204" s="25">
        <f t="shared" si="33"/>
        <v>0</v>
      </c>
      <c r="W204" s="25">
        <f t="shared" si="34"/>
        <v>0</v>
      </c>
    </row>
    <row r="205" spans="1:23" x14ac:dyDescent="0.3">
      <c r="A205" s="147"/>
      <c r="B205" s="205">
        <f t="shared" si="35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ht="15" thickBot="1" x14ac:dyDescent="0.35">
      <c r="A206" s="147"/>
      <c r="B206" s="208">
        <f t="shared" si="35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48800</v>
      </c>
      <c r="K207" s="153"/>
      <c r="V207" s="25">
        <f>SUM(V184:V206)</f>
        <v>11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2313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42979</v>
      </c>
      <c r="D215" s="185" t="s">
        <v>9</v>
      </c>
      <c r="E215" s="185" t="s">
        <v>2336</v>
      </c>
      <c r="F215" s="219">
        <v>16</v>
      </c>
      <c r="G215" s="219">
        <v>19</v>
      </c>
      <c r="H215" s="185">
        <v>4</v>
      </c>
      <c r="I215" s="219">
        <v>1200</v>
      </c>
      <c r="J215" s="246">
        <f t="shared" ref="J215:J237" si="36">I215*H215</f>
        <v>4800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42982</v>
      </c>
      <c r="D216" s="161" t="s">
        <v>9</v>
      </c>
      <c r="E216" s="161" t="s">
        <v>2330</v>
      </c>
      <c r="F216" s="207">
        <v>42</v>
      </c>
      <c r="G216" s="222">
        <v>56</v>
      </c>
      <c r="H216" s="234">
        <v>14</v>
      </c>
      <c r="I216" s="207">
        <v>350</v>
      </c>
      <c r="J216" s="242">
        <f>I216*H216</f>
        <v>4900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7">B216+1</f>
        <v>3</v>
      </c>
      <c r="C217" s="206">
        <v>42983</v>
      </c>
      <c r="D217" s="161" t="s">
        <v>9</v>
      </c>
      <c r="E217" s="161" t="s">
        <v>2338</v>
      </c>
      <c r="F217" s="207">
        <v>32</v>
      </c>
      <c r="G217" s="207">
        <v>32</v>
      </c>
      <c r="H217" s="161">
        <v>0</v>
      </c>
      <c r="I217" s="207">
        <v>500</v>
      </c>
      <c r="J217" s="242">
        <f t="shared" si="36"/>
        <v>0</v>
      </c>
      <c r="K217" s="153"/>
      <c r="V217" s="25">
        <f t="shared" ref="V217:V237" si="38">IF($J217&gt;0,1,0)</f>
        <v>0</v>
      </c>
      <c r="W217" s="25">
        <f t="shared" ref="W217:W237" si="39">IF($J217&lt;0,1,0)</f>
        <v>0</v>
      </c>
    </row>
    <row r="218" spans="1:23" x14ac:dyDescent="0.3">
      <c r="A218" s="147"/>
      <c r="B218" s="205">
        <f t="shared" si="37"/>
        <v>4</v>
      </c>
      <c r="C218" s="206">
        <v>42984</v>
      </c>
      <c r="D218" s="161" t="s">
        <v>9</v>
      </c>
      <c r="E218" s="161" t="s">
        <v>2057</v>
      </c>
      <c r="F218" s="207">
        <v>12</v>
      </c>
      <c r="G218" s="222">
        <v>14.25</v>
      </c>
      <c r="H218" s="161">
        <v>2.25</v>
      </c>
      <c r="I218" s="207">
        <v>1200</v>
      </c>
      <c r="J218" s="242">
        <f t="shared" si="36"/>
        <v>2700</v>
      </c>
      <c r="K218" s="153"/>
      <c r="V218" s="25">
        <f t="shared" si="38"/>
        <v>1</v>
      </c>
      <c r="W218" s="25">
        <f t="shared" si="39"/>
        <v>0</v>
      </c>
    </row>
    <row r="219" spans="1:23" x14ac:dyDescent="0.3">
      <c r="A219" s="147"/>
      <c r="B219" s="205">
        <f t="shared" si="37"/>
        <v>5</v>
      </c>
      <c r="C219" s="206">
        <v>42985</v>
      </c>
      <c r="D219" s="161" t="s">
        <v>9</v>
      </c>
      <c r="E219" s="161" t="s">
        <v>2339</v>
      </c>
      <c r="F219" s="222">
        <v>7.7</v>
      </c>
      <c r="G219" s="222">
        <v>10.3</v>
      </c>
      <c r="H219" s="161">
        <v>2.6</v>
      </c>
      <c r="I219" s="207">
        <v>2500</v>
      </c>
      <c r="J219" s="242">
        <f t="shared" si="36"/>
        <v>6500</v>
      </c>
      <c r="K219" s="153"/>
      <c r="V219" s="25">
        <f t="shared" si="38"/>
        <v>1</v>
      </c>
      <c r="W219" s="25">
        <f t="shared" si="39"/>
        <v>0</v>
      </c>
    </row>
    <row r="220" spans="1:23" x14ac:dyDescent="0.3">
      <c r="A220" s="147"/>
      <c r="B220" s="205">
        <f t="shared" si="37"/>
        <v>6</v>
      </c>
      <c r="C220" s="206">
        <v>42986</v>
      </c>
      <c r="D220" s="161" t="s">
        <v>9</v>
      </c>
      <c r="E220" s="161" t="s">
        <v>2340</v>
      </c>
      <c r="F220" s="207">
        <v>60</v>
      </c>
      <c r="G220" s="207">
        <v>90</v>
      </c>
      <c r="H220" s="161">
        <v>30</v>
      </c>
      <c r="I220" s="207">
        <v>200</v>
      </c>
      <c r="J220" s="242">
        <f t="shared" si="36"/>
        <v>6000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7</v>
      </c>
      <c r="C221" s="206">
        <v>42989</v>
      </c>
      <c r="D221" s="161" t="s">
        <v>9</v>
      </c>
      <c r="E221" s="161" t="s">
        <v>2341</v>
      </c>
      <c r="F221" s="207">
        <v>55</v>
      </c>
      <c r="G221" s="207">
        <v>55</v>
      </c>
      <c r="H221" s="161">
        <v>0</v>
      </c>
      <c r="I221" s="207">
        <v>200</v>
      </c>
      <c r="J221" s="242">
        <f t="shared" si="36"/>
        <v>0</v>
      </c>
      <c r="K221" s="153"/>
      <c r="V221" s="25">
        <f t="shared" si="38"/>
        <v>0</v>
      </c>
      <c r="W221" s="25">
        <f t="shared" si="39"/>
        <v>0</v>
      </c>
    </row>
    <row r="222" spans="1:23" x14ac:dyDescent="0.3">
      <c r="A222" s="147"/>
      <c r="B222" s="205">
        <f t="shared" si="37"/>
        <v>8</v>
      </c>
      <c r="C222" s="206">
        <v>42990</v>
      </c>
      <c r="D222" s="161" t="s">
        <v>9</v>
      </c>
      <c r="E222" s="161" t="s">
        <v>2342</v>
      </c>
      <c r="F222" s="207">
        <v>20</v>
      </c>
      <c r="G222" s="207">
        <v>18</v>
      </c>
      <c r="H222" s="161">
        <v>-2</v>
      </c>
      <c r="I222" s="207">
        <v>750</v>
      </c>
      <c r="J222" s="242">
        <f t="shared" si="36"/>
        <v>-1500</v>
      </c>
      <c r="K222" s="153"/>
      <c r="V222" s="25">
        <f t="shared" si="38"/>
        <v>0</v>
      </c>
      <c r="W222" s="25">
        <f t="shared" si="39"/>
        <v>1</v>
      </c>
    </row>
    <row r="223" spans="1:23" x14ac:dyDescent="0.3">
      <c r="A223" s="147"/>
      <c r="B223" s="205">
        <f t="shared" si="37"/>
        <v>9</v>
      </c>
      <c r="C223" s="206">
        <v>42991</v>
      </c>
      <c r="D223" s="161" t="s">
        <v>9</v>
      </c>
      <c r="E223" s="161" t="s">
        <v>2343</v>
      </c>
      <c r="F223" s="207">
        <v>65</v>
      </c>
      <c r="G223" s="222">
        <v>80</v>
      </c>
      <c r="H223" s="234">
        <v>15</v>
      </c>
      <c r="I223" s="207">
        <v>200</v>
      </c>
      <c r="J223" s="242">
        <f t="shared" si="36"/>
        <v>3000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10</v>
      </c>
      <c r="C224" s="206">
        <v>42992</v>
      </c>
      <c r="D224" s="161" t="s">
        <v>9</v>
      </c>
      <c r="E224" s="161" t="s">
        <v>2345</v>
      </c>
      <c r="F224" s="222">
        <v>70</v>
      </c>
      <c r="G224" s="222">
        <v>61</v>
      </c>
      <c r="H224" s="234">
        <v>-9</v>
      </c>
      <c r="I224" s="207">
        <v>200</v>
      </c>
      <c r="J224" s="242">
        <f t="shared" si="36"/>
        <v>-1800</v>
      </c>
      <c r="K224" s="153"/>
      <c r="V224" s="25">
        <f t="shared" si="38"/>
        <v>0</v>
      </c>
      <c r="W224" s="25">
        <f t="shared" si="39"/>
        <v>1</v>
      </c>
    </row>
    <row r="225" spans="1:23" x14ac:dyDescent="0.3">
      <c r="A225" s="147"/>
      <c r="B225" s="205">
        <f t="shared" si="37"/>
        <v>11</v>
      </c>
      <c r="C225" s="206">
        <v>42993</v>
      </c>
      <c r="D225" s="161" t="s">
        <v>9</v>
      </c>
      <c r="E225" s="161" t="s">
        <v>2347</v>
      </c>
      <c r="F225" s="207">
        <v>13</v>
      </c>
      <c r="G225" s="222">
        <v>11</v>
      </c>
      <c r="H225" s="234">
        <v>-2</v>
      </c>
      <c r="I225" s="207">
        <v>1000</v>
      </c>
      <c r="J225" s="242">
        <f t="shared" si="36"/>
        <v>-2000</v>
      </c>
      <c r="K225" s="153"/>
      <c r="V225" s="25">
        <f t="shared" si="38"/>
        <v>0</v>
      </c>
      <c r="W225" s="25">
        <f t="shared" si="39"/>
        <v>1</v>
      </c>
    </row>
    <row r="226" spans="1:23" x14ac:dyDescent="0.3">
      <c r="A226" s="147"/>
      <c r="B226" s="205">
        <f t="shared" si="37"/>
        <v>12</v>
      </c>
      <c r="C226" s="206">
        <v>42996</v>
      </c>
      <c r="D226" s="161" t="s">
        <v>9</v>
      </c>
      <c r="E226" s="161" t="s">
        <v>2340</v>
      </c>
      <c r="F226" s="207">
        <v>56</v>
      </c>
      <c r="G226" s="207">
        <v>62</v>
      </c>
      <c r="H226" s="234">
        <v>6</v>
      </c>
      <c r="I226" s="207">
        <v>200</v>
      </c>
      <c r="J226" s="242">
        <f t="shared" si="36"/>
        <v>1200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13</v>
      </c>
      <c r="C227" s="206">
        <v>42997</v>
      </c>
      <c r="D227" s="161" t="s">
        <v>9</v>
      </c>
      <c r="E227" s="161" t="s">
        <v>2347</v>
      </c>
      <c r="F227" s="222">
        <v>11</v>
      </c>
      <c r="G227" s="222">
        <v>11</v>
      </c>
      <c r="H227" s="234">
        <v>0</v>
      </c>
      <c r="I227" s="207">
        <v>500</v>
      </c>
      <c r="J227" s="242">
        <f t="shared" si="36"/>
        <v>0</v>
      </c>
      <c r="K227" s="153"/>
      <c r="V227" s="25">
        <f t="shared" si="38"/>
        <v>0</v>
      </c>
      <c r="W227" s="25">
        <f t="shared" si="39"/>
        <v>0</v>
      </c>
    </row>
    <row r="228" spans="1:23" x14ac:dyDescent="0.3">
      <c r="A228" s="147"/>
      <c r="B228" s="205">
        <f t="shared" si="37"/>
        <v>14</v>
      </c>
      <c r="C228" s="206">
        <v>42998</v>
      </c>
      <c r="D228" s="161" t="s">
        <v>9</v>
      </c>
      <c r="E228" s="161" t="s">
        <v>2349</v>
      </c>
      <c r="F228" s="207">
        <v>30</v>
      </c>
      <c r="G228" s="222">
        <v>28</v>
      </c>
      <c r="H228" s="234">
        <v>-2</v>
      </c>
      <c r="I228" s="207">
        <v>350</v>
      </c>
      <c r="J228" s="242">
        <f>I228*H228</f>
        <v>-700</v>
      </c>
      <c r="K228" s="153"/>
      <c r="V228" s="25">
        <f t="shared" si="38"/>
        <v>0</v>
      </c>
      <c r="W228" s="25">
        <f t="shared" si="39"/>
        <v>1</v>
      </c>
    </row>
    <row r="229" spans="1:23" x14ac:dyDescent="0.3">
      <c r="A229" s="147"/>
      <c r="B229" s="205">
        <f t="shared" si="37"/>
        <v>15</v>
      </c>
      <c r="C229" s="206">
        <v>42999</v>
      </c>
      <c r="D229" s="161" t="s">
        <v>9</v>
      </c>
      <c r="E229" s="161" t="s">
        <v>2350</v>
      </c>
      <c r="F229" s="222">
        <v>6.5</v>
      </c>
      <c r="G229" s="222">
        <v>5</v>
      </c>
      <c r="H229" s="234">
        <v>-1.5</v>
      </c>
      <c r="I229" s="207">
        <v>1500</v>
      </c>
      <c r="J229" s="242">
        <f t="shared" si="36"/>
        <v>-2250</v>
      </c>
      <c r="K229" s="153"/>
      <c r="V229" s="25">
        <f t="shared" si="38"/>
        <v>0</v>
      </c>
      <c r="W229" s="25">
        <f t="shared" si="39"/>
        <v>1</v>
      </c>
    </row>
    <row r="230" spans="1:23" x14ac:dyDescent="0.3">
      <c r="A230" s="147"/>
      <c r="B230" s="205">
        <f t="shared" si="37"/>
        <v>16</v>
      </c>
      <c r="C230" s="206">
        <v>43003</v>
      </c>
      <c r="D230" s="161" t="s">
        <v>9</v>
      </c>
      <c r="E230" s="161" t="s">
        <v>2351</v>
      </c>
      <c r="F230" s="222">
        <v>20</v>
      </c>
      <c r="G230" s="222">
        <v>13</v>
      </c>
      <c r="H230" s="161">
        <v>-7</v>
      </c>
      <c r="I230" s="207">
        <v>750</v>
      </c>
      <c r="J230" s="242">
        <f t="shared" si="36"/>
        <v>-5250</v>
      </c>
      <c r="K230" s="153"/>
      <c r="V230" s="25">
        <f t="shared" si="38"/>
        <v>0</v>
      </c>
      <c r="W230" s="25">
        <f t="shared" si="39"/>
        <v>1</v>
      </c>
    </row>
    <row r="231" spans="1:23" x14ac:dyDescent="0.3">
      <c r="A231" s="147"/>
      <c r="B231" s="205">
        <f t="shared" si="37"/>
        <v>17</v>
      </c>
      <c r="C231" s="206">
        <v>43004</v>
      </c>
      <c r="D231" s="161" t="s">
        <v>9</v>
      </c>
      <c r="E231" s="161" t="s">
        <v>2352</v>
      </c>
      <c r="F231" s="222">
        <v>50</v>
      </c>
      <c r="G231" s="222">
        <v>80</v>
      </c>
      <c r="H231" s="161">
        <v>30</v>
      </c>
      <c r="I231" s="207">
        <v>200</v>
      </c>
      <c r="J231" s="242">
        <f t="shared" si="36"/>
        <v>6000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18</v>
      </c>
      <c r="C232" s="206">
        <v>43005</v>
      </c>
      <c r="D232" s="161" t="s">
        <v>9</v>
      </c>
      <c r="E232" s="161" t="s">
        <v>2045</v>
      </c>
      <c r="F232" s="207">
        <v>7</v>
      </c>
      <c r="G232" s="222">
        <v>11</v>
      </c>
      <c r="H232" s="161">
        <v>4</v>
      </c>
      <c r="I232" s="207">
        <v>1200</v>
      </c>
      <c r="J232" s="242">
        <f t="shared" si="36"/>
        <v>4800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19</v>
      </c>
      <c r="C233" s="206">
        <v>43006</v>
      </c>
      <c r="D233" s="161" t="s">
        <v>9</v>
      </c>
      <c r="E233" s="161" t="s">
        <v>2353</v>
      </c>
      <c r="F233" s="207">
        <v>3</v>
      </c>
      <c r="G233" s="207">
        <v>6</v>
      </c>
      <c r="H233" s="161">
        <v>3</v>
      </c>
      <c r="I233" s="207">
        <v>1200</v>
      </c>
      <c r="J233" s="242">
        <f t="shared" si="36"/>
        <v>3600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20</v>
      </c>
      <c r="C234" s="206">
        <v>43007</v>
      </c>
      <c r="D234" s="161" t="s">
        <v>9</v>
      </c>
      <c r="E234" s="161" t="s">
        <v>2354</v>
      </c>
      <c r="F234" s="207">
        <v>14</v>
      </c>
      <c r="G234" s="207">
        <v>10</v>
      </c>
      <c r="H234" s="161">
        <v>-4</v>
      </c>
      <c r="I234" s="207">
        <v>1200</v>
      </c>
      <c r="J234" s="242">
        <f t="shared" si="36"/>
        <v>-4800</v>
      </c>
      <c r="K234" s="153"/>
      <c r="V234" s="25">
        <f t="shared" si="38"/>
        <v>0</v>
      </c>
      <c r="W234" s="25">
        <f t="shared" si="39"/>
        <v>1</v>
      </c>
    </row>
    <row r="235" spans="1:23" x14ac:dyDescent="0.3">
      <c r="A235" s="147"/>
      <c r="B235" s="205">
        <f t="shared" si="37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36"/>
        <v>0</v>
      </c>
      <c r="K235" s="153"/>
      <c r="V235" s="25">
        <f t="shared" si="38"/>
        <v>0</v>
      </c>
      <c r="W235" s="25">
        <f t="shared" si="39"/>
        <v>0</v>
      </c>
    </row>
    <row r="236" spans="1:23" x14ac:dyDescent="0.3">
      <c r="A236" s="147"/>
      <c r="B236" s="205">
        <f t="shared" si="37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ht="15" thickBot="1" x14ac:dyDescent="0.35">
      <c r="A237" s="147"/>
      <c r="B237" s="208">
        <f t="shared" si="37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25200</v>
      </c>
      <c r="K238" s="153"/>
      <c r="V238" s="25">
        <f>SUM(V215:V237)</f>
        <v>10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500-000000000000}"/>
    <hyperlink ref="B83" r:id="rId2" xr:uid="{00000000-0004-0000-3500-000001000000}"/>
    <hyperlink ref="B114" r:id="rId3" xr:uid="{00000000-0004-0000-3500-000002000000}"/>
    <hyperlink ref="M8:M9" location="'SEP 2017'!A108" display="NIFTY FUTURE" xr:uid="{00000000-0004-0000-3500-000003000000}"/>
    <hyperlink ref="B145" r:id="rId4" xr:uid="{00000000-0004-0000-3500-000004000000}"/>
    <hyperlink ref="M10:M11" location="'SEP 2017'!A139" display="NF. OPTION" xr:uid="{00000000-0004-0000-3500-000005000000}"/>
    <hyperlink ref="B176" r:id="rId5" xr:uid="{00000000-0004-0000-3500-000006000000}"/>
    <hyperlink ref="M12:M13" location="'SEP 2017'!A170" display="BANK NIFTY" xr:uid="{00000000-0004-0000-3500-000007000000}"/>
    <hyperlink ref="B207" r:id="rId6" xr:uid="{00000000-0004-0000-3500-000008000000}"/>
    <hyperlink ref="M14:M15" location="'SEP 2017'!A201" display="B.NIFTY OPTION" xr:uid="{00000000-0004-0000-3500-000009000000}"/>
    <hyperlink ref="B238" r:id="rId7" xr:uid="{00000000-0004-0000-3500-00000A000000}"/>
    <hyperlink ref="M16:M17" location="'SEP 2017'!A232" display="STOCK OPTION" xr:uid="{00000000-0004-0000-3500-00000B000000}"/>
    <hyperlink ref="M6:M7" location="'SEP 2017'!A77" display="STOCK FUTURE" xr:uid="{00000000-0004-0000-3500-00000C000000}"/>
    <hyperlink ref="M4:M5" location="'SEP 2017'!A1" display="CASH" xr:uid="{00000000-0004-0000-3500-00000D000000}"/>
    <hyperlink ref="M1" location="'MASTER '!A1" display="Back" xr:uid="{00000000-0004-0000-3500-00000E000000}"/>
  </hyperlinks>
  <pageMargins left="0" right="0" top="0" bottom="0" header="0" footer="0"/>
  <pageSetup scale="95" orientation="portrait" r:id="rId8"/>
  <ignoredErrors>
    <ignoredError sqref="I6:J6" evalError="1"/>
  </ignoredErrors>
  <drawing r:id="rId9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W239"/>
  <sheetViews>
    <sheetView workbookViewId="0">
      <selection activeCell="I14" sqref="I14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7.554687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2355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22</v>
      </c>
      <c r="O4" s="354">
        <f>V52</f>
        <v>13</v>
      </c>
      <c r="P4" s="354">
        <f>W52</f>
        <v>9</v>
      </c>
      <c r="Q4" s="355">
        <f>N4-O4-P4</f>
        <v>0</v>
      </c>
      <c r="R4" s="314">
        <f>O4/N4</f>
        <v>0.59090909090909094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43011</v>
      </c>
      <c r="D6" s="158" t="s">
        <v>9</v>
      </c>
      <c r="E6" s="158" t="s">
        <v>1407</v>
      </c>
      <c r="F6" s="204">
        <v>942</v>
      </c>
      <c r="G6" s="230">
        <v>932</v>
      </c>
      <c r="H6" s="158">
        <v>-10</v>
      </c>
      <c r="I6" s="204">
        <f>300000/F6</f>
        <v>318.47133757961785</v>
      </c>
      <c r="J6" s="241">
        <f>H6*I6</f>
        <v>-3184.7133757961783</v>
      </c>
      <c r="K6" s="153"/>
      <c r="M6" s="389" t="s">
        <v>450</v>
      </c>
      <c r="N6" s="343">
        <f>COUNT(C60:C82)</f>
        <v>11</v>
      </c>
      <c r="O6" s="345">
        <f>V83</f>
        <v>8</v>
      </c>
      <c r="P6" s="345">
        <f>W83</f>
        <v>3</v>
      </c>
      <c r="Q6" s="347">
        <f>N6-O6-P6</f>
        <v>0</v>
      </c>
      <c r="R6" s="340">
        <f t="shared" ref="R6" si="0">O6/N6</f>
        <v>0.72727272727272729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43011</v>
      </c>
      <c r="D7" s="161" t="s">
        <v>8</v>
      </c>
      <c r="E7" s="161" t="s">
        <v>95</v>
      </c>
      <c r="F7" s="207">
        <v>279</v>
      </c>
      <c r="G7" s="207">
        <v>276</v>
      </c>
      <c r="H7" s="234">
        <v>3</v>
      </c>
      <c r="I7" s="207">
        <f t="shared" ref="I7" si="1">300000/F7</f>
        <v>1075.2688172043011</v>
      </c>
      <c r="J7" s="242">
        <f t="shared" ref="J7" si="2">H7*I7</f>
        <v>3225.8064516129034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43012</v>
      </c>
      <c r="D8" s="161" t="s">
        <v>9</v>
      </c>
      <c r="E8" s="161" t="s">
        <v>395</v>
      </c>
      <c r="F8" s="207">
        <v>2370</v>
      </c>
      <c r="G8" s="207">
        <v>2398</v>
      </c>
      <c r="H8" s="161">
        <v>28</v>
      </c>
      <c r="I8" s="207">
        <f t="shared" ref="I8:I9" si="6">300000/F8</f>
        <v>126.58227848101266</v>
      </c>
      <c r="J8" s="242">
        <f t="shared" ref="J8:J9" si="7">H8*I8</f>
        <v>3544.3037974683548</v>
      </c>
      <c r="K8" s="153"/>
      <c r="M8" s="389" t="s">
        <v>451</v>
      </c>
      <c r="N8" s="343">
        <f>COUNT(C91:C113)</f>
        <v>11</v>
      </c>
      <c r="O8" s="345">
        <f>V114</f>
        <v>8</v>
      </c>
      <c r="P8" s="345">
        <f>W114</f>
        <v>2</v>
      </c>
      <c r="Q8" s="347">
        <f>N8-O8-P8</f>
        <v>1</v>
      </c>
      <c r="R8" s="340">
        <f t="shared" ref="R8" si="8">O8/N8</f>
        <v>0.72727272727272729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43012</v>
      </c>
      <c r="D9" s="161" t="s">
        <v>8</v>
      </c>
      <c r="E9" s="161" t="s">
        <v>31</v>
      </c>
      <c r="F9" s="207">
        <v>810</v>
      </c>
      <c r="G9" s="222">
        <v>819</v>
      </c>
      <c r="H9" s="161">
        <v>-9</v>
      </c>
      <c r="I9" s="207">
        <f t="shared" si="6"/>
        <v>370.37037037037038</v>
      </c>
      <c r="J9" s="243">
        <f t="shared" si="7"/>
        <v>-3333.3333333333335</v>
      </c>
      <c r="K9" s="153"/>
      <c r="M9" s="389"/>
      <c r="N9" s="343"/>
      <c r="O9" s="345"/>
      <c r="P9" s="345"/>
      <c r="Q9" s="349"/>
      <c r="R9" s="340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43013</v>
      </c>
      <c r="D10" s="161" t="s">
        <v>9</v>
      </c>
      <c r="E10" s="161" t="s">
        <v>395</v>
      </c>
      <c r="F10" s="207">
        <v>2405</v>
      </c>
      <c r="G10" s="207">
        <v>2385</v>
      </c>
      <c r="H10" s="234">
        <v>-20</v>
      </c>
      <c r="I10" s="207">
        <f t="shared" ref="I10" si="9">300000/F10</f>
        <v>124.74012474012474</v>
      </c>
      <c r="J10" s="242">
        <f t="shared" ref="J10" si="10">H10*I10</f>
        <v>-2494.8024948024949</v>
      </c>
      <c r="K10" s="153"/>
      <c r="M10" s="389" t="s">
        <v>1176</v>
      </c>
      <c r="N10" s="343">
        <f>COUNT(C122:C144)</f>
        <v>11</v>
      </c>
      <c r="O10" s="345">
        <f>V145</f>
        <v>5</v>
      </c>
      <c r="P10" s="345">
        <f>W145</f>
        <v>6</v>
      </c>
      <c r="Q10" s="347">
        <f>N10-O10-P10</f>
        <v>0</v>
      </c>
      <c r="R10" s="340">
        <f t="shared" ref="R10:R16" si="11">O10/N10</f>
        <v>0.45454545454545453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43013</v>
      </c>
      <c r="D11" s="161" t="s">
        <v>8</v>
      </c>
      <c r="E11" s="161" t="s">
        <v>58</v>
      </c>
      <c r="F11" s="207">
        <v>504</v>
      </c>
      <c r="G11" s="207">
        <v>499</v>
      </c>
      <c r="H11" s="234">
        <v>5</v>
      </c>
      <c r="I11" s="207">
        <f t="shared" ref="I11:I12" si="12">300000/F11</f>
        <v>595.23809523809518</v>
      </c>
      <c r="J11" s="242">
        <f t="shared" ref="J11:J12" si="13">H11*I11</f>
        <v>2976.1904761904761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43014</v>
      </c>
      <c r="D12" s="161" t="s">
        <v>9</v>
      </c>
      <c r="E12" s="161" t="s">
        <v>575</v>
      </c>
      <c r="F12" s="222">
        <v>206.5</v>
      </c>
      <c r="G12" s="222">
        <v>206</v>
      </c>
      <c r="H12" s="161">
        <v>-0.5</v>
      </c>
      <c r="I12" s="207">
        <f t="shared" si="12"/>
        <v>1452.7845036319613</v>
      </c>
      <c r="J12" s="242">
        <f t="shared" si="13"/>
        <v>-726.39225181598067</v>
      </c>
      <c r="K12" s="153"/>
      <c r="M12" s="389" t="s">
        <v>41</v>
      </c>
      <c r="N12" s="343">
        <f>COUNT(C153:C175)</f>
        <v>11</v>
      </c>
      <c r="O12" s="345">
        <f>V176</f>
        <v>8</v>
      </c>
      <c r="P12" s="345">
        <f>W176</f>
        <v>2</v>
      </c>
      <c r="Q12" s="347">
        <f>N12-O12-P12</f>
        <v>1</v>
      </c>
      <c r="R12" s="340">
        <f t="shared" si="11"/>
        <v>0.72727272727272729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43014</v>
      </c>
      <c r="D13" s="161" t="s">
        <v>8</v>
      </c>
      <c r="E13" s="161" t="s">
        <v>371</v>
      </c>
      <c r="F13" s="207">
        <v>417</v>
      </c>
      <c r="G13" s="207">
        <v>422</v>
      </c>
      <c r="H13" s="161">
        <v>-5</v>
      </c>
      <c r="I13" s="207">
        <f t="shared" ref="I13" si="14">300000/F13</f>
        <v>719.42446043165467</v>
      </c>
      <c r="J13" s="242">
        <f t="shared" ref="J13" si="15">H13*I13</f>
        <v>-3597.1223021582732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43017</v>
      </c>
      <c r="D14" s="161" t="s">
        <v>9</v>
      </c>
      <c r="E14" s="161" t="s">
        <v>58</v>
      </c>
      <c r="F14" s="207">
        <v>510</v>
      </c>
      <c r="G14" s="222">
        <v>508.5</v>
      </c>
      <c r="H14" s="161">
        <v>3.5</v>
      </c>
      <c r="I14" s="207">
        <f t="shared" ref="I14:I15" si="16">300000/F14</f>
        <v>588.23529411764707</v>
      </c>
      <c r="J14" s="242">
        <f t="shared" ref="J14:J15" si="17">H14*I14</f>
        <v>2058.8235294117649</v>
      </c>
      <c r="K14" s="153"/>
      <c r="M14" s="389" t="s">
        <v>1175</v>
      </c>
      <c r="N14" s="343">
        <f>COUNT(C184:C206)</f>
        <v>11</v>
      </c>
      <c r="O14" s="345">
        <f>V207</f>
        <v>8</v>
      </c>
      <c r="P14" s="345">
        <f>W207</f>
        <v>3</v>
      </c>
      <c r="Q14" s="347">
        <f>N14-O14-P14</f>
        <v>0</v>
      </c>
      <c r="R14" s="340">
        <f t="shared" si="11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43017</v>
      </c>
      <c r="D15" s="161" t="s">
        <v>8</v>
      </c>
      <c r="E15" s="161" t="s">
        <v>2357</v>
      </c>
      <c r="F15" s="207">
        <v>384</v>
      </c>
      <c r="G15" s="222">
        <v>378.5</v>
      </c>
      <c r="H15" s="161">
        <v>5.5</v>
      </c>
      <c r="I15" s="207">
        <f t="shared" si="16"/>
        <v>781.25</v>
      </c>
      <c r="J15" s="242">
        <f t="shared" si="17"/>
        <v>4296.875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43018</v>
      </c>
      <c r="D16" s="161" t="s">
        <v>9</v>
      </c>
      <c r="E16" s="161" t="s">
        <v>31</v>
      </c>
      <c r="F16" s="207">
        <v>837</v>
      </c>
      <c r="G16" s="207">
        <v>847</v>
      </c>
      <c r="H16" s="161">
        <v>10</v>
      </c>
      <c r="I16" s="207">
        <f t="shared" ref="I16:I17" si="18">300000/F16</f>
        <v>358.42293906810033</v>
      </c>
      <c r="J16" s="242">
        <f t="shared" ref="J16:J17" si="19">H16*I16</f>
        <v>3584.2293906810032</v>
      </c>
      <c r="K16" s="153"/>
      <c r="L16" s="25" t="s">
        <v>2008</v>
      </c>
      <c r="M16" s="389" t="s">
        <v>1090</v>
      </c>
      <c r="N16" s="343">
        <f>COUNT(C215:C237)</f>
        <v>11</v>
      </c>
      <c r="O16" s="346">
        <f>V238</f>
        <v>7</v>
      </c>
      <c r="P16" s="345">
        <f>W238</f>
        <v>4</v>
      </c>
      <c r="Q16" s="347">
        <f t="shared" ref="Q16" si="20">N16-O16-P16</f>
        <v>0</v>
      </c>
      <c r="R16" s="340">
        <f t="shared" si="11"/>
        <v>0.63636363636363635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43018</v>
      </c>
      <c r="D17" s="161" t="s">
        <v>8</v>
      </c>
      <c r="E17" s="161" t="s">
        <v>119</v>
      </c>
      <c r="F17" s="207">
        <v>1048</v>
      </c>
      <c r="G17" s="207">
        <v>1058</v>
      </c>
      <c r="H17" s="234">
        <v>-10</v>
      </c>
      <c r="I17" s="207">
        <f t="shared" si="18"/>
        <v>286.25954198473283</v>
      </c>
      <c r="J17" s="242">
        <f t="shared" si="19"/>
        <v>-2862.5954198473282</v>
      </c>
      <c r="K17" s="153"/>
      <c r="M17" s="390"/>
      <c r="N17" s="344"/>
      <c r="O17" s="373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43019</v>
      </c>
      <c r="D18" s="161" t="s">
        <v>9</v>
      </c>
      <c r="E18" s="161" t="s">
        <v>78</v>
      </c>
      <c r="F18" s="207">
        <v>1150</v>
      </c>
      <c r="G18" s="207">
        <v>1140</v>
      </c>
      <c r="H18" s="234">
        <v>-10</v>
      </c>
      <c r="I18" s="207">
        <f t="shared" ref="I18:I19" si="21">300000/F18</f>
        <v>260.86956521739131</v>
      </c>
      <c r="J18" s="242">
        <f t="shared" ref="J18:J19" si="22">H18*I18</f>
        <v>-2608.695652173913</v>
      </c>
      <c r="K18" s="153"/>
      <c r="M18" s="334" t="s">
        <v>946</v>
      </c>
      <c r="N18" s="336">
        <f>SUM(N4:N17)</f>
        <v>88</v>
      </c>
      <c r="O18" s="336">
        <f t="shared" ref="O18:Q18" si="23">SUM(O4:O17)</f>
        <v>57</v>
      </c>
      <c r="P18" s="336">
        <f t="shared" si="23"/>
        <v>29</v>
      </c>
      <c r="Q18" s="338">
        <f t="shared" si="23"/>
        <v>2</v>
      </c>
      <c r="R18" s="314">
        <f t="shared" ref="R18" si="24">O18/N18</f>
        <v>0.64772727272727271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43019</v>
      </c>
      <c r="D19" s="161" t="s">
        <v>8</v>
      </c>
      <c r="E19" s="161" t="s">
        <v>25</v>
      </c>
      <c r="F19" s="207">
        <v>694</v>
      </c>
      <c r="G19" s="222">
        <v>682</v>
      </c>
      <c r="H19" s="161">
        <v>12</v>
      </c>
      <c r="I19" s="207">
        <f t="shared" si="21"/>
        <v>432.27665706051874</v>
      </c>
      <c r="J19" s="242">
        <f t="shared" si="22"/>
        <v>5187.3198847262247</v>
      </c>
      <c r="K19" s="153"/>
      <c r="L19" s="25" t="s">
        <v>2008</v>
      </c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43020</v>
      </c>
      <c r="D20" s="161" t="s">
        <v>9</v>
      </c>
      <c r="E20" s="161" t="s">
        <v>2362</v>
      </c>
      <c r="F20" s="207">
        <v>335</v>
      </c>
      <c r="G20" s="207">
        <v>339</v>
      </c>
      <c r="H20" s="161">
        <v>4</v>
      </c>
      <c r="I20" s="207">
        <f t="shared" ref="I20:I21" si="25">300000/F20</f>
        <v>895.52238805970148</v>
      </c>
      <c r="J20" s="242">
        <f t="shared" ref="J20:J21" si="26">H20*I20</f>
        <v>3582.0895522388059</v>
      </c>
      <c r="K20" s="153"/>
      <c r="M20" s="316" t="s">
        <v>2253</v>
      </c>
      <c r="N20" s="317"/>
      <c r="O20" s="318"/>
      <c r="P20" s="325">
        <f>R18</f>
        <v>0.64772727272727271</v>
      </c>
      <c r="Q20" s="326"/>
      <c r="R20" s="327"/>
      <c r="V20" s="25">
        <f>IF($J20&gt;0,1,0)</f>
        <v>1</v>
      </c>
      <c r="W20" s="25">
        <f>IF($J20&lt;0,1,0)</f>
        <v>0</v>
      </c>
    </row>
    <row r="21" spans="1:23" ht="15" customHeight="1" x14ac:dyDescent="0.3">
      <c r="A21" s="147"/>
      <c r="B21" s="205">
        <f t="shared" si="5"/>
        <v>16</v>
      </c>
      <c r="C21" s="206">
        <v>43020</v>
      </c>
      <c r="D21" s="161" t="s">
        <v>8</v>
      </c>
      <c r="E21" s="161" t="s">
        <v>395</v>
      </c>
      <c r="F21" s="207">
        <v>2370</v>
      </c>
      <c r="G21" s="207">
        <v>2359</v>
      </c>
      <c r="H21" s="161">
        <v>11</v>
      </c>
      <c r="I21" s="207">
        <f t="shared" si="25"/>
        <v>126.58227848101266</v>
      </c>
      <c r="J21" s="242">
        <f t="shared" si="26"/>
        <v>1392.4050632911394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43021</v>
      </c>
      <c r="D22" s="161" t="s">
        <v>9</v>
      </c>
      <c r="E22" s="161" t="s">
        <v>58</v>
      </c>
      <c r="F22" s="207">
        <v>530</v>
      </c>
      <c r="G22" s="222">
        <v>534.5</v>
      </c>
      <c r="H22" s="161">
        <v>4.5</v>
      </c>
      <c r="I22" s="207">
        <f t="shared" ref="I22:I27" si="27">300000/F22</f>
        <v>566.03773584905662</v>
      </c>
      <c r="J22" s="242">
        <f t="shared" ref="J22:J27" si="28">H22*I22</f>
        <v>2547.1698113207549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43021</v>
      </c>
      <c r="D23" s="161" t="s">
        <v>8</v>
      </c>
      <c r="E23" s="161" t="s">
        <v>2203</v>
      </c>
      <c r="F23" s="207">
        <v>1161</v>
      </c>
      <c r="G23" s="207">
        <v>1171</v>
      </c>
      <c r="H23" s="161">
        <v>-10</v>
      </c>
      <c r="I23" s="207">
        <f t="shared" si="27"/>
        <v>258.39793281653749</v>
      </c>
      <c r="J23" s="242">
        <f t="shared" si="28"/>
        <v>-2583.9793281653747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43024</v>
      </c>
      <c r="D24" s="161" t="s">
        <v>9</v>
      </c>
      <c r="E24" s="161" t="s">
        <v>395</v>
      </c>
      <c r="F24" s="207">
        <v>2385</v>
      </c>
      <c r="G24" s="207">
        <v>2405</v>
      </c>
      <c r="H24" s="161">
        <v>20</v>
      </c>
      <c r="I24" s="207">
        <f t="shared" si="27"/>
        <v>125.78616352201257</v>
      </c>
      <c r="J24" s="242">
        <f t="shared" si="28"/>
        <v>2515.7232704402513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43024</v>
      </c>
      <c r="D25" s="161" t="s">
        <v>8</v>
      </c>
      <c r="E25" s="161" t="s">
        <v>58</v>
      </c>
      <c r="F25" s="207">
        <v>524</v>
      </c>
      <c r="G25" s="222">
        <v>514.5</v>
      </c>
      <c r="H25" s="222">
        <v>9.5</v>
      </c>
      <c r="I25" s="207">
        <f t="shared" si="27"/>
        <v>572.51908396946567</v>
      </c>
      <c r="J25" s="242">
        <f t="shared" si="28"/>
        <v>5438.9312977099235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43025</v>
      </c>
      <c r="D26" s="161" t="s">
        <v>9</v>
      </c>
      <c r="E26" s="161" t="s">
        <v>58</v>
      </c>
      <c r="F26" s="207">
        <v>524</v>
      </c>
      <c r="G26" s="222">
        <v>519</v>
      </c>
      <c r="H26" s="161">
        <v>-5</v>
      </c>
      <c r="I26" s="207">
        <f t="shared" si="27"/>
        <v>572.51908396946567</v>
      </c>
      <c r="J26" s="242">
        <f t="shared" si="28"/>
        <v>-2862.5954198473282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43025</v>
      </c>
      <c r="D27" s="161" t="s">
        <v>8</v>
      </c>
      <c r="E27" s="161" t="s">
        <v>31</v>
      </c>
      <c r="F27" s="207">
        <v>873</v>
      </c>
      <c r="G27" s="207">
        <v>868</v>
      </c>
      <c r="H27" s="161">
        <v>5</v>
      </c>
      <c r="I27" s="207">
        <f t="shared" si="27"/>
        <v>343.64261168384877</v>
      </c>
      <c r="J27" s="242">
        <f t="shared" si="28"/>
        <v>1718.2130584192439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/>
      <c r="D28" s="161"/>
      <c r="E28" s="161"/>
      <c r="F28" s="207"/>
      <c r="G28" s="222"/>
      <c r="H28" s="161"/>
      <c r="I28" s="207"/>
      <c r="J28" s="242"/>
      <c r="K28" s="153"/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/>
      <c r="D29" s="161"/>
      <c r="E29" s="161"/>
      <c r="F29" s="207"/>
      <c r="G29" s="222"/>
      <c r="H29" s="161"/>
      <c r="I29" s="207"/>
      <c r="J29" s="242"/>
      <c r="K29" s="153"/>
      <c r="V29" s="25">
        <f t="shared" si="3"/>
        <v>0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/>
      <c r="D30" s="161"/>
      <c r="E30" s="161"/>
      <c r="F30" s="207"/>
      <c r="G30" s="207"/>
      <c r="H30" s="161"/>
      <c r="I30" s="207"/>
      <c r="J30" s="242"/>
      <c r="K30" s="153"/>
      <c r="V30" s="25">
        <f t="shared" si="3"/>
        <v>0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/>
      <c r="D31" s="161"/>
      <c r="E31" s="161"/>
      <c r="F31" s="207"/>
      <c r="G31" s="207"/>
      <c r="H31" s="161"/>
      <c r="I31" s="207"/>
      <c r="J31" s="242"/>
      <c r="K31" s="153"/>
      <c r="V31" s="25">
        <f t="shared" si="3"/>
        <v>0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/>
      <c r="D32" s="161"/>
      <c r="E32" s="161"/>
      <c r="F32" s="207"/>
      <c r="G32" s="222"/>
      <c r="H32" s="161"/>
      <c r="I32" s="207"/>
      <c r="J32" s="242"/>
      <c r="K32" s="153"/>
      <c r="V32" s="25">
        <f t="shared" si="3"/>
        <v>0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/>
      <c r="D33" s="161"/>
      <c r="E33" s="161"/>
      <c r="F33" s="207"/>
      <c r="G33" s="222"/>
      <c r="H33" s="161"/>
      <c r="I33" s="207"/>
      <c r="J33" s="242"/>
      <c r="K33" s="153"/>
      <c r="V33" s="25">
        <f t="shared" si="3"/>
        <v>0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/>
      <c r="D34" s="161"/>
      <c r="E34" s="161"/>
      <c r="F34" s="207"/>
      <c r="G34" s="207"/>
      <c r="H34" s="161"/>
      <c r="I34" s="207"/>
      <c r="J34" s="242"/>
      <c r="K34" s="153"/>
      <c r="V34" s="25">
        <f t="shared" si="3"/>
        <v>0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/>
      <c r="D35" s="161"/>
      <c r="E35" s="161"/>
      <c r="F35" s="207"/>
      <c r="G35" s="207"/>
      <c r="H35" s="161"/>
      <c r="I35" s="207"/>
      <c r="J35" s="242"/>
      <c r="K35" s="153"/>
      <c r="V35" s="25">
        <f t="shared" si="3"/>
        <v>0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07"/>
      <c r="G36" s="207"/>
      <c r="H36" s="161"/>
      <c r="I36" s="207"/>
      <c r="J36" s="242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07"/>
      <c r="G37" s="207"/>
      <c r="H37" s="161"/>
      <c r="I37" s="207"/>
      <c r="J37" s="242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07"/>
      <c r="G38" s="207"/>
      <c r="H38" s="161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07"/>
      <c r="G39" s="207"/>
      <c r="H39" s="161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07"/>
      <c r="G40" s="222"/>
      <c r="H40" s="161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07"/>
      <c r="G41" s="207"/>
      <c r="H41" s="161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07"/>
      <c r="G42" s="207"/>
      <c r="H42" s="161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07"/>
      <c r="G43" s="207"/>
      <c r="H43" s="161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07"/>
      <c r="G44" s="207"/>
      <c r="H44" s="161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07"/>
      <c r="G45" s="207"/>
      <c r="H45" s="161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17813.851005570643</v>
      </c>
      <c r="K52" s="153"/>
      <c r="V52" s="25">
        <f>SUM(V6:V51)</f>
        <v>13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2355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43011</v>
      </c>
      <c r="D60" s="158" t="s">
        <v>8</v>
      </c>
      <c r="E60" s="158" t="s">
        <v>192</v>
      </c>
      <c r="F60" s="204">
        <v>311</v>
      </c>
      <c r="G60" s="230">
        <v>306.8</v>
      </c>
      <c r="H60" s="158">
        <v>4.2</v>
      </c>
      <c r="I60" s="204">
        <v>3084</v>
      </c>
      <c r="J60" s="241">
        <f t="shared" ref="J60:J82" si="29">I60*H60</f>
        <v>12952.800000000001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43012</v>
      </c>
      <c r="D61" s="161" t="s">
        <v>8</v>
      </c>
      <c r="E61" s="161" t="s">
        <v>95</v>
      </c>
      <c r="F61" s="222">
        <v>279.5</v>
      </c>
      <c r="G61" s="222">
        <v>276.5</v>
      </c>
      <c r="H61" s="161">
        <v>3</v>
      </c>
      <c r="I61" s="207">
        <v>2750</v>
      </c>
      <c r="J61" s="242">
        <f t="shared" si="29"/>
        <v>8250</v>
      </c>
      <c r="K61" s="153"/>
      <c r="V61" s="25">
        <f t="shared" ref="V61:V82" si="30">IF($J61&gt;0,1,0)</f>
        <v>1</v>
      </c>
      <c r="W61" s="25">
        <f t="shared" ref="W61:W82" si="31">IF($J61&lt;0,1,0)</f>
        <v>0</v>
      </c>
    </row>
    <row r="62" spans="1:23" x14ac:dyDescent="0.3">
      <c r="A62" s="147"/>
      <c r="B62" s="205">
        <f t="shared" ref="B62:B82" si="32">B61+1</f>
        <v>3</v>
      </c>
      <c r="C62" s="206">
        <v>43013</v>
      </c>
      <c r="D62" s="161" t="s">
        <v>8</v>
      </c>
      <c r="E62" s="161" t="s">
        <v>95</v>
      </c>
      <c r="F62" s="222">
        <v>276.5</v>
      </c>
      <c r="G62" s="222">
        <v>273.5</v>
      </c>
      <c r="H62" s="161">
        <v>3</v>
      </c>
      <c r="I62" s="207">
        <v>2750</v>
      </c>
      <c r="J62" s="242">
        <f t="shared" si="29"/>
        <v>8250</v>
      </c>
      <c r="K62" s="153"/>
      <c r="V62" s="25">
        <f t="shared" si="30"/>
        <v>1</v>
      </c>
      <c r="W62" s="25">
        <f t="shared" si="31"/>
        <v>0</v>
      </c>
    </row>
    <row r="63" spans="1:23" x14ac:dyDescent="0.3">
      <c r="A63" s="147"/>
      <c r="B63" s="205">
        <f t="shared" si="32"/>
        <v>4</v>
      </c>
      <c r="C63" s="206">
        <v>43014</v>
      </c>
      <c r="D63" s="161" t="s">
        <v>8</v>
      </c>
      <c r="E63" s="161" t="s">
        <v>31</v>
      </c>
      <c r="F63" s="222">
        <v>830</v>
      </c>
      <c r="G63" s="222">
        <v>835</v>
      </c>
      <c r="H63" s="234">
        <v>-5</v>
      </c>
      <c r="I63" s="207">
        <v>1000</v>
      </c>
      <c r="J63" s="242">
        <f t="shared" si="29"/>
        <v>-5000</v>
      </c>
      <c r="K63" s="153"/>
      <c r="V63" s="25">
        <f t="shared" si="30"/>
        <v>0</v>
      </c>
      <c r="W63" s="25">
        <f t="shared" si="31"/>
        <v>1</v>
      </c>
    </row>
    <row r="64" spans="1:23" x14ac:dyDescent="0.3">
      <c r="A64" s="147"/>
      <c r="B64" s="205">
        <f t="shared" si="32"/>
        <v>5</v>
      </c>
      <c r="C64" s="206">
        <v>43017</v>
      </c>
      <c r="D64" s="161" t="s">
        <v>9</v>
      </c>
      <c r="E64" s="161" t="s">
        <v>192</v>
      </c>
      <c r="F64" s="207">
        <v>317</v>
      </c>
      <c r="G64" s="222">
        <v>314</v>
      </c>
      <c r="H64" s="234">
        <v>-3</v>
      </c>
      <c r="I64" s="207">
        <v>3084</v>
      </c>
      <c r="J64" s="242">
        <f t="shared" si="29"/>
        <v>-9252</v>
      </c>
      <c r="K64" s="153"/>
      <c r="V64" s="25">
        <f t="shared" si="30"/>
        <v>0</v>
      </c>
      <c r="W64" s="25">
        <f t="shared" si="31"/>
        <v>1</v>
      </c>
    </row>
    <row r="65" spans="1:23" x14ac:dyDescent="0.3">
      <c r="A65" s="147"/>
      <c r="B65" s="205">
        <f t="shared" si="32"/>
        <v>6</v>
      </c>
      <c r="C65" s="206">
        <v>43018</v>
      </c>
      <c r="D65" s="161" t="s">
        <v>8</v>
      </c>
      <c r="E65" s="161" t="s">
        <v>19</v>
      </c>
      <c r="F65" s="207">
        <v>257</v>
      </c>
      <c r="G65" s="222">
        <v>257.2</v>
      </c>
      <c r="H65" s="234">
        <v>-0.2</v>
      </c>
      <c r="I65" s="207">
        <v>3000</v>
      </c>
      <c r="J65" s="242">
        <f t="shared" si="29"/>
        <v>-600</v>
      </c>
      <c r="K65" s="153"/>
      <c r="V65" s="25">
        <f t="shared" si="30"/>
        <v>0</v>
      </c>
      <c r="W65" s="25">
        <f t="shared" si="31"/>
        <v>1</v>
      </c>
    </row>
    <row r="66" spans="1:23" x14ac:dyDescent="0.3">
      <c r="A66" s="147"/>
      <c r="B66" s="205">
        <f t="shared" si="32"/>
        <v>7</v>
      </c>
      <c r="C66" s="206">
        <v>43019</v>
      </c>
      <c r="D66" s="161" t="s">
        <v>8</v>
      </c>
      <c r="E66" s="161" t="s">
        <v>95</v>
      </c>
      <c r="F66" s="222">
        <v>272.7</v>
      </c>
      <c r="G66" s="222">
        <v>268.5</v>
      </c>
      <c r="H66" s="161">
        <v>4</v>
      </c>
      <c r="I66" s="207">
        <v>2750</v>
      </c>
      <c r="J66" s="242">
        <f t="shared" si="29"/>
        <v>11000</v>
      </c>
      <c r="K66" s="153"/>
      <c r="V66" s="25">
        <f t="shared" si="30"/>
        <v>1</v>
      </c>
      <c r="W66" s="25">
        <f t="shared" si="31"/>
        <v>0</v>
      </c>
    </row>
    <row r="67" spans="1:23" x14ac:dyDescent="0.3">
      <c r="A67" s="147"/>
      <c r="B67" s="205">
        <f t="shared" si="32"/>
        <v>8</v>
      </c>
      <c r="C67" s="206">
        <v>43020</v>
      </c>
      <c r="D67" s="161" t="s">
        <v>8</v>
      </c>
      <c r="E67" s="161" t="s">
        <v>95</v>
      </c>
      <c r="F67" s="222">
        <v>267.5</v>
      </c>
      <c r="G67" s="222">
        <v>266.39999999999998</v>
      </c>
      <c r="H67" s="161">
        <v>1.1000000000000001</v>
      </c>
      <c r="I67" s="207">
        <v>2750</v>
      </c>
      <c r="J67" s="242">
        <f t="shared" si="29"/>
        <v>3025.0000000000005</v>
      </c>
      <c r="K67" s="153"/>
      <c r="V67" s="25">
        <f t="shared" si="30"/>
        <v>1</v>
      </c>
      <c r="W67" s="25">
        <f t="shared" si="31"/>
        <v>0</v>
      </c>
    </row>
    <row r="68" spans="1:23" x14ac:dyDescent="0.3">
      <c r="A68" s="147"/>
      <c r="B68" s="205">
        <f t="shared" si="32"/>
        <v>9</v>
      </c>
      <c r="C68" s="206">
        <v>43021</v>
      </c>
      <c r="D68" s="161" t="s">
        <v>8</v>
      </c>
      <c r="E68" s="161" t="s">
        <v>112</v>
      </c>
      <c r="F68" s="207">
        <v>515</v>
      </c>
      <c r="G68" s="222">
        <v>511.8</v>
      </c>
      <c r="H68" s="161">
        <v>3.2</v>
      </c>
      <c r="I68" s="207">
        <v>1300</v>
      </c>
      <c r="J68" s="242">
        <f t="shared" si="29"/>
        <v>4160</v>
      </c>
      <c r="K68" s="153"/>
      <c r="V68" s="25">
        <f t="shared" si="30"/>
        <v>1</v>
      </c>
      <c r="W68" s="25">
        <f t="shared" si="31"/>
        <v>0</v>
      </c>
    </row>
    <row r="69" spans="1:23" x14ac:dyDescent="0.3">
      <c r="A69" s="147"/>
      <c r="B69" s="205">
        <f t="shared" si="32"/>
        <v>10</v>
      </c>
      <c r="C69" s="206">
        <v>43024</v>
      </c>
      <c r="D69" s="161" t="s">
        <v>8</v>
      </c>
      <c r="E69" s="161" t="s">
        <v>192</v>
      </c>
      <c r="F69" s="207">
        <v>309</v>
      </c>
      <c r="G69" s="207">
        <v>306</v>
      </c>
      <c r="H69" s="161">
        <v>3</v>
      </c>
      <c r="I69" s="207">
        <v>3084</v>
      </c>
      <c r="J69" s="242">
        <f t="shared" si="29"/>
        <v>9252</v>
      </c>
      <c r="K69" s="153"/>
      <c r="V69" s="25">
        <f t="shared" si="30"/>
        <v>1</v>
      </c>
      <c r="W69" s="25">
        <f t="shared" si="31"/>
        <v>0</v>
      </c>
    </row>
    <row r="70" spans="1:23" x14ac:dyDescent="0.3">
      <c r="A70" s="147"/>
      <c r="B70" s="205">
        <f t="shared" si="32"/>
        <v>11</v>
      </c>
      <c r="C70" s="206">
        <v>43025</v>
      </c>
      <c r="D70" s="161" t="s">
        <v>9</v>
      </c>
      <c r="E70" s="161" t="s">
        <v>192</v>
      </c>
      <c r="F70" s="222">
        <v>311</v>
      </c>
      <c r="G70" s="222">
        <v>312.60000000000002</v>
      </c>
      <c r="H70" s="222">
        <v>1.6</v>
      </c>
      <c r="I70" s="207">
        <v>3084</v>
      </c>
      <c r="J70" s="242">
        <f t="shared" si="29"/>
        <v>4934.4000000000005</v>
      </c>
      <c r="K70" s="153"/>
      <c r="V70" s="25">
        <f t="shared" si="30"/>
        <v>1</v>
      </c>
      <c r="W70" s="25">
        <f t="shared" si="31"/>
        <v>0</v>
      </c>
    </row>
    <row r="71" spans="1:23" x14ac:dyDescent="0.3">
      <c r="A71" s="147"/>
      <c r="B71" s="205">
        <f t="shared" si="32"/>
        <v>12</v>
      </c>
      <c r="C71" s="206"/>
      <c r="D71" s="161"/>
      <c r="E71" s="161"/>
      <c r="F71" s="207"/>
      <c r="G71" s="222"/>
      <c r="H71" s="161"/>
      <c r="I71" s="207"/>
      <c r="J71" s="242">
        <f t="shared" si="29"/>
        <v>0</v>
      </c>
      <c r="K71" s="153"/>
      <c r="V71" s="25">
        <f t="shared" si="30"/>
        <v>0</v>
      </c>
      <c r="W71" s="25">
        <f t="shared" si="31"/>
        <v>0</v>
      </c>
    </row>
    <row r="72" spans="1:23" x14ac:dyDescent="0.3">
      <c r="A72" s="147"/>
      <c r="B72" s="205">
        <f t="shared" si="32"/>
        <v>13</v>
      </c>
      <c r="C72" s="206"/>
      <c r="D72" s="161"/>
      <c r="E72" s="161"/>
      <c r="F72" s="222"/>
      <c r="G72" s="222"/>
      <c r="H72" s="161"/>
      <c r="I72" s="207"/>
      <c r="J72" s="242">
        <f t="shared" si="29"/>
        <v>0</v>
      </c>
      <c r="K72" s="153"/>
      <c r="V72" s="25">
        <f t="shared" si="30"/>
        <v>0</v>
      </c>
      <c r="W72" s="25">
        <f t="shared" si="31"/>
        <v>0</v>
      </c>
    </row>
    <row r="73" spans="1:23" x14ac:dyDescent="0.3">
      <c r="A73" s="147"/>
      <c r="B73" s="205">
        <f t="shared" si="32"/>
        <v>14</v>
      </c>
      <c r="C73" s="206"/>
      <c r="D73" s="161"/>
      <c r="E73" s="161"/>
      <c r="F73" s="223"/>
      <c r="G73" s="207"/>
      <c r="H73" s="234"/>
      <c r="I73" s="207"/>
      <c r="J73" s="242">
        <f t="shared" si="29"/>
        <v>0</v>
      </c>
      <c r="K73" s="153"/>
      <c r="V73" s="25">
        <f t="shared" si="30"/>
        <v>0</v>
      </c>
      <c r="W73" s="25">
        <f t="shared" si="31"/>
        <v>0</v>
      </c>
    </row>
    <row r="74" spans="1:23" x14ac:dyDescent="0.3">
      <c r="A74" s="147"/>
      <c r="B74" s="205">
        <f t="shared" si="32"/>
        <v>15</v>
      </c>
      <c r="C74" s="206"/>
      <c r="D74" s="161"/>
      <c r="E74" s="161"/>
      <c r="F74" s="207"/>
      <c r="G74" s="222"/>
      <c r="H74" s="238"/>
      <c r="I74" s="207"/>
      <c r="J74" s="242">
        <f t="shared" si="29"/>
        <v>0</v>
      </c>
      <c r="K74" s="153"/>
      <c r="V74" s="25">
        <f t="shared" si="30"/>
        <v>0</v>
      </c>
      <c r="W74" s="25">
        <f t="shared" si="31"/>
        <v>0</v>
      </c>
    </row>
    <row r="75" spans="1:23" x14ac:dyDescent="0.3">
      <c r="A75" s="147"/>
      <c r="B75" s="205">
        <f t="shared" si="32"/>
        <v>16</v>
      </c>
      <c r="C75" s="206"/>
      <c r="D75" s="161"/>
      <c r="E75" s="161"/>
      <c r="F75" s="207"/>
      <c r="G75" s="222"/>
      <c r="H75" s="161"/>
      <c r="I75" s="207"/>
      <c r="J75" s="242">
        <f t="shared" si="29"/>
        <v>0</v>
      </c>
      <c r="K75" s="153"/>
      <c r="V75" s="25">
        <f t="shared" si="30"/>
        <v>0</v>
      </c>
      <c r="W75" s="25">
        <f t="shared" si="31"/>
        <v>0</v>
      </c>
    </row>
    <row r="76" spans="1:23" x14ac:dyDescent="0.3">
      <c r="A76" s="147"/>
      <c r="B76" s="205">
        <f t="shared" si="32"/>
        <v>17</v>
      </c>
      <c r="C76" s="206"/>
      <c r="D76" s="161"/>
      <c r="E76" s="161"/>
      <c r="F76" s="207"/>
      <c r="G76" s="222"/>
      <c r="H76" s="161"/>
      <c r="I76" s="207"/>
      <c r="J76" s="242">
        <f t="shared" si="29"/>
        <v>0</v>
      </c>
      <c r="K76" s="153"/>
      <c r="V76" s="25">
        <f t="shared" si="30"/>
        <v>0</v>
      </c>
      <c r="W76" s="25">
        <f t="shared" si="31"/>
        <v>0</v>
      </c>
    </row>
    <row r="77" spans="1:23" x14ac:dyDescent="0.3">
      <c r="A77" s="147"/>
      <c r="B77" s="205">
        <f t="shared" si="32"/>
        <v>18</v>
      </c>
      <c r="C77" s="206"/>
      <c r="D77" s="161"/>
      <c r="E77" s="161"/>
      <c r="F77" s="207"/>
      <c r="G77" s="222"/>
      <c r="H77" s="161"/>
      <c r="I77" s="207"/>
      <c r="J77" s="242">
        <f t="shared" si="29"/>
        <v>0</v>
      </c>
      <c r="K77" s="153"/>
      <c r="V77" s="25">
        <f t="shared" si="30"/>
        <v>0</v>
      </c>
      <c r="W77" s="25">
        <f t="shared" si="31"/>
        <v>0</v>
      </c>
    </row>
    <row r="78" spans="1:23" x14ac:dyDescent="0.3">
      <c r="A78" s="147"/>
      <c r="B78" s="205">
        <f t="shared" si="32"/>
        <v>19</v>
      </c>
      <c r="C78" s="206"/>
      <c r="D78" s="161"/>
      <c r="E78" s="161"/>
      <c r="F78" s="207"/>
      <c r="G78" s="222"/>
      <c r="H78" s="161"/>
      <c r="I78" s="207"/>
      <c r="J78" s="242">
        <f t="shared" si="29"/>
        <v>0</v>
      </c>
      <c r="K78" s="153"/>
      <c r="V78" s="25">
        <f t="shared" si="30"/>
        <v>0</v>
      </c>
      <c r="W78" s="25">
        <f t="shared" si="31"/>
        <v>0</v>
      </c>
    </row>
    <row r="79" spans="1:23" x14ac:dyDescent="0.3">
      <c r="A79" s="147"/>
      <c r="B79" s="205">
        <f t="shared" si="32"/>
        <v>20</v>
      </c>
      <c r="C79" s="206"/>
      <c r="D79" s="161"/>
      <c r="E79" s="161"/>
      <c r="F79" s="207"/>
      <c r="G79" s="222"/>
      <c r="H79" s="161"/>
      <c r="I79" s="207"/>
      <c r="J79" s="242">
        <f t="shared" si="29"/>
        <v>0</v>
      </c>
      <c r="K79" s="153"/>
      <c r="V79" s="25">
        <f t="shared" si="30"/>
        <v>0</v>
      </c>
      <c r="W79" s="25">
        <f t="shared" si="31"/>
        <v>0</v>
      </c>
    </row>
    <row r="80" spans="1:23" x14ac:dyDescent="0.3">
      <c r="A80" s="147"/>
      <c r="B80" s="205">
        <f t="shared" si="32"/>
        <v>21</v>
      </c>
      <c r="C80" s="206"/>
      <c r="D80" s="161"/>
      <c r="E80" s="161"/>
      <c r="F80" s="207"/>
      <c r="G80" s="207"/>
      <c r="H80" s="161"/>
      <c r="I80" s="207"/>
      <c r="J80" s="242">
        <f t="shared" si="29"/>
        <v>0</v>
      </c>
      <c r="K80" s="153"/>
      <c r="V80" s="25">
        <f t="shared" si="30"/>
        <v>0</v>
      </c>
      <c r="W80" s="25">
        <f t="shared" si="31"/>
        <v>0</v>
      </c>
    </row>
    <row r="81" spans="1:23" x14ac:dyDescent="0.3">
      <c r="A81" s="147"/>
      <c r="B81" s="205">
        <f t="shared" si="32"/>
        <v>22</v>
      </c>
      <c r="C81" s="206"/>
      <c r="D81" s="161"/>
      <c r="E81" s="161"/>
      <c r="F81" s="207"/>
      <c r="G81" s="207"/>
      <c r="H81" s="161"/>
      <c r="I81" s="207"/>
      <c r="J81" s="242">
        <f t="shared" si="29"/>
        <v>0</v>
      </c>
      <c r="K81" s="153"/>
      <c r="V81" s="25">
        <f t="shared" si="30"/>
        <v>0</v>
      </c>
      <c r="W81" s="25">
        <f t="shared" si="31"/>
        <v>0</v>
      </c>
    </row>
    <row r="82" spans="1:23" ht="15" thickBot="1" x14ac:dyDescent="0.35">
      <c r="A82" s="147"/>
      <c r="B82" s="208">
        <f t="shared" si="32"/>
        <v>23</v>
      </c>
      <c r="C82" s="209"/>
      <c r="D82" s="166"/>
      <c r="E82" s="166"/>
      <c r="F82" s="210"/>
      <c r="G82" s="210"/>
      <c r="H82" s="166"/>
      <c r="I82" s="210"/>
      <c r="J82" s="244">
        <f t="shared" si="29"/>
        <v>0</v>
      </c>
      <c r="K82" s="153"/>
      <c r="V82" s="25">
        <f t="shared" si="30"/>
        <v>0</v>
      </c>
      <c r="W82" s="25">
        <f t="shared" si="31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46972.200000000004</v>
      </c>
      <c r="K83" s="153"/>
      <c r="V83" s="25">
        <f>SUM(V60:V82)</f>
        <v>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2355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43011</v>
      </c>
      <c r="D91" s="185" t="s">
        <v>8</v>
      </c>
      <c r="E91" s="185" t="s">
        <v>39</v>
      </c>
      <c r="F91" s="219">
        <v>9870</v>
      </c>
      <c r="G91" s="219">
        <v>9840</v>
      </c>
      <c r="H91" s="185">
        <v>30</v>
      </c>
      <c r="I91" s="219">
        <v>150</v>
      </c>
      <c r="J91" s="246">
        <f t="shared" ref="J91:J113" si="33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43012</v>
      </c>
      <c r="D92" s="161" t="s">
        <v>8</v>
      </c>
      <c r="E92" s="161" t="s">
        <v>39</v>
      </c>
      <c r="F92" s="207">
        <v>9925</v>
      </c>
      <c r="G92" s="207">
        <v>9910</v>
      </c>
      <c r="H92" s="161">
        <v>15</v>
      </c>
      <c r="I92" s="207">
        <v>150</v>
      </c>
      <c r="J92" s="242">
        <f t="shared" si="33"/>
        <v>2250</v>
      </c>
      <c r="K92" s="153"/>
      <c r="V92" s="25">
        <f t="shared" ref="V92:V113" si="34">IF($J92&gt;0,1,0)</f>
        <v>1</v>
      </c>
      <c r="W92" s="25">
        <f t="shared" ref="W92:W113" si="35">IF($J92&lt;0,1,0)</f>
        <v>0</v>
      </c>
    </row>
    <row r="93" spans="1:23" x14ac:dyDescent="0.3">
      <c r="A93" s="147"/>
      <c r="B93" s="205">
        <f t="shared" ref="B93:B113" si="36">B92+1</f>
        <v>3</v>
      </c>
      <c r="C93" s="206">
        <v>43013</v>
      </c>
      <c r="D93" s="161" t="s">
        <v>8</v>
      </c>
      <c r="E93" s="161" t="s">
        <v>39</v>
      </c>
      <c r="F93" s="207">
        <v>9950</v>
      </c>
      <c r="G93" s="207">
        <v>9906</v>
      </c>
      <c r="H93" s="161">
        <v>44</v>
      </c>
      <c r="I93" s="207">
        <v>150</v>
      </c>
      <c r="J93" s="242">
        <f t="shared" si="33"/>
        <v>6600</v>
      </c>
      <c r="K93" s="153"/>
      <c r="V93" s="25">
        <f t="shared" si="34"/>
        <v>1</v>
      </c>
      <c r="W93" s="25">
        <f t="shared" si="35"/>
        <v>0</v>
      </c>
    </row>
    <row r="94" spans="1:23" x14ac:dyDescent="0.3">
      <c r="A94" s="147"/>
      <c r="B94" s="205">
        <f t="shared" si="36"/>
        <v>4</v>
      </c>
      <c r="C94" s="206">
        <v>43014</v>
      </c>
      <c r="D94" s="161" t="s">
        <v>8</v>
      </c>
      <c r="E94" s="161" t="s">
        <v>39</v>
      </c>
      <c r="F94" s="207">
        <v>9980</v>
      </c>
      <c r="G94" s="207">
        <v>9968</v>
      </c>
      <c r="H94" s="161">
        <v>12</v>
      </c>
      <c r="I94" s="207">
        <v>150</v>
      </c>
      <c r="J94" s="242">
        <f t="shared" si="33"/>
        <v>1800</v>
      </c>
      <c r="K94" s="153"/>
      <c r="V94" s="25">
        <f t="shared" si="34"/>
        <v>1</v>
      </c>
      <c r="W94" s="25">
        <f t="shared" si="35"/>
        <v>0</v>
      </c>
    </row>
    <row r="95" spans="1:23" x14ac:dyDescent="0.3">
      <c r="A95" s="147"/>
      <c r="B95" s="205">
        <f t="shared" si="36"/>
        <v>5</v>
      </c>
      <c r="C95" s="206">
        <v>43017</v>
      </c>
      <c r="D95" s="161" t="s">
        <v>9</v>
      </c>
      <c r="E95" s="161" t="s">
        <v>39</v>
      </c>
      <c r="F95" s="207">
        <v>10020</v>
      </c>
      <c r="G95" s="207">
        <v>10020</v>
      </c>
      <c r="H95" s="161">
        <v>0</v>
      </c>
      <c r="I95" s="207">
        <v>150</v>
      </c>
      <c r="J95" s="242">
        <f t="shared" si="33"/>
        <v>0</v>
      </c>
      <c r="K95" s="153"/>
      <c r="V95" s="25">
        <f t="shared" si="34"/>
        <v>0</v>
      </c>
      <c r="W95" s="25">
        <f t="shared" si="35"/>
        <v>0</v>
      </c>
    </row>
    <row r="96" spans="1:23" x14ac:dyDescent="0.3">
      <c r="A96" s="147"/>
      <c r="B96" s="205">
        <f t="shared" si="36"/>
        <v>6</v>
      </c>
      <c r="C96" s="206">
        <v>43018</v>
      </c>
      <c r="D96" s="161" t="s">
        <v>8</v>
      </c>
      <c r="E96" s="161" t="s">
        <v>39</v>
      </c>
      <c r="F96" s="207">
        <v>10030</v>
      </c>
      <c r="G96" s="207">
        <v>10015</v>
      </c>
      <c r="H96" s="161">
        <v>15</v>
      </c>
      <c r="I96" s="207">
        <v>150</v>
      </c>
      <c r="J96" s="242">
        <f t="shared" si="33"/>
        <v>2250</v>
      </c>
      <c r="K96" s="153"/>
      <c r="V96" s="25">
        <f t="shared" si="34"/>
        <v>1</v>
      </c>
      <c r="W96" s="25">
        <f t="shared" si="35"/>
        <v>0</v>
      </c>
    </row>
    <row r="97" spans="1:23" x14ac:dyDescent="0.3">
      <c r="A97" s="147"/>
      <c r="B97" s="205">
        <f t="shared" si="36"/>
        <v>7</v>
      </c>
      <c r="C97" s="206">
        <v>43019</v>
      </c>
      <c r="D97" s="161" t="s">
        <v>8</v>
      </c>
      <c r="E97" s="161" t="s">
        <v>39</v>
      </c>
      <c r="F97" s="207">
        <v>10080</v>
      </c>
      <c r="G97" s="207">
        <v>10020</v>
      </c>
      <c r="H97" s="161">
        <v>60</v>
      </c>
      <c r="I97" s="207">
        <v>150</v>
      </c>
      <c r="J97" s="242">
        <f t="shared" si="33"/>
        <v>9000</v>
      </c>
      <c r="K97" s="153"/>
      <c r="V97" s="25">
        <f t="shared" si="34"/>
        <v>1</v>
      </c>
      <c r="W97" s="25">
        <f t="shared" si="35"/>
        <v>0</v>
      </c>
    </row>
    <row r="98" spans="1:23" x14ac:dyDescent="0.3">
      <c r="A98" s="147"/>
      <c r="B98" s="205">
        <f t="shared" si="36"/>
        <v>8</v>
      </c>
      <c r="C98" s="206">
        <v>43020</v>
      </c>
      <c r="D98" s="161" t="s">
        <v>8</v>
      </c>
      <c r="E98" s="161" t="s">
        <v>39</v>
      </c>
      <c r="F98" s="207">
        <v>10035</v>
      </c>
      <c r="G98" s="207">
        <v>10020</v>
      </c>
      <c r="H98" s="161">
        <v>15</v>
      </c>
      <c r="I98" s="207">
        <v>150</v>
      </c>
      <c r="J98" s="242">
        <f t="shared" si="33"/>
        <v>2250</v>
      </c>
      <c r="K98" s="153"/>
      <c r="V98" s="25">
        <f t="shared" si="34"/>
        <v>1</v>
      </c>
      <c r="W98" s="25">
        <f t="shared" si="35"/>
        <v>0</v>
      </c>
    </row>
    <row r="99" spans="1:23" x14ac:dyDescent="0.3">
      <c r="A99" s="147"/>
      <c r="B99" s="205">
        <f t="shared" si="36"/>
        <v>9</v>
      </c>
      <c r="C99" s="206">
        <v>43021</v>
      </c>
      <c r="D99" s="161" t="s">
        <v>8</v>
      </c>
      <c r="E99" s="161" t="s">
        <v>39</v>
      </c>
      <c r="F99" s="207">
        <v>10180</v>
      </c>
      <c r="G99" s="207">
        <v>10210</v>
      </c>
      <c r="H99" s="161">
        <v>-30</v>
      </c>
      <c r="I99" s="207">
        <v>150</v>
      </c>
      <c r="J99" s="242">
        <f t="shared" si="33"/>
        <v>-4500</v>
      </c>
      <c r="K99" s="153"/>
      <c r="V99" s="25">
        <f t="shared" si="34"/>
        <v>0</v>
      </c>
      <c r="W99" s="25">
        <f t="shared" si="35"/>
        <v>1</v>
      </c>
    </row>
    <row r="100" spans="1:23" x14ac:dyDescent="0.3">
      <c r="A100" s="147"/>
      <c r="B100" s="205">
        <f t="shared" si="36"/>
        <v>10</v>
      </c>
      <c r="C100" s="206">
        <v>43024</v>
      </c>
      <c r="D100" s="161" t="s">
        <v>8</v>
      </c>
      <c r="E100" s="161" t="s">
        <v>39</v>
      </c>
      <c r="F100" s="207">
        <v>10240</v>
      </c>
      <c r="G100" s="207">
        <v>10200</v>
      </c>
      <c r="H100" s="161">
        <v>40</v>
      </c>
      <c r="I100" s="207">
        <v>150</v>
      </c>
      <c r="J100" s="242">
        <f t="shared" si="33"/>
        <v>6000</v>
      </c>
      <c r="K100" s="153"/>
      <c r="V100" s="25">
        <f t="shared" si="34"/>
        <v>1</v>
      </c>
      <c r="W100" s="25">
        <f t="shared" si="35"/>
        <v>0</v>
      </c>
    </row>
    <row r="101" spans="1:23" x14ac:dyDescent="0.3">
      <c r="A101" s="147"/>
      <c r="B101" s="205">
        <f t="shared" si="36"/>
        <v>11</v>
      </c>
      <c r="C101" s="206">
        <v>43025</v>
      </c>
      <c r="D101" s="161" t="s">
        <v>8</v>
      </c>
      <c r="E101" s="161" t="s">
        <v>39</v>
      </c>
      <c r="F101" s="207">
        <v>10240</v>
      </c>
      <c r="G101" s="207">
        <v>10270</v>
      </c>
      <c r="H101" s="161">
        <v>-30</v>
      </c>
      <c r="I101" s="207">
        <v>150</v>
      </c>
      <c r="J101" s="242">
        <f t="shared" si="33"/>
        <v>-4500</v>
      </c>
      <c r="K101" s="153"/>
      <c r="V101" s="25">
        <f t="shared" si="34"/>
        <v>0</v>
      </c>
      <c r="W101" s="25">
        <f t="shared" si="35"/>
        <v>1</v>
      </c>
    </row>
    <row r="102" spans="1:23" x14ac:dyDescent="0.3">
      <c r="A102" s="147"/>
      <c r="B102" s="205">
        <f t="shared" si="36"/>
        <v>12</v>
      </c>
      <c r="C102" s="206"/>
      <c r="D102" s="161"/>
      <c r="E102" s="161"/>
      <c r="F102" s="207"/>
      <c r="G102" s="207"/>
      <c r="H102" s="161"/>
      <c r="I102" s="207"/>
      <c r="J102" s="242">
        <f t="shared" si="33"/>
        <v>0</v>
      </c>
      <c r="K102" s="153"/>
      <c r="V102" s="25">
        <f t="shared" si="34"/>
        <v>0</v>
      </c>
      <c r="W102" s="25">
        <f t="shared" si="35"/>
        <v>0</v>
      </c>
    </row>
    <row r="103" spans="1:23" x14ac:dyDescent="0.3">
      <c r="A103" s="147"/>
      <c r="B103" s="205">
        <f t="shared" si="36"/>
        <v>13</v>
      </c>
      <c r="C103" s="206"/>
      <c r="D103" s="161"/>
      <c r="E103" s="161"/>
      <c r="F103" s="207"/>
      <c r="G103" s="207"/>
      <c r="H103" s="161"/>
      <c r="I103" s="207"/>
      <c r="J103" s="242">
        <f t="shared" si="33"/>
        <v>0</v>
      </c>
      <c r="K103" s="153"/>
      <c r="V103" s="25">
        <f t="shared" si="34"/>
        <v>0</v>
      </c>
      <c r="W103" s="25">
        <f t="shared" si="35"/>
        <v>0</v>
      </c>
    </row>
    <row r="104" spans="1:23" x14ac:dyDescent="0.3">
      <c r="A104" s="147"/>
      <c r="B104" s="205">
        <f t="shared" si="36"/>
        <v>14</v>
      </c>
      <c r="C104" s="206"/>
      <c r="D104" s="161"/>
      <c r="E104" s="161"/>
      <c r="F104" s="207"/>
      <c r="G104" s="207"/>
      <c r="H104" s="161"/>
      <c r="I104" s="207"/>
      <c r="J104" s="242">
        <f t="shared" si="33"/>
        <v>0</v>
      </c>
      <c r="K104" s="153"/>
      <c r="V104" s="25">
        <f t="shared" si="34"/>
        <v>0</v>
      </c>
      <c r="W104" s="25">
        <f t="shared" si="35"/>
        <v>0</v>
      </c>
    </row>
    <row r="105" spans="1:23" x14ac:dyDescent="0.3">
      <c r="A105" s="147"/>
      <c r="B105" s="205">
        <f t="shared" si="36"/>
        <v>15</v>
      </c>
      <c r="C105" s="206"/>
      <c r="D105" s="161"/>
      <c r="E105" s="161"/>
      <c r="F105" s="207"/>
      <c r="G105" s="207"/>
      <c r="H105" s="161"/>
      <c r="I105" s="207"/>
      <c r="J105" s="242">
        <f t="shared" si="33"/>
        <v>0</v>
      </c>
      <c r="K105" s="153"/>
      <c r="V105" s="25">
        <f t="shared" si="34"/>
        <v>0</v>
      </c>
      <c r="W105" s="25">
        <f t="shared" si="35"/>
        <v>0</v>
      </c>
    </row>
    <row r="106" spans="1:23" x14ac:dyDescent="0.3">
      <c r="A106" s="147"/>
      <c r="B106" s="205">
        <f t="shared" si="36"/>
        <v>16</v>
      </c>
      <c r="C106" s="206"/>
      <c r="D106" s="161"/>
      <c r="E106" s="161"/>
      <c r="F106" s="207"/>
      <c r="G106" s="207"/>
      <c r="H106" s="161"/>
      <c r="I106" s="207"/>
      <c r="J106" s="242">
        <f t="shared" si="33"/>
        <v>0</v>
      </c>
      <c r="K106" s="153"/>
      <c r="V106" s="25">
        <f t="shared" si="34"/>
        <v>0</v>
      </c>
      <c r="W106" s="25">
        <f t="shared" si="35"/>
        <v>0</v>
      </c>
    </row>
    <row r="107" spans="1:23" x14ac:dyDescent="0.3">
      <c r="A107" s="147"/>
      <c r="B107" s="205">
        <f t="shared" si="36"/>
        <v>17</v>
      </c>
      <c r="C107" s="206"/>
      <c r="D107" s="161"/>
      <c r="E107" s="161"/>
      <c r="F107" s="207"/>
      <c r="G107" s="207"/>
      <c r="H107" s="161"/>
      <c r="I107" s="207"/>
      <c r="J107" s="242">
        <f t="shared" si="33"/>
        <v>0</v>
      </c>
      <c r="K107" s="153"/>
      <c r="V107" s="25">
        <f t="shared" si="34"/>
        <v>0</v>
      </c>
      <c r="W107" s="25">
        <f t="shared" si="35"/>
        <v>0</v>
      </c>
    </row>
    <row r="108" spans="1:23" x14ac:dyDescent="0.3">
      <c r="A108" s="147"/>
      <c r="B108" s="205">
        <f t="shared" si="36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33"/>
        <v>0</v>
      </c>
      <c r="K108" s="153"/>
      <c r="V108" s="25">
        <f t="shared" si="34"/>
        <v>0</v>
      </c>
      <c r="W108" s="25">
        <f t="shared" si="35"/>
        <v>0</v>
      </c>
    </row>
    <row r="109" spans="1:23" x14ac:dyDescent="0.3">
      <c r="A109" s="147"/>
      <c r="B109" s="205">
        <f t="shared" si="36"/>
        <v>19</v>
      </c>
      <c r="C109" s="206"/>
      <c r="D109" s="161"/>
      <c r="E109" s="161"/>
      <c r="F109" s="207"/>
      <c r="G109" s="207"/>
      <c r="H109" s="161"/>
      <c r="I109" s="207"/>
      <c r="J109" s="242">
        <f t="shared" si="33"/>
        <v>0</v>
      </c>
      <c r="K109" s="153"/>
      <c r="V109" s="25">
        <f t="shared" si="34"/>
        <v>0</v>
      </c>
      <c r="W109" s="25">
        <f t="shared" si="35"/>
        <v>0</v>
      </c>
    </row>
    <row r="110" spans="1:23" x14ac:dyDescent="0.3">
      <c r="A110" s="147"/>
      <c r="B110" s="205">
        <f t="shared" si="36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33"/>
        <v>0</v>
      </c>
      <c r="K110" s="153"/>
      <c r="V110" s="25">
        <f t="shared" si="34"/>
        <v>0</v>
      </c>
      <c r="W110" s="25">
        <f t="shared" si="35"/>
        <v>0</v>
      </c>
    </row>
    <row r="111" spans="1:23" x14ac:dyDescent="0.3">
      <c r="A111" s="147"/>
      <c r="B111" s="205">
        <f t="shared" si="36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33"/>
        <v>0</v>
      </c>
      <c r="K111" s="153"/>
      <c r="V111" s="25">
        <f t="shared" si="34"/>
        <v>0</v>
      </c>
      <c r="W111" s="25">
        <f t="shared" si="35"/>
        <v>0</v>
      </c>
    </row>
    <row r="112" spans="1:23" x14ac:dyDescent="0.3">
      <c r="A112" s="147"/>
      <c r="B112" s="205">
        <f t="shared" si="3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33"/>
        <v>0</v>
      </c>
      <c r="K112" s="153"/>
      <c r="V112" s="25">
        <f t="shared" si="34"/>
        <v>0</v>
      </c>
      <c r="W112" s="25">
        <f t="shared" si="35"/>
        <v>0</v>
      </c>
    </row>
    <row r="113" spans="1:23" ht="15" thickBot="1" x14ac:dyDescent="0.35">
      <c r="A113" s="147"/>
      <c r="B113" s="208">
        <f t="shared" si="3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33"/>
        <v>0</v>
      </c>
      <c r="K113" s="153"/>
      <c r="V113" s="25">
        <f t="shared" si="34"/>
        <v>0</v>
      </c>
      <c r="W113" s="25">
        <f t="shared" si="35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25650</v>
      </c>
      <c r="K114" s="153"/>
      <c r="V114" s="25">
        <f>SUM(V91:V113)</f>
        <v>8</v>
      </c>
      <c r="W114" s="25">
        <f>SUM(W91:W113)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2355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43011</v>
      </c>
      <c r="D122" s="185" t="s">
        <v>9</v>
      </c>
      <c r="E122" s="185" t="s">
        <v>2280</v>
      </c>
      <c r="F122" s="219">
        <v>130</v>
      </c>
      <c r="G122" s="219">
        <v>141</v>
      </c>
      <c r="H122" s="185">
        <v>11</v>
      </c>
      <c r="I122" s="219">
        <v>300</v>
      </c>
      <c r="J122" s="246">
        <f t="shared" ref="J122:J144" si="37">I122*H122</f>
        <v>3300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43012</v>
      </c>
      <c r="D123" s="161" t="s">
        <v>9</v>
      </c>
      <c r="E123" s="161" t="s">
        <v>2280</v>
      </c>
      <c r="F123" s="207">
        <v>98</v>
      </c>
      <c r="G123" s="207">
        <v>92</v>
      </c>
      <c r="H123" s="161">
        <v>-6</v>
      </c>
      <c r="I123" s="207">
        <v>300</v>
      </c>
      <c r="J123" s="242">
        <f t="shared" si="37"/>
        <v>-1800</v>
      </c>
      <c r="K123" s="153"/>
      <c r="V123" s="25">
        <f t="shared" ref="V123:V144" si="38">IF($J123&gt;0,1,0)</f>
        <v>0</v>
      </c>
      <c r="W123" s="25">
        <f t="shared" ref="W123:W144" si="39">IF($J123&lt;0,1,0)</f>
        <v>1</v>
      </c>
    </row>
    <row r="124" spans="1:23" x14ac:dyDescent="0.3">
      <c r="A124" s="147"/>
      <c r="B124" s="205">
        <f t="shared" ref="B124:B144" si="40">B123+1</f>
        <v>3</v>
      </c>
      <c r="C124" s="206">
        <v>43013</v>
      </c>
      <c r="D124" s="161" t="s">
        <v>9</v>
      </c>
      <c r="E124" s="161" t="s">
        <v>2290</v>
      </c>
      <c r="F124" s="207">
        <v>125</v>
      </c>
      <c r="G124" s="207">
        <v>150</v>
      </c>
      <c r="H124" s="161">
        <v>25</v>
      </c>
      <c r="I124" s="207">
        <v>300</v>
      </c>
      <c r="J124" s="242">
        <f t="shared" si="37"/>
        <v>7500</v>
      </c>
      <c r="K124" s="153"/>
      <c r="V124" s="25">
        <f t="shared" si="38"/>
        <v>1</v>
      </c>
      <c r="W124" s="25">
        <f t="shared" si="39"/>
        <v>0</v>
      </c>
    </row>
    <row r="125" spans="1:23" x14ac:dyDescent="0.3">
      <c r="A125" s="147"/>
      <c r="B125" s="205">
        <f t="shared" si="40"/>
        <v>4</v>
      </c>
      <c r="C125" s="206">
        <v>43014</v>
      </c>
      <c r="D125" s="161" t="s">
        <v>9</v>
      </c>
      <c r="E125" s="161" t="s">
        <v>2290</v>
      </c>
      <c r="F125" s="207">
        <v>100</v>
      </c>
      <c r="G125" s="207">
        <v>105</v>
      </c>
      <c r="H125" s="161">
        <v>5</v>
      </c>
      <c r="I125" s="207">
        <v>300</v>
      </c>
      <c r="J125" s="242">
        <f t="shared" si="37"/>
        <v>1500</v>
      </c>
      <c r="K125" s="153"/>
      <c r="V125" s="25">
        <f t="shared" si="38"/>
        <v>1</v>
      </c>
      <c r="W125" s="25">
        <f t="shared" si="39"/>
        <v>0</v>
      </c>
    </row>
    <row r="126" spans="1:23" x14ac:dyDescent="0.3">
      <c r="A126" s="147"/>
      <c r="B126" s="205">
        <f t="shared" si="40"/>
        <v>5</v>
      </c>
      <c r="C126" s="206">
        <v>43017</v>
      </c>
      <c r="D126" s="161" t="s">
        <v>9</v>
      </c>
      <c r="E126" s="161" t="s">
        <v>2300</v>
      </c>
      <c r="F126" s="207">
        <v>100</v>
      </c>
      <c r="G126" s="207">
        <v>95</v>
      </c>
      <c r="H126" s="161">
        <v>-5</v>
      </c>
      <c r="I126" s="207">
        <v>300</v>
      </c>
      <c r="J126" s="242">
        <f t="shared" si="37"/>
        <v>-1500</v>
      </c>
      <c r="K126" s="153"/>
      <c r="M126" s="25" t="s">
        <v>2008</v>
      </c>
      <c r="V126" s="25">
        <f t="shared" si="38"/>
        <v>0</v>
      </c>
      <c r="W126" s="25">
        <f t="shared" si="39"/>
        <v>1</v>
      </c>
    </row>
    <row r="127" spans="1:23" x14ac:dyDescent="0.3">
      <c r="A127" s="147"/>
      <c r="B127" s="205">
        <f t="shared" si="40"/>
        <v>6</v>
      </c>
      <c r="C127" s="206">
        <v>43018</v>
      </c>
      <c r="D127" s="161" t="s">
        <v>9</v>
      </c>
      <c r="E127" s="161" t="s">
        <v>2299</v>
      </c>
      <c r="F127" s="207">
        <v>122</v>
      </c>
      <c r="G127" s="207">
        <v>117</v>
      </c>
      <c r="H127" s="161">
        <v>-5</v>
      </c>
      <c r="I127" s="207">
        <v>300</v>
      </c>
      <c r="J127" s="242">
        <f t="shared" si="37"/>
        <v>-1500</v>
      </c>
      <c r="K127" s="153"/>
      <c r="V127" s="25">
        <f t="shared" si="38"/>
        <v>0</v>
      </c>
      <c r="W127" s="25">
        <f t="shared" si="39"/>
        <v>1</v>
      </c>
    </row>
    <row r="128" spans="1:23" x14ac:dyDescent="0.3">
      <c r="A128" s="147"/>
      <c r="B128" s="205">
        <f t="shared" si="40"/>
        <v>7</v>
      </c>
      <c r="C128" s="206">
        <v>43019</v>
      </c>
      <c r="D128" s="161" t="s">
        <v>9</v>
      </c>
      <c r="E128" s="161" t="s">
        <v>2346</v>
      </c>
      <c r="F128" s="207">
        <v>145</v>
      </c>
      <c r="G128" s="207">
        <v>180</v>
      </c>
      <c r="H128" s="161">
        <v>35</v>
      </c>
      <c r="I128" s="207">
        <v>300</v>
      </c>
      <c r="J128" s="242">
        <f t="shared" si="37"/>
        <v>10500</v>
      </c>
      <c r="K128" s="153"/>
      <c r="V128" s="25">
        <f t="shared" si="38"/>
        <v>1</v>
      </c>
      <c r="W128" s="25">
        <f t="shared" si="39"/>
        <v>0</v>
      </c>
    </row>
    <row r="129" spans="1:23" x14ac:dyDescent="0.3">
      <c r="A129" s="147"/>
      <c r="B129" s="205">
        <f t="shared" si="40"/>
        <v>8</v>
      </c>
      <c r="C129" s="206">
        <v>43020</v>
      </c>
      <c r="D129" s="161" t="s">
        <v>9</v>
      </c>
      <c r="E129" s="161" t="s">
        <v>2299</v>
      </c>
      <c r="F129" s="207">
        <v>110</v>
      </c>
      <c r="G129" s="207">
        <v>90</v>
      </c>
      <c r="H129" s="161">
        <v>-20</v>
      </c>
      <c r="I129" s="207">
        <v>300</v>
      </c>
      <c r="J129" s="242">
        <f t="shared" si="37"/>
        <v>-6000</v>
      </c>
      <c r="K129" s="153"/>
      <c r="V129" s="25">
        <f t="shared" si="38"/>
        <v>0</v>
      </c>
      <c r="W129" s="25">
        <f t="shared" si="39"/>
        <v>1</v>
      </c>
    </row>
    <row r="130" spans="1:23" x14ac:dyDescent="0.3">
      <c r="A130" s="147"/>
      <c r="B130" s="205">
        <f t="shared" si="40"/>
        <v>9</v>
      </c>
      <c r="C130" s="206">
        <v>43021</v>
      </c>
      <c r="D130" s="161" t="s">
        <v>9</v>
      </c>
      <c r="E130" s="161" t="s">
        <v>2348</v>
      </c>
      <c r="F130" s="207">
        <v>140</v>
      </c>
      <c r="G130" s="207">
        <v>120</v>
      </c>
      <c r="H130" s="161">
        <v>-20</v>
      </c>
      <c r="I130" s="207">
        <v>300</v>
      </c>
      <c r="J130" s="242">
        <f t="shared" si="37"/>
        <v>-6000</v>
      </c>
      <c r="K130" s="153"/>
      <c r="V130" s="25">
        <f t="shared" si="38"/>
        <v>0</v>
      </c>
      <c r="W130" s="25">
        <f t="shared" si="39"/>
        <v>1</v>
      </c>
    </row>
    <row r="131" spans="1:23" x14ac:dyDescent="0.3">
      <c r="A131" s="147"/>
      <c r="B131" s="205">
        <f t="shared" si="40"/>
        <v>10</v>
      </c>
      <c r="C131" s="206">
        <v>43024</v>
      </c>
      <c r="D131" s="161" t="s">
        <v>9</v>
      </c>
      <c r="E131" s="161" t="s">
        <v>2348</v>
      </c>
      <c r="F131" s="207">
        <v>100</v>
      </c>
      <c r="G131" s="207">
        <v>126</v>
      </c>
      <c r="H131" s="161">
        <v>26</v>
      </c>
      <c r="I131" s="207">
        <v>300</v>
      </c>
      <c r="J131" s="242">
        <f t="shared" si="37"/>
        <v>7800</v>
      </c>
      <c r="K131" s="153"/>
      <c r="V131" s="25">
        <f t="shared" si="38"/>
        <v>1</v>
      </c>
      <c r="W131" s="25">
        <f t="shared" si="39"/>
        <v>0</v>
      </c>
    </row>
    <row r="132" spans="1:23" x14ac:dyDescent="0.3">
      <c r="A132" s="147"/>
      <c r="B132" s="205">
        <f t="shared" si="40"/>
        <v>11</v>
      </c>
      <c r="C132" s="206">
        <v>43025</v>
      </c>
      <c r="D132" s="161" t="s">
        <v>9</v>
      </c>
      <c r="E132" s="161" t="s">
        <v>2348</v>
      </c>
      <c r="F132" s="207">
        <v>100</v>
      </c>
      <c r="G132" s="207">
        <v>87</v>
      </c>
      <c r="H132" s="161">
        <v>-13</v>
      </c>
      <c r="I132" s="207">
        <v>300</v>
      </c>
      <c r="J132" s="242">
        <f t="shared" si="37"/>
        <v>-3900</v>
      </c>
      <c r="K132" s="153"/>
      <c r="V132" s="25">
        <f t="shared" si="38"/>
        <v>0</v>
      </c>
      <c r="W132" s="25">
        <f t="shared" si="39"/>
        <v>1</v>
      </c>
    </row>
    <row r="133" spans="1:23" x14ac:dyDescent="0.3">
      <c r="A133" s="147"/>
      <c r="B133" s="205">
        <f t="shared" si="40"/>
        <v>12</v>
      </c>
      <c r="C133" s="206"/>
      <c r="D133" s="161"/>
      <c r="E133" s="161"/>
      <c r="F133" s="207"/>
      <c r="G133" s="207"/>
      <c r="H133" s="161"/>
      <c r="I133" s="207"/>
      <c r="J133" s="242">
        <f t="shared" si="37"/>
        <v>0</v>
      </c>
      <c r="K133" s="153"/>
      <c r="V133" s="25">
        <f t="shared" si="38"/>
        <v>0</v>
      </c>
      <c r="W133" s="25">
        <f t="shared" si="39"/>
        <v>0</v>
      </c>
    </row>
    <row r="134" spans="1:23" x14ac:dyDescent="0.3">
      <c r="A134" s="147"/>
      <c r="B134" s="205">
        <f t="shared" si="40"/>
        <v>13</v>
      </c>
      <c r="C134" s="206"/>
      <c r="D134" s="161"/>
      <c r="E134" s="161"/>
      <c r="F134" s="207"/>
      <c r="G134" s="207"/>
      <c r="H134" s="161"/>
      <c r="I134" s="207"/>
      <c r="J134" s="242">
        <f t="shared" si="37"/>
        <v>0</v>
      </c>
      <c r="K134" s="153"/>
      <c r="V134" s="25">
        <f t="shared" si="38"/>
        <v>0</v>
      </c>
      <c r="W134" s="25">
        <f t="shared" si="39"/>
        <v>0</v>
      </c>
    </row>
    <row r="135" spans="1:23" x14ac:dyDescent="0.3">
      <c r="A135" s="147"/>
      <c r="B135" s="205">
        <f t="shared" si="40"/>
        <v>14</v>
      </c>
      <c r="C135" s="206"/>
      <c r="D135" s="161"/>
      <c r="E135" s="161"/>
      <c r="F135" s="207"/>
      <c r="G135" s="207"/>
      <c r="H135" s="161"/>
      <c r="I135" s="207"/>
      <c r="J135" s="242">
        <f>I135*H135</f>
        <v>0</v>
      </c>
      <c r="K135" s="153"/>
      <c r="V135" s="25">
        <f>IF($J135&gt;0,1,0)</f>
        <v>0</v>
      </c>
      <c r="W135" s="25">
        <f>IF($J135&lt;0,1,0)</f>
        <v>0</v>
      </c>
    </row>
    <row r="136" spans="1:23" x14ac:dyDescent="0.3">
      <c r="A136" s="147"/>
      <c r="B136" s="205">
        <f t="shared" si="40"/>
        <v>15</v>
      </c>
      <c r="C136" s="206"/>
      <c r="D136" s="161"/>
      <c r="E136" s="161"/>
      <c r="F136" s="207"/>
      <c r="G136" s="207"/>
      <c r="H136" s="161"/>
      <c r="I136" s="207"/>
      <c r="J136" s="242">
        <f t="shared" si="37"/>
        <v>0</v>
      </c>
      <c r="K136" s="153"/>
      <c r="V136" s="25">
        <f>IF($J136&gt;0,1,0)</f>
        <v>0</v>
      </c>
      <c r="W136" s="25">
        <f>IF($J136&lt;0,1,0)</f>
        <v>0</v>
      </c>
    </row>
    <row r="137" spans="1:23" x14ac:dyDescent="0.3">
      <c r="A137" s="147"/>
      <c r="B137" s="205">
        <f t="shared" si="40"/>
        <v>16</v>
      </c>
      <c r="C137" s="206"/>
      <c r="D137" s="161"/>
      <c r="E137" s="161"/>
      <c r="F137" s="207"/>
      <c r="G137" s="207"/>
      <c r="H137" s="161"/>
      <c r="I137" s="207"/>
      <c r="J137" s="242">
        <f t="shared" si="37"/>
        <v>0</v>
      </c>
      <c r="K137" s="153"/>
      <c r="V137" s="25">
        <f t="shared" si="38"/>
        <v>0</v>
      </c>
      <c r="W137" s="25">
        <f t="shared" si="39"/>
        <v>0</v>
      </c>
    </row>
    <row r="138" spans="1:23" x14ac:dyDescent="0.3">
      <c r="A138" s="147"/>
      <c r="B138" s="205">
        <f t="shared" si="40"/>
        <v>17</v>
      </c>
      <c r="C138" s="206"/>
      <c r="D138" s="161"/>
      <c r="E138" s="161"/>
      <c r="F138" s="207"/>
      <c r="G138" s="207"/>
      <c r="H138" s="161"/>
      <c r="I138" s="207"/>
      <c r="J138" s="242">
        <f t="shared" si="37"/>
        <v>0</v>
      </c>
      <c r="K138" s="153"/>
      <c r="V138" s="25">
        <f t="shared" si="38"/>
        <v>0</v>
      </c>
      <c r="W138" s="25">
        <f t="shared" si="39"/>
        <v>0</v>
      </c>
    </row>
    <row r="139" spans="1:23" x14ac:dyDescent="0.3">
      <c r="A139" s="147"/>
      <c r="B139" s="205">
        <f t="shared" si="40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37"/>
        <v>0</v>
      </c>
      <c r="K139" s="153"/>
      <c r="V139" s="25">
        <f t="shared" si="38"/>
        <v>0</v>
      </c>
      <c r="W139" s="25">
        <f t="shared" si="39"/>
        <v>0</v>
      </c>
    </row>
    <row r="140" spans="1:23" x14ac:dyDescent="0.3">
      <c r="A140" s="147"/>
      <c r="B140" s="205">
        <f t="shared" si="40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37"/>
        <v>0</v>
      </c>
      <c r="K140" s="153"/>
      <c r="V140" s="25">
        <f t="shared" si="38"/>
        <v>0</v>
      </c>
      <c r="W140" s="25">
        <f t="shared" si="39"/>
        <v>0</v>
      </c>
    </row>
    <row r="141" spans="1:23" x14ac:dyDescent="0.3">
      <c r="A141" s="147"/>
      <c r="B141" s="205">
        <f t="shared" si="40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7"/>
        <v>0</v>
      </c>
      <c r="K141" s="153"/>
      <c r="V141" s="25">
        <f t="shared" si="38"/>
        <v>0</v>
      </c>
      <c r="W141" s="25">
        <f t="shared" si="39"/>
        <v>0</v>
      </c>
    </row>
    <row r="142" spans="1:23" x14ac:dyDescent="0.3">
      <c r="A142" s="147"/>
      <c r="B142" s="205">
        <f t="shared" si="4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37"/>
        <v>0</v>
      </c>
      <c r="K142" s="153"/>
      <c r="V142" s="25">
        <f t="shared" si="38"/>
        <v>0</v>
      </c>
      <c r="W142" s="25">
        <f t="shared" si="39"/>
        <v>0</v>
      </c>
    </row>
    <row r="143" spans="1:23" x14ac:dyDescent="0.3">
      <c r="A143" s="147"/>
      <c r="B143" s="205">
        <f t="shared" si="4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7"/>
        <v>0</v>
      </c>
      <c r="K143" s="153"/>
      <c r="V143" s="25">
        <f t="shared" si="38"/>
        <v>0</v>
      </c>
      <c r="W143" s="25">
        <f t="shared" si="39"/>
        <v>0</v>
      </c>
    </row>
    <row r="144" spans="1:23" ht="15" thickBot="1" x14ac:dyDescent="0.35">
      <c r="A144" s="147"/>
      <c r="B144" s="208">
        <f t="shared" si="4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7"/>
        <v>0</v>
      </c>
      <c r="K144" s="153"/>
      <c r="V144" s="25">
        <f t="shared" si="38"/>
        <v>0</v>
      </c>
      <c r="W144" s="25">
        <f t="shared" si="39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9900</v>
      </c>
      <c r="K145" s="153"/>
      <c r="V145" s="25">
        <f>SUM(V122:V144)</f>
        <v>5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2355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2260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43011</v>
      </c>
      <c r="D153" s="185" t="s">
        <v>8</v>
      </c>
      <c r="E153" s="185" t="s">
        <v>301</v>
      </c>
      <c r="F153" s="219">
        <v>24100</v>
      </c>
      <c r="G153" s="219">
        <v>24050</v>
      </c>
      <c r="H153" s="185">
        <v>50</v>
      </c>
      <c r="I153" s="219">
        <v>80</v>
      </c>
      <c r="J153" s="246">
        <f t="shared" ref="J153:J175" si="41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43012</v>
      </c>
      <c r="D154" s="161" t="s">
        <v>8</v>
      </c>
      <c r="E154" s="161" t="s">
        <v>301</v>
      </c>
      <c r="F154" s="207">
        <v>24150</v>
      </c>
      <c r="G154" s="207">
        <v>24100</v>
      </c>
      <c r="H154" s="161">
        <v>50</v>
      </c>
      <c r="I154" s="207">
        <v>80</v>
      </c>
      <c r="J154" s="242">
        <f t="shared" si="41"/>
        <v>4000</v>
      </c>
      <c r="K154" s="153"/>
      <c r="V154" s="25">
        <f t="shared" ref="V154:V175" si="42">IF($J154&gt;0,1,0)</f>
        <v>1</v>
      </c>
      <c r="W154" s="25">
        <f t="shared" ref="W154:W175" si="43">IF($J154&lt;0,1,0)</f>
        <v>0</v>
      </c>
    </row>
    <row r="155" spans="1:23" x14ac:dyDescent="0.3">
      <c r="A155" s="147"/>
      <c r="B155" s="205">
        <f t="shared" ref="B155:B175" si="44">B154+1</f>
        <v>3</v>
      </c>
      <c r="C155" s="206">
        <v>43013</v>
      </c>
      <c r="D155" s="161" t="s">
        <v>8</v>
      </c>
      <c r="E155" s="161" t="s">
        <v>301</v>
      </c>
      <c r="F155" s="207">
        <v>24200</v>
      </c>
      <c r="G155" s="207">
        <v>24100</v>
      </c>
      <c r="H155" s="161">
        <v>100</v>
      </c>
      <c r="I155" s="207">
        <v>80</v>
      </c>
      <c r="J155" s="242">
        <f t="shared" si="41"/>
        <v>8000</v>
      </c>
      <c r="K155" s="153"/>
      <c r="V155" s="25">
        <f t="shared" si="42"/>
        <v>1</v>
      </c>
      <c r="W155" s="25">
        <f t="shared" si="43"/>
        <v>0</v>
      </c>
    </row>
    <row r="156" spans="1:23" x14ac:dyDescent="0.3">
      <c r="A156" s="147"/>
      <c r="B156" s="205">
        <f t="shared" si="44"/>
        <v>4</v>
      </c>
      <c r="C156" s="206">
        <v>43014</v>
      </c>
      <c r="D156" s="161" t="s">
        <v>8</v>
      </c>
      <c r="E156" s="161" t="s">
        <v>301</v>
      </c>
      <c r="F156" s="207">
        <v>24240</v>
      </c>
      <c r="G156" s="207">
        <v>24200</v>
      </c>
      <c r="H156" s="161">
        <v>40</v>
      </c>
      <c r="I156" s="207">
        <v>80</v>
      </c>
      <c r="J156" s="242">
        <f t="shared" si="41"/>
        <v>3200</v>
      </c>
      <c r="K156" s="153"/>
      <c r="V156" s="25">
        <f t="shared" si="42"/>
        <v>1</v>
      </c>
      <c r="W156" s="25">
        <f t="shared" si="43"/>
        <v>0</v>
      </c>
    </row>
    <row r="157" spans="1:23" x14ac:dyDescent="0.3">
      <c r="A157" s="147"/>
      <c r="B157" s="205">
        <f t="shared" si="44"/>
        <v>5</v>
      </c>
      <c r="C157" s="206">
        <v>43017</v>
      </c>
      <c r="D157" s="161" t="s">
        <v>9</v>
      </c>
      <c r="E157" s="161" t="s">
        <v>301</v>
      </c>
      <c r="F157" s="207">
        <v>24300</v>
      </c>
      <c r="G157" s="207">
        <v>24315</v>
      </c>
      <c r="H157" s="161">
        <v>15</v>
      </c>
      <c r="I157" s="207">
        <v>80</v>
      </c>
      <c r="J157" s="242">
        <f t="shared" si="41"/>
        <v>1200</v>
      </c>
      <c r="K157" s="153"/>
      <c r="V157" s="25">
        <f t="shared" si="42"/>
        <v>1</v>
      </c>
      <c r="W157" s="25">
        <f t="shared" si="43"/>
        <v>0</v>
      </c>
    </row>
    <row r="158" spans="1:23" x14ac:dyDescent="0.3">
      <c r="A158" s="147"/>
      <c r="B158" s="205">
        <f t="shared" si="44"/>
        <v>6</v>
      </c>
      <c r="C158" s="206">
        <v>43018</v>
      </c>
      <c r="D158" s="161" t="s">
        <v>8</v>
      </c>
      <c r="E158" s="161" t="s">
        <v>301</v>
      </c>
      <c r="F158" s="207">
        <v>24340</v>
      </c>
      <c r="G158" s="207">
        <v>24370</v>
      </c>
      <c r="H158" s="161">
        <v>-30</v>
      </c>
      <c r="I158" s="207">
        <v>80</v>
      </c>
      <c r="J158" s="242">
        <f t="shared" si="41"/>
        <v>-2400</v>
      </c>
      <c r="K158" s="153"/>
      <c r="V158" s="25">
        <f t="shared" si="42"/>
        <v>0</v>
      </c>
      <c r="W158" s="25">
        <f t="shared" si="43"/>
        <v>1</v>
      </c>
    </row>
    <row r="159" spans="1:23" x14ac:dyDescent="0.3">
      <c r="A159" s="147"/>
      <c r="B159" s="205">
        <f t="shared" si="44"/>
        <v>7</v>
      </c>
      <c r="C159" s="206">
        <v>43019</v>
      </c>
      <c r="D159" s="161" t="s">
        <v>8</v>
      </c>
      <c r="E159" s="161" t="s">
        <v>301</v>
      </c>
      <c r="F159" s="207">
        <v>24470</v>
      </c>
      <c r="G159" s="207">
        <v>24170</v>
      </c>
      <c r="H159" s="161">
        <v>300</v>
      </c>
      <c r="I159" s="207">
        <v>80</v>
      </c>
      <c r="J159" s="242">
        <f t="shared" si="41"/>
        <v>24000</v>
      </c>
      <c r="K159" s="153"/>
      <c r="V159" s="25">
        <f t="shared" si="42"/>
        <v>1</v>
      </c>
      <c r="W159" s="25">
        <f t="shared" si="43"/>
        <v>0</v>
      </c>
    </row>
    <row r="160" spans="1:23" x14ac:dyDescent="0.3">
      <c r="A160" s="147"/>
      <c r="B160" s="205">
        <f t="shared" si="44"/>
        <v>8</v>
      </c>
      <c r="C160" s="206">
        <v>43020</v>
      </c>
      <c r="D160" s="161" t="s">
        <v>8</v>
      </c>
      <c r="E160" s="161" t="s">
        <v>301</v>
      </c>
      <c r="F160" s="207">
        <v>24130</v>
      </c>
      <c r="G160" s="207">
        <v>24280</v>
      </c>
      <c r="H160" s="161">
        <v>-150</v>
      </c>
      <c r="I160" s="207">
        <v>80</v>
      </c>
      <c r="J160" s="242">
        <f t="shared" si="41"/>
        <v>-12000</v>
      </c>
      <c r="K160" s="153"/>
      <c r="V160" s="25">
        <f t="shared" si="42"/>
        <v>0</v>
      </c>
      <c r="W160" s="25">
        <f t="shared" si="43"/>
        <v>1</v>
      </c>
    </row>
    <row r="161" spans="1:23" x14ac:dyDescent="0.3">
      <c r="A161" s="147"/>
      <c r="B161" s="205">
        <f t="shared" si="44"/>
        <v>9</v>
      </c>
      <c r="C161" s="206">
        <v>43021</v>
      </c>
      <c r="D161" s="161" t="s">
        <v>8</v>
      </c>
      <c r="E161" s="161" t="s">
        <v>301</v>
      </c>
      <c r="F161" s="207">
        <v>24700</v>
      </c>
      <c r="G161" s="207">
        <v>24700</v>
      </c>
      <c r="H161" s="161">
        <v>0</v>
      </c>
      <c r="I161" s="207">
        <v>80</v>
      </c>
      <c r="J161" s="242">
        <f t="shared" si="41"/>
        <v>0</v>
      </c>
      <c r="K161" s="153"/>
      <c r="V161" s="25">
        <f t="shared" si="42"/>
        <v>0</v>
      </c>
      <c r="W161" s="25">
        <f t="shared" si="43"/>
        <v>0</v>
      </c>
    </row>
    <row r="162" spans="1:23" x14ac:dyDescent="0.3">
      <c r="A162" s="147"/>
      <c r="B162" s="205">
        <f t="shared" si="44"/>
        <v>10</v>
      </c>
      <c r="C162" s="206">
        <v>43024</v>
      </c>
      <c r="D162" s="161" t="s">
        <v>8</v>
      </c>
      <c r="E162" s="161" t="s">
        <v>301</v>
      </c>
      <c r="F162" s="207">
        <v>24760</v>
      </c>
      <c r="G162" s="207">
        <v>24590</v>
      </c>
      <c r="H162" s="161">
        <v>170</v>
      </c>
      <c r="I162" s="207">
        <v>80</v>
      </c>
      <c r="J162" s="242">
        <f t="shared" si="41"/>
        <v>13600</v>
      </c>
      <c r="K162" s="153"/>
      <c r="V162" s="25">
        <f t="shared" si="42"/>
        <v>1</v>
      </c>
      <c r="W162" s="25">
        <f t="shared" si="43"/>
        <v>0</v>
      </c>
    </row>
    <row r="163" spans="1:23" x14ac:dyDescent="0.3">
      <c r="A163" s="147"/>
      <c r="B163" s="205">
        <f t="shared" si="44"/>
        <v>11</v>
      </c>
      <c r="C163" s="206">
        <v>43025</v>
      </c>
      <c r="D163" s="161" t="s">
        <v>8</v>
      </c>
      <c r="E163" s="161" t="s">
        <v>301</v>
      </c>
      <c r="F163" s="207">
        <v>24740</v>
      </c>
      <c r="G163" s="207">
        <v>24590</v>
      </c>
      <c r="H163" s="161">
        <v>150</v>
      </c>
      <c r="I163" s="207">
        <v>80</v>
      </c>
      <c r="J163" s="242">
        <f t="shared" si="41"/>
        <v>12000</v>
      </c>
      <c r="K163" s="153"/>
      <c r="V163" s="25">
        <f t="shared" si="42"/>
        <v>1</v>
      </c>
      <c r="W163" s="25">
        <f t="shared" si="43"/>
        <v>0</v>
      </c>
    </row>
    <row r="164" spans="1:23" x14ac:dyDescent="0.3">
      <c r="A164" s="147"/>
      <c r="B164" s="205">
        <f t="shared" si="44"/>
        <v>12</v>
      </c>
      <c r="C164" s="206"/>
      <c r="D164" s="161"/>
      <c r="E164" s="161"/>
      <c r="F164" s="207"/>
      <c r="G164" s="207"/>
      <c r="H164" s="161"/>
      <c r="I164" s="207"/>
      <c r="J164" s="242">
        <f t="shared" si="41"/>
        <v>0</v>
      </c>
      <c r="K164" s="153"/>
      <c r="V164" s="25">
        <f t="shared" si="42"/>
        <v>0</v>
      </c>
      <c r="W164" s="25">
        <f t="shared" si="43"/>
        <v>0</v>
      </c>
    </row>
    <row r="165" spans="1:23" x14ac:dyDescent="0.3">
      <c r="A165" s="147"/>
      <c r="B165" s="205">
        <f t="shared" si="44"/>
        <v>13</v>
      </c>
      <c r="C165" s="206"/>
      <c r="D165" s="161"/>
      <c r="E165" s="161"/>
      <c r="F165" s="207"/>
      <c r="G165" s="207"/>
      <c r="H165" s="161"/>
      <c r="I165" s="207"/>
      <c r="J165" s="242">
        <f t="shared" si="41"/>
        <v>0</v>
      </c>
      <c r="K165" s="153"/>
      <c r="V165" s="25">
        <f t="shared" si="42"/>
        <v>0</v>
      </c>
      <c r="W165" s="25">
        <f t="shared" si="43"/>
        <v>0</v>
      </c>
    </row>
    <row r="166" spans="1:23" x14ac:dyDescent="0.3">
      <c r="A166" s="147"/>
      <c r="B166" s="205">
        <f t="shared" si="44"/>
        <v>14</v>
      </c>
      <c r="C166" s="206"/>
      <c r="D166" s="161"/>
      <c r="E166" s="161"/>
      <c r="F166" s="207"/>
      <c r="G166" s="207"/>
      <c r="H166" s="161"/>
      <c r="I166" s="207"/>
      <c r="J166" s="242">
        <f t="shared" si="41"/>
        <v>0</v>
      </c>
      <c r="K166" s="153"/>
      <c r="V166" s="25">
        <f t="shared" si="42"/>
        <v>0</v>
      </c>
      <c r="W166" s="25">
        <f t="shared" si="43"/>
        <v>0</v>
      </c>
    </row>
    <row r="167" spans="1:23" x14ac:dyDescent="0.3">
      <c r="A167" s="147"/>
      <c r="B167" s="205">
        <f t="shared" si="44"/>
        <v>15</v>
      </c>
      <c r="C167" s="206"/>
      <c r="D167" s="161"/>
      <c r="E167" s="161"/>
      <c r="F167" s="207"/>
      <c r="G167" s="207"/>
      <c r="H167" s="161"/>
      <c r="I167" s="207"/>
      <c r="J167" s="242">
        <f t="shared" si="41"/>
        <v>0</v>
      </c>
      <c r="K167" s="153"/>
      <c r="V167" s="25">
        <f t="shared" si="42"/>
        <v>0</v>
      </c>
      <c r="W167" s="25">
        <f t="shared" si="43"/>
        <v>0</v>
      </c>
    </row>
    <row r="168" spans="1:23" x14ac:dyDescent="0.3">
      <c r="A168" s="147"/>
      <c r="B168" s="205">
        <f t="shared" si="44"/>
        <v>16</v>
      </c>
      <c r="C168" s="206"/>
      <c r="D168" s="161"/>
      <c r="E168" s="161"/>
      <c r="F168" s="207"/>
      <c r="G168" s="207"/>
      <c r="H168" s="161"/>
      <c r="I168" s="207"/>
      <c r="J168" s="242">
        <f t="shared" si="41"/>
        <v>0</v>
      </c>
      <c r="K168" s="153"/>
      <c r="V168" s="25">
        <f t="shared" si="42"/>
        <v>0</v>
      </c>
      <c r="W168" s="25">
        <f t="shared" si="43"/>
        <v>0</v>
      </c>
    </row>
    <row r="169" spans="1:23" x14ac:dyDescent="0.3">
      <c r="A169" s="147"/>
      <c r="B169" s="205">
        <f t="shared" si="44"/>
        <v>17</v>
      </c>
      <c r="C169" s="206"/>
      <c r="D169" s="161"/>
      <c r="E169" s="161"/>
      <c r="F169" s="207"/>
      <c r="G169" s="207"/>
      <c r="H169" s="161"/>
      <c r="I169" s="207"/>
      <c r="J169" s="242">
        <f t="shared" si="41"/>
        <v>0</v>
      </c>
      <c r="K169" s="153"/>
      <c r="V169" s="25">
        <f t="shared" si="42"/>
        <v>0</v>
      </c>
      <c r="W169" s="25">
        <f t="shared" si="43"/>
        <v>0</v>
      </c>
    </row>
    <row r="170" spans="1:23" x14ac:dyDescent="0.3">
      <c r="A170" s="147"/>
      <c r="B170" s="205">
        <f t="shared" si="44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41"/>
        <v>0</v>
      </c>
      <c r="K170" s="153"/>
      <c r="V170" s="25">
        <f t="shared" si="42"/>
        <v>0</v>
      </c>
      <c r="W170" s="25">
        <f t="shared" si="43"/>
        <v>0</v>
      </c>
    </row>
    <row r="171" spans="1:23" x14ac:dyDescent="0.3">
      <c r="A171" s="147"/>
      <c r="B171" s="205">
        <f t="shared" si="44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41"/>
        <v>0</v>
      </c>
      <c r="K171" s="153"/>
      <c r="V171" s="25">
        <f t="shared" si="42"/>
        <v>0</v>
      </c>
      <c r="W171" s="25">
        <f t="shared" si="43"/>
        <v>0</v>
      </c>
    </row>
    <row r="172" spans="1:23" x14ac:dyDescent="0.3">
      <c r="A172" s="147"/>
      <c r="B172" s="205">
        <f t="shared" si="44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41"/>
        <v>0</v>
      </c>
      <c r="K172" s="153"/>
      <c r="V172" s="25">
        <f t="shared" si="42"/>
        <v>0</v>
      </c>
      <c r="W172" s="25">
        <f t="shared" si="43"/>
        <v>0</v>
      </c>
    </row>
    <row r="173" spans="1:23" x14ac:dyDescent="0.3">
      <c r="A173" s="147"/>
      <c r="B173" s="205">
        <f t="shared" si="44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41"/>
        <v>0</v>
      </c>
      <c r="K173" s="153"/>
      <c r="V173" s="25">
        <f t="shared" si="42"/>
        <v>0</v>
      </c>
      <c r="W173" s="25">
        <f t="shared" si="43"/>
        <v>0</v>
      </c>
    </row>
    <row r="174" spans="1:23" x14ac:dyDescent="0.3">
      <c r="A174" s="147"/>
      <c r="B174" s="205">
        <f t="shared" si="4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41"/>
        <v>0</v>
      </c>
      <c r="K174" s="153"/>
      <c r="V174" s="25">
        <f t="shared" si="42"/>
        <v>0</v>
      </c>
      <c r="W174" s="25">
        <f t="shared" si="43"/>
        <v>0</v>
      </c>
    </row>
    <row r="175" spans="1:23" ht="15" thickBot="1" x14ac:dyDescent="0.35">
      <c r="A175" s="147"/>
      <c r="B175" s="208">
        <f t="shared" si="4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41"/>
        <v>0</v>
      </c>
      <c r="K175" s="153"/>
      <c r="V175" s="25">
        <f t="shared" si="42"/>
        <v>0</v>
      </c>
      <c r="W175" s="25">
        <f t="shared" si="43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55600</v>
      </c>
      <c r="K176" s="153"/>
      <c r="V176" s="25">
        <f>SUM(V153:V175)</f>
        <v>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2355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43011</v>
      </c>
      <c r="D184" s="185" t="s">
        <v>9</v>
      </c>
      <c r="E184" s="185" t="s">
        <v>2331</v>
      </c>
      <c r="F184" s="219">
        <v>300</v>
      </c>
      <c r="G184" s="219">
        <v>325</v>
      </c>
      <c r="H184" s="185">
        <v>25</v>
      </c>
      <c r="I184" s="219">
        <v>160</v>
      </c>
      <c r="J184" s="246">
        <f t="shared" ref="J184:J206" si="45">I184*H184</f>
        <v>4000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43012</v>
      </c>
      <c r="D185" s="161" t="s">
        <v>9</v>
      </c>
      <c r="E185" s="161" t="s">
        <v>2331</v>
      </c>
      <c r="F185" s="207">
        <v>250</v>
      </c>
      <c r="G185" s="207">
        <v>280</v>
      </c>
      <c r="H185" s="161">
        <v>30</v>
      </c>
      <c r="I185" s="207">
        <v>160</v>
      </c>
      <c r="J185" s="242">
        <f t="shared" si="45"/>
        <v>4800</v>
      </c>
      <c r="K185" s="153"/>
      <c r="V185" s="25">
        <f t="shared" ref="V185:V206" si="46">IF($J185&gt;0,1,0)</f>
        <v>1</v>
      </c>
      <c r="W185" s="25">
        <f t="shared" ref="W185:W206" si="47">IF($J185&lt;0,1,0)</f>
        <v>0</v>
      </c>
    </row>
    <row r="186" spans="1:23" x14ac:dyDescent="0.3">
      <c r="A186" s="147"/>
      <c r="B186" s="205">
        <f t="shared" ref="B186:B206" si="48">B185+1</f>
        <v>3</v>
      </c>
      <c r="C186" s="206">
        <v>43013</v>
      </c>
      <c r="D186" s="161" t="s">
        <v>9</v>
      </c>
      <c r="E186" s="161" t="s">
        <v>2331</v>
      </c>
      <c r="F186" s="207">
        <v>210</v>
      </c>
      <c r="G186" s="207">
        <v>250</v>
      </c>
      <c r="H186" s="161">
        <v>40</v>
      </c>
      <c r="I186" s="207">
        <v>160</v>
      </c>
      <c r="J186" s="242">
        <f t="shared" si="45"/>
        <v>6400</v>
      </c>
      <c r="K186" s="153"/>
      <c r="V186" s="25">
        <f t="shared" si="46"/>
        <v>1</v>
      </c>
      <c r="W186" s="25">
        <f t="shared" si="47"/>
        <v>0</v>
      </c>
    </row>
    <row r="187" spans="1:23" x14ac:dyDescent="0.3">
      <c r="A187" s="147"/>
      <c r="B187" s="205">
        <f t="shared" si="48"/>
        <v>4</v>
      </c>
      <c r="C187" s="206">
        <v>43014</v>
      </c>
      <c r="D187" s="161" t="s">
        <v>9</v>
      </c>
      <c r="E187" s="161" t="s">
        <v>2325</v>
      </c>
      <c r="F187" s="207">
        <v>215</v>
      </c>
      <c r="G187" s="207">
        <v>235</v>
      </c>
      <c r="H187" s="161">
        <v>20</v>
      </c>
      <c r="I187" s="207">
        <v>160</v>
      </c>
      <c r="J187" s="242">
        <f t="shared" si="45"/>
        <v>3200</v>
      </c>
      <c r="K187" s="153"/>
      <c r="V187" s="25">
        <f t="shared" si="46"/>
        <v>1</v>
      </c>
      <c r="W187" s="25">
        <f t="shared" si="47"/>
        <v>0</v>
      </c>
    </row>
    <row r="188" spans="1:23" x14ac:dyDescent="0.3">
      <c r="A188" s="147"/>
      <c r="B188" s="205">
        <f t="shared" si="48"/>
        <v>5</v>
      </c>
      <c r="C188" s="206">
        <v>43017</v>
      </c>
      <c r="D188" s="161" t="s">
        <v>9</v>
      </c>
      <c r="E188" s="161" t="s">
        <v>2358</v>
      </c>
      <c r="F188" s="207">
        <v>260</v>
      </c>
      <c r="G188" s="207">
        <v>255</v>
      </c>
      <c r="H188" s="161">
        <v>-5</v>
      </c>
      <c r="I188" s="207">
        <v>160</v>
      </c>
      <c r="J188" s="242">
        <f t="shared" si="45"/>
        <v>-800</v>
      </c>
      <c r="K188" s="153"/>
      <c r="V188" s="25">
        <f t="shared" si="46"/>
        <v>0</v>
      </c>
      <c r="W188" s="25">
        <f t="shared" si="47"/>
        <v>1</v>
      </c>
    </row>
    <row r="189" spans="1:23" x14ac:dyDescent="0.3">
      <c r="A189" s="147"/>
      <c r="B189" s="205">
        <f t="shared" si="48"/>
        <v>6</v>
      </c>
      <c r="C189" s="206">
        <v>43018</v>
      </c>
      <c r="D189" s="161" t="s">
        <v>9</v>
      </c>
      <c r="E189" s="161" t="s">
        <v>2293</v>
      </c>
      <c r="F189" s="207">
        <v>210</v>
      </c>
      <c r="G189" s="207">
        <v>195</v>
      </c>
      <c r="H189" s="161">
        <v>-15</v>
      </c>
      <c r="I189" s="207">
        <v>160</v>
      </c>
      <c r="J189" s="242">
        <f t="shared" si="45"/>
        <v>-2400</v>
      </c>
      <c r="K189" s="153"/>
      <c r="V189" s="25">
        <f t="shared" si="46"/>
        <v>0</v>
      </c>
      <c r="W189" s="25">
        <f t="shared" si="47"/>
        <v>1</v>
      </c>
    </row>
    <row r="190" spans="1:23" x14ac:dyDescent="0.3">
      <c r="A190" s="147"/>
      <c r="B190" s="205">
        <f t="shared" si="48"/>
        <v>7</v>
      </c>
      <c r="C190" s="206">
        <v>43019</v>
      </c>
      <c r="D190" s="161" t="s">
        <v>9</v>
      </c>
      <c r="E190" s="161" t="s">
        <v>2328</v>
      </c>
      <c r="F190" s="207">
        <v>190</v>
      </c>
      <c r="G190" s="207">
        <v>310</v>
      </c>
      <c r="H190" s="161">
        <v>120</v>
      </c>
      <c r="I190" s="207">
        <v>160</v>
      </c>
      <c r="J190" s="242">
        <f t="shared" si="45"/>
        <v>19200</v>
      </c>
      <c r="K190" s="153"/>
      <c r="V190" s="25">
        <f t="shared" si="46"/>
        <v>1</v>
      </c>
      <c r="W190" s="25">
        <f t="shared" si="47"/>
        <v>0</v>
      </c>
    </row>
    <row r="191" spans="1:23" x14ac:dyDescent="0.3">
      <c r="A191" s="147"/>
      <c r="B191" s="205">
        <f t="shared" si="48"/>
        <v>8</v>
      </c>
      <c r="C191" s="206">
        <v>43020</v>
      </c>
      <c r="D191" s="161" t="s">
        <v>9</v>
      </c>
      <c r="E191" s="161" t="s">
        <v>2327</v>
      </c>
      <c r="F191" s="207">
        <v>270</v>
      </c>
      <c r="G191" s="207">
        <v>210</v>
      </c>
      <c r="H191" s="161">
        <v>-60</v>
      </c>
      <c r="I191" s="207">
        <v>160</v>
      </c>
      <c r="J191" s="242">
        <f t="shared" si="45"/>
        <v>-9600</v>
      </c>
      <c r="K191" s="153"/>
      <c r="V191" s="25">
        <f t="shared" si="46"/>
        <v>0</v>
      </c>
      <c r="W191" s="25">
        <f t="shared" si="47"/>
        <v>1</v>
      </c>
    </row>
    <row r="192" spans="1:23" x14ac:dyDescent="0.3">
      <c r="A192" s="147"/>
      <c r="B192" s="205">
        <f t="shared" si="48"/>
        <v>9</v>
      </c>
      <c r="C192" s="206">
        <v>43021</v>
      </c>
      <c r="D192" s="161" t="s">
        <v>9</v>
      </c>
      <c r="E192" s="161" t="s">
        <v>2303</v>
      </c>
      <c r="F192" s="207">
        <v>200</v>
      </c>
      <c r="G192" s="207">
        <v>205</v>
      </c>
      <c r="H192" s="161">
        <v>5</v>
      </c>
      <c r="I192" s="207">
        <v>160</v>
      </c>
      <c r="J192" s="242">
        <f t="shared" si="45"/>
        <v>800</v>
      </c>
      <c r="K192" s="153"/>
      <c r="V192" s="25">
        <f t="shared" si="46"/>
        <v>1</v>
      </c>
      <c r="W192" s="25">
        <f t="shared" si="47"/>
        <v>0</v>
      </c>
    </row>
    <row r="193" spans="1:23" x14ac:dyDescent="0.3">
      <c r="A193" s="147"/>
      <c r="B193" s="205">
        <f t="shared" si="48"/>
        <v>10</v>
      </c>
      <c r="C193" s="206">
        <v>43024</v>
      </c>
      <c r="D193" s="161" t="s">
        <v>9</v>
      </c>
      <c r="E193" s="161" t="s">
        <v>2303</v>
      </c>
      <c r="F193" s="207">
        <v>170</v>
      </c>
      <c r="G193" s="207">
        <v>290</v>
      </c>
      <c r="H193" s="161">
        <v>120</v>
      </c>
      <c r="I193" s="207">
        <v>160</v>
      </c>
      <c r="J193" s="242">
        <f t="shared" si="45"/>
        <v>19200</v>
      </c>
      <c r="K193" s="153"/>
      <c r="V193" s="25">
        <f t="shared" si="46"/>
        <v>1</v>
      </c>
      <c r="W193" s="25">
        <f t="shared" si="47"/>
        <v>0</v>
      </c>
    </row>
    <row r="194" spans="1:23" x14ac:dyDescent="0.3">
      <c r="A194" s="147"/>
      <c r="B194" s="205">
        <f t="shared" si="48"/>
        <v>11</v>
      </c>
      <c r="C194" s="206">
        <v>43025</v>
      </c>
      <c r="D194" s="161" t="s">
        <v>9</v>
      </c>
      <c r="E194" s="161" t="s">
        <v>2303</v>
      </c>
      <c r="F194" s="207">
        <v>170</v>
      </c>
      <c r="G194" s="207">
        <v>230</v>
      </c>
      <c r="H194" s="161">
        <v>60</v>
      </c>
      <c r="I194" s="207">
        <v>160</v>
      </c>
      <c r="J194" s="242">
        <f t="shared" si="45"/>
        <v>9600</v>
      </c>
      <c r="K194" s="153"/>
      <c r="V194" s="25">
        <f t="shared" si="46"/>
        <v>1</v>
      </c>
      <c r="W194" s="25">
        <f t="shared" si="47"/>
        <v>0</v>
      </c>
    </row>
    <row r="195" spans="1:23" x14ac:dyDescent="0.3">
      <c r="A195" s="147"/>
      <c r="B195" s="205">
        <f t="shared" si="48"/>
        <v>12</v>
      </c>
      <c r="C195" s="206"/>
      <c r="D195" s="161"/>
      <c r="E195" s="161"/>
      <c r="F195" s="207"/>
      <c r="G195" s="207"/>
      <c r="H195" s="161"/>
      <c r="I195" s="207"/>
      <c r="J195" s="242">
        <f t="shared" si="45"/>
        <v>0</v>
      </c>
      <c r="K195" s="153"/>
      <c r="V195" s="25">
        <f t="shared" si="46"/>
        <v>0</v>
      </c>
      <c r="W195" s="25">
        <f t="shared" si="47"/>
        <v>0</v>
      </c>
    </row>
    <row r="196" spans="1:23" x14ac:dyDescent="0.3">
      <c r="A196" s="147"/>
      <c r="B196" s="205">
        <f t="shared" si="48"/>
        <v>13</v>
      </c>
      <c r="C196" s="206"/>
      <c r="D196" s="161"/>
      <c r="E196" s="161"/>
      <c r="F196" s="207"/>
      <c r="G196" s="207"/>
      <c r="H196" s="161"/>
      <c r="I196" s="207"/>
      <c r="J196" s="242">
        <f t="shared" si="45"/>
        <v>0</v>
      </c>
      <c r="K196" s="153"/>
      <c r="V196" s="25">
        <f t="shared" si="46"/>
        <v>0</v>
      </c>
      <c r="W196" s="25">
        <f t="shared" si="47"/>
        <v>0</v>
      </c>
    </row>
    <row r="197" spans="1:23" x14ac:dyDescent="0.3">
      <c r="A197" s="147"/>
      <c r="B197" s="205">
        <f t="shared" si="48"/>
        <v>14</v>
      </c>
      <c r="C197" s="206"/>
      <c r="D197" s="161"/>
      <c r="E197" s="161"/>
      <c r="F197" s="207"/>
      <c r="G197" s="207"/>
      <c r="H197" s="161"/>
      <c r="I197" s="207"/>
      <c r="J197" s="242">
        <f t="shared" si="45"/>
        <v>0</v>
      </c>
      <c r="K197" s="153"/>
      <c r="V197" s="25">
        <f t="shared" si="46"/>
        <v>0</v>
      </c>
      <c r="W197" s="25">
        <f t="shared" si="47"/>
        <v>0</v>
      </c>
    </row>
    <row r="198" spans="1:23" x14ac:dyDescent="0.3">
      <c r="A198" s="147"/>
      <c r="B198" s="205">
        <f t="shared" si="48"/>
        <v>15</v>
      </c>
      <c r="C198" s="206"/>
      <c r="D198" s="161"/>
      <c r="E198" s="161"/>
      <c r="F198" s="207"/>
      <c r="G198" s="207"/>
      <c r="H198" s="161"/>
      <c r="I198" s="207"/>
      <c r="J198" s="242">
        <f t="shared" si="45"/>
        <v>0</v>
      </c>
      <c r="K198" s="153"/>
      <c r="V198" s="25">
        <f t="shared" si="46"/>
        <v>0</v>
      </c>
      <c r="W198" s="25">
        <f t="shared" si="47"/>
        <v>0</v>
      </c>
    </row>
    <row r="199" spans="1:23" x14ac:dyDescent="0.3">
      <c r="A199" s="147"/>
      <c r="B199" s="205">
        <f t="shared" si="48"/>
        <v>16</v>
      </c>
      <c r="C199" s="206"/>
      <c r="D199" s="161"/>
      <c r="E199" s="161"/>
      <c r="F199" s="207"/>
      <c r="G199" s="207"/>
      <c r="H199" s="161"/>
      <c r="I199" s="207"/>
      <c r="J199" s="242">
        <f t="shared" si="45"/>
        <v>0</v>
      </c>
      <c r="K199" s="153"/>
      <c r="V199" s="25">
        <f t="shared" si="46"/>
        <v>0</v>
      </c>
      <c r="W199" s="25">
        <f t="shared" si="47"/>
        <v>0</v>
      </c>
    </row>
    <row r="200" spans="1:23" x14ac:dyDescent="0.3">
      <c r="A200" s="147"/>
      <c r="B200" s="205">
        <f t="shared" si="48"/>
        <v>17</v>
      </c>
      <c r="C200" s="206"/>
      <c r="D200" s="161"/>
      <c r="E200" s="161"/>
      <c r="F200" s="207"/>
      <c r="G200" s="207"/>
      <c r="H200" s="161"/>
      <c r="I200" s="207"/>
      <c r="J200" s="242">
        <f t="shared" si="45"/>
        <v>0</v>
      </c>
      <c r="K200" s="153"/>
      <c r="V200" s="25">
        <f t="shared" si="46"/>
        <v>0</v>
      </c>
      <c r="W200" s="25">
        <f t="shared" si="47"/>
        <v>0</v>
      </c>
    </row>
    <row r="201" spans="1:23" x14ac:dyDescent="0.3">
      <c r="A201" s="147"/>
      <c r="B201" s="205">
        <f t="shared" si="48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45"/>
        <v>0</v>
      </c>
      <c r="K201" s="153"/>
      <c r="V201" s="25">
        <f t="shared" si="46"/>
        <v>0</v>
      </c>
      <c r="W201" s="25">
        <f t="shared" si="47"/>
        <v>0</v>
      </c>
    </row>
    <row r="202" spans="1:23" x14ac:dyDescent="0.3">
      <c r="A202" s="147"/>
      <c r="B202" s="205">
        <f t="shared" si="48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45"/>
        <v>0</v>
      </c>
      <c r="K202" s="153"/>
      <c r="V202" s="25">
        <f t="shared" si="46"/>
        <v>0</v>
      </c>
      <c r="W202" s="25">
        <f t="shared" si="47"/>
        <v>0</v>
      </c>
    </row>
    <row r="203" spans="1:23" x14ac:dyDescent="0.3">
      <c r="A203" s="147"/>
      <c r="B203" s="205">
        <f t="shared" si="48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45"/>
        <v>0</v>
      </c>
      <c r="K203" s="153"/>
      <c r="V203" s="25">
        <f t="shared" si="46"/>
        <v>0</v>
      </c>
      <c r="W203" s="25">
        <f t="shared" si="47"/>
        <v>0</v>
      </c>
    </row>
    <row r="204" spans="1:23" x14ac:dyDescent="0.3">
      <c r="A204" s="147"/>
      <c r="B204" s="205">
        <f t="shared" si="48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45"/>
        <v>0</v>
      </c>
      <c r="K204" s="153"/>
      <c r="V204" s="25">
        <f t="shared" si="46"/>
        <v>0</v>
      </c>
      <c r="W204" s="25">
        <f t="shared" si="47"/>
        <v>0</v>
      </c>
    </row>
    <row r="205" spans="1:23" x14ac:dyDescent="0.3">
      <c r="A205" s="147"/>
      <c r="B205" s="205">
        <f t="shared" si="4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45"/>
        <v>0</v>
      </c>
      <c r="K205" s="153"/>
      <c r="V205" s="25">
        <f t="shared" si="46"/>
        <v>0</v>
      </c>
      <c r="W205" s="25">
        <f t="shared" si="47"/>
        <v>0</v>
      </c>
    </row>
    <row r="206" spans="1:23" ht="15" thickBot="1" x14ac:dyDescent="0.35">
      <c r="A206" s="147"/>
      <c r="B206" s="208">
        <f t="shared" si="4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45"/>
        <v>0</v>
      </c>
      <c r="K206" s="153"/>
      <c r="V206" s="25">
        <f t="shared" si="46"/>
        <v>0</v>
      </c>
      <c r="W206" s="25">
        <f t="shared" si="47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54400</v>
      </c>
      <c r="K207" s="153"/>
      <c r="V207" s="25">
        <f>SUM(V184:V206)</f>
        <v>8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2355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43011</v>
      </c>
      <c r="D215" s="185" t="s">
        <v>9</v>
      </c>
      <c r="E215" s="185" t="s">
        <v>1145</v>
      </c>
      <c r="F215" s="219">
        <v>26</v>
      </c>
      <c r="G215" s="231">
        <v>31.4</v>
      </c>
      <c r="H215" s="185">
        <v>5.4</v>
      </c>
      <c r="I215" s="219">
        <v>750</v>
      </c>
      <c r="J215" s="246">
        <f t="shared" ref="J215:J237" si="49">I215*H215</f>
        <v>4050.0000000000005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43012</v>
      </c>
      <c r="D216" s="161" t="s">
        <v>9</v>
      </c>
      <c r="E216" s="161" t="s">
        <v>2052</v>
      </c>
      <c r="F216" s="207">
        <v>7</v>
      </c>
      <c r="G216" s="222">
        <v>8</v>
      </c>
      <c r="H216" s="234">
        <v>1</v>
      </c>
      <c r="I216" s="207">
        <v>2750</v>
      </c>
      <c r="J216" s="242">
        <f>I216*H216</f>
        <v>2750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50">B216+1</f>
        <v>3</v>
      </c>
      <c r="C217" s="206">
        <v>43013</v>
      </c>
      <c r="D217" s="161" t="s">
        <v>9</v>
      </c>
      <c r="E217" s="161" t="s">
        <v>1913</v>
      </c>
      <c r="F217" s="207">
        <v>10</v>
      </c>
      <c r="G217" s="222">
        <v>8.5500000000000007</v>
      </c>
      <c r="H217" s="234">
        <v>-1.45</v>
      </c>
      <c r="I217" s="207">
        <v>3084</v>
      </c>
      <c r="J217" s="242">
        <f t="shared" si="49"/>
        <v>-4471.8</v>
      </c>
      <c r="K217" s="153"/>
      <c r="V217" s="25">
        <f t="shared" ref="V217:V237" si="51">IF($J217&gt;0,1,0)</f>
        <v>0</v>
      </c>
      <c r="W217" s="25">
        <f t="shared" ref="W217:W237" si="52">IF($J217&lt;0,1,0)</f>
        <v>1</v>
      </c>
    </row>
    <row r="218" spans="1:23" x14ac:dyDescent="0.3">
      <c r="A218" s="147"/>
      <c r="B218" s="205">
        <f t="shared" si="50"/>
        <v>4</v>
      </c>
      <c r="C218" s="206">
        <v>43014</v>
      </c>
      <c r="D218" s="161" t="s">
        <v>9</v>
      </c>
      <c r="E218" s="161" t="s">
        <v>2352</v>
      </c>
      <c r="F218" s="207">
        <v>80</v>
      </c>
      <c r="G218" s="222">
        <v>92</v>
      </c>
      <c r="H218" s="234">
        <v>12</v>
      </c>
      <c r="I218" s="207">
        <v>200</v>
      </c>
      <c r="J218" s="242">
        <f t="shared" si="49"/>
        <v>2400</v>
      </c>
      <c r="K218" s="153"/>
      <c r="V218" s="25">
        <f t="shared" si="51"/>
        <v>1</v>
      </c>
      <c r="W218" s="25">
        <f t="shared" si="52"/>
        <v>0</v>
      </c>
    </row>
    <row r="219" spans="1:23" x14ac:dyDescent="0.3">
      <c r="A219" s="147"/>
      <c r="B219" s="205">
        <f t="shared" si="50"/>
        <v>5</v>
      </c>
      <c r="C219" s="206">
        <v>43017</v>
      </c>
      <c r="D219" s="161" t="s">
        <v>9</v>
      </c>
      <c r="E219" s="161" t="s">
        <v>2359</v>
      </c>
      <c r="F219" s="222">
        <v>75</v>
      </c>
      <c r="G219" s="222">
        <v>95</v>
      </c>
      <c r="H219" s="234">
        <v>20</v>
      </c>
      <c r="I219" s="207">
        <v>200</v>
      </c>
      <c r="J219" s="242">
        <f t="shared" si="49"/>
        <v>4000</v>
      </c>
      <c r="K219" s="153"/>
      <c r="V219" s="25">
        <f t="shared" si="51"/>
        <v>1</v>
      </c>
      <c r="W219" s="25">
        <f t="shared" si="52"/>
        <v>0</v>
      </c>
    </row>
    <row r="220" spans="1:23" x14ac:dyDescent="0.3">
      <c r="A220" s="147"/>
      <c r="B220" s="205">
        <f t="shared" si="50"/>
        <v>6</v>
      </c>
      <c r="C220" s="206">
        <v>43018</v>
      </c>
      <c r="D220" s="161" t="s">
        <v>9</v>
      </c>
      <c r="E220" s="161" t="s">
        <v>2360</v>
      </c>
      <c r="F220" s="207">
        <v>9</v>
      </c>
      <c r="G220" s="222">
        <v>8.8000000000000007</v>
      </c>
      <c r="H220" s="234">
        <v>-0.2</v>
      </c>
      <c r="I220" s="207">
        <v>350</v>
      </c>
      <c r="J220" s="242">
        <f t="shared" si="49"/>
        <v>-70</v>
      </c>
      <c r="K220" s="153"/>
      <c r="V220" s="25">
        <f t="shared" si="51"/>
        <v>0</v>
      </c>
      <c r="W220" s="25">
        <f t="shared" si="52"/>
        <v>1</v>
      </c>
    </row>
    <row r="221" spans="1:23" x14ac:dyDescent="0.3">
      <c r="A221" s="147"/>
      <c r="B221" s="205">
        <f t="shared" si="50"/>
        <v>7</v>
      </c>
      <c r="C221" s="206">
        <v>43019</v>
      </c>
      <c r="D221" s="161" t="s">
        <v>9</v>
      </c>
      <c r="E221" s="161" t="s">
        <v>2361</v>
      </c>
      <c r="F221" s="207">
        <v>75</v>
      </c>
      <c r="G221" s="222">
        <v>95</v>
      </c>
      <c r="H221" s="161">
        <v>20</v>
      </c>
      <c r="I221" s="207">
        <v>200</v>
      </c>
      <c r="J221" s="242">
        <f t="shared" si="49"/>
        <v>4000</v>
      </c>
      <c r="K221" s="153"/>
      <c r="V221" s="25">
        <f t="shared" si="51"/>
        <v>1</v>
      </c>
      <c r="W221" s="25">
        <f t="shared" si="52"/>
        <v>0</v>
      </c>
    </row>
    <row r="222" spans="1:23" x14ac:dyDescent="0.3">
      <c r="A222" s="147"/>
      <c r="B222" s="205">
        <f t="shared" si="50"/>
        <v>8</v>
      </c>
      <c r="C222" s="206">
        <v>43020</v>
      </c>
      <c r="D222" s="161" t="s">
        <v>9</v>
      </c>
      <c r="E222" s="161" t="s">
        <v>1863</v>
      </c>
      <c r="F222" s="207">
        <v>8</v>
      </c>
      <c r="G222" s="207">
        <v>6</v>
      </c>
      <c r="H222" s="161">
        <v>-2</v>
      </c>
      <c r="I222" s="207">
        <v>3084</v>
      </c>
      <c r="J222" s="242">
        <f t="shared" si="49"/>
        <v>-6168</v>
      </c>
      <c r="K222" s="153"/>
      <c r="V222" s="25">
        <f t="shared" si="51"/>
        <v>0</v>
      </c>
      <c r="W222" s="25">
        <f t="shared" si="52"/>
        <v>1</v>
      </c>
    </row>
    <row r="223" spans="1:23" x14ac:dyDescent="0.3">
      <c r="A223" s="147"/>
      <c r="B223" s="205">
        <f t="shared" si="50"/>
        <v>9</v>
      </c>
      <c r="C223" s="206">
        <v>43021</v>
      </c>
      <c r="D223" s="161" t="s">
        <v>9</v>
      </c>
      <c r="E223" s="161" t="s">
        <v>2363</v>
      </c>
      <c r="F223" s="207">
        <v>65</v>
      </c>
      <c r="G223" s="222">
        <v>58</v>
      </c>
      <c r="H223" s="234">
        <v>-7</v>
      </c>
      <c r="I223" s="207">
        <v>200</v>
      </c>
      <c r="J223" s="242">
        <f t="shared" si="49"/>
        <v>-1400</v>
      </c>
      <c r="K223" s="153"/>
      <c r="V223" s="25">
        <f t="shared" si="51"/>
        <v>0</v>
      </c>
      <c r="W223" s="25">
        <f t="shared" si="52"/>
        <v>1</v>
      </c>
    </row>
    <row r="224" spans="1:23" x14ac:dyDescent="0.3">
      <c r="A224" s="147"/>
      <c r="B224" s="205">
        <f t="shared" si="50"/>
        <v>10</v>
      </c>
      <c r="C224" s="206">
        <v>43024</v>
      </c>
      <c r="D224" s="161" t="s">
        <v>9</v>
      </c>
      <c r="E224" s="161" t="s">
        <v>2364</v>
      </c>
      <c r="F224" s="222">
        <v>5.5</v>
      </c>
      <c r="G224" s="222">
        <v>6.5</v>
      </c>
      <c r="H224" s="234">
        <v>1</v>
      </c>
      <c r="I224" s="207">
        <v>2750</v>
      </c>
      <c r="J224" s="242">
        <f t="shared" si="49"/>
        <v>2750</v>
      </c>
      <c r="K224" s="153"/>
      <c r="V224" s="25">
        <f t="shared" si="51"/>
        <v>1</v>
      </c>
      <c r="W224" s="25">
        <f t="shared" si="52"/>
        <v>0</v>
      </c>
    </row>
    <row r="225" spans="1:23" x14ac:dyDescent="0.3">
      <c r="A225" s="147"/>
      <c r="B225" s="205">
        <f t="shared" si="50"/>
        <v>11</v>
      </c>
      <c r="C225" s="206">
        <v>43025</v>
      </c>
      <c r="D225" s="161" t="s">
        <v>9</v>
      </c>
      <c r="E225" s="161" t="s">
        <v>2365</v>
      </c>
      <c r="F225" s="207">
        <v>11</v>
      </c>
      <c r="G225" s="222">
        <v>12</v>
      </c>
      <c r="H225" s="161">
        <v>1</v>
      </c>
      <c r="I225" s="207">
        <v>1750</v>
      </c>
      <c r="J225" s="242">
        <f t="shared" si="49"/>
        <v>1750</v>
      </c>
      <c r="K225" s="153"/>
      <c r="V225" s="25">
        <f t="shared" si="51"/>
        <v>1</v>
      </c>
      <c r="W225" s="25">
        <f t="shared" si="52"/>
        <v>0</v>
      </c>
    </row>
    <row r="226" spans="1:23" x14ac:dyDescent="0.3">
      <c r="A226" s="147"/>
      <c r="B226" s="205">
        <f t="shared" si="50"/>
        <v>12</v>
      </c>
      <c r="C226" s="206"/>
      <c r="D226" s="161"/>
      <c r="E226" s="161"/>
      <c r="F226" s="207"/>
      <c r="G226" s="207"/>
      <c r="H226" s="161"/>
      <c r="I226" s="207"/>
      <c r="J226" s="242">
        <f t="shared" si="49"/>
        <v>0</v>
      </c>
      <c r="K226" s="153"/>
      <c r="V226" s="25">
        <f t="shared" si="51"/>
        <v>0</v>
      </c>
      <c r="W226" s="25">
        <f t="shared" si="52"/>
        <v>0</v>
      </c>
    </row>
    <row r="227" spans="1:23" x14ac:dyDescent="0.3">
      <c r="A227" s="147"/>
      <c r="B227" s="205">
        <f t="shared" si="50"/>
        <v>13</v>
      </c>
      <c r="C227" s="206"/>
      <c r="D227" s="161"/>
      <c r="E227" s="161"/>
      <c r="F227" s="222"/>
      <c r="G227" s="222"/>
      <c r="H227" s="161"/>
      <c r="I227" s="207"/>
      <c r="J227" s="242">
        <f t="shared" si="49"/>
        <v>0</v>
      </c>
      <c r="K227" s="153"/>
      <c r="V227" s="25">
        <f t="shared" si="51"/>
        <v>0</v>
      </c>
      <c r="W227" s="25">
        <f t="shared" si="52"/>
        <v>0</v>
      </c>
    </row>
    <row r="228" spans="1:23" x14ac:dyDescent="0.3">
      <c r="A228" s="147"/>
      <c r="B228" s="205">
        <f t="shared" si="50"/>
        <v>14</v>
      </c>
      <c r="C228" s="206"/>
      <c r="D228" s="161"/>
      <c r="E228" s="161"/>
      <c r="F228" s="207"/>
      <c r="G228" s="222"/>
      <c r="H228" s="238"/>
      <c r="I228" s="207"/>
      <c r="J228" s="242">
        <f>I228*H228</f>
        <v>0</v>
      </c>
      <c r="K228" s="153"/>
      <c r="V228" s="25">
        <f t="shared" si="51"/>
        <v>0</v>
      </c>
      <c r="W228" s="25">
        <f t="shared" si="52"/>
        <v>0</v>
      </c>
    </row>
    <row r="229" spans="1:23" x14ac:dyDescent="0.3">
      <c r="A229" s="147"/>
      <c r="B229" s="205">
        <f t="shared" si="50"/>
        <v>15</v>
      </c>
      <c r="C229" s="206"/>
      <c r="D229" s="161"/>
      <c r="E229" s="161"/>
      <c r="F229" s="222"/>
      <c r="G229" s="222"/>
      <c r="H229" s="238"/>
      <c r="I229" s="207"/>
      <c r="J229" s="242">
        <f t="shared" si="49"/>
        <v>0</v>
      </c>
      <c r="K229" s="153"/>
      <c r="V229" s="25">
        <f t="shared" si="51"/>
        <v>0</v>
      </c>
      <c r="W229" s="25">
        <f t="shared" si="52"/>
        <v>0</v>
      </c>
    </row>
    <row r="230" spans="1:23" x14ac:dyDescent="0.3">
      <c r="A230" s="147"/>
      <c r="B230" s="205">
        <f t="shared" si="50"/>
        <v>16</v>
      </c>
      <c r="C230" s="206"/>
      <c r="D230" s="161"/>
      <c r="E230" s="161"/>
      <c r="F230" s="222"/>
      <c r="G230" s="222"/>
      <c r="H230" s="161"/>
      <c r="I230" s="207"/>
      <c r="J230" s="242">
        <f t="shared" si="49"/>
        <v>0</v>
      </c>
      <c r="K230" s="153"/>
      <c r="V230" s="25">
        <f t="shared" si="51"/>
        <v>0</v>
      </c>
      <c r="W230" s="25">
        <f t="shared" si="52"/>
        <v>0</v>
      </c>
    </row>
    <row r="231" spans="1:23" x14ac:dyDescent="0.3">
      <c r="A231" s="147"/>
      <c r="B231" s="205">
        <f t="shared" si="50"/>
        <v>17</v>
      </c>
      <c r="C231" s="206"/>
      <c r="D231" s="161"/>
      <c r="E231" s="161"/>
      <c r="F231" s="222"/>
      <c r="G231" s="222"/>
      <c r="H231" s="161"/>
      <c r="I231" s="207"/>
      <c r="J231" s="242">
        <f t="shared" si="49"/>
        <v>0</v>
      </c>
      <c r="K231" s="153"/>
      <c r="V231" s="25">
        <f t="shared" si="51"/>
        <v>0</v>
      </c>
      <c r="W231" s="25">
        <f t="shared" si="52"/>
        <v>0</v>
      </c>
    </row>
    <row r="232" spans="1:23" x14ac:dyDescent="0.3">
      <c r="A232" s="147"/>
      <c r="B232" s="205">
        <f t="shared" si="50"/>
        <v>18</v>
      </c>
      <c r="C232" s="206"/>
      <c r="D232" s="161"/>
      <c r="E232" s="161"/>
      <c r="F232" s="207"/>
      <c r="G232" s="222"/>
      <c r="H232" s="161"/>
      <c r="I232" s="207"/>
      <c r="J232" s="242">
        <f t="shared" si="49"/>
        <v>0</v>
      </c>
      <c r="K232" s="153"/>
      <c r="V232" s="25">
        <f t="shared" si="51"/>
        <v>0</v>
      </c>
      <c r="W232" s="25">
        <f t="shared" si="52"/>
        <v>0</v>
      </c>
    </row>
    <row r="233" spans="1:23" x14ac:dyDescent="0.3">
      <c r="A233" s="147"/>
      <c r="B233" s="205">
        <f t="shared" si="50"/>
        <v>19</v>
      </c>
      <c r="C233" s="206"/>
      <c r="D233" s="161"/>
      <c r="E233" s="161"/>
      <c r="F233" s="207"/>
      <c r="G233" s="207"/>
      <c r="H233" s="161"/>
      <c r="I233" s="207"/>
      <c r="J233" s="242">
        <f t="shared" si="49"/>
        <v>0</v>
      </c>
      <c r="K233" s="153"/>
      <c r="V233" s="25">
        <f t="shared" si="51"/>
        <v>0</v>
      </c>
      <c r="W233" s="25">
        <f t="shared" si="52"/>
        <v>0</v>
      </c>
    </row>
    <row r="234" spans="1:23" x14ac:dyDescent="0.3">
      <c r="A234" s="147"/>
      <c r="B234" s="205">
        <f t="shared" si="50"/>
        <v>20</v>
      </c>
      <c r="C234" s="206"/>
      <c r="D234" s="161"/>
      <c r="E234" s="161"/>
      <c r="F234" s="207"/>
      <c r="G234" s="207"/>
      <c r="H234" s="161"/>
      <c r="I234" s="207"/>
      <c r="J234" s="242">
        <f t="shared" si="49"/>
        <v>0</v>
      </c>
      <c r="K234" s="153"/>
      <c r="V234" s="25">
        <f t="shared" si="51"/>
        <v>0</v>
      </c>
      <c r="W234" s="25">
        <f t="shared" si="52"/>
        <v>0</v>
      </c>
    </row>
    <row r="235" spans="1:23" x14ac:dyDescent="0.3">
      <c r="A235" s="147"/>
      <c r="B235" s="205">
        <f t="shared" si="50"/>
        <v>21</v>
      </c>
      <c r="C235" s="206"/>
      <c r="D235" s="161"/>
      <c r="E235" s="161"/>
      <c r="F235" s="207"/>
      <c r="G235" s="207"/>
      <c r="H235" s="161"/>
      <c r="I235" s="207"/>
      <c r="J235" s="242">
        <f t="shared" si="49"/>
        <v>0</v>
      </c>
      <c r="K235" s="153"/>
      <c r="V235" s="25">
        <f t="shared" si="51"/>
        <v>0</v>
      </c>
      <c r="W235" s="25">
        <f t="shared" si="52"/>
        <v>0</v>
      </c>
    </row>
    <row r="236" spans="1:23" x14ac:dyDescent="0.3">
      <c r="A236" s="147"/>
      <c r="B236" s="205">
        <f t="shared" si="50"/>
        <v>22</v>
      </c>
      <c r="C236" s="206"/>
      <c r="D236" s="161"/>
      <c r="E236" s="161"/>
      <c r="F236" s="207"/>
      <c r="G236" s="207"/>
      <c r="H236" s="161"/>
      <c r="I236" s="207"/>
      <c r="J236" s="242">
        <f t="shared" si="49"/>
        <v>0</v>
      </c>
      <c r="K236" s="153"/>
      <c r="V236" s="25">
        <f t="shared" si="51"/>
        <v>0</v>
      </c>
      <c r="W236" s="25">
        <f t="shared" si="52"/>
        <v>0</v>
      </c>
    </row>
    <row r="237" spans="1:23" ht="15" thickBot="1" x14ac:dyDescent="0.35">
      <c r="A237" s="147"/>
      <c r="B237" s="208">
        <f t="shared" si="5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9"/>
        <v>0</v>
      </c>
      <c r="K237" s="153"/>
      <c r="V237" s="25">
        <f t="shared" si="51"/>
        <v>0</v>
      </c>
      <c r="W237" s="25">
        <f t="shared" si="52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9590.2000000000007</v>
      </c>
      <c r="K238" s="153"/>
      <c r="V238" s="25">
        <f>SUM(V215:V237)</f>
        <v>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600-000000000000}"/>
    <hyperlink ref="B83" r:id="rId2" xr:uid="{00000000-0004-0000-3600-000001000000}"/>
    <hyperlink ref="B114" r:id="rId3" xr:uid="{00000000-0004-0000-3600-000002000000}"/>
    <hyperlink ref="M8:M9" location="'OCT 2017'!A108" display="NIFTY FUTURE" xr:uid="{00000000-0004-0000-3600-000003000000}"/>
    <hyperlink ref="B145" r:id="rId4" xr:uid="{00000000-0004-0000-3600-000004000000}"/>
    <hyperlink ref="M10:M11" location="'OCT 2017'!A139" display="NF. OPTION" xr:uid="{00000000-0004-0000-3600-000005000000}"/>
    <hyperlink ref="B176" r:id="rId5" xr:uid="{00000000-0004-0000-3600-000006000000}"/>
    <hyperlink ref="M12:M13" location="'OCT 2017'!A170" display="BANK NIFTY" xr:uid="{00000000-0004-0000-3600-000007000000}"/>
    <hyperlink ref="B207" r:id="rId6" xr:uid="{00000000-0004-0000-3600-000008000000}"/>
    <hyperlink ref="M14:M15" location="'OCT 2017'!A201" display="B.NIFTY OPTION" xr:uid="{00000000-0004-0000-3600-000009000000}"/>
    <hyperlink ref="B238" r:id="rId7" xr:uid="{00000000-0004-0000-3600-00000A000000}"/>
    <hyperlink ref="M16:M17" location="'OCT 2017'!A232" display="STOCK OPTION" xr:uid="{00000000-0004-0000-3600-00000B000000}"/>
    <hyperlink ref="M6:M7" location="'OCT 2017'!A77" display="STOCK FUTURE" xr:uid="{00000000-0004-0000-3600-00000C000000}"/>
    <hyperlink ref="M4:M5" location="'OCT 2017'!A1" display="CASH" xr:uid="{00000000-0004-0000-3600-00000D000000}"/>
    <hyperlink ref="M1" location="'MASTER '!A1" display="Back" xr:uid="{00000000-0004-0000-3600-00000E000000}"/>
  </hyperlinks>
  <pageMargins left="0" right="0" top="0" bottom="0" header="0" footer="0"/>
  <pageSetup scale="95" orientation="portrait" r:id="rId8"/>
  <drawing r:id="rId9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W239"/>
  <sheetViews>
    <sheetView topLeftCell="A72" workbookViewId="0">
      <selection activeCell="H74" sqref="H74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2366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44</v>
      </c>
      <c r="O4" s="354">
        <f>V52</f>
        <v>37</v>
      </c>
      <c r="P4" s="354">
        <f>W52</f>
        <v>7</v>
      </c>
      <c r="Q4" s="355">
        <f>N4-O4-P4</f>
        <v>0</v>
      </c>
      <c r="R4" s="314">
        <f>O4/N4</f>
        <v>0.84090909090909094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43040</v>
      </c>
      <c r="D6" s="158" t="s">
        <v>9</v>
      </c>
      <c r="E6" s="158" t="s">
        <v>19</v>
      </c>
      <c r="F6" s="204">
        <v>316</v>
      </c>
      <c r="G6" s="230">
        <v>320</v>
      </c>
      <c r="H6" s="158">
        <v>4</v>
      </c>
      <c r="I6" s="204">
        <f>300000/F6</f>
        <v>949.36708860759495</v>
      </c>
      <c r="J6" s="241">
        <f>H6*I6</f>
        <v>3797.4683544303798</v>
      </c>
      <c r="K6" s="153"/>
      <c r="M6" s="389" t="s">
        <v>450</v>
      </c>
      <c r="N6" s="343">
        <f>COUNT(C60:C82)</f>
        <v>22</v>
      </c>
      <c r="O6" s="345">
        <f>V83</f>
        <v>17</v>
      </c>
      <c r="P6" s="345">
        <f>W83</f>
        <v>5</v>
      </c>
      <c r="Q6" s="347">
        <f>N6-O6-P6</f>
        <v>0</v>
      </c>
      <c r="R6" s="340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43040</v>
      </c>
      <c r="D7" s="161" t="s">
        <v>417</v>
      </c>
      <c r="E7" s="161" t="s">
        <v>395</v>
      </c>
      <c r="F7" s="207">
        <v>2385</v>
      </c>
      <c r="G7" s="207">
        <v>2350</v>
      </c>
      <c r="H7" s="234">
        <v>35</v>
      </c>
      <c r="I7" s="207">
        <f t="shared" ref="I7" si="1">300000/F7</f>
        <v>125.78616352201257</v>
      </c>
      <c r="J7" s="242">
        <f t="shared" ref="J7" si="2">H7*I7</f>
        <v>4402.5157232704396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43041</v>
      </c>
      <c r="D8" s="161" t="s">
        <v>9</v>
      </c>
      <c r="E8" s="161" t="s">
        <v>139</v>
      </c>
      <c r="F8" s="207">
        <v>321</v>
      </c>
      <c r="G8" s="207">
        <v>323</v>
      </c>
      <c r="H8" s="161">
        <v>2</v>
      </c>
      <c r="I8" s="207">
        <f t="shared" ref="I8:I10" si="6">300000/F8</f>
        <v>934.57943925233644</v>
      </c>
      <c r="J8" s="242">
        <f t="shared" ref="J8:J10" si="7">H8*I8</f>
        <v>1869.1588785046729</v>
      </c>
      <c r="K8" s="153"/>
      <c r="M8" s="389" t="s">
        <v>451</v>
      </c>
      <c r="N8" s="343">
        <f>COUNT(C91:C113)</f>
        <v>22</v>
      </c>
      <c r="O8" s="345">
        <f>V114</f>
        <v>16</v>
      </c>
      <c r="P8" s="345">
        <f>W114</f>
        <v>6</v>
      </c>
      <c r="Q8" s="347">
        <f>N8-O8-P8</f>
        <v>0</v>
      </c>
      <c r="R8" s="340">
        <f t="shared" ref="R8" si="8">O8/N8</f>
        <v>0.72727272727272729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43041</v>
      </c>
      <c r="D9" s="161" t="s">
        <v>417</v>
      </c>
      <c r="E9" s="161" t="s">
        <v>19</v>
      </c>
      <c r="F9" s="207">
        <v>316</v>
      </c>
      <c r="G9" s="222">
        <v>320</v>
      </c>
      <c r="H9" s="161">
        <v>-4</v>
      </c>
      <c r="I9" s="207">
        <f t="shared" si="6"/>
        <v>949.36708860759495</v>
      </c>
      <c r="J9" s="242">
        <f t="shared" si="7"/>
        <v>-3797.4683544303798</v>
      </c>
      <c r="K9" s="153"/>
      <c r="M9" s="389"/>
      <c r="N9" s="343"/>
      <c r="O9" s="345"/>
      <c r="P9" s="345"/>
      <c r="Q9" s="349"/>
      <c r="R9" s="340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43042</v>
      </c>
      <c r="D10" s="161" t="s">
        <v>9</v>
      </c>
      <c r="E10" s="161" t="s">
        <v>688</v>
      </c>
      <c r="F10" s="207">
        <v>1375</v>
      </c>
      <c r="G10" s="207">
        <v>1395</v>
      </c>
      <c r="H10" s="161">
        <v>20</v>
      </c>
      <c r="I10" s="207">
        <f t="shared" si="6"/>
        <v>218.18181818181819</v>
      </c>
      <c r="J10" s="242">
        <f t="shared" si="7"/>
        <v>4363.636363636364</v>
      </c>
      <c r="K10" s="153"/>
      <c r="M10" s="389" t="s">
        <v>1176</v>
      </c>
      <c r="N10" s="343">
        <f>COUNT(C122:C144)</f>
        <v>22</v>
      </c>
      <c r="O10" s="345">
        <f>V145</f>
        <v>14</v>
      </c>
      <c r="P10" s="345">
        <f>W145</f>
        <v>8</v>
      </c>
      <c r="Q10" s="347">
        <f>N10-O10-P10</f>
        <v>0</v>
      </c>
      <c r="R10" s="340">
        <f t="shared" ref="R10:R16" si="9">O10/N10</f>
        <v>0.63636363636363635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43042</v>
      </c>
      <c r="D11" s="161" t="s">
        <v>417</v>
      </c>
      <c r="E11" s="161" t="s">
        <v>395</v>
      </c>
      <c r="F11" s="207">
        <v>2405</v>
      </c>
      <c r="G11" s="207">
        <v>2417</v>
      </c>
      <c r="H11" s="234">
        <v>-12</v>
      </c>
      <c r="I11" s="207">
        <f t="shared" ref="I11:I49" si="10">300000/F11</f>
        <v>124.74012474012474</v>
      </c>
      <c r="J11" s="242">
        <f t="shared" ref="J11:J49" si="11">H11*I11</f>
        <v>-1496.8814968814968</v>
      </c>
      <c r="K11" s="153"/>
      <c r="M11" s="389"/>
      <c r="N11" s="343"/>
      <c r="O11" s="345"/>
      <c r="P11" s="345"/>
      <c r="Q11" s="349"/>
      <c r="R11" s="340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43045</v>
      </c>
      <c r="D12" s="161" t="s">
        <v>9</v>
      </c>
      <c r="E12" s="161" t="s">
        <v>19</v>
      </c>
      <c r="F12" s="207">
        <v>325</v>
      </c>
      <c r="G12" s="207">
        <v>329</v>
      </c>
      <c r="H12" s="161">
        <v>4</v>
      </c>
      <c r="I12" s="207">
        <f t="shared" si="10"/>
        <v>923.07692307692309</v>
      </c>
      <c r="J12" s="242">
        <f t="shared" si="11"/>
        <v>3692.3076923076924</v>
      </c>
      <c r="K12" s="153"/>
      <c r="M12" s="389" t="s">
        <v>41</v>
      </c>
      <c r="N12" s="343">
        <f>COUNT(C153:C175)</f>
        <v>22</v>
      </c>
      <c r="O12" s="345">
        <f>V176</f>
        <v>17</v>
      </c>
      <c r="P12" s="345">
        <f>W176</f>
        <v>5</v>
      </c>
      <c r="Q12" s="347">
        <f t="shared" ref="Q12" si="12">N12-O12-P12</f>
        <v>0</v>
      </c>
      <c r="R12" s="340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43045</v>
      </c>
      <c r="D13" s="161" t="s">
        <v>417</v>
      </c>
      <c r="E13" s="161" t="s">
        <v>395</v>
      </c>
      <c r="F13" s="207">
        <v>2405</v>
      </c>
      <c r="G13" s="207">
        <v>2385</v>
      </c>
      <c r="H13" s="234">
        <v>20</v>
      </c>
      <c r="I13" s="207">
        <f t="shared" si="10"/>
        <v>124.74012474012474</v>
      </c>
      <c r="J13" s="242">
        <f t="shared" si="11"/>
        <v>2494.8024948024949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43046</v>
      </c>
      <c r="D14" s="161" t="s">
        <v>9</v>
      </c>
      <c r="E14" s="161" t="s">
        <v>78</v>
      </c>
      <c r="F14" s="207">
        <v>1222</v>
      </c>
      <c r="G14" s="207">
        <v>1212</v>
      </c>
      <c r="H14" s="161">
        <v>-10</v>
      </c>
      <c r="I14" s="207">
        <f t="shared" si="10"/>
        <v>245.49918166939443</v>
      </c>
      <c r="J14" s="242">
        <f t="shared" si="11"/>
        <v>-2454.9918166939442</v>
      </c>
      <c r="K14" s="153"/>
      <c r="M14" s="389" t="s">
        <v>1175</v>
      </c>
      <c r="N14" s="343">
        <f>COUNT(C184:C206)</f>
        <v>22</v>
      </c>
      <c r="O14" s="345">
        <f>V207</f>
        <v>13</v>
      </c>
      <c r="P14" s="345">
        <f>W207</f>
        <v>9</v>
      </c>
      <c r="Q14" s="347">
        <f t="shared" ref="Q14" si="13">N14-O14-P14</f>
        <v>0</v>
      </c>
      <c r="R14" s="340">
        <f t="shared" si="9"/>
        <v>0.59090909090909094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43046</v>
      </c>
      <c r="D15" s="161" t="s">
        <v>417</v>
      </c>
      <c r="E15" s="161" t="s">
        <v>31</v>
      </c>
      <c r="F15" s="207">
        <v>913</v>
      </c>
      <c r="G15" s="207">
        <v>904</v>
      </c>
      <c r="H15" s="161">
        <v>9</v>
      </c>
      <c r="I15" s="207">
        <f t="shared" si="10"/>
        <v>328.58707557502737</v>
      </c>
      <c r="J15" s="242">
        <f t="shared" si="11"/>
        <v>2957.2836801752464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43047</v>
      </c>
      <c r="D16" s="161" t="s">
        <v>9</v>
      </c>
      <c r="E16" s="161" t="s">
        <v>334</v>
      </c>
      <c r="F16" s="207">
        <v>453</v>
      </c>
      <c r="G16" s="207">
        <v>463</v>
      </c>
      <c r="H16" s="161">
        <v>10</v>
      </c>
      <c r="I16" s="207">
        <f t="shared" si="10"/>
        <v>662.25165562913912</v>
      </c>
      <c r="J16" s="242">
        <f t="shared" si="11"/>
        <v>6622.5165562913917</v>
      </c>
      <c r="K16" s="153"/>
      <c r="L16" s="25" t="s">
        <v>2008</v>
      </c>
      <c r="M16" s="389" t="s">
        <v>1090</v>
      </c>
      <c r="N16" s="343">
        <f>COUNT(C215:C237)</f>
        <v>22</v>
      </c>
      <c r="O16" s="345">
        <f>V238</f>
        <v>10</v>
      </c>
      <c r="P16" s="345">
        <f>W238</f>
        <v>11</v>
      </c>
      <c r="Q16" s="347">
        <f t="shared" ref="Q16" si="14">N16-O16-P16</f>
        <v>1</v>
      </c>
      <c r="R16" s="340">
        <f t="shared" si="9"/>
        <v>0.45454545454545453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43047</v>
      </c>
      <c r="D17" s="161" t="s">
        <v>417</v>
      </c>
      <c r="E17" s="161" t="s">
        <v>139</v>
      </c>
      <c r="F17" s="207">
        <v>307</v>
      </c>
      <c r="G17" s="207">
        <v>302</v>
      </c>
      <c r="H17" s="161">
        <v>4</v>
      </c>
      <c r="I17" s="207">
        <f t="shared" si="10"/>
        <v>977.19869706840393</v>
      </c>
      <c r="J17" s="242">
        <f t="shared" si="11"/>
        <v>3908.7947882736157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43048</v>
      </c>
      <c r="D18" s="161" t="s">
        <v>9</v>
      </c>
      <c r="E18" s="161" t="s">
        <v>31</v>
      </c>
      <c r="F18" s="207">
        <v>904</v>
      </c>
      <c r="G18" s="222">
        <v>909.5</v>
      </c>
      <c r="H18" s="222">
        <v>5.5</v>
      </c>
      <c r="I18" s="207">
        <f t="shared" si="10"/>
        <v>331.85840707964604</v>
      </c>
      <c r="J18" s="242">
        <f t="shared" si="11"/>
        <v>1825.2212389380531</v>
      </c>
      <c r="K18" s="153"/>
      <c r="M18" s="334" t="s">
        <v>946</v>
      </c>
      <c r="N18" s="336">
        <f>SUM(N4:N17)</f>
        <v>176</v>
      </c>
      <c r="O18" s="336">
        <f t="shared" ref="O18:Q18" si="15">SUM(O4:O17)</f>
        <v>124</v>
      </c>
      <c r="P18" s="336">
        <f t="shared" si="15"/>
        <v>51</v>
      </c>
      <c r="Q18" s="338">
        <f t="shared" si="15"/>
        <v>1</v>
      </c>
      <c r="R18" s="314">
        <f t="shared" ref="R18" si="16">O18/N18</f>
        <v>0.70454545454545459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43048</v>
      </c>
      <c r="D19" s="161" t="s">
        <v>417</v>
      </c>
      <c r="E19" s="161" t="s">
        <v>834</v>
      </c>
      <c r="F19" s="207">
        <v>322</v>
      </c>
      <c r="G19" s="222">
        <v>320</v>
      </c>
      <c r="H19" s="161">
        <v>2</v>
      </c>
      <c r="I19" s="207">
        <f t="shared" si="10"/>
        <v>931.67701863354034</v>
      </c>
      <c r="J19" s="242">
        <f t="shared" si="11"/>
        <v>1863.3540372670807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43049</v>
      </c>
      <c r="D20" s="161" t="s">
        <v>9</v>
      </c>
      <c r="E20" s="161" t="s">
        <v>834</v>
      </c>
      <c r="F20" s="207">
        <v>321</v>
      </c>
      <c r="G20" s="207">
        <v>327</v>
      </c>
      <c r="H20" s="161">
        <v>6</v>
      </c>
      <c r="I20" s="207">
        <f t="shared" si="10"/>
        <v>934.57943925233644</v>
      </c>
      <c r="J20" s="242">
        <f t="shared" si="11"/>
        <v>5607.4766355140182</v>
      </c>
      <c r="K20" s="153"/>
      <c r="M20" s="316" t="s">
        <v>2253</v>
      </c>
      <c r="N20" s="317"/>
      <c r="O20" s="318"/>
      <c r="P20" s="325">
        <f>R18</f>
        <v>0.70454545454545459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43049</v>
      </c>
      <c r="D21" s="161" t="s">
        <v>417</v>
      </c>
      <c r="E21" s="161" t="s">
        <v>95</v>
      </c>
      <c r="F21" s="207">
        <v>315</v>
      </c>
      <c r="G21" s="207">
        <v>323</v>
      </c>
      <c r="H21" s="161">
        <v>8</v>
      </c>
      <c r="I21" s="207">
        <f t="shared" si="10"/>
        <v>952.38095238095241</v>
      </c>
      <c r="J21" s="242">
        <f t="shared" si="11"/>
        <v>7619.0476190476193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43052</v>
      </c>
      <c r="D22" s="161" t="s">
        <v>9</v>
      </c>
      <c r="E22" s="161" t="s">
        <v>58</v>
      </c>
      <c r="F22" s="207">
        <v>554</v>
      </c>
      <c r="G22" s="207">
        <v>549</v>
      </c>
      <c r="H22" s="161">
        <v>-5</v>
      </c>
      <c r="I22" s="207">
        <f t="shared" si="10"/>
        <v>541.51624548736459</v>
      </c>
      <c r="J22" s="242">
        <f t="shared" si="11"/>
        <v>-2707.5812274368227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43052</v>
      </c>
      <c r="D23" s="161" t="s">
        <v>417</v>
      </c>
      <c r="E23" s="161" t="s">
        <v>31</v>
      </c>
      <c r="F23" s="207">
        <v>880</v>
      </c>
      <c r="G23" s="222">
        <v>873.5</v>
      </c>
      <c r="H23" s="222">
        <v>6.5</v>
      </c>
      <c r="I23" s="207">
        <f t="shared" si="10"/>
        <v>340.90909090909093</v>
      </c>
      <c r="J23" s="242">
        <f t="shared" si="11"/>
        <v>2215.909090909091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43053</v>
      </c>
      <c r="D24" s="161" t="s">
        <v>9</v>
      </c>
      <c r="E24" s="161" t="s">
        <v>834</v>
      </c>
      <c r="F24" s="207">
        <v>314</v>
      </c>
      <c r="G24" s="207">
        <v>318</v>
      </c>
      <c r="H24" s="161">
        <v>4</v>
      </c>
      <c r="I24" s="207">
        <f t="shared" si="10"/>
        <v>955.41401273885356</v>
      </c>
      <c r="J24" s="242">
        <f t="shared" si="11"/>
        <v>3821.6560509554142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43053</v>
      </c>
      <c r="D25" s="161" t="s">
        <v>417</v>
      </c>
      <c r="E25" s="161" t="s">
        <v>395</v>
      </c>
      <c r="F25" s="207">
        <v>2330</v>
      </c>
      <c r="G25" s="207">
        <v>2327</v>
      </c>
      <c r="H25" s="161">
        <v>3</v>
      </c>
      <c r="I25" s="207">
        <f t="shared" si="10"/>
        <v>128.75536480686696</v>
      </c>
      <c r="J25" s="242">
        <f t="shared" si="11"/>
        <v>386.26609442060089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43054</v>
      </c>
      <c r="D26" s="161" t="s">
        <v>9</v>
      </c>
      <c r="E26" s="161" t="s">
        <v>834</v>
      </c>
      <c r="F26" s="207">
        <v>302</v>
      </c>
      <c r="G26" s="222">
        <v>298</v>
      </c>
      <c r="H26" s="161">
        <v>-4</v>
      </c>
      <c r="I26" s="207">
        <f t="shared" si="10"/>
        <v>993.37748344370857</v>
      </c>
      <c r="J26" s="242">
        <f t="shared" si="11"/>
        <v>-3973.5099337748343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43054</v>
      </c>
      <c r="D27" s="161" t="s">
        <v>417</v>
      </c>
      <c r="E27" s="161" t="s">
        <v>395</v>
      </c>
      <c r="F27" s="207">
        <v>2320</v>
      </c>
      <c r="G27" s="207">
        <v>2300</v>
      </c>
      <c r="H27" s="161">
        <v>20</v>
      </c>
      <c r="I27" s="207">
        <f t="shared" si="10"/>
        <v>129.31034482758622</v>
      </c>
      <c r="J27" s="242">
        <f t="shared" si="11"/>
        <v>2586.2068965517246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43055</v>
      </c>
      <c r="D28" s="161" t="s">
        <v>9</v>
      </c>
      <c r="E28" s="161" t="s">
        <v>796</v>
      </c>
      <c r="F28" s="207">
        <v>1015</v>
      </c>
      <c r="G28" s="222">
        <v>1025</v>
      </c>
      <c r="H28" s="161">
        <v>10</v>
      </c>
      <c r="I28" s="207">
        <f t="shared" si="10"/>
        <v>295.56650246305418</v>
      </c>
      <c r="J28" s="242">
        <f t="shared" si="11"/>
        <v>2955.6650246305417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43055</v>
      </c>
      <c r="D29" s="161" t="s">
        <v>417</v>
      </c>
      <c r="E29" s="161" t="s">
        <v>395</v>
      </c>
      <c r="F29" s="207">
        <v>2325</v>
      </c>
      <c r="G29" s="222">
        <v>2315</v>
      </c>
      <c r="H29" s="161">
        <v>10</v>
      </c>
      <c r="I29" s="207">
        <f t="shared" si="10"/>
        <v>129.03225806451613</v>
      </c>
      <c r="J29" s="242">
        <f t="shared" si="11"/>
        <v>1290.3225806451612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43056</v>
      </c>
      <c r="D30" s="161" t="s">
        <v>9</v>
      </c>
      <c r="E30" s="161" t="s">
        <v>796</v>
      </c>
      <c r="F30" s="207">
        <v>1035</v>
      </c>
      <c r="G30" s="207">
        <v>1055</v>
      </c>
      <c r="H30" s="161">
        <v>20</v>
      </c>
      <c r="I30" s="207">
        <f t="shared" si="10"/>
        <v>289.85507246376812</v>
      </c>
      <c r="J30" s="242">
        <f t="shared" si="11"/>
        <v>5797.101449275362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43056</v>
      </c>
      <c r="D31" s="161" t="s">
        <v>417</v>
      </c>
      <c r="E31" s="161" t="s">
        <v>395</v>
      </c>
      <c r="F31" s="207">
        <v>2320</v>
      </c>
      <c r="G31" s="207">
        <v>2324</v>
      </c>
      <c r="H31" s="161">
        <v>-4</v>
      </c>
      <c r="I31" s="207">
        <f t="shared" si="10"/>
        <v>129.31034482758622</v>
      </c>
      <c r="J31" s="242">
        <f t="shared" si="11"/>
        <v>-517.24137931034488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43059</v>
      </c>
      <c r="D32" s="161" t="s">
        <v>9</v>
      </c>
      <c r="E32" s="161" t="s">
        <v>796</v>
      </c>
      <c r="F32" s="207">
        <v>1045</v>
      </c>
      <c r="G32" s="222">
        <v>1063</v>
      </c>
      <c r="H32" s="161">
        <v>18</v>
      </c>
      <c r="I32" s="207">
        <f t="shared" si="10"/>
        <v>287.08133971291863</v>
      </c>
      <c r="J32" s="242">
        <f t="shared" si="11"/>
        <v>5167.4641148325354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43059</v>
      </c>
      <c r="D33" s="161" t="s">
        <v>417</v>
      </c>
      <c r="E33" s="161" t="s">
        <v>395</v>
      </c>
      <c r="F33" s="207">
        <v>2325</v>
      </c>
      <c r="G33" s="222">
        <v>2285</v>
      </c>
      <c r="H33" s="161">
        <v>40</v>
      </c>
      <c r="I33" s="207">
        <f t="shared" si="10"/>
        <v>129.03225806451613</v>
      </c>
      <c r="J33" s="242">
        <f t="shared" si="11"/>
        <v>5161.2903225806449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43060</v>
      </c>
      <c r="D34" s="161" t="s">
        <v>9</v>
      </c>
      <c r="E34" s="161" t="s">
        <v>796</v>
      </c>
      <c r="F34" s="207">
        <v>1080</v>
      </c>
      <c r="G34" s="207">
        <v>1100</v>
      </c>
      <c r="H34" s="161">
        <v>20</v>
      </c>
      <c r="I34" s="207">
        <f t="shared" si="10"/>
        <v>277.77777777777777</v>
      </c>
      <c r="J34" s="242">
        <f t="shared" si="11"/>
        <v>5555.5555555555557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43060</v>
      </c>
      <c r="D35" s="161" t="s">
        <v>417</v>
      </c>
      <c r="E35" s="161" t="s">
        <v>2391</v>
      </c>
      <c r="F35" s="207">
        <v>973</v>
      </c>
      <c r="G35" s="207">
        <v>968</v>
      </c>
      <c r="H35" s="161">
        <v>5</v>
      </c>
      <c r="I35" s="207">
        <f t="shared" si="10"/>
        <v>308.32476875642345</v>
      </c>
      <c r="J35" s="242">
        <f t="shared" si="11"/>
        <v>1541.6238437821173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43061</v>
      </c>
      <c r="D36" s="161" t="s">
        <v>9</v>
      </c>
      <c r="E36" s="161" t="s">
        <v>796</v>
      </c>
      <c r="F36" s="207">
        <v>1125</v>
      </c>
      <c r="G36" s="207">
        <v>1145</v>
      </c>
      <c r="H36" s="161">
        <v>20</v>
      </c>
      <c r="I36" s="207">
        <f t="shared" si="10"/>
        <v>266.66666666666669</v>
      </c>
      <c r="J36" s="242">
        <f t="shared" si="11"/>
        <v>5333.3333333333339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43061</v>
      </c>
      <c r="D37" s="161" t="s">
        <v>417</v>
      </c>
      <c r="E37" s="161" t="s">
        <v>395</v>
      </c>
      <c r="F37" s="207">
        <v>2355</v>
      </c>
      <c r="G37" s="207">
        <v>2358</v>
      </c>
      <c r="H37" s="161">
        <v>-3</v>
      </c>
      <c r="I37" s="207">
        <f t="shared" si="10"/>
        <v>127.38853503184713</v>
      </c>
      <c r="J37" s="242">
        <f t="shared" si="11"/>
        <v>-382.16560509554137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43062</v>
      </c>
      <c r="D38" s="161" t="s">
        <v>9</v>
      </c>
      <c r="E38" s="161" t="s">
        <v>796</v>
      </c>
      <c r="F38" s="207">
        <v>1130</v>
      </c>
      <c r="G38" s="207">
        <v>1146</v>
      </c>
      <c r="H38" s="161">
        <v>16</v>
      </c>
      <c r="I38" s="207">
        <f t="shared" si="10"/>
        <v>265.48672566371681</v>
      </c>
      <c r="J38" s="242">
        <f t="shared" si="11"/>
        <v>4247.787610619469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43062</v>
      </c>
      <c r="D39" s="161" t="s">
        <v>417</v>
      </c>
      <c r="E39" s="161" t="s">
        <v>334</v>
      </c>
      <c r="F39" s="207">
        <v>530</v>
      </c>
      <c r="G39" s="207">
        <v>525</v>
      </c>
      <c r="H39" s="161">
        <v>5</v>
      </c>
      <c r="I39" s="207">
        <f t="shared" si="10"/>
        <v>566.03773584905662</v>
      </c>
      <c r="J39" s="242">
        <f t="shared" si="11"/>
        <v>2830.1886792452833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43063</v>
      </c>
      <c r="D40" s="161" t="s">
        <v>9</v>
      </c>
      <c r="E40" s="161" t="s">
        <v>834</v>
      </c>
      <c r="F40" s="207">
        <v>306</v>
      </c>
      <c r="G40" s="222">
        <v>309</v>
      </c>
      <c r="H40" s="161">
        <v>3</v>
      </c>
      <c r="I40" s="207">
        <f t="shared" si="10"/>
        <v>980.39215686274508</v>
      </c>
      <c r="J40" s="242">
        <f t="shared" si="11"/>
        <v>2941.1764705882351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43063</v>
      </c>
      <c r="D41" s="161" t="s">
        <v>9</v>
      </c>
      <c r="E41" s="161" t="s">
        <v>31</v>
      </c>
      <c r="F41" s="207">
        <v>954</v>
      </c>
      <c r="G41" s="223">
        <v>951.5</v>
      </c>
      <c r="H41" s="222">
        <v>2.5</v>
      </c>
      <c r="I41" s="207">
        <f t="shared" si="10"/>
        <v>314.46540880503147</v>
      </c>
      <c r="J41" s="242">
        <f t="shared" si="11"/>
        <v>786.16352201257871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43066</v>
      </c>
      <c r="D42" s="161" t="s">
        <v>9</v>
      </c>
      <c r="E42" s="161" t="s">
        <v>796</v>
      </c>
      <c r="F42" s="207">
        <v>1125</v>
      </c>
      <c r="G42" s="207">
        <v>1135</v>
      </c>
      <c r="H42" s="161">
        <v>10</v>
      </c>
      <c r="I42" s="207">
        <f t="shared" si="10"/>
        <v>266.66666666666669</v>
      </c>
      <c r="J42" s="242">
        <f t="shared" si="11"/>
        <v>2666.666666666667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43066</v>
      </c>
      <c r="D43" s="161" t="s">
        <v>417</v>
      </c>
      <c r="E43" s="161" t="s">
        <v>395</v>
      </c>
      <c r="F43" s="207">
        <v>2300</v>
      </c>
      <c r="G43" s="207">
        <v>2281</v>
      </c>
      <c r="H43" s="161">
        <v>19</v>
      </c>
      <c r="I43" s="207">
        <f t="shared" si="10"/>
        <v>130.43478260869566</v>
      </c>
      <c r="J43" s="242">
        <f t="shared" si="11"/>
        <v>2478.2608695652175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43067</v>
      </c>
      <c r="D44" s="161" t="s">
        <v>9</v>
      </c>
      <c r="E44" s="161" t="s">
        <v>796</v>
      </c>
      <c r="F44" s="207">
        <v>1140</v>
      </c>
      <c r="G44" s="207">
        <v>1160</v>
      </c>
      <c r="H44" s="161">
        <v>20</v>
      </c>
      <c r="I44" s="207">
        <f t="shared" si="10"/>
        <v>263.15789473684208</v>
      </c>
      <c r="J44" s="242">
        <f t="shared" si="11"/>
        <v>5263.1578947368416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43067</v>
      </c>
      <c r="D45" s="161" t="s">
        <v>417</v>
      </c>
      <c r="E45" s="161" t="s">
        <v>796</v>
      </c>
      <c r="F45" s="207">
        <v>1147</v>
      </c>
      <c r="G45" s="207">
        <v>1167</v>
      </c>
      <c r="H45" s="161">
        <v>20</v>
      </c>
      <c r="I45" s="207">
        <f t="shared" si="10"/>
        <v>261.55187445510029</v>
      </c>
      <c r="J45" s="242">
        <f t="shared" si="11"/>
        <v>5231.0374891020056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43068</v>
      </c>
      <c r="D46" s="161" t="s">
        <v>9</v>
      </c>
      <c r="E46" s="161" t="s">
        <v>395</v>
      </c>
      <c r="F46" s="207">
        <v>2310</v>
      </c>
      <c r="G46" s="207">
        <v>2319</v>
      </c>
      <c r="H46" s="161">
        <v>9</v>
      </c>
      <c r="I46" s="207">
        <f t="shared" si="10"/>
        <v>129.87012987012986</v>
      </c>
      <c r="J46" s="242">
        <f t="shared" si="11"/>
        <v>1168.8311688311687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43068</v>
      </c>
      <c r="D47" s="161" t="s">
        <v>9</v>
      </c>
      <c r="E47" s="161" t="s">
        <v>796</v>
      </c>
      <c r="F47" s="207">
        <v>1103</v>
      </c>
      <c r="G47" s="207">
        <v>1108</v>
      </c>
      <c r="H47" s="161">
        <v>5</v>
      </c>
      <c r="I47" s="207">
        <f t="shared" si="10"/>
        <v>271.98549410698098</v>
      </c>
      <c r="J47" s="242">
        <f t="shared" si="11"/>
        <v>1359.9274705349048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43069</v>
      </c>
      <c r="D48" s="161" t="s">
        <v>9</v>
      </c>
      <c r="E48" s="161" t="s">
        <v>796</v>
      </c>
      <c r="F48" s="207">
        <v>1088</v>
      </c>
      <c r="G48" s="207">
        <v>1108</v>
      </c>
      <c r="H48" s="161">
        <v>20</v>
      </c>
      <c r="I48" s="207">
        <f t="shared" si="10"/>
        <v>275.73529411764707</v>
      </c>
      <c r="J48" s="242">
        <f t="shared" si="11"/>
        <v>5514.7058823529414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43069</v>
      </c>
      <c r="D49" s="161" t="s">
        <v>9</v>
      </c>
      <c r="E49" s="161" t="s">
        <v>796</v>
      </c>
      <c r="F49" s="207">
        <v>1088</v>
      </c>
      <c r="G49" s="207">
        <v>1108</v>
      </c>
      <c r="H49" s="161">
        <v>20</v>
      </c>
      <c r="I49" s="207">
        <f t="shared" si="10"/>
        <v>275.73529411764707</v>
      </c>
      <c r="J49" s="242">
        <f t="shared" si="11"/>
        <v>5514.7058823529414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117508.74821291603</v>
      </c>
      <c r="K52" s="153"/>
      <c r="V52" s="25">
        <f>SUM(V6:V51)</f>
        <v>37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2366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43040</v>
      </c>
      <c r="D60" s="158" t="s">
        <v>8</v>
      </c>
      <c r="E60" s="158" t="s">
        <v>496</v>
      </c>
      <c r="F60" s="204">
        <v>597</v>
      </c>
      <c r="G60" s="230">
        <v>603</v>
      </c>
      <c r="H60" s="158">
        <v>-6</v>
      </c>
      <c r="I60" s="204">
        <v>1100</v>
      </c>
      <c r="J60" s="241">
        <f t="shared" ref="J60:J82" si="17">I60*H60</f>
        <v>-6600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43041</v>
      </c>
      <c r="D61" s="161" t="s">
        <v>9</v>
      </c>
      <c r="E61" s="161" t="s">
        <v>192</v>
      </c>
      <c r="F61" s="207">
        <v>415</v>
      </c>
      <c r="G61" s="222">
        <v>411</v>
      </c>
      <c r="H61" s="161">
        <v>-4</v>
      </c>
      <c r="I61" s="207">
        <v>3084</v>
      </c>
      <c r="J61" s="242">
        <f t="shared" si="17"/>
        <v>-12336</v>
      </c>
      <c r="K61" s="153"/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43042</v>
      </c>
      <c r="D62" s="161" t="s">
        <v>9</v>
      </c>
      <c r="E62" s="161" t="s">
        <v>95</v>
      </c>
      <c r="F62" s="207">
        <v>315</v>
      </c>
      <c r="G62" s="222">
        <v>316.5</v>
      </c>
      <c r="H62" s="222">
        <v>1.5</v>
      </c>
      <c r="I62" s="207">
        <v>2750</v>
      </c>
      <c r="J62" s="242">
        <f t="shared" si="17"/>
        <v>4125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43045</v>
      </c>
      <c r="D63" s="161" t="s">
        <v>9</v>
      </c>
      <c r="E63" s="161" t="s">
        <v>95</v>
      </c>
      <c r="F63" s="222">
        <v>312</v>
      </c>
      <c r="G63" s="222">
        <v>318.5</v>
      </c>
      <c r="H63" s="222">
        <v>6.5</v>
      </c>
      <c r="I63" s="207">
        <v>2750</v>
      </c>
      <c r="J63" s="242">
        <f t="shared" si="17"/>
        <v>17875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43046</v>
      </c>
      <c r="D64" s="161" t="s">
        <v>8</v>
      </c>
      <c r="E64" s="161" t="s">
        <v>19</v>
      </c>
      <c r="F64" s="207">
        <v>325</v>
      </c>
      <c r="G64" s="222">
        <v>317</v>
      </c>
      <c r="H64" s="161">
        <v>8</v>
      </c>
      <c r="I64" s="207">
        <v>3000</v>
      </c>
      <c r="J64" s="242">
        <f t="shared" si="17"/>
        <v>24000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43047</v>
      </c>
      <c r="D65" s="161" t="s">
        <v>8</v>
      </c>
      <c r="E65" s="161" t="s">
        <v>31</v>
      </c>
      <c r="F65" s="207">
        <v>902</v>
      </c>
      <c r="G65" s="222">
        <v>892</v>
      </c>
      <c r="H65" s="161">
        <v>10</v>
      </c>
      <c r="I65" s="207">
        <v>1000</v>
      </c>
      <c r="J65" s="242">
        <f t="shared" si="17"/>
        <v>10000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43048</v>
      </c>
      <c r="D66" s="161" t="s">
        <v>9</v>
      </c>
      <c r="E66" s="161" t="s">
        <v>95</v>
      </c>
      <c r="F66" s="207">
        <v>309</v>
      </c>
      <c r="G66" s="207">
        <v>315</v>
      </c>
      <c r="H66" s="161">
        <v>6</v>
      </c>
      <c r="I66" s="207">
        <v>2750</v>
      </c>
      <c r="J66" s="242">
        <f t="shared" si="17"/>
        <v>16500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43049</v>
      </c>
      <c r="D67" s="161" t="s">
        <v>9</v>
      </c>
      <c r="E67" s="161" t="s">
        <v>139</v>
      </c>
      <c r="F67" s="207">
        <v>309</v>
      </c>
      <c r="G67" s="222">
        <v>311</v>
      </c>
      <c r="H67" s="161">
        <v>2</v>
      </c>
      <c r="I67" s="207">
        <v>1750</v>
      </c>
      <c r="J67" s="242">
        <f t="shared" si="17"/>
        <v>3500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43052</v>
      </c>
      <c r="D68" s="161" t="s">
        <v>9</v>
      </c>
      <c r="E68" s="161" t="s">
        <v>371</v>
      </c>
      <c r="F68" s="207">
        <v>426</v>
      </c>
      <c r="G68" s="207">
        <v>436</v>
      </c>
      <c r="H68" s="161">
        <v>10</v>
      </c>
      <c r="I68" s="207">
        <v>1250</v>
      </c>
      <c r="J68" s="242">
        <f t="shared" si="17"/>
        <v>12500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43053</v>
      </c>
      <c r="D69" s="161" t="s">
        <v>8</v>
      </c>
      <c r="E69" s="161" t="s">
        <v>95</v>
      </c>
      <c r="F69" s="207">
        <v>312</v>
      </c>
      <c r="G69" s="207">
        <v>316</v>
      </c>
      <c r="H69" s="161">
        <v>-4</v>
      </c>
      <c r="I69" s="207">
        <v>2750</v>
      </c>
      <c r="J69" s="242">
        <f t="shared" si="17"/>
        <v>-11000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43054</v>
      </c>
      <c r="D70" s="161" t="s">
        <v>8</v>
      </c>
      <c r="E70" s="161" t="s">
        <v>29</v>
      </c>
      <c r="F70" s="207">
        <v>853</v>
      </c>
      <c r="G70" s="222">
        <v>849</v>
      </c>
      <c r="H70" s="161">
        <v>4</v>
      </c>
      <c r="I70" s="207">
        <v>700</v>
      </c>
      <c r="J70" s="242">
        <f t="shared" si="17"/>
        <v>2800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43055</v>
      </c>
      <c r="D71" s="161" t="s">
        <v>8</v>
      </c>
      <c r="E71" s="161" t="s">
        <v>19</v>
      </c>
      <c r="F71" s="207">
        <v>327</v>
      </c>
      <c r="G71" s="222">
        <v>325.5</v>
      </c>
      <c r="H71" s="222">
        <v>1.5</v>
      </c>
      <c r="I71" s="207">
        <v>3000</v>
      </c>
      <c r="J71" s="242">
        <f t="shared" si="17"/>
        <v>4500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43056</v>
      </c>
      <c r="D72" s="161" t="s">
        <v>8</v>
      </c>
      <c r="E72" s="161" t="s">
        <v>78</v>
      </c>
      <c r="F72" s="222">
        <v>1230</v>
      </c>
      <c r="G72" s="222">
        <v>1220</v>
      </c>
      <c r="H72" s="161">
        <v>10</v>
      </c>
      <c r="I72" s="207">
        <v>750</v>
      </c>
      <c r="J72" s="242">
        <f t="shared" si="17"/>
        <v>7500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43059</v>
      </c>
      <c r="D73" s="161" t="s">
        <v>8</v>
      </c>
      <c r="E73" s="161" t="s">
        <v>95</v>
      </c>
      <c r="F73" s="223">
        <v>322</v>
      </c>
      <c r="G73" s="222">
        <v>318.8</v>
      </c>
      <c r="H73" s="255">
        <v>3.2</v>
      </c>
      <c r="I73" s="207">
        <v>2750</v>
      </c>
      <c r="J73" s="242">
        <f t="shared" si="17"/>
        <v>8800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43060</v>
      </c>
      <c r="D74" s="161" t="s">
        <v>8</v>
      </c>
      <c r="E74" s="161" t="s">
        <v>95</v>
      </c>
      <c r="F74" s="207">
        <v>322</v>
      </c>
      <c r="G74" s="222">
        <v>320.3</v>
      </c>
      <c r="H74" s="255">
        <v>1.7</v>
      </c>
      <c r="I74" s="207">
        <v>2750</v>
      </c>
      <c r="J74" s="242">
        <f t="shared" si="17"/>
        <v>4675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43061</v>
      </c>
      <c r="D75" s="161" t="s">
        <v>8</v>
      </c>
      <c r="E75" s="161" t="s">
        <v>19</v>
      </c>
      <c r="F75" s="207">
        <v>330</v>
      </c>
      <c r="G75" s="222">
        <v>333</v>
      </c>
      <c r="H75" s="161">
        <v>-3</v>
      </c>
      <c r="I75" s="207">
        <v>3000</v>
      </c>
      <c r="J75" s="242">
        <f t="shared" si="17"/>
        <v>-9000</v>
      </c>
      <c r="K75" s="153"/>
      <c r="V75" s="25">
        <f t="shared" si="18"/>
        <v>0</v>
      </c>
      <c r="W75" s="25">
        <f t="shared" si="19"/>
        <v>1</v>
      </c>
    </row>
    <row r="76" spans="1:23" x14ac:dyDescent="0.3">
      <c r="A76" s="147"/>
      <c r="B76" s="205">
        <f t="shared" si="20"/>
        <v>17</v>
      </c>
      <c r="C76" s="206">
        <v>43062</v>
      </c>
      <c r="D76" s="161" t="s">
        <v>8</v>
      </c>
      <c r="E76" s="161" t="s">
        <v>95</v>
      </c>
      <c r="F76" s="207">
        <v>319</v>
      </c>
      <c r="G76" s="222">
        <v>315.8</v>
      </c>
      <c r="H76" s="222">
        <v>3.2</v>
      </c>
      <c r="I76" s="207">
        <v>2750</v>
      </c>
      <c r="J76" s="242">
        <f t="shared" si="17"/>
        <v>8800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43063</v>
      </c>
      <c r="D77" s="161" t="s">
        <v>9</v>
      </c>
      <c r="E77" s="161" t="s">
        <v>192</v>
      </c>
      <c r="F77" s="207">
        <v>397</v>
      </c>
      <c r="G77" s="222">
        <v>393</v>
      </c>
      <c r="H77" s="161">
        <v>-4</v>
      </c>
      <c r="I77" s="207">
        <v>3084</v>
      </c>
      <c r="J77" s="242">
        <f t="shared" si="17"/>
        <v>-12336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43066</v>
      </c>
      <c r="D78" s="161" t="s">
        <v>8</v>
      </c>
      <c r="E78" s="161" t="s">
        <v>95</v>
      </c>
      <c r="F78" s="207">
        <v>317</v>
      </c>
      <c r="G78" s="222">
        <v>315.10000000000002</v>
      </c>
      <c r="H78" s="222">
        <v>1.9</v>
      </c>
      <c r="I78" s="207">
        <v>2750</v>
      </c>
      <c r="J78" s="242">
        <f t="shared" si="17"/>
        <v>5225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43067</v>
      </c>
      <c r="D79" s="161" t="s">
        <v>8</v>
      </c>
      <c r="E79" s="161" t="s">
        <v>95</v>
      </c>
      <c r="F79" s="207">
        <v>315</v>
      </c>
      <c r="G79" s="222">
        <v>313.60000000000002</v>
      </c>
      <c r="H79" s="222">
        <v>1.4</v>
      </c>
      <c r="I79" s="207">
        <v>2750</v>
      </c>
      <c r="J79" s="242">
        <f t="shared" si="17"/>
        <v>3849.9999999999995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43068</v>
      </c>
      <c r="D80" s="161" t="s">
        <v>8</v>
      </c>
      <c r="E80" s="161" t="s">
        <v>192</v>
      </c>
      <c r="F80" s="207">
        <v>385</v>
      </c>
      <c r="G80" s="222">
        <v>377.5</v>
      </c>
      <c r="H80" s="222">
        <v>7.5</v>
      </c>
      <c r="I80" s="207">
        <v>3084</v>
      </c>
      <c r="J80" s="242">
        <f t="shared" si="17"/>
        <v>23130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43069</v>
      </c>
      <c r="D81" s="161" t="s">
        <v>9</v>
      </c>
      <c r="E81" s="161" t="s">
        <v>371</v>
      </c>
      <c r="F81" s="207">
        <v>447</v>
      </c>
      <c r="G81" s="222">
        <v>449.2</v>
      </c>
      <c r="H81" s="222">
        <v>2.2000000000000002</v>
      </c>
      <c r="I81" s="207">
        <v>1250</v>
      </c>
      <c r="J81" s="242">
        <f t="shared" si="17"/>
        <v>2750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109258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2366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43040</v>
      </c>
      <c r="D91" s="185" t="s">
        <v>9</v>
      </c>
      <c r="E91" s="185" t="s">
        <v>39</v>
      </c>
      <c r="F91" s="219">
        <v>10450</v>
      </c>
      <c r="G91" s="219">
        <v>10480</v>
      </c>
      <c r="H91" s="185">
        <v>30</v>
      </c>
      <c r="I91" s="219">
        <v>150</v>
      </c>
      <c r="J91" s="246">
        <f t="shared" ref="J91:J113" si="21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43041</v>
      </c>
      <c r="D92" s="161" t="s">
        <v>9</v>
      </c>
      <c r="E92" s="161" t="s">
        <v>39</v>
      </c>
      <c r="F92" s="207">
        <v>10460</v>
      </c>
      <c r="G92" s="207">
        <v>10455</v>
      </c>
      <c r="H92" s="161">
        <v>-5</v>
      </c>
      <c r="I92" s="207">
        <v>150</v>
      </c>
      <c r="J92" s="242">
        <f t="shared" si="21"/>
        <v>-750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43042</v>
      </c>
      <c r="D93" s="161" t="s">
        <v>9</v>
      </c>
      <c r="E93" s="161" t="s">
        <v>39</v>
      </c>
      <c r="F93" s="207">
        <v>10450</v>
      </c>
      <c r="G93" s="207">
        <v>10490</v>
      </c>
      <c r="H93" s="161">
        <v>40</v>
      </c>
      <c r="I93" s="207">
        <v>150</v>
      </c>
      <c r="J93" s="242">
        <f t="shared" si="21"/>
        <v>6000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43045</v>
      </c>
      <c r="D94" s="161" t="s">
        <v>9</v>
      </c>
      <c r="E94" s="161" t="s">
        <v>39</v>
      </c>
      <c r="F94" s="207">
        <v>10450</v>
      </c>
      <c r="G94" s="207">
        <v>10510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43046</v>
      </c>
      <c r="D95" s="161" t="s">
        <v>8</v>
      </c>
      <c r="E95" s="161" t="s">
        <v>39</v>
      </c>
      <c r="F95" s="207">
        <v>10450</v>
      </c>
      <c r="G95" s="207">
        <v>10390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43047</v>
      </c>
      <c r="D96" s="161" t="s">
        <v>8</v>
      </c>
      <c r="E96" s="161" t="s">
        <v>39</v>
      </c>
      <c r="F96" s="207">
        <v>10400</v>
      </c>
      <c r="G96" s="207">
        <v>10340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43048</v>
      </c>
      <c r="D97" s="161" t="s">
        <v>9</v>
      </c>
      <c r="E97" s="161" t="s">
        <v>39</v>
      </c>
      <c r="F97" s="207">
        <v>10370</v>
      </c>
      <c r="G97" s="207">
        <v>10340</v>
      </c>
      <c r="H97" s="161">
        <v>-30</v>
      </c>
      <c r="I97" s="207">
        <v>150</v>
      </c>
      <c r="J97" s="242">
        <f t="shared" si="21"/>
        <v>-4500</v>
      </c>
      <c r="K97" s="153"/>
      <c r="V97" s="25">
        <f t="shared" si="22"/>
        <v>0</v>
      </c>
      <c r="W97" s="25">
        <f t="shared" si="23"/>
        <v>1</v>
      </c>
    </row>
    <row r="98" spans="1:23" x14ac:dyDescent="0.3">
      <c r="A98" s="147"/>
      <c r="B98" s="205">
        <f t="shared" si="24"/>
        <v>8</v>
      </c>
      <c r="C98" s="206">
        <v>43049</v>
      </c>
      <c r="D98" s="161" t="s">
        <v>9</v>
      </c>
      <c r="E98" s="161" t="s">
        <v>39</v>
      </c>
      <c r="F98" s="207">
        <v>10330</v>
      </c>
      <c r="G98" s="207">
        <v>10370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43052</v>
      </c>
      <c r="D99" s="161" t="s">
        <v>8</v>
      </c>
      <c r="E99" s="161" t="s">
        <v>39</v>
      </c>
      <c r="F99" s="207">
        <v>10300</v>
      </c>
      <c r="G99" s="207">
        <v>10260</v>
      </c>
      <c r="H99" s="161">
        <v>40</v>
      </c>
      <c r="I99" s="207">
        <v>150</v>
      </c>
      <c r="J99" s="242">
        <f t="shared" si="21"/>
        <v>6000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43053</v>
      </c>
      <c r="D100" s="161" t="s">
        <v>8</v>
      </c>
      <c r="E100" s="161" t="s">
        <v>39</v>
      </c>
      <c r="F100" s="207">
        <v>10250</v>
      </c>
      <c r="G100" s="207">
        <v>10230</v>
      </c>
      <c r="H100" s="161">
        <v>20</v>
      </c>
      <c r="I100" s="207">
        <v>150</v>
      </c>
      <c r="J100" s="242">
        <f t="shared" si="21"/>
        <v>3000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43054</v>
      </c>
      <c r="D101" s="161" t="s">
        <v>8</v>
      </c>
      <c r="E101" s="161" t="s">
        <v>39</v>
      </c>
      <c r="F101" s="207">
        <v>10195</v>
      </c>
      <c r="G101" s="207">
        <v>10135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43055</v>
      </c>
      <c r="D102" s="161" t="s">
        <v>8</v>
      </c>
      <c r="E102" s="161" t="s">
        <v>39</v>
      </c>
      <c r="F102" s="207">
        <v>10190</v>
      </c>
      <c r="G102" s="207">
        <v>10220</v>
      </c>
      <c r="H102" s="161">
        <v>-30</v>
      </c>
      <c r="I102" s="207">
        <v>150</v>
      </c>
      <c r="J102" s="242">
        <f t="shared" si="21"/>
        <v>-4500</v>
      </c>
      <c r="K102" s="153"/>
      <c r="V102" s="25">
        <f t="shared" si="22"/>
        <v>0</v>
      </c>
      <c r="W102" s="25">
        <f t="shared" si="23"/>
        <v>1</v>
      </c>
    </row>
    <row r="103" spans="1:23" x14ac:dyDescent="0.3">
      <c r="A103" s="147"/>
      <c r="B103" s="205">
        <f t="shared" si="24"/>
        <v>13</v>
      </c>
      <c r="C103" s="206">
        <v>43056</v>
      </c>
      <c r="D103" s="161" t="s">
        <v>9</v>
      </c>
      <c r="E103" s="161" t="s">
        <v>39</v>
      </c>
      <c r="F103" s="207">
        <v>10350</v>
      </c>
      <c r="G103" s="207">
        <v>10365</v>
      </c>
      <c r="H103" s="161">
        <v>15</v>
      </c>
      <c r="I103" s="207">
        <v>150</v>
      </c>
      <c r="J103" s="242">
        <f t="shared" si="21"/>
        <v>2250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43059</v>
      </c>
      <c r="D104" s="161" t="s">
        <v>8</v>
      </c>
      <c r="E104" s="161" t="s">
        <v>39</v>
      </c>
      <c r="F104" s="207">
        <v>10300</v>
      </c>
      <c r="G104" s="207">
        <v>10360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43060</v>
      </c>
      <c r="D105" s="161" t="s">
        <v>8</v>
      </c>
      <c r="E105" s="161" t="s">
        <v>39</v>
      </c>
      <c r="F105" s="207">
        <v>10375</v>
      </c>
      <c r="G105" s="207">
        <v>10345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43061</v>
      </c>
      <c r="D106" s="161" t="s">
        <v>8</v>
      </c>
      <c r="E106" s="161" t="s">
        <v>39</v>
      </c>
      <c r="F106" s="207">
        <v>10340</v>
      </c>
      <c r="G106" s="207">
        <v>10370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43062</v>
      </c>
      <c r="D107" s="161" t="s">
        <v>8</v>
      </c>
      <c r="E107" s="161" t="s">
        <v>39</v>
      </c>
      <c r="F107" s="207">
        <v>10385</v>
      </c>
      <c r="G107" s="207">
        <v>10325</v>
      </c>
      <c r="H107" s="161">
        <v>60</v>
      </c>
      <c r="I107" s="207">
        <v>150</v>
      </c>
      <c r="J107" s="242">
        <f t="shared" si="21"/>
        <v>9000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43063</v>
      </c>
      <c r="D108" s="161" t="s">
        <v>8</v>
      </c>
      <c r="E108" s="161" t="s">
        <v>39</v>
      </c>
      <c r="F108" s="207">
        <v>10400</v>
      </c>
      <c r="G108" s="207">
        <v>10410</v>
      </c>
      <c r="H108" s="161">
        <v>-10</v>
      </c>
      <c r="I108" s="207">
        <v>150</v>
      </c>
      <c r="J108" s="242">
        <f t="shared" si="21"/>
        <v>-1500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43066</v>
      </c>
      <c r="D109" s="161" t="s">
        <v>8</v>
      </c>
      <c r="E109" s="161" t="s">
        <v>39</v>
      </c>
      <c r="F109" s="207">
        <v>10375</v>
      </c>
      <c r="G109" s="207">
        <v>10345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43067</v>
      </c>
      <c r="D110" s="161" t="s">
        <v>9</v>
      </c>
      <c r="E110" s="161" t="s">
        <v>39</v>
      </c>
      <c r="F110" s="207">
        <v>10405</v>
      </c>
      <c r="G110" s="207">
        <v>10425</v>
      </c>
      <c r="H110" s="161">
        <v>20</v>
      </c>
      <c r="I110" s="207">
        <v>150</v>
      </c>
      <c r="J110" s="242">
        <f t="shared" si="21"/>
        <v>3000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43068</v>
      </c>
      <c r="D111" s="161" t="s">
        <v>8</v>
      </c>
      <c r="E111" s="161" t="s">
        <v>39</v>
      </c>
      <c r="F111" s="207">
        <v>10390</v>
      </c>
      <c r="G111" s="207">
        <v>10350</v>
      </c>
      <c r="H111" s="161">
        <v>40</v>
      </c>
      <c r="I111" s="207">
        <v>150</v>
      </c>
      <c r="J111" s="242">
        <f t="shared" si="21"/>
        <v>6000</v>
      </c>
      <c r="K111" s="153"/>
      <c r="V111" s="25">
        <f t="shared" si="22"/>
        <v>1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>
        <v>43069</v>
      </c>
      <c r="D112" s="161" t="s">
        <v>8</v>
      </c>
      <c r="E112" s="161" t="s">
        <v>39</v>
      </c>
      <c r="F112" s="207">
        <v>10295</v>
      </c>
      <c r="G112" s="207">
        <v>10235</v>
      </c>
      <c r="H112" s="161">
        <v>60</v>
      </c>
      <c r="I112" s="207">
        <v>150</v>
      </c>
      <c r="J112" s="242">
        <f t="shared" si="21"/>
        <v>9000</v>
      </c>
      <c r="K112" s="153"/>
      <c r="V112" s="25">
        <f t="shared" si="22"/>
        <v>1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79500</v>
      </c>
      <c r="K114" s="153"/>
      <c r="V114" s="25">
        <f>SUM(V91:V113)</f>
        <v>16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2366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43040</v>
      </c>
      <c r="D122" s="185" t="s">
        <v>9</v>
      </c>
      <c r="E122" s="185" t="s">
        <v>2369</v>
      </c>
      <c r="F122" s="219">
        <v>155</v>
      </c>
      <c r="G122" s="219">
        <v>170</v>
      </c>
      <c r="H122" s="185">
        <v>15</v>
      </c>
      <c r="I122" s="219">
        <v>300</v>
      </c>
      <c r="J122" s="246">
        <f t="shared" ref="J122:J144" si="25">I122*H122</f>
        <v>4500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43041</v>
      </c>
      <c r="D123" s="161" t="s">
        <v>9</v>
      </c>
      <c r="E123" s="161" t="s">
        <v>2369</v>
      </c>
      <c r="F123" s="207">
        <v>155</v>
      </c>
      <c r="G123" s="207">
        <v>150</v>
      </c>
      <c r="H123" s="161">
        <v>-5</v>
      </c>
      <c r="I123" s="207">
        <v>300</v>
      </c>
      <c r="J123" s="242">
        <f t="shared" si="25"/>
        <v>-1500</v>
      </c>
      <c r="K123" s="153"/>
      <c r="V123" s="25">
        <f t="shared" ref="V123:V144" si="26">IF($J123&gt;0,1,0)</f>
        <v>0</v>
      </c>
      <c r="W123" s="25">
        <f t="shared" ref="W123:W144" si="27">IF($J123&lt;0,1,0)</f>
        <v>1</v>
      </c>
    </row>
    <row r="124" spans="1:23" x14ac:dyDescent="0.3">
      <c r="A124" s="147"/>
      <c r="B124" s="205">
        <f t="shared" ref="B124:B144" si="28">B123+1</f>
        <v>3</v>
      </c>
      <c r="C124" s="206">
        <v>43042</v>
      </c>
      <c r="D124" s="161" t="s">
        <v>9</v>
      </c>
      <c r="E124" s="161" t="s">
        <v>2369</v>
      </c>
      <c r="F124" s="207">
        <v>145</v>
      </c>
      <c r="G124" s="207">
        <v>165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43045</v>
      </c>
      <c r="D125" s="161" t="s">
        <v>9</v>
      </c>
      <c r="E125" s="161" t="s">
        <v>2369</v>
      </c>
      <c r="F125" s="207">
        <v>145</v>
      </c>
      <c r="G125" s="207">
        <v>180</v>
      </c>
      <c r="H125" s="161">
        <v>35</v>
      </c>
      <c r="I125" s="207">
        <v>300</v>
      </c>
      <c r="J125" s="242">
        <f t="shared" si="25"/>
        <v>10500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43046</v>
      </c>
      <c r="D126" s="161" t="s">
        <v>9</v>
      </c>
      <c r="E126" s="161" t="s">
        <v>2373</v>
      </c>
      <c r="F126" s="207">
        <v>135</v>
      </c>
      <c r="G126" s="207">
        <v>170</v>
      </c>
      <c r="H126" s="161">
        <v>35</v>
      </c>
      <c r="I126" s="207">
        <v>300</v>
      </c>
      <c r="J126" s="242">
        <f t="shared" si="25"/>
        <v>10500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43047</v>
      </c>
      <c r="D127" s="161" t="s">
        <v>9</v>
      </c>
      <c r="E127" s="161" t="s">
        <v>2376</v>
      </c>
      <c r="F127" s="207">
        <v>120</v>
      </c>
      <c r="G127" s="207">
        <v>142</v>
      </c>
      <c r="H127" s="161">
        <v>22</v>
      </c>
      <c r="I127" s="207">
        <v>300</v>
      </c>
      <c r="J127" s="242">
        <f t="shared" si="25"/>
        <v>6600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43048</v>
      </c>
      <c r="D128" s="161" t="s">
        <v>9</v>
      </c>
      <c r="E128" s="161" t="s">
        <v>2378</v>
      </c>
      <c r="F128" s="207">
        <v>150</v>
      </c>
      <c r="G128" s="207">
        <v>130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43049</v>
      </c>
      <c r="D129" s="161" t="s">
        <v>9</v>
      </c>
      <c r="E129" s="161" t="s">
        <v>2378</v>
      </c>
      <c r="F129" s="207">
        <v>125</v>
      </c>
      <c r="G129" s="207">
        <v>150</v>
      </c>
      <c r="H129" s="161">
        <v>25</v>
      </c>
      <c r="I129" s="207">
        <v>300</v>
      </c>
      <c r="J129" s="242">
        <f t="shared" si="25"/>
        <v>7500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43052</v>
      </c>
      <c r="D130" s="161" t="s">
        <v>9</v>
      </c>
      <c r="E130" s="161" t="s">
        <v>2348</v>
      </c>
      <c r="F130" s="207">
        <v>108</v>
      </c>
      <c r="G130" s="207">
        <v>123</v>
      </c>
      <c r="H130" s="161">
        <v>15</v>
      </c>
      <c r="I130" s="207">
        <v>300</v>
      </c>
      <c r="J130" s="242">
        <f t="shared" si="25"/>
        <v>4500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43053</v>
      </c>
      <c r="D131" s="161" t="s">
        <v>9</v>
      </c>
      <c r="E131" s="161" t="s">
        <v>2348</v>
      </c>
      <c r="F131" s="207">
        <v>125</v>
      </c>
      <c r="G131" s="207">
        <v>138</v>
      </c>
      <c r="H131" s="161">
        <v>13</v>
      </c>
      <c r="I131" s="207">
        <v>300</v>
      </c>
      <c r="J131" s="242">
        <f t="shared" si="25"/>
        <v>3900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43054</v>
      </c>
      <c r="D132" s="161" t="s">
        <v>9</v>
      </c>
      <c r="E132" s="161" t="s">
        <v>2346</v>
      </c>
      <c r="F132" s="207">
        <v>100</v>
      </c>
      <c r="G132" s="207">
        <v>135</v>
      </c>
      <c r="H132" s="161">
        <v>35</v>
      </c>
      <c r="I132" s="207">
        <v>300</v>
      </c>
      <c r="J132" s="242">
        <f t="shared" si="25"/>
        <v>10500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43055</v>
      </c>
      <c r="D133" s="161" t="s">
        <v>9</v>
      </c>
      <c r="E133" s="161" t="s">
        <v>2346</v>
      </c>
      <c r="F133" s="207">
        <v>95</v>
      </c>
      <c r="G133" s="207">
        <v>75</v>
      </c>
      <c r="H133" s="161">
        <v>-20</v>
      </c>
      <c r="I133" s="207">
        <v>300</v>
      </c>
      <c r="J133" s="242">
        <f t="shared" si="25"/>
        <v>-6000</v>
      </c>
      <c r="K133" s="153"/>
      <c r="V133" s="25">
        <f t="shared" si="26"/>
        <v>0</v>
      </c>
      <c r="W133" s="25">
        <f t="shared" si="27"/>
        <v>1</v>
      </c>
    </row>
    <row r="134" spans="1:23" x14ac:dyDescent="0.3">
      <c r="A134" s="147"/>
      <c r="B134" s="205">
        <f t="shared" si="28"/>
        <v>13</v>
      </c>
      <c r="C134" s="206">
        <v>43056</v>
      </c>
      <c r="D134" s="161" t="s">
        <v>9</v>
      </c>
      <c r="E134" s="161" t="s">
        <v>2378</v>
      </c>
      <c r="F134" s="207">
        <v>115</v>
      </c>
      <c r="G134" s="207">
        <v>95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43059</v>
      </c>
      <c r="D135" s="161" t="s">
        <v>9</v>
      </c>
      <c r="E135" s="161" t="s">
        <v>2376</v>
      </c>
      <c r="F135" s="207">
        <v>135</v>
      </c>
      <c r="G135" s="207">
        <v>115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43060</v>
      </c>
      <c r="D136" s="161" t="s">
        <v>9</v>
      </c>
      <c r="E136" s="161" t="s">
        <v>2376</v>
      </c>
      <c r="F136" s="207">
        <v>83</v>
      </c>
      <c r="G136" s="207">
        <v>105</v>
      </c>
      <c r="H136" s="161">
        <v>22</v>
      </c>
      <c r="I136" s="207">
        <v>300</v>
      </c>
      <c r="J136" s="242">
        <f t="shared" si="25"/>
        <v>6600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43061</v>
      </c>
      <c r="D137" s="161" t="s">
        <v>9</v>
      </c>
      <c r="E137" s="161" t="s">
        <v>2376</v>
      </c>
      <c r="F137" s="207">
        <v>95</v>
      </c>
      <c r="G137" s="207">
        <v>90</v>
      </c>
      <c r="H137" s="161">
        <v>-5</v>
      </c>
      <c r="I137" s="207">
        <v>300</v>
      </c>
      <c r="J137" s="242">
        <f t="shared" si="25"/>
        <v>-1500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43062</v>
      </c>
      <c r="D138" s="161" t="s">
        <v>9</v>
      </c>
      <c r="E138" s="161" t="s">
        <v>2376</v>
      </c>
      <c r="F138" s="207">
        <v>72</v>
      </c>
      <c r="G138" s="207">
        <v>107</v>
      </c>
      <c r="H138" s="161">
        <v>35</v>
      </c>
      <c r="I138" s="207">
        <v>300</v>
      </c>
      <c r="J138" s="242">
        <f t="shared" si="25"/>
        <v>10500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43063</v>
      </c>
      <c r="D139" s="161" t="s">
        <v>9</v>
      </c>
      <c r="E139" s="161" t="s">
        <v>2373</v>
      </c>
      <c r="F139" s="207">
        <v>115</v>
      </c>
      <c r="G139" s="207">
        <v>95</v>
      </c>
      <c r="H139" s="161">
        <v>-20</v>
      </c>
      <c r="I139" s="207">
        <v>300</v>
      </c>
      <c r="J139" s="242">
        <f t="shared" si="25"/>
        <v>-6000</v>
      </c>
      <c r="K139" s="153"/>
      <c r="V139" s="25">
        <f t="shared" si="26"/>
        <v>0</v>
      </c>
      <c r="W139" s="25">
        <f t="shared" si="27"/>
        <v>1</v>
      </c>
    </row>
    <row r="140" spans="1:23" x14ac:dyDescent="0.3">
      <c r="A140" s="147"/>
      <c r="B140" s="205">
        <f t="shared" si="28"/>
        <v>19</v>
      </c>
      <c r="C140" s="206">
        <v>43066</v>
      </c>
      <c r="D140" s="161" t="s">
        <v>9</v>
      </c>
      <c r="E140" s="161" t="s">
        <v>2373</v>
      </c>
      <c r="F140" s="207">
        <v>135</v>
      </c>
      <c r="G140" s="207">
        <v>145</v>
      </c>
      <c r="H140" s="161">
        <v>10</v>
      </c>
      <c r="I140" s="207">
        <v>300</v>
      </c>
      <c r="J140" s="242">
        <f t="shared" si="25"/>
        <v>3000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43067</v>
      </c>
      <c r="D141" s="161" t="s">
        <v>9</v>
      </c>
      <c r="E141" s="161" t="s">
        <v>2378</v>
      </c>
      <c r="F141" s="207">
        <v>120</v>
      </c>
      <c r="G141" s="207">
        <v>132</v>
      </c>
      <c r="H141" s="161">
        <v>12</v>
      </c>
      <c r="I141" s="207">
        <v>300</v>
      </c>
      <c r="J141" s="242">
        <f t="shared" si="25"/>
        <v>3600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43068</v>
      </c>
      <c r="D142" s="161" t="s">
        <v>9</v>
      </c>
      <c r="E142" s="161" t="s">
        <v>2373</v>
      </c>
      <c r="F142" s="207">
        <v>115</v>
      </c>
      <c r="G142" s="207">
        <v>95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>
        <v>43069</v>
      </c>
      <c r="D143" s="161" t="s">
        <v>9</v>
      </c>
      <c r="E143" s="161" t="s">
        <v>2376</v>
      </c>
      <c r="F143" s="207">
        <v>105</v>
      </c>
      <c r="G143" s="207">
        <v>140</v>
      </c>
      <c r="H143" s="161">
        <v>35</v>
      </c>
      <c r="I143" s="207">
        <v>300</v>
      </c>
      <c r="J143" s="242">
        <f t="shared" si="25"/>
        <v>10500</v>
      </c>
      <c r="K143" s="153"/>
      <c r="V143" s="25">
        <f t="shared" si="26"/>
        <v>1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59700</v>
      </c>
      <c r="K145" s="153"/>
      <c r="V145" s="25">
        <f>SUM(V122:V144)</f>
        <v>14</v>
      </c>
      <c r="W145" s="25">
        <f>SUM(W122:W144)</f>
        <v>8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2366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43040</v>
      </c>
      <c r="D153" s="185" t="s">
        <v>9</v>
      </c>
      <c r="E153" s="185" t="s">
        <v>301</v>
      </c>
      <c r="F153" s="219">
        <v>25400</v>
      </c>
      <c r="G153" s="219">
        <v>25570</v>
      </c>
      <c r="H153" s="185">
        <v>170</v>
      </c>
      <c r="I153" s="219">
        <v>80</v>
      </c>
      <c r="J153" s="246">
        <f t="shared" ref="J153:J175" si="29">I153*H153</f>
        <v>13600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43041</v>
      </c>
      <c r="D154" s="161" t="s">
        <v>9</v>
      </c>
      <c r="E154" s="161" t="s">
        <v>301</v>
      </c>
      <c r="F154" s="207">
        <v>25520</v>
      </c>
      <c r="G154" s="207">
        <v>25610</v>
      </c>
      <c r="H154" s="161">
        <v>90</v>
      </c>
      <c r="I154" s="207">
        <v>80</v>
      </c>
      <c r="J154" s="242">
        <f t="shared" si="29"/>
        <v>7200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43042</v>
      </c>
      <c r="D155" s="161" t="s">
        <v>9</v>
      </c>
      <c r="E155" s="161" t="s">
        <v>301</v>
      </c>
      <c r="F155" s="207">
        <v>25460</v>
      </c>
      <c r="G155" s="207">
        <v>25660</v>
      </c>
      <c r="H155" s="161">
        <v>200</v>
      </c>
      <c r="I155" s="207">
        <v>80</v>
      </c>
      <c r="J155" s="242">
        <f t="shared" si="29"/>
        <v>16000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43045</v>
      </c>
      <c r="D156" s="161" t="s">
        <v>9</v>
      </c>
      <c r="E156" s="161" t="s">
        <v>301</v>
      </c>
      <c r="F156" s="207">
        <v>25570</v>
      </c>
      <c r="G156" s="207">
        <v>25710</v>
      </c>
      <c r="H156" s="161">
        <v>140</v>
      </c>
      <c r="I156" s="207">
        <v>80</v>
      </c>
      <c r="J156" s="242">
        <f t="shared" si="29"/>
        <v>11200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43046</v>
      </c>
      <c r="D157" s="161" t="s">
        <v>8</v>
      </c>
      <c r="E157" s="161" t="s">
        <v>301</v>
      </c>
      <c r="F157" s="207">
        <v>25510</v>
      </c>
      <c r="G157" s="207">
        <v>25370</v>
      </c>
      <c r="H157" s="161">
        <v>140</v>
      </c>
      <c r="I157" s="207">
        <v>80</v>
      </c>
      <c r="J157" s="242">
        <f t="shared" si="29"/>
        <v>11200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43047</v>
      </c>
      <c r="D158" s="161" t="s">
        <v>8</v>
      </c>
      <c r="E158" s="161" t="s">
        <v>301</v>
      </c>
      <c r="F158" s="207">
        <v>25370</v>
      </c>
      <c r="G158" s="207">
        <v>25470</v>
      </c>
      <c r="H158" s="161">
        <v>-100</v>
      </c>
      <c r="I158" s="207">
        <v>80</v>
      </c>
      <c r="J158" s="242">
        <f t="shared" si="29"/>
        <v>-8000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43048</v>
      </c>
      <c r="D159" s="161" t="s">
        <v>9</v>
      </c>
      <c r="E159" s="161" t="s">
        <v>301</v>
      </c>
      <c r="F159" s="207">
        <v>25380</v>
      </c>
      <c r="G159" s="207">
        <v>25280</v>
      </c>
      <c r="H159" s="161">
        <v>-100</v>
      </c>
      <c r="I159" s="207">
        <v>80</v>
      </c>
      <c r="J159" s="242">
        <f t="shared" si="29"/>
        <v>-8000</v>
      </c>
      <c r="K159" s="153"/>
      <c r="V159" s="25">
        <f t="shared" si="30"/>
        <v>0</v>
      </c>
      <c r="W159" s="25">
        <f t="shared" si="31"/>
        <v>1</v>
      </c>
    </row>
    <row r="160" spans="1:23" x14ac:dyDescent="0.3">
      <c r="A160" s="147"/>
      <c r="B160" s="205">
        <f t="shared" si="32"/>
        <v>8</v>
      </c>
      <c r="C160" s="206">
        <v>43049</v>
      </c>
      <c r="D160" s="161" t="s">
        <v>9</v>
      </c>
      <c r="E160" s="161" t="s">
        <v>301</v>
      </c>
      <c r="F160" s="207">
        <v>25400</v>
      </c>
      <c r="G160" s="207">
        <v>25600</v>
      </c>
      <c r="H160" s="161">
        <v>200</v>
      </c>
      <c r="I160" s="207">
        <v>80</v>
      </c>
      <c r="J160" s="242">
        <f t="shared" si="29"/>
        <v>16000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43052</v>
      </c>
      <c r="D161" s="161" t="s">
        <v>8</v>
      </c>
      <c r="E161" s="161" t="s">
        <v>301</v>
      </c>
      <c r="F161" s="207">
        <v>25540</v>
      </c>
      <c r="G161" s="207">
        <v>25450</v>
      </c>
      <c r="H161" s="161">
        <v>90</v>
      </c>
      <c r="I161" s="207">
        <v>80</v>
      </c>
      <c r="J161" s="242">
        <f t="shared" si="29"/>
        <v>7200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43053</v>
      </c>
      <c r="D162" s="161" t="s">
        <v>8</v>
      </c>
      <c r="E162" s="161" t="s">
        <v>301</v>
      </c>
      <c r="F162" s="207">
        <v>25430</v>
      </c>
      <c r="G162" s="207">
        <v>25330</v>
      </c>
      <c r="H162" s="161">
        <v>100</v>
      </c>
      <c r="I162" s="207">
        <v>80</v>
      </c>
      <c r="J162" s="242">
        <f t="shared" si="29"/>
        <v>8000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43054</v>
      </c>
      <c r="D163" s="161" t="s">
        <v>8</v>
      </c>
      <c r="E163" s="161" t="s">
        <v>301</v>
      </c>
      <c r="F163" s="207">
        <v>25370</v>
      </c>
      <c r="G163" s="207">
        <v>25270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43055</v>
      </c>
      <c r="D164" s="161" t="s">
        <v>8</v>
      </c>
      <c r="E164" s="161" t="s">
        <v>301</v>
      </c>
      <c r="F164" s="207">
        <v>25420</v>
      </c>
      <c r="G164" s="207">
        <v>25500</v>
      </c>
      <c r="H164" s="161">
        <v>-80</v>
      </c>
      <c r="I164" s="207">
        <v>80</v>
      </c>
      <c r="J164" s="242">
        <f t="shared" si="29"/>
        <v>-6400</v>
      </c>
      <c r="K164" s="153"/>
      <c r="V164" s="25">
        <f t="shared" si="30"/>
        <v>0</v>
      </c>
      <c r="W164" s="25">
        <f t="shared" si="31"/>
        <v>1</v>
      </c>
    </row>
    <row r="165" spans="1:23" x14ac:dyDescent="0.3">
      <c r="A165" s="147"/>
      <c r="B165" s="205">
        <f t="shared" si="32"/>
        <v>13</v>
      </c>
      <c r="C165" s="206">
        <v>43056</v>
      </c>
      <c r="D165" s="161" t="s">
        <v>9</v>
      </c>
      <c r="E165" s="161" t="s">
        <v>301</v>
      </c>
      <c r="F165" s="207">
        <v>25900</v>
      </c>
      <c r="G165" s="207">
        <v>25950</v>
      </c>
      <c r="H165" s="161">
        <v>50</v>
      </c>
      <c r="I165" s="207">
        <v>80</v>
      </c>
      <c r="J165" s="242">
        <f t="shared" si="29"/>
        <v>4000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43059</v>
      </c>
      <c r="D166" s="161" t="s">
        <v>8</v>
      </c>
      <c r="E166" s="161" t="s">
        <v>301</v>
      </c>
      <c r="F166" s="207">
        <v>25800</v>
      </c>
      <c r="G166" s="207">
        <v>25840</v>
      </c>
      <c r="H166" s="161">
        <v>-40</v>
      </c>
      <c r="I166" s="207">
        <v>80</v>
      </c>
      <c r="J166" s="242">
        <f t="shared" si="29"/>
        <v>-3200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43060</v>
      </c>
      <c r="D167" s="161" t="s">
        <v>8</v>
      </c>
      <c r="E167" s="161" t="s">
        <v>301</v>
      </c>
      <c r="F167" s="207">
        <v>25910</v>
      </c>
      <c r="G167" s="207">
        <v>25810</v>
      </c>
      <c r="H167" s="161">
        <v>100</v>
      </c>
      <c r="I167" s="207">
        <v>80</v>
      </c>
      <c r="J167" s="242">
        <f t="shared" si="29"/>
        <v>8000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43061</v>
      </c>
      <c r="D168" s="161" t="s">
        <v>8</v>
      </c>
      <c r="E168" s="161" t="s">
        <v>301</v>
      </c>
      <c r="F168" s="207">
        <v>25760</v>
      </c>
      <c r="G168" s="207">
        <v>25780</v>
      </c>
      <c r="H168" s="161">
        <v>20</v>
      </c>
      <c r="I168" s="207">
        <v>80</v>
      </c>
      <c r="J168" s="242">
        <f t="shared" si="29"/>
        <v>1600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43062</v>
      </c>
      <c r="D169" s="161" t="s">
        <v>8</v>
      </c>
      <c r="E169" s="161" t="s">
        <v>301</v>
      </c>
      <c r="F169" s="207">
        <v>25800</v>
      </c>
      <c r="G169" s="207">
        <v>25700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43063</v>
      </c>
      <c r="D170" s="161" t="s">
        <v>8</v>
      </c>
      <c r="E170" s="161" t="s">
        <v>301</v>
      </c>
      <c r="F170" s="207">
        <v>25850</v>
      </c>
      <c r="G170" s="207">
        <v>25825</v>
      </c>
      <c r="H170" s="161">
        <v>25</v>
      </c>
      <c r="I170" s="207">
        <v>80</v>
      </c>
      <c r="J170" s="242">
        <f t="shared" si="29"/>
        <v>2000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43066</v>
      </c>
      <c r="D171" s="161" t="s">
        <v>8</v>
      </c>
      <c r="E171" s="161" t="s">
        <v>301</v>
      </c>
      <c r="F171" s="207">
        <v>25770</v>
      </c>
      <c r="G171" s="207">
        <v>25870</v>
      </c>
      <c r="H171" s="161">
        <v>-100</v>
      </c>
      <c r="I171" s="207">
        <v>80</v>
      </c>
      <c r="J171" s="242">
        <f t="shared" si="29"/>
        <v>-8000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43067</v>
      </c>
      <c r="D172" s="161" t="s">
        <v>8</v>
      </c>
      <c r="E172" s="161" t="s">
        <v>301</v>
      </c>
      <c r="F172" s="207">
        <v>25940</v>
      </c>
      <c r="G172" s="207">
        <v>25980</v>
      </c>
      <c r="H172" s="161">
        <v>40</v>
      </c>
      <c r="I172" s="207">
        <v>80</v>
      </c>
      <c r="J172" s="242">
        <f t="shared" si="29"/>
        <v>3200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43068</v>
      </c>
      <c r="D173" s="161" t="s">
        <v>8</v>
      </c>
      <c r="E173" s="161" t="s">
        <v>301</v>
      </c>
      <c r="F173" s="207">
        <v>25850</v>
      </c>
      <c r="G173" s="207">
        <v>25810</v>
      </c>
      <c r="H173" s="161">
        <v>40</v>
      </c>
      <c r="I173" s="207">
        <v>80</v>
      </c>
      <c r="J173" s="242">
        <f t="shared" si="29"/>
        <v>3200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>
        <v>43069</v>
      </c>
      <c r="D174" s="161" t="s">
        <v>8</v>
      </c>
      <c r="E174" s="161" t="s">
        <v>301</v>
      </c>
      <c r="F174" s="207">
        <v>25600</v>
      </c>
      <c r="G174" s="207">
        <v>25400</v>
      </c>
      <c r="H174" s="161">
        <v>200</v>
      </c>
      <c r="I174" s="207">
        <v>80</v>
      </c>
      <c r="J174" s="242">
        <f t="shared" si="29"/>
        <v>16000</v>
      </c>
      <c r="K174" s="153"/>
      <c r="V174" s="25">
        <f t="shared" si="30"/>
        <v>1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110800</v>
      </c>
      <c r="K176" s="153"/>
      <c r="V176" s="25">
        <f>SUM(V153:V175)</f>
        <v>17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2366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43040</v>
      </c>
      <c r="D184" s="185" t="s">
        <v>9</v>
      </c>
      <c r="E184" s="185" t="s">
        <v>2370</v>
      </c>
      <c r="F184" s="219">
        <v>340</v>
      </c>
      <c r="G184" s="219">
        <v>460</v>
      </c>
      <c r="H184" s="185">
        <v>120</v>
      </c>
      <c r="I184" s="219">
        <v>160</v>
      </c>
      <c r="J184" s="246">
        <f t="shared" ref="J184:J206" si="33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43041</v>
      </c>
      <c r="D185" s="161" t="s">
        <v>9</v>
      </c>
      <c r="E185" s="161" t="s">
        <v>2370</v>
      </c>
      <c r="F185" s="207">
        <v>400</v>
      </c>
      <c r="G185" s="207">
        <v>450</v>
      </c>
      <c r="H185" s="161">
        <v>50</v>
      </c>
      <c r="I185" s="207">
        <v>160</v>
      </c>
      <c r="J185" s="242">
        <f t="shared" si="33"/>
        <v>8000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43042</v>
      </c>
      <c r="D186" s="161" t="s">
        <v>9</v>
      </c>
      <c r="E186" s="161" t="s">
        <v>2370</v>
      </c>
      <c r="F186" s="207">
        <v>350</v>
      </c>
      <c r="G186" s="207">
        <v>460</v>
      </c>
      <c r="H186" s="161">
        <v>110</v>
      </c>
      <c r="I186" s="207">
        <v>160</v>
      </c>
      <c r="J186" s="242">
        <f t="shared" si="33"/>
        <v>17600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43045</v>
      </c>
      <c r="D187" s="161" t="s">
        <v>9</v>
      </c>
      <c r="E187" s="161" t="s">
        <v>2370</v>
      </c>
      <c r="F187" s="207">
        <v>400</v>
      </c>
      <c r="G187" s="207">
        <v>460</v>
      </c>
      <c r="H187" s="161">
        <v>60</v>
      </c>
      <c r="I187" s="207">
        <v>160</v>
      </c>
      <c r="J187" s="242">
        <f t="shared" si="33"/>
        <v>9600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43046</v>
      </c>
      <c r="D188" s="161" t="s">
        <v>9</v>
      </c>
      <c r="E188" s="161" t="s">
        <v>2374</v>
      </c>
      <c r="F188" s="207">
        <v>350</v>
      </c>
      <c r="G188" s="207">
        <v>430</v>
      </c>
      <c r="H188" s="161">
        <v>80</v>
      </c>
      <c r="I188" s="207">
        <v>160</v>
      </c>
      <c r="J188" s="242">
        <f t="shared" si="33"/>
        <v>12800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43047</v>
      </c>
      <c r="D189" s="161" t="s">
        <v>9</v>
      </c>
      <c r="E189" s="161" t="s">
        <v>2377</v>
      </c>
      <c r="F189" s="207">
        <v>330</v>
      </c>
      <c r="G189" s="207">
        <v>270</v>
      </c>
      <c r="H189" s="161">
        <v>-60</v>
      </c>
      <c r="I189" s="207">
        <v>160</v>
      </c>
      <c r="J189" s="242">
        <f t="shared" si="33"/>
        <v>-9600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43048</v>
      </c>
      <c r="D190" s="161" t="s">
        <v>9</v>
      </c>
      <c r="E190" s="161" t="s">
        <v>2379</v>
      </c>
      <c r="F190" s="207">
        <v>340</v>
      </c>
      <c r="G190" s="207">
        <v>280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43049</v>
      </c>
      <c r="D191" s="161" t="s">
        <v>9</v>
      </c>
      <c r="E191" s="161" t="s">
        <v>2381</v>
      </c>
      <c r="F191" s="207">
        <v>330</v>
      </c>
      <c r="G191" s="207">
        <v>450</v>
      </c>
      <c r="H191" s="161">
        <v>120</v>
      </c>
      <c r="I191" s="207">
        <v>160</v>
      </c>
      <c r="J191" s="242">
        <f t="shared" si="33"/>
        <v>19200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43052</v>
      </c>
      <c r="D192" s="161" t="s">
        <v>9</v>
      </c>
      <c r="E192" s="161" t="s">
        <v>2374</v>
      </c>
      <c r="F192" s="207">
        <v>280</v>
      </c>
      <c r="G192" s="207">
        <v>325</v>
      </c>
      <c r="H192" s="161">
        <v>45</v>
      </c>
      <c r="I192" s="207">
        <v>160</v>
      </c>
      <c r="J192" s="242">
        <f t="shared" si="33"/>
        <v>7200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43053</v>
      </c>
      <c r="D193" s="161" t="s">
        <v>9</v>
      </c>
      <c r="E193" s="161" t="s">
        <v>2374</v>
      </c>
      <c r="F193" s="207">
        <v>330</v>
      </c>
      <c r="G193" s="207">
        <v>360</v>
      </c>
      <c r="H193" s="161">
        <v>30</v>
      </c>
      <c r="I193" s="207">
        <v>160</v>
      </c>
      <c r="J193" s="242">
        <f t="shared" si="33"/>
        <v>4800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43054</v>
      </c>
      <c r="D194" s="161" t="s">
        <v>9</v>
      </c>
      <c r="E194" s="161" t="s">
        <v>2379</v>
      </c>
      <c r="F194" s="207">
        <v>300</v>
      </c>
      <c r="G194" s="207">
        <v>355</v>
      </c>
      <c r="H194" s="161">
        <v>55</v>
      </c>
      <c r="I194" s="207">
        <v>160</v>
      </c>
      <c r="J194" s="242">
        <f t="shared" si="33"/>
        <v>8800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43055</v>
      </c>
      <c r="D195" s="161" t="s">
        <v>9</v>
      </c>
      <c r="E195" s="161" t="s">
        <v>2379</v>
      </c>
      <c r="F195" s="207">
        <v>260</v>
      </c>
      <c r="G195" s="207">
        <v>225</v>
      </c>
      <c r="H195" s="161">
        <v>-35</v>
      </c>
      <c r="I195" s="207">
        <v>160</v>
      </c>
      <c r="J195" s="242">
        <f t="shared" si="33"/>
        <v>-5600</v>
      </c>
      <c r="K195" s="153"/>
      <c r="V195" s="25">
        <f t="shared" si="34"/>
        <v>0</v>
      </c>
      <c r="W195" s="25">
        <f t="shared" si="35"/>
        <v>1</v>
      </c>
    </row>
    <row r="196" spans="1:23" x14ac:dyDescent="0.3">
      <c r="A196" s="147"/>
      <c r="B196" s="205">
        <f t="shared" si="36"/>
        <v>13</v>
      </c>
      <c r="C196" s="206">
        <v>43056</v>
      </c>
      <c r="D196" s="161" t="s">
        <v>9</v>
      </c>
      <c r="E196" s="161" t="s">
        <v>2387</v>
      </c>
      <c r="F196" s="207">
        <v>280</v>
      </c>
      <c r="G196" s="207">
        <v>250</v>
      </c>
      <c r="H196" s="161">
        <v>-30</v>
      </c>
      <c r="I196" s="207">
        <v>160</v>
      </c>
      <c r="J196" s="242">
        <f t="shared" si="33"/>
        <v>-4800</v>
      </c>
      <c r="K196" s="153"/>
      <c r="V196" s="25">
        <f t="shared" si="34"/>
        <v>0</v>
      </c>
      <c r="W196" s="25">
        <f t="shared" si="35"/>
        <v>1</v>
      </c>
    </row>
    <row r="197" spans="1:23" x14ac:dyDescent="0.3">
      <c r="A197" s="147"/>
      <c r="B197" s="205">
        <f t="shared" si="36"/>
        <v>14</v>
      </c>
      <c r="C197" s="206">
        <v>43059</v>
      </c>
      <c r="D197" s="161" t="s">
        <v>9</v>
      </c>
      <c r="E197" s="161" t="s">
        <v>2389</v>
      </c>
      <c r="F197" s="207">
        <v>240</v>
      </c>
      <c r="G197" s="207">
        <v>225</v>
      </c>
      <c r="H197" s="161">
        <v>-15</v>
      </c>
      <c r="I197" s="207">
        <v>160</v>
      </c>
      <c r="J197" s="242">
        <f t="shared" si="33"/>
        <v>-2400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43060</v>
      </c>
      <c r="D198" s="161" t="s">
        <v>9</v>
      </c>
      <c r="E198" s="161" t="s">
        <v>2392</v>
      </c>
      <c r="F198" s="207">
        <v>205</v>
      </c>
      <c r="G198" s="207">
        <v>250</v>
      </c>
      <c r="H198" s="161">
        <v>45</v>
      </c>
      <c r="I198" s="207">
        <v>160</v>
      </c>
      <c r="J198" s="242">
        <f t="shared" si="33"/>
        <v>7200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43061</v>
      </c>
      <c r="D199" s="161" t="s">
        <v>9</v>
      </c>
      <c r="E199" s="161" t="s">
        <v>2389</v>
      </c>
      <c r="F199" s="207">
        <v>225</v>
      </c>
      <c r="G199" s="207">
        <v>190</v>
      </c>
      <c r="H199" s="161">
        <v>-35</v>
      </c>
      <c r="I199" s="207">
        <v>160</v>
      </c>
      <c r="J199" s="242">
        <f t="shared" si="33"/>
        <v>-5600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>
        <v>43062</v>
      </c>
      <c r="D200" s="161" t="s">
        <v>9</v>
      </c>
      <c r="E200" s="161" t="s">
        <v>2389</v>
      </c>
      <c r="F200" s="207">
        <v>170</v>
      </c>
      <c r="G200" s="207">
        <v>230</v>
      </c>
      <c r="H200" s="161">
        <v>60</v>
      </c>
      <c r="I200" s="207">
        <v>160</v>
      </c>
      <c r="J200" s="242">
        <f t="shared" si="33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43063</v>
      </c>
      <c r="D201" s="161" t="s">
        <v>9</v>
      </c>
      <c r="E201" s="161" t="s">
        <v>2392</v>
      </c>
      <c r="F201" s="207">
        <v>180</v>
      </c>
      <c r="G201" s="207">
        <v>178</v>
      </c>
      <c r="H201" s="161">
        <v>-2</v>
      </c>
      <c r="I201" s="207">
        <v>160</v>
      </c>
      <c r="J201" s="242">
        <f t="shared" si="33"/>
        <v>-320</v>
      </c>
      <c r="K201" s="153"/>
      <c r="V201" s="25">
        <f t="shared" si="34"/>
        <v>0</v>
      </c>
      <c r="W201" s="25">
        <f t="shared" si="35"/>
        <v>1</v>
      </c>
    </row>
    <row r="202" spans="1:23" x14ac:dyDescent="0.3">
      <c r="A202" s="147"/>
      <c r="B202" s="205">
        <f t="shared" si="36"/>
        <v>19</v>
      </c>
      <c r="C202" s="206">
        <v>43066</v>
      </c>
      <c r="D202" s="161" t="s">
        <v>9</v>
      </c>
      <c r="E202" s="161" t="s">
        <v>2392</v>
      </c>
      <c r="F202" s="207">
        <v>195</v>
      </c>
      <c r="G202" s="207">
        <v>135</v>
      </c>
      <c r="H202" s="161">
        <v>-60</v>
      </c>
      <c r="I202" s="207">
        <v>160</v>
      </c>
      <c r="J202" s="242">
        <f t="shared" si="33"/>
        <v>-9600</v>
      </c>
      <c r="K202" s="153"/>
      <c r="V202" s="25">
        <f t="shared" si="34"/>
        <v>0</v>
      </c>
      <c r="W202" s="25">
        <f t="shared" si="35"/>
        <v>1</v>
      </c>
    </row>
    <row r="203" spans="1:23" x14ac:dyDescent="0.3">
      <c r="A203" s="147"/>
      <c r="B203" s="205">
        <f t="shared" si="36"/>
        <v>20</v>
      </c>
      <c r="C203" s="206">
        <v>43067</v>
      </c>
      <c r="D203" s="161" t="s">
        <v>9</v>
      </c>
      <c r="E203" s="161" t="s">
        <v>2397</v>
      </c>
      <c r="F203" s="207">
        <v>200</v>
      </c>
      <c r="G203" s="207">
        <v>230</v>
      </c>
      <c r="H203" s="161">
        <v>30</v>
      </c>
      <c r="I203" s="207">
        <v>160</v>
      </c>
      <c r="J203" s="242">
        <f t="shared" si="33"/>
        <v>4800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43068</v>
      </c>
      <c r="D204" s="161" t="s">
        <v>9</v>
      </c>
      <c r="E204" s="161" t="s">
        <v>2399</v>
      </c>
      <c r="F204" s="207">
        <v>200</v>
      </c>
      <c r="G204" s="207">
        <v>140</v>
      </c>
      <c r="H204" s="161">
        <v>-60</v>
      </c>
      <c r="I204" s="207">
        <v>160</v>
      </c>
      <c r="J204" s="242">
        <f t="shared" si="33"/>
        <v>-9600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>
        <v>43069</v>
      </c>
      <c r="D205" s="161" t="s">
        <v>9</v>
      </c>
      <c r="E205" s="161" t="s">
        <v>2389</v>
      </c>
      <c r="F205" s="207">
        <v>190</v>
      </c>
      <c r="G205" s="207">
        <v>310</v>
      </c>
      <c r="H205" s="161">
        <v>120</v>
      </c>
      <c r="I205" s="207">
        <v>160</v>
      </c>
      <c r="J205" s="242">
        <f t="shared" si="33"/>
        <v>19200</v>
      </c>
      <c r="K205" s="153"/>
      <c r="V205" s="25">
        <f t="shared" si="34"/>
        <v>1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90880</v>
      </c>
      <c r="K207" s="153"/>
      <c r="V207" s="25">
        <f>SUM(V184:V206)</f>
        <v>13</v>
      </c>
      <c r="W207" s="25">
        <f>SUM(W184:W206)</f>
        <v>9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2366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43040</v>
      </c>
      <c r="D215" s="185" t="s">
        <v>9</v>
      </c>
      <c r="E215" s="185" t="s">
        <v>2352</v>
      </c>
      <c r="F215" s="219">
        <v>80</v>
      </c>
      <c r="G215" s="219">
        <v>105</v>
      </c>
      <c r="H215" s="185">
        <v>25</v>
      </c>
      <c r="I215" s="219">
        <v>200</v>
      </c>
      <c r="J215" s="246">
        <f t="shared" ref="J215:J237" si="37">I215*H215</f>
        <v>5000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43041</v>
      </c>
      <c r="D216" s="161" t="s">
        <v>9</v>
      </c>
      <c r="E216" s="161" t="s">
        <v>2359</v>
      </c>
      <c r="F216" s="207">
        <v>85</v>
      </c>
      <c r="G216" s="222">
        <v>110</v>
      </c>
      <c r="H216" s="234">
        <v>25</v>
      </c>
      <c r="I216" s="207">
        <v>200</v>
      </c>
      <c r="J216" s="242">
        <f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43042</v>
      </c>
      <c r="D217" s="161" t="s">
        <v>9</v>
      </c>
      <c r="E217" s="161" t="s">
        <v>2352</v>
      </c>
      <c r="F217" s="207">
        <v>75</v>
      </c>
      <c r="G217" s="207">
        <v>75</v>
      </c>
      <c r="H217" s="161">
        <v>0</v>
      </c>
      <c r="I217" s="207">
        <v>200</v>
      </c>
      <c r="J217" s="242">
        <f t="shared" si="37"/>
        <v>0</v>
      </c>
      <c r="K217" s="153"/>
      <c r="V217" s="25">
        <f t="shared" ref="V217:V237" si="39">IF($J217&gt;0,1,0)</f>
        <v>0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43045</v>
      </c>
      <c r="D218" s="161" t="s">
        <v>9</v>
      </c>
      <c r="E218" s="161" t="s">
        <v>2372</v>
      </c>
      <c r="F218" s="207">
        <v>15</v>
      </c>
      <c r="G218" s="222">
        <v>14</v>
      </c>
      <c r="H218" s="161">
        <v>-1</v>
      </c>
      <c r="I218" s="207">
        <v>1200</v>
      </c>
      <c r="J218" s="242">
        <f t="shared" si="37"/>
        <v>-1200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43046</v>
      </c>
      <c r="D219" s="161" t="s">
        <v>9</v>
      </c>
      <c r="E219" s="161" t="s">
        <v>2375</v>
      </c>
      <c r="F219" s="222">
        <v>12</v>
      </c>
      <c r="G219" s="222">
        <v>13.5</v>
      </c>
      <c r="H219" s="222">
        <v>1.5</v>
      </c>
      <c r="I219" s="207">
        <v>1750</v>
      </c>
      <c r="J219" s="242">
        <f t="shared" si="37"/>
        <v>2625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43047</v>
      </c>
      <c r="D220" s="161" t="s">
        <v>9</v>
      </c>
      <c r="E220" s="161" t="s">
        <v>2359</v>
      </c>
      <c r="F220" s="207">
        <v>90</v>
      </c>
      <c r="G220" s="207">
        <v>70</v>
      </c>
      <c r="H220" s="161">
        <v>-20</v>
      </c>
      <c r="I220" s="207">
        <v>200</v>
      </c>
      <c r="J220" s="242">
        <f t="shared" si="37"/>
        <v>-4000</v>
      </c>
      <c r="K220" s="153"/>
      <c r="V220" s="25">
        <f t="shared" si="39"/>
        <v>0</v>
      </c>
      <c r="W220" s="25">
        <f t="shared" si="40"/>
        <v>1</v>
      </c>
    </row>
    <row r="221" spans="1:23" x14ac:dyDescent="0.3">
      <c r="A221" s="147"/>
      <c r="B221" s="205">
        <f t="shared" si="38"/>
        <v>7</v>
      </c>
      <c r="C221" s="206">
        <v>43048</v>
      </c>
      <c r="D221" s="161" t="s">
        <v>9</v>
      </c>
      <c r="E221" s="161" t="s">
        <v>2380</v>
      </c>
      <c r="F221" s="207">
        <v>12</v>
      </c>
      <c r="G221" s="222">
        <v>11.5</v>
      </c>
      <c r="H221" s="222">
        <v>-0.5</v>
      </c>
      <c r="I221" s="207">
        <v>1750</v>
      </c>
      <c r="J221" s="242">
        <f t="shared" si="37"/>
        <v>-875</v>
      </c>
      <c r="K221" s="153"/>
      <c r="V221" s="25">
        <f t="shared" si="39"/>
        <v>0</v>
      </c>
      <c r="W221" s="25">
        <f t="shared" si="40"/>
        <v>1</v>
      </c>
    </row>
    <row r="222" spans="1:23" x14ac:dyDescent="0.3">
      <c r="A222" s="147"/>
      <c r="B222" s="205">
        <f t="shared" si="38"/>
        <v>8</v>
      </c>
      <c r="C222" s="206">
        <v>43049</v>
      </c>
      <c r="D222" s="161" t="s">
        <v>9</v>
      </c>
      <c r="E222" s="161" t="s">
        <v>2382</v>
      </c>
      <c r="F222" s="207">
        <v>13</v>
      </c>
      <c r="G222" s="207">
        <v>10</v>
      </c>
      <c r="H222" s="161">
        <v>-3</v>
      </c>
      <c r="I222" s="207">
        <v>3000</v>
      </c>
      <c r="J222" s="242">
        <f t="shared" si="37"/>
        <v>-9000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43052</v>
      </c>
      <c r="D223" s="161" t="s">
        <v>9</v>
      </c>
      <c r="E223" s="161" t="s">
        <v>2383</v>
      </c>
      <c r="F223" s="207">
        <v>75</v>
      </c>
      <c r="G223" s="222">
        <v>95</v>
      </c>
      <c r="H223" s="234">
        <v>20</v>
      </c>
      <c r="I223" s="207">
        <v>200</v>
      </c>
      <c r="J223" s="242">
        <f t="shared" si="37"/>
        <v>4000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43053</v>
      </c>
      <c r="D224" s="161" t="s">
        <v>9</v>
      </c>
      <c r="E224" s="161" t="s">
        <v>2384</v>
      </c>
      <c r="F224" s="222">
        <v>13</v>
      </c>
      <c r="G224" s="222">
        <v>19.3</v>
      </c>
      <c r="H224" s="255">
        <v>6.3</v>
      </c>
      <c r="I224" s="207">
        <v>1250</v>
      </c>
      <c r="J224" s="242">
        <f t="shared" si="37"/>
        <v>7875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43054</v>
      </c>
      <c r="D225" s="161" t="s">
        <v>9</v>
      </c>
      <c r="E225" s="161" t="s">
        <v>2385</v>
      </c>
      <c r="F225" s="207">
        <v>9</v>
      </c>
      <c r="G225" s="222">
        <v>13.2</v>
      </c>
      <c r="H225" s="255">
        <v>4.2</v>
      </c>
      <c r="I225" s="207">
        <v>3000</v>
      </c>
      <c r="J225" s="242">
        <f t="shared" si="37"/>
        <v>12600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43055</v>
      </c>
      <c r="D226" s="161" t="s">
        <v>9</v>
      </c>
      <c r="E226" s="161" t="s">
        <v>2386</v>
      </c>
      <c r="F226" s="207">
        <v>18</v>
      </c>
      <c r="G226" s="222">
        <v>15.5</v>
      </c>
      <c r="H226" s="255">
        <v>-2.5</v>
      </c>
      <c r="I226" s="207">
        <v>1000</v>
      </c>
      <c r="J226" s="242">
        <f t="shared" si="37"/>
        <v>-2500</v>
      </c>
      <c r="K226" s="153"/>
      <c r="V226" s="25">
        <f t="shared" si="39"/>
        <v>0</v>
      </c>
      <c r="W226" s="25">
        <f t="shared" si="40"/>
        <v>1</v>
      </c>
    </row>
    <row r="227" spans="1:23" x14ac:dyDescent="0.3">
      <c r="A227" s="147"/>
      <c r="B227" s="205">
        <f t="shared" si="38"/>
        <v>13</v>
      </c>
      <c r="C227" s="206">
        <v>43056</v>
      </c>
      <c r="D227" s="161" t="s">
        <v>9</v>
      </c>
      <c r="E227" s="161" t="s">
        <v>2388</v>
      </c>
      <c r="F227" s="222">
        <v>9</v>
      </c>
      <c r="G227" s="222">
        <v>8.65</v>
      </c>
      <c r="H227" s="255">
        <v>-0.35</v>
      </c>
      <c r="I227" s="207">
        <v>1250</v>
      </c>
      <c r="J227" s="242">
        <f t="shared" si="37"/>
        <v>-437.5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43059</v>
      </c>
      <c r="D228" s="161" t="s">
        <v>9</v>
      </c>
      <c r="E228" s="161" t="s">
        <v>2390</v>
      </c>
      <c r="F228" s="207">
        <v>9</v>
      </c>
      <c r="G228" s="222">
        <v>8</v>
      </c>
      <c r="H228" s="234">
        <v>-1</v>
      </c>
      <c r="I228" s="207">
        <v>3000</v>
      </c>
      <c r="J228" s="242">
        <f>I228*H228</f>
        <v>-3000</v>
      </c>
      <c r="K228" s="153"/>
      <c r="V228" s="25">
        <f t="shared" si="39"/>
        <v>0</v>
      </c>
      <c r="W228" s="25">
        <f t="shared" si="40"/>
        <v>1</v>
      </c>
    </row>
    <row r="229" spans="1:23" x14ac:dyDescent="0.3">
      <c r="A229" s="147"/>
      <c r="B229" s="205">
        <f t="shared" si="38"/>
        <v>15</v>
      </c>
      <c r="C229" s="206">
        <v>43060</v>
      </c>
      <c r="D229" s="161" t="s">
        <v>9</v>
      </c>
      <c r="E229" s="161" t="s">
        <v>2393</v>
      </c>
      <c r="F229" s="222">
        <v>8</v>
      </c>
      <c r="G229" s="222">
        <v>5.9</v>
      </c>
      <c r="H229" s="255">
        <v>-2.1</v>
      </c>
      <c r="I229" s="207">
        <v>1750</v>
      </c>
      <c r="J229" s="242">
        <f t="shared" si="37"/>
        <v>-3675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43061</v>
      </c>
      <c r="D230" s="161" t="s">
        <v>9</v>
      </c>
      <c r="E230" s="161" t="s">
        <v>2394</v>
      </c>
      <c r="F230" s="222">
        <v>9</v>
      </c>
      <c r="G230" s="222">
        <v>11</v>
      </c>
      <c r="H230" s="161">
        <v>2</v>
      </c>
      <c r="I230" s="207">
        <v>1500</v>
      </c>
      <c r="J230" s="242">
        <f t="shared" si="37"/>
        <v>3000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43062</v>
      </c>
      <c r="D231" s="161" t="s">
        <v>9</v>
      </c>
      <c r="E231" s="161" t="s">
        <v>2395</v>
      </c>
      <c r="F231" s="222">
        <v>11</v>
      </c>
      <c r="G231" s="222">
        <v>14.7</v>
      </c>
      <c r="H231" s="222">
        <v>3.7</v>
      </c>
      <c r="I231" s="207">
        <v>3084</v>
      </c>
      <c r="J231" s="242">
        <f t="shared" si="37"/>
        <v>11410.800000000001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43063</v>
      </c>
      <c r="D232" s="161" t="s">
        <v>9</v>
      </c>
      <c r="E232" s="161" t="s">
        <v>2199</v>
      </c>
      <c r="F232" s="207">
        <v>5</v>
      </c>
      <c r="G232" s="222">
        <v>5.7</v>
      </c>
      <c r="H232" s="222">
        <v>0.7</v>
      </c>
      <c r="I232" s="207">
        <v>2750</v>
      </c>
      <c r="J232" s="242">
        <f t="shared" si="37"/>
        <v>1924.9999999999998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43066</v>
      </c>
      <c r="D233" s="161" t="s">
        <v>9</v>
      </c>
      <c r="E233" s="161" t="s">
        <v>2396</v>
      </c>
      <c r="F233" s="222">
        <v>6.2</v>
      </c>
      <c r="G233" s="222">
        <v>5.7</v>
      </c>
      <c r="H233" s="222">
        <v>-0.5</v>
      </c>
      <c r="I233" s="207">
        <v>3084</v>
      </c>
      <c r="J233" s="242">
        <f t="shared" si="37"/>
        <v>-1542</v>
      </c>
      <c r="K233" s="153"/>
      <c r="V233" s="25">
        <f t="shared" si="39"/>
        <v>0</v>
      </c>
      <c r="W233" s="25">
        <f t="shared" si="40"/>
        <v>1</v>
      </c>
    </row>
    <row r="234" spans="1:23" x14ac:dyDescent="0.3">
      <c r="A234" s="147"/>
      <c r="B234" s="205">
        <f t="shared" si="38"/>
        <v>20</v>
      </c>
      <c r="C234" s="206">
        <v>43067</v>
      </c>
      <c r="D234" s="161" t="s">
        <v>9</v>
      </c>
      <c r="E234" s="161" t="s">
        <v>2398</v>
      </c>
      <c r="F234" s="222">
        <v>6.5</v>
      </c>
      <c r="G234" s="222">
        <v>4.5</v>
      </c>
      <c r="H234" s="222">
        <v>-2</v>
      </c>
      <c r="I234" s="207">
        <v>1750</v>
      </c>
      <c r="J234" s="242">
        <f t="shared" si="37"/>
        <v>-3500</v>
      </c>
      <c r="K234" s="153"/>
      <c r="V234" s="25">
        <f t="shared" si="39"/>
        <v>0</v>
      </c>
      <c r="W234" s="25">
        <f t="shared" si="40"/>
        <v>1</v>
      </c>
    </row>
    <row r="235" spans="1:23" x14ac:dyDescent="0.3">
      <c r="A235" s="147"/>
      <c r="B235" s="205">
        <f t="shared" si="38"/>
        <v>21</v>
      </c>
      <c r="C235" s="206">
        <v>43068</v>
      </c>
      <c r="D235" s="161" t="s">
        <v>9</v>
      </c>
      <c r="E235" s="161" t="s">
        <v>2400</v>
      </c>
      <c r="F235" s="222">
        <v>3.2</v>
      </c>
      <c r="G235" s="222">
        <v>2.4</v>
      </c>
      <c r="H235" s="222">
        <v>-0.8</v>
      </c>
      <c r="I235" s="207">
        <v>2750</v>
      </c>
      <c r="J235" s="242">
        <f t="shared" si="37"/>
        <v>-2200</v>
      </c>
      <c r="K235" s="153"/>
      <c r="V235" s="25">
        <f t="shared" si="39"/>
        <v>0</v>
      </c>
      <c r="W235" s="25">
        <f t="shared" si="40"/>
        <v>1</v>
      </c>
    </row>
    <row r="236" spans="1:23" x14ac:dyDescent="0.3">
      <c r="A236" s="147"/>
      <c r="B236" s="205">
        <f t="shared" si="38"/>
        <v>22</v>
      </c>
      <c r="C236" s="206">
        <v>43069</v>
      </c>
      <c r="D236" s="161" t="s">
        <v>9</v>
      </c>
      <c r="E236" s="161" t="s">
        <v>2401</v>
      </c>
      <c r="F236" s="222">
        <v>3.3</v>
      </c>
      <c r="G236" s="222">
        <v>3.9</v>
      </c>
      <c r="H236" s="222">
        <v>0.6</v>
      </c>
      <c r="I236" s="207">
        <v>1750</v>
      </c>
      <c r="J236" s="242">
        <f t="shared" si="37"/>
        <v>1050</v>
      </c>
      <c r="K236" s="153"/>
      <c r="V236" s="25">
        <f t="shared" si="39"/>
        <v>1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22556.300000000003</v>
      </c>
      <c r="K238" s="153"/>
      <c r="V238" s="25">
        <f>SUM(V215:V237)</f>
        <v>10</v>
      </c>
      <c r="W238" s="25">
        <f>SUM(W215:W237)</f>
        <v>11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700-000000000000}"/>
    <hyperlink ref="B83" r:id="rId2" xr:uid="{00000000-0004-0000-3700-000001000000}"/>
    <hyperlink ref="B114" r:id="rId3" xr:uid="{00000000-0004-0000-3700-000002000000}"/>
    <hyperlink ref="M8:M9" location="'NOV 2017'!A108" display="NIFTY FUTURE" xr:uid="{00000000-0004-0000-3700-000003000000}"/>
    <hyperlink ref="B145" r:id="rId4" xr:uid="{00000000-0004-0000-3700-000004000000}"/>
    <hyperlink ref="M10:M11" location="'NOV 2017'!A139" display="NF. OPTION" xr:uid="{00000000-0004-0000-3700-000005000000}"/>
    <hyperlink ref="B176" r:id="rId5" xr:uid="{00000000-0004-0000-3700-000006000000}"/>
    <hyperlink ref="M12:M13" location="'NOV 2017'!A170" display="BANK NIFTY" xr:uid="{00000000-0004-0000-3700-000007000000}"/>
    <hyperlink ref="B207" r:id="rId6" xr:uid="{00000000-0004-0000-3700-000008000000}"/>
    <hyperlink ref="M14:M15" location="'NOV 2017'!A201" display="B.NIFTY OPTION" xr:uid="{00000000-0004-0000-3700-000009000000}"/>
    <hyperlink ref="B238" r:id="rId7" xr:uid="{00000000-0004-0000-3700-00000A000000}"/>
    <hyperlink ref="M16:M17" location="'NOV 2017'!A232" display="STOCK OPTION" xr:uid="{00000000-0004-0000-3700-00000B000000}"/>
    <hyperlink ref="M6:M7" location="'NOV 2017'!A77" display="STOCK FUTURE" xr:uid="{00000000-0004-0000-3700-00000C000000}"/>
    <hyperlink ref="M1" location="'MASTER '!A1" display="Back" xr:uid="{00000000-0004-0000-3700-00000D000000}"/>
    <hyperlink ref="M4:M5" location="'NOV 2017'!A1" display="CASH" xr:uid="{00000000-0004-0000-3700-00000E000000}"/>
  </hyperlinks>
  <pageMargins left="0" right="0" top="0" bottom="0" header="0" footer="0"/>
  <pageSetup scale="95" orientation="portrait" r:id="rId8"/>
  <drawing r:id="rId9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2402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40</v>
      </c>
      <c r="O4" s="354">
        <f>V52</f>
        <v>34</v>
      </c>
      <c r="P4" s="354">
        <f>W52</f>
        <v>6</v>
      </c>
      <c r="Q4" s="355">
        <f>N4-O4-P4</f>
        <v>0</v>
      </c>
      <c r="R4" s="314">
        <f>O4/N4</f>
        <v>0.85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43070</v>
      </c>
      <c r="D6" s="158" t="s">
        <v>9</v>
      </c>
      <c r="E6" s="158" t="s">
        <v>796</v>
      </c>
      <c r="F6" s="204">
        <v>1125</v>
      </c>
      <c r="G6" s="230">
        <v>1145</v>
      </c>
      <c r="H6" s="158">
        <v>20</v>
      </c>
      <c r="I6" s="204">
        <f>300000/F6</f>
        <v>266.66666666666669</v>
      </c>
      <c r="J6" s="241">
        <f>H6*I6</f>
        <v>5333.3333333333339</v>
      </c>
      <c r="K6" s="153"/>
      <c r="M6" s="389" t="s">
        <v>450</v>
      </c>
      <c r="N6" s="343">
        <f>COUNT(C60:C82)</f>
        <v>20</v>
      </c>
      <c r="O6" s="345">
        <f>V83</f>
        <v>15</v>
      </c>
      <c r="P6" s="345">
        <f>W83</f>
        <v>5</v>
      </c>
      <c r="Q6" s="347">
        <f>N6-O6-P6</f>
        <v>0</v>
      </c>
      <c r="R6" s="340">
        <f t="shared" ref="R6" si="0">O6/N6</f>
        <v>0.75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43070</v>
      </c>
      <c r="D7" s="161" t="s">
        <v>9</v>
      </c>
      <c r="E7" s="161" t="s">
        <v>796</v>
      </c>
      <c r="F7" s="207">
        <v>1125</v>
      </c>
      <c r="G7" s="207">
        <v>1145</v>
      </c>
      <c r="H7" s="234">
        <v>20</v>
      </c>
      <c r="I7" s="207">
        <f t="shared" ref="I7" si="1">300000/F7</f>
        <v>266.66666666666669</v>
      </c>
      <c r="J7" s="242">
        <f t="shared" ref="J7" si="2">H7*I7</f>
        <v>5333.3333333333339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43073</v>
      </c>
      <c r="D8" s="161" t="s">
        <v>9</v>
      </c>
      <c r="E8" s="161" t="s">
        <v>796</v>
      </c>
      <c r="F8" s="207">
        <v>1143</v>
      </c>
      <c r="G8" s="207">
        <v>1163</v>
      </c>
      <c r="H8" s="161">
        <v>20</v>
      </c>
      <c r="I8" s="207">
        <f t="shared" ref="I8:I45" si="6">300000/F8</f>
        <v>262.46719160104988</v>
      </c>
      <c r="J8" s="242">
        <f t="shared" ref="J8:J45" si="7">H8*I8</f>
        <v>5249.3438320209971</v>
      </c>
      <c r="K8" s="153"/>
      <c r="M8" s="389" t="s">
        <v>451</v>
      </c>
      <c r="N8" s="343">
        <f>COUNT(C91:C113)</f>
        <v>20</v>
      </c>
      <c r="O8" s="345">
        <f>V114</f>
        <v>14</v>
      </c>
      <c r="P8" s="345">
        <f>W114</f>
        <v>6</v>
      </c>
      <c r="Q8" s="347">
        <f>N8-O8-P8</f>
        <v>0</v>
      </c>
      <c r="R8" s="340">
        <f t="shared" ref="R8" si="8">O8/N8</f>
        <v>0.7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43073</v>
      </c>
      <c r="D9" s="161" t="s">
        <v>9</v>
      </c>
      <c r="E9" s="161" t="s">
        <v>796</v>
      </c>
      <c r="F9" s="207">
        <v>1143</v>
      </c>
      <c r="G9" s="222">
        <v>1163</v>
      </c>
      <c r="H9" s="161">
        <v>20</v>
      </c>
      <c r="I9" s="207">
        <f t="shared" si="6"/>
        <v>262.46719160104988</v>
      </c>
      <c r="J9" s="242">
        <f t="shared" si="7"/>
        <v>5249.3438320209971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43074</v>
      </c>
      <c r="D10" s="161" t="s">
        <v>9</v>
      </c>
      <c r="E10" s="161" t="s">
        <v>796</v>
      </c>
      <c r="F10" s="207">
        <v>1147</v>
      </c>
      <c r="G10" s="207">
        <v>1167</v>
      </c>
      <c r="H10" s="161">
        <v>20</v>
      </c>
      <c r="I10" s="207">
        <f t="shared" si="6"/>
        <v>261.55187445510029</v>
      </c>
      <c r="J10" s="242">
        <f t="shared" si="7"/>
        <v>5231.0374891020056</v>
      </c>
      <c r="K10" s="153"/>
      <c r="M10" s="389" t="s">
        <v>1176</v>
      </c>
      <c r="N10" s="343">
        <f>COUNT(C122:C144)</f>
        <v>20</v>
      </c>
      <c r="O10" s="345">
        <f>V145</f>
        <v>14</v>
      </c>
      <c r="P10" s="345">
        <f>W145</f>
        <v>5</v>
      </c>
      <c r="Q10" s="347">
        <f>N10-O10-P10</f>
        <v>1</v>
      </c>
      <c r="R10" s="340">
        <f t="shared" ref="R10:R16" si="9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43074</v>
      </c>
      <c r="D11" s="161" t="s">
        <v>9</v>
      </c>
      <c r="E11" s="161" t="s">
        <v>796</v>
      </c>
      <c r="F11" s="207">
        <v>1147</v>
      </c>
      <c r="G11" s="207">
        <v>1167</v>
      </c>
      <c r="H11" s="234">
        <v>20</v>
      </c>
      <c r="I11" s="207">
        <f t="shared" si="6"/>
        <v>261.55187445510029</v>
      </c>
      <c r="J11" s="242">
        <f t="shared" si="7"/>
        <v>5231.0374891020056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43075</v>
      </c>
      <c r="D12" s="161" t="s">
        <v>9</v>
      </c>
      <c r="E12" s="161" t="s">
        <v>796</v>
      </c>
      <c r="F12" s="207">
        <v>1153</v>
      </c>
      <c r="G12" s="207">
        <v>1160</v>
      </c>
      <c r="H12" s="161">
        <v>7</v>
      </c>
      <c r="I12" s="207">
        <f t="shared" si="6"/>
        <v>260.19080659150046</v>
      </c>
      <c r="J12" s="242">
        <f t="shared" si="7"/>
        <v>1821.3356461405033</v>
      </c>
      <c r="K12" s="153"/>
      <c r="M12" s="389" t="s">
        <v>41</v>
      </c>
      <c r="N12" s="343">
        <f>COUNT(C153:C175)</f>
        <v>20</v>
      </c>
      <c r="O12" s="345">
        <f>V176</f>
        <v>13</v>
      </c>
      <c r="P12" s="345">
        <f>W176</f>
        <v>7</v>
      </c>
      <c r="Q12" s="347">
        <f t="shared" ref="Q12" si="10">N12-O12-P12</f>
        <v>0</v>
      </c>
      <c r="R12" s="340">
        <f t="shared" si="9"/>
        <v>0.65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43075</v>
      </c>
      <c r="D13" s="161" t="s">
        <v>9</v>
      </c>
      <c r="E13" s="161" t="s">
        <v>796</v>
      </c>
      <c r="F13" s="207">
        <v>1153</v>
      </c>
      <c r="G13" s="207">
        <v>1160</v>
      </c>
      <c r="H13" s="234">
        <v>7</v>
      </c>
      <c r="I13" s="207">
        <f t="shared" si="6"/>
        <v>260.19080659150046</v>
      </c>
      <c r="J13" s="242">
        <f t="shared" si="7"/>
        <v>1821.3356461405033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43076</v>
      </c>
      <c r="D14" s="161" t="s">
        <v>9</v>
      </c>
      <c r="E14" s="161" t="s">
        <v>796</v>
      </c>
      <c r="F14" s="207">
        <v>1165</v>
      </c>
      <c r="G14" s="207">
        <v>1175</v>
      </c>
      <c r="H14" s="161">
        <v>10</v>
      </c>
      <c r="I14" s="207">
        <f t="shared" si="6"/>
        <v>257.51072961373393</v>
      </c>
      <c r="J14" s="242">
        <f t="shared" si="7"/>
        <v>2575.1072961373393</v>
      </c>
      <c r="K14" s="153"/>
      <c r="M14" s="389" t="s">
        <v>1175</v>
      </c>
      <c r="N14" s="343">
        <f>COUNT(C184:C206)</f>
        <v>20</v>
      </c>
      <c r="O14" s="345">
        <f>V207</f>
        <v>10</v>
      </c>
      <c r="P14" s="345">
        <f>W207</f>
        <v>10</v>
      </c>
      <c r="Q14" s="347">
        <f t="shared" ref="Q14" si="11">N14-O14-P14</f>
        <v>0</v>
      </c>
      <c r="R14" s="340">
        <f t="shared" si="9"/>
        <v>0.5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43076</v>
      </c>
      <c r="D15" s="161" t="s">
        <v>9</v>
      </c>
      <c r="E15" s="161" t="s">
        <v>796</v>
      </c>
      <c r="F15" s="207">
        <v>1165</v>
      </c>
      <c r="G15" s="207">
        <v>1175</v>
      </c>
      <c r="H15" s="161">
        <v>10</v>
      </c>
      <c r="I15" s="207">
        <f t="shared" si="6"/>
        <v>257.51072961373393</v>
      </c>
      <c r="J15" s="242">
        <f t="shared" si="7"/>
        <v>2575.1072961373393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43077</v>
      </c>
      <c r="D16" s="161" t="s">
        <v>9</v>
      </c>
      <c r="E16" s="161" t="s">
        <v>796</v>
      </c>
      <c r="F16" s="207">
        <v>1182</v>
      </c>
      <c r="G16" s="207">
        <v>1192</v>
      </c>
      <c r="H16" s="161">
        <v>10</v>
      </c>
      <c r="I16" s="207">
        <f t="shared" si="6"/>
        <v>253.80710659898477</v>
      </c>
      <c r="J16" s="242">
        <f t="shared" si="7"/>
        <v>2538.0710659898477</v>
      </c>
      <c r="K16" s="153"/>
      <c r="L16" s="25" t="s">
        <v>2008</v>
      </c>
      <c r="M16" s="389" t="s">
        <v>1090</v>
      </c>
      <c r="N16" s="343">
        <f>COUNT(C215:C237)</f>
        <v>19</v>
      </c>
      <c r="O16" s="345">
        <f>V238</f>
        <v>13</v>
      </c>
      <c r="P16" s="345">
        <f>W238</f>
        <v>5</v>
      </c>
      <c r="Q16" s="347">
        <f t="shared" ref="Q16" si="12">N16-O16-P16</f>
        <v>1</v>
      </c>
      <c r="R16" s="340">
        <f t="shared" si="9"/>
        <v>0.68421052631578949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43077</v>
      </c>
      <c r="D17" s="161" t="s">
        <v>9</v>
      </c>
      <c r="E17" s="161" t="s">
        <v>796</v>
      </c>
      <c r="F17" s="207">
        <v>1182</v>
      </c>
      <c r="G17" s="207">
        <v>1192</v>
      </c>
      <c r="H17" s="161">
        <v>10</v>
      </c>
      <c r="I17" s="207">
        <f t="shared" si="6"/>
        <v>253.80710659898477</v>
      </c>
      <c r="J17" s="242">
        <f t="shared" si="7"/>
        <v>2538.0710659898477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43080</v>
      </c>
      <c r="D18" s="161" t="s">
        <v>9</v>
      </c>
      <c r="E18" s="161" t="s">
        <v>796</v>
      </c>
      <c r="F18" s="207">
        <v>1197</v>
      </c>
      <c r="G18" s="222">
        <v>1207</v>
      </c>
      <c r="H18" s="222">
        <v>10</v>
      </c>
      <c r="I18" s="207">
        <f t="shared" si="6"/>
        <v>250.62656641604011</v>
      </c>
      <c r="J18" s="242">
        <f t="shared" si="7"/>
        <v>2506.2656641604012</v>
      </c>
      <c r="K18" s="153"/>
      <c r="M18" s="334" t="s">
        <v>946</v>
      </c>
      <c r="N18" s="336">
        <f>SUM(N4:N17)</f>
        <v>159</v>
      </c>
      <c r="O18" s="336">
        <f t="shared" ref="O18:Q18" si="13">SUM(O4:O17)</f>
        <v>113</v>
      </c>
      <c r="P18" s="336">
        <f t="shared" si="13"/>
        <v>44</v>
      </c>
      <c r="Q18" s="338">
        <f t="shared" si="13"/>
        <v>2</v>
      </c>
      <c r="R18" s="314">
        <f t="shared" ref="R18" si="14">O18/N18</f>
        <v>0.71069182389937102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43080</v>
      </c>
      <c r="D19" s="161" t="s">
        <v>9</v>
      </c>
      <c r="E19" s="161" t="s">
        <v>796</v>
      </c>
      <c r="F19" s="207">
        <v>1197</v>
      </c>
      <c r="G19" s="222">
        <v>1207</v>
      </c>
      <c r="H19" s="161">
        <v>10</v>
      </c>
      <c r="I19" s="207">
        <f t="shared" si="6"/>
        <v>250.62656641604011</v>
      </c>
      <c r="J19" s="242">
        <f t="shared" si="7"/>
        <v>2506.2656641604012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43081</v>
      </c>
      <c r="D20" s="161" t="s">
        <v>9</v>
      </c>
      <c r="E20" s="161" t="s">
        <v>796</v>
      </c>
      <c r="F20" s="207">
        <v>1195</v>
      </c>
      <c r="G20" s="207">
        <v>1200</v>
      </c>
      <c r="H20" s="161">
        <v>5</v>
      </c>
      <c r="I20" s="207">
        <f t="shared" si="6"/>
        <v>251.04602510460251</v>
      </c>
      <c r="J20" s="242">
        <f t="shared" si="7"/>
        <v>1255.2301255230125</v>
      </c>
      <c r="K20" s="153"/>
      <c r="M20" s="316" t="s">
        <v>2253</v>
      </c>
      <c r="N20" s="317"/>
      <c r="O20" s="318"/>
      <c r="P20" s="325">
        <f>R18</f>
        <v>0.71069182389937102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43081</v>
      </c>
      <c r="D21" s="161" t="s">
        <v>9</v>
      </c>
      <c r="E21" s="161" t="s">
        <v>796</v>
      </c>
      <c r="F21" s="207">
        <v>1195</v>
      </c>
      <c r="G21" s="207">
        <v>1200</v>
      </c>
      <c r="H21" s="161">
        <v>5</v>
      </c>
      <c r="I21" s="207">
        <f t="shared" si="6"/>
        <v>251.04602510460251</v>
      </c>
      <c r="J21" s="242">
        <f t="shared" si="7"/>
        <v>1255.2301255230125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43082</v>
      </c>
      <c r="D22" s="161" t="s">
        <v>9</v>
      </c>
      <c r="E22" s="161" t="s">
        <v>31</v>
      </c>
      <c r="F22" s="207">
        <v>920</v>
      </c>
      <c r="G22" s="207">
        <v>915</v>
      </c>
      <c r="H22" s="161">
        <v>-5</v>
      </c>
      <c r="I22" s="207">
        <f t="shared" si="6"/>
        <v>326.08695652173913</v>
      </c>
      <c r="J22" s="242">
        <f t="shared" si="7"/>
        <v>-1630.4347826086955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43082</v>
      </c>
      <c r="D23" s="161" t="s">
        <v>9</v>
      </c>
      <c r="E23" s="161" t="s">
        <v>31</v>
      </c>
      <c r="F23" s="207">
        <v>920</v>
      </c>
      <c r="G23" s="222">
        <v>915</v>
      </c>
      <c r="H23" s="222">
        <v>-5</v>
      </c>
      <c r="I23" s="207">
        <f t="shared" si="6"/>
        <v>326.08695652173913</v>
      </c>
      <c r="J23" s="242">
        <f t="shared" si="7"/>
        <v>-1630.4347826086955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43083</v>
      </c>
      <c r="D24" s="161" t="s">
        <v>9</v>
      </c>
      <c r="E24" s="161" t="s">
        <v>796</v>
      </c>
      <c r="F24" s="207">
        <v>1194</v>
      </c>
      <c r="G24" s="207">
        <v>1209</v>
      </c>
      <c r="H24" s="161">
        <v>15</v>
      </c>
      <c r="I24" s="207">
        <f t="shared" si="6"/>
        <v>251.25628140703517</v>
      </c>
      <c r="J24" s="242">
        <f t="shared" si="7"/>
        <v>3768.8442211055276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43083</v>
      </c>
      <c r="D25" s="161" t="s">
        <v>9</v>
      </c>
      <c r="E25" s="161" t="s">
        <v>796</v>
      </c>
      <c r="F25" s="207">
        <v>1194</v>
      </c>
      <c r="G25" s="207">
        <v>1209</v>
      </c>
      <c r="H25" s="161">
        <v>15</v>
      </c>
      <c r="I25" s="207">
        <f t="shared" si="6"/>
        <v>251.25628140703517</v>
      </c>
      <c r="J25" s="242">
        <f t="shared" si="7"/>
        <v>3768.8442211055276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43084</v>
      </c>
      <c r="D26" s="161" t="s">
        <v>9</v>
      </c>
      <c r="E26" s="161" t="s">
        <v>796</v>
      </c>
      <c r="F26" s="207">
        <v>1192</v>
      </c>
      <c r="G26" s="222">
        <v>1182</v>
      </c>
      <c r="H26" s="161">
        <v>-10</v>
      </c>
      <c r="I26" s="207">
        <f t="shared" si="6"/>
        <v>251.6778523489933</v>
      </c>
      <c r="J26" s="242">
        <f t="shared" si="7"/>
        <v>-2516.7785234899329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43084</v>
      </c>
      <c r="D27" s="161" t="s">
        <v>9</v>
      </c>
      <c r="E27" s="161" t="s">
        <v>796</v>
      </c>
      <c r="F27" s="207">
        <v>1192</v>
      </c>
      <c r="G27" s="207">
        <v>1182</v>
      </c>
      <c r="H27" s="161">
        <v>-10</v>
      </c>
      <c r="I27" s="207">
        <f t="shared" si="6"/>
        <v>251.6778523489933</v>
      </c>
      <c r="J27" s="242">
        <f t="shared" si="7"/>
        <v>-2516.7785234899329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43087</v>
      </c>
      <c r="D28" s="161" t="s">
        <v>9</v>
      </c>
      <c r="E28" s="161" t="s">
        <v>796</v>
      </c>
      <c r="F28" s="207">
        <v>1193</v>
      </c>
      <c r="G28" s="222">
        <v>1200.5</v>
      </c>
      <c r="H28" s="222">
        <v>7.5</v>
      </c>
      <c r="I28" s="207">
        <f t="shared" si="6"/>
        <v>251.46689019279128</v>
      </c>
      <c r="J28" s="242">
        <f t="shared" si="7"/>
        <v>1886.0016764459347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43087</v>
      </c>
      <c r="D29" s="161" t="s">
        <v>9</v>
      </c>
      <c r="E29" s="161" t="s">
        <v>796</v>
      </c>
      <c r="F29" s="207">
        <v>1193</v>
      </c>
      <c r="G29" s="222">
        <v>1200.5</v>
      </c>
      <c r="H29" s="161">
        <v>7.5</v>
      </c>
      <c r="I29" s="207">
        <f t="shared" si="6"/>
        <v>251.46689019279128</v>
      </c>
      <c r="J29" s="242">
        <f t="shared" si="7"/>
        <v>1886.0016764459347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43088</v>
      </c>
      <c r="D30" s="161" t="s">
        <v>9</v>
      </c>
      <c r="E30" s="161" t="s">
        <v>834</v>
      </c>
      <c r="F30" s="207">
        <v>313</v>
      </c>
      <c r="G30" s="207">
        <v>315</v>
      </c>
      <c r="H30" s="161">
        <v>2</v>
      </c>
      <c r="I30" s="207">
        <f t="shared" si="6"/>
        <v>958.46645367412145</v>
      </c>
      <c r="J30" s="242">
        <f t="shared" si="7"/>
        <v>1916.9329073482429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43088</v>
      </c>
      <c r="D31" s="161" t="s">
        <v>8</v>
      </c>
      <c r="E31" s="161" t="s">
        <v>796</v>
      </c>
      <c r="F31" s="207">
        <v>1162</v>
      </c>
      <c r="G31" s="207">
        <v>1157</v>
      </c>
      <c r="H31" s="161">
        <v>5</v>
      </c>
      <c r="I31" s="207">
        <f t="shared" si="6"/>
        <v>258.17555938037867</v>
      </c>
      <c r="J31" s="242">
        <f t="shared" si="7"/>
        <v>1290.8777969018934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43089</v>
      </c>
      <c r="D32" s="161" t="s">
        <v>9</v>
      </c>
      <c r="E32" s="161" t="s">
        <v>834</v>
      </c>
      <c r="F32" s="207">
        <v>316</v>
      </c>
      <c r="G32" s="222">
        <v>319.39999999999998</v>
      </c>
      <c r="H32" s="161">
        <v>3.4</v>
      </c>
      <c r="I32" s="207">
        <f t="shared" si="6"/>
        <v>949.36708860759495</v>
      </c>
      <c r="J32" s="242">
        <f t="shared" si="7"/>
        <v>3227.8481012658226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43089</v>
      </c>
      <c r="D33" s="161" t="s">
        <v>8</v>
      </c>
      <c r="E33" s="161" t="s">
        <v>395</v>
      </c>
      <c r="F33" s="207">
        <v>2365</v>
      </c>
      <c r="G33" s="222">
        <v>2354</v>
      </c>
      <c r="H33" s="161">
        <v>11</v>
      </c>
      <c r="I33" s="207">
        <f t="shared" si="6"/>
        <v>126.84989429175475</v>
      </c>
      <c r="J33" s="242">
        <f t="shared" si="7"/>
        <v>1395.3488372093022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43090</v>
      </c>
      <c r="D34" s="161" t="s">
        <v>9</v>
      </c>
      <c r="E34" s="161" t="s">
        <v>796</v>
      </c>
      <c r="F34" s="207">
        <v>1175</v>
      </c>
      <c r="G34" s="207">
        <v>1195</v>
      </c>
      <c r="H34" s="161">
        <v>20</v>
      </c>
      <c r="I34" s="207">
        <f t="shared" si="6"/>
        <v>255.31914893617022</v>
      </c>
      <c r="J34" s="242">
        <f t="shared" si="7"/>
        <v>5106.3829787234044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43090</v>
      </c>
      <c r="D35" s="161" t="s">
        <v>8</v>
      </c>
      <c r="E35" s="161" t="s">
        <v>395</v>
      </c>
      <c r="F35" s="207">
        <v>2360</v>
      </c>
      <c r="G35" s="207">
        <v>2342</v>
      </c>
      <c r="H35" s="161">
        <v>18</v>
      </c>
      <c r="I35" s="207">
        <f t="shared" si="6"/>
        <v>127.11864406779661</v>
      </c>
      <c r="J35" s="242">
        <f t="shared" si="7"/>
        <v>2288.1355932203392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43091</v>
      </c>
      <c r="D36" s="161" t="s">
        <v>9</v>
      </c>
      <c r="E36" s="161" t="s">
        <v>2023</v>
      </c>
      <c r="F36" s="207">
        <v>1770</v>
      </c>
      <c r="G36" s="207">
        <v>1785</v>
      </c>
      <c r="H36" s="161">
        <v>15</v>
      </c>
      <c r="I36" s="207">
        <f t="shared" si="6"/>
        <v>169.4915254237288</v>
      </c>
      <c r="J36" s="242">
        <f t="shared" si="7"/>
        <v>2542.3728813559319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43091</v>
      </c>
      <c r="D37" s="161" t="s">
        <v>8</v>
      </c>
      <c r="E37" s="161" t="s">
        <v>395</v>
      </c>
      <c r="F37" s="207">
        <v>2345</v>
      </c>
      <c r="G37" s="207">
        <v>2333</v>
      </c>
      <c r="H37" s="161">
        <v>12</v>
      </c>
      <c r="I37" s="207">
        <f t="shared" si="6"/>
        <v>127.93176972281449</v>
      </c>
      <c r="J37" s="242">
        <f t="shared" si="7"/>
        <v>1535.181236673774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43095</v>
      </c>
      <c r="D38" s="161" t="s">
        <v>9</v>
      </c>
      <c r="E38" s="161" t="s">
        <v>395</v>
      </c>
      <c r="F38" s="207">
        <v>2355</v>
      </c>
      <c r="G38" s="207">
        <v>2365</v>
      </c>
      <c r="H38" s="161">
        <v>10</v>
      </c>
      <c r="I38" s="207">
        <f t="shared" si="6"/>
        <v>127.38853503184713</v>
      </c>
      <c r="J38" s="242">
        <f t="shared" si="7"/>
        <v>1273.8853503184712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43095</v>
      </c>
      <c r="D39" s="161" t="s">
        <v>9</v>
      </c>
      <c r="E39" s="161" t="s">
        <v>796</v>
      </c>
      <c r="F39" s="207">
        <v>1177</v>
      </c>
      <c r="G39" s="207">
        <v>1178</v>
      </c>
      <c r="H39" s="161">
        <v>1</v>
      </c>
      <c r="I39" s="207">
        <f t="shared" si="6"/>
        <v>254.88530161427357</v>
      </c>
      <c r="J39" s="242">
        <f t="shared" si="7"/>
        <v>254.88530161427357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43096</v>
      </c>
      <c r="D40" s="161" t="s">
        <v>9</v>
      </c>
      <c r="E40" s="161" t="s">
        <v>2023</v>
      </c>
      <c r="F40" s="207">
        <v>1790</v>
      </c>
      <c r="G40" s="222">
        <v>1795</v>
      </c>
      <c r="H40" s="161">
        <v>5</v>
      </c>
      <c r="I40" s="207">
        <f t="shared" si="6"/>
        <v>167.5977653631285</v>
      </c>
      <c r="J40" s="242">
        <f t="shared" si="7"/>
        <v>837.98882681564248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43096</v>
      </c>
      <c r="D41" s="161" t="s">
        <v>9</v>
      </c>
      <c r="E41" s="161" t="s">
        <v>2023</v>
      </c>
      <c r="F41" s="207">
        <v>1790</v>
      </c>
      <c r="G41" s="223">
        <v>1795</v>
      </c>
      <c r="H41" s="222">
        <v>5</v>
      </c>
      <c r="I41" s="207">
        <f t="shared" si="6"/>
        <v>167.5977653631285</v>
      </c>
      <c r="J41" s="242">
        <f t="shared" si="7"/>
        <v>837.98882681564248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43097</v>
      </c>
      <c r="D42" s="161" t="s">
        <v>9</v>
      </c>
      <c r="E42" s="161" t="s">
        <v>2023</v>
      </c>
      <c r="F42" s="207">
        <v>1772</v>
      </c>
      <c r="G42" s="207">
        <v>1762</v>
      </c>
      <c r="H42" s="161">
        <v>-10</v>
      </c>
      <c r="I42" s="207">
        <f t="shared" si="6"/>
        <v>169.30022573363431</v>
      </c>
      <c r="J42" s="242">
        <f t="shared" si="7"/>
        <v>-1693.0022573363431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43097</v>
      </c>
      <c r="D43" s="161" t="s">
        <v>9</v>
      </c>
      <c r="E43" s="161" t="s">
        <v>2023</v>
      </c>
      <c r="F43" s="207">
        <v>1772</v>
      </c>
      <c r="G43" s="207">
        <v>1762</v>
      </c>
      <c r="H43" s="161">
        <v>-10</v>
      </c>
      <c r="I43" s="207">
        <f t="shared" si="6"/>
        <v>169.30022573363431</v>
      </c>
      <c r="J43" s="242">
        <f t="shared" si="7"/>
        <v>-1693.0022573363431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43098</v>
      </c>
      <c r="D44" s="161" t="s">
        <v>9</v>
      </c>
      <c r="E44" s="161" t="s">
        <v>2023</v>
      </c>
      <c r="F44" s="207">
        <v>1760</v>
      </c>
      <c r="G44" s="207">
        <v>1761</v>
      </c>
      <c r="H44" s="161">
        <v>1</v>
      </c>
      <c r="I44" s="207">
        <f t="shared" si="6"/>
        <v>170.45454545454547</v>
      </c>
      <c r="J44" s="242">
        <f t="shared" si="7"/>
        <v>170.45454545454547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43098</v>
      </c>
      <c r="D45" s="161" t="s">
        <v>8</v>
      </c>
      <c r="E45" s="161" t="s">
        <v>796</v>
      </c>
      <c r="F45" s="207">
        <v>1218</v>
      </c>
      <c r="G45" s="207">
        <v>1204</v>
      </c>
      <c r="H45" s="161">
        <v>14</v>
      </c>
      <c r="I45" s="207">
        <f t="shared" si="6"/>
        <v>246.30541871921181</v>
      </c>
      <c r="J45" s="242">
        <f t="shared" si="7"/>
        <v>3448.2758620689656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78775.268618834118</v>
      </c>
      <c r="K52" s="153"/>
      <c r="V52" s="25">
        <f>SUM(V6:V51)</f>
        <v>34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2402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43070</v>
      </c>
      <c r="D60" s="158" t="s">
        <v>9</v>
      </c>
      <c r="E60" s="158" t="s">
        <v>371</v>
      </c>
      <c r="F60" s="204">
        <v>460</v>
      </c>
      <c r="G60" s="230">
        <v>455</v>
      </c>
      <c r="H60" s="158">
        <v>-5</v>
      </c>
      <c r="I60" s="204">
        <v>1250</v>
      </c>
      <c r="J60" s="241">
        <f t="shared" ref="J60:J82" si="15">I60*H60</f>
        <v>-6250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43073</v>
      </c>
      <c r="D61" s="161" t="s">
        <v>8</v>
      </c>
      <c r="E61" s="161" t="s">
        <v>95</v>
      </c>
      <c r="F61" s="207">
        <v>307</v>
      </c>
      <c r="G61" s="222">
        <v>304</v>
      </c>
      <c r="H61" s="161">
        <v>3</v>
      </c>
      <c r="I61" s="207">
        <v>2750</v>
      </c>
      <c r="J61" s="242">
        <f t="shared" si="15"/>
        <v>8250</v>
      </c>
      <c r="K61" s="153"/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43074</v>
      </c>
      <c r="D62" s="161" t="s">
        <v>9</v>
      </c>
      <c r="E62" s="161" t="s">
        <v>796</v>
      </c>
      <c r="F62" s="207">
        <v>1140</v>
      </c>
      <c r="G62" s="222">
        <v>1160</v>
      </c>
      <c r="H62" s="222">
        <v>20</v>
      </c>
      <c r="I62" s="207">
        <v>500</v>
      </c>
      <c r="J62" s="242">
        <f t="shared" si="15"/>
        <v>10000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43075</v>
      </c>
      <c r="D63" s="161" t="s">
        <v>9</v>
      </c>
      <c r="E63" s="161" t="s">
        <v>796</v>
      </c>
      <c r="F63" s="222">
        <v>1148</v>
      </c>
      <c r="G63" s="222">
        <v>1153</v>
      </c>
      <c r="H63" s="222">
        <v>5</v>
      </c>
      <c r="I63" s="207">
        <v>500</v>
      </c>
      <c r="J63" s="242">
        <f t="shared" si="15"/>
        <v>2500</v>
      </c>
      <c r="K63" s="153"/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43076</v>
      </c>
      <c r="D64" s="161" t="s">
        <v>9</v>
      </c>
      <c r="E64" s="161" t="s">
        <v>796</v>
      </c>
      <c r="F64" s="207">
        <v>1157</v>
      </c>
      <c r="G64" s="222">
        <v>1167</v>
      </c>
      <c r="H64" s="161">
        <v>10</v>
      </c>
      <c r="I64" s="207">
        <v>500</v>
      </c>
      <c r="J64" s="242">
        <f t="shared" si="15"/>
        <v>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43077</v>
      </c>
      <c r="D65" s="161" t="s">
        <v>9</v>
      </c>
      <c r="E65" s="161" t="s">
        <v>796</v>
      </c>
      <c r="F65" s="207">
        <v>1177</v>
      </c>
      <c r="G65" s="222">
        <v>1187</v>
      </c>
      <c r="H65" s="161">
        <v>10</v>
      </c>
      <c r="I65" s="207">
        <v>500</v>
      </c>
      <c r="J65" s="242">
        <f t="shared" si="15"/>
        <v>5000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43080</v>
      </c>
      <c r="D66" s="161" t="s">
        <v>9</v>
      </c>
      <c r="E66" s="161" t="s">
        <v>796</v>
      </c>
      <c r="F66" s="207">
        <v>1196</v>
      </c>
      <c r="G66" s="207">
        <v>1206</v>
      </c>
      <c r="H66" s="161">
        <v>10</v>
      </c>
      <c r="I66" s="207">
        <v>500</v>
      </c>
      <c r="J66" s="242">
        <f t="shared" si="15"/>
        <v>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43081</v>
      </c>
      <c r="D67" s="161" t="s">
        <v>9</v>
      </c>
      <c r="E67" s="161" t="s">
        <v>796</v>
      </c>
      <c r="F67" s="207">
        <v>1195</v>
      </c>
      <c r="G67" s="222">
        <v>1185</v>
      </c>
      <c r="H67" s="161">
        <v>-10</v>
      </c>
      <c r="I67" s="207">
        <v>500</v>
      </c>
      <c r="J67" s="242">
        <f t="shared" si="15"/>
        <v>-5000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43082</v>
      </c>
      <c r="D68" s="161" t="s">
        <v>8</v>
      </c>
      <c r="E68" s="161" t="s">
        <v>192</v>
      </c>
      <c r="F68" s="207">
        <v>363</v>
      </c>
      <c r="G68" s="222">
        <v>355.5</v>
      </c>
      <c r="H68" s="222">
        <v>7.5</v>
      </c>
      <c r="I68" s="207">
        <v>3084</v>
      </c>
      <c r="J68" s="242">
        <f t="shared" si="15"/>
        <v>23130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43083</v>
      </c>
      <c r="D69" s="161" t="s">
        <v>8</v>
      </c>
      <c r="E69" s="161" t="s">
        <v>95</v>
      </c>
      <c r="F69" s="222">
        <v>303.5</v>
      </c>
      <c r="G69" s="222">
        <v>306.5</v>
      </c>
      <c r="H69" s="222">
        <v>-3</v>
      </c>
      <c r="I69" s="207">
        <v>2750</v>
      </c>
      <c r="J69" s="242">
        <f t="shared" si="15"/>
        <v>-8250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43084</v>
      </c>
      <c r="D70" s="161" t="s">
        <v>8</v>
      </c>
      <c r="E70" s="161" t="s">
        <v>308</v>
      </c>
      <c r="F70" s="222">
        <v>442</v>
      </c>
      <c r="G70" s="222">
        <v>439.8</v>
      </c>
      <c r="H70" s="222">
        <v>2.2000000000000002</v>
      </c>
      <c r="I70" s="207">
        <v>1575</v>
      </c>
      <c r="J70" s="242">
        <f t="shared" si="15"/>
        <v>3465.0000000000005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43087</v>
      </c>
      <c r="D71" s="161" t="s">
        <v>9</v>
      </c>
      <c r="E71" s="161" t="s">
        <v>95</v>
      </c>
      <c r="F71" s="222">
        <v>308</v>
      </c>
      <c r="G71" s="222">
        <v>313.2</v>
      </c>
      <c r="H71" s="222">
        <v>5.2</v>
      </c>
      <c r="I71" s="207">
        <v>2750</v>
      </c>
      <c r="J71" s="242">
        <f t="shared" si="15"/>
        <v>14300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43088</v>
      </c>
      <c r="D72" s="161" t="s">
        <v>8</v>
      </c>
      <c r="E72" s="161" t="s">
        <v>13</v>
      </c>
      <c r="F72" s="222">
        <v>443</v>
      </c>
      <c r="G72" s="222">
        <v>440.4</v>
      </c>
      <c r="H72" s="222">
        <v>2.6</v>
      </c>
      <c r="I72" s="207">
        <v>1300</v>
      </c>
      <c r="J72" s="242">
        <f t="shared" si="15"/>
        <v>3380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43089</v>
      </c>
      <c r="D73" s="161" t="s">
        <v>8</v>
      </c>
      <c r="E73" s="161" t="s">
        <v>19</v>
      </c>
      <c r="F73" s="223">
        <v>317.5</v>
      </c>
      <c r="G73" s="222">
        <v>318</v>
      </c>
      <c r="H73" s="255">
        <v>-0.5</v>
      </c>
      <c r="I73" s="207">
        <v>3000</v>
      </c>
      <c r="J73" s="242">
        <f t="shared" si="15"/>
        <v>-1500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43090</v>
      </c>
      <c r="D74" s="161" t="s">
        <v>8</v>
      </c>
      <c r="E74" s="161" t="s">
        <v>31</v>
      </c>
      <c r="F74" s="222">
        <v>922</v>
      </c>
      <c r="G74" s="222">
        <v>915.5</v>
      </c>
      <c r="H74" s="255">
        <v>6.5</v>
      </c>
      <c r="I74" s="207">
        <v>1000</v>
      </c>
      <c r="J74" s="242">
        <f t="shared" si="15"/>
        <v>6500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43091</v>
      </c>
      <c r="D75" s="161" t="s">
        <v>8</v>
      </c>
      <c r="E75" s="161" t="s">
        <v>31</v>
      </c>
      <c r="F75" s="222">
        <v>923</v>
      </c>
      <c r="G75" s="222">
        <v>916.5</v>
      </c>
      <c r="H75" s="222">
        <v>6.5</v>
      </c>
      <c r="I75" s="207">
        <v>1000</v>
      </c>
      <c r="J75" s="242">
        <f t="shared" si="15"/>
        <v>6500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43095</v>
      </c>
      <c r="D76" s="161" t="s">
        <v>9</v>
      </c>
      <c r="E76" s="161" t="s">
        <v>2416</v>
      </c>
      <c r="F76" s="222">
        <v>1780</v>
      </c>
      <c r="G76" s="222">
        <v>1795</v>
      </c>
      <c r="H76" s="222">
        <v>15</v>
      </c>
      <c r="I76" s="207">
        <v>500</v>
      </c>
      <c r="J76" s="242">
        <f t="shared" si="15"/>
        <v>7500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43096</v>
      </c>
      <c r="D77" s="161" t="s">
        <v>9</v>
      </c>
      <c r="E77" s="161" t="s">
        <v>796</v>
      </c>
      <c r="F77" s="222">
        <v>1190</v>
      </c>
      <c r="G77" s="222">
        <v>1204</v>
      </c>
      <c r="H77" s="222">
        <v>14</v>
      </c>
      <c r="I77" s="207">
        <v>500</v>
      </c>
      <c r="J77" s="242">
        <f t="shared" si="15"/>
        <v>7000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43097</v>
      </c>
      <c r="D78" s="161" t="s">
        <v>9</v>
      </c>
      <c r="E78" s="161" t="s">
        <v>192</v>
      </c>
      <c r="F78" s="222">
        <v>366</v>
      </c>
      <c r="G78" s="222">
        <v>361.5</v>
      </c>
      <c r="H78" s="222">
        <v>4.5</v>
      </c>
      <c r="I78" s="207">
        <v>3084</v>
      </c>
      <c r="J78" s="242">
        <f t="shared" si="15"/>
        <v>13878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43098</v>
      </c>
      <c r="D79" s="161" t="s">
        <v>9</v>
      </c>
      <c r="E79" s="161" t="s">
        <v>192</v>
      </c>
      <c r="F79" s="222">
        <v>366</v>
      </c>
      <c r="G79" s="222">
        <v>362</v>
      </c>
      <c r="H79" s="222">
        <v>-4</v>
      </c>
      <c r="I79" s="207">
        <v>1600</v>
      </c>
      <c r="J79" s="242">
        <f t="shared" si="15"/>
        <v>-6400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94003</v>
      </c>
      <c r="K83" s="153"/>
      <c r="V83" s="25">
        <f>SUM(V60:V82)</f>
        <v>15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2402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43070</v>
      </c>
      <c r="D91" s="185" t="s">
        <v>8</v>
      </c>
      <c r="E91" s="185" t="s">
        <v>39</v>
      </c>
      <c r="F91" s="219">
        <v>10285</v>
      </c>
      <c r="G91" s="219">
        <v>10225</v>
      </c>
      <c r="H91" s="185">
        <v>60</v>
      </c>
      <c r="I91" s="219">
        <v>150</v>
      </c>
      <c r="J91" s="246">
        <f t="shared" ref="J91:J113" si="19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43073</v>
      </c>
      <c r="D92" s="161" t="s">
        <v>8</v>
      </c>
      <c r="E92" s="161" t="s">
        <v>39</v>
      </c>
      <c r="F92" s="207">
        <v>10175</v>
      </c>
      <c r="G92" s="207">
        <v>10145</v>
      </c>
      <c r="H92" s="161">
        <v>30</v>
      </c>
      <c r="I92" s="207">
        <v>150</v>
      </c>
      <c r="J92" s="242">
        <f t="shared" si="19"/>
        <v>4500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43074</v>
      </c>
      <c r="D93" s="161" t="s">
        <v>8</v>
      </c>
      <c r="E93" s="161" t="s">
        <v>39</v>
      </c>
      <c r="F93" s="207">
        <v>10125</v>
      </c>
      <c r="G93" s="207">
        <v>10110</v>
      </c>
      <c r="H93" s="161">
        <v>15</v>
      </c>
      <c r="I93" s="207">
        <v>150</v>
      </c>
      <c r="J93" s="242">
        <f t="shared" si="19"/>
        <v>2250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43075</v>
      </c>
      <c r="D94" s="161" t="s">
        <v>8</v>
      </c>
      <c r="E94" s="161" t="s">
        <v>39</v>
      </c>
      <c r="F94" s="207">
        <v>10110</v>
      </c>
      <c r="G94" s="207">
        <v>10068</v>
      </c>
      <c r="H94" s="161">
        <v>42</v>
      </c>
      <c r="I94" s="207">
        <v>150</v>
      </c>
      <c r="J94" s="242">
        <f t="shared" si="19"/>
        <v>6300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43076</v>
      </c>
      <c r="D95" s="161" t="s">
        <v>8</v>
      </c>
      <c r="E95" s="161" t="s">
        <v>39</v>
      </c>
      <c r="F95" s="207">
        <v>10120</v>
      </c>
      <c r="G95" s="207">
        <v>10150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6</v>
      </c>
      <c r="C96" s="206">
        <v>43077</v>
      </c>
      <c r="D96" s="161" t="s">
        <v>8</v>
      </c>
      <c r="E96" s="161" t="s">
        <v>39</v>
      </c>
      <c r="F96" s="207">
        <v>10280</v>
      </c>
      <c r="G96" s="207">
        <v>10265</v>
      </c>
      <c r="H96" s="161">
        <v>15</v>
      </c>
      <c r="I96" s="207">
        <v>150</v>
      </c>
      <c r="J96" s="242">
        <f t="shared" si="19"/>
        <v>2250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7</v>
      </c>
      <c r="C97" s="206">
        <v>43080</v>
      </c>
      <c r="D97" s="161" t="s">
        <v>8</v>
      </c>
      <c r="E97" s="161" t="s">
        <v>39</v>
      </c>
      <c r="F97" s="207">
        <v>10335</v>
      </c>
      <c r="G97" s="207">
        <v>10305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43081</v>
      </c>
      <c r="D98" s="161" t="s">
        <v>8</v>
      </c>
      <c r="E98" s="161" t="s">
        <v>39</v>
      </c>
      <c r="F98" s="207">
        <v>10310</v>
      </c>
      <c r="G98" s="207">
        <v>10270</v>
      </c>
      <c r="H98" s="161">
        <v>40</v>
      </c>
      <c r="I98" s="207">
        <v>150</v>
      </c>
      <c r="J98" s="242">
        <f t="shared" si="19"/>
        <v>6000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9</v>
      </c>
      <c r="C99" s="206">
        <v>43082</v>
      </c>
      <c r="D99" s="161" t="s">
        <v>8</v>
      </c>
      <c r="E99" s="161" t="s">
        <v>39</v>
      </c>
      <c r="F99" s="207">
        <v>10250</v>
      </c>
      <c r="G99" s="207">
        <v>10280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10</v>
      </c>
      <c r="C100" s="206">
        <v>43083</v>
      </c>
      <c r="D100" s="161" t="s">
        <v>8</v>
      </c>
      <c r="E100" s="161" t="s">
        <v>39</v>
      </c>
      <c r="F100" s="207">
        <v>10225</v>
      </c>
      <c r="G100" s="207">
        <v>10165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43084</v>
      </c>
      <c r="D101" s="161" t="s">
        <v>8</v>
      </c>
      <c r="E101" s="161" t="s">
        <v>39</v>
      </c>
      <c r="F101" s="207">
        <v>10380</v>
      </c>
      <c r="G101" s="207">
        <v>10350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43087</v>
      </c>
      <c r="D102" s="161" t="s">
        <v>9</v>
      </c>
      <c r="E102" s="161" t="s">
        <v>39</v>
      </c>
      <c r="F102" s="207">
        <v>10390</v>
      </c>
      <c r="G102" s="207">
        <v>10450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43088</v>
      </c>
      <c r="D103" s="161" t="s">
        <v>8</v>
      </c>
      <c r="E103" s="161" t="s">
        <v>39</v>
      </c>
      <c r="F103" s="207">
        <v>10430</v>
      </c>
      <c r="G103" s="207">
        <v>10460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14</v>
      </c>
      <c r="C104" s="206">
        <v>43089</v>
      </c>
      <c r="D104" s="161" t="s">
        <v>8</v>
      </c>
      <c r="E104" s="161" t="s">
        <v>39</v>
      </c>
      <c r="F104" s="207">
        <v>10470</v>
      </c>
      <c r="G104" s="207">
        <v>10500</v>
      </c>
      <c r="H104" s="161">
        <v>-30</v>
      </c>
      <c r="I104" s="207">
        <v>150</v>
      </c>
      <c r="J104" s="242">
        <f t="shared" si="19"/>
        <v>-4500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15</v>
      </c>
      <c r="C105" s="206">
        <v>43090</v>
      </c>
      <c r="D105" s="161" t="s">
        <v>8</v>
      </c>
      <c r="E105" s="161" t="s">
        <v>39</v>
      </c>
      <c r="F105" s="207">
        <v>10465</v>
      </c>
      <c r="G105" s="207">
        <v>10448</v>
      </c>
      <c r="H105" s="161">
        <v>17</v>
      </c>
      <c r="I105" s="207">
        <v>150</v>
      </c>
      <c r="J105" s="242">
        <f t="shared" si="19"/>
        <v>2550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43091</v>
      </c>
      <c r="D106" s="161" t="s">
        <v>8</v>
      </c>
      <c r="E106" s="161" t="s">
        <v>39</v>
      </c>
      <c r="F106" s="207">
        <v>10500</v>
      </c>
      <c r="G106" s="207">
        <v>10477</v>
      </c>
      <c r="H106" s="161">
        <v>23</v>
      </c>
      <c r="I106" s="207">
        <v>150</v>
      </c>
      <c r="J106" s="242">
        <f t="shared" si="19"/>
        <v>3450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17</v>
      </c>
      <c r="C107" s="206">
        <v>43095</v>
      </c>
      <c r="D107" s="161" t="s">
        <v>8</v>
      </c>
      <c r="E107" s="161" t="s">
        <v>39</v>
      </c>
      <c r="F107" s="207">
        <v>10505</v>
      </c>
      <c r="G107" s="207">
        <v>10515</v>
      </c>
      <c r="H107" s="161">
        <v>-10</v>
      </c>
      <c r="I107" s="207">
        <v>150</v>
      </c>
      <c r="J107" s="242">
        <f t="shared" si="19"/>
        <v>-1500</v>
      </c>
      <c r="K107" s="153"/>
      <c r="V107" s="25">
        <f t="shared" si="20"/>
        <v>0</v>
      </c>
      <c r="W107" s="25">
        <f t="shared" si="21"/>
        <v>1</v>
      </c>
    </row>
    <row r="108" spans="1:23" x14ac:dyDescent="0.3">
      <c r="A108" s="147"/>
      <c r="B108" s="205">
        <f t="shared" si="22"/>
        <v>18</v>
      </c>
      <c r="C108" s="206">
        <v>43096</v>
      </c>
      <c r="D108" s="161" t="s">
        <v>9</v>
      </c>
      <c r="E108" s="161" t="s">
        <v>39</v>
      </c>
      <c r="F108" s="207">
        <v>10540</v>
      </c>
      <c r="G108" s="207">
        <v>10560</v>
      </c>
      <c r="H108" s="161">
        <v>20</v>
      </c>
      <c r="I108" s="207">
        <v>150</v>
      </c>
      <c r="J108" s="242">
        <f t="shared" si="19"/>
        <v>3000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43097</v>
      </c>
      <c r="D109" s="161" t="s">
        <v>8</v>
      </c>
      <c r="E109" s="161" t="s">
        <v>39</v>
      </c>
      <c r="F109" s="207">
        <v>10500</v>
      </c>
      <c r="G109" s="207">
        <v>10530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20</v>
      </c>
      <c r="C110" s="206">
        <v>43098</v>
      </c>
      <c r="D110" s="161" t="s">
        <v>9</v>
      </c>
      <c r="E110" s="161" t="s">
        <v>39</v>
      </c>
      <c r="F110" s="207">
        <v>10540</v>
      </c>
      <c r="G110" s="207">
        <v>10562</v>
      </c>
      <c r="H110" s="161">
        <v>22</v>
      </c>
      <c r="I110" s="207">
        <v>150</v>
      </c>
      <c r="J110" s="242">
        <f t="shared" si="19"/>
        <v>3300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45600</v>
      </c>
      <c r="K114" s="153"/>
      <c r="V114" s="25">
        <f>SUM(V91:V113)</f>
        <v>14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2402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43070</v>
      </c>
      <c r="D122" s="185" t="s">
        <v>9</v>
      </c>
      <c r="E122" s="185" t="s">
        <v>2348</v>
      </c>
      <c r="F122" s="219">
        <v>140</v>
      </c>
      <c r="G122" s="219">
        <v>175</v>
      </c>
      <c r="H122" s="185">
        <v>35</v>
      </c>
      <c r="I122" s="219">
        <v>300</v>
      </c>
      <c r="J122" s="246">
        <f t="shared" ref="J122:J144" si="23">I122*H122</f>
        <v>10500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43073</v>
      </c>
      <c r="D123" s="161" t="s">
        <v>9</v>
      </c>
      <c r="E123" s="161" t="s">
        <v>2346</v>
      </c>
      <c r="F123" s="207">
        <v>155</v>
      </c>
      <c r="G123" s="207">
        <v>170</v>
      </c>
      <c r="H123" s="161">
        <v>15</v>
      </c>
      <c r="I123" s="207">
        <v>300</v>
      </c>
      <c r="J123" s="242">
        <f t="shared" si="23"/>
        <v>4500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43074</v>
      </c>
      <c r="D124" s="161" t="s">
        <v>9</v>
      </c>
      <c r="E124" s="161" t="s">
        <v>2299</v>
      </c>
      <c r="F124" s="207">
        <v>133</v>
      </c>
      <c r="G124" s="207">
        <v>148</v>
      </c>
      <c r="H124" s="161">
        <v>15</v>
      </c>
      <c r="I124" s="207">
        <v>300</v>
      </c>
      <c r="J124" s="242">
        <f t="shared" si="23"/>
        <v>4500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43075</v>
      </c>
      <c r="D125" s="161" t="s">
        <v>9</v>
      </c>
      <c r="E125" s="161" t="s">
        <v>2299</v>
      </c>
      <c r="F125" s="207">
        <v>140</v>
      </c>
      <c r="G125" s="207">
        <v>163</v>
      </c>
      <c r="H125" s="161">
        <v>23</v>
      </c>
      <c r="I125" s="207">
        <v>300</v>
      </c>
      <c r="J125" s="242">
        <f t="shared" si="23"/>
        <v>6900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43076</v>
      </c>
      <c r="D126" s="161" t="s">
        <v>9</v>
      </c>
      <c r="E126" s="161" t="s">
        <v>2299</v>
      </c>
      <c r="F126" s="207">
        <v>130</v>
      </c>
      <c r="G126" s="207">
        <v>110</v>
      </c>
      <c r="H126" s="161">
        <v>-20</v>
      </c>
      <c r="I126" s="207">
        <v>300</v>
      </c>
      <c r="J126" s="242">
        <f t="shared" si="23"/>
        <v>-6000</v>
      </c>
      <c r="K126" s="153"/>
      <c r="M126" s="25" t="s">
        <v>2008</v>
      </c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6</v>
      </c>
      <c r="C127" s="206">
        <v>43077</v>
      </c>
      <c r="D127" s="161" t="s">
        <v>9</v>
      </c>
      <c r="E127" s="161" t="s">
        <v>2348</v>
      </c>
      <c r="F127" s="207">
        <v>132</v>
      </c>
      <c r="G127" s="207">
        <v>142</v>
      </c>
      <c r="H127" s="161">
        <v>10</v>
      </c>
      <c r="I127" s="207">
        <v>300</v>
      </c>
      <c r="J127" s="242">
        <f t="shared" si="23"/>
        <v>3000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43080</v>
      </c>
      <c r="D128" s="161" t="s">
        <v>9</v>
      </c>
      <c r="E128" s="161" t="s">
        <v>2348</v>
      </c>
      <c r="F128" s="207">
        <v>105</v>
      </c>
      <c r="G128" s="207">
        <v>115</v>
      </c>
      <c r="H128" s="161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43081</v>
      </c>
      <c r="D129" s="161" t="s">
        <v>9</v>
      </c>
      <c r="E129" s="161" t="s">
        <v>2348</v>
      </c>
      <c r="F129" s="207">
        <v>120</v>
      </c>
      <c r="G129" s="207">
        <v>145</v>
      </c>
      <c r="H129" s="161">
        <v>25</v>
      </c>
      <c r="I129" s="207">
        <v>300</v>
      </c>
      <c r="J129" s="242">
        <f t="shared" si="23"/>
        <v>7500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43082</v>
      </c>
      <c r="D130" s="161" t="s">
        <v>9</v>
      </c>
      <c r="E130" s="161" t="s">
        <v>2348</v>
      </c>
      <c r="F130" s="207">
        <v>155</v>
      </c>
      <c r="G130" s="207">
        <v>135</v>
      </c>
      <c r="H130" s="161">
        <v>-20</v>
      </c>
      <c r="I130" s="207">
        <v>300</v>
      </c>
      <c r="J130" s="242">
        <f t="shared" si="23"/>
        <v>-6000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10</v>
      </c>
      <c r="C131" s="206">
        <v>43083</v>
      </c>
      <c r="D131" s="161" t="s">
        <v>9</v>
      </c>
      <c r="E131" s="161" t="s">
        <v>2346</v>
      </c>
      <c r="F131" s="207">
        <v>130</v>
      </c>
      <c r="G131" s="207">
        <v>165</v>
      </c>
      <c r="H131" s="161">
        <v>35</v>
      </c>
      <c r="I131" s="207">
        <v>300</v>
      </c>
      <c r="J131" s="242">
        <f t="shared" si="23"/>
        <v>10500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43084</v>
      </c>
      <c r="D132" s="161" t="s">
        <v>9</v>
      </c>
      <c r="E132" s="161" t="s">
        <v>2376</v>
      </c>
      <c r="F132" s="207">
        <v>120</v>
      </c>
      <c r="G132" s="207">
        <v>135</v>
      </c>
      <c r="H132" s="161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43087</v>
      </c>
      <c r="D133" s="161" t="s">
        <v>9</v>
      </c>
      <c r="E133" s="161" t="s">
        <v>2378</v>
      </c>
      <c r="F133" s="207">
        <v>150</v>
      </c>
      <c r="G133" s="207">
        <v>180</v>
      </c>
      <c r="H133" s="161">
        <v>30</v>
      </c>
      <c r="I133" s="207">
        <v>300</v>
      </c>
      <c r="J133" s="242">
        <f t="shared" si="23"/>
        <v>9000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43088</v>
      </c>
      <c r="D134" s="161" t="s">
        <v>9</v>
      </c>
      <c r="E134" s="161" t="s">
        <v>2373</v>
      </c>
      <c r="F134" s="207">
        <v>115</v>
      </c>
      <c r="G134" s="207">
        <v>95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14</v>
      </c>
      <c r="C135" s="206">
        <v>43089</v>
      </c>
      <c r="D135" s="161" t="s">
        <v>9</v>
      </c>
      <c r="E135" s="161" t="s">
        <v>2412</v>
      </c>
      <c r="F135" s="207">
        <v>150</v>
      </c>
      <c r="G135" s="207">
        <v>130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6"/>
        <v>15</v>
      </c>
      <c r="C136" s="206">
        <v>43090</v>
      </c>
      <c r="D136" s="161" t="s">
        <v>9</v>
      </c>
      <c r="E136" s="161" t="s">
        <v>2412</v>
      </c>
      <c r="F136" s="207">
        <v>145</v>
      </c>
      <c r="G136" s="207">
        <v>155</v>
      </c>
      <c r="H136" s="161">
        <v>10</v>
      </c>
      <c r="I136" s="207">
        <v>300</v>
      </c>
      <c r="J136" s="242">
        <f t="shared" si="23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43091</v>
      </c>
      <c r="D137" s="161" t="s">
        <v>9</v>
      </c>
      <c r="E137" s="161" t="s">
        <v>2412</v>
      </c>
      <c r="F137" s="207">
        <v>115</v>
      </c>
      <c r="G137" s="207">
        <v>131</v>
      </c>
      <c r="H137" s="161">
        <v>16</v>
      </c>
      <c r="I137" s="207">
        <v>300</v>
      </c>
      <c r="J137" s="242">
        <f t="shared" si="23"/>
        <v>4800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17</v>
      </c>
      <c r="C138" s="206">
        <v>43095</v>
      </c>
      <c r="D138" s="161" t="s">
        <v>9</v>
      </c>
      <c r="E138" s="161" t="s">
        <v>2412</v>
      </c>
      <c r="F138" s="207">
        <v>98</v>
      </c>
      <c r="G138" s="207">
        <v>98</v>
      </c>
      <c r="H138" s="161">
        <v>0</v>
      </c>
      <c r="I138" s="207">
        <v>300</v>
      </c>
      <c r="J138" s="242">
        <f t="shared" si="23"/>
        <v>0</v>
      </c>
      <c r="K138" s="153"/>
      <c r="V138" s="25">
        <f t="shared" si="24"/>
        <v>0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43096</v>
      </c>
      <c r="D139" s="161" t="s">
        <v>9</v>
      </c>
      <c r="E139" s="161" t="s">
        <v>2369</v>
      </c>
      <c r="F139" s="207">
        <v>144</v>
      </c>
      <c r="G139" s="207">
        <v>161</v>
      </c>
      <c r="H139" s="161">
        <v>17</v>
      </c>
      <c r="I139" s="207">
        <v>300</v>
      </c>
      <c r="J139" s="242">
        <f t="shared" si="23"/>
        <v>5100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43097</v>
      </c>
      <c r="D140" s="161" t="s">
        <v>9</v>
      </c>
      <c r="E140" s="161" t="s">
        <v>2412</v>
      </c>
      <c r="F140" s="207">
        <v>100</v>
      </c>
      <c r="G140" s="207">
        <v>80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20</v>
      </c>
      <c r="C141" s="206">
        <v>43098</v>
      </c>
      <c r="D141" s="161" t="s">
        <v>9</v>
      </c>
      <c r="E141" s="161" t="s">
        <v>2417</v>
      </c>
      <c r="F141" s="207">
        <v>150</v>
      </c>
      <c r="G141" s="207">
        <v>162</v>
      </c>
      <c r="H141" s="161">
        <v>12</v>
      </c>
      <c r="I141" s="207">
        <v>300</v>
      </c>
      <c r="J141" s="242">
        <f t="shared" si="23"/>
        <v>3600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50400</v>
      </c>
      <c r="K145" s="153"/>
      <c r="V145" s="25">
        <f>SUM(V122:V144)</f>
        <v>14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2402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43070</v>
      </c>
      <c r="D153" s="185" t="s">
        <v>8</v>
      </c>
      <c r="E153" s="185" t="s">
        <v>2403</v>
      </c>
      <c r="F153" s="219">
        <v>25460</v>
      </c>
      <c r="G153" s="219">
        <v>25260</v>
      </c>
      <c r="H153" s="185">
        <v>200</v>
      </c>
      <c r="I153" s="219">
        <v>80</v>
      </c>
      <c r="J153" s="246">
        <f t="shared" ref="J153:J175" si="27">I153*H153</f>
        <v>16000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43073</v>
      </c>
      <c r="D154" s="161" t="s">
        <v>8</v>
      </c>
      <c r="E154" s="161" t="s">
        <v>2403</v>
      </c>
      <c r="F154" s="207">
        <v>25270</v>
      </c>
      <c r="G154" s="207">
        <v>25115</v>
      </c>
      <c r="H154" s="161">
        <v>155</v>
      </c>
      <c r="I154" s="207">
        <v>80</v>
      </c>
      <c r="J154" s="242">
        <f t="shared" si="27"/>
        <v>12400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43074</v>
      </c>
      <c r="D155" s="161" t="s">
        <v>8</v>
      </c>
      <c r="E155" s="161" t="s">
        <v>2403</v>
      </c>
      <c r="F155" s="207">
        <v>25070</v>
      </c>
      <c r="G155" s="207">
        <v>25010</v>
      </c>
      <c r="H155" s="161">
        <v>60</v>
      </c>
      <c r="I155" s="207">
        <v>80</v>
      </c>
      <c r="J155" s="242">
        <f t="shared" si="27"/>
        <v>4800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4</v>
      </c>
      <c r="C156" s="206">
        <v>43075</v>
      </c>
      <c r="D156" s="161" t="s">
        <v>8</v>
      </c>
      <c r="E156" s="161" t="s">
        <v>2403</v>
      </c>
      <c r="F156" s="207">
        <v>25130</v>
      </c>
      <c r="G156" s="207">
        <v>24930</v>
      </c>
      <c r="H156" s="161">
        <v>200</v>
      </c>
      <c r="I156" s="207">
        <v>80</v>
      </c>
      <c r="J156" s="242">
        <f t="shared" si="27"/>
        <v>16000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5</v>
      </c>
      <c r="C157" s="206">
        <v>43076</v>
      </c>
      <c r="D157" s="161" t="s">
        <v>8</v>
      </c>
      <c r="E157" s="161" t="s">
        <v>2403</v>
      </c>
      <c r="F157" s="207">
        <v>25120</v>
      </c>
      <c r="G157" s="207">
        <v>25070</v>
      </c>
      <c r="H157" s="161">
        <v>50</v>
      </c>
      <c r="I157" s="207">
        <v>80</v>
      </c>
      <c r="J157" s="242">
        <f t="shared" si="27"/>
        <v>4000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43077</v>
      </c>
      <c r="D158" s="161" t="s">
        <v>8</v>
      </c>
      <c r="E158" s="161" t="s">
        <v>2403</v>
      </c>
      <c r="F158" s="207">
        <v>25300</v>
      </c>
      <c r="G158" s="207">
        <v>25350</v>
      </c>
      <c r="H158" s="161">
        <v>-50</v>
      </c>
      <c r="I158" s="207">
        <v>80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7</v>
      </c>
      <c r="C159" s="206">
        <v>43080</v>
      </c>
      <c r="D159" s="161" t="s">
        <v>8</v>
      </c>
      <c r="E159" s="161" t="s">
        <v>2403</v>
      </c>
      <c r="F159" s="207">
        <v>25460</v>
      </c>
      <c r="G159" s="207">
        <v>25370</v>
      </c>
      <c r="H159" s="161">
        <v>90</v>
      </c>
      <c r="I159" s="207">
        <v>80</v>
      </c>
      <c r="J159" s="242">
        <f t="shared" si="27"/>
        <v>7200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8</v>
      </c>
      <c r="C160" s="206">
        <v>43081</v>
      </c>
      <c r="D160" s="161" t="s">
        <v>8</v>
      </c>
      <c r="E160" s="161" t="s">
        <v>2403</v>
      </c>
      <c r="F160" s="207">
        <v>25230</v>
      </c>
      <c r="G160" s="207">
        <v>25175</v>
      </c>
      <c r="H160" s="161">
        <v>55</v>
      </c>
      <c r="I160" s="207">
        <v>80</v>
      </c>
      <c r="J160" s="242">
        <f t="shared" si="27"/>
        <v>4400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43082</v>
      </c>
      <c r="D161" s="161" t="s">
        <v>8</v>
      </c>
      <c r="E161" s="161" t="s">
        <v>2403</v>
      </c>
      <c r="F161" s="207">
        <v>25100</v>
      </c>
      <c r="G161" s="207">
        <v>25200</v>
      </c>
      <c r="H161" s="161">
        <v>-100</v>
      </c>
      <c r="I161" s="207">
        <v>80</v>
      </c>
      <c r="J161" s="242">
        <f t="shared" si="27"/>
        <v>-8000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10</v>
      </c>
      <c r="C162" s="206">
        <v>43083</v>
      </c>
      <c r="D162" s="161" t="s">
        <v>8</v>
      </c>
      <c r="E162" s="161" t="s">
        <v>2403</v>
      </c>
      <c r="F162" s="207">
        <v>25050</v>
      </c>
      <c r="G162" s="207">
        <v>24950</v>
      </c>
      <c r="H162" s="161">
        <v>100</v>
      </c>
      <c r="I162" s="207">
        <v>80</v>
      </c>
      <c r="J162" s="242">
        <f t="shared" si="27"/>
        <v>8000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43084</v>
      </c>
      <c r="D163" s="161" t="s">
        <v>8</v>
      </c>
      <c r="E163" s="161" t="s">
        <v>2403</v>
      </c>
      <c r="F163" s="207">
        <v>25520</v>
      </c>
      <c r="G163" s="207">
        <v>25475</v>
      </c>
      <c r="H163" s="161">
        <v>45</v>
      </c>
      <c r="I163" s="207">
        <v>80</v>
      </c>
      <c r="J163" s="242">
        <f t="shared" si="27"/>
        <v>3600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43087</v>
      </c>
      <c r="D164" s="161" t="s">
        <v>9</v>
      </c>
      <c r="E164" s="161" t="s">
        <v>2403</v>
      </c>
      <c r="F164" s="207">
        <v>25650</v>
      </c>
      <c r="G164" s="207">
        <v>25750</v>
      </c>
      <c r="H164" s="161">
        <v>100</v>
      </c>
      <c r="I164" s="207">
        <v>80</v>
      </c>
      <c r="J164" s="242">
        <f t="shared" si="27"/>
        <v>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43088</v>
      </c>
      <c r="D165" s="161" t="s">
        <v>8</v>
      </c>
      <c r="E165" s="161" t="s">
        <v>2403</v>
      </c>
      <c r="F165" s="207">
        <v>25670</v>
      </c>
      <c r="G165" s="207">
        <v>25620</v>
      </c>
      <c r="H165" s="161">
        <v>50</v>
      </c>
      <c r="I165" s="207">
        <v>80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14</v>
      </c>
      <c r="C166" s="206">
        <v>43089</v>
      </c>
      <c r="D166" s="161" t="s">
        <v>8</v>
      </c>
      <c r="E166" s="161" t="s">
        <v>2403</v>
      </c>
      <c r="F166" s="207">
        <v>25690</v>
      </c>
      <c r="G166" s="207">
        <v>25790</v>
      </c>
      <c r="H166" s="161">
        <v>-100</v>
      </c>
      <c r="I166" s="207">
        <v>80</v>
      </c>
      <c r="J166" s="242">
        <f t="shared" si="27"/>
        <v>-8000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15</v>
      </c>
      <c r="C167" s="206">
        <v>43090</v>
      </c>
      <c r="D167" s="161" t="s">
        <v>8</v>
      </c>
      <c r="E167" s="161" t="s">
        <v>2403</v>
      </c>
      <c r="F167" s="207">
        <v>25600</v>
      </c>
      <c r="G167" s="207">
        <v>25620</v>
      </c>
      <c r="H167" s="161">
        <v>-20</v>
      </c>
      <c r="I167" s="207">
        <v>80</v>
      </c>
      <c r="J167" s="242">
        <f t="shared" si="27"/>
        <v>-1600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16</v>
      </c>
      <c r="C168" s="206">
        <v>43091</v>
      </c>
      <c r="D168" s="161" t="s">
        <v>8</v>
      </c>
      <c r="E168" s="161" t="s">
        <v>2403</v>
      </c>
      <c r="F168" s="207">
        <v>25640</v>
      </c>
      <c r="G168" s="207">
        <v>25660</v>
      </c>
      <c r="H168" s="161">
        <v>-20</v>
      </c>
      <c r="I168" s="207">
        <v>80</v>
      </c>
      <c r="J168" s="242">
        <f t="shared" si="27"/>
        <v>-1600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17</v>
      </c>
      <c r="C169" s="206">
        <v>43095</v>
      </c>
      <c r="D169" s="161" t="s">
        <v>8</v>
      </c>
      <c r="E169" s="161" t="s">
        <v>2403</v>
      </c>
      <c r="F169" s="207">
        <v>25620</v>
      </c>
      <c r="G169" s="207">
        <v>25650</v>
      </c>
      <c r="H169" s="161">
        <v>-30</v>
      </c>
      <c r="I169" s="207">
        <v>80</v>
      </c>
      <c r="J169" s="242">
        <f t="shared" si="27"/>
        <v>-2400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18</v>
      </c>
      <c r="C170" s="206">
        <v>43096</v>
      </c>
      <c r="D170" s="161" t="s">
        <v>9</v>
      </c>
      <c r="E170" s="161" t="s">
        <v>2403</v>
      </c>
      <c r="F170" s="207">
        <v>25700</v>
      </c>
      <c r="G170" s="207">
        <v>25600</v>
      </c>
      <c r="H170" s="161">
        <v>-100</v>
      </c>
      <c r="I170" s="207">
        <v>80</v>
      </c>
      <c r="J170" s="242">
        <f t="shared" si="27"/>
        <v>-8000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19</v>
      </c>
      <c r="C171" s="206">
        <v>43097</v>
      </c>
      <c r="D171" s="161" t="s">
        <v>8</v>
      </c>
      <c r="E171" s="161" t="s">
        <v>2403</v>
      </c>
      <c r="F171" s="207">
        <v>25470</v>
      </c>
      <c r="G171" s="207">
        <v>25465</v>
      </c>
      <c r="H171" s="161">
        <v>5</v>
      </c>
      <c r="I171" s="207">
        <v>80</v>
      </c>
      <c r="J171" s="242">
        <f t="shared" si="27"/>
        <v>400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>
        <v>43098</v>
      </c>
      <c r="D172" s="161" t="s">
        <v>9</v>
      </c>
      <c r="E172" s="161" t="s">
        <v>2403</v>
      </c>
      <c r="F172" s="207">
        <v>25560</v>
      </c>
      <c r="G172" s="207">
        <v>25565</v>
      </c>
      <c r="H172" s="161">
        <v>5</v>
      </c>
      <c r="I172" s="207">
        <v>80</v>
      </c>
      <c r="J172" s="242">
        <f t="shared" si="27"/>
        <v>400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55600</v>
      </c>
      <c r="K176" s="153"/>
      <c r="V176" s="25">
        <f>SUM(V153:V175)</f>
        <v>13</v>
      </c>
      <c r="W176" s="25">
        <f>SUM(W153:W175)</f>
        <v>7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2402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43070</v>
      </c>
      <c r="D184" s="185" t="s">
        <v>9</v>
      </c>
      <c r="E184" s="185" t="s">
        <v>2379</v>
      </c>
      <c r="F184" s="219">
        <v>370</v>
      </c>
      <c r="G184" s="219">
        <v>490</v>
      </c>
      <c r="H184" s="185">
        <v>120</v>
      </c>
      <c r="I184" s="219">
        <v>160</v>
      </c>
      <c r="J184" s="246">
        <f t="shared" ref="J184:J206" si="31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43073</v>
      </c>
      <c r="D185" s="161" t="s">
        <v>9</v>
      </c>
      <c r="E185" s="161" t="s">
        <v>2404</v>
      </c>
      <c r="F185" s="207">
        <v>380</v>
      </c>
      <c r="G185" s="207">
        <v>440</v>
      </c>
      <c r="H185" s="161">
        <v>60</v>
      </c>
      <c r="I185" s="207">
        <v>160</v>
      </c>
      <c r="J185" s="242">
        <f t="shared" si="31"/>
        <v>9600</v>
      </c>
      <c r="K185" s="153"/>
      <c r="V185" s="25">
        <f t="shared" ref="V185:V206" si="32">IF($J185&gt;0,1,0)</f>
        <v>1</v>
      </c>
      <c r="W185" s="25">
        <f t="shared" ref="W185:W206" si="33">IF($J185&lt;0,1,0)</f>
        <v>0</v>
      </c>
    </row>
    <row r="186" spans="1:23" x14ac:dyDescent="0.3">
      <c r="A186" s="147"/>
      <c r="B186" s="205">
        <f t="shared" ref="B186:B206" si="34">B185+1</f>
        <v>3</v>
      </c>
      <c r="C186" s="206">
        <v>43074</v>
      </c>
      <c r="D186" s="161" t="s">
        <v>9</v>
      </c>
      <c r="E186" s="161" t="s">
        <v>2405</v>
      </c>
      <c r="F186" s="207">
        <v>380</v>
      </c>
      <c r="G186" s="207">
        <v>410</v>
      </c>
      <c r="H186" s="161">
        <v>30</v>
      </c>
      <c r="I186" s="207">
        <v>160</v>
      </c>
      <c r="J186" s="242">
        <f t="shared" si="31"/>
        <v>4800</v>
      </c>
      <c r="K186" s="153"/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4</v>
      </c>
      <c r="C187" s="206">
        <v>43075</v>
      </c>
      <c r="D187" s="161" t="s">
        <v>9</v>
      </c>
      <c r="E187" s="161" t="s">
        <v>2405</v>
      </c>
      <c r="F187" s="207">
        <v>330</v>
      </c>
      <c r="G187" s="207">
        <v>435</v>
      </c>
      <c r="H187" s="161">
        <v>105</v>
      </c>
      <c r="I187" s="207">
        <v>160</v>
      </c>
      <c r="J187" s="242">
        <f t="shared" si="31"/>
        <v>16800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5</v>
      </c>
      <c r="C188" s="206">
        <v>43076</v>
      </c>
      <c r="D188" s="161" t="s">
        <v>9</v>
      </c>
      <c r="E188" s="161" t="s">
        <v>2405</v>
      </c>
      <c r="F188" s="207">
        <v>355</v>
      </c>
      <c r="G188" s="207">
        <v>305</v>
      </c>
      <c r="H188" s="161">
        <v>-50</v>
      </c>
      <c r="I188" s="207">
        <v>160</v>
      </c>
      <c r="J188" s="242">
        <f t="shared" si="31"/>
        <v>-8000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6</v>
      </c>
      <c r="C189" s="206">
        <v>43077</v>
      </c>
      <c r="D189" s="161" t="s">
        <v>9</v>
      </c>
      <c r="E189" s="161" t="s">
        <v>2377</v>
      </c>
      <c r="F189" s="207">
        <v>335</v>
      </c>
      <c r="G189" s="207">
        <v>300</v>
      </c>
      <c r="H189" s="161">
        <v>-35</v>
      </c>
      <c r="I189" s="207">
        <v>160</v>
      </c>
      <c r="J189" s="242">
        <f t="shared" si="31"/>
        <v>-5600</v>
      </c>
      <c r="K189" s="153"/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7</v>
      </c>
      <c r="C190" s="206">
        <v>43080</v>
      </c>
      <c r="D190" s="161" t="s">
        <v>9</v>
      </c>
      <c r="E190" s="161" t="s">
        <v>2379</v>
      </c>
      <c r="F190" s="207">
        <v>300</v>
      </c>
      <c r="G190" s="207">
        <v>330</v>
      </c>
      <c r="H190" s="161">
        <v>30</v>
      </c>
      <c r="I190" s="207">
        <v>160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8</v>
      </c>
      <c r="C191" s="206">
        <v>43081</v>
      </c>
      <c r="D191" s="161" t="s">
        <v>9</v>
      </c>
      <c r="E191" s="161" t="s">
        <v>2404</v>
      </c>
      <c r="F191" s="207">
        <v>330</v>
      </c>
      <c r="G191" s="207">
        <v>360</v>
      </c>
      <c r="H191" s="161">
        <v>30</v>
      </c>
      <c r="I191" s="207">
        <v>160</v>
      </c>
      <c r="J191" s="242">
        <f t="shared" si="31"/>
        <v>4800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43082</v>
      </c>
      <c r="D192" s="161" t="s">
        <v>9</v>
      </c>
      <c r="E192" s="161" t="s">
        <v>2317</v>
      </c>
      <c r="F192" s="207">
        <v>350</v>
      </c>
      <c r="G192" s="207">
        <v>290</v>
      </c>
      <c r="H192" s="161">
        <v>-60</v>
      </c>
      <c r="I192" s="207">
        <v>160</v>
      </c>
      <c r="J192" s="242">
        <f t="shared" si="31"/>
        <v>-9600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10</v>
      </c>
      <c r="C193" s="206">
        <v>43083</v>
      </c>
      <c r="D193" s="161" t="s">
        <v>9</v>
      </c>
      <c r="E193" s="161" t="s">
        <v>2405</v>
      </c>
      <c r="F193" s="207">
        <v>380</v>
      </c>
      <c r="G193" s="207">
        <v>440</v>
      </c>
      <c r="H193" s="161">
        <v>60</v>
      </c>
      <c r="I193" s="207">
        <v>160</v>
      </c>
      <c r="J193" s="242">
        <f t="shared" si="31"/>
        <v>9600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11</v>
      </c>
      <c r="C194" s="206">
        <v>43084</v>
      </c>
      <c r="D194" s="161" t="s">
        <v>9</v>
      </c>
      <c r="E194" s="161" t="s">
        <v>2374</v>
      </c>
      <c r="F194" s="207">
        <v>295</v>
      </c>
      <c r="G194" s="207">
        <v>320</v>
      </c>
      <c r="H194" s="161">
        <v>25</v>
      </c>
      <c r="I194" s="207">
        <v>160</v>
      </c>
      <c r="J194" s="242">
        <f t="shared" si="31"/>
        <v>4000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12</v>
      </c>
      <c r="C195" s="206">
        <v>43087</v>
      </c>
      <c r="D195" s="161" t="s">
        <v>9</v>
      </c>
      <c r="E195" s="161" t="s">
        <v>2370</v>
      </c>
      <c r="F195" s="207">
        <v>350</v>
      </c>
      <c r="G195" s="207">
        <v>380</v>
      </c>
      <c r="H195" s="161">
        <v>30</v>
      </c>
      <c r="I195" s="207">
        <v>160</v>
      </c>
      <c r="J195" s="242">
        <f t="shared" si="31"/>
        <v>4800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43088</v>
      </c>
      <c r="D196" s="161" t="s">
        <v>9</v>
      </c>
      <c r="E196" s="161" t="s">
        <v>2410</v>
      </c>
      <c r="F196" s="207">
        <v>230</v>
      </c>
      <c r="G196" s="207">
        <v>200</v>
      </c>
      <c r="H196" s="161">
        <v>-30</v>
      </c>
      <c r="I196" s="207">
        <v>160</v>
      </c>
      <c r="J196" s="242">
        <f t="shared" si="31"/>
        <v>-4800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14</v>
      </c>
      <c r="C197" s="206">
        <v>43089</v>
      </c>
      <c r="D197" s="161" t="s">
        <v>9</v>
      </c>
      <c r="E197" s="161" t="s">
        <v>2389</v>
      </c>
      <c r="F197" s="207">
        <v>250</v>
      </c>
      <c r="G197" s="207">
        <v>190</v>
      </c>
      <c r="H197" s="161">
        <v>-60</v>
      </c>
      <c r="I197" s="207">
        <v>160</v>
      </c>
      <c r="J197" s="242">
        <f t="shared" si="31"/>
        <v>-9600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15</v>
      </c>
      <c r="C198" s="206">
        <v>43090</v>
      </c>
      <c r="D198" s="161" t="s">
        <v>9</v>
      </c>
      <c r="E198" s="161" t="s">
        <v>2389</v>
      </c>
      <c r="F198" s="207">
        <v>290</v>
      </c>
      <c r="G198" s="207">
        <v>255</v>
      </c>
      <c r="H198" s="161">
        <v>-35</v>
      </c>
      <c r="I198" s="207">
        <v>160</v>
      </c>
      <c r="J198" s="242">
        <f t="shared" si="31"/>
        <v>-5600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16</v>
      </c>
      <c r="C199" s="206">
        <v>43091</v>
      </c>
      <c r="D199" s="161" t="s">
        <v>9</v>
      </c>
      <c r="E199" s="161" t="s">
        <v>2410</v>
      </c>
      <c r="F199" s="207">
        <v>180</v>
      </c>
      <c r="G199" s="207">
        <v>150</v>
      </c>
      <c r="H199" s="161">
        <v>-30</v>
      </c>
      <c r="I199" s="207">
        <v>160</v>
      </c>
      <c r="J199" s="242">
        <f t="shared" si="31"/>
        <v>-4800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17</v>
      </c>
      <c r="C200" s="206">
        <v>43095</v>
      </c>
      <c r="D200" s="161" t="s">
        <v>9</v>
      </c>
      <c r="E200" s="161" t="s">
        <v>2410</v>
      </c>
      <c r="F200" s="207">
        <v>155</v>
      </c>
      <c r="G200" s="207">
        <v>110</v>
      </c>
      <c r="H200" s="161">
        <v>-45</v>
      </c>
      <c r="I200" s="207">
        <v>160</v>
      </c>
      <c r="J200" s="242">
        <f t="shared" si="31"/>
        <v>-7200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18</v>
      </c>
      <c r="C201" s="206">
        <v>43096</v>
      </c>
      <c r="D201" s="161" t="s">
        <v>9</v>
      </c>
      <c r="E201" s="161" t="s">
        <v>2370</v>
      </c>
      <c r="F201" s="207">
        <v>200</v>
      </c>
      <c r="G201" s="207">
        <v>260</v>
      </c>
      <c r="H201" s="161">
        <v>60</v>
      </c>
      <c r="I201" s="207">
        <v>160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43097</v>
      </c>
      <c r="D202" s="161" t="s">
        <v>9</v>
      </c>
      <c r="E202" s="161" t="s">
        <v>2410</v>
      </c>
      <c r="F202" s="207">
        <v>250</v>
      </c>
      <c r="G202" s="207">
        <v>190</v>
      </c>
      <c r="H202" s="161">
        <v>-60</v>
      </c>
      <c r="I202" s="207">
        <v>160</v>
      </c>
      <c r="J202" s="242">
        <f t="shared" si="31"/>
        <v>-9600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20</v>
      </c>
      <c r="C203" s="206">
        <v>43098</v>
      </c>
      <c r="D203" s="161" t="s">
        <v>9</v>
      </c>
      <c r="E203" s="161" t="s">
        <v>2370</v>
      </c>
      <c r="F203" s="207">
        <v>370</v>
      </c>
      <c r="G203" s="207">
        <v>364</v>
      </c>
      <c r="H203" s="161">
        <v>-6</v>
      </c>
      <c r="I203" s="207">
        <v>160</v>
      </c>
      <c r="J203" s="242">
        <f t="shared" si="31"/>
        <v>-960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22240</v>
      </c>
      <c r="K207" s="153"/>
      <c r="V207" s="25">
        <f>SUM(V184:V206)</f>
        <v>10</v>
      </c>
      <c r="W207" s="25">
        <f>SUM(W184:W206)</f>
        <v>10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2402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43070</v>
      </c>
      <c r="D215" s="185" t="s">
        <v>9</v>
      </c>
      <c r="E215" s="185" t="s">
        <v>2406</v>
      </c>
      <c r="F215" s="219">
        <v>9</v>
      </c>
      <c r="G215" s="219">
        <v>11</v>
      </c>
      <c r="H215" s="185">
        <v>2</v>
      </c>
      <c r="I215" s="219">
        <v>2750</v>
      </c>
      <c r="J215" s="246">
        <f t="shared" ref="J215:J237" si="35">I215*H215</f>
        <v>5500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43073</v>
      </c>
      <c r="D216" s="161" t="s">
        <v>9</v>
      </c>
      <c r="E216" s="161" t="s">
        <v>2407</v>
      </c>
      <c r="F216" s="222">
        <v>8.4</v>
      </c>
      <c r="G216" s="222">
        <v>9</v>
      </c>
      <c r="H216" s="255">
        <v>0.6</v>
      </c>
      <c r="I216" s="207">
        <v>1750</v>
      </c>
      <c r="J216" s="242">
        <f>I216*H216</f>
        <v>1050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43074</v>
      </c>
      <c r="D217" s="161" t="s">
        <v>9</v>
      </c>
      <c r="E217" s="161" t="s">
        <v>2340</v>
      </c>
      <c r="F217" s="222">
        <v>64</v>
      </c>
      <c r="G217" s="222">
        <v>62</v>
      </c>
      <c r="H217" s="222">
        <v>-2</v>
      </c>
      <c r="I217" s="207">
        <v>200</v>
      </c>
      <c r="J217" s="242">
        <f t="shared" si="35"/>
        <v>-400</v>
      </c>
      <c r="K217" s="153"/>
      <c r="V217" s="25">
        <f t="shared" ref="V217:V237" si="37">IF($J217&gt;0,1,0)</f>
        <v>0</v>
      </c>
      <c r="W217" s="25">
        <f t="shared" ref="W217:W237" si="38">IF($J217&lt;0,1,0)</f>
        <v>1</v>
      </c>
    </row>
    <row r="218" spans="1:23" x14ac:dyDescent="0.3">
      <c r="A218" s="147"/>
      <c r="B218" s="205">
        <f t="shared" si="36"/>
        <v>4</v>
      </c>
      <c r="C218" s="206">
        <v>43075</v>
      </c>
      <c r="D218" s="161" t="s">
        <v>9</v>
      </c>
      <c r="E218" s="161" t="s">
        <v>2388</v>
      </c>
      <c r="F218" s="207">
        <v>13</v>
      </c>
      <c r="G218" s="222">
        <v>14</v>
      </c>
      <c r="H218" s="161">
        <v>1</v>
      </c>
      <c r="I218" s="207">
        <v>1250</v>
      </c>
      <c r="J218" s="242">
        <f t="shared" si="35"/>
        <v>1250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43076</v>
      </c>
      <c r="D219" s="161" t="s">
        <v>9</v>
      </c>
      <c r="E219" s="161" t="s">
        <v>2408</v>
      </c>
      <c r="F219" s="222">
        <v>9</v>
      </c>
      <c r="G219" s="222">
        <v>6.6</v>
      </c>
      <c r="H219" s="222">
        <v>-2.4</v>
      </c>
      <c r="I219" s="207">
        <v>2750</v>
      </c>
      <c r="J219" s="242">
        <f t="shared" si="35"/>
        <v>-6600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6</v>
      </c>
      <c r="C220" s="206">
        <v>43077</v>
      </c>
      <c r="D220" s="161" t="s">
        <v>9</v>
      </c>
      <c r="E220" s="161" t="s">
        <v>2409</v>
      </c>
      <c r="F220" s="222">
        <v>10.5</v>
      </c>
      <c r="G220" s="222">
        <v>12.5</v>
      </c>
      <c r="H220" s="222">
        <v>2</v>
      </c>
      <c r="I220" s="207">
        <v>1750</v>
      </c>
      <c r="J220" s="242">
        <f t="shared" si="35"/>
        <v>3500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7</v>
      </c>
      <c r="C221" s="206">
        <v>43080</v>
      </c>
      <c r="D221" s="161" t="s">
        <v>9</v>
      </c>
      <c r="E221" s="161" t="s">
        <v>2406</v>
      </c>
      <c r="F221" s="222">
        <v>6</v>
      </c>
      <c r="G221" s="222">
        <v>6.75</v>
      </c>
      <c r="H221" s="222">
        <v>0.75</v>
      </c>
      <c r="I221" s="207">
        <v>2750</v>
      </c>
      <c r="J221" s="242">
        <f t="shared" si="35"/>
        <v>2062.5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8</v>
      </c>
      <c r="C222" s="206">
        <v>43081</v>
      </c>
      <c r="D222" s="161" t="s">
        <v>9</v>
      </c>
      <c r="E222" s="161" t="s">
        <v>2406</v>
      </c>
      <c r="F222" s="222">
        <v>7</v>
      </c>
      <c r="G222" s="222">
        <v>8</v>
      </c>
      <c r="H222" s="222">
        <v>1</v>
      </c>
      <c r="I222" s="207">
        <v>2750</v>
      </c>
      <c r="J222" s="242">
        <f t="shared" si="35"/>
        <v>2750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43082</v>
      </c>
      <c r="D223" s="161" t="s">
        <v>9</v>
      </c>
      <c r="E223" s="161" t="s">
        <v>2406</v>
      </c>
      <c r="F223" s="222">
        <v>9</v>
      </c>
      <c r="G223" s="222">
        <v>11.7</v>
      </c>
      <c r="H223" s="255">
        <v>2.7</v>
      </c>
      <c r="I223" s="207">
        <v>2750</v>
      </c>
      <c r="J223" s="242">
        <f t="shared" si="35"/>
        <v>7425.0000000000009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43083</v>
      </c>
      <c r="D224" s="161" t="s">
        <v>9</v>
      </c>
      <c r="E224" s="161" t="s">
        <v>370</v>
      </c>
      <c r="F224" s="222">
        <v>62</v>
      </c>
      <c r="G224" s="222">
        <v>55</v>
      </c>
      <c r="H224" s="255">
        <v>-7</v>
      </c>
      <c r="I224" s="207">
        <v>200</v>
      </c>
      <c r="J224" s="242">
        <f t="shared" si="35"/>
        <v>-1400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11</v>
      </c>
      <c r="C225" s="206">
        <v>43084</v>
      </c>
      <c r="D225" s="161" t="s">
        <v>9</v>
      </c>
      <c r="E225" s="161" t="s">
        <v>2406</v>
      </c>
      <c r="F225" s="222">
        <v>8.5</v>
      </c>
      <c r="G225" s="222">
        <v>10.1</v>
      </c>
      <c r="H225" s="255">
        <v>1.6</v>
      </c>
      <c r="I225" s="207">
        <v>2750</v>
      </c>
      <c r="J225" s="242">
        <f t="shared" si="35"/>
        <v>4400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12</v>
      </c>
      <c r="C226" s="206">
        <v>43088</v>
      </c>
      <c r="D226" s="161" t="s">
        <v>9</v>
      </c>
      <c r="E226" s="161" t="s">
        <v>2411</v>
      </c>
      <c r="F226" s="207">
        <v>7</v>
      </c>
      <c r="G226" s="222">
        <v>5.5</v>
      </c>
      <c r="H226" s="255">
        <v>-1.5</v>
      </c>
      <c r="I226" s="207">
        <v>2750</v>
      </c>
      <c r="J226" s="242">
        <f t="shared" si="35"/>
        <v>-4125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13</v>
      </c>
      <c r="C227" s="206">
        <v>43089</v>
      </c>
      <c r="D227" s="161" t="s">
        <v>9</v>
      </c>
      <c r="E227" s="161" t="s">
        <v>2413</v>
      </c>
      <c r="F227" s="222">
        <v>5.5</v>
      </c>
      <c r="G227" s="222">
        <v>6.45</v>
      </c>
      <c r="H227" s="255">
        <v>0.95</v>
      </c>
      <c r="I227" s="207">
        <v>1750</v>
      </c>
      <c r="J227" s="242">
        <f t="shared" si="35"/>
        <v>1662.5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14</v>
      </c>
      <c r="C228" s="206">
        <v>43090</v>
      </c>
      <c r="D228" s="161" t="s">
        <v>9</v>
      </c>
      <c r="E228" s="161" t="s">
        <v>2414</v>
      </c>
      <c r="F228" s="207">
        <v>7</v>
      </c>
      <c r="G228" s="222">
        <v>6.1</v>
      </c>
      <c r="H228" s="255">
        <v>-0.9</v>
      </c>
      <c r="I228" s="207">
        <v>3000</v>
      </c>
      <c r="J228" s="242">
        <f>I228*H228</f>
        <v>-2700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15</v>
      </c>
      <c r="C229" s="206">
        <v>43091</v>
      </c>
      <c r="D229" s="161" t="s">
        <v>9</v>
      </c>
      <c r="E229" s="161" t="s">
        <v>2415</v>
      </c>
      <c r="F229" s="222">
        <v>120</v>
      </c>
      <c r="G229" s="222">
        <v>180</v>
      </c>
      <c r="H229" s="255">
        <v>60</v>
      </c>
      <c r="I229" s="207">
        <v>75</v>
      </c>
      <c r="J229" s="242">
        <f t="shared" si="35"/>
        <v>4500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43095</v>
      </c>
      <c r="D230" s="161" t="s">
        <v>9</v>
      </c>
      <c r="E230" s="161" t="s">
        <v>2413</v>
      </c>
      <c r="F230" s="222">
        <v>4.5</v>
      </c>
      <c r="G230" s="222">
        <v>5.2</v>
      </c>
      <c r="H230" s="222">
        <v>0.7</v>
      </c>
      <c r="I230" s="207">
        <v>1750</v>
      </c>
      <c r="J230" s="242">
        <f t="shared" si="35"/>
        <v>1225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43096</v>
      </c>
      <c r="D231" s="161" t="s">
        <v>9</v>
      </c>
      <c r="E231" s="161" t="s">
        <v>2413</v>
      </c>
      <c r="F231" s="222">
        <v>4.5</v>
      </c>
      <c r="G231" s="222">
        <v>8.5</v>
      </c>
      <c r="H231" s="222">
        <v>4</v>
      </c>
      <c r="I231" s="207">
        <v>1750</v>
      </c>
      <c r="J231" s="242">
        <f t="shared" si="35"/>
        <v>7000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18</v>
      </c>
      <c r="C232" s="206">
        <v>43097</v>
      </c>
      <c r="D232" s="161" t="s">
        <v>9</v>
      </c>
      <c r="E232" s="161" t="s">
        <v>2359</v>
      </c>
      <c r="F232" s="207">
        <v>20</v>
      </c>
      <c r="G232" s="222">
        <v>36</v>
      </c>
      <c r="H232" s="222">
        <v>16</v>
      </c>
      <c r="I232" s="207">
        <v>200</v>
      </c>
      <c r="J232" s="242">
        <f t="shared" si="35"/>
        <v>3200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19</v>
      </c>
      <c r="C233" s="206">
        <v>43098</v>
      </c>
      <c r="D233" s="161" t="s">
        <v>9</v>
      </c>
      <c r="E233" s="161" t="s">
        <v>2418</v>
      </c>
      <c r="F233" s="222">
        <v>14</v>
      </c>
      <c r="G233" s="222">
        <v>14</v>
      </c>
      <c r="H233" s="222">
        <v>0</v>
      </c>
      <c r="I233" s="207">
        <v>1750</v>
      </c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30300</v>
      </c>
      <c r="K238" s="153"/>
      <c r="V238" s="25">
        <f>SUM(V215:V237)</f>
        <v>13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800-000000000000}"/>
    <hyperlink ref="B83" r:id="rId2" xr:uid="{00000000-0004-0000-3800-000001000000}"/>
    <hyperlink ref="B114" r:id="rId3" xr:uid="{00000000-0004-0000-3800-000002000000}"/>
    <hyperlink ref="M8:M9" location="'DEC-2017'!A108" display="NIFTY FUTURE" xr:uid="{00000000-0004-0000-3800-000003000000}"/>
    <hyperlink ref="B145" r:id="rId4" xr:uid="{00000000-0004-0000-3800-000004000000}"/>
    <hyperlink ref="M10:M11" location="'DEC-2017'!A139" display="NF. OPTION" xr:uid="{00000000-0004-0000-3800-000005000000}"/>
    <hyperlink ref="B176" r:id="rId5" xr:uid="{00000000-0004-0000-3800-000006000000}"/>
    <hyperlink ref="M12:M13" location="'DEC-2017'!A170" display="BANK NIFTY" xr:uid="{00000000-0004-0000-3800-000007000000}"/>
    <hyperlink ref="B207" r:id="rId6" xr:uid="{00000000-0004-0000-3800-000008000000}"/>
    <hyperlink ref="M14:M15" location="'DEC-2017'!A201" display="B.NIFTY OPTION" xr:uid="{00000000-0004-0000-3800-000009000000}"/>
    <hyperlink ref="B238" r:id="rId7" xr:uid="{00000000-0004-0000-3800-00000A000000}"/>
    <hyperlink ref="M16:M17" location="'DEC-2017'!A232" display="STOCK OPTION" xr:uid="{00000000-0004-0000-3800-00000B000000}"/>
    <hyperlink ref="M6:M7" location="'DEC-2017'!A77" display="STOCK FUTURE" xr:uid="{00000000-0004-0000-3800-00000C000000}"/>
    <hyperlink ref="M1" location="'MASTER '!A1" display="Back" xr:uid="{00000000-0004-0000-3800-00000D000000}"/>
    <hyperlink ref="M4:M5" location="'DEC-2017'!A1" display="CASH" xr:uid="{00000000-0004-0000-3800-00000E000000}"/>
  </hyperlinks>
  <pageMargins left="0" right="0" top="0" bottom="0" header="0" footer="0"/>
  <pageSetup scale="95" orientation="portrait" r:id="rId8"/>
  <drawing r:id="rId9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2454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44</v>
      </c>
      <c r="O4" s="354">
        <f>V52</f>
        <v>27</v>
      </c>
      <c r="P4" s="354">
        <f>W52</f>
        <v>16</v>
      </c>
      <c r="Q4" s="355">
        <f>N4-O4-P4</f>
        <v>1</v>
      </c>
      <c r="R4" s="314">
        <f>O4/N4</f>
        <v>0.61363636363636365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43101</v>
      </c>
      <c r="D6" s="158" t="s">
        <v>9</v>
      </c>
      <c r="E6" s="158" t="s">
        <v>2419</v>
      </c>
      <c r="F6" s="204">
        <v>1207</v>
      </c>
      <c r="G6" s="230">
        <v>1202</v>
      </c>
      <c r="H6" s="158">
        <v>-5</v>
      </c>
      <c r="I6" s="204">
        <f>300000/F6</f>
        <v>248.55012427506213</v>
      </c>
      <c r="J6" s="241">
        <f>H6*I6</f>
        <v>-1242.7506213753106</v>
      </c>
      <c r="K6" s="153"/>
      <c r="M6" s="389" t="s">
        <v>450</v>
      </c>
      <c r="N6" s="343">
        <f>COUNT(C60:C82)</f>
        <v>22</v>
      </c>
      <c r="O6" s="345">
        <f>V83</f>
        <v>17</v>
      </c>
      <c r="P6" s="345">
        <f>W83</f>
        <v>5</v>
      </c>
      <c r="Q6" s="347">
        <f>N6-O6-P6</f>
        <v>0</v>
      </c>
      <c r="R6" s="340">
        <f t="shared" ref="R6" si="0">O6/N6</f>
        <v>0.77272727272727271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43101</v>
      </c>
      <c r="D7" s="161" t="s">
        <v>8</v>
      </c>
      <c r="E7" s="161" t="s">
        <v>834</v>
      </c>
      <c r="F7" s="207">
        <v>327</v>
      </c>
      <c r="G7" s="207">
        <v>331</v>
      </c>
      <c r="H7" s="234">
        <v>-4</v>
      </c>
      <c r="I7" s="207">
        <f t="shared" ref="I7" si="1">300000/F7</f>
        <v>917.43119266055044</v>
      </c>
      <c r="J7" s="242">
        <f t="shared" ref="J7" si="2">H7*I7</f>
        <v>-3669.7247706422017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43102</v>
      </c>
      <c r="D8" s="161" t="s">
        <v>9</v>
      </c>
      <c r="E8" s="161" t="s">
        <v>834</v>
      </c>
      <c r="F8" s="207">
        <v>325</v>
      </c>
      <c r="G8" s="222">
        <v>328.1</v>
      </c>
      <c r="H8" s="222">
        <v>3.1</v>
      </c>
      <c r="I8" s="207">
        <f t="shared" ref="I8:I9" si="6">300000/F8</f>
        <v>923.07692307692309</v>
      </c>
      <c r="J8" s="242">
        <f t="shared" ref="J8:J9" si="7">H8*I8</f>
        <v>2861.5384615384619</v>
      </c>
      <c r="K8" s="153"/>
      <c r="M8" s="389" t="s">
        <v>451</v>
      </c>
      <c r="N8" s="343">
        <f>COUNT(C91:C113)</f>
        <v>20</v>
      </c>
      <c r="O8" s="345">
        <f>V114</f>
        <v>13</v>
      </c>
      <c r="P8" s="345">
        <f>W114</f>
        <v>7</v>
      </c>
      <c r="Q8" s="347">
        <f>N8-O8-P8</f>
        <v>0</v>
      </c>
      <c r="R8" s="340">
        <f t="shared" ref="R8" si="8">O8/N8</f>
        <v>0.65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43102</v>
      </c>
      <c r="D9" s="161" t="s">
        <v>8</v>
      </c>
      <c r="E9" s="161" t="s">
        <v>395</v>
      </c>
      <c r="F9" s="207">
        <v>2410</v>
      </c>
      <c r="G9" s="222">
        <v>2400</v>
      </c>
      <c r="H9" s="222">
        <v>10</v>
      </c>
      <c r="I9" s="207">
        <f t="shared" si="6"/>
        <v>124.48132780082987</v>
      </c>
      <c r="J9" s="242">
        <f t="shared" si="7"/>
        <v>1244.8132780082988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43103</v>
      </c>
      <c r="D10" s="161" t="s">
        <v>9</v>
      </c>
      <c r="E10" s="161" t="s">
        <v>2422</v>
      </c>
      <c r="F10" s="207">
        <v>735</v>
      </c>
      <c r="G10" s="222">
        <v>734</v>
      </c>
      <c r="H10" s="222">
        <v>-1</v>
      </c>
      <c r="I10" s="207">
        <f t="shared" ref="I10:I14" si="9">300000/F10</f>
        <v>408.16326530612247</v>
      </c>
      <c r="J10" s="242">
        <f t="shared" ref="J10:J14" si="10">H10*I10</f>
        <v>-408.16326530612247</v>
      </c>
      <c r="K10" s="153"/>
      <c r="M10" s="389" t="s">
        <v>1176</v>
      </c>
      <c r="N10" s="343">
        <f>COUNT(C122:C144)</f>
        <v>20</v>
      </c>
      <c r="O10" s="345">
        <f>V145</f>
        <v>11</v>
      </c>
      <c r="P10" s="345">
        <f>W145</f>
        <v>9</v>
      </c>
      <c r="Q10" s="347">
        <f>N10-O10-P10</f>
        <v>0</v>
      </c>
      <c r="R10" s="340">
        <f t="shared" ref="R10:R16" si="11">O10/N10</f>
        <v>0.55000000000000004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43103</v>
      </c>
      <c r="D11" s="161" t="s">
        <v>8</v>
      </c>
      <c r="E11" s="161" t="s">
        <v>2023</v>
      </c>
      <c r="F11" s="207">
        <v>1729</v>
      </c>
      <c r="G11" s="222">
        <v>1715</v>
      </c>
      <c r="H11" s="255">
        <v>14</v>
      </c>
      <c r="I11" s="207">
        <f t="shared" si="9"/>
        <v>173.51069982648929</v>
      </c>
      <c r="J11" s="242">
        <f t="shared" si="10"/>
        <v>2429.1497975708498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43104</v>
      </c>
      <c r="D12" s="161" t="s">
        <v>9</v>
      </c>
      <c r="E12" s="161" t="s">
        <v>78</v>
      </c>
      <c r="F12" s="207">
        <v>1287</v>
      </c>
      <c r="G12" s="222">
        <v>1307</v>
      </c>
      <c r="H12" s="222">
        <v>20</v>
      </c>
      <c r="I12" s="207">
        <f t="shared" si="9"/>
        <v>233.10023310023311</v>
      </c>
      <c r="J12" s="242">
        <f t="shared" si="10"/>
        <v>4662.0046620046624</v>
      </c>
      <c r="K12" s="153"/>
      <c r="M12" s="389" t="s">
        <v>41</v>
      </c>
      <c r="N12" s="343">
        <f>COUNT(C153:C175)</f>
        <v>21</v>
      </c>
      <c r="O12" s="345">
        <f>V176</f>
        <v>13</v>
      </c>
      <c r="P12" s="345">
        <f>W176</f>
        <v>8</v>
      </c>
      <c r="Q12" s="347">
        <f t="shared" ref="Q12" si="12">N12-O12-P12</f>
        <v>0</v>
      </c>
      <c r="R12" s="340">
        <f t="shared" si="11"/>
        <v>0.61904761904761907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43104</v>
      </c>
      <c r="D13" s="161" t="s">
        <v>8</v>
      </c>
      <c r="E13" s="161" t="s">
        <v>139</v>
      </c>
      <c r="F13" s="207">
        <v>314</v>
      </c>
      <c r="G13" s="222">
        <v>315.5</v>
      </c>
      <c r="H13" s="255">
        <v>-1.5</v>
      </c>
      <c r="I13" s="207">
        <f t="shared" si="9"/>
        <v>955.41401273885356</v>
      </c>
      <c r="J13" s="242">
        <f t="shared" si="10"/>
        <v>-1433.1210191082803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43105</v>
      </c>
      <c r="D14" s="161" t="s">
        <v>9</v>
      </c>
      <c r="E14" s="161" t="s">
        <v>78</v>
      </c>
      <c r="F14" s="207">
        <v>1325</v>
      </c>
      <c r="G14" s="207">
        <v>1315</v>
      </c>
      <c r="H14" s="161">
        <v>-10</v>
      </c>
      <c r="I14" s="207">
        <f t="shared" si="9"/>
        <v>226.41509433962264</v>
      </c>
      <c r="J14" s="242">
        <f t="shared" si="10"/>
        <v>-2264.1509433962265</v>
      </c>
      <c r="K14" s="153"/>
      <c r="M14" s="389" t="s">
        <v>1175</v>
      </c>
      <c r="N14" s="343">
        <f>COUNT(C184:C206)</f>
        <v>21</v>
      </c>
      <c r="O14" s="345">
        <f>V207</f>
        <v>12</v>
      </c>
      <c r="P14" s="345">
        <f>W207</f>
        <v>9</v>
      </c>
      <c r="Q14" s="347">
        <f t="shared" ref="Q14" si="13">N14-O14-P14</f>
        <v>0</v>
      </c>
      <c r="R14" s="340">
        <f t="shared" si="11"/>
        <v>0.5714285714285714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43105</v>
      </c>
      <c r="D15" s="161" t="s">
        <v>8</v>
      </c>
      <c r="E15" s="161" t="s">
        <v>2023</v>
      </c>
      <c r="F15" s="207">
        <v>1770</v>
      </c>
      <c r="G15" s="207">
        <v>1785</v>
      </c>
      <c r="H15" s="161">
        <v>-15</v>
      </c>
      <c r="I15" s="207">
        <f t="shared" ref="I15:I49" si="14">300000/F15</f>
        <v>169.4915254237288</v>
      </c>
      <c r="J15" s="242">
        <f t="shared" ref="J15:J49" si="15">H15*I15</f>
        <v>-2542.3728813559319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43108</v>
      </c>
      <c r="D16" s="161" t="s">
        <v>9</v>
      </c>
      <c r="E16" s="161" t="s">
        <v>78</v>
      </c>
      <c r="F16" s="207">
        <v>1329</v>
      </c>
      <c r="G16" s="207">
        <v>1345</v>
      </c>
      <c r="H16" s="161">
        <v>16</v>
      </c>
      <c r="I16" s="207">
        <f t="shared" si="14"/>
        <v>225.73363431151242</v>
      </c>
      <c r="J16" s="242">
        <f t="shared" si="15"/>
        <v>3611.7381489841987</v>
      </c>
      <c r="K16" s="153"/>
      <c r="L16" s="25" t="s">
        <v>2008</v>
      </c>
      <c r="M16" s="389" t="s">
        <v>1090</v>
      </c>
      <c r="N16" s="343">
        <f>COUNT(C215:C237)</f>
        <v>21</v>
      </c>
      <c r="O16" s="345">
        <f>V238</f>
        <v>17</v>
      </c>
      <c r="P16" s="345">
        <f>W238</f>
        <v>4</v>
      </c>
      <c r="Q16" s="347">
        <f t="shared" ref="Q16" si="16">N16-O16-P16</f>
        <v>0</v>
      </c>
      <c r="R16" s="340">
        <f t="shared" si="11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43108</v>
      </c>
      <c r="D17" s="161" t="s">
        <v>8</v>
      </c>
      <c r="E17" s="161" t="s">
        <v>94</v>
      </c>
      <c r="F17" s="207">
        <v>1863</v>
      </c>
      <c r="G17" s="207">
        <v>1860</v>
      </c>
      <c r="H17" s="161">
        <v>3</v>
      </c>
      <c r="I17" s="207">
        <f t="shared" si="14"/>
        <v>161.03059581320451</v>
      </c>
      <c r="J17" s="242">
        <f t="shared" si="15"/>
        <v>483.09178743961354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43109</v>
      </c>
      <c r="D18" s="161" t="s">
        <v>9</v>
      </c>
      <c r="E18" s="161" t="s">
        <v>422</v>
      </c>
      <c r="F18" s="207">
        <v>688</v>
      </c>
      <c r="G18" s="222">
        <v>680</v>
      </c>
      <c r="H18" s="222">
        <v>-8</v>
      </c>
      <c r="I18" s="207">
        <f t="shared" si="14"/>
        <v>436.04651162790697</v>
      </c>
      <c r="J18" s="242">
        <f t="shared" si="15"/>
        <v>-3488.3720930232557</v>
      </c>
      <c r="K18" s="153"/>
      <c r="M18" s="334" t="s">
        <v>946</v>
      </c>
      <c r="N18" s="336">
        <f>SUM(N4:N17)</f>
        <v>169</v>
      </c>
      <c r="O18" s="336">
        <f t="shared" ref="O18:Q18" si="17">SUM(O4:O17)</f>
        <v>110</v>
      </c>
      <c r="P18" s="336">
        <f t="shared" si="17"/>
        <v>58</v>
      </c>
      <c r="Q18" s="338">
        <f t="shared" si="17"/>
        <v>1</v>
      </c>
      <c r="R18" s="314">
        <f t="shared" ref="R18" si="18">O18/N18</f>
        <v>0.65088757396449703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43109</v>
      </c>
      <c r="D19" s="161" t="s">
        <v>9</v>
      </c>
      <c r="E19" s="161" t="s">
        <v>78</v>
      </c>
      <c r="F19" s="207">
        <v>1335</v>
      </c>
      <c r="G19" s="222">
        <v>1334</v>
      </c>
      <c r="H19" s="161">
        <v>-1</v>
      </c>
      <c r="I19" s="207">
        <f t="shared" si="14"/>
        <v>224.71910112359549</v>
      </c>
      <c r="J19" s="242">
        <f t="shared" si="15"/>
        <v>-224.71910112359549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43109</v>
      </c>
      <c r="D20" s="161" t="s">
        <v>8</v>
      </c>
      <c r="E20" s="161" t="s">
        <v>2023</v>
      </c>
      <c r="F20" s="207">
        <v>1825</v>
      </c>
      <c r="G20" s="207">
        <v>1815</v>
      </c>
      <c r="H20" s="161">
        <v>10</v>
      </c>
      <c r="I20" s="207">
        <f t="shared" si="14"/>
        <v>164.38356164383561</v>
      </c>
      <c r="J20" s="242">
        <f t="shared" si="15"/>
        <v>1643.8356164383561</v>
      </c>
      <c r="K20" s="153"/>
      <c r="M20" s="316" t="s">
        <v>2253</v>
      </c>
      <c r="N20" s="317"/>
      <c r="O20" s="318"/>
      <c r="P20" s="325">
        <f>R18</f>
        <v>0.65088757396449703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43110</v>
      </c>
      <c r="D21" s="161" t="s">
        <v>9</v>
      </c>
      <c r="E21" s="161" t="s">
        <v>2426</v>
      </c>
      <c r="F21" s="207">
        <v>563</v>
      </c>
      <c r="G21" s="207">
        <v>563</v>
      </c>
      <c r="H21" s="161">
        <v>0</v>
      </c>
      <c r="I21" s="207">
        <f t="shared" si="14"/>
        <v>532.85968028419188</v>
      </c>
      <c r="J21" s="242">
        <f t="shared" si="15"/>
        <v>0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43110</v>
      </c>
      <c r="D22" s="161" t="s">
        <v>8</v>
      </c>
      <c r="E22" s="161" t="s">
        <v>395</v>
      </c>
      <c r="F22" s="207">
        <v>2445</v>
      </c>
      <c r="G22" s="207">
        <v>2425</v>
      </c>
      <c r="H22" s="161">
        <v>20</v>
      </c>
      <c r="I22" s="207">
        <f t="shared" si="14"/>
        <v>122.69938650306749</v>
      </c>
      <c r="J22" s="242">
        <f t="shared" si="15"/>
        <v>2453.9877300613498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43111</v>
      </c>
      <c r="D23" s="161" t="s">
        <v>9</v>
      </c>
      <c r="E23" s="161" t="s">
        <v>78</v>
      </c>
      <c r="F23" s="207">
        <v>1325</v>
      </c>
      <c r="G23" s="222">
        <v>1315</v>
      </c>
      <c r="H23" s="222">
        <v>-10</v>
      </c>
      <c r="I23" s="207">
        <f t="shared" si="14"/>
        <v>226.41509433962264</v>
      </c>
      <c r="J23" s="242">
        <f t="shared" si="15"/>
        <v>-2264.1509433962265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43111</v>
      </c>
      <c r="D24" s="161" t="s">
        <v>8</v>
      </c>
      <c r="E24" s="161" t="s">
        <v>58</v>
      </c>
      <c r="F24" s="207">
        <v>556</v>
      </c>
      <c r="G24" s="207">
        <v>561</v>
      </c>
      <c r="H24" s="161">
        <v>-5</v>
      </c>
      <c r="I24" s="207">
        <f t="shared" si="14"/>
        <v>539.56834532374103</v>
      </c>
      <c r="J24" s="242">
        <f t="shared" si="15"/>
        <v>-2697.8417266187053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43112</v>
      </c>
      <c r="D25" s="161" t="s">
        <v>9</v>
      </c>
      <c r="E25" s="161" t="s">
        <v>828</v>
      </c>
      <c r="F25" s="207">
        <v>1988</v>
      </c>
      <c r="G25" s="207">
        <v>2002</v>
      </c>
      <c r="H25" s="161">
        <v>14</v>
      </c>
      <c r="I25" s="207">
        <f t="shared" si="14"/>
        <v>150.90543259557344</v>
      </c>
      <c r="J25" s="242">
        <f t="shared" si="15"/>
        <v>2112.676056338028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43112</v>
      </c>
      <c r="D26" s="161" t="s">
        <v>8</v>
      </c>
      <c r="E26" s="161" t="s">
        <v>395</v>
      </c>
      <c r="F26" s="207">
        <v>2430</v>
      </c>
      <c r="G26" s="222">
        <v>2417</v>
      </c>
      <c r="H26" s="161">
        <v>13</v>
      </c>
      <c r="I26" s="207">
        <f t="shared" si="14"/>
        <v>123.45679012345678</v>
      </c>
      <c r="J26" s="242">
        <f t="shared" si="15"/>
        <v>1604.9382716049381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43116</v>
      </c>
      <c r="D27" s="161" t="s">
        <v>9</v>
      </c>
      <c r="E27" s="161" t="s">
        <v>395</v>
      </c>
      <c r="F27" s="207">
        <v>2450</v>
      </c>
      <c r="G27" s="207">
        <v>2483</v>
      </c>
      <c r="H27" s="161">
        <v>33</v>
      </c>
      <c r="I27" s="207">
        <f t="shared" si="14"/>
        <v>122.44897959183673</v>
      </c>
      <c r="J27" s="242">
        <f t="shared" si="15"/>
        <v>4040.8163265306121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43116</v>
      </c>
      <c r="D28" s="161" t="s">
        <v>8</v>
      </c>
      <c r="E28" s="161" t="s">
        <v>834</v>
      </c>
      <c r="F28" s="207">
        <v>337</v>
      </c>
      <c r="G28" s="222">
        <v>329</v>
      </c>
      <c r="H28" s="222">
        <v>8</v>
      </c>
      <c r="I28" s="207">
        <f t="shared" si="14"/>
        <v>890.20771513353111</v>
      </c>
      <c r="J28" s="242">
        <f t="shared" si="15"/>
        <v>7121.6617210682489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43117</v>
      </c>
      <c r="D29" s="161" t="s">
        <v>9</v>
      </c>
      <c r="E29" s="161" t="s">
        <v>395</v>
      </c>
      <c r="F29" s="207">
        <v>2473</v>
      </c>
      <c r="G29" s="222">
        <v>2500</v>
      </c>
      <c r="H29" s="161">
        <v>27</v>
      </c>
      <c r="I29" s="207">
        <f t="shared" si="14"/>
        <v>121.31014961585119</v>
      </c>
      <c r="J29" s="242">
        <f t="shared" si="15"/>
        <v>3275.3740396279823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43117</v>
      </c>
      <c r="D30" s="161" t="s">
        <v>8</v>
      </c>
      <c r="E30" s="161" t="s">
        <v>834</v>
      </c>
      <c r="F30" s="207">
        <v>329</v>
      </c>
      <c r="G30" s="207">
        <v>327</v>
      </c>
      <c r="H30" s="161">
        <v>2</v>
      </c>
      <c r="I30" s="207">
        <f t="shared" si="14"/>
        <v>911.854103343465</v>
      </c>
      <c r="J30" s="242">
        <f t="shared" si="15"/>
        <v>1823.70820668693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43118</v>
      </c>
      <c r="D31" s="161" t="s">
        <v>9</v>
      </c>
      <c r="E31" s="161" t="s">
        <v>395</v>
      </c>
      <c r="F31" s="207">
        <v>2525</v>
      </c>
      <c r="G31" s="207">
        <v>2505</v>
      </c>
      <c r="H31" s="161">
        <v>-20</v>
      </c>
      <c r="I31" s="207">
        <f t="shared" si="14"/>
        <v>118.81188118811882</v>
      </c>
      <c r="J31" s="242">
        <f t="shared" si="15"/>
        <v>-2376.2376237623762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43118</v>
      </c>
      <c r="D32" s="161" t="s">
        <v>8</v>
      </c>
      <c r="E32" s="161" t="s">
        <v>2419</v>
      </c>
      <c r="F32" s="207">
        <v>1118</v>
      </c>
      <c r="G32" s="222">
        <v>1108</v>
      </c>
      <c r="H32" s="161">
        <v>10</v>
      </c>
      <c r="I32" s="207">
        <f t="shared" si="14"/>
        <v>268.33631484794273</v>
      </c>
      <c r="J32" s="242">
        <f t="shared" si="15"/>
        <v>2683.3631484794273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43119</v>
      </c>
      <c r="D33" s="161" t="s">
        <v>9</v>
      </c>
      <c r="E33" s="161" t="s">
        <v>395</v>
      </c>
      <c r="F33" s="207">
        <v>2465</v>
      </c>
      <c r="G33" s="222">
        <v>2505</v>
      </c>
      <c r="H33" s="161">
        <v>40</v>
      </c>
      <c r="I33" s="207">
        <f t="shared" si="14"/>
        <v>121.70385395537525</v>
      </c>
      <c r="J33" s="242">
        <f t="shared" si="15"/>
        <v>4868.1541582150103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43119</v>
      </c>
      <c r="D34" s="161" t="s">
        <v>8</v>
      </c>
      <c r="E34" s="161" t="s">
        <v>834</v>
      </c>
      <c r="F34" s="207">
        <v>328</v>
      </c>
      <c r="G34" s="222">
        <v>324.60000000000002</v>
      </c>
      <c r="H34" s="222">
        <v>3.4</v>
      </c>
      <c r="I34" s="207">
        <f t="shared" si="14"/>
        <v>914.63414634146341</v>
      </c>
      <c r="J34" s="242">
        <f t="shared" si="15"/>
        <v>3109.7560975609754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43122</v>
      </c>
      <c r="D35" s="161" t="s">
        <v>9</v>
      </c>
      <c r="E35" s="161" t="s">
        <v>395</v>
      </c>
      <c r="F35" s="207">
        <v>2500</v>
      </c>
      <c r="G35" s="207">
        <v>2480</v>
      </c>
      <c r="H35" s="161">
        <v>-20</v>
      </c>
      <c r="I35" s="207">
        <f t="shared" si="14"/>
        <v>120</v>
      </c>
      <c r="J35" s="242">
        <f t="shared" si="15"/>
        <v>-2400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43122</v>
      </c>
      <c r="D36" s="161" t="s">
        <v>8</v>
      </c>
      <c r="E36" s="161" t="s">
        <v>834</v>
      </c>
      <c r="F36" s="207">
        <v>327</v>
      </c>
      <c r="G36" s="222">
        <v>324.8</v>
      </c>
      <c r="H36" s="222">
        <v>2.2000000000000002</v>
      </c>
      <c r="I36" s="207">
        <f t="shared" si="14"/>
        <v>917.43119266055044</v>
      </c>
      <c r="J36" s="242">
        <f t="shared" si="15"/>
        <v>2018.3486238532112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43123</v>
      </c>
      <c r="D37" s="161" t="s">
        <v>9</v>
      </c>
      <c r="E37" s="161" t="s">
        <v>31</v>
      </c>
      <c r="F37" s="207">
        <v>987</v>
      </c>
      <c r="G37" s="222">
        <v>984</v>
      </c>
      <c r="H37" s="222">
        <v>-3</v>
      </c>
      <c r="I37" s="207">
        <f t="shared" si="14"/>
        <v>303.951367781155</v>
      </c>
      <c r="J37" s="242">
        <f t="shared" si="15"/>
        <v>-911.854103343465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43123</v>
      </c>
      <c r="D38" s="161" t="s">
        <v>8</v>
      </c>
      <c r="E38" s="161" t="s">
        <v>173</v>
      </c>
      <c r="F38" s="207">
        <v>1163</v>
      </c>
      <c r="G38" s="222">
        <v>1170</v>
      </c>
      <c r="H38" s="222">
        <v>-7</v>
      </c>
      <c r="I38" s="207">
        <f t="shared" si="14"/>
        <v>257.95356835769559</v>
      </c>
      <c r="J38" s="242">
        <f t="shared" si="15"/>
        <v>-1805.6749785038692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43124</v>
      </c>
      <c r="D39" s="161" t="s">
        <v>9</v>
      </c>
      <c r="E39" s="161" t="s">
        <v>834</v>
      </c>
      <c r="F39" s="207">
        <v>343</v>
      </c>
      <c r="G39" s="207">
        <v>347</v>
      </c>
      <c r="H39" s="161">
        <v>4</v>
      </c>
      <c r="I39" s="207">
        <f t="shared" si="14"/>
        <v>874.63556851311955</v>
      </c>
      <c r="J39" s="242">
        <f t="shared" si="15"/>
        <v>3498.5422740524782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43124</v>
      </c>
      <c r="D40" s="161" t="s">
        <v>8</v>
      </c>
      <c r="E40" s="161" t="s">
        <v>2419</v>
      </c>
      <c r="F40" s="207">
        <v>1130</v>
      </c>
      <c r="G40" s="222">
        <v>1110</v>
      </c>
      <c r="H40" s="161">
        <v>20</v>
      </c>
      <c r="I40" s="207">
        <f t="shared" si="14"/>
        <v>265.48672566371681</v>
      </c>
      <c r="J40" s="242">
        <f t="shared" si="15"/>
        <v>5309.7345132743358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43125</v>
      </c>
      <c r="D41" s="161" t="s">
        <v>9</v>
      </c>
      <c r="E41" s="161" t="s">
        <v>834</v>
      </c>
      <c r="F41" s="207">
        <v>349</v>
      </c>
      <c r="G41" s="223">
        <v>345</v>
      </c>
      <c r="H41" s="222">
        <v>-4</v>
      </c>
      <c r="I41" s="207">
        <f t="shared" si="14"/>
        <v>859.59885386819485</v>
      </c>
      <c r="J41" s="242">
        <f t="shared" si="15"/>
        <v>-3438.3954154727794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43125</v>
      </c>
      <c r="D42" s="161" t="s">
        <v>8</v>
      </c>
      <c r="E42" s="161" t="s">
        <v>2419</v>
      </c>
      <c r="F42" s="207">
        <v>1128</v>
      </c>
      <c r="G42" s="207">
        <v>1123</v>
      </c>
      <c r="H42" s="161">
        <v>5</v>
      </c>
      <c r="I42" s="207">
        <f t="shared" si="14"/>
        <v>265.95744680851061</v>
      </c>
      <c r="J42" s="242">
        <f t="shared" si="15"/>
        <v>1329.7872340425531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43125</v>
      </c>
      <c r="D43" s="161" t="s">
        <v>8</v>
      </c>
      <c r="E43" s="161" t="s">
        <v>395</v>
      </c>
      <c r="F43" s="207">
        <v>2540</v>
      </c>
      <c r="G43" s="207">
        <v>2529</v>
      </c>
      <c r="H43" s="161">
        <v>11</v>
      </c>
      <c r="I43" s="207">
        <f t="shared" si="14"/>
        <v>118.11023622047244</v>
      </c>
      <c r="J43" s="242">
        <f t="shared" si="15"/>
        <v>1299.2125984251968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43129</v>
      </c>
      <c r="D44" s="161" t="s">
        <v>9</v>
      </c>
      <c r="E44" s="161" t="s">
        <v>95</v>
      </c>
      <c r="F44" s="207">
        <v>362</v>
      </c>
      <c r="G44" s="207">
        <v>365.5</v>
      </c>
      <c r="H44" s="161">
        <v>3.5</v>
      </c>
      <c r="I44" s="207">
        <f t="shared" si="14"/>
        <v>828.72928176795585</v>
      </c>
      <c r="J44" s="242">
        <f t="shared" si="15"/>
        <v>2900.5524861878457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43129</v>
      </c>
      <c r="D45" s="161" t="s">
        <v>8</v>
      </c>
      <c r="E45" s="161" t="s">
        <v>395</v>
      </c>
      <c r="F45" s="207">
        <v>2405</v>
      </c>
      <c r="G45" s="207">
        <v>2365</v>
      </c>
      <c r="H45" s="161">
        <v>40</v>
      </c>
      <c r="I45" s="207">
        <f t="shared" si="14"/>
        <v>124.74012474012474</v>
      </c>
      <c r="J45" s="242">
        <f t="shared" si="15"/>
        <v>4989.6049896049899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43130</v>
      </c>
      <c r="D46" s="161" t="s">
        <v>9</v>
      </c>
      <c r="E46" s="161" t="s">
        <v>834</v>
      </c>
      <c r="F46" s="207">
        <v>343</v>
      </c>
      <c r="G46" s="207">
        <v>339</v>
      </c>
      <c r="H46" s="161">
        <v>-4</v>
      </c>
      <c r="I46" s="207">
        <f t="shared" si="14"/>
        <v>874.63556851311955</v>
      </c>
      <c r="J46" s="242">
        <f t="shared" si="15"/>
        <v>-3498.5422740524782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43130</v>
      </c>
      <c r="D47" s="161" t="s">
        <v>8</v>
      </c>
      <c r="E47" s="161" t="s">
        <v>395</v>
      </c>
      <c r="F47" s="207">
        <v>2325</v>
      </c>
      <c r="G47" s="207">
        <v>2296</v>
      </c>
      <c r="H47" s="161">
        <v>29</v>
      </c>
      <c r="I47" s="207">
        <f t="shared" si="14"/>
        <v>129.03225806451613</v>
      </c>
      <c r="J47" s="242">
        <f t="shared" si="15"/>
        <v>3741.9354838709678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43131</v>
      </c>
      <c r="D48" s="161" t="s">
        <v>9</v>
      </c>
      <c r="E48" s="161" t="s">
        <v>2449</v>
      </c>
      <c r="F48" s="207">
        <v>1032</v>
      </c>
      <c r="G48" s="207">
        <v>1052</v>
      </c>
      <c r="H48" s="161">
        <v>20</v>
      </c>
      <c r="I48" s="207">
        <f t="shared" si="14"/>
        <v>290.69767441860466</v>
      </c>
      <c r="J48" s="242">
        <f t="shared" si="15"/>
        <v>5813.9534883720935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43131</v>
      </c>
      <c r="D49" s="161" t="s">
        <v>8</v>
      </c>
      <c r="E49" s="161" t="s">
        <v>395</v>
      </c>
      <c r="F49" s="207">
        <v>2270</v>
      </c>
      <c r="G49" s="207">
        <v>2230</v>
      </c>
      <c r="H49" s="161">
        <v>40</v>
      </c>
      <c r="I49" s="207">
        <f t="shared" si="14"/>
        <v>132.15859030837004</v>
      </c>
      <c r="J49" s="242">
        <f t="shared" si="15"/>
        <v>5286.3436123348019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51552.551051695584</v>
      </c>
      <c r="K52" s="153"/>
      <c r="V52" s="25">
        <f>SUM(V6:V51)</f>
        <v>27</v>
      </c>
      <c r="W52" s="25">
        <f>SUM(W6:W51)</f>
        <v>16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2454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43101</v>
      </c>
      <c r="D60" s="158" t="s">
        <v>9</v>
      </c>
      <c r="E60" s="158" t="s">
        <v>2023</v>
      </c>
      <c r="F60" s="204">
        <v>1756</v>
      </c>
      <c r="G60" s="230">
        <v>1746</v>
      </c>
      <c r="H60" s="158">
        <v>-10</v>
      </c>
      <c r="I60" s="204">
        <v>500</v>
      </c>
      <c r="J60" s="241">
        <f t="shared" ref="J60:J82" si="19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43102</v>
      </c>
      <c r="D61" s="161" t="s">
        <v>8</v>
      </c>
      <c r="E61" s="161" t="s">
        <v>31</v>
      </c>
      <c r="F61" s="207">
        <v>916</v>
      </c>
      <c r="G61" s="222">
        <v>915.5</v>
      </c>
      <c r="H61" s="222">
        <v>0.5</v>
      </c>
      <c r="I61" s="207">
        <v>1000</v>
      </c>
      <c r="J61" s="242">
        <f t="shared" si="19"/>
        <v>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43103</v>
      </c>
      <c r="D62" s="161" t="s">
        <v>8</v>
      </c>
      <c r="E62" s="161" t="s">
        <v>31</v>
      </c>
      <c r="F62" s="207">
        <v>930</v>
      </c>
      <c r="G62" s="222">
        <v>920</v>
      </c>
      <c r="H62" s="222">
        <v>10</v>
      </c>
      <c r="I62" s="207">
        <v>1000</v>
      </c>
      <c r="J62" s="242">
        <f t="shared" si="19"/>
        <v>10000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43104</v>
      </c>
      <c r="D63" s="161" t="s">
        <v>8</v>
      </c>
      <c r="E63" s="161" t="s">
        <v>31</v>
      </c>
      <c r="F63" s="222">
        <v>922</v>
      </c>
      <c r="G63" s="222">
        <v>923</v>
      </c>
      <c r="H63" s="222">
        <v>-1</v>
      </c>
      <c r="I63" s="207">
        <v>1000</v>
      </c>
      <c r="J63" s="242">
        <f t="shared" si="19"/>
        <v>-1000</v>
      </c>
      <c r="K63" s="153"/>
      <c r="V63" s="25">
        <f t="shared" si="20"/>
        <v>0</v>
      </c>
      <c r="W63" s="25">
        <f t="shared" si="21"/>
        <v>1</v>
      </c>
    </row>
    <row r="64" spans="1:23" x14ac:dyDescent="0.3">
      <c r="A64" s="147"/>
      <c r="B64" s="205">
        <f t="shared" si="22"/>
        <v>5</v>
      </c>
      <c r="C64" s="206">
        <v>43105</v>
      </c>
      <c r="D64" s="161" t="s">
        <v>8</v>
      </c>
      <c r="E64" s="161" t="s">
        <v>31</v>
      </c>
      <c r="F64" s="207">
        <v>925</v>
      </c>
      <c r="G64" s="222">
        <v>925.5</v>
      </c>
      <c r="H64" s="222">
        <v>-0.5</v>
      </c>
      <c r="I64" s="207">
        <v>1000</v>
      </c>
      <c r="J64" s="242">
        <f t="shared" si="19"/>
        <v>-500</v>
      </c>
      <c r="K64" s="153"/>
      <c r="V64" s="25">
        <f t="shared" si="20"/>
        <v>0</v>
      </c>
      <c r="W64" s="25">
        <f t="shared" si="21"/>
        <v>1</v>
      </c>
    </row>
    <row r="65" spans="1:23" x14ac:dyDescent="0.3">
      <c r="A65" s="147"/>
      <c r="B65" s="205">
        <f t="shared" si="22"/>
        <v>6</v>
      </c>
      <c r="C65" s="206">
        <v>43108</v>
      </c>
      <c r="D65" s="161" t="s">
        <v>8</v>
      </c>
      <c r="E65" s="161" t="s">
        <v>31</v>
      </c>
      <c r="F65" s="207">
        <v>928</v>
      </c>
      <c r="G65" s="222">
        <v>929.2</v>
      </c>
      <c r="H65" s="222">
        <v>-1.2</v>
      </c>
      <c r="I65" s="207">
        <v>1000</v>
      </c>
      <c r="J65" s="242">
        <f t="shared" si="19"/>
        <v>-1200</v>
      </c>
      <c r="K65" s="153"/>
      <c r="V65" s="25">
        <f t="shared" si="20"/>
        <v>0</v>
      </c>
      <c r="W65" s="25">
        <f t="shared" si="21"/>
        <v>1</v>
      </c>
    </row>
    <row r="66" spans="1:23" x14ac:dyDescent="0.3">
      <c r="A66" s="147"/>
      <c r="B66" s="205">
        <f t="shared" si="22"/>
        <v>7</v>
      </c>
      <c r="C66" s="206">
        <v>43109</v>
      </c>
      <c r="D66" s="161" t="s">
        <v>8</v>
      </c>
      <c r="E66" s="161" t="s">
        <v>834</v>
      </c>
      <c r="F66" s="207">
        <v>339</v>
      </c>
      <c r="G66" s="222">
        <v>336.5</v>
      </c>
      <c r="H66" s="222">
        <v>2.5</v>
      </c>
      <c r="I66" s="207">
        <v>1750</v>
      </c>
      <c r="J66" s="242">
        <f t="shared" si="19"/>
        <v>4375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43109</v>
      </c>
      <c r="D67" s="161" t="s">
        <v>8</v>
      </c>
      <c r="E67" s="161" t="s">
        <v>395</v>
      </c>
      <c r="F67" s="207">
        <v>2462</v>
      </c>
      <c r="G67" s="222">
        <v>2460</v>
      </c>
      <c r="H67" s="222">
        <v>2</v>
      </c>
      <c r="I67" s="207">
        <v>250</v>
      </c>
      <c r="J67" s="242">
        <f t="shared" si="19"/>
        <v>500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43110</v>
      </c>
      <c r="D68" s="161" t="s">
        <v>8</v>
      </c>
      <c r="E68" s="161" t="s">
        <v>19</v>
      </c>
      <c r="F68" s="222">
        <v>305.5</v>
      </c>
      <c r="G68" s="222">
        <v>301.8</v>
      </c>
      <c r="H68" s="222">
        <v>3.7</v>
      </c>
      <c r="I68" s="207">
        <v>3000</v>
      </c>
      <c r="J68" s="242">
        <f t="shared" si="19"/>
        <v>11100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43111</v>
      </c>
      <c r="D69" s="161" t="s">
        <v>8</v>
      </c>
      <c r="E69" s="161" t="s">
        <v>192</v>
      </c>
      <c r="F69" s="222">
        <v>358</v>
      </c>
      <c r="G69" s="222">
        <v>355.5</v>
      </c>
      <c r="H69" s="222">
        <v>2.5</v>
      </c>
      <c r="I69" s="207">
        <v>1600</v>
      </c>
      <c r="J69" s="242">
        <f t="shared" si="19"/>
        <v>4000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43112</v>
      </c>
      <c r="D70" s="161" t="s">
        <v>8</v>
      </c>
      <c r="E70" s="161" t="s">
        <v>192</v>
      </c>
      <c r="F70" s="222">
        <v>355</v>
      </c>
      <c r="G70" s="222">
        <v>351</v>
      </c>
      <c r="H70" s="222">
        <v>4</v>
      </c>
      <c r="I70" s="207">
        <v>1600</v>
      </c>
      <c r="J70" s="242">
        <f t="shared" si="19"/>
        <v>6400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43116</v>
      </c>
      <c r="D71" s="161" t="s">
        <v>8</v>
      </c>
      <c r="E71" s="161" t="s">
        <v>192</v>
      </c>
      <c r="F71" s="222">
        <v>349.5</v>
      </c>
      <c r="G71" s="222">
        <v>341.5</v>
      </c>
      <c r="H71" s="222">
        <v>8</v>
      </c>
      <c r="I71" s="207">
        <v>1600</v>
      </c>
      <c r="J71" s="242">
        <f t="shared" si="19"/>
        <v>12800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43117</v>
      </c>
      <c r="D72" s="161" t="s">
        <v>8</v>
      </c>
      <c r="E72" s="161" t="s">
        <v>192</v>
      </c>
      <c r="F72" s="222">
        <v>344</v>
      </c>
      <c r="G72" s="222">
        <v>342.2</v>
      </c>
      <c r="H72" s="222">
        <v>1.8</v>
      </c>
      <c r="I72" s="207">
        <v>1600</v>
      </c>
      <c r="J72" s="242">
        <f t="shared" si="19"/>
        <v>2880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43118</v>
      </c>
      <c r="D73" s="161" t="s">
        <v>8</v>
      </c>
      <c r="E73" s="161" t="s">
        <v>834</v>
      </c>
      <c r="F73" s="223">
        <v>328</v>
      </c>
      <c r="G73" s="222">
        <v>324</v>
      </c>
      <c r="H73" s="255">
        <v>4</v>
      </c>
      <c r="I73" s="207">
        <v>1750</v>
      </c>
      <c r="J73" s="242">
        <f t="shared" si="19"/>
        <v>7000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43119</v>
      </c>
      <c r="D74" s="161" t="s">
        <v>8</v>
      </c>
      <c r="E74" s="161" t="s">
        <v>834</v>
      </c>
      <c r="F74" s="222">
        <v>330.5</v>
      </c>
      <c r="G74" s="222">
        <v>325.5</v>
      </c>
      <c r="H74" s="255">
        <v>5</v>
      </c>
      <c r="I74" s="207">
        <v>1750</v>
      </c>
      <c r="J74" s="242">
        <f t="shared" si="19"/>
        <v>8750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43122</v>
      </c>
      <c r="D75" s="161" t="s">
        <v>8</v>
      </c>
      <c r="E75" s="161" t="s">
        <v>834</v>
      </c>
      <c r="F75" s="222">
        <v>326</v>
      </c>
      <c r="G75" s="222">
        <v>324.5</v>
      </c>
      <c r="H75" s="222">
        <v>1.5</v>
      </c>
      <c r="I75" s="207">
        <v>1750</v>
      </c>
      <c r="J75" s="242">
        <f t="shared" si="19"/>
        <v>2625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43123</v>
      </c>
      <c r="D76" s="161" t="s">
        <v>8</v>
      </c>
      <c r="E76" s="161" t="s">
        <v>1755</v>
      </c>
      <c r="F76" s="222">
        <v>341</v>
      </c>
      <c r="G76" s="222">
        <v>338.5</v>
      </c>
      <c r="H76" s="222">
        <v>2.5</v>
      </c>
      <c r="I76" s="207">
        <v>1700</v>
      </c>
      <c r="J76" s="242">
        <f t="shared" si="19"/>
        <v>4250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43124</v>
      </c>
      <c r="D77" s="161" t="s">
        <v>9</v>
      </c>
      <c r="E77" s="161" t="s">
        <v>834</v>
      </c>
      <c r="F77" s="222">
        <v>345</v>
      </c>
      <c r="G77" s="222">
        <v>346.5</v>
      </c>
      <c r="H77" s="222">
        <v>1.5</v>
      </c>
      <c r="I77" s="207">
        <v>1750</v>
      </c>
      <c r="J77" s="242">
        <f t="shared" si="19"/>
        <v>2625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43125</v>
      </c>
      <c r="D78" s="161" t="s">
        <v>8</v>
      </c>
      <c r="E78" s="161" t="s">
        <v>19</v>
      </c>
      <c r="F78" s="222">
        <v>318</v>
      </c>
      <c r="G78" s="222">
        <v>314</v>
      </c>
      <c r="H78" s="222">
        <v>4</v>
      </c>
      <c r="I78" s="207">
        <v>3000</v>
      </c>
      <c r="J78" s="242">
        <f t="shared" si="19"/>
        <v>12000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43129</v>
      </c>
      <c r="D79" s="161" t="s">
        <v>9</v>
      </c>
      <c r="E79" s="161" t="s">
        <v>2023</v>
      </c>
      <c r="F79" s="222">
        <v>1735</v>
      </c>
      <c r="G79" s="222">
        <v>1724</v>
      </c>
      <c r="H79" s="222">
        <v>-11</v>
      </c>
      <c r="I79" s="207">
        <v>500</v>
      </c>
      <c r="J79" s="242">
        <f t="shared" si="19"/>
        <v>-5500</v>
      </c>
      <c r="K79" s="153"/>
      <c r="V79" s="25">
        <f t="shared" si="20"/>
        <v>0</v>
      </c>
      <c r="W79" s="25">
        <f t="shared" si="21"/>
        <v>1</v>
      </c>
    </row>
    <row r="80" spans="1:23" x14ac:dyDescent="0.3">
      <c r="A80" s="147"/>
      <c r="B80" s="205">
        <f t="shared" si="22"/>
        <v>21</v>
      </c>
      <c r="C80" s="206">
        <v>43130</v>
      </c>
      <c r="D80" s="161" t="s">
        <v>9</v>
      </c>
      <c r="E80" s="161" t="s">
        <v>95</v>
      </c>
      <c r="F80" s="222">
        <v>354</v>
      </c>
      <c r="G80" s="222">
        <v>357</v>
      </c>
      <c r="H80" s="222">
        <v>3</v>
      </c>
      <c r="I80" s="207">
        <v>2750</v>
      </c>
      <c r="J80" s="242">
        <f t="shared" si="19"/>
        <v>8250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43131</v>
      </c>
      <c r="D81" s="161" t="s">
        <v>8</v>
      </c>
      <c r="E81" s="161" t="s">
        <v>129</v>
      </c>
      <c r="F81" s="222">
        <v>1940</v>
      </c>
      <c r="G81" s="222">
        <v>1932.5</v>
      </c>
      <c r="H81" s="222">
        <v>7.5</v>
      </c>
      <c r="I81" s="207">
        <v>500</v>
      </c>
      <c r="J81" s="242">
        <f t="shared" si="19"/>
        <v>3750</v>
      </c>
      <c r="K81" s="153"/>
      <c r="V81" s="25">
        <f t="shared" si="20"/>
        <v>1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88605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2454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43101</v>
      </c>
      <c r="D91" s="185" t="s">
        <v>9</v>
      </c>
      <c r="E91" s="185" t="s">
        <v>39</v>
      </c>
      <c r="F91" s="219">
        <v>10550</v>
      </c>
      <c r="G91" s="219">
        <v>10520</v>
      </c>
      <c r="H91" s="185">
        <v>-30</v>
      </c>
      <c r="I91" s="219">
        <v>150</v>
      </c>
      <c r="J91" s="246">
        <f t="shared" ref="J91:J113" si="23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43102</v>
      </c>
      <c r="D92" s="161" t="s">
        <v>8</v>
      </c>
      <c r="E92" s="161" t="s">
        <v>39</v>
      </c>
      <c r="F92" s="207">
        <v>10475</v>
      </c>
      <c r="G92" s="207">
        <v>10445</v>
      </c>
      <c r="H92" s="161">
        <v>30</v>
      </c>
      <c r="I92" s="207">
        <v>150</v>
      </c>
      <c r="J92" s="242">
        <f t="shared" si="23"/>
        <v>4500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43103</v>
      </c>
      <c r="D93" s="161" t="s">
        <v>8</v>
      </c>
      <c r="E93" s="161" t="s">
        <v>39</v>
      </c>
      <c r="F93" s="207">
        <v>10530</v>
      </c>
      <c r="G93" s="207">
        <v>10470</v>
      </c>
      <c r="H93" s="161">
        <v>60</v>
      </c>
      <c r="I93" s="207">
        <v>150</v>
      </c>
      <c r="J93" s="242">
        <f t="shared" si="23"/>
        <v>9000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43104</v>
      </c>
      <c r="D94" s="161" t="s">
        <v>8</v>
      </c>
      <c r="E94" s="161" t="s">
        <v>39</v>
      </c>
      <c r="F94" s="207">
        <v>10480</v>
      </c>
      <c r="G94" s="207">
        <v>10510</v>
      </c>
      <c r="H94" s="161">
        <v>-30</v>
      </c>
      <c r="I94" s="207">
        <v>150</v>
      </c>
      <c r="J94" s="242">
        <f t="shared" si="23"/>
        <v>-4500</v>
      </c>
      <c r="K94" s="153"/>
      <c r="V94" s="25">
        <f t="shared" si="24"/>
        <v>0</v>
      </c>
      <c r="W94" s="25">
        <f t="shared" si="25"/>
        <v>1</v>
      </c>
    </row>
    <row r="95" spans="1:23" x14ac:dyDescent="0.3">
      <c r="A95" s="147"/>
      <c r="B95" s="205">
        <f t="shared" si="26"/>
        <v>5</v>
      </c>
      <c r="C95" s="206">
        <v>43105</v>
      </c>
      <c r="D95" s="161" t="s">
        <v>8</v>
      </c>
      <c r="E95" s="161" t="s">
        <v>39</v>
      </c>
      <c r="F95" s="207">
        <v>10565</v>
      </c>
      <c r="G95" s="207">
        <v>10539</v>
      </c>
      <c r="H95" s="161">
        <v>26</v>
      </c>
      <c r="I95" s="207">
        <v>150</v>
      </c>
      <c r="J95" s="242">
        <f t="shared" si="23"/>
        <v>3900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6</v>
      </c>
      <c r="C96" s="206">
        <v>43108</v>
      </c>
      <c r="D96" s="161" t="s">
        <v>8</v>
      </c>
      <c r="E96" s="161" t="s">
        <v>39</v>
      </c>
      <c r="F96" s="207">
        <v>10630</v>
      </c>
      <c r="G96" s="207">
        <v>10616</v>
      </c>
      <c r="H96" s="161">
        <v>14</v>
      </c>
      <c r="I96" s="207">
        <v>150</v>
      </c>
      <c r="J96" s="242">
        <f t="shared" si="23"/>
        <v>2100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43109</v>
      </c>
      <c r="D97" s="161" t="s">
        <v>8</v>
      </c>
      <c r="E97" s="161" t="s">
        <v>39</v>
      </c>
      <c r="F97" s="207">
        <v>10645</v>
      </c>
      <c r="G97" s="207">
        <v>10615</v>
      </c>
      <c r="H97" s="161">
        <v>30</v>
      </c>
      <c r="I97" s="207">
        <v>150</v>
      </c>
      <c r="J97" s="242">
        <f t="shared" si="23"/>
        <v>4500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43110</v>
      </c>
      <c r="D98" s="161" t="s">
        <v>8</v>
      </c>
      <c r="E98" s="161" t="s">
        <v>39</v>
      </c>
      <c r="F98" s="207">
        <v>10645</v>
      </c>
      <c r="G98" s="207">
        <v>10603</v>
      </c>
      <c r="H98" s="161">
        <v>42</v>
      </c>
      <c r="I98" s="207">
        <v>150</v>
      </c>
      <c r="J98" s="242">
        <f t="shared" si="23"/>
        <v>6300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9</v>
      </c>
      <c r="C99" s="206">
        <v>43111</v>
      </c>
      <c r="D99" s="161" t="s">
        <v>8</v>
      </c>
      <c r="E99" s="161" t="s">
        <v>39</v>
      </c>
      <c r="F99" s="207">
        <v>10640</v>
      </c>
      <c r="G99" s="207">
        <v>10670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43112</v>
      </c>
      <c r="D100" s="161" t="s">
        <v>8</v>
      </c>
      <c r="E100" s="161" t="s">
        <v>39</v>
      </c>
      <c r="F100" s="207">
        <v>10685</v>
      </c>
      <c r="G100" s="207">
        <v>10625</v>
      </c>
      <c r="H100" s="161">
        <v>60</v>
      </c>
      <c r="I100" s="207">
        <v>150</v>
      </c>
      <c r="J100" s="242">
        <f t="shared" si="23"/>
        <v>9000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43116</v>
      </c>
      <c r="D101" s="161" t="s">
        <v>8</v>
      </c>
      <c r="E101" s="161" t="s">
        <v>39</v>
      </c>
      <c r="F101" s="207">
        <v>10750</v>
      </c>
      <c r="G101" s="207">
        <v>10695</v>
      </c>
      <c r="H101" s="161">
        <v>55</v>
      </c>
      <c r="I101" s="207">
        <v>150</v>
      </c>
      <c r="J101" s="242">
        <f t="shared" si="23"/>
        <v>8250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43117</v>
      </c>
      <c r="D102" s="161" t="s">
        <v>8</v>
      </c>
      <c r="E102" s="161" t="s">
        <v>39</v>
      </c>
      <c r="F102" s="207">
        <v>10730</v>
      </c>
      <c r="G102" s="207">
        <v>10760</v>
      </c>
      <c r="H102" s="161">
        <v>-30</v>
      </c>
      <c r="I102" s="207">
        <v>150</v>
      </c>
      <c r="J102" s="242">
        <f t="shared" si="23"/>
        <v>-4500</v>
      </c>
      <c r="K102" s="153"/>
      <c r="V102" s="25">
        <f t="shared" si="24"/>
        <v>0</v>
      </c>
      <c r="W102" s="25">
        <f t="shared" si="25"/>
        <v>1</v>
      </c>
    </row>
    <row r="103" spans="1:23" x14ac:dyDescent="0.3">
      <c r="A103" s="147"/>
      <c r="B103" s="205">
        <f t="shared" si="26"/>
        <v>13</v>
      </c>
      <c r="C103" s="206">
        <v>43119</v>
      </c>
      <c r="D103" s="161" t="s">
        <v>9</v>
      </c>
      <c r="E103" s="161" t="s">
        <v>39</v>
      </c>
      <c r="F103" s="207">
        <v>10840</v>
      </c>
      <c r="G103" s="207">
        <v>10900</v>
      </c>
      <c r="H103" s="161">
        <v>60</v>
      </c>
      <c r="I103" s="207">
        <v>150</v>
      </c>
      <c r="J103" s="242">
        <f t="shared" si="23"/>
        <v>9000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43122</v>
      </c>
      <c r="D104" s="161" t="s">
        <v>8</v>
      </c>
      <c r="E104" s="161" t="s">
        <v>39</v>
      </c>
      <c r="F104" s="207">
        <v>10910</v>
      </c>
      <c r="G104" s="207">
        <v>10940</v>
      </c>
      <c r="H104" s="161">
        <v>-30</v>
      </c>
      <c r="I104" s="207">
        <v>150</v>
      </c>
      <c r="J104" s="242">
        <f t="shared" si="23"/>
        <v>-4500</v>
      </c>
      <c r="K104" s="153"/>
      <c r="V104" s="25">
        <f t="shared" si="24"/>
        <v>0</v>
      </c>
      <c r="W104" s="25">
        <f t="shared" si="25"/>
        <v>1</v>
      </c>
    </row>
    <row r="105" spans="1:23" x14ac:dyDescent="0.3">
      <c r="A105" s="147"/>
      <c r="B105" s="205">
        <f t="shared" si="26"/>
        <v>15</v>
      </c>
      <c r="C105" s="206">
        <v>43123</v>
      </c>
      <c r="D105" s="161" t="s">
        <v>9</v>
      </c>
      <c r="E105" s="161" t="s">
        <v>39</v>
      </c>
      <c r="F105" s="207">
        <v>11030</v>
      </c>
      <c r="G105" s="207">
        <v>11090</v>
      </c>
      <c r="H105" s="161">
        <v>60</v>
      </c>
      <c r="I105" s="207">
        <v>150</v>
      </c>
      <c r="J105" s="242">
        <f t="shared" si="23"/>
        <v>9000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16</v>
      </c>
      <c r="C106" s="206">
        <v>43124</v>
      </c>
      <c r="D106" s="161" t="s">
        <v>9</v>
      </c>
      <c r="E106" s="161" t="s">
        <v>39</v>
      </c>
      <c r="F106" s="207">
        <v>11075</v>
      </c>
      <c r="G106" s="207">
        <v>11105</v>
      </c>
      <c r="H106" s="161">
        <v>30</v>
      </c>
      <c r="I106" s="207">
        <v>150</v>
      </c>
      <c r="J106" s="242">
        <f t="shared" si="23"/>
        <v>4500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17</v>
      </c>
      <c r="C107" s="206">
        <v>43125</v>
      </c>
      <c r="D107" s="161" t="s">
        <v>9</v>
      </c>
      <c r="E107" s="161" t="s">
        <v>39</v>
      </c>
      <c r="F107" s="207">
        <v>11070</v>
      </c>
      <c r="G107" s="207">
        <v>11040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18</v>
      </c>
      <c r="C108" s="206">
        <v>43129</v>
      </c>
      <c r="D108" s="161" t="s">
        <v>9</v>
      </c>
      <c r="E108" s="161" t="s">
        <v>39</v>
      </c>
      <c r="F108" s="207">
        <v>11150</v>
      </c>
      <c r="G108" s="207">
        <v>11180</v>
      </c>
      <c r="H108" s="161">
        <v>30</v>
      </c>
      <c r="I108" s="207">
        <v>150</v>
      </c>
      <c r="J108" s="242">
        <f t="shared" si="23"/>
        <v>4500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43130</v>
      </c>
      <c r="D109" s="161" t="s">
        <v>9</v>
      </c>
      <c r="E109" s="161" t="s">
        <v>39</v>
      </c>
      <c r="F109" s="207">
        <v>11070</v>
      </c>
      <c r="G109" s="207">
        <v>11095</v>
      </c>
      <c r="H109" s="161">
        <v>25</v>
      </c>
      <c r="I109" s="207">
        <v>150</v>
      </c>
      <c r="J109" s="242">
        <f>I109*H109</f>
        <v>3750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20</v>
      </c>
      <c r="C110" s="206">
        <v>43131</v>
      </c>
      <c r="D110" s="161" t="s">
        <v>9</v>
      </c>
      <c r="E110" s="161" t="s">
        <v>39</v>
      </c>
      <c r="F110" s="207">
        <v>11060</v>
      </c>
      <c r="G110" s="207">
        <v>11030</v>
      </c>
      <c r="H110" s="161">
        <v>-30</v>
      </c>
      <c r="I110" s="207">
        <v>150</v>
      </c>
      <c r="J110" s="242">
        <f t="shared" si="23"/>
        <v>-4500</v>
      </c>
      <c r="K110" s="153"/>
      <c r="V110" s="25">
        <f t="shared" si="24"/>
        <v>0</v>
      </c>
      <c r="W110" s="25">
        <f t="shared" si="25"/>
        <v>1</v>
      </c>
    </row>
    <row r="111" spans="1:23" x14ac:dyDescent="0.3">
      <c r="A111" s="147"/>
      <c r="B111" s="205">
        <f t="shared" si="26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3"/>
        <v>0</v>
      </c>
      <c r="K111" s="153"/>
      <c r="V111" s="25">
        <f t="shared" si="24"/>
        <v>0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46800</v>
      </c>
      <c r="K114" s="153"/>
      <c r="V114" s="25">
        <f>SUM(V91:V113)</f>
        <v>13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2454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43101</v>
      </c>
      <c r="D122" s="185" t="s">
        <v>9</v>
      </c>
      <c r="E122" s="185" t="s">
        <v>2417</v>
      </c>
      <c r="F122" s="219">
        <v>155</v>
      </c>
      <c r="G122" s="219">
        <v>135</v>
      </c>
      <c r="H122" s="185">
        <v>-20</v>
      </c>
      <c r="I122" s="219">
        <v>300</v>
      </c>
      <c r="J122" s="246">
        <f t="shared" ref="J122:J144" si="27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43102</v>
      </c>
      <c r="D123" s="161" t="s">
        <v>9</v>
      </c>
      <c r="E123" s="161" t="s">
        <v>2421</v>
      </c>
      <c r="F123" s="207">
        <v>145</v>
      </c>
      <c r="G123" s="207">
        <v>155</v>
      </c>
      <c r="H123" s="161">
        <v>10</v>
      </c>
      <c r="I123" s="207">
        <v>300</v>
      </c>
      <c r="J123" s="242">
        <f t="shared" si="27"/>
        <v>3000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43103</v>
      </c>
      <c r="D124" s="161" t="s">
        <v>9</v>
      </c>
      <c r="E124" s="161" t="s">
        <v>2373</v>
      </c>
      <c r="F124" s="207">
        <v>110</v>
      </c>
      <c r="G124" s="207">
        <v>140</v>
      </c>
      <c r="H124" s="161">
        <v>30</v>
      </c>
      <c r="I124" s="207">
        <v>300</v>
      </c>
      <c r="J124" s="242">
        <f t="shared" si="27"/>
        <v>9000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43104</v>
      </c>
      <c r="D125" s="161" t="s">
        <v>9</v>
      </c>
      <c r="E125" s="161" t="s">
        <v>2373</v>
      </c>
      <c r="F125" s="207">
        <v>135</v>
      </c>
      <c r="G125" s="207">
        <v>115</v>
      </c>
      <c r="H125" s="161">
        <v>-20</v>
      </c>
      <c r="I125" s="207">
        <v>300</v>
      </c>
      <c r="J125" s="242">
        <f t="shared" si="27"/>
        <v>-6000</v>
      </c>
      <c r="K125" s="153"/>
      <c r="V125" s="25">
        <f t="shared" si="28"/>
        <v>0</v>
      </c>
      <c r="W125" s="25">
        <f t="shared" si="29"/>
        <v>1</v>
      </c>
    </row>
    <row r="126" spans="1:23" x14ac:dyDescent="0.3">
      <c r="A126" s="147"/>
      <c r="B126" s="205">
        <f t="shared" si="30"/>
        <v>5</v>
      </c>
      <c r="C126" s="206">
        <v>43105</v>
      </c>
      <c r="D126" s="161" t="s">
        <v>9</v>
      </c>
      <c r="E126" s="161" t="s">
        <v>2412</v>
      </c>
      <c r="F126" s="207">
        <v>132</v>
      </c>
      <c r="G126" s="207">
        <v>142</v>
      </c>
      <c r="H126" s="161">
        <v>10</v>
      </c>
      <c r="I126" s="207">
        <v>300</v>
      </c>
      <c r="J126" s="242">
        <f t="shared" si="27"/>
        <v>3000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43108</v>
      </c>
      <c r="D127" s="161" t="s">
        <v>9</v>
      </c>
      <c r="E127" s="161" t="s">
        <v>2423</v>
      </c>
      <c r="F127" s="207">
        <v>138</v>
      </c>
      <c r="G127" s="207">
        <v>131</v>
      </c>
      <c r="H127" s="161">
        <v>-7</v>
      </c>
      <c r="I127" s="207">
        <v>300</v>
      </c>
      <c r="J127" s="242">
        <f t="shared" si="27"/>
        <v>-2100</v>
      </c>
      <c r="K127" s="153"/>
      <c r="V127" s="25">
        <f t="shared" si="28"/>
        <v>0</v>
      </c>
      <c r="W127" s="25">
        <f t="shared" si="29"/>
        <v>1</v>
      </c>
    </row>
    <row r="128" spans="1:23" x14ac:dyDescent="0.3">
      <c r="A128" s="147"/>
      <c r="B128" s="205">
        <f t="shared" si="30"/>
        <v>7</v>
      </c>
      <c r="C128" s="206">
        <v>43109</v>
      </c>
      <c r="D128" s="161" t="s">
        <v>9</v>
      </c>
      <c r="E128" s="161" t="s">
        <v>2423</v>
      </c>
      <c r="F128" s="207">
        <v>128</v>
      </c>
      <c r="G128" s="207">
        <v>143</v>
      </c>
      <c r="H128" s="161">
        <v>15</v>
      </c>
      <c r="I128" s="207">
        <v>300</v>
      </c>
      <c r="J128" s="242">
        <f t="shared" si="27"/>
        <v>4500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43110</v>
      </c>
      <c r="D129" s="161" t="s">
        <v>9</v>
      </c>
      <c r="E129" s="161" t="s">
        <v>2423</v>
      </c>
      <c r="F129" s="207">
        <v>128</v>
      </c>
      <c r="G129" s="207">
        <v>148</v>
      </c>
      <c r="H129" s="161">
        <v>20</v>
      </c>
      <c r="I129" s="207">
        <v>300</v>
      </c>
      <c r="J129" s="242">
        <f t="shared" si="27"/>
        <v>6000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9</v>
      </c>
      <c r="C130" s="206">
        <v>43111</v>
      </c>
      <c r="D130" s="161" t="s">
        <v>9</v>
      </c>
      <c r="E130" s="161" t="s">
        <v>2423</v>
      </c>
      <c r="F130" s="207">
        <v>123</v>
      </c>
      <c r="G130" s="207">
        <v>103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43112</v>
      </c>
      <c r="D131" s="161" t="s">
        <v>9</v>
      </c>
      <c r="E131" s="161" t="s">
        <v>2423</v>
      </c>
      <c r="F131" s="207">
        <v>92</v>
      </c>
      <c r="G131" s="207">
        <v>132</v>
      </c>
      <c r="H131" s="161">
        <v>40</v>
      </c>
      <c r="I131" s="207">
        <v>300</v>
      </c>
      <c r="J131" s="242">
        <f t="shared" si="27"/>
        <v>12000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11</v>
      </c>
      <c r="C132" s="206">
        <v>43116</v>
      </c>
      <c r="D132" s="161" t="s">
        <v>9</v>
      </c>
      <c r="E132" s="161" t="s">
        <v>2429</v>
      </c>
      <c r="F132" s="207">
        <v>97</v>
      </c>
      <c r="G132" s="207">
        <v>130</v>
      </c>
      <c r="H132" s="161">
        <v>33</v>
      </c>
      <c r="I132" s="207">
        <v>300</v>
      </c>
      <c r="J132" s="242">
        <f t="shared" si="27"/>
        <v>9900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12</v>
      </c>
      <c r="C133" s="206">
        <v>43117</v>
      </c>
      <c r="D133" s="161" t="s">
        <v>9</v>
      </c>
      <c r="E133" s="161" t="s">
        <v>2429</v>
      </c>
      <c r="F133" s="207">
        <v>106</v>
      </c>
      <c r="G133" s="207">
        <v>86</v>
      </c>
      <c r="H133" s="161">
        <v>-20</v>
      </c>
      <c r="I133" s="207">
        <v>300</v>
      </c>
      <c r="J133" s="242">
        <f t="shared" si="27"/>
        <v>-6000</v>
      </c>
      <c r="K133" s="153"/>
      <c r="V133" s="25">
        <f t="shared" si="28"/>
        <v>0</v>
      </c>
      <c r="W133" s="25">
        <f t="shared" si="29"/>
        <v>1</v>
      </c>
    </row>
    <row r="134" spans="1:23" x14ac:dyDescent="0.3">
      <c r="A134" s="147"/>
      <c r="B134" s="205">
        <f t="shared" si="30"/>
        <v>13</v>
      </c>
      <c r="C134" s="206">
        <v>43119</v>
      </c>
      <c r="D134" s="161" t="s">
        <v>9</v>
      </c>
      <c r="E134" s="161" t="s">
        <v>2434</v>
      </c>
      <c r="F134" s="207">
        <v>80</v>
      </c>
      <c r="G134" s="207">
        <v>115</v>
      </c>
      <c r="H134" s="161">
        <v>35</v>
      </c>
      <c r="I134" s="207">
        <v>300</v>
      </c>
      <c r="J134" s="242">
        <f t="shared" si="27"/>
        <v>10500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43122</v>
      </c>
      <c r="D135" s="161" t="s">
        <v>9</v>
      </c>
      <c r="E135" s="161" t="s">
        <v>2437</v>
      </c>
      <c r="F135" s="207">
        <v>115</v>
      </c>
      <c r="G135" s="207">
        <v>95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30"/>
        <v>15</v>
      </c>
      <c r="C136" s="206">
        <v>43123</v>
      </c>
      <c r="D136" s="161" t="s">
        <v>9</v>
      </c>
      <c r="E136" s="161" t="s">
        <v>2440</v>
      </c>
      <c r="F136" s="207">
        <v>143</v>
      </c>
      <c r="G136" s="207">
        <v>183</v>
      </c>
      <c r="H136" s="161">
        <v>40</v>
      </c>
      <c r="I136" s="207">
        <v>300</v>
      </c>
      <c r="J136" s="242">
        <f t="shared" si="27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16</v>
      </c>
      <c r="C137" s="206">
        <v>43124</v>
      </c>
      <c r="D137" s="161" t="s">
        <v>9</v>
      </c>
      <c r="E137" s="161" t="s">
        <v>2442</v>
      </c>
      <c r="F137" s="207">
        <v>98</v>
      </c>
      <c r="G137" s="207">
        <v>118</v>
      </c>
      <c r="H137" s="161">
        <v>20</v>
      </c>
      <c r="I137" s="207">
        <v>300</v>
      </c>
      <c r="J137" s="242">
        <f t="shared" si="27"/>
        <v>6000</v>
      </c>
      <c r="K137" s="153"/>
      <c r="V137" s="25">
        <f t="shared" si="28"/>
        <v>1</v>
      </c>
      <c r="W137" s="25">
        <f t="shared" si="29"/>
        <v>0</v>
      </c>
    </row>
    <row r="138" spans="1:23" x14ac:dyDescent="0.3">
      <c r="A138" s="147"/>
      <c r="B138" s="205">
        <f t="shared" si="30"/>
        <v>17</v>
      </c>
      <c r="C138" s="206">
        <v>43125</v>
      </c>
      <c r="D138" s="161" t="s">
        <v>9</v>
      </c>
      <c r="E138" s="161" t="s">
        <v>2442</v>
      </c>
      <c r="F138" s="207">
        <v>83</v>
      </c>
      <c r="G138" s="207">
        <v>63</v>
      </c>
      <c r="H138" s="161">
        <v>-20</v>
      </c>
      <c r="I138" s="207">
        <v>300</v>
      </c>
      <c r="J138" s="242">
        <f t="shared" si="27"/>
        <v>-6000</v>
      </c>
      <c r="K138" s="153"/>
      <c r="V138" s="25">
        <f t="shared" si="28"/>
        <v>0</v>
      </c>
      <c r="W138" s="25">
        <f t="shared" si="29"/>
        <v>1</v>
      </c>
    </row>
    <row r="139" spans="1:23" x14ac:dyDescent="0.3">
      <c r="A139" s="147"/>
      <c r="B139" s="205">
        <f t="shared" si="30"/>
        <v>18</v>
      </c>
      <c r="C139" s="206">
        <v>43129</v>
      </c>
      <c r="D139" s="161" t="s">
        <v>9</v>
      </c>
      <c r="E139" s="161" t="s">
        <v>2445</v>
      </c>
      <c r="F139" s="207">
        <v>175</v>
      </c>
      <c r="G139" s="207">
        <v>185</v>
      </c>
      <c r="H139" s="161">
        <v>10</v>
      </c>
      <c r="I139" s="207">
        <v>300</v>
      </c>
      <c r="J139" s="242">
        <f t="shared" si="27"/>
        <v>3000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43130</v>
      </c>
      <c r="D140" s="161" t="s">
        <v>9</v>
      </c>
      <c r="E140" s="161" t="s">
        <v>2445</v>
      </c>
      <c r="F140" s="207">
        <v>132</v>
      </c>
      <c r="G140" s="207">
        <v>124</v>
      </c>
      <c r="H140" s="161">
        <v>-8</v>
      </c>
      <c r="I140" s="207">
        <v>300</v>
      </c>
      <c r="J140" s="242">
        <f t="shared" si="27"/>
        <v>-2400</v>
      </c>
      <c r="K140" s="153"/>
      <c r="V140" s="25">
        <f t="shared" si="28"/>
        <v>0</v>
      </c>
      <c r="W140" s="25">
        <f t="shared" si="29"/>
        <v>1</v>
      </c>
    </row>
    <row r="141" spans="1:23" x14ac:dyDescent="0.3">
      <c r="A141" s="147"/>
      <c r="B141" s="205">
        <f t="shared" si="30"/>
        <v>20</v>
      </c>
      <c r="C141" s="206">
        <v>43131</v>
      </c>
      <c r="D141" s="161" t="s">
        <v>9</v>
      </c>
      <c r="E141" s="161" t="s">
        <v>2450</v>
      </c>
      <c r="F141" s="207">
        <v>150</v>
      </c>
      <c r="G141" s="207">
        <v>130</v>
      </c>
      <c r="H141" s="161">
        <v>-20</v>
      </c>
      <c r="I141" s="207">
        <v>300</v>
      </c>
      <c r="J141" s="242">
        <f t="shared" si="27"/>
        <v>-6000</v>
      </c>
      <c r="K141" s="153"/>
      <c r="V141" s="25">
        <f t="shared" si="28"/>
        <v>0</v>
      </c>
      <c r="W141" s="25">
        <f t="shared" si="29"/>
        <v>1</v>
      </c>
    </row>
    <row r="142" spans="1:23" x14ac:dyDescent="0.3">
      <c r="A142" s="147"/>
      <c r="B142" s="205">
        <f t="shared" si="3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32400</v>
      </c>
      <c r="K145" s="153"/>
      <c r="V145" s="25">
        <f>SUM(V122:V144)</f>
        <v>11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2454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43101</v>
      </c>
      <c r="D153" s="185" t="s">
        <v>9</v>
      </c>
      <c r="E153" s="185" t="s">
        <v>301</v>
      </c>
      <c r="F153" s="219">
        <v>25600</v>
      </c>
      <c r="G153" s="219">
        <v>25500</v>
      </c>
      <c r="H153" s="185">
        <v>-100</v>
      </c>
      <c r="I153" s="219">
        <v>80</v>
      </c>
      <c r="J153" s="246">
        <f t="shared" ref="J153:J175" si="31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43102</v>
      </c>
      <c r="D154" s="161" t="s">
        <v>8</v>
      </c>
      <c r="E154" s="161" t="s">
        <v>301</v>
      </c>
      <c r="F154" s="207">
        <v>25350</v>
      </c>
      <c r="G154" s="207">
        <v>25300</v>
      </c>
      <c r="H154" s="161">
        <v>50</v>
      </c>
      <c r="I154" s="207">
        <v>80</v>
      </c>
      <c r="J154" s="242">
        <f t="shared" si="31"/>
        <v>4000</v>
      </c>
      <c r="K154" s="153"/>
      <c r="V154" s="25">
        <f t="shared" ref="V154:V175" si="32">IF($J154&gt;0,1,0)</f>
        <v>1</v>
      </c>
      <c r="W154" s="25">
        <f t="shared" ref="W154:W175" si="33">IF($J154&lt;0,1,0)</f>
        <v>0</v>
      </c>
    </row>
    <row r="155" spans="1:23" x14ac:dyDescent="0.3">
      <c r="A155" s="147"/>
      <c r="B155" s="205">
        <f t="shared" ref="B155:B175" si="34">B154+1</f>
        <v>3</v>
      </c>
      <c r="C155" s="206">
        <v>43103</v>
      </c>
      <c r="D155" s="161" t="s">
        <v>8</v>
      </c>
      <c r="E155" s="161" t="s">
        <v>301</v>
      </c>
      <c r="F155" s="207">
        <v>25480</v>
      </c>
      <c r="G155" s="207">
        <v>25380</v>
      </c>
      <c r="H155" s="161">
        <v>100</v>
      </c>
      <c r="I155" s="207">
        <v>80</v>
      </c>
      <c r="J155" s="242">
        <f t="shared" si="31"/>
        <v>8000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43104</v>
      </c>
      <c r="D156" s="161" t="s">
        <v>8</v>
      </c>
      <c r="E156" s="161" t="s">
        <v>301</v>
      </c>
      <c r="F156" s="207">
        <v>25400</v>
      </c>
      <c r="G156" s="207">
        <v>25500</v>
      </c>
      <c r="H156" s="161">
        <v>-100</v>
      </c>
      <c r="I156" s="207">
        <v>80</v>
      </c>
      <c r="J156" s="242">
        <f t="shared" si="31"/>
        <v>-8000</v>
      </c>
      <c r="K156" s="153"/>
      <c r="V156" s="25">
        <f t="shared" si="32"/>
        <v>0</v>
      </c>
      <c r="W156" s="25">
        <f t="shared" si="33"/>
        <v>1</v>
      </c>
    </row>
    <row r="157" spans="1:23" x14ac:dyDescent="0.3">
      <c r="A157" s="147"/>
      <c r="B157" s="205">
        <f t="shared" si="34"/>
        <v>5</v>
      </c>
      <c r="C157" s="206">
        <v>43105</v>
      </c>
      <c r="D157" s="161" t="s">
        <v>8</v>
      </c>
      <c r="E157" s="161" t="s">
        <v>301</v>
      </c>
      <c r="F157" s="207">
        <v>25570</v>
      </c>
      <c r="G157" s="207">
        <v>25600</v>
      </c>
      <c r="H157" s="161">
        <v>-30</v>
      </c>
      <c r="I157" s="207">
        <v>80</v>
      </c>
      <c r="J157" s="242">
        <f t="shared" si="31"/>
        <v>-2400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6</v>
      </c>
      <c r="C158" s="206">
        <v>43108</v>
      </c>
      <c r="D158" s="161" t="s">
        <v>8</v>
      </c>
      <c r="E158" s="161" t="s">
        <v>301</v>
      </c>
      <c r="F158" s="207">
        <v>25760</v>
      </c>
      <c r="G158" s="207">
        <v>25720</v>
      </c>
      <c r="H158" s="161">
        <v>40</v>
      </c>
      <c r="I158" s="207">
        <v>80</v>
      </c>
      <c r="J158" s="242">
        <f t="shared" si="31"/>
        <v>3200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43109</v>
      </c>
      <c r="D159" s="161" t="s">
        <v>8</v>
      </c>
      <c r="E159" s="161" t="s">
        <v>301</v>
      </c>
      <c r="F159" s="207">
        <v>25710</v>
      </c>
      <c r="G159" s="207">
        <v>25665</v>
      </c>
      <c r="H159" s="161">
        <v>45</v>
      </c>
      <c r="I159" s="207">
        <v>80</v>
      </c>
      <c r="J159" s="242">
        <f t="shared" si="31"/>
        <v>3600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43110</v>
      </c>
      <c r="D160" s="161" t="s">
        <v>8</v>
      </c>
      <c r="E160" s="161" t="s">
        <v>301</v>
      </c>
      <c r="F160" s="207">
        <v>25680</v>
      </c>
      <c r="G160" s="207">
        <v>25580</v>
      </c>
      <c r="H160" s="161">
        <v>100</v>
      </c>
      <c r="I160" s="207">
        <v>80</v>
      </c>
      <c r="J160" s="242">
        <f t="shared" si="31"/>
        <v>8000</v>
      </c>
      <c r="K160" s="153"/>
      <c r="V160" s="25">
        <f t="shared" si="32"/>
        <v>1</v>
      </c>
      <c r="W160" s="25">
        <f t="shared" si="33"/>
        <v>0</v>
      </c>
    </row>
    <row r="161" spans="1:23" x14ac:dyDescent="0.3">
      <c r="A161" s="147"/>
      <c r="B161" s="205">
        <f t="shared" si="34"/>
        <v>9</v>
      </c>
      <c r="C161" s="206">
        <v>43111</v>
      </c>
      <c r="D161" s="161" t="s">
        <v>8</v>
      </c>
      <c r="E161" s="161" t="s">
        <v>301</v>
      </c>
      <c r="F161" s="207">
        <v>25640</v>
      </c>
      <c r="G161" s="207">
        <v>25660</v>
      </c>
      <c r="H161" s="161">
        <v>-20</v>
      </c>
      <c r="I161" s="207">
        <v>80</v>
      </c>
      <c r="J161" s="242">
        <f t="shared" si="31"/>
        <v>-1600</v>
      </c>
      <c r="K161" s="153"/>
      <c r="V161" s="25">
        <f t="shared" si="32"/>
        <v>0</v>
      </c>
      <c r="W161" s="25">
        <f t="shared" si="33"/>
        <v>1</v>
      </c>
    </row>
    <row r="162" spans="1:23" x14ac:dyDescent="0.3">
      <c r="A162" s="147"/>
      <c r="B162" s="205">
        <f t="shared" si="34"/>
        <v>10</v>
      </c>
      <c r="C162" s="206">
        <v>43112</v>
      </c>
      <c r="D162" s="161" t="s">
        <v>8</v>
      </c>
      <c r="E162" s="161" t="s">
        <v>301</v>
      </c>
      <c r="F162" s="207">
        <v>25750</v>
      </c>
      <c r="G162" s="207">
        <v>25600</v>
      </c>
      <c r="H162" s="161">
        <v>150</v>
      </c>
      <c r="I162" s="207">
        <v>80</v>
      </c>
      <c r="J162" s="242">
        <f t="shared" si="31"/>
        <v>12000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43116</v>
      </c>
      <c r="D163" s="161" t="s">
        <v>8</v>
      </c>
      <c r="E163" s="161" t="s">
        <v>301</v>
      </c>
      <c r="F163" s="207">
        <v>26040</v>
      </c>
      <c r="G163" s="207">
        <v>25940</v>
      </c>
      <c r="H163" s="161">
        <v>100</v>
      </c>
      <c r="I163" s="207">
        <v>80</v>
      </c>
      <c r="J163" s="242">
        <f t="shared" si="31"/>
        <v>8000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12</v>
      </c>
      <c r="C164" s="206">
        <v>43117</v>
      </c>
      <c r="D164" s="161" t="s">
        <v>8</v>
      </c>
      <c r="E164" s="161" t="s">
        <v>301</v>
      </c>
      <c r="F164" s="207">
        <v>26040</v>
      </c>
      <c r="G164" s="207">
        <v>26140</v>
      </c>
      <c r="H164" s="161">
        <v>-100</v>
      </c>
      <c r="I164" s="207">
        <v>80</v>
      </c>
      <c r="J164" s="242">
        <f t="shared" si="31"/>
        <v>-8000</v>
      </c>
      <c r="K164" s="153"/>
      <c r="V164" s="25">
        <f t="shared" si="32"/>
        <v>0</v>
      </c>
      <c r="W164" s="25">
        <f t="shared" si="33"/>
        <v>1</v>
      </c>
    </row>
    <row r="165" spans="1:23" x14ac:dyDescent="0.3">
      <c r="A165" s="147"/>
      <c r="B165" s="205">
        <f t="shared" si="34"/>
        <v>13</v>
      </c>
      <c r="C165" s="206">
        <v>43118</v>
      </c>
      <c r="D165" s="161" t="s">
        <v>8</v>
      </c>
      <c r="E165" s="161" t="s">
        <v>301</v>
      </c>
      <c r="F165" s="207">
        <v>26700</v>
      </c>
      <c r="G165" s="207">
        <v>26500</v>
      </c>
      <c r="H165" s="161">
        <v>200</v>
      </c>
      <c r="I165" s="207">
        <v>80</v>
      </c>
      <c r="J165" s="242">
        <f t="shared" si="31"/>
        <v>16000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43119</v>
      </c>
      <c r="D166" s="161" t="s">
        <v>9</v>
      </c>
      <c r="E166" s="161" t="s">
        <v>301</v>
      </c>
      <c r="F166" s="207">
        <v>26660</v>
      </c>
      <c r="G166" s="207">
        <v>26850</v>
      </c>
      <c r="H166" s="161">
        <v>190</v>
      </c>
      <c r="I166" s="207">
        <v>80</v>
      </c>
      <c r="J166" s="242">
        <f t="shared" si="31"/>
        <v>15200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43122</v>
      </c>
      <c r="D167" s="161" t="s">
        <v>8</v>
      </c>
      <c r="E167" s="161" t="s">
        <v>301</v>
      </c>
      <c r="F167" s="207">
        <v>26950</v>
      </c>
      <c r="G167" s="207">
        <v>26850</v>
      </c>
      <c r="H167" s="161">
        <v>-100</v>
      </c>
      <c r="I167" s="207">
        <v>80</v>
      </c>
      <c r="J167" s="242">
        <f t="shared" si="31"/>
        <v>-8000</v>
      </c>
      <c r="K167" s="153"/>
      <c r="V167" s="25">
        <f t="shared" si="32"/>
        <v>0</v>
      </c>
      <c r="W167" s="25">
        <f t="shared" si="33"/>
        <v>1</v>
      </c>
    </row>
    <row r="168" spans="1:23" x14ac:dyDescent="0.3">
      <c r="A168" s="147"/>
      <c r="B168" s="205">
        <f t="shared" si="34"/>
        <v>16</v>
      </c>
      <c r="C168" s="206">
        <v>43123</v>
      </c>
      <c r="D168" s="161" t="s">
        <v>9</v>
      </c>
      <c r="E168" s="161" t="s">
        <v>301</v>
      </c>
      <c r="F168" s="207">
        <v>27100</v>
      </c>
      <c r="G168" s="207">
        <v>27300</v>
      </c>
      <c r="H168" s="161">
        <v>200</v>
      </c>
      <c r="I168" s="207">
        <v>80</v>
      </c>
      <c r="J168" s="242">
        <f t="shared" si="31"/>
        <v>16000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17</v>
      </c>
      <c r="C169" s="206">
        <v>43124</v>
      </c>
      <c r="D169" s="161" t="s">
        <v>9</v>
      </c>
      <c r="E169" s="161" t="s">
        <v>301</v>
      </c>
      <c r="F169" s="207">
        <v>27300</v>
      </c>
      <c r="G169" s="207">
        <v>27450</v>
      </c>
      <c r="H169" s="161">
        <v>150</v>
      </c>
      <c r="I169" s="207">
        <v>80</v>
      </c>
      <c r="J169" s="242">
        <f t="shared" si="31"/>
        <v>12000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18</v>
      </c>
      <c r="C170" s="206">
        <v>43125</v>
      </c>
      <c r="D170" s="161" t="s">
        <v>9</v>
      </c>
      <c r="E170" s="161" t="s">
        <v>301</v>
      </c>
      <c r="F170" s="207">
        <v>27380</v>
      </c>
      <c r="G170" s="207">
        <v>27280</v>
      </c>
      <c r="H170" s="161">
        <v>-100</v>
      </c>
      <c r="I170" s="207">
        <v>80</v>
      </c>
      <c r="J170" s="242">
        <f t="shared" si="31"/>
        <v>-8000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19</v>
      </c>
      <c r="C171" s="206">
        <v>43129</v>
      </c>
      <c r="D171" s="161" t="s">
        <v>9</v>
      </c>
      <c r="E171" s="161" t="s">
        <v>301</v>
      </c>
      <c r="F171" s="207">
        <v>27580</v>
      </c>
      <c r="G171" s="207">
        <v>27630</v>
      </c>
      <c r="H171" s="161">
        <v>50</v>
      </c>
      <c r="I171" s="207">
        <v>80</v>
      </c>
      <c r="J171" s="242">
        <f t="shared" si="31"/>
        <v>4000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43130</v>
      </c>
      <c r="D172" s="161" t="s">
        <v>9</v>
      </c>
      <c r="E172" s="161" t="s">
        <v>301</v>
      </c>
      <c r="F172" s="207">
        <v>27370</v>
      </c>
      <c r="G172" s="207">
        <v>27420</v>
      </c>
      <c r="H172" s="161">
        <v>50</v>
      </c>
      <c r="I172" s="207">
        <v>80</v>
      </c>
      <c r="J172" s="242">
        <f t="shared" si="31"/>
        <v>4000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43131</v>
      </c>
      <c r="D173" s="161" t="s">
        <v>9</v>
      </c>
      <c r="E173" s="161" t="s">
        <v>301</v>
      </c>
      <c r="F173" s="207">
        <v>27360</v>
      </c>
      <c r="G173" s="207">
        <v>27260</v>
      </c>
      <c r="H173" s="161">
        <v>-100</v>
      </c>
      <c r="I173" s="207">
        <v>80</v>
      </c>
      <c r="J173" s="242">
        <f t="shared" si="31"/>
        <v>-8000</v>
      </c>
      <c r="K173" s="153"/>
      <c r="V173" s="25">
        <f t="shared" si="32"/>
        <v>0</v>
      </c>
      <c r="W173" s="25">
        <f t="shared" si="33"/>
        <v>1</v>
      </c>
    </row>
    <row r="174" spans="1:23" x14ac:dyDescent="0.3">
      <c r="A174" s="147"/>
      <c r="B174" s="205">
        <f t="shared" si="3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62000</v>
      </c>
      <c r="K176" s="153"/>
      <c r="V176" s="25">
        <f>SUM(V153:V175)</f>
        <v>13</v>
      </c>
      <c r="W176" s="25">
        <f>SUM(W153:W175)</f>
        <v>8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2454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43101</v>
      </c>
      <c r="D184" s="185" t="s">
        <v>9</v>
      </c>
      <c r="E184" s="185" t="s">
        <v>2370</v>
      </c>
      <c r="F184" s="219">
        <v>375</v>
      </c>
      <c r="G184" s="219">
        <v>325</v>
      </c>
      <c r="H184" s="185">
        <v>-50</v>
      </c>
      <c r="I184" s="219">
        <v>160</v>
      </c>
      <c r="J184" s="246">
        <f t="shared" ref="J184:J206" si="35">I184*H184</f>
        <v>-8000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43102</v>
      </c>
      <c r="D185" s="161" t="s">
        <v>9</v>
      </c>
      <c r="E185" s="161" t="s">
        <v>2379</v>
      </c>
      <c r="F185" s="207">
        <v>370</v>
      </c>
      <c r="G185" s="207">
        <v>395</v>
      </c>
      <c r="H185" s="161">
        <v>25</v>
      </c>
      <c r="I185" s="207">
        <v>160</v>
      </c>
      <c r="J185" s="242">
        <f t="shared" si="35"/>
        <v>4000</v>
      </c>
      <c r="K185" s="153"/>
      <c r="V185" s="25">
        <f t="shared" ref="V185:V206" si="36">IF($J185&gt;0,1,0)</f>
        <v>1</v>
      </c>
      <c r="W185" s="25">
        <f t="shared" ref="W185:W206" si="37">IF($J185&lt;0,1,0)</f>
        <v>0</v>
      </c>
    </row>
    <row r="186" spans="1:23" x14ac:dyDescent="0.3">
      <c r="A186" s="147"/>
      <c r="B186" s="205">
        <f t="shared" ref="B186:B206" si="38">B185+1</f>
        <v>3</v>
      </c>
      <c r="C186" s="206">
        <v>43103</v>
      </c>
      <c r="D186" s="161" t="s">
        <v>9</v>
      </c>
      <c r="E186" s="161" t="s">
        <v>2379</v>
      </c>
      <c r="F186" s="207">
        <v>290</v>
      </c>
      <c r="G186" s="207">
        <v>330</v>
      </c>
      <c r="H186" s="161">
        <v>40</v>
      </c>
      <c r="I186" s="207">
        <v>160</v>
      </c>
      <c r="J186" s="242">
        <f t="shared" si="35"/>
        <v>6400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43104</v>
      </c>
      <c r="D187" s="161" t="s">
        <v>9</v>
      </c>
      <c r="E187" s="161" t="s">
        <v>2379</v>
      </c>
      <c r="F187" s="207">
        <v>310</v>
      </c>
      <c r="G187" s="207">
        <v>280</v>
      </c>
      <c r="H187" s="161">
        <v>-30</v>
      </c>
      <c r="I187" s="207">
        <v>160</v>
      </c>
      <c r="J187" s="242">
        <f t="shared" si="35"/>
        <v>-4800</v>
      </c>
      <c r="K187" s="153"/>
      <c r="V187" s="25">
        <f t="shared" si="36"/>
        <v>0</v>
      </c>
      <c r="W187" s="25">
        <f t="shared" si="37"/>
        <v>1</v>
      </c>
    </row>
    <row r="188" spans="1:23" x14ac:dyDescent="0.3">
      <c r="A188" s="147"/>
      <c r="B188" s="205">
        <f t="shared" si="38"/>
        <v>5</v>
      </c>
      <c r="C188" s="206">
        <v>43105</v>
      </c>
      <c r="D188" s="161" t="s">
        <v>9</v>
      </c>
      <c r="E188" s="161" t="s">
        <v>2424</v>
      </c>
      <c r="F188" s="207">
        <v>310</v>
      </c>
      <c r="G188" s="207">
        <v>280</v>
      </c>
      <c r="H188" s="161">
        <v>-30</v>
      </c>
      <c r="I188" s="207">
        <v>160</v>
      </c>
      <c r="J188" s="242">
        <f t="shared" si="35"/>
        <v>-4800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6</v>
      </c>
      <c r="C189" s="206">
        <v>43108</v>
      </c>
      <c r="D189" s="161" t="s">
        <v>9</v>
      </c>
      <c r="E189" s="161" t="s">
        <v>2389</v>
      </c>
      <c r="F189" s="207">
        <v>280</v>
      </c>
      <c r="G189" s="207">
        <v>290</v>
      </c>
      <c r="H189" s="161">
        <v>10</v>
      </c>
      <c r="I189" s="207">
        <v>160</v>
      </c>
      <c r="J189" s="242">
        <f t="shared" si="35"/>
        <v>1600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43109</v>
      </c>
      <c r="D190" s="161" t="s">
        <v>9</v>
      </c>
      <c r="E190" s="161" t="s">
        <v>2410</v>
      </c>
      <c r="F190" s="207">
        <v>250</v>
      </c>
      <c r="G190" s="207">
        <v>275</v>
      </c>
      <c r="H190" s="161">
        <v>25</v>
      </c>
      <c r="I190" s="207">
        <v>160</v>
      </c>
      <c r="J190" s="242">
        <f t="shared" si="35"/>
        <v>4000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43110</v>
      </c>
      <c r="D191" s="161" t="s">
        <v>9</v>
      </c>
      <c r="E191" s="161" t="s">
        <v>2410</v>
      </c>
      <c r="F191" s="207">
        <v>260</v>
      </c>
      <c r="G191" s="207">
        <v>290</v>
      </c>
      <c r="H191" s="161">
        <v>30</v>
      </c>
      <c r="I191" s="207">
        <v>160</v>
      </c>
      <c r="J191" s="242">
        <f t="shared" si="35"/>
        <v>4800</v>
      </c>
      <c r="K191" s="153"/>
      <c r="V191" s="25">
        <f t="shared" si="36"/>
        <v>1</v>
      </c>
      <c r="W191" s="25">
        <f t="shared" si="37"/>
        <v>0</v>
      </c>
    </row>
    <row r="192" spans="1:23" x14ac:dyDescent="0.3">
      <c r="A192" s="147"/>
      <c r="B192" s="205">
        <f t="shared" si="38"/>
        <v>9</v>
      </c>
      <c r="C192" s="206">
        <v>43111</v>
      </c>
      <c r="D192" s="161" t="s">
        <v>9</v>
      </c>
      <c r="E192" s="161" t="s">
        <v>2410</v>
      </c>
      <c r="F192" s="207">
        <v>260</v>
      </c>
      <c r="G192" s="207">
        <v>235</v>
      </c>
      <c r="H192" s="161">
        <v>-25</v>
      </c>
      <c r="I192" s="207">
        <v>160</v>
      </c>
      <c r="J192" s="242">
        <f t="shared" si="35"/>
        <v>-4000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10</v>
      </c>
      <c r="C193" s="206">
        <v>43112</v>
      </c>
      <c r="D193" s="161" t="s">
        <v>9</v>
      </c>
      <c r="E193" s="161" t="s">
        <v>2389</v>
      </c>
      <c r="F193" s="207">
        <v>230</v>
      </c>
      <c r="G193" s="207">
        <v>320</v>
      </c>
      <c r="H193" s="161">
        <v>90</v>
      </c>
      <c r="I193" s="207">
        <v>160</v>
      </c>
      <c r="J193" s="242">
        <f t="shared" si="35"/>
        <v>14400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11</v>
      </c>
      <c r="C194" s="206">
        <v>43116</v>
      </c>
      <c r="D194" s="161" t="s">
        <v>9</v>
      </c>
      <c r="E194" s="161" t="s">
        <v>2430</v>
      </c>
      <c r="F194" s="207">
        <v>230</v>
      </c>
      <c r="G194" s="207">
        <v>260</v>
      </c>
      <c r="H194" s="161">
        <v>30</v>
      </c>
      <c r="I194" s="207">
        <v>160</v>
      </c>
      <c r="J194" s="242">
        <f t="shared" si="35"/>
        <v>4800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12</v>
      </c>
      <c r="C195" s="206">
        <v>43117</v>
      </c>
      <c r="D195" s="161" t="s">
        <v>9</v>
      </c>
      <c r="E195" s="161" t="s">
        <v>2430</v>
      </c>
      <c r="F195" s="207">
        <v>220</v>
      </c>
      <c r="G195" s="207">
        <v>160</v>
      </c>
      <c r="H195" s="161">
        <v>-60</v>
      </c>
      <c r="I195" s="207">
        <v>160</v>
      </c>
      <c r="J195" s="242">
        <f t="shared" si="35"/>
        <v>-9600</v>
      </c>
      <c r="K195" s="153"/>
      <c r="V195" s="25">
        <f t="shared" si="36"/>
        <v>0</v>
      </c>
      <c r="W195" s="25">
        <f t="shared" si="37"/>
        <v>1</v>
      </c>
    </row>
    <row r="196" spans="1:23" x14ac:dyDescent="0.3">
      <c r="A196" s="147"/>
      <c r="B196" s="205">
        <f t="shared" si="38"/>
        <v>13</v>
      </c>
      <c r="C196" s="206">
        <v>43118</v>
      </c>
      <c r="D196" s="161" t="s">
        <v>9</v>
      </c>
      <c r="E196" s="161" t="s">
        <v>2433</v>
      </c>
      <c r="F196" s="207">
        <v>190</v>
      </c>
      <c r="G196" s="207">
        <v>310</v>
      </c>
      <c r="H196" s="161">
        <v>120</v>
      </c>
      <c r="I196" s="207">
        <v>160</v>
      </c>
      <c r="J196" s="242">
        <f t="shared" si="35"/>
        <v>19200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43119</v>
      </c>
      <c r="D197" s="161" t="s">
        <v>9</v>
      </c>
      <c r="E197" s="161" t="s">
        <v>2435</v>
      </c>
      <c r="F197" s="207">
        <v>160</v>
      </c>
      <c r="G197" s="207">
        <v>280</v>
      </c>
      <c r="H197" s="161">
        <v>120</v>
      </c>
      <c r="I197" s="207">
        <v>160</v>
      </c>
      <c r="J197" s="242">
        <f t="shared" si="35"/>
        <v>19200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15</v>
      </c>
      <c r="C198" s="206">
        <v>43122</v>
      </c>
      <c r="D198" s="161" t="s">
        <v>9</v>
      </c>
      <c r="E198" s="161" t="s">
        <v>2438</v>
      </c>
      <c r="F198" s="207">
        <v>230</v>
      </c>
      <c r="G198" s="207">
        <v>170</v>
      </c>
      <c r="H198" s="161">
        <v>-60</v>
      </c>
      <c r="I198" s="207">
        <v>160</v>
      </c>
      <c r="J198" s="242">
        <f t="shared" si="35"/>
        <v>-9600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16</v>
      </c>
      <c r="C199" s="206">
        <v>43123</v>
      </c>
      <c r="D199" s="161" t="s">
        <v>9</v>
      </c>
      <c r="E199" s="161" t="s">
        <v>2441</v>
      </c>
      <c r="F199" s="207">
        <v>230</v>
      </c>
      <c r="G199" s="207">
        <v>350</v>
      </c>
      <c r="H199" s="161">
        <v>120</v>
      </c>
      <c r="I199" s="207">
        <v>160</v>
      </c>
      <c r="J199" s="242">
        <f t="shared" si="35"/>
        <v>19200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17</v>
      </c>
      <c r="C200" s="206">
        <v>43124</v>
      </c>
      <c r="D200" s="161" t="s">
        <v>9</v>
      </c>
      <c r="E200" s="161" t="s">
        <v>2443</v>
      </c>
      <c r="F200" s="207">
        <v>160</v>
      </c>
      <c r="G200" s="207">
        <v>220</v>
      </c>
      <c r="H200" s="161">
        <v>60</v>
      </c>
      <c r="I200" s="207">
        <v>160</v>
      </c>
      <c r="J200" s="242">
        <f t="shared" si="35"/>
        <v>9600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18</v>
      </c>
      <c r="C201" s="206">
        <v>43125</v>
      </c>
      <c r="D201" s="161" t="s">
        <v>9</v>
      </c>
      <c r="E201" s="161" t="s">
        <v>2443</v>
      </c>
      <c r="F201" s="207">
        <v>130</v>
      </c>
      <c r="G201" s="207">
        <v>70</v>
      </c>
      <c r="H201" s="161">
        <v>-60</v>
      </c>
      <c r="I201" s="207">
        <v>160</v>
      </c>
      <c r="J201" s="242">
        <f t="shared" si="35"/>
        <v>-9600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19</v>
      </c>
      <c r="C202" s="206">
        <v>43129</v>
      </c>
      <c r="D202" s="161" t="s">
        <v>9</v>
      </c>
      <c r="E202" s="161" t="s">
        <v>2446</v>
      </c>
      <c r="F202" s="207">
        <v>540</v>
      </c>
      <c r="G202" s="207">
        <v>480</v>
      </c>
      <c r="H202" s="161">
        <v>-60</v>
      </c>
      <c r="I202" s="207">
        <v>160</v>
      </c>
      <c r="J202" s="242">
        <f t="shared" si="35"/>
        <v>-9600</v>
      </c>
      <c r="K202" s="153"/>
      <c r="V202" s="25">
        <f t="shared" si="36"/>
        <v>0</v>
      </c>
      <c r="W202" s="25">
        <f t="shared" si="37"/>
        <v>1</v>
      </c>
    </row>
    <row r="203" spans="1:23" x14ac:dyDescent="0.3">
      <c r="A203" s="147"/>
      <c r="B203" s="205">
        <f t="shared" si="38"/>
        <v>20</v>
      </c>
      <c r="C203" s="206">
        <v>43130</v>
      </c>
      <c r="D203" s="161" t="s">
        <v>9</v>
      </c>
      <c r="E203" s="161" t="s">
        <v>2448</v>
      </c>
      <c r="F203" s="207">
        <v>500</v>
      </c>
      <c r="G203" s="207">
        <v>470</v>
      </c>
      <c r="H203" s="161">
        <v>-30</v>
      </c>
      <c r="I203" s="207">
        <v>160</v>
      </c>
      <c r="J203" s="242">
        <f t="shared" si="35"/>
        <v>-4800</v>
      </c>
      <c r="K203" s="153"/>
      <c r="V203" s="25">
        <f t="shared" si="36"/>
        <v>0</v>
      </c>
      <c r="W203" s="25">
        <f t="shared" si="37"/>
        <v>1</v>
      </c>
    </row>
    <row r="204" spans="1:23" x14ac:dyDescent="0.3">
      <c r="A204" s="147"/>
      <c r="B204" s="205">
        <f t="shared" si="38"/>
        <v>21</v>
      </c>
      <c r="C204" s="206">
        <v>43131</v>
      </c>
      <c r="D204" s="161" t="s">
        <v>9</v>
      </c>
      <c r="E204" s="161" t="s">
        <v>2448</v>
      </c>
      <c r="F204" s="207">
        <v>420</v>
      </c>
      <c r="G204" s="207">
        <v>520</v>
      </c>
      <c r="H204" s="161">
        <v>100</v>
      </c>
      <c r="I204" s="207">
        <v>160</v>
      </c>
      <c r="J204" s="242">
        <f t="shared" si="35"/>
        <v>16000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58400</v>
      </c>
      <c r="K207" s="153"/>
      <c r="V207" s="25">
        <f>SUM(V184:V206)</f>
        <v>12</v>
      </c>
      <c r="W207" s="25">
        <f>SUM(W184:W206)</f>
        <v>9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2454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43101</v>
      </c>
      <c r="D215" s="185" t="s">
        <v>9</v>
      </c>
      <c r="E215" s="185" t="s">
        <v>2420</v>
      </c>
      <c r="F215" s="219">
        <v>10</v>
      </c>
      <c r="G215" s="231">
        <v>9.1</v>
      </c>
      <c r="H215" s="231">
        <v>-0.9</v>
      </c>
      <c r="I215" s="219">
        <v>1750</v>
      </c>
      <c r="J215" s="246">
        <f t="shared" ref="J215:J237" si="39">I215*H215</f>
        <v>-1575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43102</v>
      </c>
      <c r="D216" s="161" t="s">
        <v>9</v>
      </c>
      <c r="E216" s="161" t="s">
        <v>2413</v>
      </c>
      <c r="F216" s="222">
        <v>14</v>
      </c>
      <c r="G216" s="222">
        <v>17.8</v>
      </c>
      <c r="H216" s="255">
        <v>3.8</v>
      </c>
      <c r="I216" s="207">
        <v>1750</v>
      </c>
      <c r="J216" s="242">
        <f>I216*H216</f>
        <v>6650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43103</v>
      </c>
      <c r="D217" s="161" t="s">
        <v>9</v>
      </c>
      <c r="E217" s="161" t="s">
        <v>2363</v>
      </c>
      <c r="F217" s="222">
        <v>70</v>
      </c>
      <c r="G217" s="222">
        <v>77</v>
      </c>
      <c r="H217" s="222">
        <v>7</v>
      </c>
      <c r="I217" s="207">
        <v>250</v>
      </c>
      <c r="J217" s="242">
        <f t="shared" si="39"/>
        <v>1750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43104</v>
      </c>
      <c r="D218" s="161" t="s">
        <v>9</v>
      </c>
      <c r="E218" s="161" t="s">
        <v>2418</v>
      </c>
      <c r="F218" s="207">
        <v>14</v>
      </c>
      <c r="G218" s="222">
        <v>18.5</v>
      </c>
      <c r="H218" s="222">
        <v>4.5</v>
      </c>
      <c r="I218" s="207">
        <v>1750</v>
      </c>
      <c r="J218" s="242">
        <f t="shared" si="39"/>
        <v>7875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43105</v>
      </c>
      <c r="D219" s="161" t="s">
        <v>9</v>
      </c>
      <c r="E219" s="161" t="s">
        <v>2411</v>
      </c>
      <c r="F219" s="222">
        <v>7.5</v>
      </c>
      <c r="G219" s="222">
        <v>8.8000000000000007</v>
      </c>
      <c r="H219" s="222">
        <v>1.3</v>
      </c>
      <c r="I219" s="207">
        <v>2750</v>
      </c>
      <c r="J219" s="242">
        <f t="shared" si="39"/>
        <v>3575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6</v>
      </c>
      <c r="C220" s="206">
        <v>43108</v>
      </c>
      <c r="D220" s="161" t="s">
        <v>9</v>
      </c>
      <c r="E220" s="161" t="s">
        <v>2425</v>
      </c>
      <c r="F220" s="222">
        <v>72</v>
      </c>
      <c r="G220" s="222">
        <v>86</v>
      </c>
      <c r="H220" s="222">
        <v>14</v>
      </c>
      <c r="I220" s="207">
        <v>250</v>
      </c>
      <c r="J220" s="242">
        <f t="shared" si="39"/>
        <v>3500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7</v>
      </c>
      <c r="C221" s="206">
        <v>43109</v>
      </c>
      <c r="D221" s="161" t="s">
        <v>9</v>
      </c>
      <c r="E221" s="161" t="s">
        <v>2425</v>
      </c>
      <c r="F221" s="222">
        <v>86</v>
      </c>
      <c r="G221" s="222">
        <v>89</v>
      </c>
      <c r="H221" s="222">
        <v>3</v>
      </c>
      <c r="I221" s="207">
        <v>250</v>
      </c>
      <c r="J221" s="242">
        <f t="shared" si="39"/>
        <v>750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8</v>
      </c>
      <c r="C222" s="206">
        <v>43110</v>
      </c>
      <c r="D222" s="161" t="s">
        <v>9</v>
      </c>
      <c r="E222" s="161" t="s">
        <v>2427</v>
      </c>
      <c r="F222" s="222">
        <v>11</v>
      </c>
      <c r="G222" s="222">
        <v>13.8</v>
      </c>
      <c r="H222" s="222">
        <v>2.8</v>
      </c>
      <c r="I222" s="207">
        <v>1750</v>
      </c>
      <c r="J222" s="242">
        <f t="shared" si="39"/>
        <v>4900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43111</v>
      </c>
      <c r="D223" s="161" t="s">
        <v>9</v>
      </c>
      <c r="E223" s="161" t="s">
        <v>2428</v>
      </c>
      <c r="F223" s="222">
        <v>6.4</v>
      </c>
      <c r="G223" s="222">
        <v>5.8</v>
      </c>
      <c r="H223" s="255">
        <v>-0.6</v>
      </c>
      <c r="I223" s="207">
        <v>2750</v>
      </c>
      <c r="J223" s="242">
        <f t="shared" si="39"/>
        <v>-1650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10</v>
      </c>
      <c r="C224" s="206">
        <v>43112</v>
      </c>
      <c r="D224" s="161" t="s">
        <v>9</v>
      </c>
      <c r="E224" s="161" t="s">
        <v>2427</v>
      </c>
      <c r="F224" s="222">
        <v>8.8000000000000007</v>
      </c>
      <c r="G224" s="222">
        <v>11.3</v>
      </c>
      <c r="H224" s="255">
        <v>2.5</v>
      </c>
      <c r="I224" s="207">
        <v>1750</v>
      </c>
      <c r="J224" s="242">
        <f t="shared" si="39"/>
        <v>4375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11</v>
      </c>
      <c r="C225" s="206">
        <v>43116</v>
      </c>
      <c r="D225" s="161" t="s">
        <v>9</v>
      </c>
      <c r="E225" s="161" t="s">
        <v>2431</v>
      </c>
      <c r="F225" s="222">
        <v>5.5</v>
      </c>
      <c r="G225" s="222">
        <v>3.5</v>
      </c>
      <c r="H225" s="255">
        <v>-2</v>
      </c>
      <c r="I225" s="207">
        <v>2750</v>
      </c>
      <c r="J225" s="242">
        <f t="shared" si="39"/>
        <v>-5500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12</v>
      </c>
      <c r="C226" s="206">
        <v>43117</v>
      </c>
      <c r="D226" s="161" t="s">
        <v>9</v>
      </c>
      <c r="E226" s="161" t="s">
        <v>2432</v>
      </c>
      <c r="F226" s="207">
        <v>7</v>
      </c>
      <c r="G226" s="222">
        <v>4</v>
      </c>
      <c r="H226" s="255">
        <v>-3</v>
      </c>
      <c r="I226" s="207">
        <v>1600</v>
      </c>
      <c r="J226" s="242">
        <f t="shared" si="39"/>
        <v>-4800</v>
      </c>
      <c r="K226" s="153"/>
      <c r="V226" s="25">
        <f t="shared" si="41"/>
        <v>0</v>
      </c>
      <c r="W226" s="25">
        <f t="shared" si="42"/>
        <v>1</v>
      </c>
    </row>
    <row r="227" spans="1:23" x14ac:dyDescent="0.3">
      <c r="A227" s="147"/>
      <c r="B227" s="205">
        <f t="shared" si="40"/>
        <v>13</v>
      </c>
      <c r="C227" s="206">
        <v>43118</v>
      </c>
      <c r="D227" s="161" t="s">
        <v>9</v>
      </c>
      <c r="E227" s="161" t="s">
        <v>2425</v>
      </c>
      <c r="F227" s="222">
        <v>64</v>
      </c>
      <c r="G227" s="222">
        <v>80</v>
      </c>
      <c r="H227" s="255">
        <v>16</v>
      </c>
      <c r="I227" s="207">
        <v>250</v>
      </c>
      <c r="J227" s="242">
        <f t="shared" si="39"/>
        <v>4000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14</v>
      </c>
      <c r="C228" s="206">
        <v>43119</v>
      </c>
      <c r="D228" s="161" t="s">
        <v>9</v>
      </c>
      <c r="E228" s="161" t="s">
        <v>2436</v>
      </c>
      <c r="F228" s="222">
        <v>6.5</v>
      </c>
      <c r="G228" s="222">
        <v>9.3000000000000007</v>
      </c>
      <c r="H228" s="255">
        <v>2.8</v>
      </c>
      <c r="I228" s="207">
        <v>1750</v>
      </c>
      <c r="J228" s="242">
        <f>I228*H228</f>
        <v>4900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15</v>
      </c>
      <c r="C229" s="206">
        <v>43122</v>
      </c>
      <c r="D229" s="161" t="s">
        <v>9</v>
      </c>
      <c r="E229" s="161" t="s">
        <v>2439</v>
      </c>
      <c r="F229" s="222">
        <v>8</v>
      </c>
      <c r="G229" s="222">
        <v>9.3000000000000007</v>
      </c>
      <c r="H229" s="255">
        <v>1.3</v>
      </c>
      <c r="I229" s="207">
        <v>1600</v>
      </c>
      <c r="J229" s="242">
        <f t="shared" si="39"/>
        <v>2080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43123</v>
      </c>
      <c r="D230" s="161" t="s">
        <v>9</v>
      </c>
      <c r="E230" s="161" t="s">
        <v>2425</v>
      </c>
      <c r="F230" s="222">
        <v>30</v>
      </c>
      <c r="G230" s="222">
        <v>36</v>
      </c>
      <c r="H230" s="222">
        <v>6</v>
      </c>
      <c r="I230" s="207">
        <v>250</v>
      </c>
      <c r="J230" s="242">
        <f t="shared" si="39"/>
        <v>1500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17</v>
      </c>
      <c r="C231" s="206">
        <v>43124</v>
      </c>
      <c r="D231" s="161" t="s">
        <v>9</v>
      </c>
      <c r="E231" s="161" t="s">
        <v>2444</v>
      </c>
      <c r="F231" s="222">
        <v>70</v>
      </c>
      <c r="G231" s="222">
        <v>97</v>
      </c>
      <c r="H231" s="222">
        <v>27</v>
      </c>
      <c r="I231" s="207">
        <v>250</v>
      </c>
      <c r="J231" s="242">
        <f t="shared" si="39"/>
        <v>6750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18</v>
      </c>
      <c r="C232" s="206">
        <v>43125</v>
      </c>
      <c r="D232" s="161" t="s">
        <v>9</v>
      </c>
      <c r="E232" s="161" t="s">
        <v>2447</v>
      </c>
      <c r="F232" s="222">
        <v>3.5</v>
      </c>
      <c r="G232" s="222">
        <v>7.5</v>
      </c>
      <c r="H232" s="222">
        <v>4</v>
      </c>
      <c r="I232" s="207">
        <v>1600</v>
      </c>
      <c r="J232" s="242">
        <f t="shared" si="39"/>
        <v>6400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43129</v>
      </c>
      <c r="D233" s="161" t="s">
        <v>9</v>
      </c>
      <c r="E233" s="161" t="s">
        <v>2352</v>
      </c>
      <c r="F233" s="222">
        <v>90</v>
      </c>
      <c r="G233" s="222">
        <v>118</v>
      </c>
      <c r="H233" s="222">
        <v>28</v>
      </c>
      <c r="I233" s="207">
        <v>250</v>
      </c>
      <c r="J233" s="242">
        <f t="shared" si="39"/>
        <v>7000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43130</v>
      </c>
      <c r="D234" s="161" t="s">
        <v>9</v>
      </c>
      <c r="E234" s="161" t="s">
        <v>370</v>
      </c>
      <c r="F234" s="222">
        <v>75</v>
      </c>
      <c r="G234" s="222">
        <v>89</v>
      </c>
      <c r="H234" s="222">
        <v>14</v>
      </c>
      <c r="I234" s="207">
        <v>250</v>
      </c>
      <c r="J234" s="242">
        <f t="shared" si="39"/>
        <v>3500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43131</v>
      </c>
      <c r="D235" s="161" t="s">
        <v>9</v>
      </c>
      <c r="E235" s="161" t="s">
        <v>370</v>
      </c>
      <c r="F235" s="222">
        <v>90</v>
      </c>
      <c r="G235" s="222">
        <v>120</v>
      </c>
      <c r="H235" s="222">
        <v>30</v>
      </c>
      <c r="I235" s="207">
        <v>250</v>
      </c>
      <c r="J235" s="242">
        <f t="shared" si="39"/>
        <v>7500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9"/>
        <v>0</v>
      </c>
      <c r="K236" s="153"/>
      <c r="V236" s="25">
        <f t="shared" si="41"/>
        <v>0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63480</v>
      </c>
      <c r="K238" s="153"/>
      <c r="V238" s="25">
        <f>SUM(V215:V237)</f>
        <v>17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900-000000000000}"/>
    <hyperlink ref="B83" r:id="rId2" xr:uid="{00000000-0004-0000-3900-000001000000}"/>
    <hyperlink ref="B114" r:id="rId3" xr:uid="{00000000-0004-0000-3900-000002000000}"/>
    <hyperlink ref="M8:M9" location="'JAN-2018'!A108" display="NIFTY FUTURE" xr:uid="{00000000-0004-0000-3900-000003000000}"/>
    <hyperlink ref="B145" r:id="rId4" xr:uid="{00000000-0004-0000-3900-000004000000}"/>
    <hyperlink ref="M10:M11" location="'JAN-2018'!A139" display="NF. OPTION" xr:uid="{00000000-0004-0000-3900-000005000000}"/>
    <hyperlink ref="B176" r:id="rId5" xr:uid="{00000000-0004-0000-3900-000006000000}"/>
    <hyperlink ref="M12:M13" location="'JAN-2018'!A170" display="BANK NIFTY" xr:uid="{00000000-0004-0000-3900-000007000000}"/>
    <hyperlink ref="B207" r:id="rId6" xr:uid="{00000000-0004-0000-3900-000008000000}"/>
    <hyperlink ref="M14:M15" location="'JAN-2018'!A201" display="B.NIFTY OPTION" xr:uid="{00000000-0004-0000-3900-000009000000}"/>
    <hyperlink ref="B238" r:id="rId7" xr:uid="{00000000-0004-0000-3900-00000A000000}"/>
    <hyperlink ref="M16:M17" location="'JAN-2018'!A232" display="STOCK OPTION" xr:uid="{00000000-0004-0000-3900-00000B000000}"/>
    <hyperlink ref="M6:M7" location="'JAN-2018'!A77" display="STOCK FUTURE" xr:uid="{00000000-0004-0000-3900-00000C000000}"/>
    <hyperlink ref="M1" location="'MASTER '!A1" display="Back" xr:uid="{00000000-0004-0000-3900-00000D000000}"/>
    <hyperlink ref="M4:M5" location="'JAN-2018'!A1" display="CASH" xr:uid="{00000000-0004-0000-3900-00000E000000}"/>
  </hyperlinks>
  <pageMargins left="0" right="0" top="0" bottom="0" header="0" footer="0"/>
  <pageSetup scale="95" orientation="portrait" r:id="rId8"/>
  <drawing r:id="rId9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2453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36</v>
      </c>
      <c r="O4" s="354">
        <f>V52</f>
        <v>32</v>
      </c>
      <c r="P4" s="354">
        <f>W52</f>
        <v>4</v>
      </c>
      <c r="Q4" s="355">
        <f>N4-O4-P4</f>
        <v>0</v>
      </c>
      <c r="R4" s="314">
        <f>O4/N4</f>
        <v>0.88888888888888884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43132</v>
      </c>
      <c r="D6" s="158" t="s">
        <v>9</v>
      </c>
      <c r="E6" s="158" t="s">
        <v>2449</v>
      </c>
      <c r="F6" s="204">
        <v>1060</v>
      </c>
      <c r="G6" s="230">
        <v>1068</v>
      </c>
      <c r="H6" s="158">
        <v>8</v>
      </c>
      <c r="I6" s="204">
        <f>300000/F6</f>
        <v>283.01886792452831</v>
      </c>
      <c r="J6" s="241">
        <f>H6*I6</f>
        <v>2264.1509433962265</v>
      </c>
      <c r="K6" s="153"/>
      <c r="M6" s="389" t="s">
        <v>450</v>
      </c>
      <c r="N6" s="343">
        <f>COUNT(C60:C82)</f>
        <v>18</v>
      </c>
      <c r="O6" s="345">
        <f>V83</f>
        <v>15</v>
      </c>
      <c r="P6" s="345">
        <f>W83</f>
        <v>3</v>
      </c>
      <c r="Q6" s="347">
        <f>N6-O6-P6</f>
        <v>0</v>
      </c>
      <c r="R6" s="340">
        <f t="shared" ref="R6" si="0">O6/N6</f>
        <v>0.83333333333333337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43132</v>
      </c>
      <c r="D7" s="161" t="s">
        <v>8</v>
      </c>
      <c r="E7" s="161" t="s">
        <v>395</v>
      </c>
      <c r="F7" s="207">
        <v>2195</v>
      </c>
      <c r="G7" s="207">
        <v>2155</v>
      </c>
      <c r="H7" s="234">
        <v>40</v>
      </c>
      <c r="I7" s="207">
        <f t="shared" ref="I7" si="1">300000/F7</f>
        <v>136.67425968109339</v>
      </c>
      <c r="J7" s="242">
        <f t="shared" ref="J7" si="2">H7*I7</f>
        <v>5466.9703872437358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43133</v>
      </c>
      <c r="D8" s="161" t="s">
        <v>9</v>
      </c>
      <c r="E8" s="161" t="s">
        <v>2093</v>
      </c>
      <c r="F8" s="207">
        <v>545</v>
      </c>
      <c r="G8" s="222">
        <v>540</v>
      </c>
      <c r="H8" s="222">
        <v>-5</v>
      </c>
      <c r="I8" s="207">
        <f t="shared" ref="I8:I9" si="6">300000/F8</f>
        <v>550.45871559633031</v>
      </c>
      <c r="J8" s="242">
        <f t="shared" ref="J8:J9" si="7">H8*I8</f>
        <v>-2752.2935779816517</v>
      </c>
      <c r="K8" s="153"/>
      <c r="M8" s="389" t="s">
        <v>451</v>
      </c>
      <c r="N8" s="343">
        <f>COUNT(C91:C113)</f>
        <v>18</v>
      </c>
      <c r="O8" s="345">
        <f>V114</f>
        <v>12</v>
      </c>
      <c r="P8" s="345">
        <f>W114</f>
        <v>6</v>
      </c>
      <c r="Q8" s="347">
        <f>N8-O8-P8</f>
        <v>0</v>
      </c>
      <c r="R8" s="340">
        <f t="shared" ref="R8" si="8">O8/N8</f>
        <v>0.66666666666666663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43133</v>
      </c>
      <c r="D9" s="161" t="s">
        <v>8</v>
      </c>
      <c r="E9" s="161" t="s">
        <v>2449</v>
      </c>
      <c r="F9" s="207">
        <v>1044</v>
      </c>
      <c r="G9" s="222">
        <v>1024</v>
      </c>
      <c r="H9" s="222">
        <v>20</v>
      </c>
      <c r="I9" s="207">
        <f t="shared" si="6"/>
        <v>287.35632183908046</v>
      </c>
      <c r="J9" s="242">
        <f t="shared" si="7"/>
        <v>5747.1264367816093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43136</v>
      </c>
      <c r="D10" s="161" t="s">
        <v>9</v>
      </c>
      <c r="E10" s="161" t="s">
        <v>192</v>
      </c>
      <c r="F10" s="207">
        <v>303</v>
      </c>
      <c r="G10" s="222">
        <v>311</v>
      </c>
      <c r="H10" s="222">
        <v>8</v>
      </c>
      <c r="I10" s="207">
        <f t="shared" ref="I10:I14" si="9">300000/F10</f>
        <v>990.09900990099015</v>
      </c>
      <c r="J10" s="242">
        <f t="shared" ref="J10:J14" si="10">H10*I10</f>
        <v>7920.7920792079212</v>
      </c>
      <c r="K10" s="153"/>
      <c r="M10" s="389" t="s">
        <v>1176</v>
      </c>
      <c r="N10" s="343">
        <f>COUNT(C122:C144)</f>
        <v>18</v>
      </c>
      <c r="O10" s="345">
        <f>V145</f>
        <v>13</v>
      </c>
      <c r="P10" s="345">
        <f>W145</f>
        <v>5</v>
      </c>
      <c r="Q10" s="347">
        <f>N10-O10-P10</f>
        <v>0</v>
      </c>
      <c r="R10" s="340">
        <f t="shared" ref="R10" si="11">O10/N10</f>
        <v>0.72222222222222221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43136</v>
      </c>
      <c r="D11" s="161" t="s">
        <v>8</v>
      </c>
      <c r="E11" s="161" t="s">
        <v>395</v>
      </c>
      <c r="F11" s="207">
        <v>2115</v>
      </c>
      <c r="G11" s="222">
        <v>2105</v>
      </c>
      <c r="H11" s="255">
        <v>10</v>
      </c>
      <c r="I11" s="207">
        <f t="shared" si="9"/>
        <v>141.84397163120568</v>
      </c>
      <c r="J11" s="242">
        <f t="shared" si="10"/>
        <v>1418.4397163120568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43137</v>
      </c>
      <c r="D12" s="161" t="s">
        <v>9</v>
      </c>
      <c r="E12" s="161" t="s">
        <v>395</v>
      </c>
      <c r="F12" s="207">
        <v>2075</v>
      </c>
      <c r="G12" s="222">
        <v>2115</v>
      </c>
      <c r="H12" s="222">
        <v>40</v>
      </c>
      <c r="I12" s="207">
        <f t="shared" si="9"/>
        <v>144.57831325301206</v>
      </c>
      <c r="J12" s="242">
        <f t="shared" si="10"/>
        <v>5783.1325301204824</v>
      </c>
      <c r="K12" s="153"/>
      <c r="M12" s="389" t="s">
        <v>41</v>
      </c>
      <c r="N12" s="343">
        <f>COUNT(C153:C175)</f>
        <v>18</v>
      </c>
      <c r="O12" s="345">
        <f>V176</f>
        <v>12</v>
      </c>
      <c r="P12" s="345">
        <f>W176</f>
        <v>6</v>
      </c>
      <c r="Q12" s="347">
        <f t="shared" ref="Q12" si="12">N12-O12-P12</f>
        <v>0</v>
      </c>
      <c r="R12" s="340">
        <f t="shared" ref="R12:R16" si="13">O12/N12</f>
        <v>0.66666666666666663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43137</v>
      </c>
      <c r="D13" s="161" t="s">
        <v>9</v>
      </c>
      <c r="E13" s="161" t="s">
        <v>834</v>
      </c>
      <c r="F13" s="207">
        <v>315</v>
      </c>
      <c r="G13" s="222">
        <v>323</v>
      </c>
      <c r="H13" s="255">
        <v>8</v>
      </c>
      <c r="I13" s="207">
        <f t="shared" si="9"/>
        <v>952.38095238095241</v>
      </c>
      <c r="J13" s="242">
        <f t="shared" si="10"/>
        <v>7619.0476190476193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43138</v>
      </c>
      <c r="D14" s="161" t="s">
        <v>9</v>
      </c>
      <c r="E14" s="161" t="s">
        <v>395</v>
      </c>
      <c r="F14" s="207">
        <v>2130</v>
      </c>
      <c r="G14" s="207">
        <v>2145</v>
      </c>
      <c r="H14" s="161">
        <v>15</v>
      </c>
      <c r="I14" s="207">
        <f t="shared" si="9"/>
        <v>140.8450704225352</v>
      </c>
      <c r="J14" s="242">
        <f t="shared" si="10"/>
        <v>2112.676056338028</v>
      </c>
      <c r="K14" s="153"/>
      <c r="M14" s="389" t="s">
        <v>1175</v>
      </c>
      <c r="N14" s="343">
        <f>COUNT(C184:C206)</f>
        <v>18</v>
      </c>
      <c r="O14" s="345">
        <f>V207</f>
        <v>14</v>
      </c>
      <c r="P14" s="345">
        <f>W207</f>
        <v>4</v>
      </c>
      <c r="Q14" s="347">
        <f t="shared" ref="Q14" si="14">N14-O14-P14</f>
        <v>0</v>
      </c>
      <c r="R14" s="340">
        <f t="shared" si="13"/>
        <v>0.77777777777777779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43138</v>
      </c>
      <c r="D15" s="161" t="s">
        <v>8</v>
      </c>
      <c r="E15" s="161" t="s">
        <v>192</v>
      </c>
      <c r="F15" s="207">
        <v>318</v>
      </c>
      <c r="G15" s="207">
        <v>314</v>
      </c>
      <c r="H15" s="161">
        <v>4</v>
      </c>
      <c r="I15" s="207">
        <f t="shared" ref="I15" si="15">300000/F15</f>
        <v>943.39622641509436</v>
      </c>
      <c r="J15" s="242">
        <f t="shared" ref="J15" si="16">H15*I15</f>
        <v>3773.5849056603774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43139</v>
      </c>
      <c r="D16" s="161" t="s">
        <v>9</v>
      </c>
      <c r="E16" s="161" t="s">
        <v>395</v>
      </c>
      <c r="F16" s="207">
        <v>2130</v>
      </c>
      <c r="G16" s="207">
        <v>2170</v>
      </c>
      <c r="H16" s="161">
        <v>40</v>
      </c>
      <c r="I16" s="207">
        <f t="shared" ref="I16:I41" si="17">300000/F16</f>
        <v>140.8450704225352</v>
      </c>
      <c r="J16" s="242">
        <f t="shared" ref="J16:J41" si="18">H16*I16</f>
        <v>5633.8028169014078</v>
      </c>
      <c r="K16" s="153"/>
      <c r="L16" s="25" t="s">
        <v>2008</v>
      </c>
      <c r="M16" s="389" t="s">
        <v>1090</v>
      </c>
      <c r="N16" s="343">
        <f>COUNT(C215:C237)</f>
        <v>18</v>
      </c>
      <c r="O16" s="345">
        <f>V238</f>
        <v>15</v>
      </c>
      <c r="P16" s="345">
        <f>W238</f>
        <v>3</v>
      </c>
      <c r="Q16" s="347">
        <f t="shared" ref="Q16" si="19">N16-O16-P16</f>
        <v>0</v>
      </c>
      <c r="R16" s="340">
        <f t="shared" si="13"/>
        <v>0.83333333333333337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43139</v>
      </c>
      <c r="D17" s="161" t="s">
        <v>8</v>
      </c>
      <c r="E17" s="161" t="s">
        <v>834</v>
      </c>
      <c r="F17" s="207">
        <v>310</v>
      </c>
      <c r="G17" s="207">
        <v>308</v>
      </c>
      <c r="H17" s="161">
        <v>2</v>
      </c>
      <c r="I17" s="207">
        <f t="shared" si="17"/>
        <v>967.74193548387098</v>
      </c>
      <c r="J17" s="242">
        <f t="shared" si="18"/>
        <v>1935.483870967742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43140</v>
      </c>
      <c r="D18" s="161" t="s">
        <v>9</v>
      </c>
      <c r="E18" s="161" t="s">
        <v>395</v>
      </c>
      <c r="F18" s="207">
        <v>2150</v>
      </c>
      <c r="G18" s="222">
        <v>2190</v>
      </c>
      <c r="H18" s="222">
        <v>40</v>
      </c>
      <c r="I18" s="207">
        <f t="shared" si="17"/>
        <v>139.53488372093022</v>
      </c>
      <c r="J18" s="242">
        <f t="shared" si="18"/>
        <v>5581.395348837209</v>
      </c>
      <c r="K18" s="153"/>
      <c r="M18" s="334" t="s">
        <v>946</v>
      </c>
      <c r="N18" s="336">
        <f>SUM(N4:N17)</f>
        <v>144</v>
      </c>
      <c r="O18" s="336">
        <f t="shared" ref="O18:Q18" si="20">SUM(O4:O17)</f>
        <v>113</v>
      </c>
      <c r="P18" s="336">
        <f t="shared" si="20"/>
        <v>31</v>
      </c>
      <c r="Q18" s="338">
        <f t="shared" si="20"/>
        <v>0</v>
      </c>
      <c r="R18" s="314">
        <f t="shared" ref="R18" si="21">O18/N18</f>
        <v>0.78472222222222221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43140</v>
      </c>
      <c r="D19" s="161" t="s">
        <v>8</v>
      </c>
      <c r="E19" s="161" t="s">
        <v>592</v>
      </c>
      <c r="F19" s="207">
        <v>380</v>
      </c>
      <c r="G19" s="222">
        <v>376</v>
      </c>
      <c r="H19" s="161">
        <v>4</v>
      </c>
      <c r="I19" s="207">
        <f t="shared" si="17"/>
        <v>789.47368421052636</v>
      </c>
      <c r="J19" s="242">
        <f t="shared" si="18"/>
        <v>3157.8947368421054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43145</v>
      </c>
      <c r="D20" s="161" t="s">
        <v>9</v>
      </c>
      <c r="E20" s="161" t="s">
        <v>395</v>
      </c>
      <c r="F20" s="207">
        <v>2215</v>
      </c>
      <c r="G20" s="207">
        <v>2195</v>
      </c>
      <c r="H20" s="161">
        <v>-20</v>
      </c>
      <c r="I20" s="207">
        <f t="shared" si="17"/>
        <v>135.44018058690745</v>
      </c>
      <c r="J20" s="242">
        <f t="shared" si="18"/>
        <v>-2708.8036117381489</v>
      </c>
      <c r="K20" s="153"/>
      <c r="M20" s="316" t="s">
        <v>2253</v>
      </c>
      <c r="N20" s="317"/>
      <c r="O20" s="318"/>
      <c r="P20" s="325">
        <f>R18</f>
        <v>0.78472222222222221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43145</v>
      </c>
      <c r="D21" s="161" t="s">
        <v>8</v>
      </c>
      <c r="E21" s="161" t="s">
        <v>19</v>
      </c>
      <c r="F21" s="222">
        <v>283.5</v>
      </c>
      <c r="G21" s="222">
        <v>275.5</v>
      </c>
      <c r="H21" s="222">
        <v>8</v>
      </c>
      <c r="I21" s="207">
        <f t="shared" si="17"/>
        <v>1058.2010582010582</v>
      </c>
      <c r="J21" s="242">
        <f t="shared" si="18"/>
        <v>8465.6084656084658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43146</v>
      </c>
      <c r="D22" s="161" t="s">
        <v>9</v>
      </c>
      <c r="E22" s="161" t="s">
        <v>192</v>
      </c>
      <c r="F22" s="222">
        <v>313.5</v>
      </c>
      <c r="G22" s="222">
        <v>316.8</v>
      </c>
      <c r="H22" s="222">
        <v>3.3</v>
      </c>
      <c r="I22" s="207">
        <f t="shared" si="17"/>
        <v>956.93779904306223</v>
      </c>
      <c r="J22" s="242">
        <f t="shared" si="18"/>
        <v>3157.894736842105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43146</v>
      </c>
      <c r="D23" s="161" t="s">
        <v>8</v>
      </c>
      <c r="E23" s="161" t="s">
        <v>834</v>
      </c>
      <c r="F23" s="207">
        <v>321</v>
      </c>
      <c r="G23" s="222">
        <v>326.5</v>
      </c>
      <c r="H23" s="222">
        <v>5.5</v>
      </c>
      <c r="I23" s="207">
        <f t="shared" si="17"/>
        <v>934.57943925233644</v>
      </c>
      <c r="J23" s="242">
        <f t="shared" si="18"/>
        <v>5140.1869158878508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43147</v>
      </c>
      <c r="D24" s="161" t="s">
        <v>9</v>
      </c>
      <c r="E24" s="161" t="s">
        <v>395</v>
      </c>
      <c r="F24" s="207">
        <v>2230</v>
      </c>
      <c r="G24" s="207">
        <v>2210</v>
      </c>
      <c r="H24" s="161">
        <v>-20</v>
      </c>
      <c r="I24" s="207">
        <f t="shared" si="17"/>
        <v>134.52914798206277</v>
      </c>
      <c r="J24" s="242">
        <f t="shared" si="18"/>
        <v>-2690.5829596412555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43147</v>
      </c>
      <c r="D25" s="161" t="s">
        <v>8</v>
      </c>
      <c r="E25" s="161" t="s">
        <v>834</v>
      </c>
      <c r="F25" s="207">
        <v>325</v>
      </c>
      <c r="G25" s="207">
        <v>317</v>
      </c>
      <c r="H25" s="161">
        <v>8</v>
      </c>
      <c r="I25" s="207">
        <f t="shared" si="17"/>
        <v>923.07692307692309</v>
      </c>
      <c r="J25" s="242">
        <f t="shared" si="18"/>
        <v>7384.6153846153848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43150</v>
      </c>
      <c r="D26" s="161" t="s">
        <v>9</v>
      </c>
      <c r="E26" s="161" t="s">
        <v>834</v>
      </c>
      <c r="F26" s="207">
        <v>321</v>
      </c>
      <c r="G26" s="222">
        <v>323</v>
      </c>
      <c r="H26" s="161">
        <v>2</v>
      </c>
      <c r="I26" s="207">
        <f t="shared" si="17"/>
        <v>934.57943925233644</v>
      </c>
      <c r="J26" s="242">
        <f t="shared" si="18"/>
        <v>1869.1588785046729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43150</v>
      </c>
      <c r="D27" s="161" t="s">
        <v>8</v>
      </c>
      <c r="E27" s="161" t="s">
        <v>395</v>
      </c>
      <c r="F27" s="207">
        <v>2220</v>
      </c>
      <c r="G27" s="207">
        <v>2180</v>
      </c>
      <c r="H27" s="161">
        <v>40</v>
      </c>
      <c r="I27" s="207">
        <f t="shared" si="17"/>
        <v>135.13513513513513</v>
      </c>
      <c r="J27" s="242">
        <f t="shared" si="18"/>
        <v>5405.405405405405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43151</v>
      </c>
      <c r="D28" s="161" t="s">
        <v>9</v>
      </c>
      <c r="E28" s="161" t="s">
        <v>395</v>
      </c>
      <c r="F28" s="207">
        <v>2170</v>
      </c>
      <c r="G28" s="222">
        <v>2182</v>
      </c>
      <c r="H28" s="222">
        <v>12</v>
      </c>
      <c r="I28" s="207">
        <f t="shared" si="17"/>
        <v>138.24884792626727</v>
      </c>
      <c r="J28" s="242">
        <f t="shared" si="18"/>
        <v>1658.9861751152073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43151</v>
      </c>
      <c r="D29" s="161" t="s">
        <v>8</v>
      </c>
      <c r="E29" s="161" t="s">
        <v>31</v>
      </c>
      <c r="F29" s="207">
        <v>924</v>
      </c>
      <c r="G29" s="222">
        <v>920.5</v>
      </c>
      <c r="H29" s="222">
        <v>3.5</v>
      </c>
      <c r="I29" s="207">
        <f t="shared" si="17"/>
        <v>324.6753246753247</v>
      </c>
      <c r="J29" s="242">
        <f t="shared" si="18"/>
        <v>1136.3636363636365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43152</v>
      </c>
      <c r="D30" s="161" t="s">
        <v>9</v>
      </c>
      <c r="E30" s="161" t="s">
        <v>395</v>
      </c>
      <c r="F30" s="207">
        <v>2185</v>
      </c>
      <c r="G30" s="207">
        <v>2195</v>
      </c>
      <c r="H30" s="161">
        <v>10</v>
      </c>
      <c r="I30" s="207">
        <f t="shared" si="17"/>
        <v>137.29977116704805</v>
      </c>
      <c r="J30" s="242">
        <f t="shared" si="18"/>
        <v>1372.9977116704804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43152</v>
      </c>
      <c r="D31" s="161" t="s">
        <v>8</v>
      </c>
      <c r="E31" s="161" t="s">
        <v>834</v>
      </c>
      <c r="F31" s="207">
        <v>326</v>
      </c>
      <c r="G31" s="207">
        <v>322</v>
      </c>
      <c r="H31" s="161">
        <v>4</v>
      </c>
      <c r="I31" s="207">
        <f t="shared" si="17"/>
        <v>920.24539877300617</v>
      </c>
      <c r="J31" s="242">
        <f t="shared" si="18"/>
        <v>3680.9815950920247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43153</v>
      </c>
      <c r="D32" s="161" t="s">
        <v>9</v>
      </c>
      <c r="E32" s="161" t="s">
        <v>2023</v>
      </c>
      <c r="F32" s="207">
        <v>1590</v>
      </c>
      <c r="G32" s="222">
        <v>1610</v>
      </c>
      <c r="H32" s="161">
        <v>20</v>
      </c>
      <c r="I32" s="207">
        <f t="shared" si="17"/>
        <v>188.67924528301887</v>
      </c>
      <c r="J32" s="242">
        <f t="shared" si="18"/>
        <v>3773.5849056603774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43153</v>
      </c>
      <c r="D33" s="161" t="s">
        <v>8</v>
      </c>
      <c r="E33" s="161" t="s">
        <v>395</v>
      </c>
      <c r="F33" s="207">
        <v>2160</v>
      </c>
      <c r="G33" s="222">
        <v>2120</v>
      </c>
      <c r="H33" s="161">
        <v>40</v>
      </c>
      <c r="I33" s="207">
        <f t="shared" si="17"/>
        <v>138.88888888888889</v>
      </c>
      <c r="J33" s="242">
        <f t="shared" si="18"/>
        <v>5555.5555555555557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43154</v>
      </c>
      <c r="D34" s="161" t="s">
        <v>9</v>
      </c>
      <c r="E34" s="161" t="s">
        <v>395</v>
      </c>
      <c r="F34" s="207">
        <v>2145</v>
      </c>
      <c r="G34" s="222">
        <v>2185</v>
      </c>
      <c r="H34" s="222">
        <v>40</v>
      </c>
      <c r="I34" s="207">
        <f t="shared" si="17"/>
        <v>139.86013986013987</v>
      </c>
      <c r="J34" s="242">
        <f t="shared" si="18"/>
        <v>5594.4055944055945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43154</v>
      </c>
      <c r="D35" s="161" t="s">
        <v>8</v>
      </c>
      <c r="E35" s="161" t="s">
        <v>834</v>
      </c>
      <c r="F35" s="207">
        <v>328</v>
      </c>
      <c r="G35" s="207">
        <v>332</v>
      </c>
      <c r="H35" s="161">
        <v>-4</v>
      </c>
      <c r="I35" s="207">
        <f t="shared" si="17"/>
        <v>914.63414634146341</v>
      </c>
      <c r="J35" s="242">
        <f t="shared" si="18"/>
        <v>-3658.5365853658536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43157</v>
      </c>
      <c r="D36" s="161" t="s">
        <v>9</v>
      </c>
      <c r="E36" s="161" t="s">
        <v>395</v>
      </c>
      <c r="F36" s="207">
        <v>2120</v>
      </c>
      <c r="G36" s="222">
        <v>2160</v>
      </c>
      <c r="H36" s="222">
        <v>40</v>
      </c>
      <c r="I36" s="207">
        <f t="shared" si="17"/>
        <v>141.50943396226415</v>
      </c>
      <c r="J36" s="242">
        <f t="shared" si="18"/>
        <v>5660.3773584905666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43157</v>
      </c>
      <c r="D37" s="161" t="s">
        <v>8</v>
      </c>
      <c r="E37" s="161" t="s">
        <v>192</v>
      </c>
      <c r="F37" s="207">
        <v>310</v>
      </c>
      <c r="G37" s="222">
        <v>308.2</v>
      </c>
      <c r="H37" s="222">
        <v>1.8</v>
      </c>
      <c r="I37" s="207">
        <f t="shared" si="17"/>
        <v>967.74193548387098</v>
      </c>
      <c r="J37" s="242">
        <f t="shared" si="18"/>
        <v>1741.9354838709678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43158</v>
      </c>
      <c r="D38" s="161" t="s">
        <v>9</v>
      </c>
      <c r="E38" s="161" t="s">
        <v>395</v>
      </c>
      <c r="F38" s="207">
        <v>2210</v>
      </c>
      <c r="G38" s="222">
        <v>2238</v>
      </c>
      <c r="H38" s="222">
        <v>28</v>
      </c>
      <c r="I38" s="207">
        <f t="shared" si="17"/>
        <v>135.74660633484163</v>
      </c>
      <c r="J38" s="242">
        <f t="shared" si="18"/>
        <v>3800.9049773755655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43158</v>
      </c>
      <c r="D39" s="161" t="s">
        <v>8</v>
      </c>
      <c r="E39" s="161" t="s">
        <v>796</v>
      </c>
      <c r="F39" s="207">
        <v>1227</v>
      </c>
      <c r="G39" s="207">
        <v>1202</v>
      </c>
      <c r="H39" s="161">
        <v>25</v>
      </c>
      <c r="I39" s="207">
        <f t="shared" si="17"/>
        <v>244.49877750611248</v>
      </c>
      <c r="J39" s="242">
        <f t="shared" si="18"/>
        <v>6112.4694376528123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43159</v>
      </c>
      <c r="D40" s="161" t="s">
        <v>9</v>
      </c>
      <c r="E40" s="161" t="s">
        <v>395</v>
      </c>
      <c r="F40" s="207">
        <v>2250</v>
      </c>
      <c r="G40" s="222">
        <v>2265</v>
      </c>
      <c r="H40" s="161">
        <v>15</v>
      </c>
      <c r="I40" s="207">
        <f t="shared" si="17"/>
        <v>133.33333333333334</v>
      </c>
      <c r="J40" s="242">
        <f t="shared" si="18"/>
        <v>2000.0000000000002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43159</v>
      </c>
      <c r="D41" s="161" t="s">
        <v>8</v>
      </c>
      <c r="E41" s="161" t="s">
        <v>139</v>
      </c>
      <c r="F41" s="207">
        <v>320</v>
      </c>
      <c r="G41" s="223">
        <v>318.7</v>
      </c>
      <c r="H41" s="222">
        <v>1.3</v>
      </c>
      <c r="I41" s="207">
        <f t="shared" si="17"/>
        <v>937.5</v>
      </c>
      <c r="J41" s="242">
        <f t="shared" si="18"/>
        <v>1218.75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07"/>
      <c r="G42" s="207"/>
      <c r="H42" s="161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07"/>
      <c r="G43" s="207"/>
      <c r="H43" s="161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07"/>
      <c r="G44" s="207"/>
      <c r="H44" s="161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07"/>
      <c r="G45" s="207"/>
      <c r="H45" s="161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07"/>
      <c r="G46" s="207"/>
      <c r="H46" s="161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07"/>
      <c r="G47" s="207"/>
      <c r="H47" s="161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07"/>
      <c r="G48" s="207"/>
      <c r="H48" s="161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07"/>
      <c r="G49" s="207"/>
      <c r="H49" s="161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121334.46293104629</v>
      </c>
      <c r="K52" s="153"/>
      <c r="V52" s="25">
        <f>SUM(V6:V51)</f>
        <v>32</v>
      </c>
      <c r="W52" s="25">
        <f>SUM(W6:W51)</f>
        <v>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2453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43132</v>
      </c>
      <c r="D60" s="158" t="s">
        <v>9</v>
      </c>
      <c r="E60" s="158" t="s">
        <v>2023</v>
      </c>
      <c r="F60" s="204">
        <v>1695</v>
      </c>
      <c r="G60" s="230">
        <v>1715</v>
      </c>
      <c r="H60" s="158">
        <v>20</v>
      </c>
      <c r="I60" s="204">
        <v>500</v>
      </c>
      <c r="J60" s="241">
        <f t="shared" ref="J60:J81" si="22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43133</v>
      </c>
      <c r="D61" s="161" t="s">
        <v>8</v>
      </c>
      <c r="E61" s="161" t="s">
        <v>192</v>
      </c>
      <c r="F61" s="207">
        <v>314</v>
      </c>
      <c r="G61" s="222">
        <v>310</v>
      </c>
      <c r="H61" s="222">
        <v>4</v>
      </c>
      <c r="I61" s="207">
        <v>1600</v>
      </c>
      <c r="J61" s="242">
        <f t="shared" si="22"/>
        <v>6400</v>
      </c>
      <c r="K61" s="153"/>
      <c r="V61" s="25">
        <f t="shared" ref="V61:V82" si="23">IF($J61&gt;0,1,0)</f>
        <v>1</v>
      </c>
      <c r="W61" s="25">
        <f t="shared" ref="W61:W82" si="24">IF($J61&lt;0,1,0)</f>
        <v>0</v>
      </c>
    </row>
    <row r="62" spans="1:23" x14ac:dyDescent="0.3">
      <c r="A62" s="147"/>
      <c r="B62" s="205">
        <f t="shared" ref="B62:B82" si="25">B61+1</f>
        <v>3</v>
      </c>
      <c r="C62" s="206">
        <v>43136</v>
      </c>
      <c r="D62" s="161" t="s">
        <v>9</v>
      </c>
      <c r="E62" s="161" t="s">
        <v>19</v>
      </c>
      <c r="F62" s="207">
        <v>292</v>
      </c>
      <c r="G62" s="222">
        <v>298</v>
      </c>
      <c r="H62" s="222">
        <v>6</v>
      </c>
      <c r="I62" s="207">
        <v>3000</v>
      </c>
      <c r="J62" s="242">
        <f t="shared" si="22"/>
        <v>18000</v>
      </c>
      <c r="K62" s="153"/>
      <c r="V62" s="25">
        <f t="shared" si="23"/>
        <v>1</v>
      </c>
      <c r="W62" s="25">
        <f t="shared" si="24"/>
        <v>0</v>
      </c>
    </row>
    <row r="63" spans="1:23" x14ac:dyDescent="0.3">
      <c r="A63" s="147"/>
      <c r="B63" s="205">
        <f t="shared" si="25"/>
        <v>4</v>
      </c>
      <c r="C63" s="206">
        <v>43137</v>
      </c>
      <c r="D63" s="161" t="s">
        <v>8</v>
      </c>
      <c r="E63" s="161" t="s">
        <v>19</v>
      </c>
      <c r="F63" s="222">
        <v>286</v>
      </c>
      <c r="G63" s="222">
        <v>289</v>
      </c>
      <c r="H63" s="222">
        <v>-3</v>
      </c>
      <c r="I63" s="207">
        <v>3000</v>
      </c>
      <c r="J63" s="242">
        <f t="shared" si="22"/>
        <v>-9000</v>
      </c>
      <c r="K63" s="153"/>
      <c r="V63" s="25">
        <f t="shared" si="23"/>
        <v>0</v>
      </c>
      <c r="W63" s="25">
        <f t="shared" si="24"/>
        <v>1</v>
      </c>
    </row>
    <row r="64" spans="1:23" x14ac:dyDescent="0.3">
      <c r="A64" s="147"/>
      <c r="B64" s="205">
        <f t="shared" si="25"/>
        <v>5</v>
      </c>
      <c r="C64" s="206">
        <v>43138</v>
      </c>
      <c r="D64" s="161" t="s">
        <v>8</v>
      </c>
      <c r="E64" s="161" t="s">
        <v>139</v>
      </c>
      <c r="F64" s="207">
        <v>336</v>
      </c>
      <c r="G64" s="222">
        <v>332</v>
      </c>
      <c r="H64" s="222">
        <v>4</v>
      </c>
      <c r="I64" s="207">
        <v>1750</v>
      </c>
      <c r="J64" s="242">
        <f t="shared" si="22"/>
        <v>7000</v>
      </c>
      <c r="K64" s="153"/>
      <c r="V64" s="25">
        <f t="shared" si="23"/>
        <v>1</v>
      </c>
      <c r="W64" s="25">
        <f t="shared" si="24"/>
        <v>0</v>
      </c>
    </row>
    <row r="65" spans="1:23" x14ac:dyDescent="0.3">
      <c r="A65" s="147"/>
      <c r="B65" s="205">
        <f t="shared" si="25"/>
        <v>6</v>
      </c>
      <c r="C65" s="206">
        <v>43139</v>
      </c>
      <c r="D65" s="161" t="s">
        <v>9</v>
      </c>
      <c r="E65" s="161" t="s">
        <v>2449</v>
      </c>
      <c r="F65" s="207">
        <v>1008</v>
      </c>
      <c r="G65" s="222">
        <v>1018</v>
      </c>
      <c r="H65" s="222">
        <v>10</v>
      </c>
      <c r="I65" s="207">
        <v>500</v>
      </c>
      <c r="J65" s="242">
        <f t="shared" si="22"/>
        <v>5000</v>
      </c>
      <c r="K65" s="153"/>
      <c r="V65" s="25">
        <f t="shared" si="23"/>
        <v>1</v>
      </c>
      <c r="W65" s="25">
        <f t="shared" si="24"/>
        <v>0</v>
      </c>
    </row>
    <row r="66" spans="1:23" x14ac:dyDescent="0.3">
      <c r="A66" s="147"/>
      <c r="B66" s="205">
        <f t="shared" si="25"/>
        <v>7</v>
      </c>
      <c r="C66" s="206">
        <v>43140</v>
      </c>
      <c r="D66" s="161" t="s">
        <v>9</v>
      </c>
      <c r="E66" s="161" t="s">
        <v>2449</v>
      </c>
      <c r="F66" s="207">
        <v>997</v>
      </c>
      <c r="G66" s="222">
        <v>1002.5</v>
      </c>
      <c r="H66" s="222">
        <v>5.5</v>
      </c>
      <c r="I66" s="207">
        <v>500</v>
      </c>
      <c r="J66" s="242">
        <f t="shared" si="22"/>
        <v>2750</v>
      </c>
      <c r="K66" s="153"/>
      <c r="V66" s="25">
        <f t="shared" si="23"/>
        <v>1</v>
      </c>
      <c r="W66" s="25">
        <f t="shared" si="24"/>
        <v>0</v>
      </c>
    </row>
    <row r="67" spans="1:23" x14ac:dyDescent="0.3">
      <c r="A67" s="147"/>
      <c r="B67" s="205">
        <f t="shared" si="25"/>
        <v>8</v>
      </c>
      <c r="C67" s="206">
        <v>43145</v>
      </c>
      <c r="D67" s="161" t="s">
        <v>8</v>
      </c>
      <c r="E67" s="161" t="s">
        <v>192</v>
      </c>
      <c r="F67" s="222">
        <v>320.5</v>
      </c>
      <c r="G67" s="222">
        <v>312.5</v>
      </c>
      <c r="H67" s="222">
        <v>8</v>
      </c>
      <c r="I67" s="207">
        <v>1600</v>
      </c>
      <c r="J67" s="242">
        <f t="shared" si="22"/>
        <v>12800</v>
      </c>
      <c r="K67" s="153"/>
      <c r="V67" s="25">
        <f t="shared" si="23"/>
        <v>1</v>
      </c>
      <c r="W67" s="25">
        <f t="shared" si="24"/>
        <v>0</v>
      </c>
    </row>
    <row r="68" spans="1:23" x14ac:dyDescent="0.3">
      <c r="A68" s="147"/>
      <c r="B68" s="205">
        <f t="shared" si="25"/>
        <v>9</v>
      </c>
      <c r="C68" s="206">
        <v>43146</v>
      </c>
      <c r="D68" s="161" t="s">
        <v>9</v>
      </c>
      <c r="E68" s="161" t="s">
        <v>95</v>
      </c>
      <c r="F68" s="222">
        <v>325</v>
      </c>
      <c r="G68" s="222">
        <v>329</v>
      </c>
      <c r="H68" s="222">
        <v>4</v>
      </c>
      <c r="I68" s="207">
        <v>2750</v>
      </c>
      <c r="J68" s="242">
        <f t="shared" si="22"/>
        <v>11000</v>
      </c>
      <c r="K68" s="153"/>
      <c r="V68" s="25">
        <f t="shared" si="23"/>
        <v>1</v>
      </c>
      <c r="W68" s="25">
        <f t="shared" si="24"/>
        <v>0</v>
      </c>
    </row>
    <row r="69" spans="1:23" x14ac:dyDescent="0.3">
      <c r="A69" s="147"/>
      <c r="B69" s="205">
        <f t="shared" si="25"/>
        <v>10</v>
      </c>
      <c r="C69" s="206">
        <v>43147</v>
      </c>
      <c r="D69" s="161" t="s">
        <v>8</v>
      </c>
      <c r="E69" s="161" t="s">
        <v>139</v>
      </c>
      <c r="F69" s="222">
        <v>322</v>
      </c>
      <c r="G69" s="222">
        <v>314</v>
      </c>
      <c r="H69" s="222">
        <v>8</v>
      </c>
      <c r="I69" s="207">
        <v>1750</v>
      </c>
      <c r="J69" s="242">
        <f t="shared" si="22"/>
        <v>14000</v>
      </c>
      <c r="K69" s="153"/>
      <c r="V69" s="25">
        <f t="shared" si="23"/>
        <v>1</v>
      </c>
      <c r="W69" s="25">
        <f t="shared" si="24"/>
        <v>0</v>
      </c>
    </row>
    <row r="70" spans="1:23" x14ac:dyDescent="0.3">
      <c r="A70" s="147"/>
      <c r="B70" s="205">
        <f t="shared" si="25"/>
        <v>11</v>
      </c>
      <c r="C70" s="206">
        <v>43150</v>
      </c>
      <c r="D70" s="161" t="s">
        <v>8</v>
      </c>
      <c r="E70" s="161" t="s">
        <v>95</v>
      </c>
      <c r="F70" s="222">
        <v>324</v>
      </c>
      <c r="G70" s="222">
        <v>317</v>
      </c>
      <c r="H70" s="222">
        <v>7</v>
      </c>
      <c r="I70" s="207">
        <v>2750</v>
      </c>
      <c r="J70" s="242">
        <f t="shared" si="22"/>
        <v>19250</v>
      </c>
      <c r="K70" s="153"/>
      <c r="V70" s="25">
        <f t="shared" si="23"/>
        <v>1</v>
      </c>
      <c r="W70" s="25">
        <f t="shared" si="24"/>
        <v>0</v>
      </c>
    </row>
    <row r="71" spans="1:23" x14ac:dyDescent="0.3">
      <c r="A71" s="147"/>
      <c r="B71" s="205">
        <f t="shared" si="25"/>
        <v>12</v>
      </c>
      <c r="C71" s="206">
        <v>43151</v>
      </c>
      <c r="D71" s="161" t="s">
        <v>8</v>
      </c>
      <c r="E71" s="161" t="s">
        <v>19</v>
      </c>
      <c r="F71" s="222">
        <v>267</v>
      </c>
      <c r="G71" s="222">
        <v>270</v>
      </c>
      <c r="H71" s="222">
        <v>-3</v>
      </c>
      <c r="I71" s="207">
        <v>3000</v>
      </c>
      <c r="J71" s="242">
        <f t="shared" si="22"/>
        <v>-9000</v>
      </c>
      <c r="K71" s="153"/>
      <c r="V71" s="25">
        <f t="shared" si="23"/>
        <v>0</v>
      </c>
      <c r="W71" s="25">
        <f t="shared" si="24"/>
        <v>1</v>
      </c>
    </row>
    <row r="72" spans="1:23" x14ac:dyDescent="0.3">
      <c r="A72" s="147"/>
      <c r="B72" s="205">
        <f t="shared" si="25"/>
        <v>13</v>
      </c>
      <c r="C72" s="206">
        <v>43152</v>
      </c>
      <c r="D72" s="161" t="s">
        <v>8</v>
      </c>
      <c r="E72" s="161" t="s">
        <v>95</v>
      </c>
      <c r="F72" s="222">
        <v>319</v>
      </c>
      <c r="G72" s="222">
        <v>317.5</v>
      </c>
      <c r="H72" s="222">
        <v>1.5</v>
      </c>
      <c r="I72" s="207">
        <v>2750</v>
      </c>
      <c r="J72" s="242">
        <f t="shared" si="22"/>
        <v>4125</v>
      </c>
      <c r="K72" s="153"/>
      <c r="V72" s="25">
        <f t="shared" si="23"/>
        <v>1</v>
      </c>
      <c r="W72" s="25">
        <f t="shared" si="24"/>
        <v>0</v>
      </c>
    </row>
    <row r="73" spans="1:23" x14ac:dyDescent="0.3">
      <c r="A73" s="147"/>
      <c r="B73" s="205">
        <f t="shared" si="25"/>
        <v>14</v>
      </c>
      <c r="C73" s="206">
        <v>43153</v>
      </c>
      <c r="D73" s="161" t="s">
        <v>8</v>
      </c>
      <c r="E73" s="161" t="s">
        <v>834</v>
      </c>
      <c r="F73" s="223">
        <v>323</v>
      </c>
      <c r="G73" s="222">
        <v>327</v>
      </c>
      <c r="H73" s="255">
        <v>-4</v>
      </c>
      <c r="I73" s="207">
        <v>1750</v>
      </c>
      <c r="J73" s="242">
        <f t="shared" si="22"/>
        <v>-7000</v>
      </c>
      <c r="K73" s="153"/>
      <c r="V73" s="25">
        <f t="shared" si="23"/>
        <v>0</v>
      </c>
      <c r="W73" s="25">
        <f t="shared" si="24"/>
        <v>1</v>
      </c>
    </row>
    <row r="74" spans="1:23" x14ac:dyDescent="0.3">
      <c r="A74" s="147"/>
      <c r="B74" s="205">
        <f t="shared" si="25"/>
        <v>15</v>
      </c>
      <c r="C74" s="206">
        <v>43154</v>
      </c>
      <c r="D74" s="161" t="s">
        <v>9</v>
      </c>
      <c r="E74" s="161" t="s">
        <v>19</v>
      </c>
      <c r="F74" s="222">
        <v>276</v>
      </c>
      <c r="G74" s="222">
        <v>278</v>
      </c>
      <c r="H74" s="255">
        <v>2</v>
      </c>
      <c r="I74" s="207">
        <v>3000</v>
      </c>
      <c r="J74" s="242">
        <f t="shared" si="22"/>
        <v>6000</v>
      </c>
      <c r="K74" s="153"/>
      <c r="V74" s="25">
        <f t="shared" si="23"/>
        <v>1</v>
      </c>
      <c r="W74" s="25">
        <f t="shared" si="24"/>
        <v>0</v>
      </c>
    </row>
    <row r="75" spans="1:23" x14ac:dyDescent="0.3">
      <c r="A75" s="147"/>
      <c r="B75" s="205">
        <f t="shared" si="25"/>
        <v>16</v>
      </c>
      <c r="C75" s="206">
        <v>43157</v>
      </c>
      <c r="D75" s="161" t="s">
        <v>8</v>
      </c>
      <c r="E75" s="161" t="s">
        <v>192</v>
      </c>
      <c r="F75" s="222">
        <v>312</v>
      </c>
      <c r="G75" s="222">
        <v>309.5</v>
      </c>
      <c r="H75" s="222">
        <v>2.5</v>
      </c>
      <c r="I75" s="207">
        <v>1600</v>
      </c>
      <c r="J75" s="242">
        <f t="shared" si="22"/>
        <v>4000</v>
      </c>
      <c r="K75" s="153"/>
      <c r="V75" s="25">
        <f t="shared" si="23"/>
        <v>1</v>
      </c>
      <c r="W75" s="25">
        <f t="shared" si="24"/>
        <v>0</v>
      </c>
    </row>
    <row r="76" spans="1:23" x14ac:dyDescent="0.3">
      <c r="A76" s="147"/>
      <c r="B76" s="205">
        <f t="shared" si="25"/>
        <v>17</v>
      </c>
      <c r="C76" s="206">
        <v>43158</v>
      </c>
      <c r="D76" s="161" t="s">
        <v>8</v>
      </c>
      <c r="E76" s="161" t="s">
        <v>19</v>
      </c>
      <c r="F76" s="222">
        <v>272.5</v>
      </c>
      <c r="G76" s="222">
        <v>267</v>
      </c>
      <c r="H76" s="222">
        <v>5.5</v>
      </c>
      <c r="I76" s="207">
        <v>3000</v>
      </c>
      <c r="J76" s="242">
        <f t="shared" si="22"/>
        <v>16500</v>
      </c>
      <c r="K76" s="153"/>
      <c r="V76" s="25">
        <f t="shared" si="23"/>
        <v>1</v>
      </c>
      <c r="W76" s="25">
        <f t="shared" si="24"/>
        <v>0</v>
      </c>
    </row>
    <row r="77" spans="1:23" x14ac:dyDescent="0.3">
      <c r="A77" s="147"/>
      <c r="B77" s="205">
        <f t="shared" si="25"/>
        <v>18</v>
      </c>
      <c r="C77" s="206">
        <v>43159</v>
      </c>
      <c r="D77" s="161" t="s">
        <v>8</v>
      </c>
      <c r="E77" s="161" t="s">
        <v>95</v>
      </c>
      <c r="F77" s="222">
        <v>315</v>
      </c>
      <c r="G77" s="222">
        <v>312.5</v>
      </c>
      <c r="H77" s="222">
        <v>2.5</v>
      </c>
      <c r="I77" s="207">
        <v>2750</v>
      </c>
      <c r="J77" s="242">
        <f t="shared" si="22"/>
        <v>6875</v>
      </c>
      <c r="K77" s="153"/>
      <c r="V77" s="25">
        <f t="shared" si="23"/>
        <v>1</v>
      </c>
      <c r="W77" s="25">
        <f t="shared" si="24"/>
        <v>0</v>
      </c>
    </row>
    <row r="78" spans="1:23" x14ac:dyDescent="0.3">
      <c r="A78" s="147"/>
      <c r="B78" s="205">
        <f t="shared" si="25"/>
        <v>19</v>
      </c>
      <c r="C78" s="206"/>
      <c r="D78" s="161"/>
      <c r="E78" s="161"/>
      <c r="F78" s="222"/>
      <c r="G78" s="222"/>
      <c r="H78" s="222"/>
      <c r="I78" s="207"/>
      <c r="J78" s="242">
        <f t="shared" si="22"/>
        <v>0</v>
      </c>
      <c r="K78" s="153"/>
      <c r="V78" s="25">
        <f t="shared" si="23"/>
        <v>0</v>
      </c>
      <c r="W78" s="25">
        <f t="shared" si="24"/>
        <v>0</v>
      </c>
    </row>
    <row r="79" spans="1:23" x14ac:dyDescent="0.3">
      <c r="A79" s="147"/>
      <c r="B79" s="205">
        <f t="shared" si="25"/>
        <v>20</v>
      </c>
      <c r="C79" s="206"/>
      <c r="D79" s="161"/>
      <c r="E79" s="161"/>
      <c r="F79" s="222"/>
      <c r="G79" s="222"/>
      <c r="H79" s="222"/>
      <c r="I79" s="207"/>
      <c r="J79" s="242">
        <f t="shared" si="22"/>
        <v>0</v>
      </c>
      <c r="K79" s="153"/>
      <c r="V79" s="25">
        <f t="shared" si="23"/>
        <v>0</v>
      </c>
      <c r="W79" s="25">
        <f t="shared" si="24"/>
        <v>0</v>
      </c>
    </row>
    <row r="80" spans="1:23" x14ac:dyDescent="0.3">
      <c r="A80" s="147"/>
      <c r="B80" s="205">
        <f t="shared" si="25"/>
        <v>21</v>
      </c>
      <c r="C80" s="206"/>
      <c r="D80" s="161"/>
      <c r="E80" s="161"/>
      <c r="F80" s="222"/>
      <c r="G80" s="222"/>
      <c r="H80" s="222"/>
      <c r="I80" s="207"/>
      <c r="J80" s="242">
        <f t="shared" si="22"/>
        <v>0</v>
      </c>
      <c r="K80" s="153"/>
      <c r="V80" s="25">
        <f t="shared" si="23"/>
        <v>0</v>
      </c>
      <c r="W80" s="25">
        <f t="shared" si="24"/>
        <v>0</v>
      </c>
    </row>
    <row r="81" spans="1:23" x14ac:dyDescent="0.3">
      <c r="A81" s="147"/>
      <c r="B81" s="205">
        <f t="shared" si="25"/>
        <v>22</v>
      </c>
      <c r="C81" s="206"/>
      <c r="D81" s="161"/>
      <c r="E81" s="161"/>
      <c r="F81" s="222"/>
      <c r="G81" s="222"/>
      <c r="H81" s="222"/>
      <c r="I81" s="207"/>
      <c r="J81" s="242">
        <f t="shared" si="22"/>
        <v>0</v>
      </c>
      <c r="K81" s="153"/>
      <c r="V81" s="25">
        <f t="shared" si="23"/>
        <v>0</v>
      </c>
      <c r="W81" s="25">
        <f t="shared" si="24"/>
        <v>0</v>
      </c>
    </row>
    <row r="82" spans="1:23" ht="15" thickBot="1" x14ac:dyDescent="0.35">
      <c r="A82" s="147"/>
      <c r="B82" s="208">
        <f t="shared" si="25"/>
        <v>23</v>
      </c>
      <c r="C82" s="209"/>
      <c r="D82" s="166"/>
      <c r="E82" s="166"/>
      <c r="F82" s="210"/>
      <c r="G82" s="210"/>
      <c r="H82" s="166"/>
      <c r="I82" s="210"/>
      <c r="J82" s="244">
        <f t="shared" ref="J82" si="26">I82*H82</f>
        <v>0</v>
      </c>
      <c r="K82" s="153"/>
      <c r="V82" s="25">
        <f t="shared" si="23"/>
        <v>0</v>
      </c>
      <c r="W82" s="25">
        <f t="shared" si="24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118700</v>
      </c>
      <c r="K83" s="153"/>
      <c r="V83" s="25">
        <f>SUM(V60:V82)</f>
        <v>15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2453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43132</v>
      </c>
      <c r="D91" s="185" t="s">
        <v>9</v>
      </c>
      <c r="E91" s="185" t="s">
        <v>39</v>
      </c>
      <c r="F91" s="219">
        <v>11085</v>
      </c>
      <c r="G91" s="219">
        <v>11106</v>
      </c>
      <c r="H91" s="185">
        <v>21</v>
      </c>
      <c r="I91" s="219">
        <v>150</v>
      </c>
      <c r="J91" s="246">
        <f t="shared" ref="J91:J113" si="27">I91*H91</f>
        <v>3150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43133</v>
      </c>
      <c r="D92" s="161" t="s">
        <v>8</v>
      </c>
      <c r="E92" s="161" t="s">
        <v>39</v>
      </c>
      <c r="F92" s="207">
        <v>10880</v>
      </c>
      <c r="G92" s="207">
        <v>10820</v>
      </c>
      <c r="H92" s="161">
        <v>60</v>
      </c>
      <c r="I92" s="207">
        <v>150</v>
      </c>
      <c r="J92" s="242">
        <f t="shared" si="27"/>
        <v>9000</v>
      </c>
      <c r="K92" s="153"/>
      <c r="V92" s="25">
        <f t="shared" ref="V92:V113" si="28">IF($J92&gt;0,1,0)</f>
        <v>1</v>
      </c>
      <c r="W92" s="25">
        <f t="shared" ref="W92:W113" si="29">IF($J92&lt;0,1,0)</f>
        <v>0</v>
      </c>
    </row>
    <row r="93" spans="1:23" x14ac:dyDescent="0.3">
      <c r="A93" s="147"/>
      <c r="B93" s="205">
        <f t="shared" ref="B93:B113" si="30">B92+1</f>
        <v>3</v>
      </c>
      <c r="C93" s="206">
        <v>43136</v>
      </c>
      <c r="D93" s="161" t="s">
        <v>8</v>
      </c>
      <c r="E93" s="161" t="s">
        <v>39</v>
      </c>
      <c r="F93" s="207">
        <v>10660</v>
      </c>
      <c r="G93" s="207">
        <v>10690</v>
      </c>
      <c r="H93" s="161">
        <v>-30</v>
      </c>
      <c r="I93" s="207">
        <v>150</v>
      </c>
      <c r="J93" s="242">
        <f t="shared" si="27"/>
        <v>-4500</v>
      </c>
      <c r="K93" s="153"/>
      <c r="V93" s="25">
        <f t="shared" si="28"/>
        <v>0</v>
      </c>
      <c r="W93" s="25">
        <f t="shared" si="29"/>
        <v>1</v>
      </c>
    </row>
    <row r="94" spans="1:23" x14ac:dyDescent="0.3">
      <c r="A94" s="147"/>
      <c r="B94" s="205">
        <f t="shared" si="30"/>
        <v>4</v>
      </c>
      <c r="C94" s="206">
        <v>43137</v>
      </c>
      <c r="D94" s="161" t="s">
        <v>8</v>
      </c>
      <c r="E94" s="161" t="s">
        <v>39</v>
      </c>
      <c r="F94" s="207">
        <v>10365</v>
      </c>
      <c r="G94" s="207">
        <v>10350</v>
      </c>
      <c r="H94" s="161">
        <v>15</v>
      </c>
      <c r="I94" s="207">
        <v>150</v>
      </c>
      <c r="J94" s="242">
        <f t="shared" si="27"/>
        <v>2250</v>
      </c>
      <c r="K94" s="153"/>
      <c r="V94" s="25">
        <f t="shared" si="28"/>
        <v>1</v>
      </c>
      <c r="W94" s="25">
        <f t="shared" si="29"/>
        <v>0</v>
      </c>
    </row>
    <row r="95" spans="1:23" x14ac:dyDescent="0.3">
      <c r="A95" s="147"/>
      <c r="B95" s="205">
        <f t="shared" si="30"/>
        <v>5</v>
      </c>
      <c r="C95" s="206">
        <v>43138</v>
      </c>
      <c r="D95" s="161" t="s">
        <v>8</v>
      </c>
      <c r="E95" s="161" t="s">
        <v>39</v>
      </c>
      <c r="F95" s="207">
        <v>10485</v>
      </c>
      <c r="G95" s="207">
        <v>10468</v>
      </c>
      <c r="H95" s="161">
        <v>17</v>
      </c>
      <c r="I95" s="207">
        <v>150</v>
      </c>
      <c r="J95" s="242">
        <f t="shared" si="27"/>
        <v>2550</v>
      </c>
      <c r="K95" s="153"/>
      <c r="V95" s="25">
        <f t="shared" si="28"/>
        <v>1</v>
      </c>
      <c r="W95" s="25">
        <f t="shared" si="29"/>
        <v>0</v>
      </c>
    </row>
    <row r="96" spans="1:23" x14ac:dyDescent="0.3">
      <c r="A96" s="147"/>
      <c r="B96" s="205">
        <f t="shared" si="30"/>
        <v>6</v>
      </c>
      <c r="C96" s="206">
        <v>43139</v>
      </c>
      <c r="D96" s="161" t="s">
        <v>8</v>
      </c>
      <c r="E96" s="161" t="s">
        <v>39</v>
      </c>
      <c r="F96" s="207">
        <v>10590</v>
      </c>
      <c r="G96" s="207">
        <v>10620</v>
      </c>
      <c r="H96" s="161">
        <v>-30</v>
      </c>
      <c r="I96" s="207">
        <v>150</v>
      </c>
      <c r="J96" s="242">
        <f t="shared" si="27"/>
        <v>-4500</v>
      </c>
      <c r="K96" s="153"/>
      <c r="V96" s="25">
        <f t="shared" si="28"/>
        <v>0</v>
      </c>
      <c r="W96" s="25">
        <f t="shared" si="29"/>
        <v>1</v>
      </c>
    </row>
    <row r="97" spans="1:23" x14ac:dyDescent="0.3">
      <c r="A97" s="147"/>
      <c r="B97" s="205">
        <f t="shared" si="30"/>
        <v>7</v>
      </c>
      <c r="C97" s="206">
        <v>43140</v>
      </c>
      <c r="D97" s="161" t="s">
        <v>9</v>
      </c>
      <c r="E97" s="161" t="s">
        <v>39</v>
      </c>
      <c r="F97" s="207">
        <v>10430</v>
      </c>
      <c r="G97" s="207">
        <v>10400</v>
      </c>
      <c r="H97" s="161">
        <v>-30</v>
      </c>
      <c r="I97" s="207">
        <v>150</v>
      </c>
      <c r="J97" s="242">
        <f t="shared" si="27"/>
        <v>-4500</v>
      </c>
      <c r="K97" s="153"/>
      <c r="V97" s="25">
        <f t="shared" si="28"/>
        <v>0</v>
      </c>
      <c r="W97" s="25">
        <f t="shared" si="29"/>
        <v>1</v>
      </c>
    </row>
    <row r="98" spans="1:23" x14ac:dyDescent="0.3">
      <c r="A98" s="147"/>
      <c r="B98" s="205">
        <f t="shared" si="30"/>
        <v>8</v>
      </c>
      <c r="C98" s="206">
        <v>43145</v>
      </c>
      <c r="D98" s="161" t="s">
        <v>8</v>
      </c>
      <c r="E98" s="161" t="s">
        <v>39</v>
      </c>
      <c r="F98" s="207">
        <v>10555</v>
      </c>
      <c r="G98" s="207">
        <v>10495</v>
      </c>
      <c r="H98" s="161">
        <v>60</v>
      </c>
      <c r="I98" s="207">
        <v>150</v>
      </c>
      <c r="J98" s="242">
        <f t="shared" si="27"/>
        <v>9000</v>
      </c>
      <c r="K98" s="153"/>
      <c r="V98" s="25">
        <f t="shared" si="28"/>
        <v>1</v>
      </c>
      <c r="W98" s="25">
        <f t="shared" si="29"/>
        <v>0</v>
      </c>
    </row>
    <row r="99" spans="1:23" x14ac:dyDescent="0.3">
      <c r="A99" s="147"/>
      <c r="B99" s="205">
        <f t="shared" si="30"/>
        <v>9</v>
      </c>
      <c r="C99" s="206">
        <v>43146</v>
      </c>
      <c r="D99" s="161" t="s">
        <v>8</v>
      </c>
      <c r="E99" s="161" t="s">
        <v>39</v>
      </c>
      <c r="F99" s="207">
        <v>10585</v>
      </c>
      <c r="G99" s="207">
        <v>10570</v>
      </c>
      <c r="H99" s="161">
        <v>15</v>
      </c>
      <c r="I99" s="207">
        <v>150</v>
      </c>
      <c r="J99" s="242">
        <f t="shared" si="27"/>
        <v>2250</v>
      </c>
      <c r="K99" s="153"/>
      <c r="V99" s="25">
        <f t="shared" si="28"/>
        <v>1</v>
      </c>
      <c r="W99" s="25">
        <f t="shared" si="29"/>
        <v>0</v>
      </c>
    </row>
    <row r="100" spans="1:23" x14ac:dyDescent="0.3">
      <c r="A100" s="147"/>
      <c r="B100" s="205">
        <f t="shared" si="30"/>
        <v>10</v>
      </c>
      <c r="C100" s="206">
        <v>43147</v>
      </c>
      <c r="D100" s="161" t="s">
        <v>8</v>
      </c>
      <c r="E100" s="161" t="s">
        <v>39</v>
      </c>
      <c r="F100" s="207">
        <v>10570</v>
      </c>
      <c r="G100" s="207">
        <v>10510</v>
      </c>
      <c r="H100" s="161">
        <v>60</v>
      </c>
      <c r="I100" s="207">
        <v>150</v>
      </c>
      <c r="J100" s="242">
        <f t="shared" si="27"/>
        <v>9000</v>
      </c>
      <c r="K100" s="153"/>
      <c r="V100" s="25">
        <f t="shared" si="28"/>
        <v>1</v>
      </c>
      <c r="W100" s="25">
        <f t="shared" si="29"/>
        <v>0</v>
      </c>
    </row>
    <row r="101" spans="1:23" x14ac:dyDescent="0.3">
      <c r="A101" s="147"/>
      <c r="B101" s="205">
        <f t="shared" si="30"/>
        <v>11</v>
      </c>
      <c r="C101" s="206">
        <v>43150</v>
      </c>
      <c r="D101" s="161" t="s">
        <v>8</v>
      </c>
      <c r="E101" s="161" t="s">
        <v>39</v>
      </c>
      <c r="F101" s="207">
        <v>10420</v>
      </c>
      <c r="G101" s="207">
        <v>10360</v>
      </c>
      <c r="H101" s="161">
        <v>60</v>
      </c>
      <c r="I101" s="207">
        <v>150</v>
      </c>
      <c r="J101" s="242">
        <f t="shared" si="27"/>
        <v>9000</v>
      </c>
      <c r="K101" s="153"/>
      <c r="V101" s="25">
        <f t="shared" si="28"/>
        <v>1</v>
      </c>
      <c r="W101" s="25">
        <f t="shared" si="29"/>
        <v>0</v>
      </c>
    </row>
    <row r="102" spans="1:23" x14ac:dyDescent="0.3">
      <c r="A102" s="147"/>
      <c r="B102" s="205">
        <f t="shared" si="30"/>
        <v>12</v>
      </c>
      <c r="C102" s="206">
        <v>43151</v>
      </c>
      <c r="D102" s="161" t="s">
        <v>8</v>
      </c>
      <c r="E102" s="161" t="s">
        <v>39</v>
      </c>
      <c r="F102" s="207">
        <v>10400</v>
      </c>
      <c r="G102" s="207">
        <v>10340</v>
      </c>
      <c r="H102" s="161">
        <v>60</v>
      </c>
      <c r="I102" s="207">
        <v>150</v>
      </c>
      <c r="J102" s="242">
        <f t="shared" si="27"/>
        <v>9000</v>
      </c>
      <c r="K102" s="153"/>
      <c r="V102" s="25">
        <f t="shared" si="28"/>
        <v>1</v>
      </c>
      <c r="W102" s="25">
        <f t="shared" si="29"/>
        <v>0</v>
      </c>
    </row>
    <row r="103" spans="1:23" x14ac:dyDescent="0.3">
      <c r="A103" s="147"/>
      <c r="B103" s="205">
        <f t="shared" si="30"/>
        <v>13</v>
      </c>
      <c r="C103" s="206">
        <v>43152</v>
      </c>
      <c r="D103" s="161" t="s">
        <v>8</v>
      </c>
      <c r="E103" s="161" t="s">
        <v>39</v>
      </c>
      <c r="F103" s="207">
        <v>10380</v>
      </c>
      <c r="G103" s="207">
        <v>10350</v>
      </c>
      <c r="H103" s="161">
        <v>30</v>
      </c>
      <c r="I103" s="207">
        <v>150</v>
      </c>
      <c r="J103" s="242">
        <f t="shared" si="27"/>
        <v>4500</v>
      </c>
      <c r="K103" s="153"/>
      <c r="V103" s="25">
        <f t="shared" si="28"/>
        <v>1</v>
      </c>
      <c r="W103" s="25">
        <f t="shared" si="29"/>
        <v>0</v>
      </c>
    </row>
    <row r="104" spans="1:23" x14ac:dyDescent="0.3">
      <c r="A104" s="147"/>
      <c r="B104" s="205">
        <f t="shared" si="30"/>
        <v>14</v>
      </c>
      <c r="C104" s="206">
        <v>43153</v>
      </c>
      <c r="D104" s="161" t="s">
        <v>8</v>
      </c>
      <c r="E104" s="161" t="s">
        <v>39</v>
      </c>
      <c r="F104" s="207">
        <v>10345</v>
      </c>
      <c r="G104" s="207">
        <v>10375</v>
      </c>
      <c r="H104" s="161">
        <v>-30</v>
      </c>
      <c r="I104" s="207">
        <v>150</v>
      </c>
      <c r="J104" s="242">
        <f t="shared" si="27"/>
        <v>-4500</v>
      </c>
      <c r="K104" s="153"/>
      <c r="V104" s="25">
        <f t="shared" si="28"/>
        <v>0</v>
      </c>
      <c r="W104" s="25">
        <f t="shared" si="29"/>
        <v>1</v>
      </c>
    </row>
    <row r="105" spans="1:23" x14ac:dyDescent="0.3">
      <c r="A105" s="147"/>
      <c r="B105" s="205">
        <f t="shared" si="30"/>
        <v>15</v>
      </c>
      <c r="C105" s="206">
        <v>43154</v>
      </c>
      <c r="D105" s="161" t="s">
        <v>8</v>
      </c>
      <c r="E105" s="161" t="s">
        <v>39</v>
      </c>
      <c r="F105" s="207">
        <v>10450</v>
      </c>
      <c r="G105" s="207">
        <v>10480</v>
      </c>
      <c r="H105" s="161">
        <v>-30</v>
      </c>
      <c r="I105" s="207">
        <v>150</v>
      </c>
      <c r="J105" s="242">
        <f t="shared" si="27"/>
        <v>-4500</v>
      </c>
      <c r="K105" s="153"/>
      <c r="V105" s="25">
        <f t="shared" si="28"/>
        <v>0</v>
      </c>
      <c r="W105" s="25">
        <f t="shared" si="29"/>
        <v>1</v>
      </c>
    </row>
    <row r="106" spans="1:23" x14ac:dyDescent="0.3">
      <c r="A106" s="147"/>
      <c r="B106" s="205">
        <f t="shared" si="30"/>
        <v>16</v>
      </c>
      <c r="C106" s="206">
        <v>43157</v>
      </c>
      <c r="D106" s="161" t="s">
        <v>8</v>
      </c>
      <c r="E106" s="161" t="s">
        <v>39</v>
      </c>
      <c r="F106" s="207">
        <v>10585</v>
      </c>
      <c r="G106" s="207">
        <v>10605</v>
      </c>
      <c r="H106" s="161">
        <v>-20</v>
      </c>
      <c r="I106" s="207">
        <v>150</v>
      </c>
      <c r="J106" s="242">
        <f t="shared" si="27"/>
        <v>-3000</v>
      </c>
      <c r="K106" s="153"/>
      <c r="V106" s="25">
        <f t="shared" si="28"/>
        <v>0</v>
      </c>
      <c r="W106" s="25">
        <f t="shared" si="29"/>
        <v>1</v>
      </c>
    </row>
    <row r="107" spans="1:23" x14ac:dyDescent="0.3">
      <c r="A107" s="147"/>
      <c r="B107" s="205">
        <f t="shared" si="30"/>
        <v>17</v>
      </c>
      <c r="C107" s="206">
        <v>43158</v>
      </c>
      <c r="D107" s="161" t="s">
        <v>8</v>
      </c>
      <c r="E107" s="161" t="s">
        <v>39</v>
      </c>
      <c r="F107" s="207">
        <v>10600</v>
      </c>
      <c r="G107" s="207">
        <v>10550</v>
      </c>
      <c r="H107" s="161">
        <v>50</v>
      </c>
      <c r="I107" s="207">
        <v>150</v>
      </c>
      <c r="J107" s="242">
        <f t="shared" si="27"/>
        <v>7500</v>
      </c>
      <c r="K107" s="153"/>
      <c r="V107" s="25">
        <f t="shared" si="28"/>
        <v>1</v>
      </c>
      <c r="W107" s="25">
        <f t="shared" si="29"/>
        <v>0</v>
      </c>
    </row>
    <row r="108" spans="1:23" x14ac:dyDescent="0.3">
      <c r="A108" s="147"/>
      <c r="B108" s="205">
        <f t="shared" si="30"/>
        <v>18</v>
      </c>
      <c r="C108" s="206">
        <v>43159</v>
      </c>
      <c r="D108" s="161" t="s">
        <v>8</v>
      </c>
      <c r="E108" s="161" t="s">
        <v>39</v>
      </c>
      <c r="F108" s="207">
        <v>10500</v>
      </c>
      <c r="G108" s="207">
        <v>10470</v>
      </c>
      <c r="H108" s="161">
        <v>30</v>
      </c>
      <c r="I108" s="207">
        <v>150</v>
      </c>
      <c r="J108" s="242">
        <f t="shared" si="27"/>
        <v>4500</v>
      </c>
      <c r="K108" s="153"/>
      <c r="V108" s="25">
        <f t="shared" si="28"/>
        <v>1</v>
      </c>
      <c r="W108" s="25">
        <f t="shared" si="29"/>
        <v>0</v>
      </c>
    </row>
    <row r="109" spans="1:23" x14ac:dyDescent="0.3">
      <c r="A109" s="147"/>
      <c r="B109" s="205">
        <f t="shared" si="30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8"/>
        <v>0</v>
      </c>
      <c r="W109" s="25">
        <f t="shared" si="29"/>
        <v>0</v>
      </c>
    </row>
    <row r="110" spans="1:23" x14ac:dyDescent="0.3">
      <c r="A110" s="147"/>
      <c r="B110" s="205">
        <f t="shared" si="30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7"/>
        <v>0</v>
      </c>
      <c r="K110" s="153"/>
      <c r="V110" s="25">
        <f t="shared" si="28"/>
        <v>0</v>
      </c>
      <c r="W110" s="25">
        <f t="shared" si="29"/>
        <v>0</v>
      </c>
    </row>
    <row r="111" spans="1:23" x14ac:dyDescent="0.3">
      <c r="A111" s="147"/>
      <c r="B111" s="205">
        <f t="shared" si="30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7"/>
        <v>0</v>
      </c>
      <c r="K111" s="153"/>
      <c r="V111" s="25">
        <f t="shared" si="28"/>
        <v>0</v>
      </c>
      <c r="W111" s="25">
        <f t="shared" si="29"/>
        <v>0</v>
      </c>
    </row>
    <row r="112" spans="1:23" x14ac:dyDescent="0.3">
      <c r="A112" s="147"/>
      <c r="B112" s="205">
        <f t="shared" si="30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7"/>
        <v>0</v>
      </c>
      <c r="K112" s="153"/>
      <c r="V112" s="25">
        <f t="shared" si="28"/>
        <v>0</v>
      </c>
      <c r="W112" s="25">
        <f t="shared" si="29"/>
        <v>0</v>
      </c>
    </row>
    <row r="113" spans="1:23" ht="15" thickBot="1" x14ac:dyDescent="0.35">
      <c r="A113" s="147"/>
      <c r="B113" s="208">
        <f t="shared" si="30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7"/>
        <v>0</v>
      </c>
      <c r="K113" s="153"/>
      <c r="V113" s="25">
        <f t="shared" si="28"/>
        <v>0</v>
      </c>
      <c r="W113" s="25">
        <f t="shared" si="29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46200</v>
      </c>
      <c r="K114" s="153"/>
      <c r="V114" s="25">
        <f>SUM(V91:V113)</f>
        <v>12</v>
      </c>
      <c r="W114" s="25">
        <f>SUM(W91:W113)</f>
        <v>6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2453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43132</v>
      </c>
      <c r="D122" s="185" t="s">
        <v>9</v>
      </c>
      <c r="E122" s="185" t="s">
        <v>2451</v>
      </c>
      <c r="F122" s="219">
        <v>155</v>
      </c>
      <c r="G122" s="219">
        <v>135</v>
      </c>
      <c r="H122" s="185">
        <v>-20</v>
      </c>
      <c r="I122" s="219">
        <v>300</v>
      </c>
      <c r="J122" s="246">
        <f t="shared" ref="J122:J141" si="31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43133</v>
      </c>
      <c r="D123" s="161" t="s">
        <v>9</v>
      </c>
      <c r="E123" s="161" t="s">
        <v>2455</v>
      </c>
      <c r="F123" s="207">
        <v>145</v>
      </c>
      <c r="G123" s="207">
        <v>185</v>
      </c>
      <c r="H123" s="161">
        <v>40</v>
      </c>
      <c r="I123" s="207">
        <v>300</v>
      </c>
      <c r="J123" s="242">
        <f t="shared" si="31"/>
        <v>12000</v>
      </c>
      <c r="K123" s="153"/>
      <c r="V123" s="25">
        <f t="shared" ref="V123:V144" si="32">IF($J123&gt;0,1,0)</f>
        <v>1</v>
      </c>
      <c r="W123" s="25">
        <f t="shared" ref="W123:W144" si="33">IF($J123&lt;0,1,0)</f>
        <v>0</v>
      </c>
    </row>
    <row r="124" spans="1:23" x14ac:dyDescent="0.3">
      <c r="A124" s="147"/>
      <c r="B124" s="205">
        <f t="shared" ref="B124:B144" si="34">B123+1</f>
        <v>3</v>
      </c>
      <c r="C124" s="206">
        <v>43136</v>
      </c>
      <c r="D124" s="161" t="s">
        <v>9</v>
      </c>
      <c r="E124" s="161" t="s">
        <v>2423</v>
      </c>
      <c r="F124" s="207">
        <v>155</v>
      </c>
      <c r="G124" s="207">
        <v>135</v>
      </c>
      <c r="H124" s="161">
        <v>-20</v>
      </c>
      <c r="I124" s="207">
        <v>300</v>
      </c>
      <c r="J124" s="242">
        <f t="shared" si="31"/>
        <v>-6000</v>
      </c>
      <c r="K124" s="153"/>
      <c r="V124" s="25">
        <f t="shared" si="32"/>
        <v>0</v>
      </c>
      <c r="W124" s="25">
        <f t="shared" si="33"/>
        <v>1</v>
      </c>
    </row>
    <row r="125" spans="1:23" x14ac:dyDescent="0.3">
      <c r="A125" s="147"/>
      <c r="B125" s="205">
        <f t="shared" si="34"/>
        <v>4</v>
      </c>
      <c r="C125" s="206">
        <v>43137</v>
      </c>
      <c r="D125" s="161" t="s">
        <v>9</v>
      </c>
      <c r="E125" s="161" t="s">
        <v>2348</v>
      </c>
      <c r="F125" s="207">
        <v>155</v>
      </c>
      <c r="G125" s="207">
        <v>165</v>
      </c>
      <c r="H125" s="161">
        <v>10</v>
      </c>
      <c r="I125" s="207">
        <v>300</v>
      </c>
      <c r="J125" s="242">
        <f t="shared" si="31"/>
        <v>3000</v>
      </c>
      <c r="K125" s="153"/>
      <c r="V125" s="25">
        <f t="shared" si="32"/>
        <v>1</v>
      </c>
      <c r="W125" s="25">
        <f t="shared" si="33"/>
        <v>0</v>
      </c>
    </row>
    <row r="126" spans="1:23" x14ac:dyDescent="0.3">
      <c r="A126" s="147"/>
      <c r="B126" s="205">
        <f t="shared" si="34"/>
        <v>5</v>
      </c>
      <c r="C126" s="206">
        <v>43138</v>
      </c>
      <c r="D126" s="161" t="s">
        <v>9</v>
      </c>
      <c r="E126" s="161" t="s">
        <v>2373</v>
      </c>
      <c r="F126" s="207">
        <v>170</v>
      </c>
      <c r="G126" s="207">
        <v>180</v>
      </c>
      <c r="H126" s="161">
        <v>10</v>
      </c>
      <c r="I126" s="207">
        <v>300</v>
      </c>
      <c r="J126" s="242">
        <f t="shared" si="31"/>
        <v>3000</v>
      </c>
      <c r="K126" s="153"/>
      <c r="M126" s="25" t="s">
        <v>2008</v>
      </c>
      <c r="V126" s="25">
        <f t="shared" si="32"/>
        <v>1</v>
      </c>
      <c r="W126" s="25">
        <f t="shared" si="33"/>
        <v>0</v>
      </c>
    </row>
    <row r="127" spans="1:23" x14ac:dyDescent="0.3">
      <c r="A127" s="147"/>
      <c r="B127" s="205">
        <f t="shared" si="34"/>
        <v>6</v>
      </c>
      <c r="C127" s="206">
        <v>43139</v>
      </c>
      <c r="D127" s="161" t="s">
        <v>9</v>
      </c>
      <c r="E127" s="161" t="s">
        <v>2412</v>
      </c>
      <c r="F127" s="207">
        <v>145</v>
      </c>
      <c r="G127" s="207">
        <v>155</v>
      </c>
      <c r="H127" s="161">
        <v>10</v>
      </c>
      <c r="I127" s="207">
        <v>300</v>
      </c>
      <c r="J127" s="242">
        <f t="shared" si="31"/>
        <v>3000</v>
      </c>
      <c r="K127" s="153"/>
      <c r="V127" s="25">
        <f t="shared" si="32"/>
        <v>1</v>
      </c>
      <c r="W127" s="25">
        <f t="shared" si="33"/>
        <v>0</v>
      </c>
    </row>
    <row r="128" spans="1:23" x14ac:dyDescent="0.3">
      <c r="A128" s="147"/>
      <c r="B128" s="205">
        <f t="shared" si="34"/>
        <v>7</v>
      </c>
      <c r="C128" s="206">
        <v>43140</v>
      </c>
      <c r="D128" s="161" t="s">
        <v>9</v>
      </c>
      <c r="E128" s="161" t="s">
        <v>2369</v>
      </c>
      <c r="F128" s="207">
        <v>160</v>
      </c>
      <c r="G128" s="207">
        <v>200</v>
      </c>
      <c r="H128" s="161">
        <v>40</v>
      </c>
      <c r="I128" s="207">
        <v>300</v>
      </c>
      <c r="J128" s="242">
        <f t="shared" si="31"/>
        <v>12000</v>
      </c>
      <c r="K128" s="153"/>
      <c r="V128" s="25">
        <f t="shared" si="32"/>
        <v>1</v>
      </c>
      <c r="W128" s="25">
        <f t="shared" si="33"/>
        <v>0</v>
      </c>
    </row>
    <row r="129" spans="1:23" x14ac:dyDescent="0.3">
      <c r="A129" s="147"/>
      <c r="B129" s="205">
        <f t="shared" si="34"/>
        <v>8</v>
      </c>
      <c r="C129" s="206">
        <v>43145</v>
      </c>
      <c r="D129" s="161" t="s">
        <v>9</v>
      </c>
      <c r="E129" s="161" t="s">
        <v>2412</v>
      </c>
      <c r="F129" s="207">
        <v>130</v>
      </c>
      <c r="G129" s="207">
        <v>140</v>
      </c>
      <c r="H129" s="161">
        <v>10</v>
      </c>
      <c r="I129" s="207">
        <v>300</v>
      </c>
      <c r="J129" s="242">
        <f t="shared" si="31"/>
        <v>3000</v>
      </c>
      <c r="K129" s="153"/>
      <c r="V129" s="25">
        <f t="shared" si="32"/>
        <v>1</v>
      </c>
      <c r="W129" s="25">
        <f t="shared" si="33"/>
        <v>0</v>
      </c>
    </row>
    <row r="130" spans="1:23" x14ac:dyDescent="0.3">
      <c r="A130" s="147"/>
      <c r="B130" s="205">
        <f t="shared" si="34"/>
        <v>9</v>
      </c>
      <c r="C130" s="206">
        <v>43146</v>
      </c>
      <c r="D130" s="161" t="s">
        <v>9</v>
      </c>
      <c r="E130" s="161" t="s">
        <v>2412</v>
      </c>
      <c r="F130" s="207">
        <v>100</v>
      </c>
      <c r="G130" s="207">
        <v>110</v>
      </c>
      <c r="H130" s="161">
        <v>10</v>
      </c>
      <c r="I130" s="207">
        <v>300</v>
      </c>
      <c r="J130" s="242">
        <f t="shared" si="31"/>
        <v>3000</v>
      </c>
      <c r="K130" s="153"/>
      <c r="V130" s="25">
        <f t="shared" si="32"/>
        <v>1</v>
      </c>
      <c r="W130" s="25">
        <f t="shared" si="33"/>
        <v>0</v>
      </c>
    </row>
    <row r="131" spans="1:23" x14ac:dyDescent="0.3">
      <c r="A131" s="147"/>
      <c r="B131" s="205">
        <f t="shared" si="34"/>
        <v>10</v>
      </c>
      <c r="C131" s="206">
        <v>43147</v>
      </c>
      <c r="D131" s="161" t="s">
        <v>9</v>
      </c>
      <c r="E131" s="161" t="s">
        <v>2412</v>
      </c>
      <c r="F131" s="207">
        <v>90</v>
      </c>
      <c r="G131" s="207">
        <v>130</v>
      </c>
      <c r="H131" s="161">
        <v>40</v>
      </c>
      <c r="I131" s="207">
        <v>300</v>
      </c>
      <c r="J131" s="242">
        <f t="shared" si="31"/>
        <v>12000</v>
      </c>
      <c r="K131" s="153"/>
      <c r="V131" s="25">
        <f t="shared" si="32"/>
        <v>1</v>
      </c>
      <c r="W131" s="25">
        <f t="shared" si="33"/>
        <v>0</v>
      </c>
    </row>
    <row r="132" spans="1:23" x14ac:dyDescent="0.3">
      <c r="A132" s="147"/>
      <c r="B132" s="205">
        <f t="shared" si="34"/>
        <v>11</v>
      </c>
      <c r="C132" s="206">
        <v>43150</v>
      </c>
      <c r="D132" s="161" t="s">
        <v>9</v>
      </c>
      <c r="E132" s="161" t="s">
        <v>2373</v>
      </c>
      <c r="F132" s="207">
        <v>130</v>
      </c>
      <c r="G132" s="207">
        <v>170</v>
      </c>
      <c r="H132" s="161">
        <v>40</v>
      </c>
      <c r="I132" s="207">
        <v>300</v>
      </c>
      <c r="J132" s="242">
        <f t="shared" si="31"/>
        <v>12000</v>
      </c>
      <c r="K132" s="153"/>
      <c r="V132" s="25">
        <f t="shared" si="32"/>
        <v>1</v>
      </c>
      <c r="W132" s="25">
        <f t="shared" si="33"/>
        <v>0</v>
      </c>
    </row>
    <row r="133" spans="1:23" x14ac:dyDescent="0.3">
      <c r="A133" s="147"/>
      <c r="B133" s="205">
        <f t="shared" si="34"/>
        <v>12</v>
      </c>
      <c r="C133" s="206">
        <v>43151</v>
      </c>
      <c r="D133" s="161" t="s">
        <v>9</v>
      </c>
      <c r="E133" s="161" t="s">
        <v>2373</v>
      </c>
      <c r="F133" s="207">
        <v>125</v>
      </c>
      <c r="G133" s="207">
        <v>145</v>
      </c>
      <c r="H133" s="161">
        <v>20</v>
      </c>
      <c r="I133" s="207">
        <v>300</v>
      </c>
      <c r="J133" s="242">
        <f t="shared" si="31"/>
        <v>6000</v>
      </c>
      <c r="K133" s="153"/>
      <c r="V133" s="25">
        <f t="shared" si="32"/>
        <v>1</v>
      </c>
      <c r="W133" s="25">
        <f t="shared" si="33"/>
        <v>0</v>
      </c>
    </row>
    <row r="134" spans="1:23" x14ac:dyDescent="0.3">
      <c r="A134" s="147"/>
      <c r="B134" s="205">
        <f t="shared" si="34"/>
        <v>13</v>
      </c>
      <c r="C134" s="206">
        <v>43152</v>
      </c>
      <c r="D134" s="161" t="s">
        <v>9</v>
      </c>
      <c r="E134" s="161" t="s">
        <v>2373</v>
      </c>
      <c r="F134" s="207">
        <v>135</v>
      </c>
      <c r="G134" s="207">
        <v>155</v>
      </c>
      <c r="H134" s="161">
        <v>20</v>
      </c>
      <c r="I134" s="207">
        <v>300</v>
      </c>
      <c r="J134" s="242">
        <f t="shared" si="31"/>
        <v>6000</v>
      </c>
      <c r="K134" s="153"/>
      <c r="V134" s="25">
        <f t="shared" si="32"/>
        <v>1</v>
      </c>
      <c r="W134" s="25">
        <f t="shared" si="33"/>
        <v>0</v>
      </c>
    </row>
    <row r="135" spans="1:23" x14ac:dyDescent="0.3">
      <c r="A135" s="147"/>
      <c r="B135" s="205">
        <f t="shared" si="34"/>
        <v>14</v>
      </c>
      <c r="C135" s="206">
        <v>43153</v>
      </c>
      <c r="D135" s="161" t="s">
        <v>9</v>
      </c>
      <c r="E135" s="161" t="s">
        <v>2373</v>
      </c>
      <c r="F135" s="207">
        <v>144</v>
      </c>
      <c r="G135" s="207">
        <v>124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34"/>
        <v>15</v>
      </c>
      <c r="C136" s="206">
        <v>43154</v>
      </c>
      <c r="D136" s="161" t="s">
        <v>9</v>
      </c>
      <c r="E136" s="161" t="s">
        <v>2376</v>
      </c>
      <c r="F136" s="207">
        <v>140</v>
      </c>
      <c r="G136" s="207">
        <v>120</v>
      </c>
      <c r="H136" s="161">
        <v>-20</v>
      </c>
      <c r="I136" s="207">
        <v>300</v>
      </c>
      <c r="J136" s="242">
        <f t="shared" si="31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34"/>
        <v>16</v>
      </c>
      <c r="C137" s="206">
        <v>43157</v>
      </c>
      <c r="D137" s="161" t="s">
        <v>9</v>
      </c>
      <c r="E137" s="161" t="s">
        <v>2412</v>
      </c>
      <c r="F137" s="207">
        <v>153</v>
      </c>
      <c r="G137" s="207">
        <v>142</v>
      </c>
      <c r="H137" s="161">
        <v>-11</v>
      </c>
      <c r="I137" s="207">
        <v>300</v>
      </c>
      <c r="J137" s="242">
        <f t="shared" si="31"/>
        <v>-3300</v>
      </c>
      <c r="K137" s="153"/>
      <c r="V137" s="25">
        <f t="shared" si="32"/>
        <v>0</v>
      </c>
      <c r="W137" s="25">
        <f t="shared" si="33"/>
        <v>1</v>
      </c>
    </row>
    <row r="138" spans="1:23" x14ac:dyDescent="0.3">
      <c r="A138" s="147"/>
      <c r="B138" s="205">
        <f t="shared" si="34"/>
        <v>17</v>
      </c>
      <c r="C138" s="206">
        <v>43158</v>
      </c>
      <c r="D138" s="161" t="s">
        <v>9</v>
      </c>
      <c r="E138" s="161" t="s">
        <v>2412</v>
      </c>
      <c r="F138" s="207">
        <v>145</v>
      </c>
      <c r="G138" s="207">
        <v>165</v>
      </c>
      <c r="H138" s="161">
        <v>20</v>
      </c>
      <c r="I138" s="207">
        <v>300</v>
      </c>
      <c r="J138" s="242">
        <f t="shared" si="31"/>
        <v>6000</v>
      </c>
      <c r="K138" s="153"/>
      <c r="V138" s="25">
        <f t="shared" si="32"/>
        <v>1</v>
      </c>
      <c r="W138" s="25">
        <f t="shared" si="33"/>
        <v>0</v>
      </c>
    </row>
    <row r="139" spans="1:23" x14ac:dyDescent="0.3">
      <c r="A139" s="147"/>
      <c r="B139" s="205">
        <f t="shared" si="34"/>
        <v>18</v>
      </c>
      <c r="C139" s="206">
        <v>43159</v>
      </c>
      <c r="D139" s="161" t="s">
        <v>9</v>
      </c>
      <c r="E139" s="161" t="s">
        <v>2373</v>
      </c>
      <c r="F139" s="207">
        <v>145</v>
      </c>
      <c r="G139" s="207">
        <v>155</v>
      </c>
      <c r="H139" s="161">
        <v>10</v>
      </c>
      <c r="I139" s="207">
        <v>300</v>
      </c>
      <c r="J139" s="242">
        <f t="shared" si="31"/>
        <v>3000</v>
      </c>
      <c r="K139" s="153"/>
      <c r="V139" s="25">
        <f t="shared" si="32"/>
        <v>1</v>
      </c>
      <c r="W139" s="25">
        <f t="shared" si="33"/>
        <v>0</v>
      </c>
    </row>
    <row r="140" spans="1:23" x14ac:dyDescent="0.3">
      <c r="A140" s="147"/>
      <c r="B140" s="205">
        <f t="shared" si="34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31"/>
        <v>0</v>
      </c>
      <c r="K140" s="153"/>
      <c r="V140" s="25">
        <f t="shared" si="32"/>
        <v>0</v>
      </c>
      <c r="W140" s="25">
        <f t="shared" si="33"/>
        <v>0</v>
      </c>
    </row>
    <row r="141" spans="1:23" x14ac:dyDescent="0.3">
      <c r="A141" s="147"/>
      <c r="B141" s="205">
        <f t="shared" si="34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1"/>
        <v>0</v>
      </c>
      <c r="K141" s="153"/>
      <c r="V141" s="25">
        <f t="shared" si="32"/>
        <v>0</v>
      </c>
      <c r="W141" s="25">
        <f t="shared" si="33"/>
        <v>0</v>
      </c>
    </row>
    <row r="142" spans="1:23" x14ac:dyDescent="0.3">
      <c r="A142" s="147"/>
      <c r="B142" s="205">
        <f t="shared" si="34"/>
        <v>21</v>
      </c>
      <c r="C142" s="206"/>
      <c r="D142" s="161"/>
      <c r="E142" s="161"/>
      <c r="F142" s="207"/>
      <c r="G142" s="207"/>
      <c r="H142" s="161"/>
      <c r="I142" s="207"/>
      <c r="J142" s="242">
        <f t="shared" ref="J142:J144" si="35">I142*H142</f>
        <v>0</v>
      </c>
      <c r="K142" s="153"/>
      <c r="V142" s="25">
        <f t="shared" si="32"/>
        <v>0</v>
      </c>
      <c r="W142" s="25">
        <f t="shared" si="33"/>
        <v>0</v>
      </c>
    </row>
    <row r="143" spans="1:23" x14ac:dyDescent="0.3">
      <c r="A143" s="147"/>
      <c r="B143" s="205">
        <f t="shared" si="34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5"/>
        <v>0</v>
      </c>
      <c r="K143" s="153"/>
      <c r="V143" s="25">
        <f t="shared" si="32"/>
        <v>0</v>
      </c>
      <c r="W143" s="25">
        <f t="shared" si="33"/>
        <v>0</v>
      </c>
    </row>
    <row r="144" spans="1:23" ht="15" thickBot="1" x14ac:dyDescent="0.35">
      <c r="A144" s="147"/>
      <c r="B144" s="208">
        <f t="shared" si="34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5"/>
        <v>0</v>
      </c>
      <c r="K144" s="153"/>
      <c r="V144" s="25">
        <f t="shared" si="32"/>
        <v>0</v>
      </c>
      <c r="W144" s="25">
        <f t="shared" si="33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56700</v>
      </c>
      <c r="K145" s="153"/>
      <c r="V145" s="25">
        <f>SUM(V122:V144)</f>
        <v>13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2453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43132</v>
      </c>
      <c r="D153" s="185" t="s">
        <v>9</v>
      </c>
      <c r="E153" s="185" t="s">
        <v>301</v>
      </c>
      <c r="F153" s="219">
        <v>27540</v>
      </c>
      <c r="G153" s="219">
        <v>27600</v>
      </c>
      <c r="H153" s="185">
        <v>60</v>
      </c>
      <c r="I153" s="219">
        <v>80</v>
      </c>
      <c r="J153" s="246">
        <f t="shared" ref="J153:J175" si="36">I153*H153</f>
        <v>4800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43133</v>
      </c>
      <c r="D154" s="161" t="s">
        <v>8</v>
      </c>
      <c r="E154" s="161" t="s">
        <v>301</v>
      </c>
      <c r="F154" s="207">
        <v>26750</v>
      </c>
      <c r="G154" s="207">
        <v>26850</v>
      </c>
      <c r="H154" s="161">
        <v>-100</v>
      </c>
      <c r="I154" s="207">
        <v>80</v>
      </c>
      <c r="J154" s="242">
        <f t="shared" si="36"/>
        <v>-8000</v>
      </c>
      <c r="K154" s="153"/>
      <c r="V154" s="25">
        <f t="shared" ref="V154:V175" si="37">IF($J154&gt;0,1,0)</f>
        <v>0</v>
      </c>
      <c r="W154" s="25">
        <f t="shared" ref="W154:W175" si="38">IF($J154&lt;0,1,0)</f>
        <v>1</v>
      </c>
    </row>
    <row r="155" spans="1:23" x14ac:dyDescent="0.3">
      <c r="A155" s="147"/>
      <c r="B155" s="205">
        <f t="shared" ref="B155:B175" si="39">B154+1</f>
        <v>3</v>
      </c>
      <c r="C155" s="206">
        <v>43136</v>
      </c>
      <c r="D155" s="161" t="s">
        <v>8</v>
      </c>
      <c r="E155" s="161" t="s">
        <v>301</v>
      </c>
      <c r="F155" s="207">
        <v>26180</v>
      </c>
      <c r="G155" s="207">
        <v>26280</v>
      </c>
      <c r="H155" s="161">
        <v>-100</v>
      </c>
      <c r="I155" s="207">
        <v>80</v>
      </c>
      <c r="J155" s="242">
        <f t="shared" si="36"/>
        <v>-8000</v>
      </c>
      <c r="K155" s="153"/>
      <c r="V155" s="25">
        <f t="shared" si="37"/>
        <v>0</v>
      </c>
      <c r="W155" s="25">
        <f t="shared" si="38"/>
        <v>1</v>
      </c>
    </row>
    <row r="156" spans="1:23" x14ac:dyDescent="0.3">
      <c r="A156" s="147"/>
      <c r="B156" s="205">
        <f t="shared" si="39"/>
        <v>4</v>
      </c>
      <c r="C156" s="206">
        <v>43137</v>
      </c>
      <c r="D156" s="161" t="s">
        <v>8</v>
      </c>
      <c r="E156" s="161" t="s">
        <v>301</v>
      </c>
      <c r="F156" s="207">
        <v>25200</v>
      </c>
      <c r="G156" s="207">
        <v>25300</v>
      </c>
      <c r="H156" s="161">
        <v>-100</v>
      </c>
      <c r="I156" s="207">
        <v>80</v>
      </c>
      <c r="J156" s="242">
        <f t="shared" si="36"/>
        <v>-8000</v>
      </c>
      <c r="K156" s="153"/>
      <c r="V156" s="25">
        <f t="shared" si="37"/>
        <v>0</v>
      </c>
      <c r="W156" s="25">
        <f t="shared" si="38"/>
        <v>1</v>
      </c>
    </row>
    <row r="157" spans="1:23" x14ac:dyDescent="0.3">
      <c r="A157" s="147"/>
      <c r="B157" s="205">
        <f t="shared" si="39"/>
        <v>5</v>
      </c>
      <c r="C157" s="206">
        <v>43138</v>
      </c>
      <c r="D157" s="161" t="s">
        <v>8</v>
      </c>
      <c r="E157" s="161" t="s">
        <v>301</v>
      </c>
      <c r="F157" s="207">
        <v>25730</v>
      </c>
      <c r="G157" s="207">
        <v>25630</v>
      </c>
      <c r="H157" s="161">
        <v>100</v>
      </c>
      <c r="I157" s="207">
        <v>80</v>
      </c>
      <c r="J157" s="242">
        <f t="shared" si="36"/>
        <v>8000</v>
      </c>
      <c r="K157" s="153"/>
      <c r="V157" s="25">
        <f t="shared" si="37"/>
        <v>1</v>
      </c>
      <c r="W157" s="25">
        <f t="shared" si="38"/>
        <v>0</v>
      </c>
    </row>
    <row r="158" spans="1:23" x14ac:dyDescent="0.3">
      <c r="A158" s="147"/>
      <c r="B158" s="205">
        <f t="shared" si="39"/>
        <v>6</v>
      </c>
      <c r="C158" s="206">
        <v>43139</v>
      </c>
      <c r="D158" s="161" t="s">
        <v>8</v>
      </c>
      <c r="E158" s="161" t="s">
        <v>301</v>
      </c>
      <c r="F158" s="207">
        <v>25850</v>
      </c>
      <c r="G158" s="207">
        <v>25900</v>
      </c>
      <c r="H158" s="161">
        <v>-50</v>
      </c>
      <c r="I158" s="207">
        <v>80</v>
      </c>
      <c r="J158" s="242">
        <f t="shared" si="36"/>
        <v>-4000</v>
      </c>
      <c r="K158" s="153"/>
      <c r="V158" s="25">
        <f t="shared" si="37"/>
        <v>0</v>
      </c>
      <c r="W158" s="25">
        <f t="shared" si="38"/>
        <v>1</v>
      </c>
    </row>
    <row r="159" spans="1:23" x14ac:dyDescent="0.3">
      <c r="A159" s="147"/>
      <c r="B159" s="205">
        <f t="shared" si="39"/>
        <v>7</v>
      </c>
      <c r="C159" s="206">
        <v>43140</v>
      </c>
      <c r="D159" s="161" t="s">
        <v>9</v>
      </c>
      <c r="E159" s="161" t="s">
        <v>301</v>
      </c>
      <c r="F159" s="207">
        <v>25500</v>
      </c>
      <c r="G159" s="207">
        <v>25650</v>
      </c>
      <c r="H159" s="161">
        <v>150</v>
      </c>
      <c r="I159" s="207">
        <v>80</v>
      </c>
      <c r="J159" s="242">
        <f t="shared" si="36"/>
        <v>12000</v>
      </c>
      <c r="K159" s="153"/>
      <c r="V159" s="25">
        <f t="shared" si="37"/>
        <v>1</v>
      </c>
      <c r="W159" s="25">
        <f t="shared" si="38"/>
        <v>0</v>
      </c>
    </row>
    <row r="160" spans="1:23" x14ac:dyDescent="0.3">
      <c r="A160" s="147"/>
      <c r="B160" s="205">
        <f t="shared" si="39"/>
        <v>8</v>
      </c>
      <c r="C160" s="206">
        <v>43145</v>
      </c>
      <c r="D160" s="161" t="s">
        <v>8</v>
      </c>
      <c r="E160" s="161" t="s">
        <v>301</v>
      </c>
      <c r="F160" s="207">
        <v>25620</v>
      </c>
      <c r="G160" s="207">
        <v>25420</v>
      </c>
      <c r="H160" s="161">
        <v>200</v>
      </c>
      <c r="I160" s="207">
        <v>80</v>
      </c>
      <c r="J160" s="242">
        <f t="shared" si="36"/>
        <v>16000</v>
      </c>
      <c r="K160" s="153"/>
      <c r="V160" s="25">
        <f t="shared" si="37"/>
        <v>1</v>
      </c>
      <c r="W160" s="25">
        <f t="shared" si="38"/>
        <v>0</v>
      </c>
    </row>
    <row r="161" spans="1:23" x14ac:dyDescent="0.3">
      <c r="A161" s="147"/>
      <c r="B161" s="205">
        <f t="shared" si="39"/>
        <v>9</v>
      </c>
      <c r="C161" s="206">
        <v>43146</v>
      </c>
      <c r="D161" s="161" t="s">
        <v>8</v>
      </c>
      <c r="E161" s="161" t="s">
        <v>301</v>
      </c>
      <c r="F161" s="207">
        <v>25540</v>
      </c>
      <c r="G161" s="207">
        <v>25340</v>
      </c>
      <c r="H161" s="161">
        <v>200</v>
      </c>
      <c r="I161" s="207">
        <v>80</v>
      </c>
      <c r="J161" s="242">
        <f t="shared" si="36"/>
        <v>16000</v>
      </c>
      <c r="K161" s="153"/>
      <c r="V161" s="25">
        <f t="shared" si="37"/>
        <v>1</v>
      </c>
      <c r="W161" s="25">
        <f t="shared" si="38"/>
        <v>0</v>
      </c>
    </row>
    <row r="162" spans="1:23" x14ac:dyDescent="0.3">
      <c r="A162" s="147"/>
      <c r="B162" s="205">
        <f t="shared" si="39"/>
        <v>10</v>
      </c>
      <c r="C162" s="206">
        <v>43147</v>
      </c>
      <c r="D162" s="161" t="s">
        <v>8</v>
      </c>
      <c r="E162" s="161" t="s">
        <v>301</v>
      </c>
      <c r="F162" s="207">
        <v>25520</v>
      </c>
      <c r="G162" s="207">
        <v>25320</v>
      </c>
      <c r="H162" s="161">
        <v>200</v>
      </c>
      <c r="I162" s="207">
        <v>80</v>
      </c>
      <c r="J162" s="242">
        <f t="shared" si="36"/>
        <v>16000</v>
      </c>
      <c r="K162" s="153"/>
      <c r="V162" s="25">
        <f t="shared" si="37"/>
        <v>1</v>
      </c>
      <c r="W162" s="25">
        <f t="shared" si="38"/>
        <v>0</v>
      </c>
    </row>
    <row r="163" spans="1:23" x14ac:dyDescent="0.3">
      <c r="A163" s="147"/>
      <c r="B163" s="205">
        <f t="shared" si="39"/>
        <v>11</v>
      </c>
      <c r="C163" s="206">
        <v>43150</v>
      </c>
      <c r="D163" s="161" t="s">
        <v>8</v>
      </c>
      <c r="E163" s="161" t="s">
        <v>301</v>
      </c>
      <c r="F163" s="207">
        <v>25100</v>
      </c>
      <c r="G163" s="207">
        <v>24900</v>
      </c>
      <c r="H163" s="161">
        <v>200</v>
      </c>
      <c r="I163" s="207">
        <v>80</v>
      </c>
      <c r="J163" s="242">
        <f t="shared" si="36"/>
        <v>16000</v>
      </c>
      <c r="K163" s="153"/>
      <c r="V163" s="25">
        <f t="shared" si="37"/>
        <v>1</v>
      </c>
      <c r="W163" s="25">
        <f t="shared" si="38"/>
        <v>0</v>
      </c>
    </row>
    <row r="164" spans="1:23" x14ac:dyDescent="0.3">
      <c r="A164" s="147"/>
      <c r="B164" s="205">
        <f t="shared" si="39"/>
        <v>12</v>
      </c>
      <c r="C164" s="206">
        <v>43151</v>
      </c>
      <c r="D164" s="161" t="s">
        <v>8</v>
      </c>
      <c r="E164" s="161" t="s">
        <v>301</v>
      </c>
      <c r="F164" s="207">
        <v>25100</v>
      </c>
      <c r="G164" s="207">
        <v>24900</v>
      </c>
      <c r="H164" s="161">
        <v>200</v>
      </c>
      <c r="I164" s="207">
        <v>80</v>
      </c>
      <c r="J164" s="242">
        <f t="shared" si="36"/>
        <v>16000</v>
      </c>
      <c r="K164" s="153"/>
      <c r="V164" s="25">
        <f t="shared" si="37"/>
        <v>1</v>
      </c>
      <c r="W164" s="25">
        <f t="shared" si="38"/>
        <v>0</v>
      </c>
    </row>
    <row r="165" spans="1:23" x14ac:dyDescent="0.3">
      <c r="A165" s="147"/>
      <c r="B165" s="205">
        <f t="shared" si="39"/>
        <v>13</v>
      </c>
      <c r="C165" s="206">
        <v>43152</v>
      </c>
      <c r="D165" s="161" t="s">
        <v>8</v>
      </c>
      <c r="E165" s="161" t="s">
        <v>301</v>
      </c>
      <c r="F165" s="207">
        <v>24910</v>
      </c>
      <c r="G165" s="207">
        <v>24810</v>
      </c>
      <c r="H165" s="161">
        <v>100</v>
      </c>
      <c r="I165" s="207">
        <v>80</v>
      </c>
      <c r="J165" s="242">
        <f t="shared" si="36"/>
        <v>8000</v>
      </c>
      <c r="K165" s="153"/>
      <c r="V165" s="25">
        <f t="shared" si="37"/>
        <v>1</v>
      </c>
      <c r="W165" s="25">
        <f t="shared" si="38"/>
        <v>0</v>
      </c>
    </row>
    <row r="166" spans="1:23" x14ac:dyDescent="0.3">
      <c r="A166" s="147"/>
      <c r="B166" s="205">
        <f t="shared" si="39"/>
        <v>14</v>
      </c>
      <c r="C166" s="206">
        <v>43153</v>
      </c>
      <c r="D166" s="161" t="s">
        <v>8</v>
      </c>
      <c r="E166" s="161" t="s">
        <v>301</v>
      </c>
      <c r="F166" s="207">
        <v>24860</v>
      </c>
      <c r="G166" s="207">
        <v>24760</v>
      </c>
      <c r="H166" s="161">
        <v>100</v>
      </c>
      <c r="I166" s="207">
        <v>80</v>
      </c>
      <c r="J166" s="242">
        <f t="shared" si="36"/>
        <v>8000</v>
      </c>
      <c r="K166" s="153"/>
      <c r="V166" s="25">
        <f t="shared" si="37"/>
        <v>1</v>
      </c>
      <c r="W166" s="25">
        <f t="shared" si="38"/>
        <v>0</v>
      </c>
    </row>
    <row r="167" spans="1:23" x14ac:dyDescent="0.3">
      <c r="A167" s="147"/>
      <c r="B167" s="205">
        <f t="shared" si="39"/>
        <v>15</v>
      </c>
      <c r="C167" s="206">
        <v>43154</v>
      </c>
      <c r="D167" s="161" t="s">
        <v>8</v>
      </c>
      <c r="E167" s="161" t="s">
        <v>301</v>
      </c>
      <c r="F167" s="207">
        <v>25270</v>
      </c>
      <c r="G167" s="207">
        <v>25370</v>
      </c>
      <c r="H167" s="161">
        <v>-100</v>
      </c>
      <c r="I167" s="207">
        <v>80</v>
      </c>
      <c r="J167" s="242">
        <f t="shared" si="36"/>
        <v>-8000</v>
      </c>
      <c r="K167" s="153"/>
      <c r="V167" s="25">
        <f t="shared" si="37"/>
        <v>0</v>
      </c>
      <c r="W167" s="25">
        <f t="shared" si="38"/>
        <v>1</v>
      </c>
    </row>
    <row r="168" spans="1:23" x14ac:dyDescent="0.3">
      <c r="A168" s="147"/>
      <c r="B168" s="205">
        <f t="shared" si="39"/>
        <v>16</v>
      </c>
      <c r="C168" s="206">
        <v>43157</v>
      </c>
      <c r="D168" s="161" t="s">
        <v>8</v>
      </c>
      <c r="E168" s="161" t="s">
        <v>301</v>
      </c>
      <c r="F168" s="207">
        <v>25610</v>
      </c>
      <c r="G168" s="207">
        <v>25710</v>
      </c>
      <c r="H168" s="161">
        <v>-100</v>
      </c>
      <c r="I168" s="207">
        <v>80</v>
      </c>
      <c r="J168" s="242">
        <f t="shared" si="36"/>
        <v>-8000</v>
      </c>
      <c r="K168" s="153"/>
      <c r="V168" s="25">
        <f t="shared" si="37"/>
        <v>0</v>
      </c>
      <c r="W168" s="25">
        <f t="shared" si="38"/>
        <v>1</v>
      </c>
    </row>
    <row r="169" spans="1:23" x14ac:dyDescent="0.3">
      <c r="A169" s="147"/>
      <c r="B169" s="205">
        <f t="shared" si="39"/>
        <v>17</v>
      </c>
      <c r="C169" s="206">
        <v>43158</v>
      </c>
      <c r="D169" s="161" t="s">
        <v>8</v>
      </c>
      <c r="E169" s="161" t="s">
        <v>301</v>
      </c>
      <c r="F169" s="207">
        <v>25580</v>
      </c>
      <c r="G169" s="207">
        <v>25440</v>
      </c>
      <c r="H169" s="161">
        <v>140</v>
      </c>
      <c r="I169" s="207">
        <v>80</v>
      </c>
      <c r="J169" s="242">
        <f t="shared" si="36"/>
        <v>11200</v>
      </c>
      <c r="K169" s="153"/>
      <c r="V169" s="25">
        <f t="shared" si="37"/>
        <v>1</v>
      </c>
      <c r="W169" s="25">
        <f t="shared" si="38"/>
        <v>0</v>
      </c>
    </row>
    <row r="170" spans="1:23" x14ac:dyDescent="0.3">
      <c r="A170" s="147"/>
      <c r="B170" s="205">
        <f t="shared" si="39"/>
        <v>18</v>
      </c>
      <c r="C170" s="206">
        <v>43159</v>
      </c>
      <c r="D170" s="161" t="s">
        <v>8</v>
      </c>
      <c r="E170" s="161" t="s">
        <v>301</v>
      </c>
      <c r="F170" s="207">
        <v>25100</v>
      </c>
      <c r="G170" s="207">
        <v>25000</v>
      </c>
      <c r="H170" s="161">
        <v>100</v>
      </c>
      <c r="I170" s="207">
        <v>80</v>
      </c>
      <c r="J170" s="242">
        <f t="shared" si="36"/>
        <v>8000</v>
      </c>
      <c r="K170" s="153"/>
      <c r="V170" s="25">
        <f t="shared" si="37"/>
        <v>1</v>
      </c>
      <c r="W170" s="25">
        <f t="shared" si="38"/>
        <v>0</v>
      </c>
    </row>
    <row r="171" spans="1:23" x14ac:dyDescent="0.3">
      <c r="A171" s="147"/>
      <c r="B171" s="205">
        <f t="shared" si="39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36"/>
        <v>0</v>
      </c>
      <c r="K171" s="153"/>
      <c r="V171" s="25">
        <f t="shared" si="37"/>
        <v>0</v>
      </c>
      <c r="W171" s="25">
        <f t="shared" si="38"/>
        <v>0</v>
      </c>
    </row>
    <row r="172" spans="1:23" x14ac:dyDescent="0.3">
      <c r="A172" s="147"/>
      <c r="B172" s="205">
        <f t="shared" si="39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36"/>
        <v>0</v>
      </c>
      <c r="K172" s="153"/>
      <c r="V172" s="25">
        <f t="shared" si="37"/>
        <v>0</v>
      </c>
      <c r="W172" s="25">
        <f t="shared" si="38"/>
        <v>0</v>
      </c>
    </row>
    <row r="173" spans="1:23" x14ac:dyDescent="0.3">
      <c r="A173" s="147"/>
      <c r="B173" s="205">
        <f t="shared" si="39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36"/>
        <v>0</v>
      </c>
      <c r="K173" s="153"/>
      <c r="V173" s="25">
        <f t="shared" si="37"/>
        <v>0</v>
      </c>
      <c r="W173" s="25">
        <f t="shared" si="38"/>
        <v>0</v>
      </c>
    </row>
    <row r="174" spans="1:23" x14ac:dyDescent="0.3">
      <c r="A174" s="147"/>
      <c r="B174" s="205">
        <f t="shared" si="39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6"/>
        <v>0</v>
      </c>
      <c r="K174" s="153"/>
      <c r="V174" s="25">
        <f t="shared" si="37"/>
        <v>0</v>
      </c>
      <c r="W174" s="25">
        <f t="shared" si="38"/>
        <v>0</v>
      </c>
    </row>
    <row r="175" spans="1:23" ht="15" thickBot="1" x14ac:dyDescent="0.35">
      <c r="A175" s="147"/>
      <c r="B175" s="208">
        <f t="shared" si="39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6"/>
        <v>0</v>
      </c>
      <c r="K175" s="153"/>
      <c r="V175" s="25">
        <f t="shared" si="37"/>
        <v>0</v>
      </c>
      <c r="W175" s="25">
        <f t="shared" si="38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96000</v>
      </c>
      <c r="K176" s="153"/>
      <c r="V176" s="25">
        <f>SUM(V153:V175)</f>
        <v>12</v>
      </c>
      <c r="W176" s="25">
        <f>SUM(W153:W175)</f>
        <v>6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2453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43132</v>
      </c>
      <c r="D184" s="185" t="s">
        <v>9</v>
      </c>
      <c r="E184" s="185" t="s">
        <v>2452</v>
      </c>
      <c r="F184" s="219">
        <v>460</v>
      </c>
      <c r="G184" s="219">
        <v>490</v>
      </c>
      <c r="H184" s="185">
        <v>30</v>
      </c>
      <c r="I184" s="219">
        <v>160</v>
      </c>
      <c r="J184" s="246">
        <f t="shared" ref="J184:J206" si="40">I184*H184</f>
        <v>4800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43133</v>
      </c>
      <c r="D185" s="161" t="s">
        <v>9</v>
      </c>
      <c r="E185" s="161" t="s">
        <v>2456</v>
      </c>
      <c r="F185" s="207">
        <v>490</v>
      </c>
      <c r="G185" s="207">
        <v>520</v>
      </c>
      <c r="H185" s="161">
        <v>30</v>
      </c>
      <c r="I185" s="207">
        <v>160</v>
      </c>
      <c r="J185" s="242">
        <f t="shared" si="40"/>
        <v>4800</v>
      </c>
      <c r="K185" s="153"/>
      <c r="V185" s="25">
        <f t="shared" ref="V185:V206" si="41">IF($J185&gt;0,1,0)</f>
        <v>1</v>
      </c>
      <c r="W185" s="25">
        <f t="shared" ref="W185:W206" si="42">IF($J185&lt;0,1,0)</f>
        <v>0</v>
      </c>
    </row>
    <row r="186" spans="1:23" x14ac:dyDescent="0.3">
      <c r="A186" s="147"/>
      <c r="B186" s="205">
        <f t="shared" ref="B186:B206" si="43">B185+1</f>
        <v>3</v>
      </c>
      <c r="C186" s="206">
        <v>43136</v>
      </c>
      <c r="D186" s="161" t="s">
        <v>9</v>
      </c>
      <c r="E186" s="161" t="s">
        <v>2457</v>
      </c>
      <c r="F186" s="207">
        <v>470</v>
      </c>
      <c r="G186" s="207">
        <v>410</v>
      </c>
      <c r="H186" s="161">
        <v>-60</v>
      </c>
      <c r="I186" s="207">
        <v>160</v>
      </c>
      <c r="J186" s="242">
        <f t="shared" si="40"/>
        <v>-9600</v>
      </c>
      <c r="K186" s="153"/>
      <c r="V186" s="25">
        <f t="shared" si="41"/>
        <v>0</v>
      </c>
      <c r="W186" s="25">
        <f t="shared" si="42"/>
        <v>1</v>
      </c>
    </row>
    <row r="187" spans="1:23" x14ac:dyDescent="0.3">
      <c r="A187" s="147"/>
      <c r="B187" s="205">
        <f t="shared" si="43"/>
        <v>4</v>
      </c>
      <c r="C187" s="206">
        <v>43137</v>
      </c>
      <c r="D187" s="161" t="s">
        <v>9</v>
      </c>
      <c r="E187" s="161" t="s">
        <v>2317</v>
      </c>
      <c r="F187" s="207">
        <v>550</v>
      </c>
      <c r="G187" s="207">
        <v>490</v>
      </c>
      <c r="H187" s="161">
        <v>-60</v>
      </c>
      <c r="I187" s="207">
        <v>160</v>
      </c>
      <c r="J187" s="242">
        <f t="shared" si="40"/>
        <v>-9600</v>
      </c>
      <c r="K187" s="153"/>
      <c r="V187" s="25">
        <f t="shared" si="41"/>
        <v>0</v>
      </c>
      <c r="W187" s="25">
        <f t="shared" si="42"/>
        <v>1</v>
      </c>
    </row>
    <row r="188" spans="1:23" x14ac:dyDescent="0.3">
      <c r="A188" s="147"/>
      <c r="B188" s="205">
        <f t="shared" si="43"/>
        <v>5</v>
      </c>
      <c r="C188" s="206">
        <v>43138</v>
      </c>
      <c r="D188" s="161" t="s">
        <v>9</v>
      </c>
      <c r="E188" s="161" t="s">
        <v>2410</v>
      </c>
      <c r="F188" s="207">
        <v>480</v>
      </c>
      <c r="G188" s="207">
        <v>540</v>
      </c>
      <c r="H188" s="161">
        <v>60</v>
      </c>
      <c r="I188" s="207">
        <v>160</v>
      </c>
      <c r="J188" s="242">
        <f t="shared" si="40"/>
        <v>9600</v>
      </c>
      <c r="K188" s="153"/>
      <c r="V188" s="25">
        <f t="shared" si="41"/>
        <v>1</v>
      </c>
      <c r="W188" s="25">
        <f t="shared" si="42"/>
        <v>0</v>
      </c>
    </row>
    <row r="189" spans="1:23" x14ac:dyDescent="0.3">
      <c r="A189" s="147"/>
      <c r="B189" s="205">
        <f t="shared" si="43"/>
        <v>6</v>
      </c>
      <c r="C189" s="206">
        <v>43139</v>
      </c>
      <c r="D189" s="161" t="s">
        <v>9</v>
      </c>
      <c r="E189" s="161" t="s">
        <v>2399</v>
      </c>
      <c r="F189" s="207">
        <v>440</v>
      </c>
      <c r="G189" s="207">
        <v>470</v>
      </c>
      <c r="H189" s="161">
        <v>30</v>
      </c>
      <c r="I189" s="207">
        <v>160</v>
      </c>
      <c r="J189" s="242">
        <f t="shared" si="40"/>
        <v>4800</v>
      </c>
      <c r="K189" s="153"/>
      <c r="V189" s="25">
        <f t="shared" si="41"/>
        <v>1</v>
      </c>
      <c r="W189" s="25">
        <f t="shared" si="42"/>
        <v>0</v>
      </c>
    </row>
    <row r="190" spans="1:23" x14ac:dyDescent="0.3">
      <c r="A190" s="147"/>
      <c r="B190" s="205">
        <f t="shared" si="43"/>
        <v>7</v>
      </c>
      <c r="C190" s="206">
        <v>43140</v>
      </c>
      <c r="D190" s="161" t="s">
        <v>9</v>
      </c>
      <c r="E190" s="161" t="s">
        <v>2370</v>
      </c>
      <c r="F190" s="207">
        <v>450</v>
      </c>
      <c r="G190" s="207">
        <v>540</v>
      </c>
      <c r="H190" s="161">
        <v>90</v>
      </c>
      <c r="I190" s="207">
        <v>160</v>
      </c>
      <c r="J190" s="242">
        <f t="shared" si="40"/>
        <v>14400</v>
      </c>
      <c r="K190" s="153"/>
      <c r="V190" s="25">
        <f t="shared" si="41"/>
        <v>1</v>
      </c>
      <c r="W190" s="25">
        <f t="shared" si="42"/>
        <v>0</v>
      </c>
    </row>
    <row r="191" spans="1:23" x14ac:dyDescent="0.3">
      <c r="A191" s="147"/>
      <c r="B191" s="205">
        <f t="shared" si="43"/>
        <v>8</v>
      </c>
      <c r="C191" s="206">
        <v>43145</v>
      </c>
      <c r="D191" s="161" t="s">
        <v>9</v>
      </c>
      <c r="E191" s="161" t="s">
        <v>2424</v>
      </c>
      <c r="F191" s="207">
        <v>320</v>
      </c>
      <c r="G191" s="207">
        <v>440</v>
      </c>
      <c r="H191" s="161">
        <v>120</v>
      </c>
      <c r="I191" s="207">
        <v>160</v>
      </c>
      <c r="J191" s="242">
        <f t="shared" si="40"/>
        <v>19200</v>
      </c>
      <c r="K191" s="153"/>
      <c r="V191" s="25">
        <f t="shared" si="41"/>
        <v>1</v>
      </c>
      <c r="W191" s="25">
        <f t="shared" si="42"/>
        <v>0</v>
      </c>
    </row>
    <row r="192" spans="1:23" x14ac:dyDescent="0.3">
      <c r="A192" s="147"/>
      <c r="B192" s="205">
        <f t="shared" si="43"/>
        <v>9</v>
      </c>
      <c r="C192" s="206">
        <v>43146</v>
      </c>
      <c r="D192" s="161" t="s">
        <v>9</v>
      </c>
      <c r="E192" s="161" t="s">
        <v>2374</v>
      </c>
      <c r="F192" s="207">
        <v>270</v>
      </c>
      <c r="G192" s="207">
        <v>390</v>
      </c>
      <c r="H192" s="161">
        <v>120</v>
      </c>
      <c r="I192" s="207">
        <v>160</v>
      </c>
      <c r="J192" s="242">
        <f t="shared" si="40"/>
        <v>19200</v>
      </c>
      <c r="K192" s="153"/>
      <c r="V192" s="25">
        <f t="shared" si="41"/>
        <v>1</v>
      </c>
      <c r="W192" s="25">
        <f t="shared" si="42"/>
        <v>0</v>
      </c>
    </row>
    <row r="193" spans="1:23" x14ac:dyDescent="0.3">
      <c r="A193" s="147"/>
      <c r="B193" s="205">
        <f t="shared" si="43"/>
        <v>10</v>
      </c>
      <c r="C193" s="206">
        <v>43147</v>
      </c>
      <c r="D193" s="161" t="s">
        <v>9</v>
      </c>
      <c r="E193" s="161" t="s">
        <v>2374</v>
      </c>
      <c r="F193" s="207">
        <v>240</v>
      </c>
      <c r="G193" s="207">
        <v>360</v>
      </c>
      <c r="H193" s="161">
        <v>120</v>
      </c>
      <c r="I193" s="207">
        <v>160</v>
      </c>
      <c r="J193" s="242">
        <f t="shared" si="40"/>
        <v>19200</v>
      </c>
      <c r="K193" s="153"/>
      <c r="V193" s="25">
        <f t="shared" si="41"/>
        <v>1</v>
      </c>
      <c r="W193" s="25">
        <f t="shared" si="42"/>
        <v>0</v>
      </c>
    </row>
    <row r="194" spans="1:23" x14ac:dyDescent="0.3">
      <c r="A194" s="147"/>
      <c r="B194" s="205">
        <f t="shared" si="43"/>
        <v>11</v>
      </c>
      <c r="C194" s="206">
        <v>43150</v>
      </c>
      <c r="D194" s="161" t="s">
        <v>9</v>
      </c>
      <c r="E194" s="161" t="s">
        <v>2404</v>
      </c>
      <c r="F194" s="207">
        <v>280</v>
      </c>
      <c r="G194" s="207">
        <v>400</v>
      </c>
      <c r="H194" s="161">
        <v>120</v>
      </c>
      <c r="I194" s="207">
        <v>160</v>
      </c>
      <c r="J194" s="242">
        <f t="shared" si="40"/>
        <v>19200</v>
      </c>
      <c r="K194" s="153"/>
      <c r="V194" s="25">
        <f t="shared" si="41"/>
        <v>1</v>
      </c>
      <c r="W194" s="25">
        <f t="shared" si="42"/>
        <v>0</v>
      </c>
    </row>
    <row r="195" spans="1:23" x14ac:dyDescent="0.3">
      <c r="A195" s="147"/>
      <c r="B195" s="205">
        <f t="shared" si="43"/>
        <v>12</v>
      </c>
      <c r="C195" s="206">
        <v>43151</v>
      </c>
      <c r="D195" s="161" t="s">
        <v>9</v>
      </c>
      <c r="E195" s="161" t="s">
        <v>2404</v>
      </c>
      <c r="F195" s="207">
        <v>220</v>
      </c>
      <c r="G195" s="207">
        <v>340</v>
      </c>
      <c r="H195" s="161">
        <v>120</v>
      </c>
      <c r="I195" s="207">
        <v>160</v>
      </c>
      <c r="J195" s="242">
        <f t="shared" si="40"/>
        <v>19200</v>
      </c>
      <c r="K195" s="153"/>
      <c r="V195" s="25">
        <f t="shared" si="41"/>
        <v>1</v>
      </c>
      <c r="W195" s="25">
        <f t="shared" si="42"/>
        <v>0</v>
      </c>
    </row>
    <row r="196" spans="1:23" x14ac:dyDescent="0.3">
      <c r="A196" s="147"/>
      <c r="B196" s="205">
        <f t="shared" si="43"/>
        <v>13</v>
      </c>
      <c r="C196" s="206">
        <v>43152</v>
      </c>
      <c r="D196" s="161" t="s">
        <v>9</v>
      </c>
      <c r="E196" s="161" t="s">
        <v>2405</v>
      </c>
      <c r="F196" s="207">
        <v>190</v>
      </c>
      <c r="G196" s="207">
        <v>250</v>
      </c>
      <c r="H196" s="161">
        <v>60</v>
      </c>
      <c r="I196" s="207">
        <v>160</v>
      </c>
      <c r="J196" s="242">
        <f t="shared" si="40"/>
        <v>9600</v>
      </c>
      <c r="K196" s="153"/>
      <c r="V196" s="25">
        <f t="shared" si="41"/>
        <v>1</v>
      </c>
      <c r="W196" s="25">
        <f t="shared" si="42"/>
        <v>0</v>
      </c>
    </row>
    <row r="197" spans="1:23" x14ac:dyDescent="0.3">
      <c r="A197" s="147"/>
      <c r="B197" s="205">
        <f t="shared" si="43"/>
        <v>14</v>
      </c>
      <c r="C197" s="206">
        <v>43153</v>
      </c>
      <c r="D197" s="161" t="s">
        <v>9</v>
      </c>
      <c r="E197" s="161" t="s">
        <v>2405</v>
      </c>
      <c r="F197" s="207">
        <v>160</v>
      </c>
      <c r="G197" s="207">
        <v>220</v>
      </c>
      <c r="H197" s="161">
        <v>60</v>
      </c>
      <c r="I197" s="207">
        <v>160</v>
      </c>
      <c r="J197" s="242">
        <f t="shared" si="40"/>
        <v>9600</v>
      </c>
      <c r="K197" s="153"/>
      <c r="V197" s="25">
        <f t="shared" si="41"/>
        <v>1</v>
      </c>
      <c r="W197" s="25">
        <f t="shared" si="42"/>
        <v>0</v>
      </c>
    </row>
    <row r="198" spans="1:23" x14ac:dyDescent="0.3">
      <c r="A198" s="147"/>
      <c r="B198" s="205">
        <f t="shared" si="43"/>
        <v>15</v>
      </c>
      <c r="C198" s="206">
        <v>43154</v>
      </c>
      <c r="D198" s="161" t="s">
        <v>9</v>
      </c>
      <c r="E198" s="161" t="s">
        <v>2317</v>
      </c>
      <c r="F198" s="207">
        <v>380</v>
      </c>
      <c r="G198" s="207">
        <v>345</v>
      </c>
      <c r="H198" s="161">
        <v>-35</v>
      </c>
      <c r="I198" s="207">
        <v>160</v>
      </c>
      <c r="J198" s="242">
        <f t="shared" si="40"/>
        <v>-5600</v>
      </c>
      <c r="K198" s="153"/>
      <c r="V198" s="25">
        <f t="shared" si="41"/>
        <v>0</v>
      </c>
      <c r="W198" s="25">
        <f t="shared" si="42"/>
        <v>1</v>
      </c>
    </row>
    <row r="199" spans="1:23" x14ac:dyDescent="0.3">
      <c r="A199" s="147"/>
      <c r="B199" s="205">
        <f t="shared" si="43"/>
        <v>16</v>
      </c>
      <c r="C199" s="206">
        <v>43157</v>
      </c>
      <c r="D199" s="161" t="s">
        <v>9</v>
      </c>
      <c r="E199" s="161" t="s">
        <v>2374</v>
      </c>
      <c r="F199" s="207">
        <v>390</v>
      </c>
      <c r="G199" s="207">
        <v>330</v>
      </c>
      <c r="H199" s="161">
        <v>-60</v>
      </c>
      <c r="I199" s="207">
        <v>160</v>
      </c>
      <c r="J199" s="242">
        <f t="shared" si="40"/>
        <v>-9600</v>
      </c>
      <c r="K199" s="153"/>
      <c r="V199" s="25">
        <f t="shared" si="41"/>
        <v>0</v>
      </c>
      <c r="W199" s="25">
        <f t="shared" si="42"/>
        <v>1</v>
      </c>
    </row>
    <row r="200" spans="1:23" x14ac:dyDescent="0.3">
      <c r="A200" s="147"/>
      <c r="B200" s="205">
        <f t="shared" si="43"/>
        <v>17</v>
      </c>
      <c r="C200" s="206">
        <v>43158</v>
      </c>
      <c r="D200" s="161" t="s">
        <v>9</v>
      </c>
      <c r="E200" s="161" t="s">
        <v>2424</v>
      </c>
      <c r="F200" s="207">
        <v>450</v>
      </c>
      <c r="G200" s="207">
        <v>540</v>
      </c>
      <c r="H200" s="161">
        <v>90</v>
      </c>
      <c r="I200" s="207">
        <v>160</v>
      </c>
      <c r="J200" s="242">
        <f t="shared" si="40"/>
        <v>14400</v>
      </c>
      <c r="K200" s="153"/>
      <c r="V200" s="25">
        <f t="shared" si="41"/>
        <v>1</v>
      </c>
      <c r="W200" s="25">
        <f t="shared" si="42"/>
        <v>0</v>
      </c>
    </row>
    <row r="201" spans="1:23" x14ac:dyDescent="0.3">
      <c r="A201" s="147"/>
      <c r="B201" s="205">
        <f t="shared" si="43"/>
        <v>18</v>
      </c>
      <c r="C201" s="206">
        <v>43159</v>
      </c>
      <c r="D201" s="161" t="s">
        <v>9</v>
      </c>
      <c r="E201" s="161" t="s">
        <v>2463</v>
      </c>
      <c r="F201" s="207">
        <v>470</v>
      </c>
      <c r="G201" s="207">
        <v>500</v>
      </c>
      <c r="H201" s="161">
        <v>30</v>
      </c>
      <c r="I201" s="207">
        <v>160</v>
      </c>
      <c r="J201" s="242">
        <f t="shared" si="40"/>
        <v>4800</v>
      </c>
      <c r="K201" s="153"/>
      <c r="V201" s="25">
        <f t="shared" si="41"/>
        <v>1</v>
      </c>
      <c r="W201" s="25">
        <f t="shared" si="42"/>
        <v>0</v>
      </c>
    </row>
    <row r="202" spans="1:23" x14ac:dyDescent="0.3">
      <c r="A202" s="147"/>
      <c r="B202" s="205">
        <f t="shared" si="43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40"/>
        <v>0</v>
      </c>
      <c r="K202" s="153"/>
      <c r="V202" s="25">
        <f t="shared" si="41"/>
        <v>0</v>
      </c>
      <c r="W202" s="25">
        <f t="shared" si="42"/>
        <v>0</v>
      </c>
    </row>
    <row r="203" spans="1:23" x14ac:dyDescent="0.3">
      <c r="A203" s="147"/>
      <c r="B203" s="205">
        <f t="shared" si="43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40"/>
        <v>0</v>
      </c>
      <c r="K203" s="153"/>
      <c r="V203" s="25">
        <f t="shared" si="41"/>
        <v>0</v>
      </c>
      <c r="W203" s="25">
        <f t="shared" si="42"/>
        <v>0</v>
      </c>
    </row>
    <row r="204" spans="1:23" x14ac:dyDescent="0.3">
      <c r="A204" s="147"/>
      <c r="B204" s="205">
        <f t="shared" si="43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40"/>
        <v>0</v>
      </c>
      <c r="K204" s="153"/>
      <c r="V204" s="25">
        <f t="shared" si="41"/>
        <v>0</v>
      </c>
      <c r="W204" s="25">
        <f t="shared" si="42"/>
        <v>0</v>
      </c>
    </row>
    <row r="205" spans="1:23" x14ac:dyDescent="0.3">
      <c r="A205" s="147"/>
      <c r="B205" s="205">
        <f t="shared" si="43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40"/>
        <v>0</v>
      </c>
      <c r="K205" s="153"/>
      <c r="V205" s="25">
        <f t="shared" si="41"/>
        <v>0</v>
      </c>
      <c r="W205" s="25">
        <f t="shared" si="42"/>
        <v>0</v>
      </c>
    </row>
    <row r="206" spans="1:23" ht="15" thickBot="1" x14ac:dyDescent="0.35">
      <c r="A206" s="147"/>
      <c r="B206" s="208">
        <f t="shared" si="43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40"/>
        <v>0</v>
      </c>
      <c r="K206" s="153"/>
      <c r="V206" s="25">
        <f t="shared" si="41"/>
        <v>0</v>
      </c>
      <c r="W206" s="25">
        <f t="shared" si="42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138400</v>
      </c>
      <c r="K207" s="153"/>
      <c r="V207" s="25">
        <f>SUM(V184:V206)</f>
        <v>14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2453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43132</v>
      </c>
      <c r="D215" s="185" t="s">
        <v>9</v>
      </c>
      <c r="E215" s="185" t="s">
        <v>2340</v>
      </c>
      <c r="F215" s="219">
        <v>90</v>
      </c>
      <c r="G215" s="231">
        <v>106</v>
      </c>
      <c r="H215" s="231">
        <v>16</v>
      </c>
      <c r="I215" s="219">
        <v>250</v>
      </c>
      <c r="J215" s="246">
        <f t="shared" ref="J215:J237" si="44">I215*H215</f>
        <v>4000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43133</v>
      </c>
      <c r="D216" s="161" t="s">
        <v>9</v>
      </c>
      <c r="E216" s="161" t="s">
        <v>2340</v>
      </c>
      <c r="F216" s="222">
        <v>97</v>
      </c>
      <c r="G216" s="222">
        <v>137</v>
      </c>
      <c r="H216" s="255">
        <v>40</v>
      </c>
      <c r="I216" s="207">
        <v>250</v>
      </c>
      <c r="J216" s="242">
        <f>I216*H216</f>
        <v>10000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5">B216+1</f>
        <v>3</v>
      </c>
      <c r="C217" s="206">
        <v>43136</v>
      </c>
      <c r="D217" s="161" t="s">
        <v>9</v>
      </c>
      <c r="E217" s="161" t="s">
        <v>2458</v>
      </c>
      <c r="F217" s="222">
        <v>80</v>
      </c>
      <c r="G217" s="222">
        <v>70</v>
      </c>
      <c r="H217" s="222">
        <v>-10</v>
      </c>
      <c r="I217" s="207">
        <v>250</v>
      </c>
      <c r="J217" s="242">
        <f t="shared" si="44"/>
        <v>-2500</v>
      </c>
      <c r="K217" s="153"/>
      <c r="V217" s="25">
        <f t="shared" ref="V217:V237" si="46">IF($J217&gt;0,1,0)</f>
        <v>0</v>
      </c>
      <c r="W217" s="25">
        <f t="shared" ref="W217:W237" si="47">IF($J217&lt;0,1,0)</f>
        <v>1</v>
      </c>
    </row>
    <row r="218" spans="1:23" x14ac:dyDescent="0.3">
      <c r="A218" s="147"/>
      <c r="B218" s="205">
        <f t="shared" si="45"/>
        <v>4</v>
      </c>
      <c r="C218" s="206">
        <v>43137</v>
      </c>
      <c r="D218" s="161" t="s">
        <v>9</v>
      </c>
      <c r="E218" s="161" t="s">
        <v>2459</v>
      </c>
      <c r="F218" s="207">
        <v>82</v>
      </c>
      <c r="G218" s="222">
        <v>102</v>
      </c>
      <c r="H218" s="222">
        <v>20</v>
      </c>
      <c r="I218" s="207">
        <v>250</v>
      </c>
      <c r="J218" s="242">
        <f t="shared" si="44"/>
        <v>5000</v>
      </c>
      <c r="K218" s="153"/>
      <c r="V218" s="25">
        <f t="shared" si="46"/>
        <v>1</v>
      </c>
      <c r="W218" s="25">
        <f t="shared" si="47"/>
        <v>0</v>
      </c>
    </row>
    <row r="219" spans="1:23" x14ac:dyDescent="0.3">
      <c r="A219" s="147"/>
      <c r="B219" s="205">
        <f t="shared" si="45"/>
        <v>5</v>
      </c>
      <c r="C219" s="206">
        <v>43138</v>
      </c>
      <c r="D219" s="161" t="s">
        <v>9</v>
      </c>
      <c r="E219" s="161" t="s">
        <v>2460</v>
      </c>
      <c r="F219" s="222">
        <v>104</v>
      </c>
      <c r="G219" s="222">
        <v>99</v>
      </c>
      <c r="H219" s="222">
        <v>-5</v>
      </c>
      <c r="I219" s="207">
        <v>250</v>
      </c>
      <c r="J219" s="242">
        <f t="shared" si="44"/>
        <v>-1250</v>
      </c>
      <c r="K219" s="153"/>
      <c r="V219" s="25">
        <f t="shared" si="46"/>
        <v>0</v>
      </c>
      <c r="W219" s="25">
        <f t="shared" si="47"/>
        <v>1</v>
      </c>
    </row>
    <row r="220" spans="1:23" x14ac:dyDescent="0.3">
      <c r="A220" s="147"/>
      <c r="B220" s="205">
        <f t="shared" si="45"/>
        <v>6</v>
      </c>
      <c r="C220" s="206">
        <v>43139</v>
      </c>
      <c r="D220" s="161" t="s">
        <v>9</v>
      </c>
      <c r="E220" s="161" t="s">
        <v>2461</v>
      </c>
      <c r="F220" s="222">
        <v>12</v>
      </c>
      <c r="G220" s="222">
        <v>8</v>
      </c>
      <c r="H220" s="222">
        <v>-4</v>
      </c>
      <c r="I220" s="207">
        <v>1600</v>
      </c>
      <c r="J220" s="242">
        <f t="shared" si="44"/>
        <v>-6400</v>
      </c>
      <c r="K220" s="153"/>
      <c r="V220" s="25">
        <f t="shared" si="46"/>
        <v>0</v>
      </c>
      <c r="W220" s="25">
        <f t="shared" si="47"/>
        <v>1</v>
      </c>
    </row>
    <row r="221" spans="1:23" x14ac:dyDescent="0.3">
      <c r="A221" s="147"/>
      <c r="B221" s="205">
        <f t="shared" si="45"/>
        <v>7</v>
      </c>
      <c r="C221" s="206">
        <v>43140</v>
      </c>
      <c r="D221" s="161" t="s">
        <v>9</v>
      </c>
      <c r="E221" s="161" t="s">
        <v>2462</v>
      </c>
      <c r="F221" s="222">
        <v>7.8</v>
      </c>
      <c r="G221" s="222">
        <v>9.8000000000000007</v>
      </c>
      <c r="H221" s="222">
        <v>2</v>
      </c>
      <c r="I221" s="207">
        <v>2750</v>
      </c>
      <c r="J221" s="242">
        <f t="shared" si="44"/>
        <v>5500</v>
      </c>
      <c r="K221" s="153"/>
      <c r="V221" s="25">
        <f t="shared" si="46"/>
        <v>1</v>
      </c>
      <c r="W221" s="25">
        <f t="shared" si="47"/>
        <v>0</v>
      </c>
    </row>
    <row r="222" spans="1:23" x14ac:dyDescent="0.3">
      <c r="A222" s="147"/>
      <c r="B222" s="205">
        <f t="shared" si="45"/>
        <v>8</v>
      </c>
      <c r="C222" s="206">
        <v>43145</v>
      </c>
      <c r="D222" s="161" t="s">
        <v>9</v>
      </c>
      <c r="E222" s="161" t="s">
        <v>2461</v>
      </c>
      <c r="F222" s="222">
        <v>11</v>
      </c>
      <c r="G222" s="222">
        <v>16.5</v>
      </c>
      <c r="H222" s="222">
        <v>5.5</v>
      </c>
      <c r="I222" s="207">
        <v>1600</v>
      </c>
      <c r="J222" s="242">
        <f t="shared" si="44"/>
        <v>8800</v>
      </c>
      <c r="K222" s="153"/>
      <c r="V222" s="25">
        <f t="shared" si="46"/>
        <v>1</v>
      </c>
      <c r="W222" s="25">
        <f t="shared" si="47"/>
        <v>0</v>
      </c>
    </row>
    <row r="223" spans="1:23" x14ac:dyDescent="0.3">
      <c r="A223" s="147"/>
      <c r="B223" s="205">
        <f t="shared" si="45"/>
        <v>9</v>
      </c>
      <c r="C223" s="206">
        <v>43146</v>
      </c>
      <c r="D223" s="161" t="s">
        <v>9</v>
      </c>
      <c r="E223" s="161" t="s">
        <v>1882</v>
      </c>
      <c r="F223" s="222">
        <v>5.5</v>
      </c>
      <c r="G223" s="222">
        <v>7.5</v>
      </c>
      <c r="H223" s="255">
        <v>2</v>
      </c>
      <c r="I223" s="207">
        <v>3000</v>
      </c>
      <c r="J223" s="242">
        <f t="shared" si="44"/>
        <v>6000</v>
      </c>
      <c r="K223" s="153"/>
      <c r="V223" s="25">
        <f t="shared" si="46"/>
        <v>1</v>
      </c>
      <c r="W223" s="25">
        <f t="shared" si="47"/>
        <v>0</v>
      </c>
    </row>
    <row r="224" spans="1:23" x14ac:dyDescent="0.3">
      <c r="A224" s="147"/>
      <c r="B224" s="205">
        <f t="shared" si="45"/>
        <v>10</v>
      </c>
      <c r="C224" s="206">
        <v>43147</v>
      </c>
      <c r="D224" s="161" t="s">
        <v>9</v>
      </c>
      <c r="E224" s="161" t="s">
        <v>1882</v>
      </c>
      <c r="F224" s="222">
        <v>6.2</v>
      </c>
      <c r="G224" s="222">
        <v>10.199999999999999</v>
      </c>
      <c r="H224" s="255">
        <v>4</v>
      </c>
      <c r="I224" s="207">
        <v>3000</v>
      </c>
      <c r="J224" s="242">
        <f t="shared" si="44"/>
        <v>12000</v>
      </c>
      <c r="K224" s="153"/>
      <c r="V224" s="25">
        <f t="shared" si="46"/>
        <v>1</v>
      </c>
      <c r="W224" s="25">
        <f t="shared" si="47"/>
        <v>0</v>
      </c>
    </row>
    <row r="225" spans="1:23" x14ac:dyDescent="0.3">
      <c r="A225" s="147"/>
      <c r="B225" s="205">
        <f t="shared" si="45"/>
        <v>11</v>
      </c>
      <c r="C225" s="206">
        <v>43150</v>
      </c>
      <c r="D225" s="161" t="s">
        <v>9</v>
      </c>
      <c r="E225" s="161" t="s">
        <v>2007</v>
      </c>
      <c r="F225" s="222">
        <v>4.5</v>
      </c>
      <c r="G225" s="222">
        <v>8.5</v>
      </c>
      <c r="H225" s="255">
        <v>4</v>
      </c>
      <c r="I225" s="207">
        <v>3000</v>
      </c>
      <c r="J225" s="242">
        <f t="shared" si="44"/>
        <v>12000</v>
      </c>
      <c r="K225" s="153"/>
      <c r="V225" s="25">
        <f t="shared" si="46"/>
        <v>1</v>
      </c>
      <c r="W225" s="25">
        <f t="shared" si="47"/>
        <v>0</v>
      </c>
    </row>
    <row r="226" spans="1:23" x14ac:dyDescent="0.3">
      <c r="A226" s="147"/>
      <c r="B226" s="205">
        <f t="shared" si="45"/>
        <v>12</v>
      </c>
      <c r="C226" s="206">
        <v>43151</v>
      </c>
      <c r="D226" s="161" t="s">
        <v>9</v>
      </c>
      <c r="E226" s="161" t="s">
        <v>2007</v>
      </c>
      <c r="F226" s="207">
        <v>6</v>
      </c>
      <c r="G226" s="222">
        <v>4</v>
      </c>
      <c r="H226" s="255">
        <v>2</v>
      </c>
      <c r="I226" s="207">
        <v>3000</v>
      </c>
      <c r="J226" s="242">
        <f t="shared" si="44"/>
        <v>6000</v>
      </c>
      <c r="K226" s="153"/>
      <c r="V226" s="25">
        <f t="shared" si="46"/>
        <v>1</v>
      </c>
      <c r="W226" s="25">
        <f t="shared" si="47"/>
        <v>0</v>
      </c>
    </row>
    <row r="227" spans="1:23" x14ac:dyDescent="0.3">
      <c r="A227" s="147"/>
      <c r="B227" s="205">
        <f t="shared" si="45"/>
        <v>13</v>
      </c>
      <c r="C227" s="206">
        <v>43152</v>
      </c>
      <c r="D227" s="161" t="s">
        <v>9</v>
      </c>
      <c r="E227" s="161" t="s">
        <v>2007</v>
      </c>
      <c r="F227" s="222">
        <v>3.3</v>
      </c>
      <c r="G227" s="222">
        <v>4.8</v>
      </c>
      <c r="H227" s="255">
        <v>1.5</v>
      </c>
      <c r="I227" s="207">
        <v>3000</v>
      </c>
      <c r="J227" s="242">
        <f t="shared" si="44"/>
        <v>4500</v>
      </c>
      <c r="K227" s="153"/>
      <c r="V227" s="25">
        <f t="shared" si="46"/>
        <v>1</v>
      </c>
      <c r="W227" s="25">
        <f t="shared" si="47"/>
        <v>0</v>
      </c>
    </row>
    <row r="228" spans="1:23" x14ac:dyDescent="0.3">
      <c r="A228" s="147"/>
      <c r="B228" s="205">
        <f t="shared" si="45"/>
        <v>14</v>
      </c>
      <c r="C228" s="206">
        <v>43153</v>
      </c>
      <c r="D228" s="161" t="s">
        <v>9</v>
      </c>
      <c r="E228" s="161" t="s">
        <v>2340</v>
      </c>
      <c r="F228" s="222">
        <v>52</v>
      </c>
      <c r="G228" s="222">
        <v>92</v>
      </c>
      <c r="H228" s="255">
        <v>40</v>
      </c>
      <c r="I228" s="207">
        <v>250</v>
      </c>
      <c r="J228" s="242">
        <f>I228*H228</f>
        <v>10000</v>
      </c>
      <c r="K228" s="153"/>
      <c r="V228" s="25">
        <f t="shared" si="46"/>
        <v>1</v>
      </c>
      <c r="W228" s="25">
        <f t="shared" si="47"/>
        <v>0</v>
      </c>
    </row>
    <row r="229" spans="1:23" x14ac:dyDescent="0.3">
      <c r="A229" s="147"/>
      <c r="B229" s="205">
        <f t="shared" si="45"/>
        <v>15</v>
      </c>
      <c r="C229" s="206">
        <v>43154</v>
      </c>
      <c r="D229" s="161" t="s">
        <v>9</v>
      </c>
      <c r="E229" s="161" t="s">
        <v>2199</v>
      </c>
      <c r="F229" s="222">
        <v>8.1999999999999993</v>
      </c>
      <c r="G229" s="222">
        <v>9</v>
      </c>
      <c r="H229" s="255">
        <v>0.8</v>
      </c>
      <c r="I229" s="207">
        <v>2750</v>
      </c>
      <c r="J229" s="242">
        <f t="shared" si="44"/>
        <v>2200</v>
      </c>
      <c r="K229" s="153"/>
      <c r="V229" s="25">
        <f t="shared" si="46"/>
        <v>1</v>
      </c>
      <c r="W229" s="25">
        <f t="shared" si="47"/>
        <v>0</v>
      </c>
    </row>
    <row r="230" spans="1:23" x14ac:dyDescent="0.3">
      <c r="A230" s="147"/>
      <c r="B230" s="205">
        <f t="shared" si="45"/>
        <v>16</v>
      </c>
      <c r="C230" s="206">
        <v>43157</v>
      </c>
      <c r="D230" s="161" t="s">
        <v>9</v>
      </c>
      <c r="E230" s="161" t="s">
        <v>1882</v>
      </c>
      <c r="F230" s="222">
        <v>11</v>
      </c>
      <c r="G230" s="222">
        <v>11.7</v>
      </c>
      <c r="H230" s="222">
        <v>0.7</v>
      </c>
      <c r="I230" s="207">
        <v>3000</v>
      </c>
      <c r="J230" s="242">
        <f t="shared" si="44"/>
        <v>2100</v>
      </c>
      <c r="K230" s="153"/>
      <c r="V230" s="25">
        <f t="shared" si="46"/>
        <v>1</v>
      </c>
      <c r="W230" s="25">
        <f t="shared" si="47"/>
        <v>0</v>
      </c>
    </row>
    <row r="231" spans="1:23" x14ac:dyDescent="0.3">
      <c r="A231" s="147"/>
      <c r="B231" s="205">
        <f t="shared" si="45"/>
        <v>17</v>
      </c>
      <c r="C231" s="206">
        <v>43158</v>
      </c>
      <c r="D231" s="161" t="s">
        <v>9</v>
      </c>
      <c r="E231" s="161" t="s">
        <v>2343</v>
      </c>
      <c r="F231" s="222">
        <v>90</v>
      </c>
      <c r="G231" s="222">
        <v>108</v>
      </c>
      <c r="H231" s="222">
        <v>18</v>
      </c>
      <c r="I231" s="207">
        <v>250</v>
      </c>
      <c r="J231" s="242">
        <f t="shared" si="44"/>
        <v>4500</v>
      </c>
      <c r="K231" s="153"/>
      <c r="V231" s="25">
        <f t="shared" si="46"/>
        <v>1</v>
      </c>
      <c r="W231" s="25">
        <f t="shared" si="47"/>
        <v>0</v>
      </c>
    </row>
    <row r="232" spans="1:23" x14ac:dyDescent="0.3">
      <c r="A232" s="147"/>
      <c r="B232" s="205">
        <f t="shared" si="45"/>
        <v>18</v>
      </c>
      <c r="C232" s="206">
        <v>43159</v>
      </c>
      <c r="D232" s="161" t="s">
        <v>9</v>
      </c>
      <c r="E232" s="161" t="s">
        <v>2343</v>
      </c>
      <c r="F232" s="222">
        <v>110</v>
      </c>
      <c r="G232" s="222">
        <v>118</v>
      </c>
      <c r="H232" s="222">
        <v>8</v>
      </c>
      <c r="I232" s="207">
        <v>250</v>
      </c>
      <c r="J232" s="242">
        <f t="shared" si="44"/>
        <v>2000</v>
      </c>
      <c r="K232" s="153"/>
      <c r="V232" s="25">
        <f t="shared" si="46"/>
        <v>1</v>
      </c>
      <c r="W232" s="25">
        <f t="shared" si="47"/>
        <v>0</v>
      </c>
    </row>
    <row r="233" spans="1:23" x14ac:dyDescent="0.3">
      <c r="A233" s="147"/>
      <c r="B233" s="205">
        <f t="shared" si="45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44"/>
        <v>0</v>
      </c>
      <c r="K233" s="153"/>
      <c r="V233" s="25">
        <f t="shared" si="46"/>
        <v>0</v>
      </c>
      <c r="W233" s="25">
        <f t="shared" si="47"/>
        <v>0</v>
      </c>
    </row>
    <row r="234" spans="1:23" x14ac:dyDescent="0.3">
      <c r="A234" s="147"/>
      <c r="B234" s="205">
        <f t="shared" si="45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44"/>
        <v>0</v>
      </c>
      <c r="K234" s="153"/>
      <c r="V234" s="25">
        <f t="shared" si="46"/>
        <v>0</v>
      </c>
      <c r="W234" s="25">
        <f t="shared" si="47"/>
        <v>0</v>
      </c>
    </row>
    <row r="235" spans="1:23" x14ac:dyDescent="0.3">
      <c r="A235" s="147"/>
      <c r="B235" s="205">
        <f t="shared" si="45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44"/>
        <v>0</v>
      </c>
      <c r="K235" s="153"/>
      <c r="V235" s="25">
        <f t="shared" si="46"/>
        <v>0</v>
      </c>
      <c r="W235" s="25">
        <f t="shared" si="47"/>
        <v>0</v>
      </c>
    </row>
    <row r="236" spans="1:23" x14ac:dyDescent="0.3">
      <c r="A236" s="147"/>
      <c r="B236" s="205">
        <f t="shared" si="45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4"/>
        <v>0</v>
      </c>
      <c r="K236" s="153"/>
      <c r="V236" s="25">
        <f t="shared" si="46"/>
        <v>0</v>
      </c>
      <c r="W236" s="25">
        <f t="shared" si="47"/>
        <v>0</v>
      </c>
    </row>
    <row r="237" spans="1:23" ht="15" thickBot="1" x14ac:dyDescent="0.35">
      <c r="A237" s="147"/>
      <c r="B237" s="208">
        <f t="shared" si="45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4"/>
        <v>0</v>
      </c>
      <c r="K237" s="153"/>
      <c r="V237" s="25">
        <f t="shared" si="46"/>
        <v>0</v>
      </c>
      <c r="W237" s="25">
        <f t="shared" si="47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84450</v>
      </c>
      <c r="K238" s="153"/>
      <c r="V238" s="25">
        <f>SUM(V215:V237)</f>
        <v>15</v>
      </c>
      <c r="W238" s="25">
        <f>SUM(W215:W237)</f>
        <v>3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A00-000000000000}"/>
    <hyperlink ref="B83" r:id="rId2" xr:uid="{00000000-0004-0000-3A00-000001000000}"/>
    <hyperlink ref="B114" r:id="rId3" xr:uid="{00000000-0004-0000-3A00-000002000000}"/>
    <hyperlink ref="M8:M9" location="'FEB-2018'!A108" display="NIFTY FUTURE" xr:uid="{00000000-0004-0000-3A00-000003000000}"/>
    <hyperlink ref="B145" r:id="rId4" xr:uid="{00000000-0004-0000-3A00-000004000000}"/>
    <hyperlink ref="B176" r:id="rId5" xr:uid="{00000000-0004-0000-3A00-000005000000}"/>
    <hyperlink ref="M12:M13" location="'FEB-2018'!A170" display="BANK NIFTY" xr:uid="{00000000-0004-0000-3A00-000006000000}"/>
    <hyperlink ref="B207" r:id="rId6" xr:uid="{00000000-0004-0000-3A00-000007000000}"/>
    <hyperlink ref="M14:M15" location="'FEB-2018'!A201" display="B.NIFTY OPTION" xr:uid="{00000000-0004-0000-3A00-000008000000}"/>
    <hyperlink ref="B238" r:id="rId7" xr:uid="{00000000-0004-0000-3A00-000009000000}"/>
    <hyperlink ref="M16:M17" location="'FEB-2018'!A232" display="STOCK OPTION" xr:uid="{00000000-0004-0000-3A00-00000A000000}"/>
    <hyperlink ref="M6:M7" location="'FEB-2018'!A77" display="STOCK FUTURE" xr:uid="{00000000-0004-0000-3A00-00000B000000}"/>
    <hyperlink ref="M1" location="'MASTER '!A1" display="Back" xr:uid="{00000000-0004-0000-3A00-00000C000000}"/>
    <hyperlink ref="M4:M5" location="'FEB-2018'!A1" display="CASH" xr:uid="{00000000-0004-0000-3A00-00000D000000}"/>
    <hyperlink ref="M10:M11" location="'FEB-2018'!A139" display="NF. OPTION" xr:uid="{00000000-0004-0000-3A00-00000E000000}"/>
  </hyperlinks>
  <pageMargins left="0" right="0" top="0" bottom="0" header="0" footer="0"/>
  <pageSetup scale="95" orientation="portrait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155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1">
        <v>41519</v>
      </c>
      <c r="C6" s="4" t="s">
        <v>8</v>
      </c>
      <c r="D6" s="7" t="s">
        <v>84</v>
      </c>
      <c r="E6" s="4">
        <v>1270</v>
      </c>
      <c r="F6" s="4">
        <v>1280</v>
      </c>
      <c r="G6" s="24">
        <v>236</v>
      </c>
      <c r="H6" s="28">
        <v>-2360</v>
      </c>
      <c r="K6" s="16"/>
    </row>
    <row r="7" spans="1:11" x14ac:dyDescent="0.3">
      <c r="B7" s="1">
        <v>41520</v>
      </c>
      <c r="C7" s="4" t="s">
        <v>8</v>
      </c>
      <c r="D7" s="7" t="s">
        <v>129</v>
      </c>
      <c r="E7" s="4">
        <v>710</v>
      </c>
      <c r="F7" s="4">
        <v>700</v>
      </c>
      <c r="G7" s="24">
        <v>422</v>
      </c>
      <c r="H7" s="28">
        <v>4220</v>
      </c>
      <c r="K7" s="16"/>
    </row>
    <row r="8" spans="1:11" x14ac:dyDescent="0.3">
      <c r="B8" s="1">
        <v>41521</v>
      </c>
      <c r="C8" s="4" t="s">
        <v>8</v>
      </c>
      <c r="D8" s="7" t="s">
        <v>159</v>
      </c>
      <c r="E8" s="4">
        <v>128</v>
      </c>
      <c r="F8" s="4">
        <v>128</v>
      </c>
      <c r="G8" s="24">
        <v>0</v>
      </c>
      <c r="H8" s="28">
        <v>0</v>
      </c>
      <c r="K8" s="16"/>
    </row>
    <row r="9" spans="1:11" x14ac:dyDescent="0.3">
      <c r="B9" s="1">
        <v>41522</v>
      </c>
      <c r="C9" s="4" t="s">
        <v>8</v>
      </c>
      <c r="D9" s="7" t="s">
        <v>28</v>
      </c>
      <c r="E9" s="4">
        <v>428</v>
      </c>
      <c r="F9" s="4">
        <v>432</v>
      </c>
      <c r="G9" s="24">
        <v>700</v>
      </c>
      <c r="H9" s="28">
        <v>-2800</v>
      </c>
      <c r="K9" s="16"/>
    </row>
    <row r="10" spans="1:11" x14ac:dyDescent="0.3">
      <c r="B10" s="1">
        <v>41523</v>
      </c>
      <c r="C10" s="4" t="s">
        <v>8</v>
      </c>
      <c r="D10" s="7" t="s">
        <v>109</v>
      </c>
      <c r="E10" s="4">
        <v>754</v>
      </c>
      <c r="F10" s="4">
        <v>748</v>
      </c>
      <c r="G10" s="24">
        <v>397</v>
      </c>
      <c r="H10" s="28">
        <v>2382</v>
      </c>
      <c r="K10" s="16"/>
    </row>
    <row r="11" spans="1:11" x14ac:dyDescent="0.3">
      <c r="B11" s="1">
        <v>41527</v>
      </c>
      <c r="C11" s="30" t="s">
        <v>8</v>
      </c>
      <c r="D11" s="4" t="s">
        <v>16</v>
      </c>
      <c r="E11" s="4">
        <v>231</v>
      </c>
      <c r="F11" s="4">
        <v>235</v>
      </c>
      <c r="G11" s="24">
        <v>1298</v>
      </c>
      <c r="H11" s="28">
        <v>-5192</v>
      </c>
      <c r="K11" s="16"/>
    </row>
    <row r="12" spans="1:11" x14ac:dyDescent="0.3">
      <c r="B12" s="1">
        <v>41528</v>
      </c>
      <c r="C12" s="4" t="s">
        <v>8</v>
      </c>
      <c r="D12" s="7" t="s">
        <v>132</v>
      </c>
      <c r="E12" s="4">
        <v>395</v>
      </c>
      <c r="F12" s="4">
        <v>391</v>
      </c>
      <c r="G12" s="24">
        <v>759</v>
      </c>
      <c r="H12" s="28">
        <v>3036</v>
      </c>
      <c r="K12" s="16"/>
    </row>
    <row r="13" spans="1:11" x14ac:dyDescent="0.3">
      <c r="B13" s="1">
        <v>41529</v>
      </c>
      <c r="C13" s="4" t="s">
        <v>8</v>
      </c>
      <c r="D13" s="7" t="s">
        <v>122</v>
      </c>
      <c r="E13" s="4">
        <v>922</v>
      </c>
      <c r="F13" s="4">
        <v>916</v>
      </c>
      <c r="G13" s="24">
        <v>325</v>
      </c>
      <c r="H13" s="28">
        <v>1950</v>
      </c>
      <c r="K13" s="16"/>
    </row>
    <row r="14" spans="1:11" x14ac:dyDescent="0.3">
      <c r="B14" s="1">
        <v>41530</v>
      </c>
      <c r="C14" s="4" t="s">
        <v>8</v>
      </c>
      <c r="D14" s="7" t="s">
        <v>29</v>
      </c>
      <c r="E14" s="4">
        <v>1055</v>
      </c>
      <c r="F14" s="4">
        <v>1045</v>
      </c>
      <c r="G14" s="24">
        <v>284</v>
      </c>
      <c r="H14" s="28">
        <v>2840</v>
      </c>
      <c r="K14" s="16"/>
    </row>
    <row r="15" spans="1:11" x14ac:dyDescent="0.3">
      <c r="B15" s="1">
        <v>41533</v>
      </c>
      <c r="C15" s="3" t="s">
        <v>11</v>
      </c>
      <c r="D15" s="2" t="s">
        <v>168</v>
      </c>
      <c r="E15" s="4">
        <v>638</v>
      </c>
      <c r="F15" s="4">
        <v>632</v>
      </c>
      <c r="G15" s="28">
        <v>470</v>
      </c>
      <c r="H15" s="28">
        <v>-2820</v>
      </c>
      <c r="K15" s="16"/>
    </row>
    <row r="16" spans="1:11" x14ac:dyDescent="0.3">
      <c r="B16" s="1">
        <v>41534</v>
      </c>
      <c r="C16" s="4" t="s">
        <v>8</v>
      </c>
      <c r="D16" s="7" t="s">
        <v>48</v>
      </c>
      <c r="E16" s="4">
        <v>517</v>
      </c>
      <c r="F16" s="4">
        <v>515</v>
      </c>
      <c r="G16" s="4">
        <v>580</v>
      </c>
      <c r="H16" s="28">
        <v>1160</v>
      </c>
      <c r="K16" s="16"/>
    </row>
    <row r="17" spans="2:11" x14ac:dyDescent="0.3">
      <c r="B17" s="1">
        <v>41536</v>
      </c>
      <c r="C17" s="4" t="s">
        <v>170</v>
      </c>
      <c r="D17" s="7" t="s">
        <v>30</v>
      </c>
      <c r="E17" s="4">
        <v>327</v>
      </c>
      <c r="F17" s="7">
        <v>331</v>
      </c>
      <c r="G17" s="4">
        <v>917</v>
      </c>
      <c r="H17" s="28">
        <v>3668</v>
      </c>
      <c r="K17" s="16"/>
    </row>
    <row r="18" spans="2:11" x14ac:dyDescent="0.3">
      <c r="B18" s="1">
        <v>41537</v>
      </c>
      <c r="C18" s="4" t="s">
        <v>9</v>
      </c>
      <c r="D18" s="7" t="s">
        <v>112</v>
      </c>
      <c r="E18" s="7">
        <v>232</v>
      </c>
      <c r="F18" s="7">
        <v>230.2</v>
      </c>
      <c r="G18" s="4">
        <v>1293</v>
      </c>
      <c r="H18" s="28">
        <v>-2327</v>
      </c>
      <c r="K18" s="16"/>
    </row>
    <row r="19" spans="2:11" x14ac:dyDescent="0.3">
      <c r="B19" s="1">
        <v>41540</v>
      </c>
      <c r="C19" s="4" t="s">
        <v>8</v>
      </c>
      <c r="D19" s="7" t="s">
        <v>109</v>
      </c>
      <c r="E19" s="7">
        <v>860</v>
      </c>
      <c r="F19" s="7">
        <v>854</v>
      </c>
      <c r="G19" s="4">
        <v>348</v>
      </c>
      <c r="H19" s="28">
        <v>2088</v>
      </c>
      <c r="K19" s="16"/>
    </row>
    <row r="20" spans="2:11" x14ac:dyDescent="0.3">
      <c r="B20" s="1">
        <v>41541</v>
      </c>
      <c r="C20" s="4" t="s">
        <v>9</v>
      </c>
      <c r="D20" s="7" t="s">
        <v>173</v>
      </c>
      <c r="E20" s="4">
        <v>497</v>
      </c>
      <c r="F20" s="4">
        <v>504</v>
      </c>
      <c r="G20" s="4">
        <v>603</v>
      </c>
      <c r="H20" s="28">
        <v>4221</v>
      </c>
      <c r="K20" s="16"/>
    </row>
    <row r="21" spans="2:11" x14ac:dyDescent="0.3">
      <c r="B21" s="1">
        <v>41542</v>
      </c>
      <c r="C21" s="4" t="s">
        <v>9</v>
      </c>
      <c r="D21" s="7" t="s">
        <v>160</v>
      </c>
      <c r="E21" s="4">
        <v>437</v>
      </c>
      <c r="F21" s="4">
        <v>439</v>
      </c>
      <c r="G21" s="4">
        <v>686</v>
      </c>
      <c r="H21" s="28">
        <v>1372</v>
      </c>
      <c r="K21" s="16"/>
    </row>
    <row r="22" spans="2:11" x14ac:dyDescent="0.3">
      <c r="B22" s="1">
        <v>41543</v>
      </c>
      <c r="C22" s="4" t="s">
        <v>8</v>
      </c>
      <c r="D22" s="7" t="s">
        <v>175</v>
      </c>
      <c r="E22" s="7">
        <v>191</v>
      </c>
      <c r="F22" s="7">
        <v>192</v>
      </c>
      <c r="G22" s="4">
        <v>1570</v>
      </c>
      <c r="H22" s="28">
        <v>-1570</v>
      </c>
      <c r="K22" s="16"/>
    </row>
    <row r="23" spans="2:11" x14ac:dyDescent="0.3">
      <c r="B23" s="1">
        <v>41544</v>
      </c>
      <c r="C23" s="4" t="s">
        <v>9</v>
      </c>
      <c r="D23" s="7" t="s">
        <v>98</v>
      </c>
      <c r="E23" s="7">
        <v>2050</v>
      </c>
      <c r="F23" s="7">
        <v>2065</v>
      </c>
      <c r="G23" s="4">
        <v>146</v>
      </c>
      <c r="H23" s="28">
        <v>2190</v>
      </c>
      <c r="K23" s="16"/>
    </row>
    <row r="24" spans="2:11" x14ac:dyDescent="0.3">
      <c r="B24" s="1">
        <v>41547</v>
      </c>
      <c r="C24" s="28" t="s">
        <v>8</v>
      </c>
      <c r="D24" s="28" t="s">
        <v>78</v>
      </c>
      <c r="E24" s="28">
        <v>801</v>
      </c>
      <c r="F24" s="28">
        <v>786</v>
      </c>
      <c r="G24" s="28">
        <v>374</v>
      </c>
      <c r="H24" s="28">
        <v>5610</v>
      </c>
      <c r="K24" s="16"/>
    </row>
    <row r="25" spans="2:11" x14ac:dyDescent="0.3">
      <c r="G25" s="16"/>
      <c r="H25" s="29">
        <v>17668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x14ac:dyDescent="0.3">
      <c r="C27" s="28"/>
      <c r="D27" s="28"/>
      <c r="E27" s="28"/>
      <c r="F27" s="28"/>
      <c r="G27" s="28"/>
      <c r="H27" s="28"/>
    </row>
    <row r="28" spans="2:11" x14ac:dyDescent="0.3">
      <c r="C28" s="28"/>
      <c r="D28" s="28"/>
      <c r="E28" s="28"/>
      <c r="F28" s="28"/>
      <c r="G28" s="28"/>
      <c r="H28" s="28"/>
    </row>
    <row r="29" spans="2:11" ht="15.6" x14ac:dyDescent="0.3">
      <c r="C29" s="28"/>
      <c r="D29" s="28"/>
      <c r="E29" s="28"/>
      <c r="F29" s="28"/>
      <c r="G29" s="28"/>
      <c r="H29" s="34"/>
    </row>
    <row r="30" spans="2:11" x14ac:dyDescent="0.3">
      <c r="B30" s="1"/>
    </row>
    <row r="31" spans="2:11" ht="15.6" x14ac:dyDescent="0.3">
      <c r="B31" s="48" t="s">
        <v>62</v>
      </c>
      <c r="C31" s="48"/>
      <c r="D31" s="48"/>
      <c r="E31" s="48"/>
      <c r="F31" s="48"/>
      <c r="G31" s="48"/>
      <c r="H31" s="48"/>
    </row>
    <row r="32" spans="2:11" x14ac:dyDescent="0.3">
      <c r="B32" s="1">
        <v>41519</v>
      </c>
      <c r="C32" s="4" t="s">
        <v>8</v>
      </c>
      <c r="D32" s="7" t="s">
        <v>146</v>
      </c>
      <c r="E32" s="4">
        <v>128</v>
      </c>
      <c r="F32" s="4">
        <v>129.80000000000001</v>
      </c>
      <c r="G32" s="24">
        <v>2000</v>
      </c>
      <c r="H32" s="28">
        <v>-3600</v>
      </c>
    </row>
    <row r="33" spans="2:8" x14ac:dyDescent="0.3">
      <c r="B33" s="1">
        <v>41520</v>
      </c>
      <c r="C33" s="4" t="s">
        <v>8</v>
      </c>
      <c r="D33" s="7" t="s">
        <v>157</v>
      </c>
      <c r="E33" s="4">
        <v>240</v>
      </c>
      <c r="F33" s="4">
        <v>244</v>
      </c>
      <c r="G33" s="24">
        <v>1000</v>
      </c>
      <c r="H33" s="28">
        <v>-4000</v>
      </c>
    </row>
    <row r="34" spans="2:8" x14ac:dyDescent="0.3">
      <c r="B34" s="1">
        <v>41521</v>
      </c>
      <c r="C34" s="4" t="s">
        <v>9</v>
      </c>
      <c r="D34" s="7" t="s">
        <v>160</v>
      </c>
      <c r="E34" s="4">
        <v>419</v>
      </c>
      <c r="F34" s="4">
        <v>416</v>
      </c>
      <c r="G34" s="24">
        <v>1000</v>
      </c>
      <c r="H34" s="28">
        <v>-3000</v>
      </c>
    </row>
    <row r="35" spans="2:8" x14ac:dyDescent="0.3">
      <c r="B35" s="1">
        <v>41522</v>
      </c>
      <c r="C35" s="4" t="s">
        <v>8</v>
      </c>
      <c r="D35" s="7" t="s">
        <v>107</v>
      </c>
      <c r="E35" s="4">
        <v>1915</v>
      </c>
      <c r="F35" s="4">
        <v>1917</v>
      </c>
      <c r="G35" s="24">
        <v>125</v>
      </c>
      <c r="H35" s="28">
        <v>-250</v>
      </c>
    </row>
    <row r="36" spans="2:8" x14ac:dyDescent="0.3">
      <c r="B36" s="1">
        <v>41523</v>
      </c>
      <c r="C36" s="4" t="s">
        <v>8</v>
      </c>
      <c r="D36" s="7" t="s">
        <v>16</v>
      </c>
      <c r="E36" s="4">
        <v>228</v>
      </c>
      <c r="F36" s="4">
        <v>228.5</v>
      </c>
      <c r="G36" s="24">
        <v>1000</v>
      </c>
      <c r="H36" s="28">
        <v>-500</v>
      </c>
    </row>
    <row r="37" spans="2:8" x14ac:dyDescent="0.3">
      <c r="B37" s="1">
        <v>41527</v>
      </c>
      <c r="C37" s="4" t="s">
        <v>8</v>
      </c>
      <c r="D37" s="7" t="s">
        <v>163</v>
      </c>
      <c r="E37" s="4">
        <v>118</v>
      </c>
      <c r="F37" s="4">
        <v>118</v>
      </c>
      <c r="G37" s="24">
        <v>2000</v>
      </c>
      <c r="H37" s="28">
        <v>0</v>
      </c>
    </row>
    <row r="38" spans="2:8" x14ac:dyDescent="0.3">
      <c r="B38" s="1">
        <v>41528</v>
      </c>
      <c r="C38" s="4" t="s">
        <v>8</v>
      </c>
      <c r="D38" s="7" t="s">
        <v>46</v>
      </c>
      <c r="E38" s="4">
        <v>288</v>
      </c>
      <c r="F38" s="4">
        <v>285</v>
      </c>
      <c r="G38" s="24">
        <v>1000</v>
      </c>
      <c r="H38" s="28">
        <v>3000</v>
      </c>
    </row>
    <row r="39" spans="2:8" x14ac:dyDescent="0.3">
      <c r="B39" s="1">
        <v>41530</v>
      </c>
      <c r="C39" s="4" t="s">
        <v>9</v>
      </c>
      <c r="D39" s="7" t="s">
        <v>122</v>
      </c>
      <c r="E39" s="4">
        <v>825</v>
      </c>
      <c r="F39" s="4">
        <v>825</v>
      </c>
      <c r="G39" s="28">
        <v>500</v>
      </c>
      <c r="H39" s="28">
        <v>0</v>
      </c>
    </row>
    <row r="40" spans="2:8" x14ac:dyDescent="0.3">
      <c r="B40" s="1">
        <v>41533</v>
      </c>
      <c r="C40" s="28" t="s">
        <v>8</v>
      </c>
      <c r="D40" s="28" t="s">
        <v>25</v>
      </c>
      <c r="E40" s="28">
        <v>306</v>
      </c>
      <c r="F40" s="28">
        <v>300</v>
      </c>
      <c r="G40" s="28">
        <v>1000</v>
      </c>
      <c r="H40" s="28">
        <v>6000</v>
      </c>
    </row>
    <row r="41" spans="2:8" x14ac:dyDescent="0.3">
      <c r="B41" s="1">
        <v>41534</v>
      </c>
      <c r="C41" s="4" t="s">
        <v>9</v>
      </c>
      <c r="D41" s="7" t="s">
        <v>85</v>
      </c>
      <c r="E41" s="4">
        <v>340</v>
      </c>
      <c r="F41" s="4">
        <v>340.2</v>
      </c>
      <c r="G41" s="28">
        <v>1000</v>
      </c>
      <c r="H41" s="28">
        <v>200</v>
      </c>
    </row>
    <row r="42" spans="2:8" x14ac:dyDescent="0.3">
      <c r="B42" s="1">
        <v>41536</v>
      </c>
      <c r="C42" s="4" t="s">
        <v>9</v>
      </c>
      <c r="D42" s="7" t="s">
        <v>48</v>
      </c>
      <c r="E42" s="4">
        <v>581</v>
      </c>
      <c r="F42" s="4">
        <v>585</v>
      </c>
      <c r="G42" s="28">
        <v>500</v>
      </c>
      <c r="H42" s="28">
        <v>2000</v>
      </c>
    </row>
    <row r="43" spans="2:8" x14ac:dyDescent="0.3">
      <c r="B43" s="1">
        <v>41537</v>
      </c>
      <c r="C43" s="4" t="s">
        <v>8</v>
      </c>
      <c r="D43" s="7" t="s">
        <v>26</v>
      </c>
      <c r="E43" s="4">
        <v>155</v>
      </c>
      <c r="F43" s="4">
        <v>151</v>
      </c>
      <c r="G43" s="28">
        <v>1000</v>
      </c>
      <c r="H43" s="28">
        <v>4000</v>
      </c>
    </row>
    <row r="44" spans="2:8" x14ac:dyDescent="0.3">
      <c r="B44" s="1">
        <v>41540</v>
      </c>
      <c r="C44" s="4" t="s">
        <v>8</v>
      </c>
      <c r="D44" s="7" t="s">
        <v>26</v>
      </c>
      <c r="E44" s="4">
        <v>146</v>
      </c>
      <c r="F44" s="4">
        <v>142</v>
      </c>
      <c r="G44" s="28">
        <v>1000</v>
      </c>
      <c r="H44" s="28">
        <v>4000</v>
      </c>
    </row>
    <row r="45" spans="2:8" x14ac:dyDescent="0.3">
      <c r="B45" s="1">
        <v>41541</v>
      </c>
      <c r="C45" s="4" t="s">
        <v>9</v>
      </c>
      <c r="D45" s="7" t="s">
        <v>126</v>
      </c>
      <c r="E45" s="7">
        <v>1980</v>
      </c>
      <c r="F45" s="7">
        <v>1965</v>
      </c>
      <c r="G45" s="28">
        <v>250</v>
      </c>
      <c r="H45" s="28">
        <v>-3000</v>
      </c>
    </row>
    <row r="46" spans="2:8" x14ac:dyDescent="0.3">
      <c r="B46" s="1">
        <v>41542</v>
      </c>
      <c r="C46" s="4" t="s">
        <v>8</v>
      </c>
      <c r="D46" s="7" t="s">
        <v>94</v>
      </c>
      <c r="E46" s="7">
        <v>628</v>
      </c>
      <c r="F46" s="7">
        <v>617</v>
      </c>
      <c r="G46" s="28">
        <v>500</v>
      </c>
      <c r="H46" s="28">
        <v>5500</v>
      </c>
    </row>
    <row r="47" spans="2:8" x14ac:dyDescent="0.3">
      <c r="B47" s="1">
        <v>41543</v>
      </c>
      <c r="C47" s="4" t="s">
        <v>8</v>
      </c>
      <c r="D47" s="7" t="s">
        <v>25</v>
      </c>
      <c r="E47" s="4">
        <v>300</v>
      </c>
      <c r="F47" s="7">
        <v>295.5</v>
      </c>
      <c r="G47" s="28">
        <v>1000</v>
      </c>
      <c r="H47" s="28">
        <v>4500</v>
      </c>
    </row>
    <row r="48" spans="2:8" x14ac:dyDescent="0.3">
      <c r="B48" s="1">
        <v>41547</v>
      </c>
      <c r="C48" s="4" t="s">
        <v>8</v>
      </c>
      <c r="D48" s="7" t="s">
        <v>105</v>
      </c>
      <c r="E48" s="7">
        <v>189</v>
      </c>
      <c r="F48" s="7">
        <v>190</v>
      </c>
      <c r="G48" s="28">
        <v>1000</v>
      </c>
      <c r="H48" s="28">
        <v>-1000</v>
      </c>
    </row>
    <row r="49" spans="2:8" x14ac:dyDescent="0.3">
      <c r="B49" s="1"/>
      <c r="H49" s="29">
        <v>13850</v>
      </c>
    </row>
    <row r="50" spans="2:8" ht="15.6" x14ac:dyDescent="0.3">
      <c r="B50" s="1"/>
      <c r="C50" s="4"/>
      <c r="D50" s="4"/>
      <c r="E50" s="4"/>
      <c r="F50" s="4"/>
      <c r="G50" s="28"/>
      <c r="H50" s="36"/>
    </row>
    <row r="51" spans="2:8" x14ac:dyDescent="0.3">
      <c r="B51" s="1"/>
      <c r="C51" s="4"/>
      <c r="D51" s="4"/>
      <c r="E51" s="4"/>
      <c r="F51" s="4"/>
      <c r="G51" s="28"/>
      <c r="H51" s="28"/>
    </row>
    <row r="52" spans="2:8" x14ac:dyDescent="0.3">
      <c r="B52" s="1"/>
      <c r="C52" s="28"/>
      <c r="D52" s="28"/>
      <c r="E52" s="28"/>
      <c r="F52" s="28"/>
      <c r="G52" s="28"/>
      <c r="H52" s="28"/>
    </row>
    <row r="53" spans="2:8" ht="15.6" x14ac:dyDescent="0.3">
      <c r="B53" s="1"/>
      <c r="C53" s="28"/>
      <c r="D53" s="28"/>
      <c r="E53" s="28"/>
      <c r="F53" s="28"/>
      <c r="G53" s="28"/>
      <c r="H53" s="34"/>
    </row>
    <row r="54" spans="2:8" x14ac:dyDescent="0.3">
      <c r="B54" s="1"/>
    </row>
    <row r="55" spans="2:8" ht="15.6" x14ac:dyDescent="0.3">
      <c r="B55" s="48" t="s">
        <v>63</v>
      </c>
      <c r="C55" s="48"/>
      <c r="D55" s="48"/>
      <c r="E55" s="48"/>
      <c r="F55" s="48"/>
      <c r="G55" s="48"/>
      <c r="H55" s="48"/>
    </row>
    <row r="56" spans="2:8" x14ac:dyDescent="0.3">
      <c r="B56" s="1">
        <v>41519</v>
      </c>
      <c r="C56" s="3" t="s">
        <v>9</v>
      </c>
      <c r="D56" s="2" t="s">
        <v>39</v>
      </c>
      <c r="E56" s="4">
        <v>5520</v>
      </c>
      <c r="F56" s="4">
        <v>5555</v>
      </c>
      <c r="G56" s="7">
        <v>100</v>
      </c>
      <c r="H56" s="4">
        <v>3500</v>
      </c>
    </row>
    <row r="57" spans="2:8" x14ac:dyDescent="0.3">
      <c r="B57" s="1">
        <v>41520</v>
      </c>
      <c r="C57" s="3" t="s">
        <v>8</v>
      </c>
      <c r="D57" s="2" t="s">
        <v>39</v>
      </c>
      <c r="E57" s="4">
        <v>5505</v>
      </c>
      <c r="F57" s="4">
        <v>5470</v>
      </c>
      <c r="G57" s="7">
        <v>100</v>
      </c>
      <c r="H57" s="4">
        <v>3500</v>
      </c>
    </row>
    <row r="58" spans="2:8" x14ac:dyDescent="0.3">
      <c r="B58" s="1">
        <v>41521</v>
      </c>
      <c r="C58" s="28" t="s">
        <v>9</v>
      </c>
      <c r="D58" s="28" t="s">
        <v>39</v>
      </c>
      <c r="E58" s="28">
        <v>5455</v>
      </c>
      <c r="F58" s="28">
        <v>5465</v>
      </c>
      <c r="G58" s="28">
        <v>100</v>
      </c>
      <c r="H58" s="28">
        <v>1000</v>
      </c>
    </row>
    <row r="59" spans="2:8" x14ac:dyDescent="0.3">
      <c r="B59" s="1">
        <v>41522</v>
      </c>
      <c r="C59" s="3" t="s">
        <v>8</v>
      </c>
      <c r="D59" s="2" t="s">
        <v>39</v>
      </c>
      <c r="E59" s="4">
        <v>5600</v>
      </c>
      <c r="F59" s="4">
        <v>5570</v>
      </c>
      <c r="G59" s="7">
        <v>100</v>
      </c>
      <c r="H59" s="4">
        <v>3000</v>
      </c>
    </row>
    <row r="60" spans="2:8" x14ac:dyDescent="0.3">
      <c r="B60" s="1">
        <v>41527</v>
      </c>
      <c r="C60" s="3" t="s">
        <v>9</v>
      </c>
      <c r="D60" s="2" t="s">
        <v>39</v>
      </c>
      <c r="E60" s="4">
        <v>5830</v>
      </c>
      <c r="F60" s="4">
        <v>5860</v>
      </c>
      <c r="G60" s="7">
        <v>100</v>
      </c>
      <c r="H60" s="4">
        <v>3000</v>
      </c>
    </row>
    <row r="61" spans="2:8" x14ac:dyDescent="0.3">
      <c r="B61" s="1">
        <v>41528</v>
      </c>
      <c r="C61" s="3" t="s">
        <v>9</v>
      </c>
      <c r="D61" s="2" t="s">
        <v>39</v>
      </c>
      <c r="E61" s="4">
        <v>5900</v>
      </c>
      <c r="F61" s="4">
        <v>5935</v>
      </c>
      <c r="G61" s="7">
        <v>100</v>
      </c>
      <c r="H61" s="4">
        <v>3500</v>
      </c>
    </row>
    <row r="62" spans="2:8" x14ac:dyDescent="0.3">
      <c r="B62" s="1">
        <v>41529</v>
      </c>
      <c r="C62" s="28" t="s">
        <v>8</v>
      </c>
      <c r="D62" s="28" t="s">
        <v>39</v>
      </c>
      <c r="E62" s="28">
        <v>5910</v>
      </c>
      <c r="F62" s="28">
        <v>5890</v>
      </c>
      <c r="G62" s="28">
        <v>100</v>
      </c>
      <c r="H62" s="28">
        <v>2000</v>
      </c>
    </row>
    <row r="63" spans="2:8" x14ac:dyDescent="0.3">
      <c r="B63" s="1">
        <v>41530</v>
      </c>
      <c r="C63" s="3" t="s">
        <v>9</v>
      </c>
      <c r="D63" s="2" t="s">
        <v>39</v>
      </c>
      <c r="E63" s="4">
        <v>5890</v>
      </c>
      <c r="F63" s="4">
        <v>5900</v>
      </c>
      <c r="G63" s="7">
        <v>100</v>
      </c>
      <c r="H63" s="4">
        <v>2000</v>
      </c>
    </row>
    <row r="64" spans="2:8" x14ac:dyDescent="0.3">
      <c r="B64" s="1">
        <v>41533</v>
      </c>
      <c r="C64" s="3" t="s">
        <v>8</v>
      </c>
      <c r="D64" s="2" t="s">
        <v>39</v>
      </c>
      <c r="E64" s="4">
        <v>5940</v>
      </c>
      <c r="F64" s="4">
        <v>5905</v>
      </c>
      <c r="G64" s="7">
        <v>100</v>
      </c>
      <c r="H64" s="4">
        <v>3500</v>
      </c>
    </row>
    <row r="65" spans="2:8" x14ac:dyDescent="0.3">
      <c r="B65" s="1">
        <v>41534</v>
      </c>
      <c r="C65" s="3" t="s">
        <v>9</v>
      </c>
      <c r="D65" s="2" t="s">
        <v>39</v>
      </c>
      <c r="E65" s="4">
        <v>5860</v>
      </c>
      <c r="F65" s="4">
        <v>5880</v>
      </c>
      <c r="G65" s="7">
        <v>100</v>
      </c>
      <c r="H65" s="4">
        <v>2000</v>
      </c>
    </row>
    <row r="66" spans="2:8" x14ac:dyDescent="0.3">
      <c r="B66" s="1">
        <v>41536</v>
      </c>
      <c r="C66" s="3" t="s">
        <v>9</v>
      </c>
      <c r="D66" s="2" t="s">
        <v>39</v>
      </c>
      <c r="E66" s="4">
        <v>6120</v>
      </c>
      <c r="F66" s="4">
        <v>6150</v>
      </c>
      <c r="G66" s="4">
        <v>100</v>
      </c>
      <c r="H66" s="4">
        <v>3000</v>
      </c>
    </row>
    <row r="67" spans="2:8" x14ac:dyDescent="0.3">
      <c r="B67" s="1">
        <v>41537</v>
      </c>
      <c r="C67" s="3" t="s">
        <v>8</v>
      </c>
      <c r="D67" s="2" t="s">
        <v>39</v>
      </c>
      <c r="E67" s="4">
        <v>6005</v>
      </c>
      <c r="F67" s="4">
        <v>5970</v>
      </c>
      <c r="G67" s="4">
        <v>100</v>
      </c>
      <c r="H67" s="4">
        <v>3500</v>
      </c>
    </row>
    <row r="68" spans="2:8" x14ac:dyDescent="0.3">
      <c r="B68" s="1">
        <v>41540</v>
      </c>
      <c r="C68" s="3" t="s">
        <v>8</v>
      </c>
      <c r="D68" s="2" t="s">
        <v>39</v>
      </c>
      <c r="E68" s="4">
        <v>5975</v>
      </c>
      <c r="F68" s="4">
        <v>5940</v>
      </c>
      <c r="G68" s="4">
        <v>100</v>
      </c>
      <c r="H68" s="4">
        <v>3500</v>
      </c>
    </row>
    <row r="69" spans="2:8" x14ac:dyDescent="0.3">
      <c r="B69" s="1">
        <v>41541</v>
      </c>
      <c r="C69" s="3" t="s">
        <v>9</v>
      </c>
      <c r="D69" s="2" t="s">
        <v>39</v>
      </c>
      <c r="E69" s="4">
        <v>5930</v>
      </c>
      <c r="F69" s="4">
        <v>5960</v>
      </c>
      <c r="G69" s="4">
        <v>100</v>
      </c>
      <c r="H69" s="4">
        <v>3000</v>
      </c>
    </row>
    <row r="70" spans="2:8" x14ac:dyDescent="0.3">
      <c r="B70" s="1">
        <v>41542</v>
      </c>
      <c r="C70" s="3" t="s">
        <v>8</v>
      </c>
      <c r="D70" s="2" t="s">
        <v>39</v>
      </c>
      <c r="E70" s="4">
        <v>5900</v>
      </c>
      <c r="F70" s="7">
        <v>5965</v>
      </c>
      <c r="G70" s="4">
        <v>100</v>
      </c>
      <c r="H70" s="4">
        <v>3500</v>
      </c>
    </row>
    <row r="71" spans="2:8" x14ac:dyDescent="0.3">
      <c r="B71" s="1">
        <v>41543</v>
      </c>
      <c r="C71" s="3" t="s">
        <v>8</v>
      </c>
      <c r="D71" s="2" t="s">
        <v>39</v>
      </c>
      <c r="E71" s="4">
        <v>5895</v>
      </c>
      <c r="F71" s="4">
        <v>5880</v>
      </c>
      <c r="G71" s="4">
        <v>100</v>
      </c>
      <c r="H71" s="4">
        <v>1500</v>
      </c>
    </row>
    <row r="72" spans="2:8" x14ac:dyDescent="0.3">
      <c r="B72" s="1">
        <v>41544</v>
      </c>
      <c r="C72" s="3" t="s">
        <v>8</v>
      </c>
      <c r="D72" s="2" t="s">
        <v>39</v>
      </c>
      <c r="E72" s="4">
        <v>5910</v>
      </c>
      <c r="F72" s="4">
        <v>5875</v>
      </c>
      <c r="G72" s="4">
        <v>100</v>
      </c>
      <c r="H72" s="4">
        <v>3500</v>
      </c>
    </row>
    <row r="73" spans="2:8" x14ac:dyDescent="0.3">
      <c r="B73" s="1">
        <v>41547</v>
      </c>
      <c r="C73" s="28" t="s">
        <v>8</v>
      </c>
      <c r="D73" s="7" t="s">
        <v>39</v>
      </c>
      <c r="E73" s="28">
        <v>5820</v>
      </c>
      <c r="F73" s="28">
        <v>5790</v>
      </c>
      <c r="G73" s="4">
        <v>100</v>
      </c>
      <c r="H73" s="28">
        <v>3000</v>
      </c>
    </row>
    <row r="74" spans="2:8" x14ac:dyDescent="0.3">
      <c r="B74" s="1"/>
      <c r="C74" s="3"/>
      <c r="D74" s="2"/>
      <c r="E74" s="4"/>
      <c r="F74" s="4"/>
      <c r="G74" s="4"/>
      <c r="H74" s="38">
        <v>51500</v>
      </c>
    </row>
    <row r="75" spans="2:8" x14ac:dyDescent="0.3">
      <c r="B75" s="1"/>
      <c r="C75" s="28"/>
      <c r="D75" s="30"/>
      <c r="E75" s="28"/>
      <c r="F75" s="28"/>
      <c r="G75" s="28"/>
      <c r="H75" s="28"/>
    </row>
    <row r="76" spans="2:8" x14ac:dyDescent="0.3">
      <c r="B76" s="1"/>
      <c r="C76" s="28"/>
      <c r="D76" s="28"/>
      <c r="E76" s="28"/>
      <c r="F76" s="28"/>
      <c r="G76" s="28"/>
      <c r="H76" s="28"/>
    </row>
    <row r="77" spans="2:8" ht="15.6" x14ac:dyDescent="0.3">
      <c r="C77" s="30"/>
      <c r="D77" s="30"/>
      <c r="E77" s="30"/>
      <c r="F77" s="30"/>
      <c r="G77" s="30"/>
      <c r="H77" s="34"/>
    </row>
    <row r="79" spans="2:8" ht="15.6" x14ac:dyDescent="0.3">
      <c r="B79" s="48" t="s">
        <v>64</v>
      </c>
      <c r="C79" s="48"/>
      <c r="D79" s="48"/>
      <c r="E79" s="48"/>
      <c r="F79" s="48"/>
      <c r="G79" s="48"/>
      <c r="H79" s="48"/>
    </row>
    <row r="80" spans="2:8" x14ac:dyDescent="0.3">
      <c r="B80" s="1">
        <v>41519</v>
      </c>
      <c r="C80" s="3" t="s">
        <v>65</v>
      </c>
      <c r="D80" s="3" t="s">
        <v>156</v>
      </c>
      <c r="E80" s="7">
        <v>125</v>
      </c>
      <c r="F80" s="4">
        <v>142</v>
      </c>
      <c r="G80" s="7">
        <v>200</v>
      </c>
      <c r="H80" s="28">
        <v>3400</v>
      </c>
    </row>
    <row r="81" spans="2:8" x14ac:dyDescent="0.3">
      <c r="B81" s="1">
        <v>41520</v>
      </c>
      <c r="C81" s="3" t="s">
        <v>69</v>
      </c>
      <c r="D81" s="3" t="s">
        <v>158</v>
      </c>
      <c r="E81" s="7">
        <v>133</v>
      </c>
      <c r="F81" s="4">
        <v>160</v>
      </c>
      <c r="G81" s="7">
        <v>200</v>
      </c>
      <c r="H81" s="28">
        <v>5400</v>
      </c>
    </row>
    <row r="82" spans="2:8" x14ac:dyDescent="0.3">
      <c r="B82" s="1">
        <v>41521</v>
      </c>
      <c r="C82" s="3" t="s">
        <v>65</v>
      </c>
      <c r="D82" s="3" t="s">
        <v>161</v>
      </c>
      <c r="E82" s="7">
        <v>135</v>
      </c>
      <c r="F82" s="4">
        <v>125</v>
      </c>
      <c r="G82" s="7">
        <v>200</v>
      </c>
      <c r="H82" s="28">
        <v>-3000</v>
      </c>
    </row>
    <row r="83" spans="2:8" x14ac:dyDescent="0.3">
      <c r="B83" s="1">
        <v>41522</v>
      </c>
      <c r="C83" s="3" t="s">
        <v>69</v>
      </c>
      <c r="D83" s="3" t="s">
        <v>156</v>
      </c>
      <c r="E83" s="7">
        <v>125</v>
      </c>
      <c r="F83" s="4">
        <v>135</v>
      </c>
      <c r="G83" s="7">
        <v>200</v>
      </c>
      <c r="H83" s="28">
        <v>2000</v>
      </c>
    </row>
    <row r="84" spans="2:8" x14ac:dyDescent="0.3">
      <c r="B84" s="1">
        <v>41527</v>
      </c>
      <c r="C84" s="3" t="s">
        <v>65</v>
      </c>
      <c r="D84" s="3" t="s">
        <v>164</v>
      </c>
      <c r="E84" s="7">
        <v>130</v>
      </c>
      <c r="F84" s="4">
        <v>160</v>
      </c>
      <c r="G84" s="7">
        <v>200</v>
      </c>
      <c r="H84" s="28">
        <v>6000</v>
      </c>
    </row>
    <row r="85" spans="2:8" x14ac:dyDescent="0.3">
      <c r="B85" s="1">
        <v>41528</v>
      </c>
      <c r="C85" s="3" t="s">
        <v>65</v>
      </c>
      <c r="D85" s="2" t="s">
        <v>165</v>
      </c>
      <c r="E85" s="7">
        <v>113</v>
      </c>
      <c r="F85" s="7">
        <v>100</v>
      </c>
      <c r="G85" s="7">
        <v>200</v>
      </c>
      <c r="H85" s="28">
        <v>-2600</v>
      </c>
    </row>
    <row r="86" spans="2:8" x14ac:dyDescent="0.3">
      <c r="B86" s="1">
        <v>41530</v>
      </c>
      <c r="C86" s="28" t="s">
        <v>65</v>
      </c>
      <c r="D86" s="28" t="s">
        <v>167</v>
      </c>
      <c r="E86" s="28">
        <v>120</v>
      </c>
      <c r="F86" s="28">
        <v>107</v>
      </c>
      <c r="G86" s="28">
        <v>200</v>
      </c>
      <c r="H86" s="28">
        <v>-2600</v>
      </c>
    </row>
    <row r="87" spans="2:8" x14ac:dyDescent="0.3">
      <c r="B87" s="1">
        <v>41533</v>
      </c>
      <c r="C87" s="28" t="s">
        <v>69</v>
      </c>
      <c r="D87" s="28" t="s">
        <v>164</v>
      </c>
      <c r="E87" s="28">
        <v>115</v>
      </c>
      <c r="F87" s="28">
        <v>131</v>
      </c>
      <c r="G87" s="28">
        <v>200</v>
      </c>
      <c r="H87" s="28">
        <v>3200</v>
      </c>
    </row>
    <row r="88" spans="2:8" x14ac:dyDescent="0.3">
      <c r="B88" s="1">
        <v>41534</v>
      </c>
      <c r="C88" s="28" t="s">
        <v>65</v>
      </c>
      <c r="D88" s="28" t="s">
        <v>164</v>
      </c>
      <c r="E88" s="28">
        <v>115</v>
      </c>
      <c r="F88" s="28">
        <v>125</v>
      </c>
      <c r="G88" s="28">
        <v>200</v>
      </c>
      <c r="H88" s="28">
        <v>2000</v>
      </c>
    </row>
    <row r="89" spans="2:8" x14ac:dyDescent="0.3">
      <c r="B89" s="1">
        <v>41536</v>
      </c>
      <c r="C89" s="28" t="s">
        <v>65</v>
      </c>
      <c r="D89" s="28" t="s">
        <v>171</v>
      </c>
      <c r="E89" s="28">
        <v>88</v>
      </c>
      <c r="F89" s="28">
        <v>110</v>
      </c>
      <c r="G89" s="28">
        <v>200</v>
      </c>
      <c r="H89" s="28">
        <v>4400</v>
      </c>
    </row>
    <row r="90" spans="2:8" x14ac:dyDescent="0.3">
      <c r="B90" s="1">
        <v>41537</v>
      </c>
      <c r="C90" s="28" t="s">
        <v>69</v>
      </c>
      <c r="D90" s="28" t="s">
        <v>172</v>
      </c>
      <c r="E90" s="28">
        <v>95</v>
      </c>
      <c r="F90" s="28">
        <v>112</v>
      </c>
      <c r="G90" s="28">
        <v>200</v>
      </c>
      <c r="H90" s="28">
        <v>3600</v>
      </c>
    </row>
    <row r="91" spans="2:8" x14ac:dyDescent="0.3">
      <c r="B91" s="1">
        <v>41540</v>
      </c>
      <c r="C91" s="28" t="s">
        <v>69</v>
      </c>
      <c r="D91" s="28" t="s">
        <v>165</v>
      </c>
      <c r="E91" s="28">
        <v>75</v>
      </c>
      <c r="F91" s="28">
        <v>85</v>
      </c>
      <c r="G91" s="28">
        <v>200</v>
      </c>
      <c r="H91" s="28">
        <v>4000</v>
      </c>
    </row>
    <row r="92" spans="2:8" x14ac:dyDescent="0.3">
      <c r="B92" s="1">
        <v>41541</v>
      </c>
      <c r="C92" s="28" t="s">
        <v>65</v>
      </c>
      <c r="D92" s="28" t="s">
        <v>167</v>
      </c>
      <c r="E92" s="28">
        <v>70</v>
      </c>
      <c r="F92" s="28">
        <v>91</v>
      </c>
      <c r="G92" s="28">
        <v>200</v>
      </c>
      <c r="H92" s="28">
        <v>4200</v>
      </c>
    </row>
    <row r="93" spans="2:8" x14ac:dyDescent="0.3">
      <c r="B93" s="1">
        <v>41542</v>
      </c>
      <c r="C93" s="28" t="s">
        <v>69</v>
      </c>
      <c r="D93" s="28" t="s">
        <v>165</v>
      </c>
      <c r="E93" s="28">
        <v>65</v>
      </c>
      <c r="F93" s="28">
        <v>85</v>
      </c>
      <c r="G93" s="28">
        <v>200</v>
      </c>
      <c r="H93" s="28">
        <v>4000</v>
      </c>
    </row>
    <row r="94" spans="2:8" x14ac:dyDescent="0.3">
      <c r="B94" s="1">
        <v>41543</v>
      </c>
      <c r="C94" s="28" t="s">
        <v>69</v>
      </c>
      <c r="D94" s="28" t="s">
        <v>165</v>
      </c>
      <c r="E94" s="28">
        <v>65</v>
      </c>
      <c r="F94" s="28">
        <v>55</v>
      </c>
      <c r="G94" s="28">
        <v>200</v>
      </c>
      <c r="H94" s="28">
        <v>-2000</v>
      </c>
    </row>
    <row r="95" spans="2:8" x14ac:dyDescent="0.3">
      <c r="B95" s="1">
        <v>41544</v>
      </c>
      <c r="C95" s="28" t="s">
        <v>69</v>
      </c>
      <c r="D95" s="28" t="s">
        <v>176</v>
      </c>
      <c r="E95" s="28">
        <v>165</v>
      </c>
      <c r="F95" s="28">
        <v>155</v>
      </c>
      <c r="G95" s="28">
        <v>200</v>
      </c>
      <c r="H95" s="28">
        <v>-2000</v>
      </c>
    </row>
    <row r="96" spans="2:8" x14ac:dyDescent="0.3">
      <c r="B96" s="1">
        <v>41547</v>
      </c>
      <c r="C96" s="28" t="s">
        <v>69</v>
      </c>
      <c r="D96" s="28" t="s">
        <v>177</v>
      </c>
      <c r="E96" s="28">
        <v>160</v>
      </c>
      <c r="F96" s="28">
        <v>170</v>
      </c>
      <c r="G96" s="28">
        <v>200</v>
      </c>
      <c r="H96" s="28">
        <v>2000</v>
      </c>
    </row>
    <row r="97" spans="2:8" x14ac:dyDescent="0.3">
      <c r="B97" s="1"/>
      <c r="C97" s="28"/>
      <c r="D97" s="28"/>
      <c r="E97" s="28"/>
      <c r="F97" s="28"/>
      <c r="G97" s="28"/>
      <c r="H97" s="29">
        <v>32000</v>
      </c>
    </row>
    <row r="98" spans="2:8" ht="15.6" x14ac:dyDescent="0.3">
      <c r="B98" s="1"/>
      <c r="C98" s="28"/>
      <c r="D98" s="28"/>
      <c r="E98" s="28"/>
      <c r="F98" s="28"/>
      <c r="G98" s="28"/>
      <c r="H98" s="34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ht="15.6" x14ac:dyDescent="0.3">
      <c r="C101" s="28"/>
      <c r="D101" s="28"/>
      <c r="E101" s="28"/>
      <c r="F101" s="28"/>
      <c r="G101" s="28"/>
      <c r="H101" s="34"/>
    </row>
    <row r="102" spans="2:8" x14ac:dyDescent="0.3">
      <c r="C102" s="28"/>
      <c r="D102" s="28"/>
      <c r="E102" s="28"/>
      <c r="F102" s="28"/>
      <c r="G102" s="28"/>
      <c r="H102" s="28"/>
    </row>
    <row r="103" spans="2:8" ht="15.6" x14ac:dyDescent="0.3">
      <c r="B103" s="48" t="s">
        <v>243</v>
      </c>
      <c r="C103" s="48"/>
      <c r="D103" s="48"/>
      <c r="E103" s="48"/>
      <c r="F103" s="48"/>
      <c r="G103" s="48"/>
      <c r="H103" s="48"/>
    </row>
    <row r="104" spans="2:8" x14ac:dyDescent="0.3">
      <c r="B104" s="1">
        <v>41522</v>
      </c>
      <c r="C104" s="28" t="s">
        <v>69</v>
      </c>
      <c r="D104" s="28" t="s">
        <v>162</v>
      </c>
      <c r="E104" s="28">
        <v>22</v>
      </c>
      <c r="F104" s="28">
        <v>19</v>
      </c>
      <c r="G104" s="28">
        <v>1000</v>
      </c>
      <c r="H104" s="28">
        <v>-3000</v>
      </c>
    </row>
    <row r="105" spans="2:8" x14ac:dyDescent="0.3">
      <c r="B105" s="1">
        <v>41528</v>
      </c>
      <c r="C105" s="28" t="s">
        <v>65</v>
      </c>
      <c r="D105" s="28" t="s">
        <v>166</v>
      </c>
      <c r="E105" s="28">
        <v>54</v>
      </c>
      <c r="F105" s="28">
        <v>65</v>
      </c>
      <c r="G105" s="28">
        <v>250</v>
      </c>
      <c r="H105" s="28">
        <v>2750</v>
      </c>
    </row>
    <row r="106" spans="2:8" x14ac:dyDescent="0.3">
      <c r="B106" s="1">
        <v>41530</v>
      </c>
      <c r="C106" s="28" t="s">
        <v>65</v>
      </c>
      <c r="D106" s="28" t="s">
        <v>166</v>
      </c>
      <c r="E106" s="28">
        <v>56</v>
      </c>
      <c r="F106" s="28">
        <v>62</v>
      </c>
      <c r="G106" s="28">
        <v>250</v>
      </c>
      <c r="H106" s="28">
        <v>1500</v>
      </c>
    </row>
    <row r="107" spans="2:8" x14ac:dyDescent="0.3">
      <c r="B107" s="1">
        <v>41533</v>
      </c>
      <c r="C107" s="28" t="s">
        <v>65</v>
      </c>
      <c r="D107" s="28" t="s">
        <v>166</v>
      </c>
      <c r="E107" s="28">
        <v>63</v>
      </c>
      <c r="F107" s="28">
        <v>67</v>
      </c>
      <c r="G107" s="28">
        <v>250</v>
      </c>
      <c r="H107" s="28">
        <v>1000</v>
      </c>
    </row>
    <row r="108" spans="2:8" x14ac:dyDescent="0.3">
      <c r="B108" s="1">
        <v>41534</v>
      </c>
      <c r="C108" s="28" t="s">
        <v>65</v>
      </c>
      <c r="D108" s="28" t="s">
        <v>169</v>
      </c>
      <c r="E108" s="28">
        <v>35</v>
      </c>
      <c r="F108" s="28">
        <v>30</v>
      </c>
      <c r="G108" s="28">
        <v>500</v>
      </c>
      <c r="H108" s="28">
        <v>-2500</v>
      </c>
    </row>
    <row r="109" spans="2:8" x14ac:dyDescent="0.3">
      <c r="B109" s="1">
        <v>41540</v>
      </c>
      <c r="C109" s="28" t="s">
        <v>65</v>
      </c>
      <c r="D109" s="28" t="s">
        <v>169</v>
      </c>
      <c r="E109" s="28">
        <v>22</v>
      </c>
      <c r="F109" s="28">
        <v>30</v>
      </c>
      <c r="G109" s="28">
        <v>500</v>
      </c>
      <c r="H109" s="28">
        <v>4000</v>
      </c>
    </row>
    <row r="110" spans="2:8" x14ac:dyDescent="0.3">
      <c r="B110" s="1">
        <v>41541</v>
      </c>
      <c r="C110" s="28" t="s">
        <v>65</v>
      </c>
      <c r="D110" s="28" t="s">
        <v>174</v>
      </c>
      <c r="E110" s="28">
        <v>4</v>
      </c>
      <c r="F110" s="28">
        <v>10</v>
      </c>
      <c r="G110" s="28">
        <v>2500</v>
      </c>
      <c r="H110" s="28">
        <v>15000</v>
      </c>
    </row>
    <row r="111" spans="2:8" x14ac:dyDescent="0.3">
      <c r="B111" s="1">
        <v>41542</v>
      </c>
      <c r="C111" s="28" t="s">
        <v>65</v>
      </c>
      <c r="D111" s="28" t="s">
        <v>136</v>
      </c>
      <c r="E111" s="28">
        <v>28</v>
      </c>
      <c r="F111" s="28">
        <v>40</v>
      </c>
      <c r="G111" s="28">
        <v>250</v>
      </c>
      <c r="H111" s="28">
        <v>3000</v>
      </c>
    </row>
    <row r="112" spans="2:8" x14ac:dyDescent="0.3">
      <c r="B112" s="1">
        <v>41544</v>
      </c>
      <c r="C112" s="28" t="s">
        <v>69</v>
      </c>
      <c r="D112" s="28" t="s">
        <v>136</v>
      </c>
      <c r="E112" s="28">
        <v>75</v>
      </c>
      <c r="F112" s="28">
        <v>85</v>
      </c>
      <c r="G112" s="28">
        <v>250</v>
      </c>
      <c r="H112" s="28">
        <v>2500</v>
      </c>
    </row>
    <row r="113" spans="2:8" x14ac:dyDescent="0.3">
      <c r="B113" s="1">
        <v>41547</v>
      </c>
      <c r="C113" s="28" t="s">
        <v>69</v>
      </c>
      <c r="D113" s="28" t="s">
        <v>178</v>
      </c>
      <c r="E113" s="28">
        <v>13</v>
      </c>
      <c r="F113" s="28">
        <v>18</v>
      </c>
      <c r="G113" s="28">
        <v>750</v>
      </c>
      <c r="H113" s="28">
        <v>3750</v>
      </c>
    </row>
    <row r="114" spans="2:8" x14ac:dyDescent="0.3">
      <c r="B114" s="1"/>
      <c r="C114" s="28"/>
      <c r="D114" s="28"/>
      <c r="E114" s="28"/>
      <c r="F114" s="28"/>
      <c r="G114" s="28"/>
      <c r="H114" s="29">
        <v>28000</v>
      </c>
    </row>
  </sheetData>
  <mergeCells count="3">
    <mergeCell ref="B1:H1"/>
    <mergeCell ref="B2:H2"/>
    <mergeCell ref="B3:H3"/>
  </mergeCells>
  <hyperlinks>
    <hyperlink ref="J2" location="'MASTER '!A1" display="Back" xr:uid="{00000000-0004-0000-0500-000000000000}"/>
  </hyperlinks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W239"/>
  <sheetViews>
    <sheetView topLeftCell="A216" workbookViewId="0">
      <selection activeCell="A232" sqref="A23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2464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38</v>
      </c>
      <c r="O4" s="354">
        <f>V52</f>
        <v>27</v>
      </c>
      <c r="P4" s="354">
        <f>W52</f>
        <v>11</v>
      </c>
      <c r="Q4" s="355">
        <f>N4-O4-P4</f>
        <v>0</v>
      </c>
      <c r="R4" s="314">
        <f>O4/N4</f>
        <v>0.71052631578947367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43160</v>
      </c>
      <c r="D6" s="158" t="s">
        <v>9</v>
      </c>
      <c r="E6" s="158" t="s">
        <v>395</v>
      </c>
      <c r="F6" s="204">
        <v>2225</v>
      </c>
      <c r="G6" s="230">
        <v>2239</v>
      </c>
      <c r="H6" s="158">
        <v>14</v>
      </c>
      <c r="I6" s="204">
        <f>300000/F6</f>
        <v>134.83146067415731</v>
      </c>
      <c r="J6" s="241">
        <f>H6*I6</f>
        <v>1887.6404494382023</v>
      </c>
      <c r="K6" s="153"/>
      <c r="M6" s="389" t="s">
        <v>450</v>
      </c>
      <c r="N6" s="343">
        <f>COUNT(C60:C82)</f>
        <v>19</v>
      </c>
      <c r="O6" s="345">
        <f>V83</f>
        <v>18</v>
      </c>
      <c r="P6" s="345">
        <f>W83</f>
        <v>1</v>
      </c>
      <c r="Q6" s="347">
        <f>N6-O6-P6</f>
        <v>0</v>
      </c>
      <c r="R6" s="340">
        <f t="shared" ref="R6" si="0">O6/N6</f>
        <v>0.94736842105263153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43160</v>
      </c>
      <c r="D7" s="161" t="s">
        <v>8</v>
      </c>
      <c r="E7" s="161" t="s">
        <v>796</v>
      </c>
      <c r="F7" s="207">
        <v>1190</v>
      </c>
      <c r="G7" s="222">
        <v>1184.5</v>
      </c>
      <c r="H7" s="234">
        <v>5.5</v>
      </c>
      <c r="I7" s="207">
        <f t="shared" ref="I7" si="1">300000/F7</f>
        <v>252.10084033613447</v>
      </c>
      <c r="J7" s="242">
        <f t="shared" ref="J7" si="2">H7*I7</f>
        <v>1386.5546218487395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43164</v>
      </c>
      <c r="D8" s="161" t="s">
        <v>9</v>
      </c>
      <c r="E8" s="161" t="s">
        <v>834</v>
      </c>
      <c r="F8" s="222">
        <v>319.5</v>
      </c>
      <c r="G8" s="222">
        <v>315.5</v>
      </c>
      <c r="H8" s="222">
        <v>-4</v>
      </c>
      <c r="I8" s="207">
        <f t="shared" ref="I8:I9" si="6">300000/F8</f>
        <v>938.96713615023475</v>
      </c>
      <c r="J8" s="242">
        <f t="shared" ref="J8:J9" si="7">H8*I8</f>
        <v>-3755.868544600939</v>
      </c>
      <c r="K8" s="153"/>
      <c r="M8" s="389" t="s">
        <v>451</v>
      </c>
      <c r="N8" s="343">
        <f>COUNT(C91:C113)</f>
        <v>19</v>
      </c>
      <c r="O8" s="345">
        <f>V114</f>
        <v>16</v>
      </c>
      <c r="P8" s="345">
        <f>W114</f>
        <v>3</v>
      </c>
      <c r="Q8" s="347">
        <f>N8-O8-P8</f>
        <v>0</v>
      </c>
      <c r="R8" s="340">
        <f t="shared" ref="R8" si="8">O8/N8</f>
        <v>0.84210526315789469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43164</v>
      </c>
      <c r="D9" s="161" t="s">
        <v>8</v>
      </c>
      <c r="E9" s="161" t="s">
        <v>395</v>
      </c>
      <c r="F9" s="207">
        <v>2205</v>
      </c>
      <c r="G9" s="222">
        <v>2185</v>
      </c>
      <c r="H9" s="222">
        <v>20</v>
      </c>
      <c r="I9" s="207">
        <f t="shared" si="6"/>
        <v>136.05442176870747</v>
      </c>
      <c r="J9" s="242">
        <f t="shared" si="7"/>
        <v>2721.0884353741494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43165</v>
      </c>
      <c r="D10" s="161" t="s">
        <v>9</v>
      </c>
      <c r="E10" s="161" t="s">
        <v>395</v>
      </c>
      <c r="F10" s="207">
        <v>2207</v>
      </c>
      <c r="G10" s="222">
        <v>2217</v>
      </c>
      <c r="H10" s="222">
        <v>10</v>
      </c>
      <c r="I10" s="207">
        <f t="shared" ref="I10:I14" si="9">300000/F10</f>
        <v>135.93112822836429</v>
      </c>
      <c r="J10" s="242">
        <f t="shared" ref="J10:J14" si="10">H10*I10</f>
        <v>1359.3112822836429</v>
      </c>
      <c r="K10" s="153"/>
      <c r="M10" s="389" t="s">
        <v>1176</v>
      </c>
      <c r="N10" s="343">
        <f>COUNT(C122:C144)</f>
        <v>19</v>
      </c>
      <c r="O10" s="345">
        <f>V145</f>
        <v>17</v>
      </c>
      <c r="P10" s="345">
        <f>W145</f>
        <v>2</v>
      </c>
      <c r="Q10" s="347">
        <f>N10-O10-P10</f>
        <v>0</v>
      </c>
      <c r="R10" s="340">
        <f t="shared" ref="R10" si="11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43165</v>
      </c>
      <c r="D11" s="161" t="s">
        <v>8</v>
      </c>
      <c r="E11" s="161" t="s">
        <v>19</v>
      </c>
      <c r="F11" s="207">
        <v>265</v>
      </c>
      <c r="G11" s="222">
        <v>259</v>
      </c>
      <c r="H11" s="255">
        <v>6</v>
      </c>
      <c r="I11" s="207">
        <f t="shared" si="9"/>
        <v>1132.0754716981132</v>
      </c>
      <c r="J11" s="242">
        <f t="shared" si="10"/>
        <v>6792.4528301886794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43166</v>
      </c>
      <c r="D12" s="161" t="s">
        <v>9</v>
      </c>
      <c r="E12" s="161" t="s">
        <v>395</v>
      </c>
      <c r="F12" s="207">
        <v>2180</v>
      </c>
      <c r="G12" s="222">
        <v>2200</v>
      </c>
      <c r="H12" s="222">
        <v>20</v>
      </c>
      <c r="I12" s="207">
        <f t="shared" si="9"/>
        <v>137.61467889908258</v>
      </c>
      <c r="J12" s="242">
        <f t="shared" si="10"/>
        <v>2752.2935779816517</v>
      </c>
      <c r="K12" s="153"/>
      <c r="M12" s="389" t="s">
        <v>41</v>
      </c>
      <c r="N12" s="343">
        <f>COUNT(C153:C175)</f>
        <v>19</v>
      </c>
      <c r="O12" s="345">
        <f>V176</f>
        <v>14</v>
      </c>
      <c r="P12" s="345">
        <f>W176</f>
        <v>5</v>
      </c>
      <c r="Q12" s="347">
        <f t="shared" ref="Q12" si="12">N12-O12-P12</f>
        <v>0</v>
      </c>
      <c r="R12" s="340">
        <f t="shared" ref="R12:R16" si="13">O12/N12</f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43166</v>
      </c>
      <c r="D13" s="161" t="s">
        <v>8</v>
      </c>
      <c r="E13" s="161" t="s">
        <v>19</v>
      </c>
      <c r="F13" s="207">
        <v>253</v>
      </c>
      <c r="G13" s="222">
        <v>247</v>
      </c>
      <c r="H13" s="255">
        <v>6</v>
      </c>
      <c r="I13" s="207">
        <f t="shared" si="9"/>
        <v>1185.7707509881423</v>
      </c>
      <c r="J13" s="242">
        <f t="shared" si="10"/>
        <v>7114.624505928854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43167</v>
      </c>
      <c r="D14" s="161" t="s">
        <v>9</v>
      </c>
      <c r="E14" s="161" t="s">
        <v>395</v>
      </c>
      <c r="F14" s="207">
        <v>2160</v>
      </c>
      <c r="G14" s="207">
        <v>2140</v>
      </c>
      <c r="H14" s="161">
        <v>-20</v>
      </c>
      <c r="I14" s="207">
        <f t="shared" si="9"/>
        <v>138.88888888888889</v>
      </c>
      <c r="J14" s="242">
        <f t="shared" si="10"/>
        <v>-2777.7777777777778</v>
      </c>
      <c r="K14" s="153"/>
      <c r="M14" s="389" t="s">
        <v>1175</v>
      </c>
      <c r="N14" s="343">
        <f>COUNT(C184:C206)</f>
        <v>19</v>
      </c>
      <c r="O14" s="345">
        <f>V207</f>
        <v>14</v>
      </c>
      <c r="P14" s="345">
        <f>W207</f>
        <v>5</v>
      </c>
      <c r="Q14" s="347">
        <f t="shared" ref="Q14" si="14">N14-O14-P14</f>
        <v>0</v>
      </c>
      <c r="R14" s="340">
        <f t="shared" si="13"/>
        <v>0.73684210526315785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43167</v>
      </c>
      <c r="D15" s="161" t="s">
        <v>8</v>
      </c>
      <c r="E15" s="161" t="s">
        <v>19</v>
      </c>
      <c r="F15" s="222">
        <v>246.5</v>
      </c>
      <c r="G15" s="222">
        <v>245</v>
      </c>
      <c r="H15" s="222">
        <v>1.5</v>
      </c>
      <c r="I15" s="207">
        <f t="shared" ref="I15" si="15">300000/F15</f>
        <v>1217.0385395537526</v>
      </c>
      <c r="J15" s="242">
        <f t="shared" ref="J15" si="16">H15*I15</f>
        <v>1825.557809330629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43168</v>
      </c>
      <c r="D16" s="161" t="s">
        <v>9</v>
      </c>
      <c r="E16" s="161" t="s">
        <v>395</v>
      </c>
      <c r="F16" s="222">
        <v>2160</v>
      </c>
      <c r="G16" s="222">
        <v>2180</v>
      </c>
      <c r="H16" s="222">
        <v>20</v>
      </c>
      <c r="I16" s="207">
        <f t="shared" ref="I16:I43" si="17">300000/F16</f>
        <v>138.88888888888889</v>
      </c>
      <c r="J16" s="242">
        <f t="shared" ref="J16:J43" si="18">H16*I16</f>
        <v>2777.7777777777778</v>
      </c>
      <c r="K16" s="153"/>
      <c r="L16" s="25" t="s">
        <v>2008</v>
      </c>
      <c r="M16" s="389" t="s">
        <v>1090</v>
      </c>
      <c r="N16" s="343">
        <f>COUNT(C215:C237)</f>
        <v>18</v>
      </c>
      <c r="O16" s="345">
        <f>V238</f>
        <v>11</v>
      </c>
      <c r="P16" s="345">
        <f>W238</f>
        <v>7</v>
      </c>
      <c r="Q16" s="347">
        <f t="shared" ref="Q16" si="19">N16-O16-P16</f>
        <v>0</v>
      </c>
      <c r="R16" s="340">
        <f t="shared" si="13"/>
        <v>0.61111111111111116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43168</v>
      </c>
      <c r="D17" s="161" t="s">
        <v>8</v>
      </c>
      <c r="E17" s="161" t="s">
        <v>139</v>
      </c>
      <c r="F17" s="222">
        <v>306</v>
      </c>
      <c r="G17" s="222">
        <v>301.60000000000002</v>
      </c>
      <c r="H17" s="222">
        <v>4.4000000000000004</v>
      </c>
      <c r="I17" s="207">
        <f t="shared" si="17"/>
        <v>980.39215686274508</v>
      </c>
      <c r="J17" s="242">
        <f t="shared" si="18"/>
        <v>4313.7254901960787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43171</v>
      </c>
      <c r="D18" s="161" t="s">
        <v>9</v>
      </c>
      <c r="E18" s="161" t="s">
        <v>834</v>
      </c>
      <c r="F18" s="222">
        <v>310</v>
      </c>
      <c r="G18" s="222">
        <v>318</v>
      </c>
      <c r="H18" s="222">
        <v>8</v>
      </c>
      <c r="I18" s="207">
        <f t="shared" si="17"/>
        <v>967.74193548387098</v>
      </c>
      <c r="J18" s="242">
        <f t="shared" si="18"/>
        <v>7741.9354838709678</v>
      </c>
      <c r="K18" s="153"/>
      <c r="M18" s="334" t="s">
        <v>946</v>
      </c>
      <c r="N18" s="336">
        <f>SUM(N4:N17)</f>
        <v>151</v>
      </c>
      <c r="O18" s="336">
        <f t="shared" ref="O18:Q18" si="20">SUM(O4:O17)</f>
        <v>117</v>
      </c>
      <c r="P18" s="336">
        <f t="shared" si="20"/>
        <v>34</v>
      </c>
      <c r="Q18" s="338">
        <f t="shared" si="20"/>
        <v>0</v>
      </c>
      <c r="R18" s="314">
        <f t="shared" ref="R18" si="21">O18/N18</f>
        <v>0.77483443708609268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43171</v>
      </c>
      <c r="D19" s="161" t="s">
        <v>8</v>
      </c>
      <c r="E19" s="161" t="s">
        <v>192</v>
      </c>
      <c r="F19" s="222">
        <v>227.5</v>
      </c>
      <c r="G19" s="222">
        <v>225.5</v>
      </c>
      <c r="H19" s="222">
        <v>2</v>
      </c>
      <c r="I19" s="207">
        <f t="shared" si="17"/>
        <v>1318.6813186813188</v>
      </c>
      <c r="J19" s="242">
        <f t="shared" si="18"/>
        <v>2637.3626373626375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43172</v>
      </c>
      <c r="D20" s="161" t="s">
        <v>9</v>
      </c>
      <c r="E20" s="161" t="s">
        <v>395</v>
      </c>
      <c r="F20" s="222">
        <v>2165</v>
      </c>
      <c r="G20" s="222">
        <v>2185</v>
      </c>
      <c r="H20" s="222">
        <v>20</v>
      </c>
      <c r="I20" s="207">
        <f t="shared" si="17"/>
        <v>138.56812933025404</v>
      </c>
      <c r="J20" s="242">
        <f t="shared" si="18"/>
        <v>2771.3625866050807</v>
      </c>
      <c r="K20" s="153"/>
      <c r="M20" s="316" t="s">
        <v>2253</v>
      </c>
      <c r="N20" s="317"/>
      <c r="O20" s="318"/>
      <c r="P20" s="325">
        <f>R18</f>
        <v>0.77483443708609268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43172</v>
      </c>
      <c r="D21" s="161" t="s">
        <v>8</v>
      </c>
      <c r="E21" s="161" t="s">
        <v>834</v>
      </c>
      <c r="F21" s="222">
        <v>314</v>
      </c>
      <c r="G21" s="222">
        <v>318</v>
      </c>
      <c r="H21" s="222">
        <v>-4</v>
      </c>
      <c r="I21" s="207">
        <f t="shared" si="17"/>
        <v>955.41401273885356</v>
      </c>
      <c r="J21" s="242">
        <f t="shared" si="18"/>
        <v>-3821.6560509554142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43173</v>
      </c>
      <c r="D22" s="161" t="s">
        <v>9</v>
      </c>
      <c r="E22" s="161" t="s">
        <v>395</v>
      </c>
      <c r="F22" s="222">
        <v>2185</v>
      </c>
      <c r="G22" s="222">
        <v>2180</v>
      </c>
      <c r="H22" s="222">
        <v>-5</v>
      </c>
      <c r="I22" s="207">
        <f t="shared" si="17"/>
        <v>137.29977116704805</v>
      </c>
      <c r="J22" s="242">
        <f t="shared" si="18"/>
        <v>-686.49885583524019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43173</v>
      </c>
      <c r="D23" s="161" t="s">
        <v>8</v>
      </c>
      <c r="E23" s="161" t="s">
        <v>192</v>
      </c>
      <c r="F23" s="222">
        <v>246</v>
      </c>
      <c r="G23" s="222">
        <v>250</v>
      </c>
      <c r="H23" s="222">
        <v>-4</v>
      </c>
      <c r="I23" s="207">
        <f t="shared" si="17"/>
        <v>1219.5121951219512</v>
      </c>
      <c r="J23" s="242">
        <f t="shared" si="18"/>
        <v>-4878.0487804878048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43174</v>
      </c>
      <c r="D24" s="161" t="s">
        <v>9</v>
      </c>
      <c r="E24" s="161" t="s">
        <v>395</v>
      </c>
      <c r="F24" s="222">
        <v>2200</v>
      </c>
      <c r="G24" s="222">
        <v>2217</v>
      </c>
      <c r="H24" s="222">
        <v>17</v>
      </c>
      <c r="I24" s="207">
        <f t="shared" si="17"/>
        <v>136.36363636363637</v>
      </c>
      <c r="J24" s="242">
        <f t="shared" si="18"/>
        <v>2318.1818181818185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43174</v>
      </c>
      <c r="D25" s="161" t="s">
        <v>8</v>
      </c>
      <c r="E25" s="161" t="s">
        <v>139</v>
      </c>
      <c r="F25" s="222">
        <v>317</v>
      </c>
      <c r="G25" s="222">
        <v>312</v>
      </c>
      <c r="H25" s="222">
        <v>5</v>
      </c>
      <c r="I25" s="207">
        <f t="shared" si="17"/>
        <v>946.37223974763413</v>
      </c>
      <c r="J25" s="242">
        <f t="shared" si="18"/>
        <v>4731.861198738171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43175</v>
      </c>
      <c r="D26" s="161" t="s">
        <v>9</v>
      </c>
      <c r="E26" s="161" t="s">
        <v>395</v>
      </c>
      <c r="F26" s="222">
        <v>2195</v>
      </c>
      <c r="G26" s="222">
        <v>2175</v>
      </c>
      <c r="H26" s="222">
        <v>-20</v>
      </c>
      <c r="I26" s="207">
        <f t="shared" si="17"/>
        <v>136.67425968109339</v>
      </c>
      <c r="J26" s="242">
        <f t="shared" si="18"/>
        <v>-2733.4851936218679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43175</v>
      </c>
      <c r="D27" s="161" t="s">
        <v>8</v>
      </c>
      <c r="E27" s="161" t="s">
        <v>796</v>
      </c>
      <c r="F27" s="222">
        <v>1085</v>
      </c>
      <c r="G27" s="222">
        <v>1065</v>
      </c>
      <c r="H27" s="222">
        <v>20</v>
      </c>
      <c r="I27" s="207">
        <f t="shared" si="17"/>
        <v>276.49769585253455</v>
      </c>
      <c r="J27" s="242">
        <f t="shared" si="18"/>
        <v>5529.9539170506905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43178</v>
      </c>
      <c r="D28" s="161" t="s">
        <v>9</v>
      </c>
      <c r="E28" s="161" t="s">
        <v>395</v>
      </c>
      <c r="F28" s="222">
        <v>2150</v>
      </c>
      <c r="G28" s="222">
        <v>2130</v>
      </c>
      <c r="H28" s="222">
        <v>-20</v>
      </c>
      <c r="I28" s="207">
        <f t="shared" si="17"/>
        <v>139.53488372093022</v>
      </c>
      <c r="J28" s="242">
        <f t="shared" si="18"/>
        <v>-2790.6976744186045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43178</v>
      </c>
      <c r="D29" s="161" t="s">
        <v>8</v>
      </c>
      <c r="E29" s="161" t="s">
        <v>834</v>
      </c>
      <c r="F29" s="222">
        <v>310</v>
      </c>
      <c r="G29" s="222">
        <v>305</v>
      </c>
      <c r="H29" s="222">
        <v>5</v>
      </c>
      <c r="I29" s="207">
        <f t="shared" si="17"/>
        <v>967.74193548387098</v>
      </c>
      <c r="J29" s="242">
        <f t="shared" si="18"/>
        <v>4838.7096774193551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43179</v>
      </c>
      <c r="D30" s="161" t="s">
        <v>9</v>
      </c>
      <c r="E30" s="161" t="s">
        <v>2023</v>
      </c>
      <c r="F30" s="222">
        <v>1630</v>
      </c>
      <c r="G30" s="222">
        <v>1660</v>
      </c>
      <c r="H30" s="222">
        <v>30</v>
      </c>
      <c r="I30" s="207">
        <f t="shared" si="17"/>
        <v>184.04907975460122</v>
      </c>
      <c r="J30" s="242">
        <f t="shared" si="18"/>
        <v>5521.4723926380366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43179</v>
      </c>
      <c r="D31" s="161" t="s">
        <v>8</v>
      </c>
      <c r="E31" s="161" t="s">
        <v>395</v>
      </c>
      <c r="F31" s="222">
        <v>2115</v>
      </c>
      <c r="G31" s="222">
        <v>2135</v>
      </c>
      <c r="H31" s="222">
        <v>-20</v>
      </c>
      <c r="I31" s="207">
        <f t="shared" si="17"/>
        <v>141.84397163120568</v>
      </c>
      <c r="J31" s="242">
        <f t="shared" si="18"/>
        <v>-2836.8794326241136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43180</v>
      </c>
      <c r="D32" s="161" t="s">
        <v>9</v>
      </c>
      <c r="E32" s="161" t="s">
        <v>2023</v>
      </c>
      <c r="F32" s="222">
        <v>1675</v>
      </c>
      <c r="G32" s="222">
        <v>1705</v>
      </c>
      <c r="H32" s="222">
        <v>30</v>
      </c>
      <c r="I32" s="207">
        <f t="shared" si="17"/>
        <v>179.1044776119403</v>
      </c>
      <c r="J32" s="242">
        <f t="shared" si="18"/>
        <v>5373.1343283582091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43180</v>
      </c>
      <c r="D33" s="161" t="s">
        <v>8</v>
      </c>
      <c r="E33" s="161" t="s">
        <v>192</v>
      </c>
      <c r="F33" s="222">
        <v>261</v>
      </c>
      <c r="G33" s="222">
        <v>257</v>
      </c>
      <c r="H33" s="222">
        <v>4</v>
      </c>
      <c r="I33" s="207">
        <f t="shared" si="17"/>
        <v>1149.4252873563219</v>
      </c>
      <c r="J33" s="242">
        <f t="shared" si="18"/>
        <v>4597.7011494252874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43181</v>
      </c>
      <c r="D34" s="161" t="s">
        <v>9</v>
      </c>
      <c r="E34" s="161" t="s">
        <v>395</v>
      </c>
      <c r="F34" s="222">
        <v>2140</v>
      </c>
      <c r="G34" s="222">
        <v>2120</v>
      </c>
      <c r="H34" s="222">
        <v>-20</v>
      </c>
      <c r="I34" s="207">
        <f t="shared" si="17"/>
        <v>140.18691588785046</v>
      </c>
      <c r="J34" s="242">
        <f t="shared" si="18"/>
        <v>-2803.7383177570091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43181</v>
      </c>
      <c r="D35" s="161" t="s">
        <v>8</v>
      </c>
      <c r="E35" s="161" t="s">
        <v>2023</v>
      </c>
      <c r="F35" s="222">
        <v>1700</v>
      </c>
      <c r="G35" s="222">
        <v>1715</v>
      </c>
      <c r="H35" s="222">
        <v>-15</v>
      </c>
      <c r="I35" s="207">
        <f t="shared" si="17"/>
        <v>176.47058823529412</v>
      </c>
      <c r="J35" s="242">
        <f t="shared" si="18"/>
        <v>-2647.0588235294117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43182</v>
      </c>
      <c r="D36" s="161" t="s">
        <v>9</v>
      </c>
      <c r="E36" s="161" t="s">
        <v>2023</v>
      </c>
      <c r="F36" s="222">
        <v>1685</v>
      </c>
      <c r="G36" s="222">
        <v>1694</v>
      </c>
      <c r="H36" s="222">
        <v>9</v>
      </c>
      <c r="I36" s="207">
        <f t="shared" si="17"/>
        <v>178.04154302670622</v>
      </c>
      <c r="J36" s="242">
        <f t="shared" si="18"/>
        <v>1602.373887240356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43182</v>
      </c>
      <c r="D37" s="161" t="s">
        <v>8</v>
      </c>
      <c r="E37" s="161" t="s">
        <v>192</v>
      </c>
      <c r="F37" s="222">
        <v>245.5</v>
      </c>
      <c r="G37" s="222">
        <v>244</v>
      </c>
      <c r="H37" s="222">
        <v>1.5</v>
      </c>
      <c r="I37" s="207">
        <f t="shared" si="17"/>
        <v>1221.9959266802443</v>
      </c>
      <c r="J37" s="242">
        <f t="shared" si="18"/>
        <v>1832.9938900203665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43185</v>
      </c>
      <c r="D38" s="161" t="s">
        <v>9</v>
      </c>
      <c r="E38" s="161" t="s">
        <v>2023</v>
      </c>
      <c r="F38" s="222">
        <v>1715</v>
      </c>
      <c r="G38" s="222">
        <v>1700</v>
      </c>
      <c r="H38" s="222">
        <v>-15</v>
      </c>
      <c r="I38" s="207">
        <f t="shared" si="17"/>
        <v>174.9271137026239</v>
      </c>
      <c r="J38" s="242">
        <f t="shared" si="18"/>
        <v>-2623.9067055393584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43185</v>
      </c>
      <c r="D39" s="161" t="s">
        <v>8</v>
      </c>
      <c r="E39" s="161" t="s">
        <v>395</v>
      </c>
      <c r="F39" s="222">
        <v>2065</v>
      </c>
      <c r="G39" s="222">
        <v>2055</v>
      </c>
      <c r="H39" s="222">
        <v>10</v>
      </c>
      <c r="I39" s="207">
        <f t="shared" si="17"/>
        <v>145.27845036319613</v>
      </c>
      <c r="J39" s="242">
        <f t="shared" si="18"/>
        <v>1452.7845036319613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43186</v>
      </c>
      <c r="D40" s="161" t="s">
        <v>9</v>
      </c>
      <c r="E40" s="161" t="s">
        <v>2470</v>
      </c>
      <c r="F40" s="222">
        <v>1490</v>
      </c>
      <c r="G40" s="222">
        <v>1505</v>
      </c>
      <c r="H40" s="222">
        <v>15</v>
      </c>
      <c r="I40" s="207">
        <f t="shared" si="17"/>
        <v>201.34228187919464</v>
      </c>
      <c r="J40" s="242">
        <f t="shared" si="18"/>
        <v>3020.1342281879197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43186</v>
      </c>
      <c r="D41" s="161" t="s">
        <v>8</v>
      </c>
      <c r="E41" s="161" t="s">
        <v>107</v>
      </c>
      <c r="F41" s="222">
        <v>2820</v>
      </c>
      <c r="G41" s="223">
        <v>2810</v>
      </c>
      <c r="H41" s="222">
        <v>10</v>
      </c>
      <c r="I41" s="207">
        <f t="shared" si="17"/>
        <v>106.38297872340425</v>
      </c>
      <c r="J41" s="242">
        <f t="shared" si="18"/>
        <v>1063.8297872340424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43187</v>
      </c>
      <c r="D42" s="161" t="s">
        <v>9</v>
      </c>
      <c r="E42" s="161" t="s">
        <v>2023</v>
      </c>
      <c r="F42" s="222">
        <v>1780</v>
      </c>
      <c r="G42" s="222">
        <v>1787</v>
      </c>
      <c r="H42" s="222">
        <v>7</v>
      </c>
      <c r="I42" s="207">
        <f t="shared" si="17"/>
        <v>168.53932584269663</v>
      </c>
      <c r="J42" s="242">
        <f t="shared" si="18"/>
        <v>1179.7752808988764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43187</v>
      </c>
      <c r="D43" s="161" t="s">
        <v>8</v>
      </c>
      <c r="E43" s="161" t="s">
        <v>395</v>
      </c>
      <c r="F43" s="222">
        <v>2095</v>
      </c>
      <c r="G43" s="222">
        <v>2075</v>
      </c>
      <c r="H43" s="222">
        <v>20</v>
      </c>
      <c r="I43" s="207">
        <f t="shared" si="17"/>
        <v>143.19809069212411</v>
      </c>
      <c r="J43" s="242">
        <f t="shared" si="18"/>
        <v>2863.9618138424821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59652.939203907124</v>
      </c>
      <c r="K52" s="153"/>
      <c r="V52" s="25">
        <f>SUM(V6:V51)</f>
        <v>27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2464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43160</v>
      </c>
      <c r="D60" s="158" t="s">
        <v>8</v>
      </c>
      <c r="E60" s="158" t="s">
        <v>95</v>
      </c>
      <c r="F60" s="204">
        <v>313</v>
      </c>
      <c r="G60" s="230">
        <v>305.5</v>
      </c>
      <c r="H60" s="230">
        <v>7.5</v>
      </c>
      <c r="I60" s="204">
        <v>2750</v>
      </c>
      <c r="J60" s="241">
        <f t="shared" ref="J60:J82" si="22">I60*H60</f>
        <v>20625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43164</v>
      </c>
      <c r="D61" s="161" t="s">
        <v>8</v>
      </c>
      <c r="E61" s="161" t="s">
        <v>192</v>
      </c>
      <c r="F61" s="207">
        <v>286</v>
      </c>
      <c r="G61" s="222">
        <v>280.39999999999998</v>
      </c>
      <c r="H61" s="222">
        <v>5.6</v>
      </c>
      <c r="I61" s="207">
        <v>1600</v>
      </c>
      <c r="J61" s="242">
        <f t="shared" si="22"/>
        <v>8960</v>
      </c>
      <c r="K61" s="153"/>
      <c r="V61" s="25">
        <f t="shared" ref="V61:V82" si="23">IF($J61&gt;0,1,0)</f>
        <v>1</v>
      </c>
      <c r="W61" s="25">
        <f t="shared" ref="W61:W82" si="24">IF($J61&lt;0,1,0)</f>
        <v>0</v>
      </c>
    </row>
    <row r="62" spans="1:23" x14ac:dyDescent="0.3">
      <c r="A62" s="147"/>
      <c r="B62" s="205">
        <f t="shared" ref="B62:B82" si="25">B61+1</f>
        <v>3</v>
      </c>
      <c r="C62" s="206">
        <v>43165</v>
      </c>
      <c r="D62" s="161" t="s">
        <v>8</v>
      </c>
      <c r="E62" s="161" t="s">
        <v>192</v>
      </c>
      <c r="F62" s="207">
        <v>284</v>
      </c>
      <c r="G62" s="222">
        <v>276</v>
      </c>
      <c r="H62" s="222">
        <v>8</v>
      </c>
      <c r="I62" s="207">
        <v>1600</v>
      </c>
      <c r="J62" s="242">
        <f t="shared" si="22"/>
        <v>12800</v>
      </c>
      <c r="K62" s="153"/>
      <c r="V62" s="25">
        <f t="shared" si="23"/>
        <v>1</v>
      </c>
      <c r="W62" s="25">
        <f t="shared" si="24"/>
        <v>0</v>
      </c>
    </row>
    <row r="63" spans="1:23" x14ac:dyDescent="0.3">
      <c r="A63" s="147"/>
      <c r="B63" s="205">
        <f t="shared" si="25"/>
        <v>4</v>
      </c>
      <c r="C63" s="206">
        <v>43166</v>
      </c>
      <c r="D63" s="161" t="s">
        <v>8</v>
      </c>
      <c r="E63" s="161" t="s">
        <v>192</v>
      </c>
      <c r="F63" s="222">
        <v>266</v>
      </c>
      <c r="G63" s="222">
        <v>258</v>
      </c>
      <c r="H63" s="222">
        <v>8</v>
      </c>
      <c r="I63" s="207">
        <v>1600</v>
      </c>
      <c r="J63" s="242">
        <f t="shared" si="22"/>
        <v>12800</v>
      </c>
      <c r="K63" s="153"/>
      <c r="V63" s="25">
        <f t="shared" si="23"/>
        <v>1</v>
      </c>
      <c r="W63" s="25">
        <f t="shared" si="24"/>
        <v>0</v>
      </c>
    </row>
    <row r="64" spans="1:23" x14ac:dyDescent="0.3">
      <c r="A64" s="147"/>
      <c r="B64" s="205">
        <f t="shared" si="25"/>
        <v>5</v>
      </c>
      <c r="C64" s="206">
        <v>43167</v>
      </c>
      <c r="D64" s="161" t="s">
        <v>8</v>
      </c>
      <c r="E64" s="161" t="s">
        <v>192</v>
      </c>
      <c r="F64" s="207">
        <v>248</v>
      </c>
      <c r="G64" s="222">
        <v>240</v>
      </c>
      <c r="H64" s="222">
        <v>8</v>
      </c>
      <c r="I64" s="207">
        <v>1600</v>
      </c>
      <c r="J64" s="242">
        <f t="shared" si="22"/>
        <v>12800</v>
      </c>
      <c r="K64" s="153"/>
      <c r="V64" s="25">
        <f t="shared" si="23"/>
        <v>1</v>
      </c>
      <c r="W64" s="25">
        <f t="shared" si="24"/>
        <v>0</v>
      </c>
    </row>
    <row r="65" spans="1:23" x14ac:dyDescent="0.3">
      <c r="A65" s="147"/>
      <c r="B65" s="205">
        <f t="shared" si="25"/>
        <v>6</v>
      </c>
      <c r="C65" s="206">
        <v>43168</v>
      </c>
      <c r="D65" s="161" t="s">
        <v>8</v>
      </c>
      <c r="E65" s="161" t="s">
        <v>192</v>
      </c>
      <c r="F65" s="207">
        <v>246</v>
      </c>
      <c r="G65" s="222">
        <v>238</v>
      </c>
      <c r="H65" s="222">
        <v>8</v>
      </c>
      <c r="I65" s="207">
        <v>1600</v>
      </c>
      <c r="J65" s="242">
        <f t="shared" si="22"/>
        <v>12800</v>
      </c>
      <c r="K65" s="153"/>
      <c r="V65" s="25">
        <f t="shared" si="23"/>
        <v>1</v>
      </c>
      <c r="W65" s="25">
        <f t="shared" si="24"/>
        <v>0</v>
      </c>
    </row>
    <row r="66" spans="1:23" x14ac:dyDescent="0.3">
      <c r="A66" s="147"/>
      <c r="B66" s="205">
        <f t="shared" si="25"/>
        <v>7</v>
      </c>
      <c r="C66" s="206">
        <v>43171</v>
      </c>
      <c r="D66" s="161" t="s">
        <v>8</v>
      </c>
      <c r="E66" s="161" t="s">
        <v>192</v>
      </c>
      <c r="F66" s="207">
        <v>232</v>
      </c>
      <c r="G66" s="222">
        <v>228</v>
      </c>
      <c r="H66" s="222">
        <v>4</v>
      </c>
      <c r="I66" s="207">
        <v>1600</v>
      </c>
      <c r="J66" s="242">
        <f t="shared" si="22"/>
        <v>6400</v>
      </c>
      <c r="K66" s="153"/>
      <c r="V66" s="25">
        <f t="shared" si="23"/>
        <v>1</v>
      </c>
      <c r="W66" s="25">
        <f t="shared" si="24"/>
        <v>0</v>
      </c>
    </row>
    <row r="67" spans="1:23" x14ac:dyDescent="0.3">
      <c r="A67" s="147"/>
      <c r="B67" s="205">
        <f t="shared" si="25"/>
        <v>8</v>
      </c>
      <c r="C67" s="206">
        <v>43172</v>
      </c>
      <c r="D67" s="161" t="s">
        <v>8</v>
      </c>
      <c r="E67" s="161" t="s">
        <v>192</v>
      </c>
      <c r="F67" s="222">
        <v>250</v>
      </c>
      <c r="G67" s="222">
        <v>246.8</v>
      </c>
      <c r="H67" s="222">
        <v>3.2</v>
      </c>
      <c r="I67" s="207">
        <v>1600</v>
      </c>
      <c r="J67" s="242">
        <f t="shared" si="22"/>
        <v>5120</v>
      </c>
      <c r="K67" s="153"/>
      <c r="V67" s="25">
        <f t="shared" si="23"/>
        <v>1</v>
      </c>
      <c r="W67" s="25">
        <f t="shared" si="24"/>
        <v>0</v>
      </c>
    </row>
    <row r="68" spans="1:23" x14ac:dyDescent="0.3">
      <c r="A68" s="147"/>
      <c r="B68" s="205">
        <f t="shared" si="25"/>
        <v>9</v>
      </c>
      <c r="C68" s="206">
        <v>43173</v>
      </c>
      <c r="D68" s="161" t="s">
        <v>8</v>
      </c>
      <c r="E68" s="161" t="s">
        <v>192</v>
      </c>
      <c r="F68" s="222">
        <v>248</v>
      </c>
      <c r="G68" s="222">
        <v>245.8</v>
      </c>
      <c r="H68" s="222">
        <v>2.2000000000000002</v>
      </c>
      <c r="I68" s="207">
        <v>1600</v>
      </c>
      <c r="J68" s="242">
        <f t="shared" si="22"/>
        <v>3520.0000000000005</v>
      </c>
      <c r="K68" s="153"/>
      <c r="V68" s="25">
        <f t="shared" si="23"/>
        <v>1</v>
      </c>
      <c r="W68" s="25">
        <f t="shared" si="24"/>
        <v>0</v>
      </c>
    </row>
    <row r="69" spans="1:23" x14ac:dyDescent="0.3">
      <c r="A69" s="147"/>
      <c r="B69" s="205">
        <f t="shared" si="25"/>
        <v>10</v>
      </c>
      <c r="C69" s="206">
        <v>43174</v>
      </c>
      <c r="D69" s="161" t="s">
        <v>8</v>
      </c>
      <c r="E69" s="161" t="s">
        <v>192</v>
      </c>
      <c r="F69" s="222">
        <v>261.5</v>
      </c>
      <c r="G69" s="222">
        <v>258.89999999999998</v>
      </c>
      <c r="H69" s="222">
        <v>2.6</v>
      </c>
      <c r="I69" s="207">
        <v>1600</v>
      </c>
      <c r="J69" s="242">
        <f t="shared" si="22"/>
        <v>4160</v>
      </c>
      <c r="K69" s="153"/>
      <c r="V69" s="25">
        <f t="shared" si="23"/>
        <v>1</v>
      </c>
      <c r="W69" s="25">
        <f t="shared" si="24"/>
        <v>0</v>
      </c>
    </row>
    <row r="70" spans="1:23" x14ac:dyDescent="0.3">
      <c r="A70" s="147"/>
      <c r="B70" s="205">
        <f t="shared" si="25"/>
        <v>11</v>
      </c>
      <c r="C70" s="206">
        <v>43175</v>
      </c>
      <c r="D70" s="161" t="s">
        <v>8</v>
      </c>
      <c r="E70" s="161" t="s">
        <v>95</v>
      </c>
      <c r="F70" s="222">
        <v>301</v>
      </c>
      <c r="G70" s="222">
        <v>299</v>
      </c>
      <c r="H70" s="222">
        <v>2</v>
      </c>
      <c r="I70" s="207">
        <v>2750</v>
      </c>
      <c r="J70" s="242">
        <f t="shared" si="22"/>
        <v>5500</v>
      </c>
      <c r="K70" s="153"/>
      <c r="V70" s="25">
        <f t="shared" si="23"/>
        <v>1</v>
      </c>
      <c r="W70" s="25">
        <f t="shared" si="24"/>
        <v>0</v>
      </c>
    </row>
    <row r="71" spans="1:23" x14ac:dyDescent="0.3">
      <c r="A71" s="147"/>
      <c r="B71" s="205">
        <f t="shared" si="25"/>
        <v>12</v>
      </c>
      <c r="C71" s="206">
        <v>43178</v>
      </c>
      <c r="D71" s="161" t="s">
        <v>8</v>
      </c>
      <c r="E71" s="161" t="s">
        <v>95</v>
      </c>
      <c r="F71" s="222">
        <v>299</v>
      </c>
      <c r="G71" s="222">
        <v>293</v>
      </c>
      <c r="H71" s="222">
        <v>6</v>
      </c>
      <c r="I71" s="207">
        <v>2750</v>
      </c>
      <c r="J71" s="242">
        <f t="shared" si="22"/>
        <v>16500</v>
      </c>
      <c r="K71" s="153"/>
      <c r="V71" s="25">
        <f t="shared" si="23"/>
        <v>1</v>
      </c>
      <c r="W71" s="25">
        <f t="shared" si="24"/>
        <v>0</v>
      </c>
    </row>
    <row r="72" spans="1:23" x14ac:dyDescent="0.3">
      <c r="A72" s="147"/>
      <c r="B72" s="205">
        <f t="shared" si="25"/>
        <v>13</v>
      </c>
      <c r="C72" s="206">
        <v>43179</v>
      </c>
      <c r="D72" s="161" t="s">
        <v>8</v>
      </c>
      <c r="E72" s="161" t="s">
        <v>95</v>
      </c>
      <c r="F72" s="222">
        <v>295.5</v>
      </c>
      <c r="G72" s="222">
        <v>292.5</v>
      </c>
      <c r="H72" s="222">
        <v>3</v>
      </c>
      <c r="I72" s="207">
        <v>2750</v>
      </c>
      <c r="J72" s="242">
        <f t="shared" si="22"/>
        <v>8250</v>
      </c>
      <c r="K72" s="153"/>
      <c r="V72" s="25">
        <f t="shared" si="23"/>
        <v>1</v>
      </c>
      <c r="W72" s="25">
        <f t="shared" si="24"/>
        <v>0</v>
      </c>
    </row>
    <row r="73" spans="1:23" x14ac:dyDescent="0.3">
      <c r="A73" s="147"/>
      <c r="B73" s="205">
        <f t="shared" si="25"/>
        <v>14</v>
      </c>
      <c r="C73" s="206">
        <v>43180</v>
      </c>
      <c r="D73" s="161" t="s">
        <v>8</v>
      </c>
      <c r="E73" s="161" t="s">
        <v>95</v>
      </c>
      <c r="F73" s="223">
        <v>295.5</v>
      </c>
      <c r="G73" s="222">
        <v>289.5</v>
      </c>
      <c r="H73" s="255">
        <v>6</v>
      </c>
      <c r="I73" s="207">
        <v>2750</v>
      </c>
      <c r="J73" s="242">
        <f t="shared" si="22"/>
        <v>16500</v>
      </c>
      <c r="K73" s="153"/>
      <c r="V73" s="25">
        <f t="shared" si="23"/>
        <v>1</v>
      </c>
      <c r="W73" s="25">
        <f t="shared" si="24"/>
        <v>0</v>
      </c>
    </row>
    <row r="74" spans="1:23" x14ac:dyDescent="0.3">
      <c r="A74" s="147"/>
      <c r="B74" s="205">
        <f t="shared" si="25"/>
        <v>15</v>
      </c>
      <c r="C74" s="206">
        <v>43181</v>
      </c>
      <c r="D74" s="161" t="s">
        <v>8</v>
      </c>
      <c r="E74" s="161" t="s">
        <v>95</v>
      </c>
      <c r="F74" s="222">
        <v>289</v>
      </c>
      <c r="G74" s="222">
        <v>283</v>
      </c>
      <c r="H74" s="255">
        <v>6</v>
      </c>
      <c r="I74" s="207">
        <v>2750</v>
      </c>
      <c r="J74" s="242">
        <f t="shared" si="22"/>
        <v>16500</v>
      </c>
      <c r="K74" s="153"/>
      <c r="V74" s="25">
        <f t="shared" si="23"/>
        <v>1</v>
      </c>
      <c r="W74" s="25">
        <f t="shared" si="24"/>
        <v>0</v>
      </c>
    </row>
    <row r="75" spans="1:23" x14ac:dyDescent="0.3">
      <c r="A75" s="147"/>
      <c r="B75" s="205">
        <f t="shared" si="25"/>
        <v>16</v>
      </c>
      <c r="C75" s="206">
        <v>43182</v>
      </c>
      <c r="D75" s="161" t="s">
        <v>8</v>
      </c>
      <c r="E75" s="161" t="s">
        <v>192</v>
      </c>
      <c r="F75" s="222">
        <v>247</v>
      </c>
      <c r="G75" s="222">
        <v>243</v>
      </c>
      <c r="H75" s="222">
        <v>4</v>
      </c>
      <c r="I75" s="207">
        <v>1600</v>
      </c>
      <c r="J75" s="242">
        <f t="shared" si="22"/>
        <v>6400</v>
      </c>
      <c r="K75" s="153"/>
      <c r="V75" s="25">
        <f t="shared" si="23"/>
        <v>1</v>
      </c>
      <c r="W75" s="25">
        <f t="shared" si="24"/>
        <v>0</v>
      </c>
    </row>
    <row r="76" spans="1:23" x14ac:dyDescent="0.3">
      <c r="A76" s="147"/>
      <c r="B76" s="205">
        <f t="shared" si="25"/>
        <v>17</v>
      </c>
      <c r="C76" s="206">
        <v>43185</v>
      </c>
      <c r="D76" s="161" t="s">
        <v>8</v>
      </c>
      <c r="E76" s="161" t="s">
        <v>192</v>
      </c>
      <c r="F76" s="222">
        <v>245</v>
      </c>
      <c r="G76" s="222">
        <v>249</v>
      </c>
      <c r="H76" s="222">
        <v>-4</v>
      </c>
      <c r="I76" s="207">
        <v>1600</v>
      </c>
      <c r="J76" s="242">
        <f t="shared" si="22"/>
        <v>-6400</v>
      </c>
      <c r="K76" s="153"/>
      <c r="V76" s="25">
        <f t="shared" si="23"/>
        <v>0</v>
      </c>
      <c r="W76" s="25">
        <f t="shared" si="24"/>
        <v>1</v>
      </c>
    </row>
    <row r="77" spans="1:23" x14ac:dyDescent="0.3">
      <c r="A77" s="147"/>
      <c r="B77" s="205">
        <f t="shared" si="25"/>
        <v>18</v>
      </c>
      <c r="C77" s="206">
        <v>43186</v>
      </c>
      <c r="D77" s="161" t="s">
        <v>8</v>
      </c>
      <c r="E77" s="161" t="s">
        <v>139</v>
      </c>
      <c r="F77" s="222">
        <v>304</v>
      </c>
      <c r="G77" s="222">
        <v>301.7</v>
      </c>
      <c r="H77" s="222">
        <v>2.2999999999999998</v>
      </c>
      <c r="I77" s="207">
        <v>1750</v>
      </c>
      <c r="J77" s="242">
        <f t="shared" si="22"/>
        <v>4024.9999999999995</v>
      </c>
      <c r="K77" s="153"/>
      <c r="V77" s="25">
        <f t="shared" si="23"/>
        <v>1</v>
      </c>
      <c r="W77" s="25">
        <f t="shared" si="24"/>
        <v>0</v>
      </c>
    </row>
    <row r="78" spans="1:23" x14ac:dyDescent="0.3">
      <c r="A78" s="147"/>
      <c r="B78" s="205">
        <f t="shared" si="25"/>
        <v>19</v>
      </c>
      <c r="C78" s="206">
        <v>43187</v>
      </c>
      <c r="D78" s="161" t="s">
        <v>8</v>
      </c>
      <c r="E78" s="161" t="s">
        <v>95</v>
      </c>
      <c r="F78" s="222">
        <v>280</v>
      </c>
      <c r="G78" s="222">
        <v>277.8</v>
      </c>
      <c r="H78" s="222">
        <v>2.2000000000000002</v>
      </c>
      <c r="I78" s="207">
        <v>2750</v>
      </c>
      <c r="J78" s="242">
        <f t="shared" si="22"/>
        <v>6050.0000000000009</v>
      </c>
      <c r="K78" s="153"/>
      <c r="V78" s="25">
        <f t="shared" si="23"/>
        <v>1</v>
      </c>
      <c r="W78" s="25">
        <f t="shared" si="24"/>
        <v>0</v>
      </c>
    </row>
    <row r="79" spans="1:23" x14ac:dyDescent="0.3">
      <c r="A79" s="147"/>
      <c r="B79" s="205">
        <f t="shared" si="25"/>
        <v>20</v>
      </c>
      <c r="C79" s="206"/>
      <c r="D79" s="161"/>
      <c r="E79" s="161"/>
      <c r="F79" s="222"/>
      <c r="G79" s="222"/>
      <c r="H79" s="222"/>
      <c r="I79" s="207"/>
      <c r="J79" s="242">
        <f t="shared" si="22"/>
        <v>0</v>
      </c>
      <c r="K79" s="153"/>
      <c r="V79" s="25">
        <f t="shared" si="23"/>
        <v>0</v>
      </c>
      <c r="W79" s="25">
        <f t="shared" si="24"/>
        <v>0</v>
      </c>
    </row>
    <row r="80" spans="1:23" x14ac:dyDescent="0.3">
      <c r="A80" s="147"/>
      <c r="B80" s="205">
        <f t="shared" si="25"/>
        <v>21</v>
      </c>
      <c r="C80" s="206"/>
      <c r="D80" s="161"/>
      <c r="E80" s="161"/>
      <c r="F80" s="222"/>
      <c r="G80" s="222"/>
      <c r="H80" s="222"/>
      <c r="I80" s="207"/>
      <c r="J80" s="242">
        <f t="shared" si="22"/>
        <v>0</v>
      </c>
      <c r="K80" s="153"/>
      <c r="V80" s="25">
        <f t="shared" si="23"/>
        <v>0</v>
      </c>
      <c r="W80" s="25">
        <f t="shared" si="24"/>
        <v>0</v>
      </c>
    </row>
    <row r="81" spans="1:23" x14ac:dyDescent="0.3">
      <c r="A81" s="147"/>
      <c r="B81" s="205">
        <f t="shared" si="25"/>
        <v>22</v>
      </c>
      <c r="C81" s="206"/>
      <c r="D81" s="161"/>
      <c r="E81" s="161"/>
      <c r="F81" s="222"/>
      <c r="G81" s="222"/>
      <c r="H81" s="222"/>
      <c r="I81" s="207"/>
      <c r="J81" s="242">
        <f t="shared" si="22"/>
        <v>0</v>
      </c>
      <c r="K81" s="153"/>
      <c r="V81" s="25">
        <f t="shared" si="23"/>
        <v>0</v>
      </c>
      <c r="W81" s="25">
        <f t="shared" si="24"/>
        <v>0</v>
      </c>
    </row>
    <row r="82" spans="1:23" ht="15" thickBot="1" x14ac:dyDescent="0.35">
      <c r="A82" s="147"/>
      <c r="B82" s="208">
        <f t="shared" si="25"/>
        <v>23</v>
      </c>
      <c r="C82" s="209"/>
      <c r="D82" s="166"/>
      <c r="E82" s="166"/>
      <c r="F82" s="210"/>
      <c r="G82" s="210"/>
      <c r="H82" s="166"/>
      <c r="I82" s="210"/>
      <c r="J82" s="244">
        <f t="shared" si="22"/>
        <v>0</v>
      </c>
      <c r="K82" s="153"/>
      <c r="V82" s="25">
        <f t="shared" si="23"/>
        <v>0</v>
      </c>
      <c r="W82" s="25">
        <f t="shared" si="24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173310</v>
      </c>
      <c r="K83" s="153"/>
      <c r="V83" s="25">
        <f>SUM(V60:V82)</f>
        <v>18</v>
      </c>
      <c r="W83" s="25">
        <f>SUM(W60:W82)</f>
        <v>1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2464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43160</v>
      </c>
      <c r="D91" s="185" t="s">
        <v>8</v>
      </c>
      <c r="E91" s="185" t="s">
        <v>39</v>
      </c>
      <c r="F91" s="219">
        <v>10505</v>
      </c>
      <c r="G91" s="219">
        <v>10460</v>
      </c>
      <c r="H91" s="185">
        <v>45</v>
      </c>
      <c r="I91" s="219">
        <v>150</v>
      </c>
      <c r="J91" s="246">
        <f t="shared" ref="J91:J113" si="26">I91*H91</f>
        <v>6750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43164</v>
      </c>
      <c r="D92" s="161" t="s">
        <v>8</v>
      </c>
      <c r="E92" s="161" t="s">
        <v>39</v>
      </c>
      <c r="F92" s="207">
        <v>10360</v>
      </c>
      <c r="G92" s="207">
        <v>10320</v>
      </c>
      <c r="H92" s="161">
        <v>40</v>
      </c>
      <c r="I92" s="207">
        <v>150</v>
      </c>
      <c r="J92" s="242">
        <f t="shared" si="26"/>
        <v>6000</v>
      </c>
      <c r="K92" s="153"/>
      <c r="V92" s="25">
        <f t="shared" ref="V92:V113" si="27">IF($J92&gt;0,1,0)</f>
        <v>1</v>
      </c>
      <c r="W92" s="25">
        <f t="shared" ref="W92:W113" si="28">IF($J92&lt;0,1,0)</f>
        <v>0</v>
      </c>
    </row>
    <row r="93" spans="1:23" x14ac:dyDescent="0.3">
      <c r="A93" s="147"/>
      <c r="B93" s="205">
        <f t="shared" ref="B93:B113" si="29">B92+1</f>
        <v>3</v>
      </c>
      <c r="C93" s="206">
        <v>43165</v>
      </c>
      <c r="D93" s="161" t="s">
        <v>8</v>
      </c>
      <c r="E93" s="161" t="s">
        <v>39</v>
      </c>
      <c r="F93" s="207">
        <v>10430</v>
      </c>
      <c r="G93" s="207">
        <v>10370</v>
      </c>
      <c r="H93" s="161">
        <v>60</v>
      </c>
      <c r="I93" s="207">
        <v>150</v>
      </c>
      <c r="J93" s="242">
        <f t="shared" si="26"/>
        <v>9000</v>
      </c>
      <c r="K93" s="153"/>
      <c r="V93" s="25">
        <f t="shared" si="27"/>
        <v>1</v>
      </c>
      <c r="W93" s="25">
        <f t="shared" si="28"/>
        <v>0</v>
      </c>
    </row>
    <row r="94" spans="1:23" x14ac:dyDescent="0.3">
      <c r="A94" s="147"/>
      <c r="B94" s="205">
        <f t="shared" si="29"/>
        <v>4</v>
      </c>
      <c r="C94" s="206">
        <v>43166</v>
      </c>
      <c r="D94" s="161" t="s">
        <v>8</v>
      </c>
      <c r="E94" s="161" t="s">
        <v>39</v>
      </c>
      <c r="F94" s="207">
        <v>10240</v>
      </c>
      <c r="G94" s="207">
        <v>10180</v>
      </c>
      <c r="H94" s="161">
        <v>60</v>
      </c>
      <c r="I94" s="207">
        <v>150</v>
      </c>
      <c r="J94" s="242">
        <f t="shared" si="26"/>
        <v>9000</v>
      </c>
      <c r="K94" s="153"/>
      <c r="V94" s="25">
        <f t="shared" si="27"/>
        <v>1</v>
      </c>
      <c r="W94" s="25">
        <f t="shared" si="28"/>
        <v>0</v>
      </c>
    </row>
    <row r="95" spans="1:23" x14ac:dyDescent="0.3">
      <c r="A95" s="147"/>
      <c r="B95" s="205">
        <f t="shared" si="29"/>
        <v>5</v>
      </c>
      <c r="C95" s="206">
        <v>43167</v>
      </c>
      <c r="D95" s="161" t="s">
        <v>8</v>
      </c>
      <c r="E95" s="161" t="s">
        <v>39</v>
      </c>
      <c r="F95" s="207">
        <v>10200</v>
      </c>
      <c r="G95" s="207">
        <v>10160</v>
      </c>
      <c r="H95" s="161">
        <v>40</v>
      </c>
      <c r="I95" s="207">
        <v>150</v>
      </c>
      <c r="J95" s="242">
        <f t="shared" si="26"/>
        <v>6000</v>
      </c>
      <c r="K95" s="153"/>
      <c r="V95" s="25">
        <f t="shared" si="27"/>
        <v>1</v>
      </c>
      <c r="W95" s="25">
        <f t="shared" si="28"/>
        <v>0</v>
      </c>
    </row>
    <row r="96" spans="1:23" x14ac:dyDescent="0.3">
      <c r="A96" s="147"/>
      <c r="B96" s="205">
        <f t="shared" si="29"/>
        <v>6</v>
      </c>
      <c r="C96" s="206">
        <v>43168</v>
      </c>
      <c r="D96" s="161" t="s">
        <v>8</v>
      </c>
      <c r="E96" s="161" t="s">
        <v>39</v>
      </c>
      <c r="F96" s="207">
        <v>10250</v>
      </c>
      <c r="G96" s="207">
        <v>10280</v>
      </c>
      <c r="H96" s="161">
        <v>-30</v>
      </c>
      <c r="I96" s="207">
        <v>150</v>
      </c>
      <c r="J96" s="242">
        <f t="shared" si="26"/>
        <v>-4500</v>
      </c>
      <c r="K96" s="153"/>
      <c r="V96" s="25">
        <f t="shared" si="27"/>
        <v>0</v>
      </c>
      <c r="W96" s="25">
        <f t="shared" si="28"/>
        <v>1</v>
      </c>
    </row>
    <row r="97" spans="1:23" x14ac:dyDescent="0.3">
      <c r="A97" s="147"/>
      <c r="B97" s="205">
        <f t="shared" si="29"/>
        <v>7</v>
      </c>
      <c r="C97" s="206">
        <v>43171</v>
      </c>
      <c r="D97" s="161" t="s">
        <v>8</v>
      </c>
      <c r="E97" s="161" t="s">
        <v>39</v>
      </c>
      <c r="F97" s="207">
        <v>10310</v>
      </c>
      <c r="G97" s="207">
        <v>10340</v>
      </c>
      <c r="H97" s="161">
        <v>-30</v>
      </c>
      <c r="I97" s="207">
        <v>150</v>
      </c>
      <c r="J97" s="242">
        <f t="shared" si="26"/>
        <v>-4500</v>
      </c>
      <c r="K97" s="153"/>
      <c r="V97" s="25">
        <f t="shared" si="27"/>
        <v>0</v>
      </c>
      <c r="W97" s="25">
        <f t="shared" si="28"/>
        <v>1</v>
      </c>
    </row>
    <row r="98" spans="1:23" x14ac:dyDescent="0.3">
      <c r="A98" s="147"/>
      <c r="B98" s="205">
        <f t="shared" si="29"/>
        <v>8</v>
      </c>
      <c r="C98" s="206">
        <v>43172</v>
      </c>
      <c r="D98" s="161" t="s">
        <v>8</v>
      </c>
      <c r="E98" s="161" t="s">
        <v>39</v>
      </c>
      <c r="F98" s="207">
        <v>10475</v>
      </c>
      <c r="G98" s="207">
        <v>10415</v>
      </c>
      <c r="H98" s="161">
        <v>60</v>
      </c>
      <c r="I98" s="207">
        <v>150</v>
      </c>
      <c r="J98" s="242">
        <f t="shared" si="26"/>
        <v>9000</v>
      </c>
      <c r="K98" s="153"/>
      <c r="V98" s="25">
        <f t="shared" si="27"/>
        <v>1</v>
      </c>
      <c r="W98" s="25">
        <f t="shared" si="28"/>
        <v>0</v>
      </c>
    </row>
    <row r="99" spans="1:23" x14ac:dyDescent="0.3">
      <c r="A99" s="147"/>
      <c r="B99" s="205">
        <f t="shared" si="29"/>
        <v>9</v>
      </c>
      <c r="C99" s="206">
        <v>43173</v>
      </c>
      <c r="D99" s="161" t="s">
        <v>8</v>
      </c>
      <c r="E99" s="161" t="s">
        <v>39</v>
      </c>
      <c r="F99" s="207">
        <v>10390</v>
      </c>
      <c r="G99" s="207">
        <v>10350</v>
      </c>
      <c r="H99" s="161">
        <v>40</v>
      </c>
      <c r="I99" s="207">
        <v>150</v>
      </c>
      <c r="J99" s="242">
        <f t="shared" si="26"/>
        <v>6000</v>
      </c>
      <c r="K99" s="153"/>
      <c r="V99" s="25">
        <f t="shared" si="27"/>
        <v>1</v>
      </c>
      <c r="W99" s="25">
        <f t="shared" si="28"/>
        <v>0</v>
      </c>
    </row>
    <row r="100" spans="1:23" x14ac:dyDescent="0.3">
      <c r="A100" s="147"/>
      <c r="B100" s="205">
        <f t="shared" si="29"/>
        <v>10</v>
      </c>
      <c r="C100" s="206">
        <v>43174</v>
      </c>
      <c r="D100" s="161" t="s">
        <v>8</v>
      </c>
      <c r="E100" s="161" t="s">
        <v>39</v>
      </c>
      <c r="F100" s="207">
        <v>10410</v>
      </c>
      <c r="G100" s="207">
        <v>10370</v>
      </c>
      <c r="H100" s="161">
        <v>40</v>
      </c>
      <c r="I100" s="207">
        <v>150</v>
      </c>
      <c r="J100" s="242">
        <f t="shared" si="26"/>
        <v>6000</v>
      </c>
      <c r="K100" s="153"/>
      <c r="V100" s="25">
        <f t="shared" si="27"/>
        <v>1</v>
      </c>
      <c r="W100" s="25">
        <f t="shared" si="28"/>
        <v>0</v>
      </c>
    </row>
    <row r="101" spans="1:23" x14ac:dyDescent="0.3">
      <c r="A101" s="147"/>
      <c r="B101" s="205">
        <f t="shared" si="29"/>
        <v>11</v>
      </c>
      <c r="C101" s="206">
        <v>43175</v>
      </c>
      <c r="D101" s="161" t="s">
        <v>8</v>
      </c>
      <c r="E101" s="161" t="s">
        <v>39</v>
      </c>
      <c r="F101" s="207">
        <v>10325</v>
      </c>
      <c r="G101" s="207">
        <v>10265</v>
      </c>
      <c r="H101" s="161">
        <v>60</v>
      </c>
      <c r="I101" s="207">
        <v>150</v>
      </c>
      <c r="J101" s="242">
        <f t="shared" si="26"/>
        <v>9000</v>
      </c>
      <c r="K101" s="153"/>
      <c r="V101" s="25">
        <f t="shared" si="27"/>
        <v>1</v>
      </c>
      <c r="W101" s="25">
        <f t="shared" si="28"/>
        <v>0</v>
      </c>
    </row>
    <row r="102" spans="1:23" x14ac:dyDescent="0.3">
      <c r="A102" s="147"/>
      <c r="B102" s="205">
        <f t="shared" si="29"/>
        <v>12</v>
      </c>
      <c r="C102" s="206">
        <v>43178</v>
      </c>
      <c r="D102" s="161" t="s">
        <v>8</v>
      </c>
      <c r="E102" s="161" t="s">
        <v>39</v>
      </c>
      <c r="F102" s="207">
        <v>10190</v>
      </c>
      <c r="G102" s="207">
        <v>10130</v>
      </c>
      <c r="H102" s="161">
        <v>60</v>
      </c>
      <c r="I102" s="207">
        <v>150</v>
      </c>
      <c r="J102" s="242">
        <f t="shared" si="26"/>
        <v>9000</v>
      </c>
      <c r="K102" s="153"/>
      <c r="V102" s="25">
        <f t="shared" si="27"/>
        <v>1</v>
      </c>
      <c r="W102" s="25">
        <f t="shared" si="28"/>
        <v>0</v>
      </c>
    </row>
    <row r="103" spans="1:23" x14ac:dyDescent="0.3">
      <c r="A103" s="147"/>
      <c r="B103" s="205">
        <f t="shared" si="29"/>
        <v>13</v>
      </c>
      <c r="C103" s="206">
        <v>43179</v>
      </c>
      <c r="D103" s="161" t="s">
        <v>8</v>
      </c>
      <c r="E103" s="161" t="s">
        <v>39</v>
      </c>
      <c r="F103" s="207">
        <v>10150</v>
      </c>
      <c r="G103" s="207">
        <v>10135</v>
      </c>
      <c r="H103" s="161">
        <v>15</v>
      </c>
      <c r="I103" s="207">
        <v>150</v>
      </c>
      <c r="J103" s="242">
        <f t="shared" si="26"/>
        <v>2250</v>
      </c>
      <c r="K103" s="153"/>
      <c r="V103" s="25">
        <f t="shared" si="27"/>
        <v>1</v>
      </c>
      <c r="W103" s="25">
        <f t="shared" si="28"/>
        <v>0</v>
      </c>
    </row>
    <row r="104" spans="1:23" x14ac:dyDescent="0.3">
      <c r="A104" s="147"/>
      <c r="B104" s="205">
        <f t="shared" si="29"/>
        <v>14</v>
      </c>
      <c r="C104" s="206">
        <v>43180</v>
      </c>
      <c r="D104" s="161" t="s">
        <v>8</v>
      </c>
      <c r="E104" s="161" t="s">
        <v>39</v>
      </c>
      <c r="F104" s="207">
        <v>10250</v>
      </c>
      <c r="G104" s="207">
        <v>10190</v>
      </c>
      <c r="H104" s="161">
        <v>60</v>
      </c>
      <c r="I104" s="207">
        <v>150</v>
      </c>
      <c r="J104" s="242">
        <f t="shared" si="26"/>
        <v>9000</v>
      </c>
      <c r="K104" s="153"/>
      <c r="V104" s="25">
        <f t="shared" si="27"/>
        <v>1</v>
      </c>
      <c r="W104" s="25">
        <f t="shared" si="28"/>
        <v>0</v>
      </c>
    </row>
    <row r="105" spans="1:23" x14ac:dyDescent="0.3">
      <c r="A105" s="147"/>
      <c r="B105" s="205">
        <f t="shared" si="29"/>
        <v>15</v>
      </c>
      <c r="C105" s="206">
        <v>43181</v>
      </c>
      <c r="D105" s="161" t="s">
        <v>8</v>
      </c>
      <c r="E105" s="161" t="s">
        <v>39</v>
      </c>
      <c r="F105" s="207">
        <v>10210</v>
      </c>
      <c r="G105" s="207">
        <v>10150</v>
      </c>
      <c r="H105" s="161">
        <v>60</v>
      </c>
      <c r="I105" s="207">
        <v>150</v>
      </c>
      <c r="J105" s="242">
        <f t="shared" si="26"/>
        <v>9000</v>
      </c>
      <c r="K105" s="153"/>
      <c r="V105" s="25">
        <f t="shared" si="27"/>
        <v>1</v>
      </c>
      <c r="W105" s="25">
        <f t="shared" si="28"/>
        <v>0</v>
      </c>
    </row>
    <row r="106" spans="1:23" x14ac:dyDescent="0.3">
      <c r="A106" s="147"/>
      <c r="B106" s="205">
        <f t="shared" si="29"/>
        <v>16</v>
      </c>
      <c r="C106" s="206">
        <v>43182</v>
      </c>
      <c r="D106" s="161" t="s">
        <v>8</v>
      </c>
      <c r="E106" s="161" t="s">
        <v>39</v>
      </c>
      <c r="F106" s="207">
        <v>10000</v>
      </c>
      <c r="G106" s="207">
        <v>9960</v>
      </c>
      <c r="H106" s="161">
        <v>40</v>
      </c>
      <c r="I106" s="207">
        <v>150</v>
      </c>
      <c r="J106" s="242">
        <f t="shared" si="26"/>
        <v>6000</v>
      </c>
      <c r="K106" s="153"/>
      <c r="V106" s="25">
        <f t="shared" si="27"/>
        <v>1</v>
      </c>
      <c r="W106" s="25">
        <f t="shared" si="28"/>
        <v>0</v>
      </c>
    </row>
    <row r="107" spans="1:23" x14ac:dyDescent="0.3">
      <c r="A107" s="147"/>
      <c r="B107" s="205">
        <f t="shared" si="29"/>
        <v>17</v>
      </c>
      <c r="C107" s="206">
        <v>43185</v>
      </c>
      <c r="D107" s="161" t="s">
        <v>8</v>
      </c>
      <c r="E107" s="161" t="s">
        <v>39</v>
      </c>
      <c r="F107" s="207">
        <v>10000</v>
      </c>
      <c r="G107" s="207">
        <v>9985</v>
      </c>
      <c r="H107" s="161">
        <v>15</v>
      </c>
      <c r="I107" s="207">
        <v>150</v>
      </c>
      <c r="J107" s="242">
        <f t="shared" si="26"/>
        <v>2250</v>
      </c>
      <c r="K107" s="153"/>
      <c r="V107" s="25">
        <f t="shared" si="27"/>
        <v>1</v>
      </c>
      <c r="W107" s="25">
        <f t="shared" si="28"/>
        <v>0</v>
      </c>
    </row>
    <row r="108" spans="1:23" x14ac:dyDescent="0.3">
      <c r="A108" s="147"/>
      <c r="B108" s="205">
        <f t="shared" si="29"/>
        <v>18</v>
      </c>
      <c r="C108" s="206">
        <v>43186</v>
      </c>
      <c r="D108" s="161" t="s">
        <v>8</v>
      </c>
      <c r="E108" s="161" t="s">
        <v>39</v>
      </c>
      <c r="F108" s="207">
        <v>10180</v>
      </c>
      <c r="G108" s="207">
        <v>10150</v>
      </c>
      <c r="H108" s="161">
        <v>30</v>
      </c>
      <c r="I108" s="207">
        <v>150</v>
      </c>
      <c r="J108" s="242">
        <f t="shared" si="26"/>
        <v>4500</v>
      </c>
      <c r="K108" s="153"/>
      <c r="V108" s="25">
        <f t="shared" si="27"/>
        <v>1</v>
      </c>
      <c r="W108" s="25">
        <f t="shared" si="28"/>
        <v>0</v>
      </c>
    </row>
    <row r="109" spans="1:23" x14ac:dyDescent="0.3">
      <c r="A109" s="147"/>
      <c r="B109" s="205">
        <f t="shared" si="29"/>
        <v>19</v>
      </c>
      <c r="C109" s="206">
        <v>43187</v>
      </c>
      <c r="D109" s="161" t="s">
        <v>8</v>
      </c>
      <c r="E109" s="161" t="s">
        <v>39</v>
      </c>
      <c r="F109" s="207">
        <v>10120</v>
      </c>
      <c r="G109" s="207">
        <v>10150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7"/>
        <v>0</v>
      </c>
      <c r="W109" s="25">
        <f t="shared" si="28"/>
        <v>1</v>
      </c>
    </row>
    <row r="110" spans="1:23" x14ac:dyDescent="0.3">
      <c r="A110" s="147"/>
      <c r="B110" s="205">
        <f t="shared" si="29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6"/>
        <v>0</v>
      </c>
      <c r="K110" s="153"/>
      <c r="V110" s="25">
        <f t="shared" si="27"/>
        <v>0</v>
      </c>
      <c r="W110" s="25">
        <f t="shared" si="28"/>
        <v>0</v>
      </c>
    </row>
    <row r="111" spans="1:23" x14ac:dyDescent="0.3">
      <c r="A111" s="147"/>
      <c r="B111" s="205">
        <f t="shared" si="29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6"/>
        <v>0</v>
      </c>
      <c r="K111" s="153"/>
      <c r="V111" s="25">
        <f t="shared" si="27"/>
        <v>0</v>
      </c>
      <c r="W111" s="25">
        <f t="shared" si="28"/>
        <v>0</v>
      </c>
    </row>
    <row r="112" spans="1:23" x14ac:dyDescent="0.3">
      <c r="A112" s="147"/>
      <c r="B112" s="205">
        <f t="shared" si="29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6"/>
        <v>0</v>
      </c>
      <c r="K112" s="153"/>
      <c r="V112" s="25">
        <f t="shared" si="27"/>
        <v>0</v>
      </c>
      <c r="W112" s="25">
        <f t="shared" si="28"/>
        <v>0</v>
      </c>
    </row>
    <row r="113" spans="1:23" ht="15" thickBot="1" x14ac:dyDescent="0.35">
      <c r="A113" s="147"/>
      <c r="B113" s="208">
        <f t="shared" si="29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6"/>
        <v>0</v>
      </c>
      <c r="K113" s="153"/>
      <c r="V113" s="25">
        <f t="shared" si="27"/>
        <v>0</v>
      </c>
      <c r="W113" s="25">
        <f t="shared" si="28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95250</v>
      </c>
      <c r="K114" s="153"/>
      <c r="V114" s="25">
        <f>SUM(V91:V113)</f>
        <v>16</v>
      </c>
      <c r="W114" s="25">
        <f>SUM(W91:W113)</f>
        <v>3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2464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43160</v>
      </c>
      <c r="D122" s="185" t="s">
        <v>9</v>
      </c>
      <c r="E122" s="185" t="s">
        <v>2373</v>
      </c>
      <c r="F122" s="219">
        <v>140</v>
      </c>
      <c r="G122" s="219">
        <v>160</v>
      </c>
      <c r="H122" s="185">
        <v>20</v>
      </c>
      <c r="I122" s="219">
        <v>300</v>
      </c>
      <c r="J122" s="246">
        <f t="shared" ref="J122:J144" si="30">I122*H122</f>
        <v>6000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43164</v>
      </c>
      <c r="D123" s="161" t="s">
        <v>9</v>
      </c>
      <c r="E123" s="161" t="s">
        <v>2376</v>
      </c>
      <c r="F123" s="207">
        <v>170</v>
      </c>
      <c r="G123" s="207">
        <v>190</v>
      </c>
      <c r="H123" s="161">
        <v>20</v>
      </c>
      <c r="I123" s="207">
        <v>300</v>
      </c>
      <c r="J123" s="242">
        <f t="shared" si="30"/>
        <v>6000</v>
      </c>
      <c r="K123" s="153"/>
      <c r="V123" s="25">
        <f t="shared" ref="V123:V144" si="31">IF($J123&gt;0,1,0)</f>
        <v>1</v>
      </c>
      <c r="W123" s="25">
        <f t="shared" ref="W123:W144" si="32">IF($J123&lt;0,1,0)</f>
        <v>0</v>
      </c>
    </row>
    <row r="124" spans="1:23" x14ac:dyDescent="0.3">
      <c r="A124" s="147"/>
      <c r="B124" s="205">
        <f t="shared" ref="B124:B144" si="33">B123+1</f>
        <v>3</v>
      </c>
      <c r="C124" s="206">
        <v>43165</v>
      </c>
      <c r="D124" s="161" t="s">
        <v>9</v>
      </c>
      <c r="E124" s="161" t="s">
        <v>2373</v>
      </c>
      <c r="F124" s="207">
        <v>170</v>
      </c>
      <c r="G124" s="207">
        <v>210</v>
      </c>
      <c r="H124" s="161">
        <v>40</v>
      </c>
      <c r="I124" s="207">
        <v>300</v>
      </c>
      <c r="J124" s="242">
        <f t="shared" si="30"/>
        <v>12000</v>
      </c>
      <c r="K124" s="153"/>
      <c r="V124" s="25">
        <f t="shared" si="31"/>
        <v>1</v>
      </c>
      <c r="W124" s="25">
        <f t="shared" si="32"/>
        <v>0</v>
      </c>
    </row>
    <row r="125" spans="1:23" x14ac:dyDescent="0.3">
      <c r="A125" s="147"/>
      <c r="B125" s="205">
        <f t="shared" si="33"/>
        <v>4</v>
      </c>
      <c r="C125" s="206">
        <v>43166</v>
      </c>
      <c r="D125" s="161" t="s">
        <v>9</v>
      </c>
      <c r="E125" s="161" t="s">
        <v>2346</v>
      </c>
      <c r="F125" s="207">
        <v>130</v>
      </c>
      <c r="G125" s="207">
        <v>160</v>
      </c>
      <c r="H125" s="161">
        <v>60</v>
      </c>
      <c r="I125" s="207">
        <v>300</v>
      </c>
      <c r="J125" s="242">
        <f t="shared" si="30"/>
        <v>18000</v>
      </c>
      <c r="K125" s="153"/>
      <c r="V125" s="25">
        <f t="shared" si="31"/>
        <v>1</v>
      </c>
      <c r="W125" s="25">
        <f t="shared" si="32"/>
        <v>0</v>
      </c>
    </row>
    <row r="126" spans="1:23" x14ac:dyDescent="0.3">
      <c r="A126" s="147"/>
      <c r="B126" s="205">
        <f t="shared" si="33"/>
        <v>5</v>
      </c>
      <c r="C126" s="206">
        <v>43167</v>
      </c>
      <c r="D126" s="161" t="s">
        <v>9</v>
      </c>
      <c r="E126" s="161" t="s">
        <v>2346</v>
      </c>
      <c r="F126" s="207">
        <v>130</v>
      </c>
      <c r="G126" s="207">
        <v>150</v>
      </c>
      <c r="H126" s="161">
        <v>20</v>
      </c>
      <c r="I126" s="207">
        <v>300</v>
      </c>
      <c r="J126" s="242">
        <f t="shared" si="30"/>
        <v>6000</v>
      </c>
      <c r="K126" s="153"/>
      <c r="M126" s="25" t="s">
        <v>2008</v>
      </c>
      <c r="V126" s="25">
        <f t="shared" si="31"/>
        <v>1</v>
      </c>
      <c r="W126" s="25">
        <f t="shared" si="32"/>
        <v>0</v>
      </c>
    </row>
    <row r="127" spans="1:23" x14ac:dyDescent="0.3">
      <c r="A127" s="147"/>
      <c r="B127" s="205">
        <f t="shared" si="33"/>
        <v>6</v>
      </c>
      <c r="C127" s="206">
        <v>43168</v>
      </c>
      <c r="D127" s="161" t="s">
        <v>9</v>
      </c>
      <c r="E127" s="161" t="s">
        <v>2346</v>
      </c>
      <c r="F127" s="207">
        <v>105</v>
      </c>
      <c r="G127" s="207">
        <v>85</v>
      </c>
      <c r="H127" s="161">
        <v>-20</v>
      </c>
      <c r="I127" s="207">
        <v>300</v>
      </c>
      <c r="J127" s="242">
        <f t="shared" si="30"/>
        <v>-6000</v>
      </c>
      <c r="K127" s="153"/>
      <c r="V127" s="25">
        <f t="shared" si="31"/>
        <v>0</v>
      </c>
      <c r="W127" s="25">
        <f t="shared" si="32"/>
        <v>1</v>
      </c>
    </row>
    <row r="128" spans="1:23" x14ac:dyDescent="0.3">
      <c r="A128" s="147"/>
      <c r="B128" s="205">
        <f t="shared" si="33"/>
        <v>7</v>
      </c>
      <c r="C128" s="206">
        <v>43171</v>
      </c>
      <c r="D128" s="161" t="s">
        <v>9</v>
      </c>
      <c r="E128" s="161" t="s">
        <v>2348</v>
      </c>
      <c r="F128" s="207">
        <v>100</v>
      </c>
      <c r="G128" s="207">
        <v>80</v>
      </c>
      <c r="H128" s="161">
        <v>-20</v>
      </c>
      <c r="I128" s="207">
        <v>300</v>
      </c>
      <c r="J128" s="242">
        <f t="shared" si="30"/>
        <v>-6000</v>
      </c>
      <c r="K128" s="153"/>
      <c r="V128" s="25">
        <f t="shared" si="31"/>
        <v>0</v>
      </c>
      <c r="W128" s="25">
        <f t="shared" si="32"/>
        <v>1</v>
      </c>
    </row>
    <row r="129" spans="1:23" x14ac:dyDescent="0.3">
      <c r="A129" s="147"/>
      <c r="B129" s="205">
        <f t="shared" si="33"/>
        <v>8</v>
      </c>
      <c r="C129" s="206">
        <v>43172</v>
      </c>
      <c r="D129" s="161" t="s">
        <v>9</v>
      </c>
      <c r="E129" s="161" t="s">
        <v>2373</v>
      </c>
      <c r="F129" s="207">
        <v>115</v>
      </c>
      <c r="G129" s="207">
        <v>155</v>
      </c>
      <c r="H129" s="161">
        <v>40</v>
      </c>
      <c r="I129" s="207">
        <v>300</v>
      </c>
      <c r="J129" s="242">
        <f t="shared" si="30"/>
        <v>12000</v>
      </c>
      <c r="K129" s="153"/>
      <c r="V129" s="25">
        <f t="shared" si="31"/>
        <v>1</v>
      </c>
      <c r="W129" s="25">
        <f t="shared" si="32"/>
        <v>0</v>
      </c>
    </row>
    <row r="130" spans="1:23" x14ac:dyDescent="0.3">
      <c r="A130" s="147"/>
      <c r="B130" s="205">
        <f t="shared" si="33"/>
        <v>9</v>
      </c>
      <c r="C130" s="206">
        <v>43173</v>
      </c>
      <c r="D130" s="161" t="s">
        <v>9</v>
      </c>
      <c r="E130" s="161" t="s">
        <v>2376</v>
      </c>
      <c r="F130" s="207">
        <v>115</v>
      </c>
      <c r="G130" s="207">
        <v>135</v>
      </c>
      <c r="H130" s="161">
        <v>20</v>
      </c>
      <c r="I130" s="207">
        <v>300</v>
      </c>
      <c r="J130" s="242">
        <f t="shared" si="30"/>
        <v>6000</v>
      </c>
      <c r="K130" s="153"/>
      <c r="V130" s="25">
        <f t="shared" si="31"/>
        <v>1</v>
      </c>
      <c r="W130" s="25">
        <f t="shared" si="32"/>
        <v>0</v>
      </c>
    </row>
    <row r="131" spans="1:23" x14ac:dyDescent="0.3">
      <c r="A131" s="147"/>
      <c r="B131" s="205">
        <f t="shared" si="33"/>
        <v>10</v>
      </c>
      <c r="C131" s="206">
        <v>43174</v>
      </c>
      <c r="D131" s="161" t="s">
        <v>9</v>
      </c>
      <c r="E131" s="161" t="s">
        <v>2376</v>
      </c>
      <c r="F131" s="207">
        <v>100</v>
      </c>
      <c r="G131" s="207">
        <v>120</v>
      </c>
      <c r="H131" s="161">
        <v>20</v>
      </c>
      <c r="I131" s="207">
        <v>300</v>
      </c>
      <c r="J131" s="242">
        <f t="shared" si="30"/>
        <v>6000</v>
      </c>
      <c r="K131" s="153"/>
      <c r="V131" s="25">
        <f t="shared" si="31"/>
        <v>1</v>
      </c>
      <c r="W131" s="25">
        <f t="shared" si="32"/>
        <v>0</v>
      </c>
    </row>
    <row r="132" spans="1:23" x14ac:dyDescent="0.3">
      <c r="A132" s="147"/>
      <c r="B132" s="205">
        <f t="shared" si="33"/>
        <v>11</v>
      </c>
      <c r="C132" s="206">
        <v>43175</v>
      </c>
      <c r="D132" s="161" t="s">
        <v>9</v>
      </c>
      <c r="E132" s="161" t="s">
        <v>2376</v>
      </c>
      <c r="F132" s="207">
        <v>140</v>
      </c>
      <c r="G132" s="207">
        <v>180</v>
      </c>
      <c r="H132" s="161">
        <v>40</v>
      </c>
      <c r="I132" s="207">
        <v>300</v>
      </c>
      <c r="J132" s="242">
        <f t="shared" si="30"/>
        <v>12000</v>
      </c>
      <c r="K132" s="153"/>
      <c r="V132" s="25">
        <f t="shared" si="31"/>
        <v>1</v>
      </c>
      <c r="W132" s="25">
        <f t="shared" si="32"/>
        <v>0</v>
      </c>
    </row>
    <row r="133" spans="1:23" x14ac:dyDescent="0.3">
      <c r="A133" s="147"/>
      <c r="B133" s="205">
        <f t="shared" si="33"/>
        <v>12</v>
      </c>
      <c r="C133" s="206">
        <v>43178</v>
      </c>
      <c r="D133" s="161" t="s">
        <v>9</v>
      </c>
      <c r="E133" s="161" t="s">
        <v>2346</v>
      </c>
      <c r="F133" s="207">
        <v>110</v>
      </c>
      <c r="G133" s="207">
        <v>150</v>
      </c>
      <c r="H133" s="161">
        <v>40</v>
      </c>
      <c r="I133" s="207">
        <v>300</v>
      </c>
      <c r="J133" s="242">
        <f t="shared" si="30"/>
        <v>12000</v>
      </c>
      <c r="K133" s="153"/>
      <c r="V133" s="25">
        <f t="shared" si="31"/>
        <v>1</v>
      </c>
      <c r="W133" s="25">
        <f t="shared" si="32"/>
        <v>0</v>
      </c>
    </row>
    <row r="134" spans="1:23" x14ac:dyDescent="0.3">
      <c r="A134" s="147"/>
      <c r="B134" s="205">
        <f t="shared" si="33"/>
        <v>13</v>
      </c>
      <c r="C134" s="206">
        <v>43179</v>
      </c>
      <c r="D134" s="161" t="s">
        <v>9</v>
      </c>
      <c r="E134" s="161" t="s">
        <v>2346</v>
      </c>
      <c r="F134" s="207">
        <v>123</v>
      </c>
      <c r="G134" s="207">
        <v>133</v>
      </c>
      <c r="H134" s="161">
        <v>10</v>
      </c>
      <c r="I134" s="207">
        <v>300</v>
      </c>
      <c r="J134" s="242">
        <f t="shared" si="30"/>
        <v>3000</v>
      </c>
      <c r="K134" s="153"/>
      <c r="V134" s="25">
        <f t="shared" si="31"/>
        <v>1</v>
      </c>
      <c r="W134" s="25">
        <f t="shared" si="32"/>
        <v>0</v>
      </c>
    </row>
    <row r="135" spans="1:23" x14ac:dyDescent="0.3">
      <c r="A135" s="147"/>
      <c r="B135" s="205">
        <f t="shared" si="33"/>
        <v>14</v>
      </c>
      <c r="C135" s="206">
        <v>43180</v>
      </c>
      <c r="D135" s="161" t="s">
        <v>9</v>
      </c>
      <c r="E135" s="161" t="s">
        <v>2348</v>
      </c>
      <c r="F135" s="207">
        <v>110</v>
      </c>
      <c r="G135" s="207">
        <v>150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3"/>
        <v>15</v>
      </c>
      <c r="C136" s="206">
        <v>43181</v>
      </c>
      <c r="D136" s="161" t="s">
        <v>9</v>
      </c>
      <c r="E136" s="161" t="s">
        <v>2348</v>
      </c>
      <c r="F136" s="207">
        <v>125</v>
      </c>
      <c r="G136" s="207">
        <v>165</v>
      </c>
      <c r="H136" s="161">
        <v>40</v>
      </c>
      <c r="I136" s="207">
        <v>300</v>
      </c>
      <c r="J136" s="242">
        <f t="shared" si="30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3"/>
        <v>16</v>
      </c>
      <c r="C137" s="206">
        <v>43182</v>
      </c>
      <c r="D137" s="161" t="s">
        <v>9</v>
      </c>
      <c r="E137" s="161" t="s">
        <v>2299</v>
      </c>
      <c r="F137" s="207">
        <v>130</v>
      </c>
      <c r="G137" s="207">
        <v>160</v>
      </c>
      <c r="H137" s="161">
        <v>40</v>
      </c>
      <c r="I137" s="207">
        <v>300</v>
      </c>
      <c r="J137" s="242">
        <f t="shared" si="30"/>
        <v>12000</v>
      </c>
      <c r="K137" s="153"/>
      <c r="V137" s="25">
        <f t="shared" si="31"/>
        <v>1</v>
      </c>
      <c r="W137" s="25">
        <f t="shared" si="32"/>
        <v>0</v>
      </c>
    </row>
    <row r="138" spans="1:23" x14ac:dyDescent="0.3">
      <c r="A138" s="147"/>
      <c r="B138" s="205">
        <f t="shared" si="33"/>
        <v>17</v>
      </c>
      <c r="C138" s="206">
        <v>43185</v>
      </c>
      <c r="D138" s="161" t="s">
        <v>9</v>
      </c>
      <c r="E138" s="161" t="s">
        <v>2299</v>
      </c>
      <c r="F138" s="207">
        <v>125</v>
      </c>
      <c r="G138" s="207">
        <v>135</v>
      </c>
      <c r="H138" s="161">
        <v>10</v>
      </c>
      <c r="I138" s="207">
        <v>300</v>
      </c>
      <c r="J138" s="242">
        <f t="shared" si="30"/>
        <v>3000</v>
      </c>
      <c r="K138" s="153"/>
      <c r="V138" s="25">
        <f t="shared" si="31"/>
        <v>1</v>
      </c>
      <c r="W138" s="25">
        <f t="shared" si="32"/>
        <v>0</v>
      </c>
    </row>
    <row r="139" spans="1:23" x14ac:dyDescent="0.3">
      <c r="A139" s="147"/>
      <c r="B139" s="205">
        <f t="shared" si="33"/>
        <v>18</v>
      </c>
      <c r="C139" s="206">
        <v>43186</v>
      </c>
      <c r="D139" s="161" t="s">
        <v>9</v>
      </c>
      <c r="E139" s="161" t="s">
        <v>2348</v>
      </c>
      <c r="F139" s="207">
        <v>130</v>
      </c>
      <c r="G139" s="207">
        <v>150</v>
      </c>
      <c r="H139" s="161">
        <v>20</v>
      </c>
      <c r="I139" s="207">
        <v>300</v>
      </c>
      <c r="J139" s="242">
        <f t="shared" si="30"/>
        <v>6000</v>
      </c>
      <c r="K139" s="153"/>
      <c r="V139" s="25">
        <f t="shared" si="31"/>
        <v>1</v>
      </c>
      <c r="W139" s="25">
        <f t="shared" si="32"/>
        <v>0</v>
      </c>
    </row>
    <row r="140" spans="1:23" x14ac:dyDescent="0.3">
      <c r="A140" s="147"/>
      <c r="B140" s="205">
        <f t="shared" si="33"/>
        <v>19</v>
      </c>
      <c r="C140" s="206">
        <v>43187</v>
      </c>
      <c r="D140" s="161" t="s">
        <v>9</v>
      </c>
      <c r="E140" s="161" t="s">
        <v>2348</v>
      </c>
      <c r="F140" s="207">
        <v>175</v>
      </c>
      <c r="G140" s="207">
        <v>185</v>
      </c>
      <c r="H140" s="161">
        <v>10</v>
      </c>
      <c r="I140" s="207">
        <v>300</v>
      </c>
      <c r="J140" s="242">
        <f t="shared" si="30"/>
        <v>3000</v>
      </c>
      <c r="K140" s="153"/>
      <c r="V140" s="25">
        <f t="shared" si="31"/>
        <v>1</v>
      </c>
      <c r="W140" s="25">
        <f t="shared" si="32"/>
        <v>0</v>
      </c>
    </row>
    <row r="141" spans="1:23" x14ac:dyDescent="0.3">
      <c r="A141" s="147"/>
      <c r="B141" s="205">
        <f t="shared" si="33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30"/>
        <v>0</v>
      </c>
      <c r="K141" s="153"/>
      <c r="V141" s="25">
        <f t="shared" si="31"/>
        <v>0</v>
      </c>
      <c r="W141" s="25">
        <f t="shared" si="32"/>
        <v>0</v>
      </c>
    </row>
    <row r="142" spans="1:23" x14ac:dyDescent="0.3">
      <c r="A142" s="147"/>
      <c r="B142" s="205">
        <f t="shared" si="33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30"/>
        <v>0</v>
      </c>
      <c r="K142" s="153"/>
      <c r="V142" s="25">
        <f t="shared" si="31"/>
        <v>0</v>
      </c>
      <c r="W142" s="25">
        <f t="shared" si="32"/>
        <v>0</v>
      </c>
    </row>
    <row r="143" spans="1:23" x14ac:dyDescent="0.3">
      <c r="A143" s="147"/>
      <c r="B143" s="205">
        <f t="shared" si="33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30"/>
        <v>0</v>
      </c>
      <c r="K143" s="153"/>
      <c r="V143" s="25">
        <f t="shared" si="31"/>
        <v>0</v>
      </c>
      <c r="W143" s="25">
        <f t="shared" si="32"/>
        <v>0</v>
      </c>
    </row>
    <row r="144" spans="1:23" ht="15" thickBot="1" x14ac:dyDescent="0.35">
      <c r="A144" s="147"/>
      <c r="B144" s="208">
        <f t="shared" si="33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30"/>
        <v>0</v>
      </c>
      <c r="K144" s="153"/>
      <c r="V144" s="25">
        <f t="shared" si="31"/>
        <v>0</v>
      </c>
      <c r="W144" s="25">
        <f t="shared" si="32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135000</v>
      </c>
      <c r="K145" s="153"/>
      <c r="V145" s="25">
        <f>SUM(V122:V144)</f>
        <v>17</v>
      </c>
      <c r="W145" s="25">
        <f>SUM(W122:W144)</f>
        <v>2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2464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43160</v>
      </c>
      <c r="D153" s="185" t="s">
        <v>8</v>
      </c>
      <c r="E153" s="185" t="s">
        <v>301</v>
      </c>
      <c r="F153" s="219">
        <v>25120</v>
      </c>
      <c r="G153" s="219">
        <v>24920</v>
      </c>
      <c r="H153" s="185">
        <v>200</v>
      </c>
      <c r="I153" s="219">
        <v>80</v>
      </c>
      <c r="J153" s="246">
        <f t="shared" ref="J153:J175" si="34">I153*H153</f>
        <v>16000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43164</v>
      </c>
      <c r="D154" s="161" t="s">
        <v>8</v>
      </c>
      <c r="E154" s="161" t="s">
        <v>301</v>
      </c>
      <c r="F154" s="207">
        <v>24800</v>
      </c>
      <c r="G154" s="207">
        <v>24750</v>
      </c>
      <c r="H154" s="161">
        <v>50</v>
      </c>
      <c r="I154" s="207">
        <v>80</v>
      </c>
      <c r="J154" s="242">
        <f t="shared" si="34"/>
        <v>4000</v>
      </c>
      <c r="K154" s="153"/>
      <c r="V154" s="25">
        <f t="shared" ref="V154:V175" si="35">IF($J154&gt;0,1,0)</f>
        <v>1</v>
      </c>
      <c r="W154" s="25">
        <f t="shared" ref="W154:W175" si="36">IF($J154&lt;0,1,0)</f>
        <v>0</v>
      </c>
    </row>
    <row r="155" spans="1:23" x14ac:dyDescent="0.3">
      <c r="A155" s="147"/>
      <c r="B155" s="205">
        <f t="shared" ref="B155:B175" si="37">B154+1</f>
        <v>3</v>
      </c>
      <c r="C155" s="206">
        <v>43165</v>
      </c>
      <c r="D155" s="161" t="s">
        <v>8</v>
      </c>
      <c r="E155" s="161" t="s">
        <v>301</v>
      </c>
      <c r="F155" s="207">
        <v>25050</v>
      </c>
      <c r="G155" s="207">
        <v>24850</v>
      </c>
      <c r="H155" s="161">
        <v>200</v>
      </c>
      <c r="I155" s="207">
        <v>80</v>
      </c>
      <c r="J155" s="242">
        <f t="shared" si="34"/>
        <v>16000</v>
      </c>
      <c r="K155" s="153"/>
      <c r="V155" s="25">
        <f t="shared" si="35"/>
        <v>1</v>
      </c>
      <c r="W155" s="25">
        <f t="shared" si="36"/>
        <v>0</v>
      </c>
    </row>
    <row r="156" spans="1:23" x14ac:dyDescent="0.3">
      <c r="A156" s="147"/>
      <c r="B156" s="205">
        <f t="shared" si="37"/>
        <v>4</v>
      </c>
      <c r="C156" s="206">
        <v>43166</v>
      </c>
      <c r="D156" s="161" t="s">
        <v>8</v>
      </c>
      <c r="E156" s="161" t="s">
        <v>301</v>
      </c>
      <c r="F156" s="207">
        <v>24360</v>
      </c>
      <c r="G156" s="207">
        <v>24170</v>
      </c>
      <c r="H156" s="161">
        <v>190</v>
      </c>
      <c r="I156" s="207">
        <v>80</v>
      </c>
      <c r="J156" s="242">
        <f t="shared" si="34"/>
        <v>15200</v>
      </c>
      <c r="K156" s="153"/>
      <c r="V156" s="25">
        <f t="shared" si="35"/>
        <v>1</v>
      </c>
      <c r="W156" s="25">
        <f t="shared" si="36"/>
        <v>0</v>
      </c>
    </row>
    <row r="157" spans="1:23" x14ac:dyDescent="0.3">
      <c r="A157" s="147"/>
      <c r="B157" s="205">
        <f t="shared" si="37"/>
        <v>5</v>
      </c>
      <c r="C157" s="206">
        <v>43167</v>
      </c>
      <c r="D157" s="161" t="s">
        <v>8</v>
      </c>
      <c r="E157" s="161" t="s">
        <v>301</v>
      </c>
      <c r="F157" s="207">
        <v>24300</v>
      </c>
      <c r="G157" s="207">
        <v>24100</v>
      </c>
      <c r="H157" s="161">
        <v>200</v>
      </c>
      <c r="I157" s="207">
        <v>80</v>
      </c>
      <c r="J157" s="242">
        <f t="shared" si="34"/>
        <v>16000</v>
      </c>
      <c r="K157" s="153"/>
      <c r="V157" s="25">
        <f t="shared" si="35"/>
        <v>1</v>
      </c>
      <c r="W157" s="25">
        <f t="shared" si="36"/>
        <v>0</v>
      </c>
    </row>
    <row r="158" spans="1:23" x14ac:dyDescent="0.3">
      <c r="A158" s="147"/>
      <c r="B158" s="205">
        <f t="shared" si="37"/>
        <v>6</v>
      </c>
      <c r="C158" s="206">
        <v>43168</v>
      </c>
      <c r="D158" s="161" t="s">
        <v>8</v>
      </c>
      <c r="E158" s="161" t="s">
        <v>301</v>
      </c>
      <c r="F158" s="207">
        <v>24420</v>
      </c>
      <c r="G158" s="207">
        <v>24370</v>
      </c>
      <c r="H158" s="161">
        <v>50</v>
      </c>
      <c r="I158" s="207">
        <v>80</v>
      </c>
      <c r="J158" s="242">
        <f t="shared" si="34"/>
        <v>4000</v>
      </c>
      <c r="K158" s="153"/>
      <c r="V158" s="25">
        <f t="shared" si="35"/>
        <v>1</v>
      </c>
      <c r="W158" s="25">
        <f t="shared" si="36"/>
        <v>0</v>
      </c>
    </row>
    <row r="159" spans="1:23" x14ac:dyDescent="0.3">
      <c r="A159" s="147"/>
      <c r="B159" s="205">
        <f t="shared" si="37"/>
        <v>7</v>
      </c>
      <c r="C159" s="206">
        <v>43171</v>
      </c>
      <c r="D159" s="161" t="s">
        <v>8</v>
      </c>
      <c r="E159" s="161" t="s">
        <v>301</v>
      </c>
      <c r="F159" s="207">
        <v>24450</v>
      </c>
      <c r="G159" s="207">
        <v>24550</v>
      </c>
      <c r="H159" s="161">
        <v>-100</v>
      </c>
      <c r="I159" s="207">
        <v>80</v>
      </c>
      <c r="J159" s="242">
        <f t="shared" si="34"/>
        <v>-8000</v>
      </c>
      <c r="K159" s="153"/>
      <c r="V159" s="25">
        <f t="shared" si="35"/>
        <v>0</v>
      </c>
      <c r="W159" s="25">
        <f t="shared" si="36"/>
        <v>1</v>
      </c>
    </row>
    <row r="160" spans="1:23" x14ac:dyDescent="0.3">
      <c r="A160" s="147"/>
      <c r="B160" s="205">
        <f t="shared" si="37"/>
        <v>8</v>
      </c>
      <c r="C160" s="206">
        <v>43172</v>
      </c>
      <c r="D160" s="161" t="s">
        <v>8</v>
      </c>
      <c r="E160" s="161" t="s">
        <v>301</v>
      </c>
      <c r="F160" s="207">
        <v>25020</v>
      </c>
      <c r="G160" s="207">
        <v>24820</v>
      </c>
      <c r="H160" s="161">
        <v>200</v>
      </c>
      <c r="I160" s="207">
        <v>80</v>
      </c>
      <c r="J160" s="242">
        <f t="shared" si="34"/>
        <v>16000</v>
      </c>
      <c r="K160" s="153"/>
      <c r="V160" s="25">
        <f t="shared" si="35"/>
        <v>1</v>
      </c>
      <c r="W160" s="25">
        <f t="shared" si="36"/>
        <v>0</v>
      </c>
    </row>
    <row r="161" spans="1:23" x14ac:dyDescent="0.3">
      <c r="A161" s="147"/>
      <c r="B161" s="205">
        <f t="shared" si="37"/>
        <v>9</v>
      </c>
      <c r="C161" s="206">
        <v>43173</v>
      </c>
      <c r="D161" s="161" t="s">
        <v>8</v>
      </c>
      <c r="E161" s="161" t="s">
        <v>301</v>
      </c>
      <c r="F161" s="207">
        <v>24610</v>
      </c>
      <c r="G161" s="207">
        <v>24560</v>
      </c>
      <c r="H161" s="161">
        <v>50</v>
      </c>
      <c r="I161" s="207">
        <v>80</v>
      </c>
      <c r="J161" s="242">
        <f t="shared" si="34"/>
        <v>4000</v>
      </c>
      <c r="K161" s="153"/>
      <c r="V161" s="25">
        <f t="shared" si="35"/>
        <v>1</v>
      </c>
      <c r="W161" s="25">
        <f t="shared" si="36"/>
        <v>0</v>
      </c>
    </row>
    <row r="162" spans="1:23" x14ac:dyDescent="0.3">
      <c r="A162" s="147"/>
      <c r="B162" s="205">
        <f t="shared" si="37"/>
        <v>10</v>
      </c>
      <c r="C162" s="206">
        <v>43174</v>
      </c>
      <c r="D162" s="161" t="s">
        <v>8</v>
      </c>
      <c r="E162" s="161" t="s">
        <v>301</v>
      </c>
      <c r="F162" s="207">
        <v>24900</v>
      </c>
      <c r="G162" s="207">
        <v>24850</v>
      </c>
      <c r="H162" s="161">
        <v>50</v>
      </c>
      <c r="I162" s="207">
        <v>80</v>
      </c>
      <c r="J162" s="242">
        <f t="shared" si="34"/>
        <v>4000</v>
      </c>
      <c r="K162" s="153"/>
      <c r="V162" s="25">
        <f t="shared" si="35"/>
        <v>1</v>
      </c>
      <c r="W162" s="25">
        <f t="shared" si="36"/>
        <v>0</v>
      </c>
    </row>
    <row r="163" spans="1:23" x14ac:dyDescent="0.3">
      <c r="A163" s="147"/>
      <c r="B163" s="205">
        <f t="shared" si="37"/>
        <v>11</v>
      </c>
      <c r="C163" s="206">
        <v>43175</v>
      </c>
      <c r="D163" s="161" t="s">
        <v>8</v>
      </c>
      <c r="E163" s="161" t="s">
        <v>301</v>
      </c>
      <c r="F163" s="207">
        <v>24750</v>
      </c>
      <c r="G163" s="207">
        <v>24850</v>
      </c>
      <c r="H163" s="161">
        <v>-100</v>
      </c>
      <c r="I163" s="207">
        <v>80</v>
      </c>
      <c r="J163" s="242">
        <f t="shared" si="34"/>
        <v>-8000</v>
      </c>
      <c r="K163" s="153"/>
      <c r="V163" s="25">
        <f t="shared" si="35"/>
        <v>0</v>
      </c>
      <c r="W163" s="25">
        <f t="shared" si="36"/>
        <v>1</v>
      </c>
    </row>
    <row r="164" spans="1:23" x14ac:dyDescent="0.3">
      <c r="A164" s="147"/>
      <c r="B164" s="205">
        <f t="shared" si="37"/>
        <v>12</v>
      </c>
      <c r="C164" s="206">
        <v>43178</v>
      </c>
      <c r="D164" s="161" t="s">
        <v>8</v>
      </c>
      <c r="E164" s="161" t="s">
        <v>301</v>
      </c>
      <c r="F164" s="207">
        <v>24510</v>
      </c>
      <c r="G164" s="207">
        <v>24310</v>
      </c>
      <c r="H164" s="161">
        <v>200</v>
      </c>
      <c r="I164" s="207">
        <v>80</v>
      </c>
      <c r="J164" s="242">
        <f t="shared" si="34"/>
        <v>16000</v>
      </c>
      <c r="K164" s="153"/>
      <c r="V164" s="25">
        <f t="shared" si="35"/>
        <v>1</v>
      </c>
      <c r="W164" s="25">
        <f t="shared" si="36"/>
        <v>0</v>
      </c>
    </row>
    <row r="165" spans="1:23" x14ac:dyDescent="0.3">
      <c r="A165" s="147"/>
      <c r="B165" s="205">
        <f t="shared" si="37"/>
        <v>13</v>
      </c>
      <c r="C165" s="206">
        <v>43179</v>
      </c>
      <c r="D165" s="161" t="s">
        <v>8</v>
      </c>
      <c r="E165" s="161" t="s">
        <v>301</v>
      </c>
      <c r="F165" s="207">
        <v>24300</v>
      </c>
      <c r="G165" s="207">
        <v>24400</v>
      </c>
      <c r="H165" s="161">
        <v>-100</v>
      </c>
      <c r="I165" s="207">
        <v>80</v>
      </c>
      <c r="J165" s="242">
        <f t="shared" si="34"/>
        <v>-8000</v>
      </c>
      <c r="K165" s="153"/>
      <c r="V165" s="25">
        <f t="shared" si="35"/>
        <v>0</v>
      </c>
      <c r="W165" s="25">
        <f t="shared" si="36"/>
        <v>1</v>
      </c>
    </row>
    <row r="166" spans="1:23" x14ac:dyDescent="0.3">
      <c r="A166" s="147"/>
      <c r="B166" s="205">
        <f t="shared" si="37"/>
        <v>14</v>
      </c>
      <c r="C166" s="206">
        <v>43180</v>
      </c>
      <c r="D166" s="161" t="s">
        <v>8</v>
      </c>
      <c r="E166" s="161" t="s">
        <v>301</v>
      </c>
      <c r="F166" s="207">
        <v>24490</v>
      </c>
      <c r="G166" s="207">
        <v>24290</v>
      </c>
      <c r="H166" s="161">
        <v>200</v>
      </c>
      <c r="I166" s="207">
        <v>80</v>
      </c>
      <c r="J166" s="242">
        <f t="shared" si="34"/>
        <v>16000</v>
      </c>
      <c r="K166" s="153"/>
      <c r="V166" s="25">
        <f t="shared" si="35"/>
        <v>1</v>
      </c>
      <c r="W166" s="25">
        <f t="shared" si="36"/>
        <v>0</v>
      </c>
    </row>
    <row r="167" spans="1:23" x14ac:dyDescent="0.3">
      <c r="A167" s="147"/>
      <c r="B167" s="205">
        <f t="shared" si="37"/>
        <v>15</v>
      </c>
      <c r="C167" s="206">
        <v>43181</v>
      </c>
      <c r="D167" s="161" t="s">
        <v>8</v>
      </c>
      <c r="E167" s="161" t="s">
        <v>301</v>
      </c>
      <c r="F167" s="207">
        <v>24330</v>
      </c>
      <c r="G167" s="207">
        <v>24130</v>
      </c>
      <c r="H167" s="161">
        <v>200</v>
      </c>
      <c r="I167" s="207">
        <v>80</v>
      </c>
      <c r="J167" s="242">
        <f t="shared" si="34"/>
        <v>16000</v>
      </c>
      <c r="K167" s="153"/>
      <c r="V167" s="25">
        <f t="shared" si="35"/>
        <v>1</v>
      </c>
      <c r="W167" s="25">
        <f t="shared" si="36"/>
        <v>0</v>
      </c>
    </row>
    <row r="168" spans="1:23" x14ac:dyDescent="0.3">
      <c r="A168" s="147"/>
      <c r="B168" s="205">
        <f t="shared" si="37"/>
        <v>16</v>
      </c>
      <c r="C168" s="206">
        <v>43182</v>
      </c>
      <c r="D168" s="161" t="s">
        <v>8</v>
      </c>
      <c r="E168" s="161" t="s">
        <v>301</v>
      </c>
      <c r="F168" s="207">
        <v>23750</v>
      </c>
      <c r="G168" s="207">
        <v>23650</v>
      </c>
      <c r="H168" s="161">
        <v>100</v>
      </c>
      <c r="I168" s="207">
        <v>80</v>
      </c>
      <c r="J168" s="242">
        <f t="shared" si="34"/>
        <v>8000</v>
      </c>
      <c r="K168" s="153"/>
      <c r="V168" s="25">
        <f t="shared" si="35"/>
        <v>1</v>
      </c>
      <c r="W168" s="25">
        <f t="shared" si="36"/>
        <v>0</v>
      </c>
    </row>
    <row r="169" spans="1:23" x14ac:dyDescent="0.3">
      <c r="A169" s="147"/>
      <c r="B169" s="205">
        <f t="shared" si="37"/>
        <v>17</v>
      </c>
      <c r="C169" s="206">
        <v>43185</v>
      </c>
      <c r="D169" s="161" t="s">
        <v>8</v>
      </c>
      <c r="E169" s="161" t="s">
        <v>301</v>
      </c>
      <c r="F169" s="207">
        <v>23760</v>
      </c>
      <c r="G169" s="207">
        <v>23860</v>
      </c>
      <c r="H169" s="161">
        <v>-100</v>
      </c>
      <c r="I169" s="207">
        <v>80</v>
      </c>
      <c r="J169" s="242">
        <f t="shared" si="34"/>
        <v>-8000</v>
      </c>
      <c r="K169" s="153"/>
      <c r="V169" s="25">
        <f t="shared" si="35"/>
        <v>0</v>
      </c>
      <c r="W169" s="25">
        <f t="shared" si="36"/>
        <v>1</v>
      </c>
    </row>
    <row r="170" spans="1:23" x14ac:dyDescent="0.3">
      <c r="A170" s="147"/>
      <c r="B170" s="205">
        <f t="shared" si="37"/>
        <v>18</v>
      </c>
      <c r="C170" s="206">
        <v>43186</v>
      </c>
      <c r="D170" s="161" t="s">
        <v>8</v>
      </c>
      <c r="E170" s="161" t="s">
        <v>301</v>
      </c>
      <c r="F170" s="207">
        <v>24440</v>
      </c>
      <c r="G170" s="207">
        <v>24290</v>
      </c>
      <c r="H170" s="161">
        <v>150</v>
      </c>
      <c r="I170" s="207">
        <v>80</v>
      </c>
      <c r="J170" s="242">
        <f t="shared" si="34"/>
        <v>12000</v>
      </c>
      <c r="K170" s="153"/>
      <c r="V170" s="25">
        <f t="shared" si="35"/>
        <v>1</v>
      </c>
      <c r="W170" s="25">
        <f t="shared" si="36"/>
        <v>0</v>
      </c>
    </row>
    <row r="171" spans="1:23" x14ac:dyDescent="0.3">
      <c r="A171" s="147"/>
      <c r="B171" s="205">
        <f t="shared" si="37"/>
        <v>19</v>
      </c>
      <c r="C171" s="206">
        <v>43187</v>
      </c>
      <c r="D171" s="161" t="s">
        <v>8</v>
      </c>
      <c r="E171" s="161" t="s">
        <v>301</v>
      </c>
      <c r="F171" s="207">
        <v>24270</v>
      </c>
      <c r="G171" s="207">
        <v>27370</v>
      </c>
      <c r="H171" s="161">
        <v>-100</v>
      </c>
      <c r="I171" s="207">
        <v>80</v>
      </c>
      <c r="J171" s="242">
        <f t="shared" si="34"/>
        <v>-8000</v>
      </c>
      <c r="K171" s="153"/>
      <c r="V171" s="25">
        <f t="shared" si="35"/>
        <v>0</v>
      </c>
      <c r="W171" s="25">
        <f t="shared" si="36"/>
        <v>1</v>
      </c>
    </row>
    <row r="172" spans="1:23" x14ac:dyDescent="0.3">
      <c r="A172" s="147"/>
      <c r="B172" s="205">
        <f t="shared" si="37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34"/>
        <v>0</v>
      </c>
      <c r="K172" s="153"/>
      <c r="V172" s="25">
        <f t="shared" si="35"/>
        <v>0</v>
      </c>
      <c r="W172" s="25">
        <f t="shared" si="36"/>
        <v>0</v>
      </c>
    </row>
    <row r="173" spans="1:23" x14ac:dyDescent="0.3">
      <c r="A173" s="147"/>
      <c r="B173" s="205">
        <f t="shared" si="37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34"/>
        <v>0</v>
      </c>
      <c r="K173" s="153"/>
      <c r="V173" s="25">
        <f t="shared" si="35"/>
        <v>0</v>
      </c>
      <c r="W173" s="25">
        <f t="shared" si="36"/>
        <v>0</v>
      </c>
    </row>
    <row r="174" spans="1:23" x14ac:dyDescent="0.3">
      <c r="A174" s="147"/>
      <c r="B174" s="205">
        <f t="shared" si="37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4"/>
        <v>0</v>
      </c>
      <c r="K174" s="153"/>
      <c r="V174" s="25">
        <f t="shared" si="35"/>
        <v>0</v>
      </c>
      <c r="W174" s="25">
        <f t="shared" si="36"/>
        <v>0</v>
      </c>
    </row>
    <row r="175" spans="1:23" ht="15" thickBot="1" x14ac:dyDescent="0.35">
      <c r="A175" s="147"/>
      <c r="B175" s="208">
        <f t="shared" si="37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4"/>
        <v>0</v>
      </c>
      <c r="K175" s="153"/>
      <c r="V175" s="25">
        <f t="shared" si="35"/>
        <v>0</v>
      </c>
      <c r="W175" s="25">
        <f t="shared" si="36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123200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2464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43160</v>
      </c>
      <c r="D184" s="185" t="s">
        <v>9</v>
      </c>
      <c r="E184" s="185" t="s">
        <v>2317</v>
      </c>
      <c r="F184" s="219">
        <v>410</v>
      </c>
      <c r="G184" s="219">
        <v>530</v>
      </c>
      <c r="H184" s="185">
        <v>120</v>
      </c>
      <c r="I184" s="219">
        <v>160</v>
      </c>
      <c r="J184" s="246">
        <f t="shared" ref="J184:J206" si="38">I184*H184</f>
        <v>19200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43164</v>
      </c>
      <c r="D185" s="161" t="s">
        <v>9</v>
      </c>
      <c r="E185" s="161" t="s">
        <v>2321</v>
      </c>
      <c r="F185" s="207">
        <v>450</v>
      </c>
      <c r="G185" s="207">
        <v>510</v>
      </c>
      <c r="H185" s="161">
        <v>60</v>
      </c>
      <c r="I185" s="207">
        <v>160</v>
      </c>
      <c r="J185" s="242">
        <f t="shared" si="38"/>
        <v>9600</v>
      </c>
      <c r="K185" s="153"/>
      <c r="V185" s="25">
        <f t="shared" ref="V185:V206" si="39">IF($J185&gt;0,1,0)</f>
        <v>1</v>
      </c>
      <c r="W185" s="25">
        <f t="shared" ref="W185:W206" si="40">IF($J185&lt;0,1,0)</f>
        <v>0</v>
      </c>
    </row>
    <row r="186" spans="1:23" x14ac:dyDescent="0.3">
      <c r="A186" s="147"/>
      <c r="B186" s="205">
        <f t="shared" ref="B186:B206" si="41">B185+1</f>
        <v>3</v>
      </c>
      <c r="C186" s="206">
        <v>43165</v>
      </c>
      <c r="D186" s="161" t="s">
        <v>9</v>
      </c>
      <c r="E186" s="161" t="s">
        <v>2317</v>
      </c>
      <c r="F186" s="207">
        <v>450</v>
      </c>
      <c r="G186" s="207">
        <v>570</v>
      </c>
      <c r="H186" s="161">
        <v>120</v>
      </c>
      <c r="I186" s="207">
        <v>160</v>
      </c>
      <c r="J186" s="242">
        <f t="shared" si="38"/>
        <v>19200</v>
      </c>
      <c r="K186" s="153"/>
      <c r="V186" s="25">
        <f t="shared" si="39"/>
        <v>1</v>
      </c>
      <c r="W186" s="25">
        <f t="shared" si="40"/>
        <v>0</v>
      </c>
    </row>
    <row r="187" spans="1:23" x14ac:dyDescent="0.3">
      <c r="A187" s="147"/>
      <c r="B187" s="205">
        <f t="shared" si="41"/>
        <v>4</v>
      </c>
      <c r="C187" s="206">
        <v>43166</v>
      </c>
      <c r="D187" s="161" t="s">
        <v>9</v>
      </c>
      <c r="E187" s="161" t="s">
        <v>2328</v>
      </c>
      <c r="F187" s="207">
        <v>470</v>
      </c>
      <c r="G187" s="207">
        <v>554</v>
      </c>
      <c r="H187" s="161">
        <v>84</v>
      </c>
      <c r="I187" s="207">
        <v>160</v>
      </c>
      <c r="J187" s="242">
        <f t="shared" si="38"/>
        <v>13440</v>
      </c>
      <c r="K187" s="153"/>
      <c r="V187" s="25">
        <f t="shared" si="39"/>
        <v>1</v>
      </c>
      <c r="W187" s="25">
        <f t="shared" si="40"/>
        <v>0</v>
      </c>
    </row>
    <row r="188" spans="1:23" x14ac:dyDescent="0.3">
      <c r="A188" s="147"/>
      <c r="B188" s="205">
        <f t="shared" si="41"/>
        <v>5</v>
      </c>
      <c r="C188" s="206">
        <v>43167</v>
      </c>
      <c r="D188" s="161" t="s">
        <v>9</v>
      </c>
      <c r="E188" s="161" t="s">
        <v>2328</v>
      </c>
      <c r="F188" s="207">
        <v>450</v>
      </c>
      <c r="G188" s="207">
        <v>570</v>
      </c>
      <c r="H188" s="161">
        <v>120</v>
      </c>
      <c r="I188" s="207">
        <v>160</v>
      </c>
      <c r="J188" s="242">
        <f t="shared" si="38"/>
        <v>19200</v>
      </c>
      <c r="K188" s="153"/>
      <c r="V188" s="25">
        <f t="shared" si="39"/>
        <v>1</v>
      </c>
      <c r="W188" s="25">
        <f t="shared" si="40"/>
        <v>0</v>
      </c>
    </row>
    <row r="189" spans="1:23" x14ac:dyDescent="0.3">
      <c r="A189" s="147"/>
      <c r="B189" s="205">
        <f t="shared" si="41"/>
        <v>6</v>
      </c>
      <c r="C189" s="206">
        <v>43168</v>
      </c>
      <c r="D189" s="161" t="s">
        <v>9</v>
      </c>
      <c r="E189" s="161" t="s">
        <v>2328</v>
      </c>
      <c r="F189" s="207">
        <v>410</v>
      </c>
      <c r="G189" s="207">
        <v>350</v>
      </c>
      <c r="H189" s="161">
        <v>-60</v>
      </c>
      <c r="I189" s="207">
        <v>160</v>
      </c>
      <c r="J189" s="242">
        <f t="shared" si="38"/>
        <v>-9600</v>
      </c>
      <c r="K189" s="153"/>
      <c r="V189" s="25">
        <f t="shared" si="39"/>
        <v>0</v>
      </c>
      <c r="W189" s="25">
        <f t="shared" si="40"/>
        <v>1</v>
      </c>
    </row>
    <row r="190" spans="1:23" x14ac:dyDescent="0.3">
      <c r="A190" s="147"/>
      <c r="B190" s="205">
        <f t="shared" si="41"/>
        <v>7</v>
      </c>
      <c r="C190" s="206">
        <v>43171</v>
      </c>
      <c r="D190" s="161" t="s">
        <v>9</v>
      </c>
      <c r="E190" s="161" t="s">
        <v>2328</v>
      </c>
      <c r="F190" s="207">
        <v>380</v>
      </c>
      <c r="G190" s="207">
        <v>320</v>
      </c>
      <c r="H190" s="161">
        <v>-60</v>
      </c>
      <c r="I190" s="207">
        <v>160</v>
      </c>
      <c r="J190" s="242">
        <f t="shared" si="38"/>
        <v>-9600</v>
      </c>
      <c r="K190" s="153"/>
      <c r="V190" s="25">
        <f t="shared" si="39"/>
        <v>0</v>
      </c>
      <c r="W190" s="25">
        <f t="shared" si="40"/>
        <v>1</v>
      </c>
    </row>
    <row r="191" spans="1:23" x14ac:dyDescent="0.3">
      <c r="A191" s="147"/>
      <c r="B191" s="205">
        <f t="shared" si="41"/>
        <v>8</v>
      </c>
      <c r="C191" s="206">
        <v>43172</v>
      </c>
      <c r="D191" s="161" t="s">
        <v>9</v>
      </c>
      <c r="E191" s="161" t="s">
        <v>2405</v>
      </c>
      <c r="F191" s="207">
        <v>370</v>
      </c>
      <c r="G191" s="207">
        <v>490</v>
      </c>
      <c r="H191" s="161">
        <v>120</v>
      </c>
      <c r="I191" s="207">
        <v>160</v>
      </c>
      <c r="J191" s="242">
        <f t="shared" si="38"/>
        <v>19200</v>
      </c>
      <c r="K191" s="153"/>
      <c r="V191" s="25">
        <f t="shared" si="39"/>
        <v>1</v>
      </c>
      <c r="W191" s="25">
        <f t="shared" si="40"/>
        <v>0</v>
      </c>
    </row>
    <row r="192" spans="1:23" x14ac:dyDescent="0.3">
      <c r="A192" s="147"/>
      <c r="B192" s="205">
        <f t="shared" si="41"/>
        <v>9</v>
      </c>
      <c r="C192" s="206">
        <v>43173</v>
      </c>
      <c r="D192" s="161" t="s">
        <v>9</v>
      </c>
      <c r="E192" s="161" t="s">
        <v>2302</v>
      </c>
      <c r="F192" s="207">
        <v>380</v>
      </c>
      <c r="G192" s="207">
        <v>320</v>
      </c>
      <c r="H192" s="161">
        <v>-60</v>
      </c>
      <c r="I192" s="207">
        <v>160</v>
      </c>
      <c r="J192" s="242">
        <f t="shared" si="38"/>
        <v>-9600</v>
      </c>
      <c r="K192" s="153"/>
      <c r="V192" s="25">
        <f t="shared" si="39"/>
        <v>0</v>
      </c>
      <c r="W192" s="25">
        <f t="shared" si="40"/>
        <v>1</v>
      </c>
    </row>
    <row r="193" spans="1:23" x14ac:dyDescent="0.3">
      <c r="A193" s="147"/>
      <c r="B193" s="205">
        <f t="shared" si="41"/>
        <v>10</v>
      </c>
      <c r="C193" s="206">
        <v>43174</v>
      </c>
      <c r="D193" s="161" t="s">
        <v>9</v>
      </c>
      <c r="E193" s="161" t="s">
        <v>2319</v>
      </c>
      <c r="F193" s="207">
        <v>340</v>
      </c>
      <c r="G193" s="207">
        <v>375</v>
      </c>
      <c r="H193" s="161">
        <v>35</v>
      </c>
      <c r="I193" s="207">
        <v>160</v>
      </c>
      <c r="J193" s="242">
        <f t="shared" si="38"/>
        <v>5600</v>
      </c>
      <c r="K193" s="153"/>
      <c r="V193" s="25">
        <f t="shared" si="39"/>
        <v>1</v>
      </c>
      <c r="W193" s="25">
        <f t="shared" si="40"/>
        <v>0</v>
      </c>
    </row>
    <row r="194" spans="1:23" x14ac:dyDescent="0.3">
      <c r="A194" s="147"/>
      <c r="B194" s="205">
        <f t="shared" si="41"/>
        <v>11</v>
      </c>
      <c r="C194" s="206">
        <v>43175</v>
      </c>
      <c r="D194" s="161" t="s">
        <v>9</v>
      </c>
      <c r="E194" s="161" t="s">
        <v>2321</v>
      </c>
      <c r="F194" s="207">
        <v>340</v>
      </c>
      <c r="G194" s="207">
        <v>460</v>
      </c>
      <c r="H194" s="161">
        <v>120</v>
      </c>
      <c r="I194" s="207">
        <v>160</v>
      </c>
      <c r="J194" s="242">
        <f t="shared" si="38"/>
        <v>19200</v>
      </c>
      <c r="K194" s="153"/>
      <c r="V194" s="25">
        <f t="shared" si="39"/>
        <v>1</v>
      </c>
      <c r="W194" s="25">
        <f t="shared" si="40"/>
        <v>0</v>
      </c>
    </row>
    <row r="195" spans="1:23" x14ac:dyDescent="0.3">
      <c r="A195" s="147"/>
      <c r="B195" s="205">
        <f t="shared" si="41"/>
        <v>12</v>
      </c>
      <c r="C195" s="206">
        <v>43178</v>
      </c>
      <c r="D195" s="161" t="s">
        <v>9</v>
      </c>
      <c r="E195" s="161" t="s">
        <v>2302</v>
      </c>
      <c r="F195" s="207">
        <v>400</v>
      </c>
      <c r="G195" s="207">
        <v>520</v>
      </c>
      <c r="H195" s="161">
        <v>120</v>
      </c>
      <c r="I195" s="207">
        <v>160</v>
      </c>
      <c r="J195" s="242">
        <f t="shared" si="38"/>
        <v>19200</v>
      </c>
      <c r="K195" s="153"/>
      <c r="V195" s="25">
        <f t="shared" si="39"/>
        <v>1</v>
      </c>
      <c r="W195" s="25">
        <f t="shared" si="40"/>
        <v>0</v>
      </c>
    </row>
    <row r="196" spans="1:23" x14ac:dyDescent="0.3">
      <c r="A196" s="147"/>
      <c r="B196" s="205">
        <f t="shared" si="41"/>
        <v>13</v>
      </c>
      <c r="C196" s="206">
        <v>43179</v>
      </c>
      <c r="D196" s="161" t="s">
        <v>9</v>
      </c>
      <c r="E196" s="161" t="s">
        <v>2293</v>
      </c>
      <c r="F196" s="207">
        <v>340</v>
      </c>
      <c r="G196" s="207">
        <v>400</v>
      </c>
      <c r="H196" s="161">
        <v>60</v>
      </c>
      <c r="I196" s="207">
        <v>160</v>
      </c>
      <c r="J196" s="242">
        <f t="shared" si="38"/>
        <v>9600</v>
      </c>
      <c r="K196" s="153"/>
      <c r="V196" s="25">
        <f t="shared" si="39"/>
        <v>1</v>
      </c>
      <c r="W196" s="25">
        <f t="shared" si="40"/>
        <v>0</v>
      </c>
    </row>
    <row r="197" spans="1:23" x14ac:dyDescent="0.3">
      <c r="A197" s="147"/>
      <c r="B197" s="205">
        <f t="shared" si="41"/>
        <v>14</v>
      </c>
      <c r="C197" s="206">
        <v>43180</v>
      </c>
      <c r="D197" s="161" t="s">
        <v>9</v>
      </c>
      <c r="E197" s="161" t="s">
        <v>2301</v>
      </c>
      <c r="F197" s="207">
        <v>300</v>
      </c>
      <c r="G197" s="207">
        <v>390</v>
      </c>
      <c r="H197" s="161">
        <v>90</v>
      </c>
      <c r="I197" s="207">
        <v>160</v>
      </c>
      <c r="J197" s="242">
        <f t="shared" si="38"/>
        <v>14400</v>
      </c>
      <c r="K197" s="153"/>
      <c r="V197" s="25">
        <f t="shared" si="39"/>
        <v>1</v>
      </c>
      <c r="W197" s="25">
        <f t="shared" si="40"/>
        <v>0</v>
      </c>
    </row>
    <row r="198" spans="1:23" x14ac:dyDescent="0.3">
      <c r="A198" s="147"/>
      <c r="B198" s="205">
        <f t="shared" si="41"/>
        <v>15</v>
      </c>
      <c r="C198" s="206">
        <v>43181</v>
      </c>
      <c r="D198" s="161" t="s">
        <v>9</v>
      </c>
      <c r="E198" s="161" t="s">
        <v>2301</v>
      </c>
      <c r="F198" s="207">
        <v>330</v>
      </c>
      <c r="G198" s="207">
        <v>420</v>
      </c>
      <c r="H198" s="161">
        <v>90</v>
      </c>
      <c r="I198" s="207">
        <v>160</v>
      </c>
      <c r="J198" s="242">
        <f t="shared" si="38"/>
        <v>14400</v>
      </c>
      <c r="K198" s="153"/>
      <c r="V198" s="25">
        <f t="shared" si="39"/>
        <v>1</v>
      </c>
      <c r="W198" s="25">
        <f t="shared" si="40"/>
        <v>0</v>
      </c>
    </row>
    <row r="199" spans="1:23" x14ac:dyDescent="0.3">
      <c r="A199" s="147"/>
      <c r="B199" s="205">
        <f t="shared" si="41"/>
        <v>16</v>
      </c>
      <c r="C199" s="206">
        <v>43182</v>
      </c>
      <c r="D199" s="161" t="s">
        <v>9</v>
      </c>
      <c r="E199" s="161" t="s">
        <v>2209</v>
      </c>
      <c r="F199" s="207">
        <v>290</v>
      </c>
      <c r="G199" s="207">
        <v>350</v>
      </c>
      <c r="H199" s="161">
        <v>60</v>
      </c>
      <c r="I199" s="207">
        <v>160</v>
      </c>
      <c r="J199" s="242">
        <f t="shared" si="38"/>
        <v>9600</v>
      </c>
      <c r="K199" s="153"/>
      <c r="V199" s="25">
        <f t="shared" si="39"/>
        <v>1</v>
      </c>
      <c r="W199" s="25">
        <f t="shared" si="40"/>
        <v>0</v>
      </c>
    </row>
    <row r="200" spans="1:23" x14ac:dyDescent="0.3">
      <c r="A200" s="147"/>
      <c r="B200" s="205">
        <f t="shared" si="41"/>
        <v>17</v>
      </c>
      <c r="C200" s="206">
        <v>43185</v>
      </c>
      <c r="D200" s="161" t="s">
        <v>9</v>
      </c>
      <c r="E200" s="161" t="s">
        <v>2209</v>
      </c>
      <c r="F200" s="207">
        <v>250</v>
      </c>
      <c r="G200" s="207">
        <v>190</v>
      </c>
      <c r="H200" s="161">
        <v>-60</v>
      </c>
      <c r="I200" s="207">
        <v>160</v>
      </c>
      <c r="J200" s="242">
        <f t="shared" si="38"/>
        <v>-9600</v>
      </c>
      <c r="K200" s="153"/>
      <c r="V200" s="25">
        <f t="shared" si="39"/>
        <v>0</v>
      </c>
      <c r="W200" s="25">
        <f t="shared" si="40"/>
        <v>1</v>
      </c>
    </row>
    <row r="201" spans="1:23" x14ac:dyDescent="0.3">
      <c r="A201" s="147"/>
      <c r="B201" s="205">
        <f t="shared" si="41"/>
        <v>18</v>
      </c>
      <c r="C201" s="206">
        <v>43186</v>
      </c>
      <c r="D201" s="161" t="s">
        <v>9</v>
      </c>
      <c r="E201" s="161" t="s">
        <v>2302</v>
      </c>
      <c r="F201" s="207">
        <v>220</v>
      </c>
      <c r="G201" s="207">
        <v>310</v>
      </c>
      <c r="H201" s="161">
        <v>90</v>
      </c>
      <c r="I201" s="207">
        <v>160</v>
      </c>
      <c r="J201" s="242">
        <f t="shared" si="38"/>
        <v>14400</v>
      </c>
      <c r="K201" s="153"/>
      <c r="V201" s="25">
        <f t="shared" si="39"/>
        <v>1</v>
      </c>
      <c r="W201" s="25">
        <f t="shared" si="40"/>
        <v>0</v>
      </c>
    </row>
    <row r="202" spans="1:23" x14ac:dyDescent="0.3">
      <c r="A202" s="147"/>
      <c r="B202" s="205">
        <f t="shared" si="41"/>
        <v>19</v>
      </c>
      <c r="C202" s="206">
        <v>43187</v>
      </c>
      <c r="D202" s="161" t="s">
        <v>9</v>
      </c>
      <c r="E202" s="161" t="s">
        <v>2328</v>
      </c>
      <c r="F202" s="207">
        <v>160</v>
      </c>
      <c r="G202" s="207">
        <v>100</v>
      </c>
      <c r="H202" s="161">
        <v>-60</v>
      </c>
      <c r="I202" s="207">
        <v>160</v>
      </c>
      <c r="J202" s="242">
        <f t="shared" si="38"/>
        <v>-9600</v>
      </c>
      <c r="K202" s="153"/>
      <c r="V202" s="25">
        <f t="shared" si="39"/>
        <v>0</v>
      </c>
      <c r="W202" s="25">
        <f t="shared" si="40"/>
        <v>1</v>
      </c>
    </row>
    <row r="203" spans="1:23" x14ac:dyDescent="0.3">
      <c r="A203" s="147"/>
      <c r="B203" s="205">
        <f t="shared" si="41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8"/>
        <v>0</v>
      </c>
      <c r="K203" s="153"/>
      <c r="V203" s="25">
        <f t="shared" si="39"/>
        <v>0</v>
      </c>
      <c r="W203" s="25">
        <f t="shared" si="40"/>
        <v>0</v>
      </c>
    </row>
    <row r="204" spans="1:23" x14ac:dyDescent="0.3">
      <c r="A204" s="147"/>
      <c r="B204" s="205">
        <f t="shared" si="41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8"/>
        <v>0</v>
      </c>
      <c r="K204" s="153"/>
      <c r="V204" s="25">
        <f t="shared" si="39"/>
        <v>0</v>
      </c>
      <c r="W204" s="25">
        <f t="shared" si="40"/>
        <v>0</v>
      </c>
    </row>
    <row r="205" spans="1:23" x14ac:dyDescent="0.3">
      <c r="A205" s="147"/>
      <c r="B205" s="205">
        <f t="shared" si="41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8"/>
        <v>0</v>
      </c>
      <c r="K205" s="153"/>
      <c r="V205" s="25">
        <f t="shared" si="39"/>
        <v>0</v>
      </c>
      <c r="W205" s="25">
        <f t="shared" si="40"/>
        <v>0</v>
      </c>
    </row>
    <row r="206" spans="1:23" ht="15" thickBot="1" x14ac:dyDescent="0.35">
      <c r="A206" s="147"/>
      <c r="B206" s="208">
        <f t="shared" si="41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8"/>
        <v>0</v>
      </c>
      <c r="K206" s="153"/>
      <c r="V206" s="25">
        <f t="shared" si="39"/>
        <v>0</v>
      </c>
      <c r="W206" s="25">
        <f t="shared" si="40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158240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2464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43160</v>
      </c>
      <c r="D215" s="185" t="s">
        <v>9</v>
      </c>
      <c r="E215" s="185" t="s">
        <v>2343</v>
      </c>
      <c r="F215" s="219">
        <v>90</v>
      </c>
      <c r="G215" s="231">
        <v>84</v>
      </c>
      <c r="H215" s="231">
        <v>-6</v>
      </c>
      <c r="I215" s="219">
        <v>250</v>
      </c>
      <c r="J215" s="246">
        <f t="shared" ref="J215:J237" si="42">I215*H215</f>
        <v>-1500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43164</v>
      </c>
      <c r="D216" s="161" t="s">
        <v>9</v>
      </c>
      <c r="E216" s="161" t="s">
        <v>2340</v>
      </c>
      <c r="F216" s="222">
        <v>67</v>
      </c>
      <c r="G216" s="222">
        <v>76</v>
      </c>
      <c r="H216" s="255">
        <v>9</v>
      </c>
      <c r="I216" s="207">
        <v>250</v>
      </c>
      <c r="J216" s="242">
        <f>I216*H216</f>
        <v>2250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3">B216+1</f>
        <v>3</v>
      </c>
      <c r="C217" s="206">
        <v>43165</v>
      </c>
      <c r="D217" s="161" t="s">
        <v>9</v>
      </c>
      <c r="E217" s="161" t="s">
        <v>2465</v>
      </c>
      <c r="F217" s="222">
        <v>9.5</v>
      </c>
      <c r="G217" s="222">
        <v>15.5</v>
      </c>
      <c r="H217" s="222">
        <v>6</v>
      </c>
      <c r="I217" s="207">
        <v>1750</v>
      </c>
      <c r="J217" s="242">
        <f t="shared" si="42"/>
        <v>10500</v>
      </c>
      <c r="K217" s="153"/>
      <c r="V217" s="25">
        <f t="shared" ref="V217:V237" si="44">IF($J217&gt;0,1,0)</f>
        <v>1</v>
      </c>
      <c r="W217" s="25">
        <f t="shared" ref="W217:W237" si="45">IF($J217&lt;0,1,0)</f>
        <v>0</v>
      </c>
    </row>
    <row r="218" spans="1:23" x14ac:dyDescent="0.3">
      <c r="A218" s="147"/>
      <c r="B218" s="205">
        <f t="shared" si="43"/>
        <v>4</v>
      </c>
      <c r="C218" s="206">
        <v>43166</v>
      </c>
      <c r="D218" s="161" t="s">
        <v>9</v>
      </c>
      <c r="E218" s="161" t="s">
        <v>2466</v>
      </c>
      <c r="F218" s="207">
        <v>11</v>
      </c>
      <c r="G218" s="222">
        <v>17</v>
      </c>
      <c r="H218" s="222">
        <v>6</v>
      </c>
      <c r="I218" s="207">
        <v>1600</v>
      </c>
      <c r="J218" s="242">
        <f t="shared" si="42"/>
        <v>9600</v>
      </c>
      <c r="K218" s="153"/>
      <c r="V218" s="25">
        <f t="shared" si="44"/>
        <v>1</v>
      </c>
      <c r="W218" s="25">
        <f t="shared" si="45"/>
        <v>0</v>
      </c>
    </row>
    <row r="219" spans="1:23" x14ac:dyDescent="0.3">
      <c r="A219" s="147"/>
      <c r="B219" s="205">
        <f t="shared" si="43"/>
        <v>5</v>
      </c>
      <c r="C219" s="206">
        <v>43167</v>
      </c>
      <c r="D219" s="161" t="s">
        <v>9</v>
      </c>
      <c r="E219" s="161" t="s">
        <v>2467</v>
      </c>
      <c r="F219" s="222">
        <v>11</v>
      </c>
      <c r="G219" s="222">
        <v>17</v>
      </c>
      <c r="H219" s="222">
        <v>6</v>
      </c>
      <c r="I219" s="207">
        <v>1750</v>
      </c>
      <c r="J219" s="242">
        <f t="shared" si="42"/>
        <v>10500</v>
      </c>
      <c r="K219" s="153"/>
      <c r="V219" s="25">
        <f t="shared" si="44"/>
        <v>1</v>
      </c>
      <c r="W219" s="25">
        <f t="shared" si="45"/>
        <v>0</v>
      </c>
    </row>
    <row r="220" spans="1:23" x14ac:dyDescent="0.3">
      <c r="A220" s="147"/>
      <c r="B220" s="205">
        <f t="shared" si="43"/>
        <v>6</v>
      </c>
      <c r="C220" s="206">
        <v>43168</v>
      </c>
      <c r="D220" s="161" t="s">
        <v>9</v>
      </c>
      <c r="E220" s="161" t="s">
        <v>2467</v>
      </c>
      <c r="F220" s="222">
        <v>11</v>
      </c>
      <c r="G220" s="222">
        <v>13</v>
      </c>
      <c r="H220" s="222">
        <v>2</v>
      </c>
      <c r="I220" s="207">
        <v>1750</v>
      </c>
      <c r="J220" s="242">
        <f t="shared" si="42"/>
        <v>3500</v>
      </c>
      <c r="K220" s="153"/>
      <c r="V220" s="25">
        <f t="shared" si="44"/>
        <v>1</v>
      </c>
      <c r="W220" s="25">
        <f t="shared" si="45"/>
        <v>0</v>
      </c>
    </row>
    <row r="221" spans="1:23" x14ac:dyDescent="0.3">
      <c r="A221" s="147"/>
      <c r="B221" s="205">
        <f t="shared" si="43"/>
        <v>7</v>
      </c>
      <c r="C221" s="206">
        <v>43171</v>
      </c>
      <c r="D221" s="161" t="s">
        <v>9</v>
      </c>
      <c r="E221" s="161" t="s">
        <v>2467</v>
      </c>
      <c r="F221" s="222">
        <v>12</v>
      </c>
      <c r="G221" s="222">
        <v>10.5</v>
      </c>
      <c r="H221" s="222">
        <v>-1.5</v>
      </c>
      <c r="I221" s="207">
        <v>1750</v>
      </c>
      <c r="J221" s="242">
        <f t="shared" si="42"/>
        <v>-2625</v>
      </c>
      <c r="K221" s="153"/>
      <c r="V221" s="25">
        <f t="shared" si="44"/>
        <v>0</v>
      </c>
      <c r="W221" s="25">
        <f t="shared" si="45"/>
        <v>1</v>
      </c>
    </row>
    <row r="222" spans="1:23" x14ac:dyDescent="0.3">
      <c r="A222" s="147"/>
      <c r="B222" s="205">
        <f t="shared" si="43"/>
        <v>8</v>
      </c>
      <c r="C222" s="206">
        <v>43172</v>
      </c>
      <c r="D222" s="161" t="s">
        <v>9</v>
      </c>
      <c r="E222" s="161" t="s">
        <v>2468</v>
      </c>
      <c r="F222" s="222">
        <v>8</v>
      </c>
      <c r="G222" s="222">
        <v>6</v>
      </c>
      <c r="H222" s="222">
        <v>-2</v>
      </c>
      <c r="I222" s="207">
        <v>3000</v>
      </c>
      <c r="J222" s="242">
        <f t="shared" si="42"/>
        <v>-6000</v>
      </c>
      <c r="K222" s="153"/>
      <c r="V222" s="25">
        <f t="shared" si="44"/>
        <v>0</v>
      </c>
      <c r="W222" s="25">
        <f t="shared" si="45"/>
        <v>1</v>
      </c>
    </row>
    <row r="223" spans="1:23" x14ac:dyDescent="0.3">
      <c r="A223" s="147"/>
      <c r="B223" s="205">
        <f t="shared" si="43"/>
        <v>9</v>
      </c>
      <c r="C223" s="206">
        <v>43173</v>
      </c>
      <c r="D223" s="161" t="s">
        <v>9</v>
      </c>
      <c r="E223" s="161" t="s">
        <v>2339</v>
      </c>
      <c r="F223" s="222">
        <v>6.5</v>
      </c>
      <c r="G223" s="222">
        <v>7.4</v>
      </c>
      <c r="H223" s="255">
        <v>0.9</v>
      </c>
      <c r="I223" s="207">
        <v>2750</v>
      </c>
      <c r="J223" s="242">
        <f t="shared" si="42"/>
        <v>2475</v>
      </c>
      <c r="K223" s="153"/>
      <c r="V223" s="25">
        <f t="shared" si="44"/>
        <v>1</v>
      </c>
      <c r="W223" s="25">
        <f t="shared" si="45"/>
        <v>0</v>
      </c>
    </row>
    <row r="224" spans="1:23" x14ac:dyDescent="0.3">
      <c r="A224" s="147"/>
      <c r="B224" s="205">
        <f t="shared" si="43"/>
        <v>10</v>
      </c>
      <c r="C224" s="206">
        <v>43174</v>
      </c>
      <c r="D224" s="161" t="s">
        <v>9</v>
      </c>
      <c r="E224" s="161" t="s">
        <v>2343</v>
      </c>
      <c r="F224" s="222">
        <v>60</v>
      </c>
      <c r="G224" s="222">
        <v>49</v>
      </c>
      <c r="H224" s="255">
        <v>-11</v>
      </c>
      <c r="I224" s="207">
        <v>250</v>
      </c>
      <c r="J224" s="242">
        <f t="shared" si="42"/>
        <v>-2750</v>
      </c>
      <c r="K224" s="153"/>
      <c r="V224" s="25">
        <f t="shared" si="44"/>
        <v>0</v>
      </c>
      <c r="W224" s="25">
        <f t="shared" si="45"/>
        <v>1</v>
      </c>
    </row>
    <row r="225" spans="1:23" x14ac:dyDescent="0.3">
      <c r="A225" s="147"/>
      <c r="B225" s="205">
        <f t="shared" si="43"/>
        <v>11</v>
      </c>
      <c r="C225" s="206">
        <v>43175</v>
      </c>
      <c r="D225" s="161" t="s">
        <v>9</v>
      </c>
      <c r="E225" s="161" t="s">
        <v>2343</v>
      </c>
      <c r="F225" s="222">
        <v>54</v>
      </c>
      <c r="G225" s="222">
        <v>44</v>
      </c>
      <c r="H225" s="255">
        <v>-10</v>
      </c>
      <c r="I225" s="207">
        <v>250</v>
      </c>
      <c r="J225" s="242">
        <f t="shared" si="42"/>
        <v>-2500</v>
      </c>
      <c r="K225" s="153"/>
      <c r="V225" s="25">
        <f t="shared" si="44"/>
        <v>0</v>
      </c>
      <c r="W225" s="25">
        <f t="shared" si="45"/>
        <v>1</v>
      </c>
    </row>
    <row r="226" spans="1:23" x14ac:dyDescent="0.3">
      <c r="A226" s="147"/>
      <c r="B226" s="205">
        <f t="shared" si="43"/>
        <v>12</v>
      </c>
      <c r="C226" s="206">
        <v>43178</v>
      </c>
      <c r="D226" s="161" t="s">
        <v>9</v>
      </c>
      <c r="E226" s="161" t="s">
        <v>2466</v>
      </c>
      <c r="F226" s="207">
        <v>7</v>
      </c>
      <c r="G226" s="222">
        <v>10</v>
      </c>
      <c r="H226" s="255">
        <v>3</v>
      </c>
      <c r="I226" s="207">
        <v>1600</v>
      </c>
      <c r="J226" s="242">
        <f t="shared" si="42"/>
        <v>4800</v>
      </c>
      <c r="K226" s="153"/>
      <c r="V226" s="25">
        <f t="shared" si="44"/>
        <v>1</v>
      </c>
      <c r="W226" s="25">
        <f t="shared" si="45"/>
        <v>0</v>
      </c>
    </row>
    <row r="227" spans="1:23" x14ac:dyDescent="0.3">
      <c r="A227" s="147"/>
      <c r="B227" s="205">
        <f t="shared" si="43"/>
        <v>13</v>
      </c>
      <c r="C227" s="206">
        <v>43179</v>
      </c>
      <c r="D227" s="161" t="s">
        <v>9</v>
      </c>
      <c r="E227" s="161" t="s">
        <v>2466</v>
      </c>
      <c r="F227" s="222">
        <v>12</v>
      </c>
      <c r="G227" s="222">
        <v>13</v>
      </c>
      <c r="H227" s="255">
        <v>1</v>
      </c>
      <c r="I227" s="207">
        <v>1600</v>
      </c>
      <c r="J227" s="242">
        <f t="shared" si="42"/>
        <v>1600</v>
      </c>
      <c r="K227" s="153"/>
      <c r="V227" s="25">
        <f t="shared" si="44"/>
        <v>1</v>
      </c>
      <c r="W227" s="25">
        <f t="shared" si="45"/>
        <v>0</v>
      </c>
    </row>
    <row r="228" spans="1:23" x14ac:dyDescent="0.3">
      <c r="A228" s="147"/>
      <c r="B228" s="205">
        <f t="shared" si="43"/>
        <v>14</v>
      </c>
      <c r="C228" s="206">
        <v>43180</v>
      </c>
      <c r="D228" s="161" t="s">
        <v>9</v>
      </c>
      <c r="E228" s="161" t="s">
        <v>2466</v>
      </c>
      <c r="F228" s="222">
        <v>6.5</v>
      </c>
      <c r="G228" s="222">
        <v>9.5</v>
      </c>
      <c r="H228" s="255">
        <v>3</v>
      </c>
      <c r="I228" s="207">
        <v>1600</v>
      </c>
      <c r="J228" s="242">
        <f>I228*H228</f>
        <v>4800</v>
      </c>
      <c r="K228" s="153"/>
      <c r="V228" s="25">
        <f t="shared" si="44"/>
        <v>1</v>
      </c>
      <c r="W228" s="25">
        <f t="shared" si="45"/>
        <v>0</v>
      </c>
    </row>
    <row r="229" spans="1:23" x14ac:dyDescent="0.3">
      <c r="A229" s="147"/>
      <c r="B229" s="205">
        <f t="shared" si="43"/>
        <v>15</v>
      </c>
      <c r="C229" s="206">
        <v>43181</v>
      </c>
      <c r="D229" s="161" t="s">
        <v>9</v>
      </c>
      <c r="E229" s="161" t="s">
        <v>2466</v>
      </c>
      <c r="F229" s="222">
        <v>9</v>
      </c>
      <c r="G229" s="222">
        <v>10.199999999999999</v>
      </c>
      <c r="H229" s="255">
        <v>1.2</v>
      </c>
      <c r="I229" s="207">
        <v>1600</v>
      </c>
      <c r="J229" s="242">
        <f t="shared" si="42"/>
        <v>1920</v>
      </c>
      <c r="K229" s="153"/>
      <c r="V229" s="25">
        <f t="shared" si="44"/>
        <v>1</v>
      </c>
      <c r="W229" s="25">
        <f t="shared" si="45"/>
        <v>0</v>
      </c>
    </row>
    <row r="230" spans="1:23" x14ac:dyDescent="0.3">
      <c r="A230" s="147"/>
      <c r="B230" s="205">
        <f t="shared" si="43"/>
        <v>16</v>
      </c>
      <c r="C230" s="206">
        <v>43182</v>
      </c>
      <c r="D230" s="161" t="s">
        <v>9</v>
      </c>
      <c r="E230" s="161" t="s">
        <v>2459</v>
      </c>
      <c r="F230" s="222">
        <v>30</v>
      </c>
      <c r="G230" s="222">
        <v>20</v>
      </c>
      <c r="H230" s="222">
        <v>-10</v>
      </c>
      <c r="I230" s="207">
        <v>250</v>
      </c>
      <c r="J230" s="242">
        <f t="shared" si="42"/>
        <v>-2500</v>
      </c>
      <c r="K230" s="153"/>
      <c r="V230" s="25">
        <f t="shared" si="44"/>
        <v>0</v>
      </c>
      <c r="W230" s="25">
        <f t="shared" si="45"/>
        <v>1</v>
      </c>
    </row>
    <row r="231" spans="1:23" x14ac:dyDescent="0.3">
      <c r="A231" s="147"/>
      <c r="B231" s="205">
        <f t="shared" si="43"/>
        <v>17</v>
      </c>
      <c r="C231" s="206">
        <v>43185</v>
      </c>
      <c r="D231" s="161" t="s">
        <v>9</v>
      </c>
      <c r="E231" s="161" t="s">
        <v>2469</v>
      </c>
      <c r="F231" s="222">
        <v>4.5</v>
      </c>
      <c r="G231" s="222">
        <v>5.3</v>
      </c>
      <c r="H231" s="222">
        <v>0.8</v>
      </c>
      <c r="I231" s="207">
        <v>3000</v>
      </c>
      <c r="J231" s="242">
        <f t="shared" si="42"/>
        <v>2400</v>
      </c>
      <c r="K231" s="153"/>
      <c r="V231" s="25">
        <f t="shared" si="44"/>
        <v>1</v>
      </c>
      <c r="W231" s="25">
        <f t="shared" si="45"/>
        <v>0</v>
      </c>
    </row>
    <row r="232" spans="1:23" x14ac:dyDescent="0.3">
      <c r="A232" s="147"/>
      <c r="B232" s="205">
        <f t="shared" si="43"/>
        <v>18</v>
      </c>
      <c r="C232" s="206">
        <v>43186</v>
      </c>
      <c r="D232" s="161" t="s">
        <v>9</v>
      </c>
      <c r="E232" s="161" t="s">
        <v>2471</v>
      </c>
      <c r="F232" s="222">
        <v>3.3</v>
      </c>
      <c r="G232" s="222">
        <v>2</v>
      </c>
      <c r="H232" s="222">
        <v>-1.3</v>
      </c>
      <c r="I232" s="207">
        <v>3000</v>
      </c>
      <c r="J232" s="242">
        <f t="shared" si="42"/>
        <v>-3900</v>
      </c>
      <c r="K232" s="153"/>
      <c r="V232" s="25">
        <f t="shared" si="44"/>
        <v>0</v>
      </c>
      <c r="W232" s="25">
        <f t="shared" si="45"/>
        <v>1</v>
      </c>
    </row>
    <row r="233" spans="1:23" x14ac:dyDescent="0.3">
      <c r="A233" s="147"/>
      <c r="B233" s="205">
        <f t="shared" si="43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42"/>
        <v>0</v>
      </c>
      <c r="K233" s="153"/>
      <c r="V233" s="25">
        <f t="shared" si="44"/>
        <v>0</v>
      </c>
      <c r="W233" s="25">
        <f t="shared" si="45"/>
        <v>0</v>
      </c>
    </row>
    <row r="234" spans="1:23" x14ac:dyDescent="0.3">
      <c r="A234" s="147"/>
      <c r="B234" s="205">
        <f t="shared" si="43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42"/>
        <v>0</v>
      </c>
      <c r="K234" s="153"/>
      <c r="V234" s="25">
        <f t="shared" si="44"/>
        <v>0</v>
      </c>
      <c r="W234" s="25">
        <f t="shared" si="45"/>
        <v>0</v>
      </c>
    </row>
    <row r="235" spans="1:23" x14ac:dyDescent="0.3">
      <c r="A235" s="147"/>
      <c r="B235" s="205">
        <f t="shared" si="43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42"/>
        <v>0</v>
      </c>
      <c r="K235" s="153"/>
      <c r="V235" s="25">
        <f t="shared" si="44"/>
        <v>0</v>
      </c>
      <c r="W235" s="25">
        <f t="shared" si="45"/>
        <v>0</v>
      </c>
    </row>
    <row r="236" spans="1:23" x14ac:dyDescent="0.3">
      <c r="A236" s="147"/>
      <c r="B236" s="205">
        <f t="shared" si="43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2"/>
        <v>0</v>
      </c>
      <c r="K236" s="153"/>
      <c r="V236" s="25">
        <f t="shared" si="44"/>
        <v>0</v>
      </c>
      <c r="W236" s="25">
        <f t="shared" si="45"/>
        <v>0</v>
      </c>
    </row>
    <row r="237" spans="1:23" ht="15" thickBot="1" x14ac:dyDescent="0.35">
      <c r="A237" s="147"/>
      <c r="B237" s="208">
        <f t="shared" si="43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2"/>
        <v>0</v>
      </c>
      <c r="K237" s="153"/>
      <c r="V237" s="25">
        <f t="shared" si="44"/>
        <v>0</v>
      </c>
      <c r="W237" s="25">
        <f t="shared" si="45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32570</v>
      </c>
      <c r="K238" s="153"/>
      <c r="V238" s="25">
        <f>SUM(V215:V237)</f>
        <v>11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B00-000000000000}"/>
    <hyperlink ref="B83" r:id="rId2" xr:uid="{00000000-0004-0000-3B00-000001000000}"/>
    <hyperlink ref="B114" r:id="rId3" xr:uid="{00000000-0004-0000-3B00-000002000000}"/>
    <hyperlink ref="M8:M9" location="'MARCH-2018'!A108" display="NIFTY FUTURE" xr:uid="{00000000-0004-0000-3B00-000003000000}"/>
    <hyperlink ref="B145" r:id="rId4" xr:uid="{00000000-0004-0000-3B00-000004000000}"/>
    <hyperlink ref="B176" r:id="rId5" xr:uid="{00000000-0004-0000-3B00-000005000000}"/>
    <hyperlink ref="M12:M13" location="'MARCH-2018'!A170" display="BANK NIFTY" xr:uid="{00000000-0004-0000-3B00-000006000000}"/>
    <hyperlink ref="B207" r:id="rId6" xr:uid="{00000000-0004-0000-3B00-000007000000}"/>
    <hyperlink ref="M14:M15" location="'MARCH-2018'!A201" display="B.NIFTY OPTION" xr:uid="{00000000-0004-0000-3B00-000008000000}"/>
    <hyperlink ref="B238" r:id="rId7" xr:uid="{00000000-0004-0000-3B00-000009000000}"/>
    <hyperlink ref="M16:M17" location="'MARCH-2018'!A232" display="STOCK OPTION" xr:uid="{00000000-0004-0000-3B00-00000A000000}"/>
    <hyperlink ref="M6:M7" location="'MARCH-2018'!A77" display="STOCK FUTURE" xr:uid="{00000000-0004-0000-3B00-00000B000000}"/>
    <hyperlink ref="M1" location="'MASTER '!A1" display="Back" xr:uid="{00000000-0004-0000-3B00-00000C000000}"/>
    <hyperlink ref="M4:M5" location="'MARCH-2018'!A1" display="CASH" xr:uid="{00000000-0004-0000-3B00-00000D000000}"/>
    <hyperlink ref="M10:M11" location="'MARCH-2018'!A139" display="NF. OPTION" xr:uid="{00000000-0004-0000-3B00-00000E000000}"/>
  </hyperlinks>
  <pageMargins left="0" right="0" top="0" bottom="0" header="0" footer="0"/>
  <pageSetup scale="95" orientation="portrait" r:id="rId8"/>
  <drawing r:id="rId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W239"/>
  <sheetViews>
    <sheetView topLeftCell="A52" workbookViewId="0">
      <selection activeCell="A77" sqref="A77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2472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29</v>
      </c>
      <c r="P4" s="354">
        <f>W52</f>
        <v>13</v>
      </c>
      <c r="Q4" s="355">
        <f>N4-O4-P4</f>
        <v>0</v>
      </c>
      <c r="R4" s="314">
        <f>O4/N4</f>
        <v>0.69047619047619047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43192</v>
      </c>
      <c r="D6" s="158" t="s">
        <v>9</v>
      </c>
      <c r="E6" s="158" t="s">
        <v>2473</v>
      </c>
      <c r="F6" s="204">
        <v>2100</v>
      </c>
      <c r="G6" s="230">
        <v>2129</v>
      </c>
      <c r="H6" s="158">
        <v>29</v>
      </c>
      <c r="I6" s="204">
        <f>300000/F6</f>
        <v>142.85714285714286</v>
      </c>
      <c r="J6" s="241">
        <f>H6*I6</f>
        <v>4142.8571428571431</v>
      </c>
      <c r="K6" s="153"/>
      <c r="M6" s="389" t="s">
        <v>450</v>
      </c>
      <c r="N6" s="343">
        <f>COUNT(C60:C82)</f>
        <v>21</v>
      </c>
      <c r="O6" s="345">
        <f>V83</f>
        <v>17</v>
      </c>
      <c r="P6" s="345">
        <f>W83</f>
        <v>3</v>
      </c>
      <c r="Q6" s="347">
        <f>N6-O6-P6</f>
        <v>1</v>
      </c>
      <c r="R6" s="340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43192</v>
      </c>
      <c r="D7" s="161" t="s">
        <v>8</v>
      </c>
      <c r="E7" s="161" t="s">
        <v>834</v>
      </c>
      <c r="F7" s="222">
        <v>280.5</v>
      </c>
      <c r="G7" s="222">
        <v>282.5</v>
      </c>
      <c r="H7" s="255">
        <v>-2</v>
      </c>
      <c r="I7" s="207">
        <f t="shared" ref="I7" si="1">300000/F7</f>
        <v>1069.5187165775401</v>
      </c>
      <c r="J7" s="242">
        <f t="shared" ref="J7" si="2">H7*I7</f>
        <v>-2139.0374331550802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43193</v>
      </c>
      <c r="D8" s="161" t="s">
        <v>9</v>
      </c>
      <c r="E8" s="161" t="s">
        <v>2023</v>
      </c>
      <c r="F8" s="222">
        <v>1830</v>
      </c>
      <c r="G8" s="222">
        <v>1815</v>
      </c>
      <c r="H8" s="222">
        <v>-15</v>
      </c>
      <c r="I8" s="207">
        <f t="shared" ref="I8:I9" si="6">300000/F8</f>
        <v>163.9344262295082</v>
      </c>
      <c r="J8" s="242">
        <f t="shared" ref="J8:J9" si="7">H8*I8</f>
        <v>-2459.0163934426232</v>
      </c>
      <c r="K8" s="153"/>
      <c r="M8" s="389" t="s">
        <v>451</v>
      </c>
      <c r="N8" s="343">
        <f>COUNT(C91:C113)</f>
        <v>21</v>
      </c>
      <c r="O8" s="345">
        <f>V114</f>
        <v>18</v>
      </c>
      <c r="P8" s="345">
        <f>W114</f>
        <v>3</v>
      </c>
      <c r="Q8" s="347">
        <f>N8-O8-P8</f>
        <v>0</v>
      </c>
      <c r="R8" s="340">
        <f t="shared" ref="R8" si="8">O8/N8</f>
        <v>0.8571428571428571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43193</v>
      </c>
      <c r="D9" s="161" t="s">
        <v>8</v>
      </c>
      <c r="E9" s="161" t="s">
        <v>31</v>
      </c>
      <c r="F9" s="222">
        <v>890</v>
      </c>
      <c r="G9" s="222">
        <v>886</v>
      </c>
      <c r="H9" s="222">
        <v>4</v>
      </c>
      <c r="I9" s="207">
        <f t="shared" si="6"/>
        <v>337.07865168539325</v>
      </c>
      <c r="J9" s="242">
        <f t="shared" si="7"/>
        <v>1348.314606741573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43194</v>
      </c>
      <c r="D10" s="161" t="s">
        <v>9</v>
      </c>
      <c r="E10" s="161" t="s">
        <v>431</v>
      </c>
      <c r="F10" s="222">
        <v>202</v>
      </c>
      <c r="G10" s="222">
        <v>204</v>
      </c>
      <c r="H10" s="222">
        <v>2</v>
      </c>
      <c r="I10" s="207">
        <f t="shared" ref="I10:I11" si="9">300000/F10</f>
        <v>1485.1485148514851</v>
      </c>
      <c r="J10" s="242">
        <f t="shared" ref="J10:J11" si="10">H10*I10</f>
        <v>2970.2970297029701</v>
      </c>
      <c r="K10" s="153"/>
      <c r="M10" s="389" t="s">
        <v>1176</v>
      </c>
      <c r="N10" s="343">
        <f>COUNT(C122:C144)</f>
        <v>21</v>
      </c>
      <c r="O10" s="345">
        <f>V145</f>
        <v>15</v>
      </c>
      <c r="P10" s="345">
        <f>W145</f>
        <v>6</v>
      </c>
      <c r="Q10" s="347">
        <f>N10-O10-P10</f>
        <v>0</v>
      </c>
      <c r="R10" s="340">
        <f t="shared" ref="R10" si="11">O10/N10</f>
        <v>0.7142857142857143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43194</v>
      </c>
      <c r="D11" s="161" t="s">
        <v>8</v>
      </c>
      <c r="E11" s="161" t="s">
        <v>2473</v>
      </c>
      <c r="F11" s="222">
        <v>2110</v>
      </c>
      <c r="G11" s="222">
        <v>2080</v>
      </c>
      <c r="H11" s="255">
        <v>30</v>
      </c>
      <c r="I11" s="207">
        <f t="shared" si="9"/>
        <v>142.18009478672985</v>
      </c>
      <c r="J11" s="242">
        <f t="shared" si="10"/>
        <v>4265.4028436018953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43195</v>
      </c>
      <c r="D12" s="161" t="s">
        <v>9</v>
      </c>
      <c r="E12" s="161" t="s">
        <v>2473</v>
      </c>
      <c r="F12" s="222">
        <v>2125</v>
      </c>
      <c r="G12" s="222">
        <v>2134</v>
      </c>
      <c r="H12" s="222">
        <v>9</v>
      </c>
      <c r="I12" s="207">
        <f t="shared" ref="I12:I15" si="12">300000/F12</f>
        <v>141.1764705882353</v>
      </c>
      <c r="J12" s="242">
        <f t="shared" ref="J12:J15" si="13">H12*I12</f>
        <v>1270.5882352941178</v>
      </c>
      <c r="K12" s="153"/>
      <c r="M12" s="389" t="s">
        <v>41</v>
      </c>
      <c r="N12" s="343">
        <f>COUNT(C153:C175)</f>
        <v>21</v>
      </c>
      <c r="O12" s="345">
        <f>V176</f>
        <v>16</v>
      </c>
      <c r="P12" s="345">
        <f>W176</f>
        <v>5</v>
      </c>
      <c r="Q12" s="347">
        <f t="shared" ref="Q12" si="14">N12-O12-P12</f>
        <v>0</v>
      </c>
      <c r="R12" s="340">
        <f t="shared" ref="R12:R16" si="15">O12/N12</f>
        <v>0.76190476190476186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43195</v>
      </c>
      <c r="D13" s="161" t="s">
        <v>8</v>
      </c>
      <c r="E13" s="161" t="s">
        <v>2023</v>
      </c>
      <c r="F13" s="222">
        <v>1905</v>
      </c>
      <c r="G13" s="222">
        <v>1898</v>
      </c>
      <c r="H13" s="255">
        <v>7</v>
      </c>
      <c r="I13" s="207">
        <f t="shared" si="12"/>
        <v>157.48031496062993</v>
      </c>
      <c r="J13" s="242">
        <f t="shared" si="13"/>
        <v>1102.3622047244094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43196</v>
      </c>
      <c r="D14" s="161" t="s">
        <v>9</v>
      </c>
      <c r="E14" s="161" t="s">
        <v>2473</v>
      </c>
      <c r="F14" s="222">
        <v>2125</v>
      </c>
      <c r="G14" s="222">
        <v>2127</v>
      </c>
      <c r="H14" s="222">
        <v>2</v>
      </c>
      <c r="I14" s="207">
        <f t="shared" si="12"/>
        <v>141.1764705882353</v>
      </c>
      <c r="J14" s="242">
        <f t="shared" si="13"/>
        <v>282.35294117647061</v>
      </c>
      <c r="K14" s="153"/>
      <c r="M14" s="389" t="s">
        <v>1175</v>
      </c>
      <c r="N14" s="343">
        <f>COUNT(C184:C206)</f>
        <v>21</v>
      </c>
      <c r="O14" s="345">
        <f>V207</f>
        <v>15</v>
      </c>
      <c r="P14" s="345">
        <f>W207</f>
        <v>6</v>
      </c>
      <c r="Q14" s="347">
        <f t="shared" ref="Q14" si="16">N14-O14-P14</f>
        <v>0</v>
      </c>
      <c r="R14" s="340">
        <f t="shared" si="15"/>
        <v>0.7142857142857143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43196</v>
      </c>
      <c r="D15" s="161" t="s">
        <v>8</v>
      </c>
      <c r="E15" s="161" t="s">
        <v>139</v>
      </c>
      <c r="F15" s="222">
        <v>313</v>
      </c>
      <c r="G15" s="222">
        <v>315</v>
      </c>
      <c r="H15" s="222">
        <v>-2</v>
      </c>
      <c r="I15" s="207">
        <f t="shared" si="12"/>
        <v>958.46645367412145</v>
      </c>
      <c r="J15" s="242">
        <f t="shared" si="13"/>
        <v>-1916.9329073482429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43199</v>
      </c>
      <c r="D16" s="161" t="s">
        <v>9</v>
      </c>
      <c r="E16" s="161" t="s">
        <v>2023</v>
      </c>
      <c r="F16" s="222">
        <v>1955</v>
      </c>
      <c r="G16" s="222">
        <v>1964</v>
      </c>
      <c r="H16" s="222">
        <v>9</v>
      </c>
      <c r="I16" s="207">
        <f t="shared" ref="I16:I47" si="17">300000/F16</f>
        <v>153.45268542199489</v>
      </c>
      <c r="J16" s="242">
        <f t="shared" ref="J16:J47" si="18">H16*I16</f>
        <v>1381.0741687979539</v>
      </c>
      <c r="K16" s="153"/>
      <c r="L16" s="25" t="s">
        <v>2008</v>
      </c>
      <c r="M16" s="389" t="s">
        <v>1090</v>
      </c>
      <c r="N16" s="343">
        <v>21</v>
      </c>
      <c r="O16" s="345">
        <v>17</v>
      </c>
      <c r="P16" s="345">
        <f>W238</f>
        <v>4</v>
      </c>
      <c r="Q16" s="347">
        <v>0</v>
      </c>
      <c r="R16" s="340">
        <f t="shared" si="15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43199</v>
      </c>
      <c r="D17" s="161" t="s">
        <v>9</v>
      </c>
      <c r="E17" s="161" t="s">
        <v>2473</v>
      </c>
      <c r="F17" s="222">
        <v>2125</v>
      </c>
      <c r="G17" s="222">
        <v>2135</v>
      </c>
      <c r="H17" s="222">
        <v>10</v>
      </c>
      <c r="I17" s="207">
        <f t="shared" si="17"/>
        <v>141.1764705882353</v>
      </c>
      <c r="J17" s="242">
        <f t="shared" si="18"/>
        <v>1411.7647058823532</v>
      </c>
      <c r="K17" s="153"/>
      <c r="M17" s="390"/>
      <c r="N17" s="344"/>
      <c r="O17" s="346"/>
      <c r="P17" s="346"/>
      <c r="Q17" s="349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43200</v>
      </c>
      <c r="D18" s="161" t="s">
        <v>9</v>
      </c>
      <c r="E18" s="161" t="s">
        <v>2023</v>
      </c>
      <c r="F18" s="222">
        <v>1945</v>
      </c>
      <c r="G18" s="222">
        <v>1930</v>
      </c>
      <c r="H18" s="222">
        <v>-15</v>
      </c>
      <c r="I18" s="207">
        <f t="shared" si="17"/>
        <v>154.24164524421593</v>
      </c>
      <c r="J18" s="242">
        <f t="shared" si="18"/>
        <v>-2313.6246786632391</v>
      </c>
      <c r="K18" s="153"/>
      <c r="M18" s="334" t="s">
        <v>946</v>
      </c>
      <c r="N18" s="336">
        <f>SUM(N4:N17)</f>
        <v>168</v>
      </c>
      <c r="O18" s="336">
        <f t="shared" ref="O18:Q18" si="19">SUM(O4:O17)</f>
        <v>127</v>
      </c>
      <c r="P18" s="336">
        <f t="shared" si="19"/>
        <v>40</v>
      </c>
      <c r="Q18" s="338">
        <f t="shared" si="19"/>
        <v>1</v>
      </c>
      <c r="R18" s="314">
        <f t="shared" ref="R18" si="20">O18/N18</f>
        <v>0.75595238095238093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43200</v>
      </c>
      <c r="D19" s="161" t="s">
        <v>8</v>
      </c>
      <c r="E19" s="161" t="s">
        <v>2473</v>
      </c>
      <c r="F19" s="222">
        <v>2120</v>
      </c>
      <c r="G19" s="222">
        <v>2090</v>
      </c>
      <c r="H19" s="222">
        <v>30</v>
      </c>
      <c r="I19" s="207">
        <f t="shared" si="17"/>
        <v>141.50943396226415</v>
      </c>
      <c r="J19" s="242">
        <f t="shared" si="18"/>
        <v>4245.2830188679245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43201</v>
      </c>
      <c r="D20" s="161" t="s">
        <v>9</v>
      </c>
      <c r="E20" s="161" t="s">
        <v>796</v>
      </c>
      <c r="F20" s="222">
        <v>1095</v>
      </c>
      <c r="G20" s="222">
        <v>1115</v>
      </c>
      <c r="H20" s="222">
        <v>20</v>
      </c>
      <c r="I20" s="207">
        <f t="shared" si="17"/>
        <v>273.97260273972603</v>
      </c>
      <c r="J20" s="242">
        <f t="shared" si="18"/>
        <v>5479.4520547945203</v>
      </c>
      <c r="K20" s="153"/>
      <c r="M20" s="316" t="s">
        <v>2253</v>
      </c>
      <c r="N20" s="317"/>
      <c r="O20" s="318"/>
      <c r="P20" s="325">
        <f>R18</f>
        <v>0.75595238095238093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43201</v>
      </c>
      <c r="D21" s="161" t="s">
        <v>8</v>
      </c>
      <c r="E21" s="161" t="s">
        <v>2023</v>
      </c>
      <c r="F21" s="222">
        <v>1905</v>
      </c>
      <c r="G21" s="222">
        <v>1897</v>
      </c>
      <c r="H21" s="222">
        <v>8</v>
      </c>
      <c r="I21" s="207">
        <f t="shared" si="17"/>
        <v>157.48031496062993</v>
      </c>
      <c r="J21" s="242">
        <f t="shared" si="18"/>
        <v>1259.8425196850394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43202</v>
      </c>
      <c r="D22" s="161" t="s">
        <v>9</v>
      </c>
      <c r="E22" s="161" t="s">
        <v>139</v>
      </c>
      <c r="F22" s="222">
        <v>311.5</v>
      </c>
      <c r="G22" s="222">
        <v>313</v>
      </c>
      <c r="H22" s="222">
        <v>1.5</v>
      </c>
      <c r="I22" s="207">
        <f t="shared" si="17"/>
        <v>963.08186195826647</v>
      </c>
      <c r="J22" s="242">
        <f t="shared" si="18"/>
        <v>1444.6227929373997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43202</v>
      </c>
      <c r="D23" s="161" t="s">
        <v>8</v>
      </c>
      <c r="E23" s="161" t="s">
        <v>796</v>
      </c>
      <c r="F23" s="222">
        <v>1105</v>
      </c>
      <c r="G23" s="222">
        <v>1085</v>
      </c>
      <c r="H23" s="222">
        <v>20</v>
      </c>
      <c r="I23" s="207">
        <f t="shared" si="17"/>
        <v>271.49321266968326</v>
      </c>
      <c r="J23" s="242">
        <f t="shared" si="18"/>
        <v>5429.8642533936654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43203</v>
      </c>
      <c r="D24" s="161" t="s">
        <v>9</v>
      </c>
      <c r="E24" s="161" t="s">
        <v>2479</v>
      </c>
      <c r="F24" s="222">
        <v>139</v>
      </c>
      <c r="G24" s="222">
        <v>143</v>
      </c>
      <c r="H24" s="222">
        <v>4</v>
      </c>
      <c r="I24" s="207">
        <f t="shared" si="17"/>
        <v>2158.2733812949641</v>
      </c>
      <c r="J24" s="242">
        <f t="shared" si="18"/>
        <v>8633.0935251798564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43203</v>
      </c>
      <c r="D25" s="161" t="s">
        <v>8</v>
      </c>
      <c r="E25" s="161" t="s">
        <v>796</v>
      </c>
      <c r="F25" s="222">
        <v>1080</v>
      </c>
      <c r="G25" s="222">
        <v>1071</v>
      </c>
      <c r="H25" s="222">
        <v>9</v>
      </c>
      <c r="I25" s="207">
        <f t="shared" si="17"/>
        <v>277.77777777777777</v>
      </c>
      <c r="J25" s="242">
        <f t="shared" si="18"/>
        <v>2500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43206</v>
      </c>
      <c r="D26" s="161" t="s">
        <v>9</v>
      </c>
      <c r="E26" s="161" t="s">
        <v>834</v>
      </c>
      <c r="F26" s="222">
        <v>290</v>
      </c>
      <c r="G26" s="222">
        <v>291.3</v>
      </c>
      <c r="H26" s="222">
        <v>1.3</v>
      </c>
      <c r="I26" s="207">
        <f t="shared" si="17"/>
        <v>1034.4827586206898</v>
      </c>
      <c r="J26" s="242">
        <f t="shared" si="18"/>
        <v>1344.8275862068967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43206</v>
      </c>
      <c r="D27" s="161" t="s">
        <v>8</v>
      </c>
      <c r="E27" s="161" t="s">
        <v>139</v>
      </c>
      <c r="F27" s="222">
        <v>308.5</v>
      </c>
      <c r="G27" s="222">
        <v>307</v>
      </c>
      <c r="H27" s="222">
        <v>1.5</v>
      </c>
      <c r="I27" s="207">
        <f t="shared" si="17"/>
        <v>972.44732576985416</v>
      </c>
      <c r="J27" s="242">
        <f t="shared" si="18"/>
        <v>1458.6709886547812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43207</v>
      </c>
      <c r="D28" s="161" t="s">
        <v>9</v>
      </c>
      <c r="E28" s="161" t="s">
        <v>834</v>
      </c>
      <c r="F28" s="222">
        <v>294</v>
      </c>
      <c r="G28" s="222">
        <v>291</v>
      </c>
      <c r="H28" s="222">
        <v>-3</v>
      </c>
      <c r="I28" s="207">
        <f t="shared" si="17"/>
        <v>1020.4081632653061</v>
      </c>
      <c r="J28" s="242">
        <f t="shared" si="18"/>
        <v>-3061.2244897959185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43207</v>
      </c>
      <c r="D29" s="161" t="s">
        <v>8</v>
      </c>
      <c r="E29" s="161" t="s">
        <v>139</v>
      </c>
      <c r="F29" s="222">
        <v>310</v>
      </c>
      <c r="G29" s="222">
        <v>313</v>
      </c>
      <c r="H29" s="222">
        <v>-3</v>
      </c>
      <c r="I29" s="207">
        <f t="shared" si="17"/>
        <v>967.74193548387098</v>
      </c>
      <c r="J29" s="242">
        <f t="shared" si="18"/>
        <v>-2903.2258064516127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43208</v>
      </c>
      <c r="D30" s="161" t="s">
        <v>9</v>
      </c>
      <c r="E30" s="161" t="s">
        <v>2473</v>
      </c>
      <c r="F30" s="222">
        <v>2110</v>
      </c>
      <c r="G30" s="222">
        <v>2106</v>
      </c>
      <c r="H30" s="222">
        <v>-4</v>
      </c>
      <c r="I30" s="207">
        <f t="shared" si="17"/>
        <v>142.18009478672985</v>
      </c>
      <c r="J30" s="242">
        <f t="shared" si="18"/>
        <v>-568.72037914691941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43208</v>
      </c>
      <c r="D31" s="161" t="s">
        <v>8</v>
      </c>
      <c r="E31" s="161" t="s">
        <v>796</v>
      </c>
      <c r="F31" s="222">
        <v>1085</v>
      </c>
      <c r="G31" s="222">
        <v>1071</v>
      </c>
      <c r="H31" s="222">
        <v>14</v>
      </c>
      <c r="I31" s="207">
        <f t="shared" si="17"/>
        <v>276.49769585253455</v>
      </c>
      <c r="J31" s="242">
        <f t="shared" si="18"/>
        <v>3870.9677419354839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43209</v>
      </c>
      <c r="D32" s="161" t="s">
        <v>9</v>
      </c>
      <c r="E32" s="161" t="s">
        <v>796</v>
      </c>
      <c r="F32" s="222">
        <v>1100</v>
      </c>
      <c r="G32" s="222">
        <v>1120</v>
      </c>
      <c r="H32" s="222">
        <v>20</v>
      </c>
      <c r="I32" s="207">
        <f t="shared" si="17"/>
        <v>272.72727272727275</v>
      </c>
      <c r="J32" s="242">
        <f t="shared" si="18"/>
        <v>5454.545454545455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43209</v>
      </c>
      <c r="D33" s="161" t="s">
        <v>8</v>
      </c>
      <c r="E33" s="161" t="s">
        <v>2473</v>
      </c>
      <c r="F33" s="222">
        <v>2115</v>
      </c>
      <c r="G33" s="222">
        <v>2135</v>
      </c>
      <c r="H33" s="222">
        <v>-20</v>
      </c>
      <c r="I33" s="207">
        <f t="shared" si="17"/>
        <v>141.84397163120568</v>
      </c>
      <c r="J33" s="242">
        <f t="shared" si="18"/>
        <v>-2836.8794326241136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43210</v>
      </c>
      <c r="D34" s="161" t="s">
        <v>9</v>
      </c>
      <c r="E34" s="161" t="s">
        <v>834</v>
      </c>
      <c r="F34" s="222">
        <v>306</v>
      </c>
      <c r="G34" s="222">
        <v>309</v>
      </c>
      <c r="H34" s="222">
        <v>3</v>
      </c>
      <c r="I34" s="207">
        <f t="shared" si="17"/>
        <v>980.39215686274508</v>
      </c>
      <c r="J34" s="242">
        <f t="shared" si="18"/>
        <v>2941.1764705882351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43210</v>
      </c>
      <c r="D35" s="161" t="s">
        <v>8</v>
      </c>
      <c r="E35" s="161" t="s">
        <v>95</v>
      </c>
      <c r="F35" s="222">
        <v>287</v>
      </c>
      <c r="G35" s="222">
        <v>281</v>
      </c>
      <c r="H35" s="222">
        <v>6</v>
      </c>
      <c r="I35" s="207">
        <f t="shared" si="17"/>
        <v>1045.2961672473868</v>
      </c>
      <c r="J35" s="242">
        <f t="shared" si="18"/>
        <v>6271.7770034843215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43213</v>
      </c>
      <c r="D36" s="161" t="s">
        <v>9</v>
      </c>
      <c r="E36" s="161" t="s">
        <v>2482</v>
      </c>
      <c r="F36" s="222">
        <v>165</v>
      </c>
      <c r="G36" s="222">
        <v>166.2</v>
      </c>
      <c r="H36" s="222">
        <v>1.2</v>
      </c>
      <c r="I36" s="207">
        <f t="shared" si="17"/>
        <v>1818.1818181818182</v>
      </c>
      <c r="J36" s="242">
        <f t="shared" si="18"/>
        <v>2181.818181818182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43213</v>
      </c>
      <c r="D37" s="161" t="s">
        <v>8</v>
      </c>
      <c r="E37" s="161" t="s">
        <v>834</v>
      </c>
      <c r="F37" s="222">
        <v>307.5</v>
      </c>
      <c r="G37" s="222">
        <v>304</v>
      </c>
      <c r="H37" s="222">
        <v>3.5</v>
      </c>
      <c r="I37" s="207">
        <f t="shared" si="17"/>
        <v>975.60975609756099</v>
      </c>
      <c r="J37" s="242">
        <f t="shared" si="18"/>
        <v>3414.6341463414633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43214</v>
      </c>
      <c r="D38" s="161" t="s">
        <v>9</v>
      </c>
      <c r="E38" s="161" t="s">
        <v>531</v>
      </c>
      <c r="F38" s="222">
        <v>995</v>
      </c>
      <c r="G38" s="222">
        <v>985</v>
      </c>
      <c r="H38" s="222">
        <v>-10</v>
      </c>
      <c r="I38" s="207">
        <f t="shared" si="17"/>
        <v>301.5075376884422</v>
      </c>
      <c r="J38" s="242">
        <f t="shared" si="18"/>
        <v>-3015.075376884422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43214</v>
      </c>
      <c r="D39" s="161" t="s">
        <v>8</v>
      </c>
      <c r="E39" s="161" t="s">
        <v>796</v>
      </c>
      <c r="F39" s="222">
        <v>1124</v>
      </c>
      <c r="G39" s="222">
        <v>1104</v>
      </c>
      <c r="H39" s="222">
        <v>20</v>
      </c>
      <c r="I39" s="207">
        <f t="shared" si="17"/>
        <v>266.90391459074732</v>
      </c>
      <c r="J39" s="242">
        <f t="shared" si="18"/>
        <v>5338.0782918149462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43215</v>
      </c>
      <c r="D40" s="161" t="s">
        <v>9</v>
      </c>
      <c r="E40" s="161" t="s">
        <v>834</v>
      </c>
      <c r="F40" s="222">
        <v>294.5</v>
      </c>
      <c r="G40" s="222">
        <v>291.5</v>
      </c>
      <c r="H40" s="222">
        <v>-3</v>
      </c>
      <c r="I40" s="207">
        <f t="shared" si="17"/>
        <v>1018.6757215619695</v>
      </c>
      <c r="J40" s="242">
        <f t="shared" si="18"/>
        <v>-3056.0271646859082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43215</v>
      </c>
      <c r="D41" s="161" t="s">
        <v>8</v>
      </c>
      <c r="E41" s="161" t="s">
        <v>796</v>
      </c>
      <c r="F41" s="222">
        <v>1100</v>
      </c>
      <c r="G41" s="223">
        <v>1080</v>
      </c>
      <c r="H41" s="222">
        <v>20</v>
      </c>
      <c r="I41" s="207">
        <f t="shared" si="17"/>
        <v>272.72727272727275</v>
      </c>
      <c r="J41" s="242">
        <f t="shared" si="18"/>
        <v>5454.545454545455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43216</v>
      </c>
      <c r="D42" s="161" t="s">
        <v>9</v>
      </c>
      <c r="E42" s="161" t="s">
        <v>2023</v>
      </c>
      <c r="F42" s="222">
        <v>1905</v>
      </c>
      <c r="G42" s="222">
        <v>1890</v>
      </c>
      <c r="H42" s="222">
        <v>-15</v>
      </c>
      <c r="I42" s="207">
        <f t="shared" si="17"/>
        <v>157.48031496062993</v>
      </c>
      <c r="J42" s="242">
        <f t="shared" si="18"/>
        <v>-2362.2047244094488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43216</v>
      </c>
      <c r="D43" s="161" t="s">
        <v>8</v>
      </c>
      <c r="E43" s="161" t="s">
        <v>796</v>
      </c>
      <c r="F43" s="222">
        <v>1077</v>
      </c>
      <c r="G43" s="222">
        <v>1067</v>
      </c>
      <c r="H43" s="222">
        <v>10</v>
      </c>
      <c r="I43" s="207">
        <f t="shared" si="17"/>
        <v>278.55153203342616</v>
      </c>
      <c r="J43" s="242">
        <f t="shared" si="18"/>
        <v>2785.5153203342616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43217</v>
      </c>
      <c r="D44" s="161" t="s">
        <v>9</v>
      </c>
      <c r="E44" s="161" t="s">
        <v>78</v>
      </c>
      <c r="F44" s="222">
        <v>1365</v>
      </c>
      <c r="G44" s="222">
        <v>1380</v>
      </c>
      <c r="H44" s="222">
        <v>15</v>
      </c>
      <c r="I44" s="207">
        <f t="shared" si="17"/>
        <v>219.78021978021977</v>
      </c>
      <c r="J44" s="242">
        <f t="shared" si="18"/>
        <v>3296.7032967032965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43217</v>
      </c>
      <c r="D45" s="161" t="s">
        <v>8</v>
      </c>
      <c r="E45" s="161" t="s">
        <v>796</v>
      </c>
      <c r="F45" s="222">
        <v>1070</v>
      </c>
      <c r="G45" s="222">
        <v>1072</v>
      </c>
      <c r="H45" s="222">
        <v>-2</v>
      </c>
      <c r="I45" s="207">
        <f t="shared" si="17"/>
        <v>280.37383177570092</v>
      </c>
      <c r="J45" s="242">
        <f t="shared" si="18"/>
        <v>-560.74766355140184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43220</v>
      </c>
      <c r="D46" s="161" t="s">
        <v>9</v>
      </c>
      <c r="E46" s="161" t="s">
        <v>796</v>
      </c>
      <c r="F46" s="222">
        <v>1092</v>
      </c>
      <c r="G46" s="222">
        <v>1098</v>
      </c>
      <c r="H46" s="222">
        <v>6</v>
      </c>
      <c r="I46" s="207">
        <f t="shared" si="17"/>
        <v>274.72527472527474</v>
      </c>
      <c r="J46" s="242">
        <f t="shared" si="18"/>
        <v>1648.3516483516485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43220</v>
      </c>
      <c r="D47" s="161" t="s">
        <v>8</v>
      </c>
      <c r="E47" s="161" t="s">
        <v>192</v>
      </c>
      <c r="F47" s="222">
        <v>260</v>
      </c>
      <c r="G47" s="222">
        <v>264</v>
      </c>
      <c r="H47" s="222">
        <v>-4</v>
      </c>
      <c r="I47" s="207">
        <f t="shared" si="17"/>
        <v>1153.8461538461538</v>
      </c>
      <c r="J47" s="242">
        <f t="shared" si="18"/>
        <v>-4615.3846153846152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60820.682563418181</v>
      </c>
      <c r="K52" s="153"/>
      <c r="V52" s="25">
        <f>SUM(V6:V51)</f>
        <v>29</v>
      </c>
      <c r="W52" s="25">
        <f>SUM(W6:W51)</f>
        <v>13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2472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43192</v>
      </c>
      <c r="D60" s="158" t="s">
        <v>8</v>
      </c>
      <c r="E60" s="158" t="s">
        <v>19</v>
      </c>
      <c r="F60" s="204">
        <v>247</v>
      </c>
      <c r="G60" s="230">
        <v>246</v>
      </c>
      <c r="H60" s="230">
        <v>1</v>
      </c>
      <c r="I60" s="204">
        <v>3000</v>
      </c>
      <c r="J60" s="241">
        <f t="shared" ref="J60:J82" si="21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43193</v>
      </c>
      <c r="D61" s="161" t="s">
        <v>8</v>
      </c>
      <c r="E61" s="161" t="s">
        <v>19</v>
      </c>
      <c r="F61" s="222">
        <v>252.5</v>
      </c>
      <c r="G61" s="222">
        <v>249.5</v>
      </c>
      <c r="H61" s="222">
        <v>3</v>
      </c>
      <c r="I61" s="207">
        <v>3000</v>
      </c>
      <c r="J61" s="242">
        <f t="shared" si="21"/>
        <v>9000</v>
      </c>
      <c r="K61" s="153"/>
      <c r="V61" s="25">
        <f t="shared" ref="V61:V82" si="22">IF($J61&gt;0,1,0)</f>
        <v>1</v>
      </c>
      <c r="W61" s="25">
        <f t="shared" ref="W61:W82" si="23">IF($J61&lt;0,1,0)</f>
        <v>0</v>
      </c>
    </row>
    <row r="62" spans="1:23" x14ac:dyDescent="0.3">
      <c r="A62" s="147"/>
      <c r="B62" s="205">
        <f t="shared" ref="B62:B82" si="24">B61+1</f>
        <v>3</v>
      </c>
      <c r="C62" s="206">
        <v>43194</v>
      </c>
      <c r="D62" s="161" t="s">
        <v>9</v>
      </c>
      <c r="E62" s="161" t="s">
        <v>2023</v>
      </c>
      <c r="F62" s="222">
        <v>1855</v>
      </c>
      <c r="G62" s="222">
        <v>1870</v>
      </c>
      <c r="H62" s="222">
        <v>15</v>
      </c>
      <c r="I62" s="207">
        <v>500</v>
      </c>
      <c r="J62" s="242">
        <f t="shared" si="21"/>
        <v>7500</v>
      </c>
      <c r="K62" s="153"/>
      <c r="V62" s="25">
        <f t="shared" si="22"/>
        <v>1</v>
      </c>
      <c r="W62" s="25">
        <f t="shared" si="23"/>
        <v>0</v>
      </c>
    </row>
    <row r="63" spans="1:23" x14ac:dyDescent="0.3">
      <c r="A63" s="147"/>
      <c r="B63" s="205">
        <f t="shared" si="24"/>
        <v>4</v>
      </c>
      <c r="C63" s="206">
        <v>43195</v>
      </c>
      <c r="D63" s="161" t="s">
        <v>8</v>
      </c>
      <c r="E63" s="161" t="s">
        <v>19</v>
      </c>
      <c r="F63" s="222">
        <v>252.7</v>
      </c>
      <c r="G63" s="222">
        <v>255.7</v>
      </c>
      <c r="H63" s="222">
        <v>-3</v>
      </c>
      <c r="I63" s="207">
        <v>3000</v>
      </c>
      <c r="J63" s="242">
        <f t="shared" si="21"/>
        <v>-9000</v>
      </c>
      <c r="K63" s="153"/>
      <c r="V63" s="25">
        <f t="shared" si="22"/>
        <v>0</v>
      </c>
      <c r="W63" s="25">
        <f t="shared" si="23"/>
        <v>1</v>
      </c>
    </row>
    <row r="64" spans="1:23" x14ac:dyDescent="0.3">
      <c r="A64" s="147"/>
      <c r="B64" s="205">
        <f t="shared" si="24"/>
        <v>5</v>
      </c>
      <c r="C64" s="206">
        <v>43196</v>
      </c>
      <c r="D64" s="161" t="s">
        <v>8</v>
      </c>
      <c r="E64" s="161" t="s">
        <v>796</v>
      </c>
      <c r="F64" s="222">
        <v>1085</v>
      </c>
      <c r="G64" s="222">
        <v>1075</v>
      </c>
      <c r="H64" s="222">
        <v>10</v>
      </c>
      <c r="I64" s="207">
        <v>500</v>
      </c>
      <c r="J64" s="242">
        <f t="shared" si="21"/>
        <v>5000</v>
      </c>
      <c r="K64" s="153"/>
      <c r="V64" s="25">
        <f t="shared" si="22"/>
        <v>1</v>
      </c>
      <c r="W64" s="25">
        <f t="shared" si="23"/>
        <v>0</v>
      </c>
    </row>
    <row r="65" spans="1:23" x14ac:dyDescent="0.3">
      <c r="A65" s="147"/>
      <c r="B65" s="205">
        <f t="shared" si="24"/>
        <v>6</v>
      </c>
      <c r="C65" s="206">
        <v>43199</v>
      </c>
      <c r="D65" s="161" t="s">
        <v>8</v>
      </c>
      <c r="E65" s="161" t="s">
        <v>19</v>
      </c>
      <c r="F65" s="222">
        <v>261</v>
      </c>
      <c r="G65" s="222">
        <v>258</v>
      </c>
      <c r="H65" s="222">
        <v>3</v>
      </c>
      <c r="I65" s="207">
        <v>3000</v>
      </c>
      <c r="J65" s="242">
        <f t="shared" si="21"/>
        <v>9000</v>
      </c>
      <c r="K65" s="153"/>
      <c r="V65" s="25">
        <f t="shared" si="22"/>
        <v>1</v>
      </c>
      <c r="W65" s="25">
        <f t="shared" si="23"/>
        <v>0</v>
      </c>
    </row>
    <row r="66" spans="1:23" x14ac:dyDescent="0.3">
      <c r="A66" s="147"/>
      <c r="B66" s="205">
        <f t="shared" si="24"/>
        <v>7</v>
      </c>
      <c r="C66" s="206">
        <v>43200</v>
      </c>
      <c r="D66" s="161" t="s">
        <v>8</v>
      </c>
      <c r="E66" s="161" t="s">
        <v>19</v>
      </c>
      <c r="F66" s="222">
        <v>260.5</v>
      </c>
      <c r="G66" s="222">
        <v>259.2</v>
      </c>
      <c r="H66" s="222">
        <v>1.3</v>
      </c>
      <c r="I66" s="207">
        <v>3000</v>
      </c>
      <c r="J66" s="242">
        <f t="shared" si="21"/>
        <v>3900</v>
      </c>
      <c r="K66" s="153"/>
      <c r="V66" s="25">
        <f t="shared" si="22"/>
        <v>1</v>
      </c>
      <c r="W66" s="25">
        <f t="shared" si="23"/>
        <v>0</v>
      </c>
    </row>
    <row r="67" spans="1:23" x14ac:dyDescent="0.3">
      <c r="A67" s="147"/>
      <c r="B67" s="205">
        <f t="shared" si="24"/>
        <v>8</v>
      </c>
      <c r="C67" s="206">
        <v>43201</v>
      </c>
      <c r="D67" s="161" t="s">
        <v>8</v>
      </c>
      <c r="E67" s="161" t="s">
        <v>395</v>
      </c>
      <c r="F67" s="222">
        <v>2102</v>
      </c>
      <c r="G67" s="222">
        <v>2105</v>
      </c>
      <c r="H67" s="222">
        <v>-3</v>
      </c>
      <c r="I67" s="207">
        <v>250</v>
      </c>
      <c r="J67" s="242">
        <f t="shared" si="21"/>
        <v>-750</v>
      </c>
      <c r="K67" s="153"/>
      <c r="V67" s="25">
        <f t="shared" si="22"/>
        <v>0</v>
      </c>
      <c r="W67" s="25">
        <f t="shared" si="23"/>
        <v>1</v>
      </c>
    </row>
    <row r="68" spans="1:23" x14ac:dyDescent="0.3">
      <c r="A68" s="147"/>
      <c r="B68" s="205">
        <f t="shared" si="24"/>
        <v>9</v>
      </c>
      <c r="C68" s="206">
        <v>43202</v>
      </c>
      <c r="D68" s="161" t="s">
        <v>8</v>
      </c>
      <c r="E68" s="161" t="s">
        <v>834</v>
      </c>
      <c r="F68" s="222">
        <v>295</v>
      </c>
      <c r="G68" s="222">
        <v>289</v>
      </c>
      <c r="H68" s="222">
        <v>6</v>
      </c>
      <c r="I68" s="207">
        <v>1750</v>
      </c>
      <c r="J68" s="242">
        <f t="shared" si="21"/>
        <v>10500</v>
      </c>
      <c r="K68" s="153"/>
      <c r="V68" s="25">
        <f t="shared" si="22"/>
        <v>1</v>
      </c>
      <c r="W68" s="25">
        <f t="shared" si="23"/>
        <v>0</v>
      </c>
    </row>
    <row r="69" spans="1:23" x14ac:dyDescent="0.3">
      <c r="A69" s="147"/>
      <c r="B69" s="205">
        <f t="shared" si="24"/>
        <v>10</v>
      </c>
      <c r="C69" s="206">
        <v>43203</v>
      </c>
      <c r="D69" s="161" t="s">
        <v>9</v>
      </c>
      <c r="E69" s="161" t="s">
        <v>192</v>
      </c>
      <c r="F69" s="222">
        <v>282</v>
      </c>
      <c r="G69" s="222">
        <v>287.8</v>
      </c>
      <c r="H69" s="222">
        <v>5.8</v>
      </c>
      <c r="I69" s="207">
        <v>1600</v>
      </c>
      <c r="J69" s="242">
        <f t="shared" si="21"/>
        <v>9280</v>
      </c>
      <c r="K69" s="153"/>
      <c r="V69" s="25">
        <f t="shared" si="22"/>
        <v>1</v>
      </c>
      <c r="W69" s="25">
        <f t="shared" si="23"/>
        <v>0</v>
      </c>
    </row>
    <row r="70" spans="1:23" x14ac:dyDescent="0.3">
      <c r="A70" s="147"/>
      <c r="B70" s="205">
        <f t="shared" si="24"/>
        <v>11</v>
      </c>
      <c r="C70" s="206">
        <v>43206</v>
      </c>
      <c r="D70" s="161" t="s">
        <v>8</v>
      </c>
      <c r="E70" s="161" t="s">
        <v>192</v>
      </c>
      <c r="F70" s="222">
        <v>284</v>
      </c>
      <c r="G70" s="222">
        <v>281.3</v>
      </c>
      <c r="H70" s="222">
        <v>2.7</v>
      </c>
      <c r="I70" s="207">
        <v>1600</v>
      </c>
      <c r="J70" s="242">
        <f t="shared" si="21"/>
        <v>4320</v>
      </c>
      <c r="K70" s="153"/>
      <c r="V70" s="25">
        <f t="shared" si="22"/>
        <v>1</v>
      </c>
      <c r="W70" s="25">
        <f t="shared" si="23"/>
        <v>0</v>
      </c>
    </row>
    <row r="71" spans="1:23" x14ac:dyDescent="0.3">
      <c r="A71" s="147"/>
      <c r="B71" s="205">
        <f t="shared" si="24"/>
        <v>12</v>
      </c>
      <c r="C71" s="206">
        <v>43207</v>
      </c>
      <c r="D71" s="161" t="s">
        <v>8</v>
      </c>
      <c r="E71" s="161" t="s">
        <v>796</v>
      </c>
      <c r="F71" s="222">
        <v>1086</v>
      </c>
      <c r="G71" s="222">
        <v>1086</v>
      </c>
      <c r="H71" s="222">
        <v>0</v>
      </c>
      <c r="I71" s="207">
        <v>500</v>
      </c>
      <c r="J71" s="242">
        <f t="shared" si="21"/>
        <v>0</v>
      </c>
      <c r="K71" s="153"/>
      <c r="V71" s="25">
        <f t="shared" si="22"/>
        <v>0</v>
      </c>
      <c r="W71" s="25">
        <f t="shared" si="23"/>
        <v>0</v>
      </c>
    </row>
    <row r="72" spans="1:23" x14ac:dyDescent="0.3">
      <c r="A72" s="147"/>
      <c r="B72" s="205">
        <f t="shared" si="24"/>
        <v>13</v>
      </c>
      <c r="C72" s="206">
        <v>43208</v>
      </c>
      <c r="D72" s="161" t="s">
        <v>8</v>
      </c>
      <c r="E72" s="161" t="s">
        <v>95</v>
      </c>
      <c r="F72" s="222">
        <v>291</v>
      </c>
      <c r="G72" s="222">
        <v>294</v>
      </c>
      <c r="H72" s="222">
        <v>-3</v>
      </c>
      <c r="I72" s="207">
        <v>2750</v>
      </c>
      <c r="J72" s="242">
        <f t="shared" si="21"/>
        <v>-8250</v>
      </c>
      <c r="K72" s="153"/>
      <c r="V72" s="25">
        <f t="shared" si="22"/>
        <v>0</v>
      </c>
      <c r="W72" s="25">
        <f t="shared" si="23"/>
        <v>1</v>
      </c>
    </row>
    <row r="73" spans="1:23" x14ac:dyDescent="0.3">
      <c r="A73" s="147"/>
      <c r="B73" s="205">
        <f t="shared" si="24"/>
        <v>14</v>
      </c>
      <c r="C73" s="206">
        <v>43209</v>
      </c>
      <c r="D73" s="161" t="s">
        <v>8</v>
      </c>
      <c r="E73" s="161" t="s">
        <v>2023</v>
      </c>
      <c r="F73" s="223">
        <v>1927</v>
      </c>
      <c r="G73" s="222">
        <v>1917</v>
      </c>
      <c r="H73" s="255">
        <v>10</v>
      </c>
      <c r="I73" s="207">
        <v>500</v>
      </c>
      <c r="J73" s="242">
        <f t="shared" si="21"/>
        <v>5000</v>
      </c>
      <c r="K73" s="153"/>
      <c r="V73" s="25">
        <f t="shared" si="22"/>
        <v>1</v>
      </c>
      <c r="W73" s="25">
        <f t="shared" si="23"/>
        <v>0</v>
      </c>
    </row>
    <row r="74" spans="1:23" x14ac:dyDescent="0.3">
      <c r="A74" s="147"/>
      <c r="B74" s="205">
        <f t="shared" si="24"/>
        <v>15</v>
      </c>
      <c r="C74" s="206">
        <v>43210</v>
      </c>
      <c r="D74" s="161" t="s">
        <v>8</v>
      </c>
      <c r="E74" s="161" t="s">
        <v>192</v>
      </c>
      <c r="F74" s="222">
        <v>273</v>
      </c>
      <c r="G74" s="222">
        <v>265</v>
      </c>
      <c r="H74" s="255">
        <v>8</v>
      </c>
      <c r="I74" s="207">
        <v>1600</v>
      </c>
      <c r="J74" s="242">
        <f t="shared" si="21"/>
        <v>12800</v>
      </c>
      <c r="K74" s="153"/>
      <c r="V74" s="25">
        <f t="shared" si="22"/>
        <v>1</v>
      </c>
      <c r="W74" s="25">
        <f t="shared" si="23"/>
        <v>0</v>
      </c>
    </row>
    <row r="75" spans="1:23" x14ac:dyDescent="0.3">
      <c r="A75" s="147"/>
      <c r="B75" s="205">
        <f t="shared" si="24"/>
        <v>16</v>
      </c>
      <c r="C75" s="206">
        <v>43213</v>
      </c>
      <c r="D75" s="161" t="s">
        <v>8</v>
      </c>
      <c r="E75" s="161" t="s">
        <v>796</v>
      </c>
      <c r="F75" s="222">
        <v>1136</v>
      </c>
      <c r="G75" s="222">
        <v>1126</v>
      </c>
      <c r="H75" s="222">
        <v>10</v>
      </c>
      <c r="I75" s="207">
        <v>500</v>
      </c>
      <c r="J75" s="242">
        <f t="shared" si="21"/>
        <v>5000</v>
      </c>
      <c r="K75" s="153"/>
      <c r="V75" s="25">
        <f t="shared" si="22"/>
        <v>1</v>
      </c>
      <c r="W75" s="25">
        <f t="shared" si="23"/>
        <v>0</v>
      </c>
    </row>
    <row r="76" spans="1:23" x14ac:dyDescent="0.3">
      <c r="A76" s="147"/>
      <c r="B76" s="205">
        <f t="shared" si="24"/>
        <v>17</v>
      </c>
      <c r="C76" s="206">
        <v>43214</v>
      </c>
      <c r="D76" s="161" t="s">
        <v>8</v>
      </c>
      <c r="E76" s="161" t="s">
        <v>19</v>
      </c>
      <c r="F76" s="222">
        <v>242.5</v>
      </c>
      <c r="G76" s="222">
        <v>240</v>
      </c>
      <c r="H76" s="222">
        <v>2.5</v>
      </c>
      <c r="I76" s="207">
        <v>3000</v>
      </c>
      <c r="J76" s="242">
        <f t="shared" si="21"/>
        <v>7500</v>
      </c>
      <c r="K76" s="153"/>
      <c r="V76" s="25">
        <f t="shared" si="22"/>
        <v>1</v>
      </c>
      <c r="W76" s="25">
        <f t="shared" si="23"/>
        <v>0</v>
      </c>
    </row>
    <row r="77" spans="1:23" x14ac:dyDescent="0.3">
      <c r="A77" s="147"/>
      <c r="B77" s="205">
        <f t="shared" si="24"/>
        <v>18</v>
      </c>
      <c r="C77" s="206">
        <v>43215</v>
      </c>
      <c r="D77" s="161" t="s">
        <v>8</v>
      </c>
      <c r="E77" s="161" t="s">
        <v>19</v>
      </c>
      <c r="F77" s="222">
        <v>239</v>
      </c>
      <c r="G77" s="222">
        <v>237.3</v>
      </c>
      <c r="H77" s="222">
        <v>1.7</v>
      </c>
      <c r="I77" s="207">
        <v>3000</v>
      </c>
      <c r="J77" s="242">
        <f t="shared" si="21"/>
        <v>5100</v>
      </c>
      <c r="K77" s="153"/>
      <c r="V77" s="25">
        <f t="shared" si="22"/>
        <v>1</v>
      </c>
      <c r="W77" s="25">
        <f t="shared" si="23"/>
        <v>0</v>
      </c>
    </row>
    <row r="78" spans="1:23" x14ac:dyDescent="0.3">
      <c r="A78" s="147"/>
      <c r="B78" s="205">
        <f t="shared" si="24"/>
        <v>19</v>
      </c>
      <c r="C78" s="206">
        <v>43216</v>
      </c>
      <c r="D78" s="161" t="s">
        <v>8</v>
      </c>
      <c r="E78" s="161" t="s">
        <v>19</v>
      </c>
      <c r="F78" s="222">
        <v>237</v>
      </c>
      <c r="G78" s="222">
        <v>234</v>
      </c>
      <c r="H78" s="222">
        <v>3</v>
      </c>
      <c r="I78" s="207">
        <v>3000</v>
      </c>
      <c r="J78" s="242">
        <f t="shared" si="21"/>
        <v>9000</v>
      </c>
      <c r="K78" s="153"/>
      <c r="V78" s="25">
        <f t="shared" si="22"/>
        <v>1</v>
      </c>
      <c r="W78" s="25">
        <f t="shared" si="23"/>
        <v>0</v>
      </c>
    </row>
    <row r="79" spans="1:23" x14ac:dyDescent="0.3">
      <c r="A79" s="147"/>
      <c r="B79" s="205">
        <f t="shared" si="24"/>
        <v>20</v>
      </c>
      <c r="C79" s="206">
        <v>43217</v>
      </c>
      <c r="D79" s="161" t="s">
        <v>8</v>
      </c>
      <c r="E79" s="161" t="s">
        <v>2023</v>
      </c>
      <c r="F79" s="222">
        <v>1915</v>
      </c>
      <c r="G79" s="222">
        <v>1908</v>
      </c>
      <c r="H79" s="222">
        <v>7</v>
      </c>
      <c r="I79" s="207">
        <v>500</v>
      </c>
      <c r="J79" s="242">
        <f t="shared" si="21"/>
        <v>3500</v>
      </c>
      <c r="K79" s="153"/>
      <c r="V79" s="25">
        <f t="shared" si="22"/>
        <v>1</v>
      </c>
      <c r="W79" s="25">
        <f t="shared" si="23"/>
        <v>0</v>
      </c>
    </row>
    <row r="80" spans="1:23" x14ac:dyDescent="0.3">
      <c r="A80" s="147"/>
      <c r="B80" s="205">
        <f t="shared" si="24"/>
        <v>21</v>
      </c>
      <c r="C80" s="206">
        <v>43218</v>
      </c>
      <c r="D80" s="161" t="s">
        <v>8</v>
      </c>
      <c r="E80" s="161" t="s">
        <v>95</v>
      </c>
      <c r="F80" s="222">
        <v>287</v>
      </c>
      <c r="G80" s="222">
        <v>284.10000000000002</v>
      </c>
      <c r="H80" s="222">
        <v>2.9</v>
      </c>
      <c r="I80" s="207">
        <v>2750</v>
      </c>
      <c r="J80" s="242">
        <f t="shared" si="21"/>
        <v>7975</v>
      </c>
      <c r="K80" s="153"/>
      <c r="V80" s="25">
        <f t="shared" si="22"/>
        <v>1</v>
      </c>
      <c r="W80" s="25">
        <f t="shared" si="23"/>
        <v>0</v>
      </c>
    </row>
    <row r="81" spans="1:23" x14ac:dyDescent="0.3">
      <c r="A81" s="147"/>
      <c r="B81" s="205">
        <f t="shared" si="24"/>
        <v>22</v>
      </c>
      <c r="C81" s="206"/>
      <c r="D81" s="161"/>
      <c r="E81" s="161"/>
      <c r="F81" s="222"/>
      <c r="G81" s="222"/>
      <c r="H81" s="222"/>
      <c r="I81" s="207"/>
      <c r="J81" s="242">
        <f t="shared" si="21"/>
        <v>0</v>
      </c>
      <c r="K81" s="153"/>
      <c r="V81" s="25">
        <f t="shared" si="22"/>
        <v>0</v>
      </c>
      <c r="W81" s="25">
        <f t="shared" si="23"/>
        <v>0</v>
      </c>
    </row>
    <row r="82" spans="1:23" ht="15" thickBot="1" x14ac:dyDescent="0.35">
      <c r="A82" s="147"/>
      <c r="B82" s="208">
        <f t="shared" si="24"/>
        <v>23</v>
      </c>
      <c r="C82" s="209"/>
      <c r="D82" s="166"/>
      <c r="E82" s="166"/>
      <c r="F82" s="210"/>
      <c r="G82" s="210"/>
      <c r="H82" s="166"/>
      <c r="I82" s="210"/>
      <c r="J82" s="244">
        <f t="shared" si="21"/>
        <v>0</v>
      </c>
      <c r="K82" s="153"/>
      <c r="V82" s="25">
        <f t="shared" si="22"/>
        <v>0</v>
      </c>
      <c r="W82" s="25">
        <f t="shared" si="23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99375</v>
      </c>
      <c r="K83" s="153"/>
      <c r="V83" s="25">
        <f>SUM(V60:V82)</f>
        <v>17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2472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43192</v>
      </c>
      <c r="D91" s="185" t="s">
        <v>8</v>
      </c>
      <c r="E91" s="185" t="s">
        <v>39</v>
      </c>
      <c r="F91" s="219">
        <v>10180</v>
      </c>
      <c r="G91" s="219">
        <v>10210</v>
      </c>
      <c r="H91" s="185">
        <v>-30</v>
      </c>
      <c r="I91" s="219">
        <v>150</v>
      </c>
      <c r="J91" s="246">
        <f t="shared" ref="J91:J113" si="25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43193</v>
      </c>
      <c r="D92" s="161" t="s">
        <v>8</v>
      </c>
      <c r="E92" s="161" t="s">
        <v>39</v>
      </c>
      <c r="F92" s="207">
        <v>10250</v>
      </c>
      <c r="G92" s="207">
        <v>10210</v>
      </c>
      <c r="H92" s="161">
        <v>40</v>
      </c>
      <c r="I92" s="207">
        <v>150</v>
      </c>
      <c r="J92" s="242">
        <f t="shared" si="25"/>
        <v>6000</v>
      </c>
      <c r="K92" s="153"/>
      <c r="V92" s="25">
        <f t="shared" ref="V92:V113" si="26">IF($J92&gt;0,1,0)</f>
        <v>1</v>
      </c>
      <c r="W92" s="25">
        <f t="shared" ref="W92:W113" si="27">IF($J92&lt;0,1,0)</f>
        <v>0</v>
      </c>
    </row>
    <row r="93" spans="1:23" x14ac:dyDescent="0.3">
      <c r="A93" s="147"/>
      <c r="B93" s="205">
        <f t="shared" ref="B93:B113" si="28">B92+1</f>
        <v>3</v>
      </c>
      <c r="C93" s="206">
        <v>43194</v>
      </c>
      <c r="D93" s="161" t="s">
        <v>8</v>
      </c>
      <c r="E93" s="161" t="s">
        <v>39</v>
      </c>
      <c r="F93" s="207">
        <v>10290</v>
      </c>
      <c r="G93" s="207">
        <v>10230</v>
      </c>
      <c r="H93" s="161">
        <v>60</v>
      </c>
      <c r="I93" s="207">
        <v>150</v>
      </c>
      <c r="J93" s="242">
        <f t="shared" si="25"/>
        <v>9000</v>
      </c>
      <c r="K93" s="153"/>
      <c r="V93" s="25">
        <f t="shared" si="26"/>
        <v>1</v>
      </c>
      <c r="W93" s="25">
        <f t="shared" si="27"/>
        <v>0</v>
      </c>
    </row>
    <row r="94" spans="1:23" x14ac:dyDescent="0.3">
      <c r="A94" s="147"/>
      <c r="B94" s="205">
        <f t="shared" si="28"/>
        <v>4</v>
      </c>
      <c r="C94" s="206">
        <v>43195</v>
      </c>
      <c r="D94" s="161" t="s">
        <v>8</v>
      </c>
      <c r="E94" s="161" t="s">
        <v>39</v>
      </c>
      <c r="F94" s="207">
        <v>10295</v>
      </c>
      <c r="G94" s="207">
        <v>10325</v>
      </c>
      <c r="H94" s="161">
        <v>-30</v>
      </c>
      <c r="I94" s="207">
        <v>150</v>
      </c>
      <c r="J94" s="242">
        <f t="shared" si="25"/>
        <v>-4500</v>
      </c>
      <c r="K94" s="153"/>
      <c r="V94" s="25">
        <f t="shared" si="26"/>
        <v>0</v>
      </c>
      <c r="W94" s="25">
        <f t="shared" si="27"/>
        <v>1</v>
      </c>
    </row>
    <row r="95" spans="1:23" x14ac:dyDescent="0.3">
      <c r="A95" s="147"/>
      <c r="B95" s="205">
        <f t="shared" si="28"/>
        <v>5</v>
      </c>
      <c r="C95" s="206">
        <v>43196</v>
      </c>
      <c r="D95" s="161" t="s">
        <v>8</v>
      </c>
      <c r="E95" s="161" t="s">
        <v>39</v>
      </c>
      <c r="F95" s="207">
        <v>10330</v>
      </c>
      <c r="G95" s="207">
        <v>10314</v>
      </c>
      <c r="H95" s="161">
        <v>16</v>
      </c>
      <c r="I95" s="207">
        <v>150</v>
      </c>
      <c r="J95" s="242">
        <f t="shared" si="25"/>
        <v>2400</v>
      </c>
      <c r="K95" s="153"/>
      <c r="V95" s="25">
        <f t="shared" si="26"/>
        <v>1</v>
      </c>
      <c r="W95" s="25">
        <f t="shared" si="27"/>
        <v>0</v>
      </c>
    </row>
    <row r="96" spans="1:23" x14ac:dyDescent="0.3">
      <c r="A96" s="147"/>
      <c r="B96" s="205">
        <f t="shared" si="28"/>
        <v>6</v>
      </c>
      <c r="C96" s="206">
        <v>43199</v>
      </c>
      <c r="D96" s="161" t="s">
        <v>8</v>
      </c>
      <c r="E96" s="161" t="s">
        <v>39</v>
      </c>
      <c r="F96" s="207">
        <v>10405</v>
      </c>
      <c r="G96" s="207">
        <v>10375</v>
      </c>
      <c r="H96" s="161">
        <v>30</v>
      </c>
      <c r="I96" s="207">
        <v>150</v>
      </c>
      <c r="J96" s="242">
        <f t="shared" si="25"/>
        <v>4500</v>
      </c>
      <c r="K96" s="153"/>
      <c r="V96" s="25">
        <f t="shared" si="26"/>
        <v>1</v>
      </c>
      <c r="W96" s="25">
        <f t="shared" si="27"/>
        <v>0</v>
      </c>
    </row>
    <row r="97" spans="1:23" x14ac:dyDescent="0.3">
      <c r="A97" s="147"/>
      <c r="B97" s="205">
        <f t="shared" si="28"/>
        <v>7</v>
      </c>
      <c r="C97" s="206">
        <v>43200</v>
      </c>
      <c r="D97" s="161" t="s">
        <v>8</v>
      </c>
      <c r="E97" s="161" t="s">
        <v>39</v>
      </c>
      <c r="F97" s="207">
        <v>10430</v>
      </c>
      <c r="G97" s="207">
        <v>10400</v>
      </c>
      <c r="H97" s="161">
        <v>30</v>
      </c>
      <c r="I97" s="207">
        <v>150</v>
      </c>
      <c r="J97" s="242">
        <f t="shared" si="25"/>
        <v>4500</v>
      </c>
      <c r="K97" s="153"/>
      <c r="V97" s="25">
        <f t="shared" si="26"/>
        <v>1</v>
      </c>
      <c r="W97" s="25">
        <f t="shared" si="27"/>
        <v>0</v>
      </c>
    </row>
    <row r="98" spans="1:23" x14ac:dyDescent="0.3">
      <c r="A98" s="147"/>
      <c r="B98" s="205">
        <f t="shared" si="28"/>
        <v>8</v>
      </c>
      <c r="C98" s="206">
        <v>43201</v>
      </c>
      <c r="D98" s="161" t="s">
        <v>8</v>
      </c>
      <c r="E98" s="161" t="s">
        <v>39</v>
      </c>
      <c r="F98" s="207">
        <v>10380</v>
      </c>
      <c r="G98" s="207">
        <v>10364</v>
      </c>
      <c r="H98" s="161">
        <v>16</v>
      </c>
      <c r="I98" s="207">
        <v>150</v>
      </c>
      <c r="J98" s="242">
        <f t="shared" si="25"/>
        <v>2400</v>
      </c>
      <c r="K98" s="153"/>
      <c r="V98" s="25">
        <f t="shared" si="26"/>
        <v>1</v>
      </c>
      <c r="W98" s="25">
        <f t="shared" si="27"/>
        <v>0</v>
      </c>
    </row>
    <row r="99" spans="1:23" x14ac:dyDescent="0.3">
      <c r="A99" s="147"/>
      <c r="B99" s="205">
        <f t="shared" si="28"/>
        <v>9</v>
      </c>
      <c r="C99" s="206">
        <v>43202</v>
      </c>
      <c r="D99" s="161" t="s">
        <v>9</v>
      </c>
      <c r="E99" s="161" t="s">
        <v>39</v>
      </c>
      <c r="F99" s="207">
        <v>10410</v>
      </c>
      <c r="G99" s="207">
        <v>10470</v>
      </c>
      <c r="H99" s="161">
        <v>60</v>
      </c>
      <c r="I99" s="207">
        <v>150</v>
      </c>
      <c r="J99" s="242">
        <f t="shared" si="25"/>
        <v>9000</v>
      </c>
      <c r="K99" s="153"/>
      <c r="V99" s="25">
        <f t="shared" si="26"/>
        <v>1</v>
      </c>
      <c r="W99" s="25">
        <f t="shared" si="27"/>
        <v>0</v>
      </c>
    </row>
    <row r="100" spans="1:23" x14ac:dyDescent="0.3">
      <c r="A100" s="147"/>
      <c r="B100" s="205">
        <f t="shared" si="28"/>
        <v>10</v>
      </c>
      <c r="C100" s="206">
        <v>43203</v>
      </c>
      <c r="D100" s="161" t="s">
        <v>9</v>
      </c>
      <c r="E100" s="161" t="s">
        <v>39</v>
      </c>
      <c r="F100" s="207">
        <v>10485</v>
      </c>
      <c r="G100" s="207">
        <v>10525</v>
      </c>
      <c r="H100" s="161">
        <v>40</v>
      </c>
      <c r="I100" s="207">
        <v>150</v>
      </c>
      <c r="J100" s="242">
        <f t="shared" si="25"/>
        <v>6000</v>
      </c>
      <c r="K100" s="153"/>
      <c r="V100" s="25">
        <f t="shared" si="26"/>
        <v>1</v>
      </c>
      <c r="W100" s="25">
        <f t="shared" si="27"/>
        <v>0</v>
      </c>
    </row>
    <row r="101" spans="1:23" x14ac:dyDescent="0.3">
      <c r="A101" s="147"/>
      <c r="B101" s="205">
        <f t="shared" si="28"/>
        <v>11</v>
      </c>
      <c r="C101" s="206">
        <v>43206</v>
      </c>
      <c r="D101" s="161" t="s">
        <v>8</v>
      </c>
      <c r="E101" s="161" t="s">
        <v>39</v>
      </c>
      <c r="F101" s="207">
        <v>10475</v>
      </c>
      <c r="G101" s="207">
        <v>10505</v>
      </c>
      <c r="H101" s="161">
        <v>-30</v>
      </c>
      <c r="I101" s="207">
        <v>150</v>
      </c>
      <c r="J101" s="242">
        <f t="shared" si="25"/>
        <v>-4500</v>
      </c>
      <c r="K101" s="153"/>
      <c r="V101" s="25">
        <f t="shared" si="26"/>
        <v>0</v>
      </c>
      <c r="W101" s="25">
        <f t="shared" si="27"/>
        <v>1</v>
      </c>
    </row>
    <row r="102" spans="1:23" x14ac:dyDescent="0.3">
      <c r="A102" s="147"/>
      <c r="B102" s="205">
        <f t="shared" si="28"/>
        <v>12</v>
      </c>
      <c r="C102" s="206">
        <v>43207</v>
      </c>
      <c r="D102" s="161" t="s">
        <v>8</v>
      </c>
      <c r="E102" s="161" t="s">
        <v>39</v>
      </c>
      <c r="F102" s="207">
        <v>10550</v>
      </c>
      <c r="G102" s="207">
        <v>10510</v>
      </c>
      <c r="H102" s="161">
        <v>40</v>
      </c>
      <c r="I102" s="207">
        <v>150</v>
      </c>
      <c r="J102" s="242">
        <f t="shared" si="25"/>
        <v>6000</v>
      </c>
      <c r="K102" s="153"/>
      <c r="V102" s="25">
        <f t="shared" si="26"/>
        <v>1</v>
      </c>
      <c r="W102" s="25">
        <f t="shared" si="27"/>
        <v>0</v>
      </c>
    </row>
    <row r="103" spans="1:23" x14ac:dyDescent="0.3">
      <c r="A103" s="147"/>
      <c r="B103" s="205">
        <f t="shared" si="28"/>
        <v>13</v>
      </c>
      <c r="C103" s="206">
        <v>43208</v>
      </c>
      <c r="D103" s="161" t="s">
        <v>8</v>
      </c>
      <c r="E103" s="161" t="s">
        <v>39</v>
      </c>
      <c r="F103" s="207">
        <v>10560</v>
      </c>
      <c r="G103" s="207">
        <v>10454</v>
      </c>
      <c r="H103" s="161">
        <v>15</v>
      </c>
      <c r="I103" s="207">
        <v>150</v>
      </c>
      <c r="J103" s="242">
        <f t="shared" si="25"/>
        <v>2250</v>
      </c>
      <c r="K103" s="153"/>
      <c r="V103" s="25">
        <f t="shared" si="26"/>
        <v>1</v>
      </c>
      <c r="W103" s="25">
        <f t="shared" si="27"/>
        <v>0</v>
      </c>
    </row>
    <row r="104" spans="1:23" x14ac:dyDescent="0.3">
      <c r="A104" s="147"/>
      <c r="B104" s="205">
        <f t="shared" si="28"/>
        <v>14</v>
      </c>
      <c r="C104" s="206">
        <v>43209</v>
      </c>
      <c r="D104" s="161" t="s">
        <v>8</v>
      </c>
      <c r="E104" s="161" t="s">
        <v>39</v>
      </c>
      <c r="F104" s="207">
        <v>10565</v>
      </c>
      <c r="G104" s="207">
        <v>10550</v>
      </c>
      <c r="H104" s="161">
        <v>15</v>
      </c>
      <c r="I104" s="207">
        <v>150</v>
      </c>
      <c r="J104" s="242">
        <f t="shared" si="25"/>
        <v>2250</v>
      </c>
      <c r="K104" s="153"/>
      <c r="V104" s="25">
        <f t="shared" si="26"/>
        <v>1</v>
      </c>
      <c r="W104" s="25">
        <f t="shared" si="27"/>
        <v>0</v>
      </c>
    </row>
    <row r="105" spans="1:23" x14ac:dyDescent="0.3">
      <c r="A105" s="147"/>
      <c r="B105" s="205">
        <f t="shared" si="28"/>
        <v>15</v>
      </c>
      <c r="C105" s="206">
        <v>43210</v>
      </c>
      <c r="D105" s="161" t="s">
        <v>8</v>
      </c>
      <c r="E105" s="161" t="s">
        <v>39</v>
      </c>
      <c r="F105" s="207">
        <v>10550</v>
      </c>
      <c r="G105" s="207">
        <v>10535</v>
      </c>
      <c r="H105" s="161">
        <v>15</v>
      </c>
      <c r="I105" s="207">
        <v>150</v>
      </c>
      <c r="J105" s="242">
        <f t="shared" si="25"/>
        <v>2250</v>
      </c>
      <c r="K105" s="153"/>
      <c r="V105" s="25">
        <f t="shared" si="26"/>
        <v>1</v>
      </c>
      <c r="W105" s="25">
        <f t="shared" si="27"/>
        <v>0</v>
      </c>
    </row>
    <row r="106" spans="1:23" x14ac:dyDescent="0.3">
      <c r="A106" s="147"/>
      <c r="B106" s="205">
        <f t="shared" si="28"/>
        <v>16</v>
      </c>
      <c r="C106" s="206">
        <v>43213</v>
      </c>
      <c r="D106" s="161" t="s">
        <v>9</v>
      </c>
      <c r="E106" s="161" t="s">
        <v>39</v>
      </c>
      <c r="F106" s="207">
        <v>10600</v>
      </c>
      <c r="G106" s="207">
        <v>10615</v>
      </c>
      <c r="H106" s="161">
        <v>15</v>
      </c>
      <c r="I106" s="207">
        <v>150</v>
      </c>
      <c r="J106" s="242">
        <f t="shared" si="25"/>
        <v>2250</v>
      </c>
      <c r="K106" s="153"/>
      <c r="V106" s="25">
        <f t="shared" si="26"/>
        <v>1</v>
      </c>
      <c r="W106" s="25">
        <f t="shared" si="27"/>
        <v>0</v>
      </c>
    </row>
    <row r="107" spans="1:23" x14ac:dyDescent="0.3">
      <c r="A107" s="147"/>
      <c r="B107" s="205">
        <f t="shared" si="28"/>
        <v>17</v>
      </c>
      <c r="C107" s="206">
        <v>43214</v>
      </c>
      <c r="D107" s="161" t="s">
        <v>8</v>
      </c>
      <c r="E107" s="161" t="s">
        <v>39</v>
      </c>
      <c r="F107" s="207">
        <v>10590</v>
      </c>
      <c r="G107" s="207">
        <v>10575</v>
      </c>
      <c r="H107" s="161">
        <v>15</v>
      </c>
      <c r="I107" s="207">
        <v>150</v>
      </c>
      <c r="J107" s="242">
        <f t="shared" si="25"/>
        <v>2250</v>
      </c>
      <c r="K107" s="153"/>
      <c r="V107" s="25">
        <f t="shared" si="26"/>
        <v>1</v>
      </c>
      <c r="W107" s="25">
        <f t="shared" si="27"/>
        <v>0</v>
      </c>
    </row>
    <row r="108" spans="1:23" x14ac:dyDescent="0.3">
      <c r="A108" s="147"/>
      <c r="B108" s="205">
        <f t="shared" si="28"/>
        <v>18</v>
      </c>
      <c r="C108" s="206">
        <v>43215</v>
      </c>
      <c r="D108" s="161" t="s">
        <v>8</v>
      </c>
      <c r="E108" s="161" t="s">
        <v>39</v>
      </c>
      <c r="F108" s="207">
        <v>10590</v>
      </c>
      <c r="G108" s="207">
        <v>10550</v>
      </c>
      <c r="H108" s="161">
        <v>40</v>
      </c>
      <c r="I108" s="207">
        <v>150</v>
      </c>
      <c r="J108" s="242">
        <f t="shared" si="25"/>
        <v>6000</v>
      </c>
      <c r="K108" s="153"/>
      <c r="V108" s="25">
        <f t="shared" si="26"/>
        <v>1</v>
      </c>
      <c r="W108" s="25">
        <f t="shared" si="27"/>
        <v>0</v>
      </c>
    </row>
    <row r="109" spans="1:23" x14ac:dyDescent="0.3">
      <c r="A109" s="147"/>
      <c r="B109" s="205">
        <f t="shared" si="28"/>
        <v>19</v>
      </c>
      <c r="C109" s="206">
        <v>43216</v>
      </c>
      <c r="D109" s="161" t="s">
        <v>8</v>
      </c>
      <c r="E109" s="161" t="s">
        <v>39</v>
      </c>
      <c r="F109" s="207">
        <v>10590</v>
      </c>
      <c r="G109" s="207">
        <v>10560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6"/>
        <v>1</v>
      </c>
      <c r="W109" s="25">
        <f t="shared" si="27"/>
        <v>0</v>
      </c>
    </row>
    <row r="110" spans="1:23" x14ac:dyDescent="0.3">
      <c r="A110" s="147"/>
      <c r="B110" s="205">
        <f t="shared" si="28"/>
        <v>20</v>
      </c>
      <c r="C110" s="206">
        <v>43217</v>
      </c>
      <c r="D110" s="161" t="s">
        <v>8</v>
      </c>
      <c r="E110" s="161" t="s">
        <v>39</v>
      </c>
      <c r="F110" s="207">
        <v>10715</v>
      </c>
      <c r="G110" s="207">
        <v>10713</v>
      </c>
      <c r="H110" s="161">
        <v>2</v>
      </c>
      <c r="I110" s="207">
        <v>150</v>
      </c>
      <c r="J110" s="242">
        <f t="shared" si="25"/>
        <v>300</v>
      </c>
      <c r="K110" s="153"/>
      <c r="V110" s="25">
        <f t="shared" si="26"/>
        <v>1</v>
      </c>
      <c r="W110" s="25">
        <f t="shared" si="27"/>
        <v>0</v>
      </c>
    </row>
    <row r="111" spans="1:23" x14ac:dyDescent="0.3">
      <c r="A111" s="147"/>
      <c r="B111" s="205">
        <f t="shared" si="28"/>
        <v>21</v>
      </c>
      <c r="C111" s="206">
        <v>43218</v>
      </c>
      <c r="D111" s="161" t="s">
        <v>8</v>
      </c>
      <c r="E111" s="161" t="s">
        <v>39</v>
      </c>
      <c r="F111" s="207">
        <v>10775</v>
      </c>
      <c r="G111" s="207">
        <v>10761</v>
      </c>
      <c r="H111" s="161">
        <v>14</v>
      </c>
      <c r="I111" s="207">
        <v>150</v>
      </c>
      <c r="J111" s="242">
        <f t="shared" si="25"/>
        <v>2100</v>
      </c>
      <c r="K111" s="153"/>
      <c r="V111" s="25">
        <f t="shared" si="26"/>
        <v>1</v>
      </c>
      <c r="W111" s="25">
        <f t="shared" si="27"/>
        <v>0</v>
      </c>
    </row>
    <row r="112" spans="1:23" x14ac:dyDescent="0.3">
      <c r="A112" s="147"/>
      <c r="B112" s="205">
        <f t="shared" si="28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5"/>
        <v>0</v>
      </c>
      <c r="K112" s="153"/>
      <c r="V112" s="25">
        <f t="shared" si="26"/>
        <v>0</v>
      </c>
      <c r="W112" s="25">
        <f t="shared" si="27"/>
        <v>0</v>
      </c>
    </row>
    <row r="113" spans="1:23" ht="15" thickBot="1" x14ac:dyDescent="0.35">
      <c r="A113" s="147"/>
      <c r="B113" s="208">
        <f t="shared" si="28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5"/>
        <v>0</v>
      </c>
      <c r="K113" s="153"/>
      <c r="V113" s="25">
        <f t="shared" si="26"/>
        <v>0</v>
      </c>
      <c r="W113" s="25">
        <f t="shared" si="27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60450</v>
      </c>
      <c r="K114" s="153"/>
      <c r="V114" s="25">
        <f>SUM(V91:V113)</f>
        <v>18</v>
      </c>
      <c r="W114" s="25">
        <f>SUM(W91:W113)</f>
        <v>3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2472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43192</v>
      </c>
      <c r="D122" s="185" t="s">
        <v>9</v>
      </c>
      <c r="E122" s="185" t="s">
        <v>2346</v>
      </c>
      <c r="F122" s="219">
        <v>175</v>
      </c>
      <c r="G122" s="219">
        <v>155</v>
      </c>
      <c r="H122" s="185">
        <v>-20</v>
      </c>
      <c r="I122" s="219">
        <v>300</v>
      </c>
      <c r="J122" s="246">
        <f t="shared" ref="J122:J144" si="29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43193</v>
      </c>
      <c r="D123" s="161" t="s">
        <v>9</v>
      </c>
      <c r="E123" s="161" t="s">
        <v>2348</v>
      </c>
      <c r="F123" s="207">
        <v>170</v>
      </c>
      <c r="G123" s="207">
        <v>190</v>
      </c>
      <c r="H123" s="161">
        <v>20</v>
      </c>
      <c r="I123" s="207">
        <v>300</v>
      </c>
      <c r="J123" s="242">
        <f t="shared" si="29"/>
        <v>6000</v>
      </c>
      <c r="K123" s="153"/>
      <c r="V123" s="25">
        <f t="shared" ref="V123:V144" si="30">IF($J123&gt;0,1,0)</f>
        <v>1</v>
      </c>
      <c r="W123" s="25">
        <f t="shared" ref="W123:W144" si="31">IF($J123&lt;0,1,0)</f>
        <v>0</v>
      </c>
    </row>
    <row r="124" spans="1:23" x14ac:dyDescent="0.3">
      <c r="A124" s="147"/>
      <c r="B124" s="205">
        <f t="shared" ref="B124:B144" si="32">B123+1</f>
        <v>3</v>
      </c>
      <c r="C124" s="206">
        <v>43194</v>
      </c>
      <c r="D124" s="161" t="s">
        <v>9</v>
      </c>
      <c r="E124" s="161" t="s">
        <v>2348</v>
      </c>
      <c r="F124" s="207">
        <v>145</v>
      </c>
      <c r="G124" s="207">
        <v>185</v>
      </c>
      <c r="H124" s="161">
        <v>40</v>
      </c>
      <c r="I124" s="207">
        <v>300</v>
      </c>
      <c r="J124" s="242">
        <f t="shared" si="29"/>
        <v>12000</v>
      </c>
      <c r="K124" s="153"/>
      <c r="V124" s="25">
        <f t="shared" si="30"/>
        <v>1</v>
      </c>
      <c r="W124" s="25">
        <f t="shared" si="31"/>
        <v>0</v>
      </c>
    </row>
    <row r="125" spans="1:23" x14ac:dyDescent="0.3">
      <c r="A125" s="147"/>
      <c r="B125" s="205">
        <f t="shared" si="32"/>
        <v>4</v>
      </c>
      <c r="C125" s="206">
        <v>43195</v>
      </c>
      <c r="D125" s="161" t="s">
        <v>9</v>
      </c>
      <c r="E125" s="161" t="s">
        <v>2348</v>
      </c>
      <c r="F125" s="207">
        <v>140</v>
      </c>
      <c r="G125" s="207">
        <v>120</v>
      </c>
      <c r="H125" s="161">
        <v>-20</v>
      </c>
      <c r="I125" s="207">
        <v>300</v>
      </c>
      <c r="J125" s="242">
        <f t="shared" si="29"/>
        <v>-6000</v>
      </c>
      <c r="K125" s="153"/>
      <c r="V125" s="25">
        <f t="shared" si="30"/>
        <v>0</v>
      </c>
      <c r="W125" s="25">
        <f t="shared" si="31"/>
        <v>1</v>
      </c>
    </row>
    <row r="126" spans="1:23" x14ac:dyDescent="0.3">
      <c r="A126" s="147"/>
      <c r="B126" s="205">
        <f t="shared" si="32"/>
        <v>5</v>
      </c>
      <c r="C126" s="206">
        <v>43196</v>
      </c>
      <c r="D126" s="161" t="s">
        <v>9</v>
      </c>
      <c r="E126" s="161" t="s">
        <v>2348</v>
      </c>
      <c r="F126" s="207">
        <v>125</v>
      </c>
      <c r="G126" s="207">
        <v>105</v>
      </c>
      <c r="H126" s="161">
        <v>-20</v>
      </c>
      <c r="I126" s="207">
        <v>300</v>
      </c>
      <c r="J126" s="242">
        <f t="shared" si="29"/>
        <v>-6000</v>
      </c>
      <c r="K126" s="153"/>
      <c r="M126" s="25" t="s">
        <v>2008</v>
      </c>
      <c r="V126" s="25">
        <f t="shared" si="30"/>
        <v>0</v>
      </c>
      <c r="W126" s="25">
        <f t="shared" si="31"/>
        <v>1</v>
      </c>
    </row>
    <row r="127" spans="1:23" x14ac:dyDescent="0.3">
      <c r="A127" s="147"/>
      <c r="B127" s="205">
        <f t="shared" si="32"/>
        <v>6</v>
      </c>
      <c r="C127" s="206">
        <v>43199</v>
      </c>
      <c r="D127" s="161" t="s">
        <v>9</v>
      </c>
      <c r="E127" s="161" t="s">
        <v>2376</v>
      </c>
      <c r="F127" s="207">
        <v>120</v>
      </c>
      <c r="G127" s="207">
        <v>135</v>
      </c>
      <c r="H127" s="161">
        <v>15</v>
      </c>
      <c r="I127" s="207">
        <v>300</v>
      </c>
      <c r="J127" s="242">
        <f t="shared" si="29"/>
        <v>4500</v>
      </c>
      <c r="K127" s="153"/>
      <c r="V127" s="25">
        <f t="shared" si="30"/>
        <v>1</v>
      </c>
      <c r="W127" s="25">
        <f t="shared" si="31"/>
        <v>0</v>
      </c>
    </row>
    <row r="128" spans="1:23" x14ac:dyDescent="0.3">
      <c r="A128" s="147"/>
      <c r="B128" s="205">
        <f t="shared" si="32"/>
        <v>7</v>
      </c>
      <c r="C128" s="206">
        <v>43200</v>
      </c>
      <c r="D128" s="161" t="s">
        <v>9</v>
      </c>
      <c r="E128" s="161" t="s">
        <v>2376</v>
      </c>
      <c r="F128" s="207">
        <v>100</v>
      </c>
      <c r="G128" s="207">
        <v>120</v>
      </c>
      <c r="H128" s="161">
        <v>20</v>
      </c>
      <c r="I128" s="207">
        <v>300</v>
      </c>
      <c r="J128" s="242">
        <f t="shared" si="29"/>
        <v>6000</v>
      </c>
      <c r="K128" s="153"/>
      <c r="V128" s="25">
        <f t="shared" si="30"/>
        <v>1</v>
      </c>
      <c r="W128" s="25">
        <f t="shared" si="31"/>
        <v>0</v>
      </c>
    </row>
    <row r="129" spans="1:23" x14ac:dyDescent="0.3">
      <c r="A129" s="147"/>
      <c r="B129" s="205">
        <f t="shared" si="32"/>
        <v>8</v>
      </c>
      <c r="C129" s="206">
        <v>43201</v>
      </c>
      <c r="D129" s="161" t="s">
        <v>9</v>
      </c>
      <c r="E129" s="161" t="s">
        <v>2376</v>
      </c>
      <c r="F129" s="207">
        <v>115</v>
      </c>
      <c r="G129" s="207">
        <v>131</v>
      </c>
      <c r="H129" s="161">
        <v>16</v>
      </c>
      <c r="I129" s="207">
        <v>300</v>
      </c>
      <c r="J129" s="242">
        <f t="shared" si="29"/>
        <v>4800</v>
      </c>
      <c r="K129" s="153"/>
      <c r="V129" s="25">
        <f t="shared" si="30"/>
        <v>1</v>
      </c>
      <c r="W129" s="25">
        <f t="shared" si="31"/>
        <v>0</v>
      </c>
    </row>
    <row r="130" spans="1:23" x14ac:dyDescent="0.3">
      <c r="A130" s="147"/>
      <c r="B130" s="205">
        <f t="shared" si="32"/>
        <v>9</v>
      </c>
      <c r="C130" s="206">
        <v>43202</v>
      </c>
      <c r="D130" s="161" t="s">
        <v>9</v>
      </c>
      <c r="E130" s="161" t="s">
        <v>2369</v>
      </c>
      <c r="F130" s="207">
        <v>120</v>
      </c>
      <c r="G130" s="207">
        <v>140</v>
      </c>
      <c r="H130" s="161">
        <v>20</v>
      </c>
      <c r="I130" s="207">
        <v>300</v>
      </c>
      <c r="J130" s="242">
        <f t="shared" si="29"/>
        <v>6000</v>
      </c>
      <c r="K130" s="153"/>
      <c r="V130" s="25">
        <f t="shared" si="30"/>
        <v>1</v>
      </c>
      <c r="W130" s="25">
        <f t="shared" si="31"/>
        <v>0</v>
      </c>
    </row>
    <row r="131" spans="1:23" x14ac:dyDescent="0.3">
      <c r="A131" s="147"/>
      <c r="B131" s="205">
        <f t="shared" si="32"/>
        <v>10</v>
      </c>
      <c r="C131" s="206">
        <v>43203</v>
      </c>
      <c r="D131" s="161" t="s">
        <v>9</v>
      </c>
      <c r="E131" s="161" t="s">
        <v>2369</v>
      </c>
      <c r="F131" s="207">
        <v>148</v>
      </c>
      <c r="G131" s="207">
        <v>168</v>
      </c>
      <c r="H131" s="161">
        <v>20</v>
      </c>
      <c r="I131" s="207">
        <v>300</v>
      </c>
      <c r="J131" s="242">
        <f t="shared" si="29"/>
        <v>6000</v>
      </c>
      <c r="K131" s="153"/>
      <c r="V131" s="25">
        <f t="shared" si="30"/>
        <v>1</v>
      </c>
      <c r="W131" s="25">
        <f t="shared" si="31"/>
        <v>0</v>
      </c>
    </row>
    <row r="132" spans="1:23" x14ac:dyDescent="0.3">
      <c r="A132" s="147"/>
      <c r="B132" s="205">
        <f t="shared" si="32"/>
        <v>11</v>
      </c>
      <c r="C132" s="206">
        <v>43206</v>
      </c>
      <c r="D132" s="161" t="s">
        <v>9</v>
      </c>
      <c r="E132" s="161" t="s">
        <v>2373</v>
      </c>
      <c r="F132" s="207">
        <v>100</v>
      </c>
      <c r="G132" s="207">
        <v>80</v>
      </c>
      <c r="H132" s="161">
        <v>-20</v>
      </c>
      <c r="I132" s="207">
        <v>300</v>
      </c>
      <c r="J132" s="242">
        <f t="shared" si="29"/>
        <v>-6000</v>
      </c>
      <c r="K132" s="153"/>
      <c r="V132" s="25">
        <f t="shared" si="30"/>
        <v>0</v>
      </c>
      <c r="W132" s="25">
        <f t="shared" si="31"/>
        <v>1</v>
      </c>
    </row>
    <row r="133" spans="1:23" x14ac:dyDescent="0.3">
      <c r="A133" s="147"/>
      <c r="B133" s="205">
        <f t="shared" si="32"/>
        <v>12</v>
      </c>
      <c r="C133" s="206">
        <v>43207</v>
      </c>
      <c r="D133" s="161" t="s">
        <v>9</v>
      </c>
      <c r="E133" s="161" t="s">
        <v>2412</v>
      </c>
      <c r="F133" s="207">
        <v>102</v>
      </c>
      <c r="G133" s="207">
        <v>131</v>
      </c>
      <c r="H133" s="161">
        <v>29</v>
      </c>
      <c r="I133" s="207">
        <v>300</v>
      </c>
      <c r="J133" s="242">
        <f t="shared" si="29"/>
        <v>8700</v>
      </c>
      <c r="K133" s="153"/>
      <c r="V133" s="25">
        <f t="shared" si="30"/>
        <v>1</v>
      </c>
      <c r="W133" s="25">
        <f t="shared" si="31"/>
        <v>0</v>
      </c>
    </row>
    <row r="134" spans="1:23" x14ac:dyDescent="0.3">
      <c r="A134" s="147"/>
      <c r="B134" s="205">
        <f t="shared" si="32"/>
        <v>13</v>
      </c>
      <c r="C134" s="206">
        <v>43208</v>
      </c>
      <c r="D134" s="161" t="s">
        <v>9</v>
      </c>
      <c r="E134" s="161" t="s">
        <v>2412</v>
      </c>
      <c r="F134" s="207">
        <v>95</v>
      </c>
      <c r="G134" s="207">
        <v>75</v>
      </c>
      <c r="H134" s="161">
        <v>-20</v>
      </c>
      <c r="I134" s="207">
        <v>300</v>
      </c>
      <c r="J134" s="242">
        <f t="shared" si="29"/>
        <v>-6000</v>
      </c>
      <c r="K134" s="153"/>
      <c r="V134" s="25">
        <f t="shared" si="30"/>
        <v>0</v>
      </c>
      <c r="W134" s="25">
        <f t="shared" si="31"/>
        <v>1</v>
      </c>
    </row>
    <row r="135" spans="1:23" x14ac:dyDescent="0.3">
      <c r="A135" s="147"/>
      <c r="B135" s="205">
        <f t="shared" si="32"/>
        <v>14</v>
      </c>
      <c r="C135" s="206">
        <v>43209</v>
      </c>
      <c r="D135" s="161" t="s">
        <v>9</v>
      </c>
      <c r="E135" s="161" t="s">
        <v>2423</v>
      </c>
      <c r="F135" s="207">
        <v>150</v>
      </c>
      <c r="G135" s="207">
        <v>160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2"/>
        <v>15</v>
      </c>
      <c r="C136" s="206">
        <v>43210</v>
      </c>
      <c r="D136" s="161" t="s">
        <v>9</v>
      </c>
      <c r="E136" s="161" t="s">
        <v>2423</v>
      </c>
      <c r="F136" s="207">
        <v>160</v>
      </c>
      <c r="G136" s="207">
        <v>170</v>
      </c>
      <c r="H136" s="161">
        <v>10</v>
      </c>
      <c r="I136" s="207">
        <v>300</v>
      </c>
      <c r="J136" s="242">
        <f t="shared" si="29"/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2"/>
        <v>16</v>
      </c>
      <c r="C137" s="206">
        <v>43213</v>
      </c>
      <c r="D137" s="161" t="s">
        <v>9</v>
      </c>
      <c r="E137" s="161" t="s">
        <v>2417</v>
      </c>
      <c r="F137" s="207">
        <v>100</v>
      </c>
      <c r="G137" s="207">
        <v>130</v>
      </c>
      <c r="H137" s="161">
        <v>30</v>
      </c>
      <c r="I137" s="207">
        <v>300</v>
      </c>
      <c r="J137" s="242">
        <f t="shared" si="29"/>
        <v>9000</v>
      </c>
      <c r="K137" s="153"/>
      <c r="V137" s="25">
        <f t="shared" si="30"/>
        <v>1</v>
      </c>
      <c r="W137" s="25">
        <f t="shared" si="31"/>
        <v>0</v>
      </c>
    </row>
    <row r="138" spans="1:23" x14ac:dyDescent="0.3">
      <c r="A138" s="147"/>
      <c r="B138" s="205">
        <f t="shared" si="32"/>
        <v>17</v>
      </c>
      <c r="C138" s="206">
        <v>43214</v>
      </c>
      <c r="D138" s="161" t="s">
        <v>9</v>
      </c>
      <c r="E138" s="161" t="s">
        <v>2423</v>
      </c>
      <c r="F138" s="207">
        <v>115</v>
      </c>
      <c r="G138" s="207">
        <v>125</v>
      </c>
      <c r="H138" s="161">
        <v>10</v>
      </c>
      <c r="I138" s="207">
        <v>300</v>
      </c>
      <c r="J138" s="242">
        <f t="shared" si="29"/>
        <v>3000</v>
      </c>
      <c r="K138" s="153"/>
      <c r="V138" s="25">
        <f t="shared" si="30"/>
        <v>1</v>
      </c>
      <c r="W138" s="25">
        <f t="shared" si="31"/>
        <v>0</v>
      </c>
    </row>
    <row r="139" spans="1:23" x14ac:dyDescent="0.3">
      <c r="A139" s="147"/>
      <c r="B139" s="205">
        <f t="shared" si="32"/>
        <v>18</v>
      </c>
      <c r="C139" s="206">
        <v>43215</v>
      </c>
      <c r="D139" s="161" t="s">
        <v>9</v>
      </c>
      <c r="E139" s="161" t="s">
        <v>2423</v>
      </c>
      <c r="F139" s="207">
        <v>115</v>
      </c>
      <c r="G139" s="207">
        <v>125</v>
      </c>
      <c r="H139" s="161">
        <v>10</v>
      </c>
      <c r="I139" s="207">
        <v>300</v>
      </c>
      <c r="J139" s="242">
        <f t="shared" si="29"/>
        <v>3000</v>
      </c>
      <c r="K139" s="153"/>
      <c r="V139" s="25">
        <f t="shared" si="30"/>
        <v>1</v>
      </c>
      <c r="W139" s="25">
        <f t="shared" si="31"/>
        <v>0</v>
      </c>
    </row>
    <row r="140" spans="1:23" x14ac:dyDescent="0.3">
      <c r="A140" s="147"/>
      <c r="B140" s="205">
        <f t="shared" si="32"/>
        <v>19</v>
      </c>
      <c r="C140" s="206">
        <v>43216</v>
      </c>
      <c r="D140" s="161" t="s">
        <v>9</v>
      </c>
      <c r="E140" s="161" t="s">
        <v>2423</v>
      </c>
      <c r="F140" s="207">
        <v>110</v>
      </c>
      <c r="G140" s="207">
        <v>130</v>
      </c>
      <c r="H140" s="161">
        <v>20</v>
      </c>
      <c r="I140" s="207">
        <v>300</v>
      </c>
      <c r="J140" s="242">
        <f t="shared" si="29"/>
        <v>6000</v>
      </c>
      <c r="K140" s="153"/>
      <c r="V140" s="25">
        <f t="shared" si="30"/>
        <v>1</v>
      </c>
      <c r="W140" s="25">
        <f t="shared" si="31"/>
        <v>0</v>
      </c>
    </row>
    <row r="141" spans="1:23" x14ac:dyDescent="0.3">
      <c r="A141" s="147"/>
      <c r="B141" s="205">
        <f t="shared" si="32"/>
        <v>20</v>
      </c>
      <c r="C141" s="206">
        <v>43217</v>
      </c>
      <c r="D141" s="161" t="s">
        <v>9</v>
      </c>
      <c r="E141" s="161" t="s">
        <v>2423</v>
      </c>
      <c r="F141" s="207">
        <v>140</v>
      </c>
      <c r="G141" s="207">
        <v>138</v>
      </c>
      <c r="H141" s="161">
        <v>-2</v>
      </c>
      <c r="I141" s="207">
        <v>300</v>
      </c>
      <c r="J141" s="242">
        <f t="shared" si="29"/>
        <v>-600</v>
      </c>
      <c r="K141" s="153"/>
      <c r="V141" s="25">
        <f t="shared" si="30"/>
        <v>0</v>
      </c>
      <c r="W141" s="25">
        <f t="shared" si="31"/>
        <v>1</v>
      </c>
    </row>
    <row r="142" spans="1:23" x14ac:dyDescent="0.3">
      <c r="A142" s="147"/>
      <c r="B142" s="205">
        <f t="shared" si="32"/>
        <v>21</v>
      </c>
      <c r="C142" s="206">
        <v>43218</v>
      </c>
      <c r="D142" s="161" t="s">
        <v>9</v>
      </c>
      <c r="E142" s="161" t="s">
        <v>2429</v>
      </c>
      <c r="F142" s="207">
        <v>148</v>
      </c>
      <c r="G142" s="207">
        <v>157</v>
      </c>
      <c r="H142" s="161">
        <v>9</v>
      </c>
      <c r="I142" s="207">
        <v>300</v>
      </c>
      <c r="J142" s="242">
        <f t="shared" si="29"/>
        <v>2700</v>
      </c>
      <c r="K142" s="153"/>
      <c r="V142" s="25">
        <f t="shared" si="30"/>
        <v>1</v>
      </c>
      <c r="W142" s="25">
        <f t="shared" si="31"/>
        <v>0</v>
      </c>
    </row>
    <row r="143" spans="1:23" x14ac:dyDescent="0.3">
      <c r="A143" s="147"/>
      <c r="B143" s="205">
        <f t="shared" si="32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9"/>
        <v>0</v>
      </c>
      <c r="K143" s="153"/>
      <c r="V143" s="25">
        <f t="shared" si="30"/>
        <v>0</v>
      </c>
      <c r="W143" s="25">
        <f t="shared" si="31"/>
        <v>0</v>
      </c>
    </row>
    <row r="144" spans="1:23" ht="15" thickBot="1" x14ac:dyDescent="0.35">
      <c r="A144" s="147"/>
      <c r="B144" s="208">
        <f t="shared" si="32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9"/>
        <v>0</v>
      </c>
      <c r="K144" s="153"/>
      <c r="V144" s="25">
        <f t="shared" si="30"/>
        <v>0</v>
      </c>
      <c r="W144" s="25">
        <f t="shared" si="31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53100</v>
      </c>
      <c r="K145" s="153"/>
      <c r="V145" s="25">
        <f>SUM(V122:V144)</f>
        <v>15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2472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43192</v>
      </c>
      <c r="D153" s="185" t="s">
        <v>8</v>
      </c>
      <c r="E153" s="185" t="s">
        <v>301</v>
      </c>
      <c r="F153" s="219">
        <v>24200</v>
      </c>
      <c r="G153" s="219">
        <v>24300</v>
      </c>
      <c r="H153" s="185">
        <v>-100</v>
      </c>
      <c r="I153" s="219">
        <v>80</v>
      </c>
      <c r="J153" s="246">
        <f t="shared" ref="J153:J175" si="33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43193</v>
      </c>
      <c r="D154" s="161" t="s">
        <v>8</v>
      </c>
      <c r="E154" s="161" t="s">
        <v>301</v>
      </c>
      <c r="F154" s="207">
        <v>24500</v>
      </c>
      <c r="G154" s="207">
        <v>24450</v>
      </c>
      <c r="H154" s="161">
        <v>50</v>
      </c>
      <c r="I154" s="207">
        <v>80</v>
      </c>
      <c r="J154" s="242">
        <f t="shared" si="33"/>
        <v>4000</v>
      </c>
      <c r="K154" s="153"/>
      <c r="V154" s="25">
        <f t="shared" ref="V154:V175" si="34">IF($J154&gt;0,1,0)</f>
        <v>1</v>
      </c>
      <c r="W154" s="25">
        <f t="shared" ref="W154:W175" si="35">IF($J154&lt;0,1,0)</f>
        <v>0</v>
      </c>
    </row>
    <row r="155" spans="1:23" x14ac:dyDescent="0.3">
      <c r="A155" s="147"/>
      <c r="B155" s="205">
        <f t="shared" ref="B155:B175" si="36">B154+1</f>
        <v>3</v>
      </c>
      <c r="C155" s="206">
        <v>43194</v>
      </c>
      <c r="D155" s="161" t="s">
        <v>8</v>
      </c>
      <c r="E155" s="161" t="s">
        <v>301</v>
      </c>
      <c r="F155" s="207">
        <v>24640</v>
      </c>
      <c r="G155" s="207">
        <v>24440</v>
      </c>
      <c r="H155" s="161">
        <v>200</v>
      </c>
      <c r="I155" s="207">
        <v>80</v>
      </c>
      <c r="J155" s="242">
        <f t="shared" si="33"/>
        <v>16000</v>
      </c>
      <c r="K155" s="153"/>
      <c r="V155" s="25">
        <f t="shared" si="34"/>
        <v>1</v>
      </c>
      <c r="W155" s="25">
        <f t="shared" si="35"/>
        <v>0</v>
      </c>
    </row>
    <row r="156" spans="1:23" x14ac:dyDescent="0.3">
      <c r="A156" s="147"/>
      <c r="B156" s="205">
        <f t="shared" si="36"/>
        <v>4</v>
      </c>
      <c r="C156" s="206">
        <v>43195</v>
      </c>
      <c r="D156" s="161" t="s">
        <v>8</v>
      </c>
      <c r="E156" s="161" t="s">
        <v>301</v>
      </c>
      <c r="F156" s="207">
        <v>24500</v>
      </c>
      <c r="G156" s="207">
        <v>24600</v>
      </c>
      <c r="H156" s="161">
        <v>-100</v>
      </c>
      <c r="I156" s="207">
        <v>80</v>
      </c>
      <c r="J156" s="242">
        <f t="shared" si="33"/>
        <v>-8000</v>
      </c>
      <c r="K156" s="153"/>
      <c r="V156" s="25">
        <f t="shared" si="34"/>
        <v>0</v>
      </c>
      <c r="W156" s="25">
        <f t="shared" si="35"/>
        <v>1</v>
      </c>
    </row>
    <row r="157" spans="1:23" x14ac:dyDescent="0.3">
      <c r="A157" s="147"/>
      <c r="B157" s="205">
        <f t="shared" si="36"/>
        <v>5</v>
      </c>
      <c r="C157" s="206">
        <v>43196</v>
      </c>
      <c r="D157" s="161" t="s">
        <v>8</v>
      </c>
      <c r="E157" s="161" t="s">
        <v>301</v>
      </c>
      <c r="F157" s="207">
        <v>24750</v>
      </c>
      <c r="G157" s="207">
        <v>24690</v>
      </c>
      <c r="H157" s="161">
        <v>60</v>
      </c>
      <c r="I157" s="207">
        <v>80</v>
      </c>
      <c r="J157" s="242">
        <f t="shared" si="33"/>
        <v>4800</v>
      </c>
      <c r="K157" s="153"/>
      <c r="V157" s="25">
        <f t="shared" si="34"/>
        <v>1</v>
      </c>
      <c r="W157" s="25">
        <f t="shared" si="35"/>
        <v>0</v>
      </c>
    </row>
    <row r="158" spans="1:23" x14ac:dyDescent="0.3">
      <c r="A158" s="147"/>
      <c r="B158" s="205">
        <f t="shared" si="36"/>
        <v>6</v>
      </c>
      <c r="C158" s="206">
        <v>43199</v>
      </c>
      <c r="D158" s="161" t="s">
        <v>8</v>
      </c>
      <c r="E158" s="161" t="s">
        <v>301</v>
      </c>
      <c r="F158" s="207">
        <v>25060</v>
      </c>
      <c r="G158" s="207">
        <v>25160</v>
      </c>
      <c r="H158" s="161">
        <v>-100</v>
      </c>
      <c r="I158" s="207">
        <v>80</v>
      </c>
      <c r="J158" s="242">
        <f t="shared" si="33"/>
        <v>-8000</v>
      </c>
      <c r="K158" s="153"/>
      <c r="V158" s="25">
        <f t="shared" si="34"/>
        <v>0</v>
      </c>
      <c r="W158" s="25">
        <f t="shared" si="35"/>
        <v>1</v>
      </c>
    </row>
    <row r="159" spans="1:23" x14ac:dyDescent="0.3">
      <c r="A159" s="147"/>
      <c r="B159" s="205">
        <f t="shared" si="36"/>
        <v>7</v>
      </c>
      <c r="C159" s="206">
        <v>43200</v>
      </c>
      <c r="D159" s="161" t="s">
        <v>8</v>
      </c>
      <c r="E159" s="161" t="s">
        <v>301</v>
      </c>
      <c r="F159" s="207">
        <v>25210</v>
      </c>
      <c r="G159" s="207">
        <v>25110</v>
      </c>
      <c r="H159" s="161">
        <v>100</v>
      </c>
      <c r="I159" s="207">
        <v>80</v>
      </c>
      <c r="J159" s="242">
        <f t="shared" si="33"/>
        <v>8000</v>
      </c>
      <c r="K159" s="153"/>
      <c r="V159" s="25">
        <f t="shared" si="34"/>
        <v>1</v>
      </c>
      <c r="W159" s="25">
        <f t="shared" si="35"/>
        <v>0</v>
      </c>
    </row>
    <row r="160" spans="1:23" x14ac:dyDescent="0.3">
      <c r="A160" s="147"/>
      <c r="B160" s="205">
        <f t="shared" si="36"/>
        <v>8</v>
      </c>
      <c r="C160" s="206">
        <v>43201</v>
      </c>
      <c r="D160" s="161" t="s">
        <v>8</v>
      </c>
      <c r="E160" s="161" t="s">
        <v>301</v>
      </c>
      <c r="F160" s="207">
        <v>25000</v>
      </c>
      <c r="G160" s="207">
        <v>24950</v>
      </c>
      <c r="H160" s="161">
        <v>50</v>
      </c>
      <c r="I160" s="207">
        <v>80</v>
      </c>
      <c r="J160" s="242">
        <f t="shared" si="33"/>
        <v>4000</v>
      </c>
      <c r="K160" s="153"/>
      <c r="V160" s="25">
        <f t="shared" si="34"/>
        <v>1</v>
      </c>
      <c r="W160" s="25">
        <f t="shared" si="35"/>
        <v>0</v>
      </c>
    </row>
    <row r="161" spans="1:23" x14ac:dyDescent="0.3">
      <c r="A161" s="147"/>
      <c r="B161" s="205">
        <f t="shared" si="36"/>
        <v>9</v>
      </c>
      <c r="C161" s="206">
        <v>43202</v>
      </c>
      <c r="D161" s="161" t="s">
        <v>9</v>
      </c>
      <c r="E161" s="161" t="s">
        <v>301</v>
      </c>
      <c r="F161" s="207">
        <v>25050</v>
      </c>
      <c r="G161" s="207">
        <v>25200</v>
      </c>
      <c r="H161" s="161">
        <v>150</v>
      </c>
      <c r="I161" s="207">
        <v>80</v>
      </c>
      <c r="J161" s="242">
        <f t="shared" si="33"/>
        <v>12000</v>
      </c>
      <c r="K161" s="153"/>
      <c r="V161" s="25">
        <f t="shared" si="34"/>
        <v>1</v>
      </c>
      <c r="W161" s="25">
        <f t="shared" si="35"/>
        <v>0</v>
      </c>
    </row>
    <row r="162" spans="1:23" x14ac:dyDescent="0.3">
      <c r="A162" s="147"/>
      <c r="B162" s="205">
        <f t="shared" si="36"/>
        <v>10</v>
      </c>
      <c r="C162" s="206">
        <v>43203</v>
      </c>
      <c r="D162" s="161" t="s">
        <v>9</v>
      </c>
      <c r="E162" s="161" t="s">
        <v>301</v>
      </c>
      <c r="F162" s="207">
        <v>25300</v>
      </c>
      <c r="G162" s="207">
        <v>25360</v>
      </c>
      <c r="H162" s="161">
        <v>60</v>
      </c>
      <c r="I162" s="207">
        <v>80</v>
      </c>
      <c r="J162" s="242">
        <f t="shared" si="33"/>
        <v>4800</v>
      </c>
      <c r="K162" s="153"/>
      <c r="V162" s="25">
        <f t="shared" si="34"/>
        <v>1</v>
      </c>
      <c r="W162" s="25">
        <f t="shared" si="35"/>
        <v>0</v>
      </c>
    </row>
    <row r="163" spans="1:23" x14ac:dyDescent="0.3">
      <c r="A163" s="147"/>
      <c r="B163" s="205">
        <f t="shared" si="36"/>
        <v>11</v>
      </c>
      <c r="C163" s="206">
        <v>43206</v>
      </c>
      <c r="D163" s="161" t="s">
        <v>8</v>
      </c>
      <c r="E163" s="161" t="s">
        <v>301</v>
      </c>
      <c r="F163" s="207">
        <v>25220</v>
      </c>
      <c r="G163" s="207">
        <v>25170</v>
      </c>
      <c r="H163" s="161">
        <v>50</v>
      </c>
      <c r="I163" s="207">
        <v>80</v>
      </c>
      <c r="J163" s="242">
        <f t="shared" si="33"/>
        <v>4000</v>
      </c>
      <c r="K163" s="153"/>
      <c r="V163" s="25">
        <f t="shared" si="34"/>
        <v>1</v>
      </c>
      <c r="W163" s="25">
        <f t="shared" si="35"/>
        <v>0</v>
      </c>
    </row>
    <row r="164" spans="1:23" x14ac:dyDescent="0.3">
      <c r="A164" s="147"/>
      <c r="B164" s="205">
        <f t="shared" si="36"/>
        <v>12</v>
      </c>
      <c r="C164" s="206">
        <v>43207</v>
      </c>
      <c r="D164" s="161" t="s">
        <v>8</v>
      </c>
      <c r="E164" s="161" t="s">
        <v>301</v>
      </c>
      <c r="F164" s="207">
        <v>25350</v>
      </c>
      <c r="G164" s="207">
        <v>25250</v>
      </c>
      <c r="H164" s="161">
        <v>100</v>
      </c>
      <c r="I164" s="207">
        <v>80</v>
      </c>
      <c r="J164" s="242">
        <f t="shared" si="33"/>
        <v>8000</v>
      </c>
      <c r="K164" s="153"/>
      <c r="V164" s="25">
        <f t="shared" si="34"/>
        <v>1</v>
      </c>
      <c r="W164" s="25">
        <f t="shared" si="35"/>
        <v>0</v>
      </c>
    </row>
    <row r="165" spans="1:23" x14ac:dyDescent="0.3">
      <c r="A165" s="147"/>
      <c r="B165" s="205">
        <f t="shared" si="36"/>
        <v>13</v>
      </c>
      <c r="C165" s="206">
        <v>43208</v>
      </c>
      <c r="D165" s="161" t="s">
        <v>8</v>
      </c>
      <c r="E165" s="161" t="s">
        <v>301</v>
      </c>
      <c r="F165" s="207">
        <v>25300</v>
      </c>
      <c r="G165" s="207">
        <v>25100</v>
      </c>
      <c r="H165" s="161">
        <v>200</v>
      </c>
      <c r="I165" s="207">
        <v>80</v>
      </c>
      <c r="J165" s="242">
        <f t="shared" si="33"/>
        <v>16000</v>
      </c>
      <c r="K165" s="153"/>
      <c r="V165" s="25">
        <f t="shared" si="34"/>
        <v>1</v>
      </c>
      <c r="W165" s="25">
        <f t="shared" si="35"/>
        <v>0</v>
      </c>
    </row>
    <row r="166" spans="1:23" x14ac:dyDescent="0.3">
      <c r="A166" s="147"/>
      <c r="B166" s="205">
        <f t="shared" si="36"/>
        <v>14</v>
      </c>
      <c r="C166" s="206">
        <v>43209</v>
      </c>
      <c r="D166" s="161" t="s">
        <v>8</v>
      </c>
      <c r="E166" s="161" t="s">
        <v>301</v>
      </c>
      <c r="F166" s="207">
        <v>25150</v>
      </c>
      <c r="G166" s="207">
        <v>25050</v>
      </c>
      <c r="H166" s="161">
        <v>100</v>
      </c>
      <c r="I166" s="207">
        <v>80</v>
      </c>
      <c r="J166" s="242">
        <f t="shared" si="33"/>
        <v>8000</v>
      </c>
      <c r="K166" s="153"/>
      <c r="V166" s="25">
        <f t="shared" si="34"/>
        <v>1</v>
      </c>
      <c r="W166" s="25">
        <f t="shared" si="35"/>
        <v>0</v>
      </c>
    </row>
    <row r="167" spans="1:23" x14ac:dyDescent="0.3">
      <c r="A167" s="147"/>
      <c r="B167" s="205">
        <f t="shared" si="36"/>
        <v>15</v>
      </c>
      <c r="C167" s="206">
        <v>43210</v>
      </c>
      <c r="D167" s="161" t="s">
        <v>8</v>
      </c>
      <c r="E167" s="161" t="s">
        <v>301</v>
      </c>
      <c r="F167" s="207">
        <v>25000</v>
      </c>
      <c r="G167" s="207">
        <v>24900</v>
      </c>
      <c r="H167" s="161">
        <v>100</v>
      </c>
      <c r="I167" s="207">
        <v>80</v>
      </c>
      <c r="J167" s="242">
        <f t="shared" si="33"/>
        <v>8000</v>
      </c>
      <c r="K167" s="153"/>
      <c r="V167" s="25">
        <f t="shared" si="34"/>
        <v>1</v>
      </c>
      <c r="W167" s="25">
        <f t="shared" si="35"/>
        <v>0</v>
      </c>
    </row>
    <row r="168" spans="1:23" x14ac:dyDescent="0.3">
      <c r="A168" s="147"/>
      <c r="B168" s="205">
        <f t="shared" si="36"/>
        <v>16</v>
      </c>
      <c r="C168" s="206">
        <v>43213</v>
      </c>
      <c r="D168" s="161" t="s">
        <v>9</v>
      </c>
      <c r="E168" s="161" t="s">
        <v>301</v>
      </c>
      <c r="F168" s="207">
        <v>24900</v>
      </c>
      <c r="G168" s="207">
        <v>25050</v>
      </c>
      <c r="H168" s="161">
        <v>150</v>
      </c>
      <c r="I168" s="207">
        <v>80</v>
      </c>
      <c r="J168" s="242">
        <f t="shared" si="33"/>
        <v>12000</v>
      </c>
      <c r="K168" s="153"/>
      <c r="V168" s="25">
        <f t="shared" si="34"/>
        <v>1</v>
      </c>
      <c r="W168" s="25">
        <f t="shared" si="35"/>
        <v>0</v>
      </c>
    </row>
    <row r="169" spans="1:23" x14ac:dyDescent="0.3">
      <c r="A169" s="147"/>
      <c r="B169" s="205">
        <f t="shared" si="36"/>
        <v>17</v>
      </c>
      <c r="C169" s="206">
        <v>43214</v>
      </c>
      <c r="D169" s="161" t="s">
        <v>8</v>
      </c>
      <c r="E169" s="161" t="s">
        <v>301</v>
      </c>
      <c r="F169" s="207">
        <v>25030</v>
      </c>
      <c r="G169" s="207">
        <v>24930</v>
      </c>
      <c r="H169" s="161">
        <v>100</v>
      </c>
      <c r="I169" s="207">
        <v>80</v>
      </c>
      <c r="J169" s="242">
        <f t="shared" si="33"/>
        <v>8000</v>
      </c>
      <c r="K169" s="153"/>
      <c r="V169" s="25">
        <f t="shared" si="34"/>
        <v>1</v>
      </c>
      <c r="W169" s="25">
        <f t="shared" si="35"/>
        <v>0</v>
      </c>
    </row>
    <row r="170" spans="1:23" x14ac:dyDescent="0.3">
      <c r="A170" s="147"/>
      <c r="B170" s="205">
        <f t="shared" si="36"/>
        <v>18</v>
      </c>
      <c r="C170" s="206">
        <v>43215</v>
      </c>
      <c r="D170" s="161" t="s">
        <v>8</v>
      </c>
      <c r="E170" s="161" t="s">
        <v>301</v>
      </c>
      <c r="F170" s="207">
        <v>24920</v>
      </c>
      <c r="G170" s="207">
        <v>24720</v>
      </c>
      <c r="H170" s="161">
        <v>200</v>
      </c>
      <c r="I170" s="207">
        <v>80</v>
      </c>
      <c r="J170" s="242">
        <f t="shared" si="33"/>
        <v>16000</v>
      </c>
      <c r="K170" s="153"/>
      <c r="V170" s="25">
        <f t="shared" si="34"/>
        <v>1</v>
      </c>
      <c r="W170" s="25">
        <f t="shared" si="35"/>
        <v>0</v>
      </c>
    </row>
    <row r="171" spans="1:23" x14ac:dyDescent="0.3">
      <c r="A171" s="147"/>
      <c r="B171" s="205">
        <f t="shared" si="36"/>
        <v>19</v>
      </c>
      <c r="C171" s="206">
        <v>43216</v>
      </c>
      <c r="D171" s="161" t="s">
        <v>8</v>
      </c>
      <c r="E171" s="161" t="s">
        <v>301</v>
      </c>
      <c r="F171" s="207">
        <v>24800</v>
      </c>
      <c r="G171" s="207">
        <v>24900</v>
      </c>
      <c r="H171" s="161">
        <v>-100</v>
      </c>
      <c r="I171" s="207">
        <v>80</v>
      </c>
      <c r="J171" s="242">
        <f t="shared" si="33"/>
        <v>-8000</v>
      </c>
      <c r="K171" s="153"/>
      <c r="V171" s="25">
        <f t="shared" si="34"/>
        <v>0</v>
      </c>
      <c r="W171" s="25">
        <f t="shared" si="35"/>
        <v>1</v>
      </c>
    </row>
    <row r="172" spans="1:23" x14ac:dyDescent="0.3">
      <c r="A172" s="147"/>
      <c r="B172" s="205">
        <f t="shared" si="36"/>
        <v>20</v>
      </c>
      <c r="C172" s="206">
        <v>43217</v>
      </c>
      <c r="D172" s="161" t="s">
        <v>8</v>
      </c>
      <c r="E172" s="161" t="s">
        <v>301</v>
      </c>
      <c r="F172" s="207">
        <v>25330</v>
      </c>
      <c r="G172" s="207">
        <v>25430</v>
      </c>
      <c r="H172" s="161">
        <v>-100</v>
      </c>
      <c r="I172" s="207">
        <v>80</v>
      </c>
      <c r="J172" s="242">
        <f t="shared" si="33"/>
        <v>-8000</v>
      </c>
      <c r="K172" s="153"/>
      <c r="V172" s="25">
        <f t="shared" si="34"/>
        <v>0</v>
      </c>
      <c r="W172" s="25">
        <f t="shared" si="35"/>
        <v>1</v>
      </c>
    </row>
    <row r="173" spans="1:23" x14ac:dyDescent="0.3">
      <c r="A173" s="147"/>
      <c r="B173" s="205">
        <f t="shared" si="36"/>
        <v>21</v>
      </c>
      <c r="C173" s="206">
        <v>43218</v>
      </c>
      <c r="D173" s="161" t="s">
        <v>8</v>
      </c>
      <c r="E173" s="161" t="s">
        <v>301</v>
      </c>
      <c r="F173" s="207">
        <v>25610</v>
      </c>
      <c r="G173" s="207">
        <v>25570</v>
      </c>
      <c r="H173" s="161">
        <v>40</v>
      </c>
      <c r="I173" s="207">
        <v>80</v>
      </c>
      <c r="J173" s="242">
        <f t="shared" si="33"/>
        <v>3200</v>
      </c>
      <c r="K173" s="153"/>
      <c r="V173" s="25">
        <f t="shared" si="34"/>
        <v>1</v>
      </c>
      <c r="W173" s="25">
        <f t="shared" si="35"/>
        <v>0</v>
      </c>
    </row>
    <row r="174" spans="1:23" x14ac:dyDescent="0.3">
      <c r="A174" s="147"/>
      <c r="B174" s="205">
        <f t="shared" si="36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3"/>
        <v>0</v>
      </c>
      <c r="K174" s="153"/>
      <c r="V174" s="25">
        <f t="shared" si="34"/>
        <v>0</v>
      </c>
      <c r="W174" s="25">
        <f t="shared" si="35"/>
        <v>0</v>
      </c>
    </row>
    <row r="175" spans="1:23" ht="15" thickBot="1" x14ac:dyDescent="0.35">
      <c r="A175" s="147"/>
      <c r="B175" s="208">
        <f t="shared" si="36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3"/>
        <v>0</v>
      </c>
      <c r="K175" s="153"/>
      <c r="V175" s="25">
        <f t="shared" si="34"/>
        <v>0</v>
      </c>
      <c r="W175" s="25">
        <f t="shared" si="35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96800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2472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43192</v>
      </c>
      <c r="D184" s="185" t="s">
        <v>9</v>
      </c>
      <c r="E184" s="185" t="s">
        <v>2327</v>
      </c>
      <c r="F184" s="219">
        <v>480</v>
      </c>
      <c r="G184" s="219">
        <v>420</v>
      </c>
      <c r="H184" s="185">
        <v>-60</v>
      </c>
      <c r="I184" s="219">
        <v>160</v>
      </c>
      <c r="J184" s="246">
        <f t="shared" ref="J184:J206" si="37">I184*H184</f>
        <v>-9600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43193</v>
      </c>
      <c r="D185" s="161" t="s">
        <v>9</v>
      </c>
      <c r="E185" s="161" t="s">
        <v>2301</v>
      </c>
      <c r="F185" s="207">
        <v>460</v>
      </c>
      <c r="G185" s="207">
        <v>490</v>
      </c>
      <c r="H185" s="161">
        <v>30</v>
      </c>
      <c r="I185" s="207">
        <v>160</v>
      </c>
      <c r="J185" s="242">
        <f t="shared" si="37"/>
        <v>4800</v>
      </c>
      <c r="K185" s="153"/>
      <c r="V185" s="25">
        <f t="shared" ref="V185:V206" si="38">IF($J185&gt;0,1,0)</f>
        <v>1</v>
      </c>
      <c r="W185" s="25">
        <f t="shared" ref="W185:W206" si="39">IF($J185&lt;0,1,0)</f>
        <v>0</v>
      </c>
    </row>
    <row r="186" spans="1:23" x14ac:dyDescent="0.3">
      <c r="A186" s="147"/>
      <c r="B186" s="205">
        <f t="shared" ref="B186:B206" si="40">B185+1</f>
        <v>3</v>
      </c>
      <c r="C186" s="206">
        <v>43194</v>
      </c>
      <c r="D186" s="161" t="s">
        <v>9</v>
      </c>
      <c r="E186" s="161" t="s">
        <v>2301</v>
      </c>
      <c r="F186" s="207">
        <v>370</v>
      </c>
      <c r="G186" s="207">
        <v>490</v>
      </c>
      <c r="H186" s="161">
        <v>120</v>
      </c>
      <c r="I186" s="207">
        <v>160</v>
      </c>
      <c r="J186" s="242">
        <f t="shared" si="37"/>
        <v>19200</v>
      </c>
      <c r="K186" s="153"/>
      <c r="V186" s="25">
        <f t="shared" si="38"/>
        <v>1</v>
      </c>
      <c r="W186" s="25">
        <f t="shared" si="39"/>
        <v>0</v>
      </c>
    </row>
    <row r="187" spans="1:23" x14ac:dyDescent="0.3">
      <c r="A187" s="147"/>
      <c r="B187" s="205">
        <f t="shared" si="40"/>
        <v>4</v>
      </c>
      <c r="C187" s="206">
        <v>43195</v>
      </c>
      <c r="D187" s="161" t="s">
        <v>9</v>
      </c>
      <c r="E187" s="161" t="s">
        <v>2301</v>
      </c>
      <c r="F187" s="207">
        <v>430</v>
      </c>
      <c r="G187" s="207">
        <v>370</v>
      </c>
      <c r="H187" s="161">
        <v>-60</v>
      </c>
      <c r="I187" s="207">
        <v>160</v>
      </c>
      <c r="J187" s="242">
        <f t="shared" si="37"/>
        <v>-9600</v>
      </c>
      <c r="K187" s="153"/>
      <c r="V187" s="25">
        <f t="shared" si="38"/>
        <v>0</v>
      </c>
      <c r="W187" s="25">
        <f t="shared" si="39"/>
        <v>1</v>
      </c>
    </row>
    <row r="188" spans="1:23" x14ac:dyDescent="0.3">
      <c r="A188" s="147"/>
      <c r="B188" s="205">
        <f t="shared" si="40"/>
        <v>5</v>
      </c>
      <c r="C188" s="206">
        <v>43196</v>
      </c>
      <c r="D188" s="161" t="s">
        <v>9</v>
      </c>
      <c r="E188" s="161" t="s">
        <v>2303</v>
      </c>
      <c r="F188" s="207">
        <v>380</v>
      </c>
      <c r="G188" s="207">
        <v>320</v>
      </c>
      <c r="H188" s="161">
        <v>-60</v>
      </c>
      <c r="I188" s="207">
        <v>160</v>
      </c>
      <c r="J188" s="242">
        <f t="shared" si="37"/>
        <v>-9600</v>
      </c>
      <c r="K188" s="153"/>
      <c r="V188" s="25">
        <f t="shared" si="38"/>
        <v>0</v>
      </c>
      <c r="W188" s="25">
        <f t="shared" si="39"/>
        <v>1</v>
      </c>
    </row>
    <row r="189" spans="1:23" x14ac:dyDescent="0.3">
      <c r="A189" s="147"/>
      <c r="B189" s="205">
        <f t="shared" si="40"/>
        <v>6</v>
      </c>
      <c r="C189" s="206">
        <v>43199</v>
      </c>
      <c r="D189" s="161" t="s">
        <v>9</v>
      </c>
      <c r="E189" s="161" t="s">
        <v>2405</v>
      </c>
      <c r="F189" s="207">
        <v>340</v>
      </c>
      <c r="G189" s="207">
        <v>365</v>
      </c>
      <c r="H189" s="161">
        <v>25</v>
      </c>
      <c r="I189" s="207">
        <v>160</v>
      </c>
      <c r="J189" s="242">
        <f t="shared" si="37"/>
        <v>4000</v>
      </c>
      <c r="K189" s="153"/>
      <c r="V189" s="25">
        <f t="shared" si="38"/>
        <v>1</v>
      </c>
      <c r="W189" s="25">
        <f t="shared" si="39"/>
        <v>0</v>
      </c>
    </row>
    <row r="190" spans="1:23" x14ac:dyDescent="0.3">
      <c r="A190" s="147"/>
      <c r="B190" s="205">
        <f t="shared" si="40"/>
        <v>7</v>
      </c>
      <c r="C190" s="206">
        <v>43200</v>
      </c>
      <c r="D190" s="161" t="s">
        <v>9</v>
      </c>
      <c r="E190" s="161" t="s">
        <v>2404</v>
      </c>
      <c r="F190" s="207">
        <v>350</v>
      </c>
      <c r="G190" s="207">
        <v>390</v>
      </c>
      <c r="H190" s="161">
        <v>40</v>
      </c>
      <c r="I190" s="207">
        <v>160</v>
      </c>
      <c r="J190" s="242">
        <f t="shared" si="37"/>
        <v>6400</v>
      </c>
      <c r="K190" s="153"/>
      <c r="V190" s="25">
        <f t="shared" si="38"/>
        <v>1</v>
      </c>
      <c r="W190" s="25">
        <f t="shared" si="39"/>
        <v>0</v>
      </c>
    </row>
    <row r="191" spans="1:23" x14ac:dyDescent="0.3">
      <c r="A191" s="147"/>
      <c r="B191" s="205">
        <f t="shared" si="40"/>
        <v>8</v>
      </c>
      <c r="C191" s="206">
        <v>43201</v>
      </c>
      <c r="D191" s="161" t="s">
        <v>9</v>
      </c>
      <c r="E191" s="161" t="s">
        <v>2317</v>
      </c>
      <c r="F191" s="207">
        <v>350</v>
      </c>
      <c r="G191" s="207">
        <v>410</v>
      </c>
      <c r="H191" s="161">
        <v>60</v>
      </c>
      <c r="I191" s="207">
        <v>160</v>
      </c>
      <c r="J191" s="242">
        <f t="shared" si="37"/>
        <v>9600</v>
      </c>
      <c r="K191" s="153"/>
      <c r="V191" s="25">
        <f t="shared" si="38"/>
        <v>1</v>
      </c>
      <c r="W191" s="25">
        <f t="shared" si="39"/>
        <v>0</v>
      </c>
    </row>
    <row r="192" spans="1:23" x14ac:dyDescent="0.3">
      <c r="A192" s="147"/>
      <c r="B192" s="205">
        <f t="shared" si="40"/>
        <v>9</v>
      </c>
      <c r="C192" s="206">
        <v>43202</v>
      </c>
      <c r="D192" s="161" t="s">
        <v>9</v>
      </c>
      <c r="E192" s="161" t="s">
        <v>2305</v>
      </c>
      <c r="F192" s="207">
        <v>330</v>
      </c>
      <c r="G192" s="207">
        <v>420</v>
      </c>
      <c r="H192" s="161">
        <v>90</v>
      </c>
      <c r="I192" s="207">
        <v>160</v>
      </c>
      <c r="J192" s="242">
        <f t="shared" si="37"/>
        <v>14400</v>
      </c>
      <c r="K192" s="153"/>
      <c r="V192" s="25">
        <f t="shared" si="38"/>
        <v>1</v>
      </c>
      <c r="W192" s="25">
        <f t="shared" si="39"/>
        <v>0</v>
      </c>
    </row>
    <row r="193" spans="1:23" x14ac:dyDescent="0.3">
      <c r="A193" s="147"/>
      <c r="B193" s="205">
        <f t="shared" si="40"/>
        <v>10</v>
      </c>
      <c r="C193" s="206">
        <v>43203</v>
      </c>
      <c r="D193" s="161" t="s">
        <v>9</v>
      </c>
      <c r="E193" s="161" t="s">
        <v>2480</v>
      </c>
      <c r="F193" s="207">
        <v>300</v>
      </c>
      <c r="G193" s="207">
        <v>330</v>
      </c>
      <c r="H193" s="161">
        <v>30</v>
      </c>
      <c r="I193" s="207">
        <v>160</v>
      </c>
      <c r="J193" s="242">
        <f t="shared" si="37"/>
        <v>4800</v>
      </c>
      <c r="K193" s="153"/>
      <c r="V193" s="25">
        <f t="shared" si="38"/>
        <v>1</v>
      </c>
      <c r="W193" s="25">
        <f t="shared" si="39"/>
        <v>0</v>
      </c>
    </row>
    <row r="194" spans="1:23" x14ac:dyDescent="0.3">
      <c r="A194" s="147"/>
      <c r="B194" s="205">
        <f t="shared" si="40"/>
        <v>11</v>
      </c>
      <c r="C194" s="206">
        <v>43206</v>
      </c>
      <c r="D194" s="161" t="s">
        <v>9</v>
      </c>
      <c r="E194" s="161" t="s">
        <v>2404</v>
      </c>
      <c r="F194" s="207">
        <v>270</v>
      </c>
      <c r="G194" s="207">
        <v>300</v>
      </c>
      <c r="H194" s="161">
        <v>30</v>
      </c>
      <c r="I194" s="207">
        <v>160</v>
      </c>
      <c r="J194" s="242">
        <f t="shared" si="37"/>
        <v>4800</v>
      </c>
      <c r="K194" s="153"/>
      <c r="V194" s="25">
        <f t="shared" si="38"/>
        <v>1</v>
      </c>
      <c r="W194" s="25">
        <f t="shared" si="39"/>
        <v>0</v>
      </c>
    </row>
    <row r="195" spans="1:23" x14ac:dyDescent="0.3">
      <c r="A195" s="147"/>
      <c r="B195" s="205">
        <f t="shared" si="40"/>
        <v>12</v>
      </c>
      <c r="C195" s="206">
        <v>43207</v>
      </c>
      <c r="D195" s="161" t="s">
        <v>9</v>
      </c>
      <c r="E195" s="161" t="s">
        <v>2377</v>
      </c>
      <c r="F195" s="207">
        <v>230</v>
      </c>
      <c r="G195" s="207">
        <v>290</v>
      </c>
      <c r="H195" s="161">
        <v>60</v>
      </c>
      <c r="I195" s="207">
        <v>160</v>
      </c>
      <c r="J195" s="242">
        <f t="shared" si="37"/>
        <v>9600</v>
      </c>
      <c r="K195" s="153"/>
      <c r="V195" s="25">
        <f t="shared" si="38"/>
        <v>1</v>
      </c>
      <c r="W195" s="25">
        <f t="shared" si="39"/>
        <v>0</v>
      </c>
    </row>
    <row r="196" spans="1:23" x14ac:dyDescent="0.3">
      <c r="A196" s="147"/>
      <c r="B196" s="205">
        <f t="shared" si="40"/>
        <v>13</v>
      </c>
      <c r="C196" s="206">
        <v>43208</v>
      </c>
      <c r="D196" s="161" t="s">
        <v>9</v>
      </c>
      <c r="E196" s="161" t="s">
        <v>2377</v>
      </c>
      <c r="F196" s="207">
        <v>240</v>
      </c>
      <c r="G196" s="207">
        <v>325</v>
      </c>
      <c r="H196" s="161">
        <v>85</v>
      </c>
      <c r="I196" s="207">
        <v>160</v>
      </c>
      <c r="J196" s="242">
        <f t="shared" si="37"/>
        <v>13600</v>
      </c>
      <c r="K196" s="153"/>
      <c r="V196" s="25">
        <f t="shared" si="38"/>
        <v>1</v>
      </c>
      <c r="W196" s="25">
        <f t="shared" si="39"/>
        <v>0</v>
      </c>
    </row>
    <row r="197" spans="1:23" x14ac:dyDescent="0.3">
      <c r="A197" s="147"/>
      <c r="B197" s="205">
        <f t="shared" si="40"/>
        <v>14</v>
      </c>
      <c r="C197" s="206">
        <v>43209</v>
      </c>
      <c r="D197" s="161" t="s">
        <v>9</v>
      </c>
      <c r="E197" s="161" t="s">
        <v>2404</v>
      </c>
      <c r="F197" s="207">
        <v>230</v>
      </c>
      <c r="G197" s="207">
        <v>258</v>
      </c>
      <c r="H197" s="161">
        <v>28</v>
      </c>
      <c r="I197" s="207">
        <v>160</v>
      </c>
      <c r="J197" s="242">
        <f t="shared" si="37"/>
        <v>4480</v>
      </c>
      <c r="K197" s="153"/>
      <c r="V197" s="25">
        <f t="shared" si="38"/>
        <v>1</v>
      </c>
      <c r="W197" s="25">
        <f t="shared" si="39"/>
        <v>0</v>
      </c>
    </row>
    <row r="198" spans="1:23" x14ac:dyDescent="0.3">
      <c r="A198" s="147"/>
      <c r="B198" s="205">
        <f t="shared" si="40"/>
        <v>15</v>
      </c>
      <c r="C198" s="206">
        <v>43210</v>
      </c>
      <c r="D198" s="161" t="s">
        <v>9</v>
      </c>
      <c r="E198" s="161" t="s">
        <v>2404</v>
      </c>
      <c r="F198" s="207">
        <v>290</v>
      </c>
      <c r="G198" s="207">
        <v>380</v>
      </c>
      <c r="H198" s="161">
        <v>90</v>
      </c>
      <c r="I198" s="207">
        <v>160</v>
      </c>
      <c r="J198" s="242">
        <f t="shared" si="37"/>
        <v>14400</v>
      </c>
      <c r="K198" s="153"/>
      <c r="V198" s="25">
        <f t="shared" si="38"/>
        <v>1</v>
      </c>
      <c r="W198" s="25">
        <f t="shared" si="39"/>
        <v>0</v>
      </c>
    </row>
    <row r="199" spans="1:23" x14ac:dyDescent="0.3">
      <c r="A199" s="147"/>
      <c r="B199" s="205">
        <f t="shared" si="40"/>
        <v>16</v>
      </c>
      <c r="C199" s="206">
        <v>43213</v>
      </c>
      <c r="D199" s="161" t="s">
        <v>9</v>
      </c>
      <c r="E199" s="161" t="s">
        <v>2304</v>
      </c>
      <c r="F199" s="207">
        <v>220</v>
      </c>
      <c r="G199" s="207">
        <v>320</v>
      </c>
      <c r="H199" s="161">
        <v>100</v>
      </c>
      <c r="I199" s="207">
        <v>160</v>
      </c>
      <c r="J199" s="242">
        <f t="shared" si="37"/>
        <v>16000</v>
      </c>
      <c r="K199" s="153"/>
      <c r="V199" s="25">
        <f t="shared" si="38"/>
        <v>1</v>
      </c>
      <c r="W199" s="25">
        <f t="shared" si="39"/>
        <v>0</v>
      </c>
    </row>
    <row r="200" spans="1:23" x14ac:dyDescent="0.3">
      <c r="A200" s="147"/>
      <c r="B200" s="205">
        <f t="shared" si="40"/>
        <v>17</v>
      </c>
      <c r="C200" s="206">
        <v>43214</v>
      </c>
      <c r="D200" s="161" t="s">
        <v>9</v>
      </c>
      <c r="E200" s="161" t="s">
        <v>2404</v>
      </c>
      <c r="F200" s="207">
        <v>240</v>
      </c>
      <c r="G200" s="207">
        <v>300</v>
      </c>
      <c r="H200" s="161">
        <v>60</v>
      </c>
      <c r="I200" s="207">
        <v>160</v>
      </c>
      <c r="J200" s="242">
        <f t="shared" si="37"/>
        <v>9600</v>
      </c>
      <c r="K200" s="153"/>
      <c r="V200" s="25">
        <f t="shared" si="38"/>
        <v>1</v>
      </c>
      <c r="W200" s="25">
        <f t="shared" si="39"/>
        <v>0</v>
      </c>
    </row>
    <row r="201" spans="1:23" x14ac:dyDescent="0.3">
      <c r="A201" s="147"/>
      <c r="B201" s="205">
        <f t="shared" si="40"/>
        <v>18</v>
      </c>
      <c r="C201" s="206">
        <v>43215</v>
      </c>
      <c r="D201" s="161" t="s">
        <v>9</v>
      </c>
      <c r="E201" s="161" t="s">
        <v>2404</v>
      </c>
      <c r="F201" s="207">
        <v>290</v>
      </c>
      <c r="G201" s="207">
        <v>410</v>
      </c>
      <c r="H201" s="161">
        <v>120</v>
      </c>
      <c r="I201" s="207">
        <v>160</v>
      </c>
      <c r="J201" s="242">
        <f t="shared" si="37"/>
        <v>19200</v>
      </c>
      <c r="K201" s="153"/>
      <c r="V201" s="25">
        <f t="shared" si="38"/>
        <v>1</v>
      </c>
      <c r="W201" s="25">
        <f t="shared" si="39"/>
        <v>0</v>
      </c>
    </row>
    <row r="202" spans="1:23" x14ac:dyDescent="0.3">
      <c r="A202" s="147"/>
      <c r="B202" s="205">
        <f t="shared" si="40"/>
        <v>19</v>
      </c>
      <c r="C202" s="206">
        <v>43216</v>
      </c>
      <c r="D202" s="161" t="s">
        <v>9</v>
      </c>
      <c r="E202" s="161" t="s">
        <v>2405</v>
      </c>
      <c r="F202" s="207">
        <v>200</v>
      </c>
      <c r="G202" s="207">
        <v>140</v>
      </c>
      <c r="H202" s="161">
        <v>-60</v>
      </c>
      <c r="I202" s="207">
        <v>160</v>
      </c>
      <c r="J202" s="242">
        <f t="shared" si="37"/>
        <v>-9600</v>
      </c>
      <c r="K202" s="153"/>
      <c r="V202" s="25">
        <f t="shared" si="38"/>
        <v>0</v>
      </c>
      <c r="W202" s="25">
        <f t="shared" si="39"/>
        <v>1</v>
      </c>
    </row>
    <row r="203" spans="1:23" x14ac:dyDescent="0.3">
      <c r="A203" s="147"/>
      <c r="B203" s="205">
        <f t="shared" si="40"/>
        <v>20</v>
      </c>
      <c r="C203" s="206">
        <v>43217</v>
      </c>
      <c r="D203" s="161" t="s">
        <v>9</v>
      </c>
      <c r="E203" s="161" t="s">
        <v>2377</v>
      </c>
      <c r="F203" s="207">
        <v>420</v>
      </c>
      <c r="G203" s="207">
        <v>360</v>
      </c>
      <c r="H203" s="161">
        <v>-60</v>
      </c>
      <c r="I203" s="207">
        <v>160</v>
      </c>
      <c r="J203" s="242">
        <f t="shared" si="37"/>
        <v>-9600</v>
      </c>
      <c r="K203" s="153"/>
      <c r="V203" s="25">
        <f t="shared" si="38"/>
        <v>0</v>
      </c>
      <c r="W203" s="25">
        <f t="shared" si="39"/>
        <v>1</v>
      </c>
    </row>
    <row r="204" spans="1:23" x14ac:dyDescent="0.3">
      <c r="A204" s="147"/>
      <c r="B204" s="205">
        <f t="shared" si="40"/>
        <v>21</v>
      </c>
      <c r="C204" s="206">
        <v>43218</v>
      </c>
      <c r="D204" s="161" t="s">
        <v>9</v>
      </c>
      <c r="E204" s="161" t="s">
        <v>2374</v>
      </c>
      <c r="F204" s="207">
        <v>360</v>
      </c>
      <c r="G204" s="207">
        <v>345</v>
      </c>
      <c r="H204" s="161">
        <v>-15</v>
      </c>
      <c r="I204" s="207">
        <v>160</v>
      </c>
      <c r="J204" s="242">
        <f t="shared" si="37"/>
        <v>-2400</v>
      </c>
      <c r="K204" s="153"/>
      <c r="V204" s="25">
        <f t="shared" si="38"/>
        <v>0</v>
      </c>
      <c r="W204" s="25">
        <f t="shared" si="39"/>
        <v>1</v>
      </c>
    </row>
    <row r="205" spans="1:23" x14ac:dyDescent="0.3">
      <c r="A205" s="147"/>
      <c r="B205" s="205">
        <f t="shared" si="40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7"/>
        <v>0</v>
      </c>
      <c r="K205" s="153"/>
      <c r="V205" s="25">
        <f t="shared" si="38"/>
        <v>0</v>
      </c>
      <c r="W205" s="25">
        <f t="shared" si="39"/>
        <v>0</v>
      </c>
    </row>
    <row r="206" spans="1:23" ht="15" thickBot="1" x14ac:dyDescent="0.35">
      <c r="A206" s="147"/>
      <c r="B206" s="208">
        <f t="shared" si="40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7"/>
        <v>0</v>
      </c>
      <c r="K206" s="153"/>
      <c r="V206" s="25">
        <f t="shared" si="38"/>
        <v>0</v>
      </c>
      <c r="W206" s="25">
        <f t="shared" si="39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104480</v>
      </c>
      <c r="K207" s="153"/>
      <c r="V207" s="25">
        <f>SUM(V184:V206)</f>
        <v>15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2472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43192</v>
      </c>
      <c r="D215" s="185" t="s">
        <v>9</v>
      </c>
      <c r="E215" s="185" t="s">
        <v>2466</v>
      </c>
      <c r="F215" s="219">
        <v>15</v>
      </c>
      <c r="G215" s="231">
        <v>12.5</v>
      </c>
      <c r="H215" s="231">
        <v>-2.5</v>
      </c>
      <c r="I215" s="219">
        <v>1600</v>
      </c>
      <c r="J215" s="246">
        <f t="shared" ref="J215:J237" si="41">I215*H215</f>
        <v>-4000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 t="s">
        <v>2474</v>
      </c>
      <c r="D216" s="161" t="s">
        <v>9</v>
      </c>
      <c r="E216" s="161" t="s">
        <v>2466</v>
      </c>
      <c r="F216" s="222">
        <v>10</v>
      </c>
      <c r="G216" s="222">
        <v>11</v>
      </c>
      <c r="H216" s="255">
        <v>1</v>
      </c>
      <c r="I216" s="207">
        <v>1600</v>
      </c>
      <c r="J216" s="242">
        <f>I216*H216</f>
        <v>1600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2">B216+1</f>
        <v>3</v>
      </c>
      <c r="C217" s="206">
        <v>43194</v>
      </c>
      <c r="D217" s="161" t="s">
        <v>9</v>
      </c>
      <c r="E217" s="161" t="s">
        <v>2475</v>
      </c>
      <c r="F217" s="222">
        <v>14</v>
      </c>
      <c r="G217" s="222">
        <v>17</v>
      </c>
      <c r="H217" s="222">
        <v>3</v>
      </c>
      <c r="I217" s="207">
        <v>1750</v>
      </c>
      <c r="J217" s="242">
        <f t="shared" si="41"/>
        <v>5250</v>
      </c>
      <c r="K217" s="153"/>
      <c r="V217" s="25">
        <f t="shared" ref="V217:V237" si="43">IF($J217&gt;0,1,0)</f>
        <v>1</v>
      </c>
      <c r="W217" s="25">
        <f t="shared" ref="W217:W237" si="44">IF($J217&lt;0,1,0)</f>
        <v>0</v>
      </c>
    </row>
    <row r="218" spans="1:23" x14ac:dyDescent="0.3">
      <c r="A218" s="147"/>
      <c r="B218" s="205">
        <f t="shared" si="42"/>
        <v>4</v>
      </c>
      <c r="C218" s="206">
        <v>43195</v>
      </c>
      <c r="D218" s="161" t="s">
        <v>9</v>
      </c>
      <c r="E218" s="161" t="s">
        <v>2475</v>
      </c>
      <c r="F218" s="222">
        <v>12.5</v>
      </c>
      <c r="G218" s="222">
        <v>18</v>
      </c>
      <c r="H218" s="222">
        <v>5.5</v>
      </c>
      <c r="I218" s="207">
        <v>1750</v>
      </c>
      <c r="J218" s="242">
        <f t="shared" si="41"/>
        <v>9625</v>
      </c>
      <c r="K218" s="153"/>
      <c r="V218" s="25">
        <f t="shared" si="43"/>
        <v>1</v>
      </c>
      <c r="W218" s="25">
        <f t="shared" si="44"/>
        <v>0</v>
      </c>
    </row>
    <row r="219" spans="1:23" x14ac:dyDescent="0.3">
      <c r="A219" s="147"/>
      <c r="B219" s="205">
        <f t="shared" si="42"/>
        <v>5</v>
      </c>
      <c r="C219" s="206">
        <v>43196</v>
      </c>
      <c r="D219" s="161" t="s">
        <v>9</v>
      </c>
      <c r="E219" s="161" t="s">
        <v>2476</v>
      </c>
      <c r="F219" s="222">
        <v>14</v>
      </c>
      <c r="G219" s="222">
        <v>15.2</v>
      </c>
      <c r="H219" s="222">
        <v>1.2</v>
      </c>
      <c r="I219" s="207">
        <v>1600</v>
      </c>
      <c r="J219" s="242">
        <f t="shared" si="41"/>
        <v>1920</v>
      </c>
      <c r="K219" s="153"/>
      <c r="V219" s="25">
        <f t="shared" si="43"/>
        <v>1</v>
      </c>
      <c r="W219" s="25">
        <f t="shared" si="44"/>
        <v>0</v>
      </c>
    </row>
    <row r="220" spans="1:23" x14ac:dyDescent="0.3">
      <c r="A220" s="147"/>
      <c r="B220" s="205">
        <f t="shared" si="42"/>
        <v>6</v>
      </c>
      <c r="C220" s="206">
        <v>43199</v>
      </c>
      <c r="D220" s="161" t="s">
        <v>9</v>
      </c>
      <c r="E220" s="161" t="s">
        <v>1921</v>
      </c>
      <c r="F220" s="222">
        <v>15</v>
      </c>
      <c r="G220" s="222">
        <v>17.5</v>
      </c>
      <c r="H220" s="222">
        <v>2.5</v>
      </c>
      <c r="I220" s="207">
        <v>1600</v>
      </c>
      <c r="J220" s="242">
        <f t="shared" si="41"/>
        <v>4000</v>
      </c>
      <c r="K220" s="153"/>
      <c r="V220" s="25">
        <f t="shared" si="43"/>
        <v>1</v>
      </c>
      <c r="W220" s="25">
        <f t="shared" si="44"/>
        <v>0</v>
      </c>
    </row>
    <row r="221" spans="1:23" x14ac:dyDescent="0.3">
      <c r="A221" s="147"/>
      <c r="B221" s="205">
        <f t="shared" si="42"/>
        <v>7</v>
      </c>
      <c r="C221" s="206">
        <v>43200</v>
      </c>
      <c r="D221" s="161" t="s">
        <v>9</v>
      </c>
      <c r="E221" s="161" t="s">
        <v>2477</v>
      </c>
      <c r="F221" s="222">
        <v>12</v>
      </c>
      <c r="G221" s="222">
        <v>18</v>
      </c>
      <c r="H221" s="222">
        <v>6</v>
      </c>
      <c r="I221" s="207">
        <v>2750</v>
      </c>
      <c r="J221" s="242">
        <f t="shared" si="41"/>
        <v>16500</v>
      </c>
      <c r="K221" s="153"/>
      <c r="V221" s="25">
        <f t="shared" si="43"/>
        <v>1</v>
      </c>
      <c r="W221" s="25">
        <f t="shared" si="44"/>
        <v>0</v>
      </c>
    </row>
    <row r="222" spans="1:23" x14ac:dyDescent="0.3">
      <c r="A222" s="147"/>
      <c r="B222" s="205">
        <f t="shared" si="42"/>
        <v>8</v>
      </c>
      <c r="C222" s="206">
        <v>43201</v>
      </c>
      <c r="D222" s="161" t="s">
        <v>9</v>
      </c>
      <c r="E222" s="161" t="s">
        <v>2465</v>
      </c>
      <c r="F222" s="222">
        <v>9.5</v>
      </c>
      <c r="G222" s="222">
        <v>13.5</v>
      </c>
      <c r="H222" s="222">
        <v>4</v>
      </c>
      <c r="I222" s="207">
        <v>1750</v>
      </c>
      <c r="J222" s="242">
        <f t="shared" si="41"/>
        <v>7000</v>
      </c>
      <c r="K222" s="153"/>
      <c r="V222" s="25">
        <f t="shared" si="43"/>
        <v>1</v>
      </c>
      <c r="W222" s="25">
        <f t="shared" si="44"/>
        <v>0</v>
      </c>
    </row>
    <row r="223" spans="1:23" x14ac:dyDescent="0.3">
      <c r="A223" s="147"/>
      <c r="B223" s="205">
        <f t="shared" si="42"/>
        <v>9</v>
      </c>
      <c r="C223" s="206">
        <v>43202</v>
      </c>
      <c r="D223" s="161" t="s">
        <v>9</v>
      </c>
      <c r="E223" s="161" t="s">
        <v>2478</v>
      </c>
      <c r="F223" s="222">
        <v>12.5</v>
      </c>
      <c r="G223" s="222">
        <v>14.3</v>
      </c>
      <c r="H223" s="255">
        <v>1.8</v>
      </c>
      <c r="I223" s="207">
        <v>1600</v>
      </c>
      <c r="J223" s="242">
        <f t="shared" si="41"/>
        <v>2880</v>
      </c>
      <c r="K223" s="153"/>
      <c r="V223" s="25">
        <f t="shared" si="43"/>
        <v>1</v>
      </c>
      <c r="W223" s="25">
        <f t="shared" si="44"/>
        <v>0</v>
      </c>
    </row>
    <row r="224" spans="1:23" x14ac:dyDescent="0.3">
      <c r="A224" s="147"/>
      <c r="B224" s="205">
        <f t="shared" si="42"/>
        <v>10</v>
      </c>
      <c r="C224" s="206">
        <v>43203</v>
      </c>
      <c r="D224" s="161" t="s">
        <v>9</v>
      </c>
      <c r="E224" s="161" t="s">
        <v>2481</v>
      </c>
      <c r="F224" s="222">
        <v>7.3</v>
      </c>
      <c r="G224" s="222">
        <v>5.3</v>
      </c>
      <c r="H224" s="255">
        <v>-2</v>
      </c>
      <c r="I224" s="207">
        <v>4000</v>
      </c>
      <c r="J224" s="242">
        <f t="shared" si="41"/>
        <v>-8000</v>
      </c>
      <c r="K224" s="153"/>
      <c r="V224" s="25">
        <f t="shared" si="43"/>
        <v>0</v>
      </c>
      <c r="W224" s="25">
        <f t="shared" si="44"/>
        <v>1</v>
      </c>
    </row>
    <row r="225" spans="1:23" x14ac:dyDescent="0.3">
      <c r="A225" s="147"/>
      <c r="B225" s="205">
        <f t="shared" si="42"/>
        <v>11</v>
      </c>
      <c r="C225" s="206">
        <v>43206</v>
      </c>
      <c r="D225" s="161" t="s">
        <v>9</v>
      </c>
      <c r="E225" s="161" t="s">
        <v>2471</v>
      </c>
      <c r="F225" s="222">
        <v>5</v>
      </c>
      <c r="G225" s="222">
        <v>6.4</v>
      </c>
      <c r="H225" s="255">
        <v>1.4</v>
      </c>
      <c r="I225" s="207">
        <v>3000</v>
      </c>
      <c r="J225" s="242">
        <f t="shared" si="41"/>
        <v>4200</v>
      </c>
      <c r="K225" s="153"/>
      <c r="V225" s="25">
        <f t="shared" si="43"/>
        <v>1</v>
      </c>
      <c r="W225" s="25">
        <f t="shared" si="44"/>
        <v>0</v>
      </c>
    </row>
    <row r="226" spans="1:23" x14ac:dyDescent="0.3">
      <c r="A226" s="147"/>
      <c r="B226" s="205">
        <f t="shared" si="42"/>
        <v>12</v>
      </c>
      <c r="C226" s="206">
        <v>43207</v>
      </c>
      <c r="D226" s="161" t="s">
        <v>9</v>
      </c>
      <c r="E226" s="161" t="s">
        <v>2471</v>
      </c>
      <c r="F226" s="222">
        <v>4</v>
      </c>
      <c r="G226" s="222">
        <v>6</v>
      </c>
      <c r="H226" s="255">
        <v>2</v>
      </c>
      <c r="I226" s="207">
        <v>3000</v>
      </c>
      <c r="J226" s="242">
        <f t="shared" si="41"/>
        <v>6000</v>
      </c>
      <c r="K226" s="153"/>
      <c r="V226" s="25">
        <f t="shared" si="43"/>
        <v>1</v>
      </c>
      <c r="W226" s="25">
        <f t="shared" si="44"/>
        <v>0</v>
      </c>
    </row>
    <row r="227" spans="1:23" x14ac:dyDescent="0.3">
      <c r="A227" s="147"/>
      <c r="B227" s="205">
        <f t="shared" si="42"/>
        <v>13</v>
      </c>
      <c r="C227" s="206">
        <v>43208</v>
      </c>
      <c r="D227" s="161" t="s">
        <v>9</v>
      </c>
      <c r="E227" s="161" t="s">
        <v>2471</v>
      </c>
      <c r="F227" s="222">
        <v>4.5999999999999996</v>
      </c>
      <c r="G227" s="222">
        <v>6.6</v>
      </c>
      <c r="H227" s="255">
        <v>2</v>
      </c>
      <c r="I227" s="207">
        <v>3000</v>
      </c>
      <c r="J227" s="242">
        <f t="shared" si="41"/>
        <v>6000</v>
      </c>
      <c r="K227" s="153"/>
      <c r="V227" s="25">
        <f t="shared" si="43"/>
        <v>1</v>
      </c>
      <c r="W227" s="25">
        <f t="shared" si="44"/>
        <v>0</v>
      </c>
    </row>
    <row r="228" spans="1:23" x14ac:dyDescent="0.3">
      <c r="A228" s="147"/>
      <c r="B228" s="205">
        <f t="shared" si="42"/>
        <v>14</v>
      </c>
      <c r="C228" s="206">
        <v>43209</v>
      </c>
      <c r="D228" s="161" t="s">
        <v>9</v>
      </c>
      <c r="E228" s="161" t="s">
        <v>2471</v>
      </c>
      <c r="F228" s="222">
        <v>6</v>
      </c>
      <c r="G228" s="222">
        <v>5.55</v>
      </c>
      <c r="H228" s="255">
        <v>-0.45</v>
      </c>
      <c r="I228" s="207">
        <v>3000</v>
      </c>
      <c r="J228" s="242">
        <f>I228*H228</f>
        <v>-1350</v>
      </c>
      <c r="K228" s="153"/>
      <c r="V228" s="25">
        <f t="shared" si="43"/>
        <v>0</v>
      </c>
      <c r="W228" s="25">
        <f t="shared" si="44"/>
        <v>1</v>
      </c>
    </row>
    <row r="229" spans="1:23" x14ac:dyDescent="0.3">
      <c r="A229" s="147"/>
      <c r="B229" s="205">
        <f t="shared" si="42"/>
        <v>15</v>
      </c>
      <c r="C229" s="206">
        <v>43210</v>
      </c>
      <c r="D229" s="161" t="s">
        <v>9</v>
      </c>
      <c r="E229" s="161" t="s">
        <v>2471</v>
      </c>
      <c r="F229" s="222">
        <v>8</v>
      </c>
      <c r="G229" s="222">
        <v>10.9</v>
      </c>
      <c r="H229" s="255">
        <v>2.9</v>
      </c>
      <c r="I229" s="207">
        <v>3000</v>
      </c>
      <c r="J229" s="242">
        <f t="shared" si="41"/>
        <v>8700</v>
      </c>
      <c r="K229" s="153"/>
      <c r="V229" s="25">
        <f t="shared" si="43"/>
        <v>1</v>
      </c>
      <c r="W229" s="25">
        <f t="shared" si="44"/>
        <v>0</v>
      </c>
    </row>
    <row r="230" spans="1:23" x14ac:dyDescent="0.3">
      <c r="A230" s="147"/>
      <c r="B230" s="205">
        <f t="shared" si="42"/>
        <v>16</v>
      </c>
      <c r="C230" s="206">
        <v>43213</v>
      </c>
      <c r="D230" s="161" t="s">
        <v>9</v>
      </c>
      <c r="E230" s="161" t="s">
        <v>2483</v>
      </c>
      <c r="F230" s="222">
        <v>5.5</v>
      </c>
      <c r="G230" s="222">
        <v>6.6</v>
      </c>
      <c r="H230" s="222">
        <v>1.1000000000000001</v>
      </c>
      <c r="I230" s="207">
        <v>3000</v>
      </c>
      <c r="J230" s="242">
        <f t="shared" si="41"/>
        <v>3300.0000000000005</v>
      </c>
      <c r="K230" s="153"/>
      <c r="V230" s="25">
        <f t="shared" si="43"/>
        <v>1</v>
      </c>
      <c r="W230" s="25">
        <f t="shared" si="44"/>
        <v>0</v>
      </c>
    </row>
    <row r="231" spans="1:23" x14ac:dyDescent="0.3">
      <c r="A231" s="147"/>
      <c r="B231" s="205">
        <f t="shared" si="42"/>
        <v>17</v>
      </c>
      <c r="C231" s="206">
        <v>43214</v>
      </c>
      <c r="D231" s="161" t="s">
        <v>9</v>
      </c>
      <c r="E231" s="161" t="s">
        <v>2484</v>
      </c>
      <c r="F231" s="222">
        <v>6.8</v>
      </c>
      <c r="G231" s="222">
        <v>8.15</v>
      </c>
      <c r="H231" s="222">
        <v>1.35</v>
      </c>
      <c r="I231" s="207">
        <v>2750</v>
      </c>
      <c r="J231" s="242">
        <f t="shared" si="41"/>
        <v>3712.5000000000005</v>
      </c>
      <c r="K231" s="153"/>
      <c r="V231" s="25">
        <f t="shared" si="43"/>
        <v>1</v>
      </c>
      <c r="W231" s="25">
        <f t="shared" si="44"/>
        <v>0</v>
      </c>
    </row>
    <row r="232" spans="1:23" x14ac:dyDescent="0.3">
      <c r="A232" s="147"/>
      <c r="B232" s="205">
        <f t="shared" si="42"/>
        <v>18</v>
      </c>
      <c r="C232" s="206">
        <v>43215</v>
      </c>
      <c r="D232" s="161" t="s">
        <v>9</v>
      </c>
      <c r="E232" s="161" t="s">
        <v>2466</v>
      </c>
      <c r="F232" s="222">
        <v>8</v>
      </c>
      <c r="G232" s="222">
        <v>5</v>
      </c>
      <c r="H232" s="222">
        <v>-3</v>
      </c>
      <c r="I232" s="207">
        <v>2750</v>
      </c>
      <c r="J232" s="242">
        <f t="shared" si="41"/>
        <v>-8250</v>
      </c>
      <c r="K232" s="153"/>
      <c r="V232" s="25">
        <f t="shared" si="43"/>
        <v>0</v>
      </c>
      <c r="W232" s="25">
        <f t="shared" si="44"/>
        <v>1</v>
      </c>
    </row>
    <row r="233" spans="1:23" x14ac:dyDescent="0.3">
      <c r="A233" s="147"/>
      <c r="B233" s="205">
        <f t="shared" si="42"/>
        <v>19</v>
      </c>
      <c r="C233" s="206">
        <v>43216</v>
      </c>
      <c r="D233" s="161" t="s">
        <v>9</v>
      </c>
      <c r="E233" s="161" t="s">
        <v>2052</v>
      </c>
      <c r="F233" s="222">
        <v>2.7</v>
      </c>
      <c r="G233" s="222">
        <v>3.5</v>
      </c>
      <c r="H233" s="222">
        <v>0.8</v>
      </c>
      <c r="I233" s="207">
        <v>2750</v>
      </c>
      <c r="J233" s="242">
        <f t="shared" si="41"/>
        <v>2200</v>
      </c>
      <c r="K233" s="153"/>
      <c r="V233" s="25">
        <f t="shared" si="43"/>
        <v>1</v>
      </c>
      <c r="W233" s="25">
        <f t="shared" si="44"/>
        <v>0</v>
      </c>
    </row>
    <row r="234" spans="1:23" x14ac:dyDescent="0.3">
      <c r="A234" s="147"/>
      <c r="B234" s="205">
        <f t="shared" si="42"/>
        <v>20</v>
      </c>
      <c r="C234" s="206">
        <v>43217</v>
      </c>
      <c r="D234" s="161" t="s">
        <v>9</v>
      </c>
      <c r="E234" s="161" t="s">
        <v>2485</v>
      </c>
      <c r="F234" s="222">
        <v>12</v>
      </c>
      <c r="G234" s="222">
        <v>13.1</v>
      </c>
      <c r="H234" s="222">
        <v>1.1000000000000001</v>
      </c>
      <c r="I234" s="207">
        <v>1750</v>
      </c>
      <c r="J234" s="242">
        <f t="shared" si="41"/>
        <v>1925.0000000000002</v>
      </c>
      <c r="K234" s="153"/>
      <c r="V234" s="25">
        <f t="shared" si="43"/>
        <v>1</v>
      </c>
      <c r="W234" s="25">
        <f t="shared" si="44"/>
        <v>0</v>
      </c>
    </row>
    <row r="235" spans="1:23" x14ac:dyDescent="0.3">
      <c r="A235" s="147"/>
      <c r="B235" s="205">
        <f t="shared" si="42"/>
        <v>21</v>
      </c>
      <c r="C235" s="206">
        <v>43218</v>
      </c>
      <c r="D235" s="161" t="s">
        <v>9</v>
      </c>
      <c r="E235" s="161" t="s">
        <v>1851</v>
      </c>
      <c r="F235" s="222">
        <v>13.5</v>
      </c>
      <c r="G235" s="222">
        <v>15</v>
      </c>
      <c r="H235" s="222">
        <v>1.5</v>
      </c>
      <c r="I235" s="207">
        <v>2750</v>
      </c>
      <c r="J235" s="242">
        <f t="shared" si="41"/>
        <v>4125</v>
      </c>
      <c r="K235" s="153"/>
      <c r="V235" s="25">
        <f t="shared" si="43"/>
        <v>1</v>
      </c>
      <c r="W235" s="25">
        <f t="shared" si="44"/>
        <v>0</v>
      </c>
    </row>
    <row r="236" spans="1:23" x14ac:dyDescent="0.3">
      <c r="A236" s="147"/>
      <c r="B236" s="205">
        <f t="shared" si="42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41"/>
        <v>0</v>
      </c>
      <c r="K236" s="153"/>
      <c r="V236" s="25">
        <f t="shared" si="43"/>
        <v>0</v>
      </c>
      <c r="W236" s="25">
        <f t="shared" si="44"/>
        <v>0</v>
      </c>
    </row>
    <row r="237" spans="1:23" ht="15" thickBot="1" x14ac:dyDescent="0.35">
      <c r="A237" s="147"/>
      <c r="B237" s="208">
        <f t="shared" si="42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41"/>
        <v>0</v>
      </c>
      <c r="K237" s="153"/>
      <c r="V237" s="25">
        <f t="shared" si="43"/>
        <v>0</v>
      </c>
      <c r="W237" s="25">
        <f t="shared" si="44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67337.5</v>
      </c>
      <c r="K238" s="153"/>
      <c r="V238" s="25">
        <f>SUM(V215:V237)</f>
        <v>17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C00-000000000000}"/>
    <hyperlink ref="B83" r:id="rId2" xr:uid="{00000000-0004-0000-3C00-000001000000}"/>
    <hyperlink ref="B114" r:id="rId3" xr:uid="{00000000-0004-0000-3C00-000002000000}"/>
    <hyperlink ref="M8:M9" location="'APRIL-2018'!A108" display="NIFTY FUTURE" xr:uid="{00000000-0004-0000-3C00-000003000000}"/>
    <hyperlink ref="B145" r:id="rId4" xr:uid="{00000000-0004-0000-3C00-000004000000}"/>
    <hyperlink ref="B176" r:id="rId5" xr:uid="{00000000-0004-0000-3C00-000005000000}"/>
    <hyperlink ref="M12:M13" location="'APRIL-2018'!A170" display="BANK NIFTY" xr:uid="{00000000-0004-0000-3C00-000006000000}"/>
    <hyperlink ref="B207" r:id="rId6" xr:uid="{00000000-0004-0000-3C00-000007000000}"/>
    <hyperlink ref="M14:M15" location="'APRIL-2018'!A201" display="B.NIFTY OPTION" xr:uid="{00000000-0004-0000-3C00-000008000000}"/>
    <hyperlink ref="B238" r:id="rId7" xr:uid="{00000000-0004-0000-3C00-000009000000}"/>
    <hyperlink ref="M16:M17" location="'APRIL-2018'!A232" display="STOCK OPTION" xr:uid="{00000000-0004-0000-3C00-00000A000000}"/>
    <hyperlink ref="M6:M7" location="'APRIL-2018'!A77" display="STOCK FUTURE" xr:uid="{00000000-0004-0000-3C00-00000B000000}"/>
    <hyperlink ref="M1" location="'MASTER '!A1" display="Back" xr:uid="{00000000-0004-0000-3C00-00000C000000}"/>
    <hyperlink ref="M4:M5" location="'APRIL-2018'!A1" display="CASH" xr:uid="{00000000-0004-0000-3C00-00000D000000}"/>
    <hyperlink ref="M10:M11" location="'APRIL-2018'!A139" display="NF. OPTION" xr:uid="{00000000-0004-0000-3C00-00000E000000}"/>
  </hyperlinks>
  <pageMargins left="0" right="0" top="0" bottom="0" header="0" footer="0"/>
  <pageSetup scale="95" orientation="portrait" r:id="rId8"/>
  <drawing r:id="rId9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W239"/>
  <sheetViews>
    <sheetView topLeftCell="A58" workbookViewId="0">
      <selection activeCell="A77" sqref="A77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2498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44</v>
      </c>
      <c r="O4" s="354">
        <f>V52</f>
        <v>30</v>
      </c>
      <c r="P4" s="354">
        <f>W52</f>
        <v>13</v>
      </c>
      <c r="Q4" s="355">
        <f>N4-O4-P4</f>
        <v>1</v>
      </c>
      <c r="R4" s="314">
        <f>O4/N4</f>
        <v>0.68181818181818177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43222</v>
      </c>
      <c r="D6" s="158" t="s">
        <v>9</v>
      </c>
      <c r="E6" s="158" t="s">
        <v>2023</v>
      </c>
      <c r="F6" s="204">
        <v>1920</v>
      </c>
      <c r="G6" s="230">
        <v>1935</v>
      </c>
      <c r="H6" s="158">
        <v>15</v>
      </c>
      <c r="I6" s="204">
        <f>300000/F6</f>
        <v>156.25</v>
      </c>
      <c r="J6" s="241">
        <f>H6*I6</f>
        <v>2343.75</v>
      </c>
      <c r="K6" s="153"/>
      <c r="M6" s="389" t="s">
        <v>450</v>
      </c>
      <c r="N6" s="343">
        <f>COUNT(C60:C82)</f>
        <v>22</v>
      </c>
      <c r="O6" s="345">
        <f>V83</f>
        <v>17</v>
      </c>
      <c r="P6" s="345">
        <f>W83</f>
        <v>5</v>
      </c>
      <c r="Q6" s="347">
        <f>N6-O6-P6</f>
        <v>0</v>
      </c>
      <c r="R6" s="340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43222</v>
      </c>
      <c r="D7" s="161" t="s">
        <v>8</v>
      </c>
      <c r="E7" s="161" t="s">
        <v>796</v>
      </c>
      <c r="F7" s="207">
        <v>1088</v>
      </c>
      <c r="G7" s="207">
        <v>1080</v>
      </c>
      <c r="H7" s="234">
        <v>8</v>
      </c>
      <c r="I7" s="207">
        <f t="shared" ref="I7:I9" si="1">300000/F7</f>
        <v>275.73529411764707</v>
      </c>
      <c r="J7" s="242">
        <f t="shared" ref="J7:J9" si="2">H7*I7</f>
        <v>2205.8823529411766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43223</v>
      </c>
      <c r="D8" s="161" t="s">
        <v>9</v>
      </c>
      <c r="E8" s="161" t="s">
        <v>2023</v>
      </c>
      <c r="F8" s="207">
        <v>1903</v>
      </c>
      <c r="G8" s="222">
        <v>1888</v>
      </c>
      <c r="H8" s="222">
        <v>-15</v>
      </c>
      <c r="I8" s="207">
        <f t="shared" si="1"/>
        <v>157.64582238570677</v>
      </c>
      <c r="J8" s="242">
        <f t="shared" si="2"/>
        <v>-2364.6873357856016</v>
      </c>
      <c r="K8" s="153"/>
      <c r="M8" s="389" t="s">
        <v>451</v>
      </c>
      <c r="N8" s="343">
        <f>COUNT(C91:C113)</f>
        <v>22</v>
      </c>
      <c r="O8" s="345">
        <f>V114</f>
        <v>17</v>
      </c>
      <c r="P8" s="345">
        <f>W114</f>
        <v>5</v>
      </c>
      <c r="Q8" s="347">
        <f>N8-O8-P8</f>
        <v>0</v>
      </c>
      <c r="R8" s="340">
        <f t="shared" ref="R8" si="6">O8/N8</f>
        <v>0.77272727272727271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43223</v>
      </c>
      <c r="D9" s="161" t="s">
        <v>8</v>
      </c>
      <c r="E9" s="161" t="s">
        <v>834</v>
      </c>
      <c r="F9" s="207">
        <v>284</v>
      </c>
      <c r="G9" s="222">
        <v>278.2</v>
      </c>
      <c r="H9" s="222">
        <v>5.8</v>
      </c>
      <c r="I9" s="207">
        <f t="shared" si="1"/>
        <v>1056.338028169014</v>
      </c>
      <c r="J9" s="242">
        <f t="shared" si="2"/>
        <v>6126.7605633802814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43224</v>
      </c>
      <c r="D10" s="161" t="s">
        <v>9</v>
      </c>
      <c r="E10" s="161" t="s">
        <v>78</v>
      </c>
      <c r="F10" s="207">
        <v>1383</v>
      </c>
      <c r="G10" s="222">
        <v>1373</v>
      </c>
      <c r="H10" s="222">
        <v>-10</v>
      </c>
      <c r="I10" s="207">
        <f t="shared" ref="I10:I14" si="7">300000/F10</f>
        <v>216.91973969631238</v>
      </c>
      <c r="J10" s="242">
        <f t="shared" ref="J10:J14" si="8">H10*I10</f>
        <v>-2169.1973969631235</v>
      </c>
      <c r="K10" s="153"/>
      <c r="M10" s="389" t="s">
        <v>1176</v>
      </c>
      <c r="N10" s="343">
        <f>COUNT(C122:C144)</f>
        <v>22</v>
      </c>
      <c r="O10" s="345">
        <f>V145</f>
        <v>14</v>
      </c>
      <c r="P10" s="345">
        <f>W145</f>
        <v>8</v>
      </c>
      <c r="Q10" s="347">
        <f>N10-O10-P10</f>
        <v>0</v>
      </c>
      <c r="R10" s="340">
        <f t="shared" ref="R10:R16" si="9">O10/N10</f>
        <v>0.63636363636363635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43224</v>
      </c>
      <c r="D11" s="161" t="s">
        <v>8</v>
      </c>
      <c r="E11" s="161" t="s">
        <v>834</v>
      </c>
      <c r="F11" s="207">
        <v>283</v>
      </c>
      <c r="G11" s="222">
        <v>286</v>
      </c>
      <c r="H11" s="255">
        <v>-3</v>
      </c>
      <c r="I11" s="207">
        <f t="shared" si="7"/>
        <v>1060.0706713780919</v>
      </c>
      <c r="J11" s="242">
        <f t="shared" si="8"/>
        <v>-3180.2120141342757</v>
      </c>
      <c r="K11" s="153"/>
      <c r="M11" s="389"/>
      <c r="N11" s="343"/>
      <c r="O11" s="345"/>
      <c r="P11" s="345"/>
      <c r="Q11" s="349"/>
      <c r="R11" s="340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43227</v>
      </c>
      <c r="D12" s="161" t="s">
        <v>9</v>
      </c>
      <c r="E12" s="161" t="s">
        <v>2023</v>
      </c>
      <c r="F12" s="207">
        <v>1862</v>
      </c>
      <c r="G12" s="222">
        <v>1892</v>
      </c>
      <c r="H12" s="222">
        <v>30</v>
      </c>
      <c r="I12" s="207">
        <f t="shared" si="7"/>
        <v>161.11707841031151</v>
      </c>
      <c r="J12" s="242">
        <f t="shared" si="8"/>
        <v>4833.5123523093453</v>
      </c>
      <c r="K12" s="153"/>
      <c r="M12" s="389" t="s">
        <v>41</v>
      </c>
      <c r="N12" s="343">
        <v>22</v>
      </c>
      <c r="O12" s="345">
        <f>V176</f>
        <v>15</v>
      </c>
      <c r="P12" s="345">
        <f>W176</f>
        <v>7</v>
      </c>
      <c r="Q12" s="347">
        <f t="shared" ref="Q12" si="10">N12-O12-P12</f>
        <v>0</v>
      </c>
      <c r="R12" s="340">
        <f t="shared" si="9"/>
        <v>0.68181818181818177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43227</v>
      </c>
      <c r="D13" s="161" t="s">
        <v>8</v>
      </c>
      <c r="E13" s="161" t="s">
        <v>395</v>
      </c>
      <c r="F13" s="207">
        <v>2060</v>
      </c>
      <c r="G13" s="222">
        <v>2070</v>
      </c>
      <c r="H13" s="255">
        <v>-10</v>
      </c>
      <c r="I13" s="207">
        <f t="shared" si="7"/>
        <v>145.63106796116506</v>
      </c>
      <c r="J13" s="242">
        <f t="shared" si="8"/>
        <v>-1456.3106796116506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43228</v>
      </c>
      <c r="D14" s="161" t="s">
        <v>9</v>
      </c>
      <c r="E14" s="161" t="s">
        <v>2023</v>
      </c>
      <c r="F14" s="207">
        <v>1880</v>
      </c>
      <c r="G14" s="207">
        <v>1865</v>
      </c>
      <c r="H14" s="161">
        <v>-15</v>
      </c>
      <c r="I14" s="207">
        <f t="shared" si="7"/>
        <v>159.57446808510639</v>
      </c>
      <c r="J14" s="242">
        <f t="shared" si="8"/>
        <v>-2393.617021276596</v>
      </c>
      <c r="K14" s="153"/>
      <c r="M14" s="389" t="s">
        <v>1175</v>
      </c>
      <c r="N14" s="343">
        <f>COUNT(C184:C206)</f>
        <v>22</v>
      </c>
      <c r="O14" s="345">
        <f>V207</f>
        <v>12</v>
      </c>
      <c r="P14" s="345">
        <f>W207</f>
        <v>10</v>
      </c>
      <c r="Q14" s="347">
        <f t="shared" ref="Q14" si="11">N14-O14-P14</f>
        <v>0</v>
      </c>
      <c r="R14" s="340">
        <f t="shared" si="9"/>
        <v>0.54545454545454541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43228</v>
      </c>
      <c r="D15" s="161" t="s">
        <v>8</v>
      </c>
      <c r="E15" s="161" t="s">
        <v>192</v>
      </c>
      <c r="F15" s="207">
        <v>260</v>
      </c>
      <c r="G15" s="207">
        <v>256</v>
      </c>
      <c r="H15" s="161">
        <v>4</v>
      </c>
      <c r="I15" s="207">
        <f t="shared" ref="I15" si="12">300000/F15</f>
        <v>1153.8461538461538</v>
      </c>
      <c r="J15" s="242">
        <f t="shared" ref="J15" si="13">H15*I15</f>
        <v>4615.3846153846152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43229</v>
      </c>
      <c r="D16" s="161" t="s">
        <v>9</v>
      </c>
      <c r="E16" s="161" t="s">
        <v>78</v>
      </c>
      <c r="F16" s="207">
        <v>1370</v>
      </c>
      <c r="G16" s="207">
        <v>1380</v>
      </c>
      <c r="H16" s="161">
        <v>10</v>
      </c>
      <c r="I16" s="207">
        <f t="shared" ref="I16:I49" si="14">300000/F16</f>
        <v>218.97810218978103</v>
      </c>
      <c r="J16" s="242">
        <f t="shared" ref="J16:J49" si="15">H16*I16</f>
        <v>2189.7810218978102</v>
      </c>
      <c r="K16" s="153"/>
      <c r="L16" s="25" t="s">
        <v>2008</v>
      </c>
      <c r="M16" s="389" t="s">
        <v>1090</v>
      </c>
      <c r="N16" s="343">
        <f>COUNT(C215:C237)</f>
        <v>22</v>
      </c>
      <c r="O16" s="345">
        <f>V238</f>
        <v>18</v>
      </c>
      <c r="P16" s="345">
        <f>W238</f>
        <v>4</v>
      </c>
      <c r="Q16" s="347">
        <f t="shared" ref="Q16" si="16">N16-O16-P16</f>
        <v>0</v>
      </c>
      <c r="R16" s="340">
        <f t="shared" si="9"/>
        <v>0.81818181818181823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43229</v>
      </c>
      <c r="D17" s="161" t="s">
        <v>8</v>
      </c>
      <c r="E17" s="161" t="s">
        <v>341</v>
      </c>
      <c r="F17" s="207">
        <v>366</v>
      </c>
      <c r="G17" s="222">
        <v>368.5</v>
      </c>
      <c r="H17" s="222">
        <v>-2.5</v>
      </c>
      <c r="I17" s="207">
        <f t="shared" si="14"/>
        <v>819.67213114754099</v>
      </c>
      <c r="J17" s="242">
        <f t="shared" si="15"/>
        <v>-2049.1803278688526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43230</v>
      </c>
      <c r="D18" s="161" t="s">
        <v>9</v>
      </c>
      <c r="E18" s="161" t="s">
        <v>796</v>
      </c>
      <c r="F18" s="207">
        <v>1045</v>
      </c>
      <c r="G18" s="222">
        <v>1052</v>
      </c>
      <c r="H18" s="222">
        <v>7</v>
      </c>
      <c r="I18" s="207">
        <f t="shared" si="14"/>
        <v>287.08133971291863</v>
      </c>
      <c r="J18" s="242">
        <f t="shared" si="15"/>
        <v>2009.5693779904304</v>
      </c>
      <c r="K18" s="153"/>
      <c r="M18" s="334" t="s">
        <v>946</v>
      </c>
      <c r="N18" s="336">
        <f>SUM(N4:N17)</f>
        <v>176</v>
      </c>
      <c r="O18" s="336">
        <f t="shared" ref="O18:Q18" si="17">SUM(O4:O17)</f>
        <v>123</v>
      </c>
      <c r="P18" s="336">
        <f t="shared" si="17"/>
        <v>52</v>
      </c>
      <c r="Q18" s="338">
        <f t="shared" si="17"/>
        <v>1</v>
      </c>
      <c r="R18" s="314">
        <f t="shared" ref="R18" si="18">O18/N18</f>
        <v>0.69886363636363635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43230</v>
      </c>
      <c r="D19" s="161" t="s">
        <v>8</v>
      </c>
      <c r="E19" s="161" t="s">
        <v>192</v>
      </c>
      <c r="F19" s="207">
        <v>258</v>
      </c>
      <c r="G19" s="222">
        <v>250</v>
      </c>
      <c r="H19" s="161">
        <v>8</v>
      </c>
      <c r="I19" s="207">
        <f t="shared" si="14"/>
        <v>1162.7906976744187</v>
      </c>
      <c r="J19" s="242">
        <f t="shared" si="15"/>
        <v>9302.3255813953492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43231</v>
      </c>
      <c r="D20" s="161" t="s">
        <v>9</v>
      </c>
      <c r="E20" s="161" t="s">
        <v>95</v>
      </c>
      <c r="F20" s="207">
        <v>310</v>
      </c>
      <c r="G20" s="222">
        <v>310.5</v>
      </c>
      <c r="H20" s="222">
        <v>-0.5</v>
      </c>
      <c r="I20" s="207">
        <f t="shared" si="14"/>
        <v>967.74193548387098</v>
      </c>
      <c r="J20" s="242">
        <f t="shared" si="15"/>
        <v>-483.87096774193549</v>
      </c>
      <c r="K20" s="153"/>
      <c r="M20" s="316" t="s">
        <v>2253</v>
      </c>
      <c r="N20" s="317"/>
      <c r="O20" s="318"/>
      <c r="P20" s="325">
        <f>R18</f>
        <v>0.69886363636363635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43231</v>
      </c>
      <c r="D21" s="161" t="s">
        <v>8</v>
      </c>
      <c r="E21" s="161" t="s">
        <v>796</v>
      </c>
      <c r="F21" s="207">
        <v>1015</v>
      </c>
      <c r="G21" s="222">
        <v>1025</v>
      </c>
      <c r="H21" s="222">
        <v>-10</v>
      </c>
      <c r="I21" s="207">
        <f t="shared" si="14"/>
        <v>295.56650246305418</v>
      </c>
      <c r="J21" s="242">
        <f t="shared" si="15"/>
        <v>-2955.6650246305417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43234</v>
      </c>
      <c r="D22" s="161" t="s">
        <v>9</v>
      </c>
      <c r="E22" s="161" t="s">
        <v>78</v>
      </c>
      <c r="F22" s="207">
        <v>1396</v>
      </c>
      <c r="G22" s="222">
        <v>1386</v>
      </c>
      <c r="H22" s="222">
        <v>-10</v>
      </c>
      <c r="I22" s="207">
        <f t="shared" si="14"/>
        <v>214.89971346704871</v>
      </c>
      <c r="J22" s="242">
        <f t="shared" si="15"/>
        <v>-2148.997134670487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43234</v>
      </c>
      <c r="D23" s="161" t="s">
        <v>8</v>
      </c>
      <c r="E23" s="161" t="s">
        <v>834</v>
      </c>
      <c r="F23" s="207">
        <v>285</v>
      </c>
      <c r="G23" s="222">
        <v>282</v>
      </c>
      <c r="H23" s="222">
        <v>3</v>
      </c>
      <c r="I23" s="207">
        <f t="shared" si="14"/>
        <v>1052.6315789473683</v>
      </c>
      <c r="J23" s="242">
        <f t="shared" si="15"/>
        <v>3157.894736842105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43235</v>
      </c>
      <c r="D24" s="161" t="s">
        <v>9</v>
      </c>
      <c r="E24" s="161" t="s">
        <v>2023</v>
      </c>
      <c r="F24" s="207">
        <v>1915</v>
      </c>
      <c r="G24" s="222">
        <v>1930</v>
      </c>
      <c r="H24" s="222">
        <v>15</v>
      </c>
      <c r="I24" s="207">
        <f t="shared" si="14"/>
        <v>156.65796344647521</v>
      </c>
      <c r="J24" s="242">
        <f t="shared" si="15"/>
        <v>2349.8694516971282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43235</v>
      </c>
      <c r="D25" s="161" t="s">
        <v>8</v>
      </c>
      <c r="E25" s="161" t="s">
        <v>78</v>
      </c>
      <c r="F25" s="207">
        <v>1400</v>
      </c>
      <c r="G25" s="222">
        <v>1380</v>
      </c>
      <c r="H25" s="222">
        <v>20</v>
      </c>
      <c r="I25" s="207">
        <f t="shared" si="14"/>
        <v>214.28571428571428</v>
      </c>
      <c r="J25" s="242">
        <f t="shared" si="15"/>
        <v>4285.7142857142853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43236</v>
      </c>
      <c r="D26" s="161" t="s">
        <v>9</v>
      </c>
      <c r="E26" s="161" t="s">
        <v>95</v>
      </c>
      <c r="F26" s="207">
        <v>298</v>
      </c>
      <c r="G26" s="222">
        <v>304</v>
      </c>
      <c r="H26" s="222">
        <v>6</v>
      </c>
      <c r="I26" s="207">
        <f t="shared" si="14"/>
        <v>1006.7114093959732</v>
      </c>
      <c r="J26" s="242">
        <f t="shared" si="15"/>
        <v>6040.2684563758394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43236</v>
      </c>
      <c r="D27" s="161" t="s">
        <v>8</v>
      </c>
      <c r="E27" s="161" t="s">
        <v>834</v>
      </c>
      <c r="F27" s="207">
        <v>280</v>
      </c>
      <c r="G27" s="222">
        <v>276.5</v>
      </c>
      <c r="H27" s="222">
        <v>3.5</v>
      </c>
      <c r="I27" s="207">
        <f t="shared" si="14"/>
        <v>1071.4285714285713</v>
      </c>
      <c r="J27" s="242">
        <f t="shared" si="15"/>
        <v>3749.9999999999995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43237</v>
      </c>
      <c r="D28" s="161" t="s">
        <v>9</v>
      </c>
      <c r="E28" s="161" t="s">
        <v>78</v>
      </c>
      <c r="F28" s="207">
        <v>1370</v>
      </c>
      <c r="G28" s="222">
        <v>1375</v>
      </c>
      <c r="H28" s="222">
        <v>5</v>
      </c>
      <c r="I28" s="207">
        <f t="shared" si="14"/>
        <v>218.97810218978103</v>
      </c>
      <c r="J28" s="242">
        <f t="shared" si="15"/>
        <v>1094.8905109489051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43237</v>
      </c>
      <c r="D29" s="161" t="s">
        <v>8</v>
      </c>
      <c r="E29" s="161" t="s">
        <v>834</v>
      </c>
      <c r="F29" s="207">
        <v>279</v>
      </c>
      <c r="G29" s="222">
        <v>276.2</v>
      </c>
      <c r="H29" s="222">
        <v>2.8</v>
      </c>
      <c r="I29" s="207">
        <f t="shared" si="14"/>
        <v>1075.2688172043011</v>
      </c>
      <c r="J29" s="242">
        <f t="shared" si="15"/>
        <v>3010.7526881720428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43238</v>
      </c>
      <c r="D30" s="161" t="s">
        <v>9</v>
      </c>
      <c r="E30" s="161" t="s">
        <v>78</v>
      </c>
      <c r="F30" s="207">
        <v>1352</v>
      </c>
      <c r="G30" s="222">
        <v>1358</v>
      </c>
      <c r="H30" s="222">
        <v>6</v>
      </c>
      <c r="I30" s="207">
        <f t="shared" si="14"/>
        <v>221.89349112426035</v>
      </c>
      <c r="J30" s="242">
        <f t="shared" si="15"/>
        <v>1331.3609467455622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43238</v>
      </c>
      <c r="D31" s="161" t="s">
        <v>8</v>
      </c>
      <c r="E31" s="161" t="s">
        <v>834</v>
      </c>
      <c r="F31" s="207">
        <v>275</v>
      </c>
      <c r="G31" s="222">
        <v>270</v>
      </c>
      <c r="H31" s="222">
        <v>5</v>
      </c>
      <c r="I31" s="207">
        <f t="shared" si="14"/>
        <v>1090.909090909091</v>
      </c>
      <c r="J31" s="242">
        <f t="shared" si="15"/>
        <v>5454.545454545455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43241</v>
      </c>
      <c r="D32" s="161" t="s">
        <v>9</v>
      </c>
      <c r="E32" s="161" t="s">
        <v>78</v>
      </c>
      <c r="F32" s="207">
        <v>1335</v>
      </c>
      <c r="G32" s="222">
        <v>1325</v>
      </c>
      <c r="H32" s="222">
        <v>-10</v>
      </c>
      <c r="I32" s="207">
        <f t="shared" si="14"/>
        <v>224.71910112359549</v>
      </c>
      <c r="J32" s="242">
        <f t="shared" si="15"/>
        <v>-2247.1910112359551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43241</v>
      </c>
      <c r="D33" s="161" t="s">
        <v>8</v>
      </c>
      <c r="E33" s="161" t="s">
        <v>395</v>
      </c>
      <c r="F33" s="207">
        <v>1966</v>
      </c>
      <c r="G33" s="222">
        <v>1926</v>
      </c>
      <c r="H33" s="222">
        <v>40</v>
      </c>
      <c r="I33" s="207">
        <f t="shared" si="14"/>
        <v>152.5940996948118</v>
      </c>
      <c r="J33" s="242">
        <f t="shared" si="15"/>
        <v>6103.7639877924721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43242</v>
      </c>
      <c r="D34" s="161" t="s">
        <v>9</v>
      </c>
      <c r="E34" s="161" t="s">
        <v>78</v>
      </c>
      <c r="F34" s="207">
        <v>1325</v>
      </c>
      <c r="G34" s="222">
        <v>1339.25</v>
      </c>
      <c r="H34" s="222">
        <v>14.25</v>
      </c>
      <c r="I34" s="207">
        <f t="shared" si="14"/>
        <v>226.41509433962264</v>
      </c>
      <c r="J34" s="242">
        <f t="shared" si="15"/>
        <v>3226.4150943396226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43242</v>
      </c>
      <c r="D35" s="161" t="s">
        <v>8</v>
      </c>
      <c r="E35" s="161" t="s">
        <v>395</v>
      </c>
      <c r="F35" s="207">
        <v>1927</v>
      </c>
      <c r="G35" s="222">
        <v>1918</v>
      </c>
      <c r="H35" s="222">
        <v>9</v>
      </c>
      <c r="I35" s="207">
        <f t="shared" si="14"/>
        <v>155.68240788790865</v>
      </c>
      <c r="J35" s="242">
        <f t="shared" si="15"/>
        <v>1401.1416709911778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43243</v>
      </c>
      <c r="D36" s="161" t="s">
        <v>9</v>
      </c>
      <c r="E36" s="161" t="s">
        <v>78</v>
      </c>
      <c r="F36" s="207">
        <v>1322</v>
      </c>
      <c r="G36" s="222">
        <v>1342</v>
      </c>
      <c r="H36" s="222">
        <v>20</v>
      </c>
      <c r="I36" s="207">
        <f t="shared" si="14"/>
        <v>226.928895612708</v>
      </c>
      <c r="J36" s="242">
        <f t="shared" si="15"/>
        <v>4538.5779122541599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43243</v>
      </c>
      <c r="D37" s="161" t="s">
        <v>8</v>
      </c>
      <c r="E37" s="161" t="s">
        <v>139</v>
      </c>
      <c r="F37" s="207">
        <v>334</v>
      </c>
      <c r="G37" s="222">
        <v>331.8</v>
      </c>
      <c r="H37" s="222">
        <v>2.2000000000000002</v>
      </c>
      <c r="I37" s="207">
        <f t="shared" si="14"/>
        <v>898.20359281437129</v>
      </c>
      <c r="J37" s="242">
        <f t="shared" si="15"/>
        <v>1976.0479041916169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43244</v>
      </c>
      <c r="D38" s="161" t="s">
        <v>9</v>
      </c>
      <c r="E38" s="161" t="s">
        <v>50</v>
      </c>
      <c r="F38" s="207">
        <v>462</v>
      </c>
      <c r="G38" s="222">
        <v>468</v>
      </c>
      <c r="H38" s="222">
        <v>6</v>
      </c>
      <c r="I38" s="207">
        <f t="shared" si="14"/>
        <v>649.35064935064941</v>
      </c>
      <c r="J38" s="242">
        <f t="shared" si="15"/>
        <v>3896.1038961038967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43244</v>
      </c>
      <c r="D39" s="161" t="s">
        <v>8</v>
      </c>
      <c r="E39" s="161" t="s">
        <v>2494</v>
      </c>
      <c r="F39" s="207">
        <v>925</v>
      </c>
      <c r="G39" s="222">
        <v>919</v>
      </c>
      <c r="H39" s="222">
        <v>6</v>
      </c>
      <c r="I39" s="207">
        <f t="shared" si="14"/>
        <v>324.32432432432432</v>
      </c>
      <c r="J39" s="242">
        <f t="shared" si="15"/>
        <v>1945.9459459459458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43245</v>
      </c>
      <c r="D40" s="161" t="s">
        <v>9</v>
      </c>
      <c r="E40" s="161" t="s">
        <v>2023</v>
      </c>
      <c r="F40" s="207">
        <v>2123</v>
      </c>
      <c r="G40" s="222">
        <v>2151</v>
      </c>
      <c r="H40" s="222">
        <v>28</v>
      </c>
      <c r="I40" s="207">
        <f t="shared" si="14"/>
        <v>141.3094677343382</v>
      </c>
      <c r="J40" s="242">
        <f t="shared" si="15"/>
        <v>3956.6650965614695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43245</v>
      </c>
      <c r="D41" s="161" t="s">
        <v>8</v>
      </c>
      <c r="E41" s="161" t="s">
        <v>796</v>
      </c>
      <c r="F41" s="207">
        <v>960</v>
      </c>
      <c r="G41" s="223">
        <v>970</v>
      </c>
      <c r="H41" s="222">
        <v>-10</v>
      </c>
      <c r="I41" s="207">
        <f t="shared" si="14"/>
        <v>312.5</v>
      </c>
      <c r="J41" s="242">
        <f t="shared" si="15"/>
        <v>-3125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43248</v>
      </c>
      <c r="D42" s="161" t="s">
        <v>9</v>
      </c>
      <c r="E42" s="161" t="s">
        <v>78</v>
      </c>
      <c r="F42" s="207">
        <v>1355</v>
      </c>
      <c r="G42" s="222">
        <v>1375</v>
      </c>
      <c r="H42" s="222">
        <v>20</v>
      </c>
      <c r="I42" s="207">
        <f t="shared" si="14"/>
        <v>221.40221402214021</v>
      </c>
      <c r="J42" s="242">
        <f t="shared" si="15"/>
        <v>4428.0442804428039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43248</v>
      </c>
      <c r="D43" s="161" t="s">
        <v>8</v>
      </c>
      <c r="E43" s="161" t="s">
        <v>29</v>
      </c>
      <c r="F43" s="207">
        <v>896</v>
      </c>
      <c r="G43" s="222">
        <v>891.5</v>
      </c>
      <c r="H43" s="222">
        <v>4.5</v>
      </c>
      <c r="I43" s="207">
        <f t="shared" si="14"/>
        <v>334.82142857142856</v>
      </c>
      <c r="J43" s="242">
        <f t="shared" si="15"/>
        <v>1506.6964285714284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43249</v>
      </c>
      <c r="D44" s="161" t="s">
        <v>9</v>
      </c>
      <c r="E44" s="161" t="s">
        <v>78</v>
      </c>
      <c r="F44" s="207">
        <v>1420</v>
      </c>
      <c r="G44" s="222">
        <v>1410</v>
      </c>
      <c r="H44" s="222">
        <v>-10</v>
      </c>
      <c r="I44" s="207">
        <f t="shared" si="14"/>
        <v>211.26760563380282</v>
      </c>
      <c r="J44" s="242">
        <f t="shared" si="15"/>
        <v>-2112.676056338028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43249</v>
      </c>
      <c r="D45" s="161" t="s">
        <v>8</v>
      </c>
      <c r="E45" s="161" t="s">
        <v>139</v>
      </c>
      <c r="F45" s="207">
        <v>344</v>
      </c>
      <c r="G45" s="222">
        <v>336</v>
      </c>
      <c r="H45" s="222">
        <v>8</v>
      </c>
      <c r="I45" s="207">
        <f t="shared" si="14"/>
        <v>872.09302325581393</v>
      </c>
      <c r="J45" s="242">
        <f t="shared" si="15"/>
        <v>6976.7441860465115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43250</v>
      </c>
      <c r="D46" s="161" t="s">
        <v>9</v>
      </c>
      <c r="E46" s="161" t="s">
        <v>395</v>
      </c>
      <c r="F46" s="207">
        <v>1968</v>
      </c>
      <c r="G46" s="222">
        <v>1968</v>
      </c>
      <c r="H46" s="222">
        <v>0</v>
      </c>
      <c r="I46" s="207">
        <f t="shared" si="14"/>
        <v>152.4390243902439</v>
      </c>
      <c r="J46" s="242">
        <f t="shared" si="15"/>
        <v>0</v>
      </c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43250</v>
      </c>
      <c r="D47" s="161" t="s">
        <v>8</v>
      </c>
      <c r="E47" s="161" t="s">
        <v>78</v>
      </c>
      <c r="F47" s="207">
        <v>1366</v>
      </c>
      <c r="G47" s="222">
        <v>1358</v>
      </c>
      <c r="H47" s="222">
        <v>8</v>
      </c>
      <c r="I47" s="207">
        <f t="shared" si="14"/>
        <v>219.61932650073206</v>
      </c>
      <c r="J47" s="242">
        <f t="shared" si="15"/>
        <v>1756.9546120058565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43251</v>
      </c>
      <c r="D48" s="161" t="s">
        <v>9</v>
      </c>
      <c r="E48" s="161" t="s">
        <v>160</v>
      </c>
      <c r="F48" s="207">
        <v>532</v>
      </c>
      <c r="G48" s="222">
        <v>526</v>
      </c>
      <c r="H48" s="222">
        <v>-6</v>
      </c>
      <c r="I48" s="207">
        <f t="shared" si="14"/>
        <v>563.90977443609017</v>
      </c>
      <c r="J48" s="242">
        <f t="shared" si="15"/>
        <v>-3383.458646616541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43251</v>
      </c>
      <c r="D49" s="161" t="s">
        <v>8</v>
      </c>
      <c r="E49" s="161" t="s">
        <v>78</v>
      </c>
      <c r="F49" s="207">
        <v>1369</v>
      </c>
      <c r="G49" s="222">
        <v>1359</v>
      </c>
      <c r="H49" s="222">
        <v>10</v>
      </c>
      <c r="I49" s="207">
        <f t="shared" si="14"/>
        <v>219.13805697589481</v>
      </c>
      <c r="J49" s="242">
        <f t="shared" si="15"/>
        <v>2191.3805697589482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07"/>
      <c r="G50" s="207"/>
      <c r="H50" s="161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77936.680364472661</v>
      </c>
      <c r="K52" s="153"/>
      <c r="V52" s="25">
        <f>SUM(V6:V51)</f>
        <v>30</v>
      </c>
      <c r="W52" s="25">
        <f>SUM(W6:W51)</f>
        <v>13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2498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43222</v>
      </c>
      <c r="D60" s="158" t="s">
        <v>8</v>
      </c>
      <c r="E60" s="158" t="s">
        <v>95</v>
      </c>
      <c r="F60" s="204">
        <v>282</v>
      </c>
      <c r="G60" s="230">
        <v>277.8</v>
      </c>
      <c r="H60" s="230">
        <v>4.2</v>
      </c>
      <c r="I60" s="204">
        <v>2750</v>
      </c>
      <c r="J60" s="241">
        <f t="shared" ref="J60:J82" si="19">I60*H60</f>
        <v>11550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43223</v>
      </c>
      <c r="D61" s="161" t="s">
        <v>8</v>
      </c>
      <c r="E61" s="161" t="s">
        <v>78</v>
      </c>
      <c r="F61" s="207">
        <v>1386</v>
      </c>
      <c r="G61" s="222">
        <v>1380</v>
      </c>
      <c r="H61" s="222">
        <v>6</v>
      </c>
      <c r="I61" s="207">
        <v>750</v>
      </c>
      <c r="J61" s="242">
        <f t="shared" si="19"/>
        <v>4500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43224</v>
      </c>
      <c r="D62" s="161" t="s">
        <v>8</v>
      </c>
      <c r="E62" s="161" t="s">
        <v>139</v>
      </c>
      <c r="F62" s="207">
        <v>354</v>
      </c>
      <c r="G62" s="222">
        <v>346.8</v>
      </c>
      <c r="H62" s="222">
        <v>7.2</v>
      </c>
      <c r="I62" s="207">
        <v>1750</v>
      </c>
      <c r="J62" s="242">
        <f t="shared" si="19"/>
        <v>12600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43227</v>
      </c>
      <c r="D63" s="161" t="s">
        <v>8</v>
      </c>
      <c r="E63" s="161" t="s">
        <v>19</v>
      </c>
      <c r="F63" s="222">
        <v>243.3</v>
      </c>
      <c r="G63" s="222">
        <v>246.3</v>
      </c>
      <c r="H63" s="222">
        <v>-3</v>
      </c>
      <c r="I63" s="207">
        <v>3000</v>
      </c>
      <c r="J63" s="242">
        <f t="shared" si="19"/>
        <v>-9000</v>
      </c>
      <c r="K63" s="153"/>
      <c r="V63" s="25">
        <f t="shared" si="20"/>
        <v>0</v>
      </c>
      <c r="W63" s="25">
        <f t="shared" si="21"/>
        <v>1</v>
      </c>
    </row>
    <row r="64" spans="1:23" x14ac:dyDescent="0.3">
      <c r="A64" s="147"/>
      <c r="B64" s="205">
        <f t="shared" si="22"/>
        <v>5</v>
      </c>
      <c r="C64" s="206">
        <v>43228</v>
      </c>
      <c r="D64" s="161" t="s">
        <v>8</v>
      </c>
      <c r="E64" s="161" t="s">
        <v>19</v>
      </c>
      <c r="F64" s="207">
        <v>245</v>
      </c>
      <c r="G64" s="222">
        <v>248</v>
      </c>
      <c r="H64" s="222">
        <v>-3</v>
      </c>
      <c r="I64" s="207">
        <v>3000</v>
      </c>
      <c r="J64" s="242">
        <f t="shared" si="19"/>
        <v>-9000</v>
      </c>
      <c r="K64" s="153"/>
      <c r="V64" s="25">
        <f t="shared" si="20"/>
        <v>0</v>
      </c>
      <c r="W64" s="25">
        <f t="shared" si="21"/>
        <v>1</v>
      </c>
    </row>
    <row r="65" spans="1:23" x14ac:dyDescent="0.3">
      <c r="A65" s="147"/>
      <c r="B65" s="205">
        <f t="shared" si="22"/>
        <v>6</v>
      </c>
      <c r="C65" s="206">
        <v>43229</v>
      </c>
      <c r="D65" s="161" t="s">
        <v>8</v>
      </c>
      <c r="E65" s="161" t="s">
        <v>796</v>
      </c>
      <c r="F65" s="207">
        <v>1060</v>
      </c>
      <c r="G65" s="222">
        <v>1050</v>
      </c>
      <c r="H65" s="222">
        <v>10</v>
      </c>
      <c r="I65" s="207">
        <v>500</v>
      </c>
      <c r="J65" s="242">
        <f t="shared" si="19"/>
        <v>5000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43230</v>
      </c>
      <c r="D66" s="161" t="s">
        <v>8</v>
      </c>
      <c r="E66" s="161" t="s">
        <v>2023</v>
      </c>
      <c r="F66" s="207">
        <v>1850</v>
      </c>
      <c r="G66" s="222">
        <v>1828</v>
      </c>
      <c r="H66" s="222">
        <v>22</v>
      </c>
      <c r="I66" s="207">
        <v>500</v>
      </c>
      <c r="J66" s="242">
        <f t="shared" si="19"/>
        <v>11000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43231</v>
      </c>
      <c r="D67" s="161" t="s">
        <v>8</v>
      </c>
      <c r="E67" s="161" t="s">
        <v>19</v>
      </c>
      <c r="F67" s="207">
        <v>246</v>
      </c>
      <c r="G67" s="222">
        <v>249</v>
      </c>
      <c r="H67" s="222">
        <v>-3</v>
      </c>
      <c r="I67" s="207">
        <v>3000</v>
      </c>
      <c r="J67" s="242">
        <f t="shared" si="19"/>
        <v>-9000</v>
      </c>
      <c r="K67" s="153"/>
      <c r="V67" s="25">
        <f t="shared" si="20"/>
        <v>0</v>
      </c>
      <c r="W67" s="25">
        <f t="shared" si="21"/>
        <v>1</v>
      </c>
    </row>
    <row r="68" spans="1:23" x14ac:dyDescent="0.3">
      <c r="A68" s="147"/>
      <c r="B68" s="205">
        <f t="shared" si="22"/>
        <v>9</v>
      </c>
      <c r="C68" s="206">
        <v>43234</v>
      </c>
      <c r="D68" s="161" t="s">
        <v>9</v>
      </c>
      <c r="E68" s="161" t="s">
        <v>2023</v>
      </c>
      <c r="F68" s="222">
        <v>1880</v>
      </c>
      <c r="G68" s="222">
        <v>1888</v>
      </c>
      <c r="H68" s="222">
        <v>8</v>
      </c>
      <c r="I68" s="207">
        <v>500</v>
      </c>
      <c r="J68" s="242">
        <f t="shared" si="19"/>
        <v>4000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43235</v>
      </c>
      <c r="D69" s="161" t="s">
        <v>8</v>
      </c>
      <c r="E69" s="161" t="s">
        <v>124</v>
      </c>
      <c r="F69" s="222">
        <v>320</v>
      </c>
      <c r="G69" s="222">
        <v>312</v>
      </c>
      <c r="H69" s="222">
        <v>8</v>
      </c>
      <c r="I69" s="207">
        <v>1500</v>
      </c>
      <c r="J69" s="242">
        <f t="shared" si="19"/>
        <v>12000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43236</v>
      </c>
      <c r="D70" s="161" t="s">
        <v>8</v>
      </c>
      <c r="E70" s="161" t="s">
        <v>2023</v>
      </c>
      <c r="F70" s="222">
        <v>1890</v>
      </c>
      <c r="G70" s="222">
        <v>1883</v>
      </c>
      <c r="H70" s="222">
        <v>7</v>
      </c>
      <c r="I70" s="207">
        <v>500</v>
      </c>
      <c r="J70" s="242">
        <f t="shared" si="19"/>
        <v>3500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43237</v>
      </c>
      <c r="D71" s="161" t="s">
        <v>8</v>
      </c>
      <c r="E71" s="161" t="s">
        <v>796</v>
      </c>
      <c r="F71" s="222">
        <v>1025</v>
      </c>
      <c r="G71" s="222">
        <v>1015</v>
      </c>
      <c r="H71" s="222">
        <v>10</v>
      </c>
      <c r="I71" s="207">
        <v>500</v>
      </c>
      <c r="J71" s="242">
        <f t="shared" si="19"/>
        <v>5000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43238</v>
      </c>
      <c r="D72" s="161" t="s">
        <v>8</v>
      </c>
      <c r="E72" s="161" t="s">
        <v>95</v>
      </c>
      <c r="F72" s="222">
        <v>291</v>
      </c>
      <c r="G72" s="222">
        <v>286</v>
      </c>
      <c r="H72" s="222">
        <v>5</v>
      </c>
      <c r="I72" s="207">
        <v>2750</v>
      </c>
      <c r="J72" s="242">
        <f t="shared" si="19"/>
        <v>13750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43241</v>
      </c>
      <c r="D73" s="161" t="s">
        <v>8</v>
      </c>
      <c r="E73" s="161" t="s">
        <v>2023</v>
      </c>
      <c r="F73" s="223">
        <v>2130</v>
      </c>
      <c r="G73" s="222">
        <v>2090</v>
      </c>
      <c r="H73" s="255">
        <v>40</v>
      </c>
      <c r="I73" s="207">
        <v>500</v>
      </c>
      <c r="J73" s="242">
        <f t="shared" si="19"/>
        <v>20000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43242</v>
      </c>
      <c r="D74" s="161" t="s">
        <v>8</v>
      </c>
      <c r="E74" s="161" t="s">
        <v>95</v>
      </c>
      <c r="F74" s="222">
        <v>293.5</v>
      </c>
      <c r="G74" s="222">
        <v>290.5</v>
      </c>
      <c r="H74" s="255">
        <v>3</v>
      </c>
      <c r="I74" s="207">
        <v>2750</v>
      </c>
      <c r="J74" s="242">
        <f t="shared" si="19"/>
        <v>8250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43243</v>
      </c>
      <c r="D75" s="161" t="s">
        <v>8</v>
      </c>
      <c r="E75" s="161" t="s">
        <v>2023</v>
      </c>
      <c r="F75" s="222">
        <v>2115</v>
      </c>
      <c r="G75" s="222">
        <v>2135</v>
      </c>
      <c r="H75" s="222">
        <v>-20</v>
      </c>
      <c r="I75" s="207">
        <v>500</v>
      </c>
      <c r="J75" s="242">
        <f t="shared" si="19"/>
        <v>-10000</v>
      </c>
      <c r="K75" s="153"/>
      <c r="V75" s="25">
        <f t="shared" si="20"/>
        <v>0</v>
      </c>
      <c r="W75" s="25">
        <f t="shared" si="21"/>
        <v>1</v>
      </c>
    </row>
    <row r="76" spans="1:23" x14ac:dyDescent="0.3">
      <c r="A76" s="147"/>
      <c r="B76" s="205">
        <f t="shared" si="22"/>
        <v>17</v>
      </c>
      <c r="C76" s="206">
        <v>43244</v>
      </c>
      <c r="D76" s="161" t="s">
        <v>8</v>
      </c>
      <c r="E76" s="161" t="s">
        <v>2495</v>
      </c>
      <c r="F76" s="222">
        <v>2755</v>
      </c>
      <c r="G76" s="222">
        <v>2726</v>
      </c>
      <c r="H76" s="222">
        <v>29</v>
      </c>
      <c r="I76" s="207">
        <v>250</v>
      </c>
      <c r="J76" s="242">
        <f t="shared" si="19"/>
        <v>7250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43245</v>
      </c>
      <c r="D77" s="161" t="s">
        <v>8</v>
      </c>
      <c r="E77" s="161" t="s">
        <v>78</v>
      </c>
      <c r="F77" s="222">
        <v>1337</v>
      </c>
      <c r="G77" s="222">
        <v>1347</v>
      </c>
      <c r="H77" s="222">
        <v>-10</v>
      </c>
      <c r="I77" s="207">
        <v>750</v>
      </c>
      <c r="J77" s="242">
        <f t="shared" si="19"/>
        <v>-7500</v>
      </c>
      <c r="K77" s="153"/>
      <c r="V77" s="25">
        <f t="shared" si="20"/>
        <v>0</v>
      </c>
      <c r="W77" s="25">
        <f t="shared" si="21"/>
        <v>1</v>
      </c>
    </row>
    <row r="78" spans="1:23" x14ac:dyDescent="0.3">
      <c r="A78" s="147"/>
      <c r="B78" s="205">
        <f t="shared" si="22"/>
        <v>19</v>
      </c>
      <c r="C78" s="206">
        <v>43248</v>
      </c>
      <c r="D78" s="161" t="s">
        <v>9</v>
      </c>
      <c r="E78" s="161" t="s">
        <v>395</v>
      </c>
      <c r="F78" s="222">
        <v>1995</v>
      </c>
      <c r="G78" s="222">
        <v>2015</v>
      </c>
      <c r="H78" s="222">
        <v>20</v>
      </c>
      <c r="I78" s="207">
        <v>250</v>
      </c>
      <c r="J78" s="242">
        <f t="shared" si="19"/>
        <v>5000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43249</v>
      </c>
      <c r="D79" s="161" t="s">
        <v>8</v>
      </c>
      <c r="E79" s="161" t="s">
        <v>95</v>
      </c>
      <c r="F79" s="222">
        <v>295</v>
      </c>
      <c r="G79" s="222">
        <v>289</v>
      </c>
      <c r="H79" s="222">
        <v>6</v>
      </c>
      <c r="I79" s="207">
        <v>2750</v>
      </c>
      <c r="J79" s="242">
        <f t="shared" si="19"/>
        <v>16500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43250</v>
      </c>
      <c r="D80" s="161" t="s">
        <v>8</v>
      </c>
      <c r="E80" s="161" t="s">
        <v>95</v>
      </c>
      <c r="F80" s="222">
        <v>285</v>
      </c>
      <c r="G80" s="222">
        <v>283.89999999999998</v>
      </c>
      <c r="H80" s="222">
        <v>1.1000000000000001</v>
      </c>
      <c r="I80" s="207">
        <v>2750</v>
      </c>
      <c r="J80" s="242">
        <f t="shared" si="19"/>
        <v>3025.0000000000005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43251</v>
      </c>
      <c r="D81" s="161" t="s">
        <v>8</v>
      </c>
      <c r="E81" s="161" t="s">
        <v>502</v>
      </c>
      <c r="F81" s="222">
        <v>1472</v>
      </c>
      <c r="G81" s="222">
        <v>1452</v>
      </c>
      <c r="H81" s="222">
        <v>20</v>
      </c>
      <c r="I81" s="207">
        <v>600</v>
      </c>
      <c r="J81" s="242">
        <f t="shared" si="19"/>
        <v>12000</v>
      </c>
      <c r="K81" s="153"/>
      <c r="V81" s="25">
        <f t="shared" si="20"/>
        <v>1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110425</v>
      </c>
      <c r="K83" s="153"/>
      <c r="V83" s="25">
        <f>SUM(V60:V82)</f>
        <v>17</v>
      </c>
      <c r="W83" s="25">
        <f>SUM(W60:W82)</f>
        <v>5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2498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43222</v>
      </c>
      <c r="D91" s="185" t="s">
        <v>8</v>
      </c>
      <c r="E91" s="185" t="s">
        <v>39</v>
      </c>
      <c r="F91" s="219">
        <v>10760</v>
      </c>
      <c r="G91" s="219">
        <v>10717</v>
      </c>
      <c r="H91" s="185">
        <v>43</v>
      </c>
      <c r="I91" s="219">
        <v>150</v>
      </c>
      <c r="J91" s="246">
        <f t="shared" ref="J91:J113" si="23">I91*H91</f>
        <v>6450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43223</v>
      </c>
      <c r="D92" s="161" t="s">
        <v>8</v>
      </c>
      <c r="E92" s="161" t="s">
        <v>39</v>
      </c>
      <c r="F92" s="207">
        <v>10690</v>
      </c>
      <c r="G92" s="207">
        <v>10675</v>
      </c>
      <c r="H92" s="161">
        <v>15</v>
      </c>
      <c r="I92" s="207">
        <v>150</v>
      </c>
      <c r="J92" s="242">
        <f t="shared" si="23"/>
        <v>2250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43224</v>
      </c>
      <c r="D93" s="161" t="s">
        <v>8</v>
      </c>
      <c r="E93" s="161" t="s">
        <v>39</v>
      </c>
      <c r="F93" s="207">
        <v>10680</v>
      </c>
      <c r="G93" s="207">
        <v>10640</v>
      </c>
      <c r="H93" s="161">
        <v>40</v>
      </c>
      <c r="I93" s="207">
        <v>150</v>
      </c>
      <c r="J93" s="242">
        <f t="shared" si="23"/>
        <v>6000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43227</v>
      </c>
      <c r="D94" s="161" t="s">
        <v>8</v>
      </c>
      <c r="E94" s="161" t="s">
        <v>39</v>
      </c>
      <c r="F94" s="207">
        <v>10675</v>
      </c>
      <c r="G94" s="207">
        <v>10705</v>
      </c>
      <c r="H94" s="161">
        <v>-30</v>
      </c>
      <c r="I94" s="207">
        <v>150</v>
      </c>
      <c r="J94" s="242">
        <f t="shared" si="23"/>
        <v>-4500</v>
      </c>
      <c r="K94" s="153"/>
      <c r="V94" s="25">
        <f t="shared" si="24"/>
        <v>0</v>
      </c>
      <c r="W94" s="25">
        <f t="shared" si="25"/>
        <v>1</v>
      </c>
    </row>
    <row r="95" spans="1:23" x14ac:dyDescent="0.3">
      <c r="A95" s="147"/>
      <c r="B95" s="205">
        <f t="shared" si="26"/>
        <v>5</v>
      </c>
      <c r="C95" s="206">
        <v>43228</v>
      </c>
      <c r="D95" s="161" t="s">
        <v>8</v>
      </c>
      <c r="E95" s="161" t="s">
        <v>39</v>
      </c>
      <c r="F95" s="207">
        <v>10740</v>
      </c>
      <c r="G95" s="207">
        <v>10680</v>
      </c>
      <c r="H95" s="161">
        <v>60</v>
      </c>
      <c r="I95" s="207">
        <v>150</v>
      </c>
      <c r="J95" s="242">
        <f t="shared" si="23"/>
        <v>9000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6</v>
      </c>
      <c r="C96" s="206">
        <v>43229</v>
      </c>
      <c r="D96" s="161" t="s">
        <v>9</v>
      </c>
      <c r="E96" s="161" t="s">
        <v>39</v>
      </c>
      <c r="F96" s="207">
        <v>10730</v>
      </c>
      <c r="G96" s="207">
        <v>10775</v>
      </c>
      <c r="H96" s="161">
        <v>45</v>
      </c>
      <c r="I96" s="207">
        <v>150</v>
      </c>
      <c r="J96" s="242">
        <f t="shared" si="23"/>
        <v>6750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43230</v>
      </c>
      <c r="D97" s="161" t="s">
        <v>8</v>
      </c>
      <c r="E97" s="161" t="s">
        <v>39</v>
      </c>
      <c r="F97" s="207">
        <v>10770</v>
      </c>
      <c r="G97" s="207">
        <v>10730</v>
      </c>
      <c r="H97" s="161">
        <v>40</v>
      </c>
      <c r="I97" s="207">
        <v>150</v>
      </c>
      <c r="J97" s="242">
        <f t="shared" si="23"/>
        <v>6000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43231</v>
      </c>
      <c r="D98" s="161" t="s">
        <v>8</v>
      </c>
      <c r="E98" s="161" t="s">
        <v>39</v>
      </c>
      <c r="F98" s="207">
        <v>10745</v>
      </c>
      <c r="G98" s="207">
        <v>10775</v>
      </c>
      <c r="H98" s="161">
        <v>-30</v>
      </c>
      <c r="I98" s="207">
        <v>150</v>
      </c>
      <c r="J98" s="242">
        <f t="shared" si="23"/>
        <v>-4500</v>
      </c>
      <c r="K98" s="153"/>
      <c r="V98" s="25">
        <f t="shared" si="24"/>
        <v>0</v>
      </c>
      <c r="W98" s="25">
        <f t="shared" si="25"/>
        <v>1</v>
      </c>
    </row>
    <row r="99" spans="1:23" x14ac:dyDescent="0.3">
      <c r="A99" s="147"/>
      <c r="B99" s="205">
        <f t="shared" si="26"/>
        <v>9</v>
      </c>
      <c r="C99" s="206">
        <v>43234</v>
      </c>
      <c r="D99" s="161" t="s">
        <v>9</v>
      </c>
      <c r="E99" s="161" t="s">
        <v>39</v>
      </c>
      <c r="F99" s="207">
        <v>10840</v>
      </c>
      <c r="G99" s="207">
        <v>10810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43235</v>
      </c>
      <c r="D100" s="161" t="s">
        <v>9</v>
      </c>
      <c r="E100" s="161" t="s">
        <v>39</v>
      </c>
      <c r="F100" s="207">
        <v>10910</v>
      </c>
      <c r="G100" s="207">
        <v>10927</v>
      </c>
      <c r="H100" s="161">
        <v>17</v>
      </c>
      <c r="I100" s="207">
        <v>150</v>
      </c>
      <c r="J100" s="242">
        <f t="shared" si="23"/>
        <v>2550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43236</v>
      </c>
      <c r="D101" s="161" t="s">
        <v>8</v>
      </c>
      <c r="E101" s="161" t="s">
        <v>39</v>
      </c>
      <c r="F101" s="207">
        <v>10740</v>
      </c>
      <c r="G101" s="207">
        <v>10725</v>
      </c>
      <c r="H101" s="161">
        <v>15</v>
      </c>
      <c r="I101" s="207">
        <v>150</v>
      </c>
      <c r="J101" s="242">
        <f t="shared" si="23"/>
        <v>2250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43237</v>
      </c>
      <c r="D102" s="161" t="s">
        <v>8</v>
      </c>
      <c r="E102" s="161" t="s">
        <v>39</v>
      </c>
      <c r="F102" s="207">
        <v>10740</v>
      </c>
      <c r="G102" s="207">
        <v>10690</v>
      </c>
      <c r="H102" s="161">
        <v>50</v>
      </c>
      <c r="I102" s="207">
        <v>150</v>
      </c>
      <c r="J102" s="242">
        <f t="shared" si="23"/>
        <v>7500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13</v>
      </c>
      <c r="C103" s="206">
        <v>43238</v>
      </c>
      <c r="D103" s="161" t="s">
        <v>8</v>
      </c>
      <c r="E103" s="161" t="s">
        <v>39</v>
      </c>
      <c r="F103" s="207">
        <v>10660</v>
      </c>
      <c r="G103" s="207">
        <v>10600</v>
      </c>
      <c r="H103" s="161">
        <v>60</v>
      </c>
      <c r="I103" s="207">
        <v>150</v>
      </c>
      <c r="J103" s="242">
        <f t="shared" si="23"/>
        <v>9000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43241</v>
      </c>
      <c r="D104" s="161" t="s">
        <v>8</v>
      </c>
      <c r="E104" s="161" t="s">
        <v>39</v>
      </c>
      <c r="F104" s="207">
        <v>10595</v>
      </c>
      <c r="G104" s="207">
        <v>10535</v>
      </c>
      <c r="H104" s="161">
        <v>60</v>
      </c>
      <c r="I104" s="207">
        <v>150</v>
      </c>
      <c r="J104" s="242">
        <f t="shared" si="23"/>
        <v>9000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15</v>
      </c>
      <c r="C105" s="206">
        <v>43242</v>
      </c>
      <c r="D105" s="161" t="s">
        <v>8</v>
      </c>
      <c r="E105" s="161" t="s">
        <v>39</v>
      </c>
      <c r="F105" s="207">
        <v>10520</v>
      </c>
      <c r="G105" s="207">
        <v>10550</v>
      </c>
      <c r="H105" s="161">
        <v>-30</v>
      </c>
      <c r="I105" s="207">
        <v>150</v>
      </c>
      <c r="J105" s="242">
        <f t="shared" si="23"/>
        <v>-4500</v>
      </c>
      <c r="K105" s="153"/>
      <c r="V105" s="25">
        <f t="shared" si="24"/>
        <v>0</v>
      </c>
      <c r="W105" s="25">
        <f t="shared" si="25"/>
        <v>1</v>
      </c>
    </row>
    <row r="106" spans="1:23" x14ac:dyDescent="0.3">
      <c r="A106" s="147"/>
      <c r="B106" s="205">
        <f t="shared" si="26"/>
        <v>16</v>
      </c>
      <c r="C106" s="206">
        <v>43243</v>
      </c>
      <c r="D106" s="161" t="s">
        <v>8</v>
      </c>
      <c r="E106" s="161" t="s">
        <v>39</v>
      </c>
      <c r="F106" s="207">
        <v>10500</v>
      </c>
      <c r="G106" s="207">
        <v>10440</v>
      </c>
      <c r="H106" s="161">
        <v>60</v>
      </c>
      <c r="I106" s="207">
        <v>150</v>
      </c>
      <c r="J106" s="242">
        <f t="shared" si="23"/>
        <v>9000</v>
      </c>
      <c r="K106" s="153"/>
      <c r="V106" s="25">
        <f t="shared" si="24"/>
        <v>1</v>
      </c>
      <c r="W106" s="25">
        <f t="shared" si="25"/>
        <v>0</v>
      </c>
    </row>
    <row r="107" spans="1:23" x14ac:dyDescent="0.3">
      <c r="A107" s="147"/>
      <c r="B107" s="205">
        <f t="shared" si="26"/>
        <v>17</v>
      </c>
      <c r="C107" s="206">
        <v>43244</v>
      </c>
      <c r="D107" s="161" t="s">
        <v>8</v>
      </c>
      <c r="E107" s="161" t="s">
        <v>39</v>
      </c>
      <c r="F107" s="207">
        <v>10450</v>
      </c>
      <c r="G107" s="207">
        <v>10480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18</v>
      </c>
      <c r="C108" s="206">
        <v>43245</v>
      </c>
      <c r="D108" s="161" t="s">
        <v>8</v>
      </c>
      <c r="E108" s="161" t="s">
        <v>39</v>
      </c>
      <c r="F108" s="207">
        <v>10580</v>
      </c>
      <c r="G108" s="207">
        <v>10565</v>
      </c>
      <c r="H108" s="161">
        <v>15</v>
      </c>
      <c r="I108" s="207">
        <v>150</v>
      </c>
      <c r="J108" s="242">
        <f t="shared" si="23"/>
        <v>2250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43248</v>
      </c>
      <c r="D109" s="161" t="s">
        <v>9</v>
      </c>
      <c r="E109" s="161" t="s">
        <v>39</v>
      </c>
      <c r="F109" s="207">
        <v>10665</v>
      </c>
      <c r="G109" s="207">
        <v>10695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20</v>
      </c>
      <c r="C110" s="206">
        <v>43249</v>
      </c>
      <c r="D110" s="161" t="s">
        <v>8</v>
      </c>
      <c r="E110" s="161" t="s">
        <v>39</v>
      </c>
      <c r="F110" s="207">
        <v>10675</v>
      </c>
      <c r="G110" s="207">
        <v>10615</v>
      </c>
      <c r="H110" s="161">
        <v>60</v>
      </c>
      <c r="I110" s="207">
        <v>150</v>
      </c>
      <c r="J110" s="242">
        <f t="shared" si="23"/>
        <v>9000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21</v>
      </c>
      <c r="C111" s="206">
        <v>43250</v>
      </c>
      <c r="D111" s="161" t="s">
        <v>8</v>
      </c>
      <c r="E111" s="161" t="s">
        <v>39</v>
      </c>
      <c r="F111" s="207">
        <v>10570</v>
      </c>
      <c r="G111" s="207">
        <v>10555</v>
      </c>
      <c r="H111" s="161">
        <v>15</v>
      </c>
      <c r="I111" s="207">
        <v>150</v>
      </c>
      <c r="J111" s="242">
        <f t="shared" si="23"/>
        <v>2250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>
        <v>43251</v>
      </c>
      <c r="D112" s="161" t="s">
        <v>9</v>
      </c>
      <c r="E112" s="161" t="s">
        <v>39</v>
      </c>
      <c r="F112" s="207">
        <v>10640</v>
      </c>
      <c r="G112" s="207">
        <v>10700</v>
      </c>
      <c r="H112" s="161">
        <v>60</v>
      </c>
      <c r="I112" s="207">
        <v>150</v>
      </c>
      <c r="J112" s="242">
        <f t="shared" si="23"/>
        <v>9000</v>
      </c>
      <c r="K112" s="153"/>
      <c r="V112" s="25">
        <f t="shared" si="24"/>
        <v>1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80250</v>
      </c>
      <c r="K114" s="153"/>
      <c r="V114" s="25">
        <f>SUM(V91:V113)</f>
        <v>17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2498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43222</v>
      </c>
      <c r="D122" s="185" t="s">
        <v>9</v>
      </c>
      <c r="E122" s="185" t="s">
        <v>2429</v>
      </c>
      <c r="F122" s="219">
        <v>160</v>
      </c>
      <c r="G122" s="219">
        <v>180</v>
      </c>
      <c r="H122" s="185">
        <v>20</v>
      </c>
      <c r="I122" s="219">
        <v>300</v>
      </c>
      <c r="J122" s="246">
        <f t="shared" ref="J122:J144" si="27">I122*H122</f>
        <v>6000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43223</v>
      </c>
      <c r="D123" s="161" t="s">
        <v>9</v>
      </c>
      <c r="E123" s="161" t="s">
        <v>2423</v>
      </c>
      <c r="F123" s="207">
        <v>143</v>
      </c>
      <c r="G123" s="207">
        <v>154</v>
      </c>
      <c r="H123" s="161">
        <v>11</v>
      </c>
      <c r="I123" s="207">
        <v>300</v>
      </c>
      <c r="J123" s="242">
        <f t="shared" si="27"/>
        <v>3300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43224</v>
      </c>
      <c r="D124" s="161" t="s">
        <v>9</v>
      </c>
      <c r="E124" s="161" t="s">
        <v>2423</v>
      </c>
      <c r="F124" s="207">
        <v>150</v>
      </c>
      <c r="G124" s="207">
        <v>167</v>
      </c>
      <c r="H124" s="161">
        <v>17</v>
      </c>
      <c r="I124" s="207">
        <v>300</v>
      </c>
      <c r="J124" s="242">
        <f t="shared" si="27"/>
        <v>5100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43227</v>
      </c>
      <c r="D125" s="161" t="s">
        <v>9</v>
      </c>
      <c r="E125" s="161" t="s">
        <v>2423</v>
      </c>
      <c r="F125" s="207">
        <v>148</v>
      </c>
      <c r="G125" s="207">
        <v>128</v>
      </c>
      <c r="H125" s="161">
        <v>-20</v>
      </c>
      <c r="I125" s="207">
        <v>300</v>
      </c>
      <c r="J125" s="242">
        <f t="shared" si="27"/>
        <v>-6000</v>
      </c>
      <c r="K125" s="153"/>
      <c r="V125" s="25">
        <f t="shared" si="28"/>
        <v>0</v>
      </c>
      <c r="W125" s="25">
        <f t="shared" si="29"/>
        <v>1</v>
      </c>
    </row>
    <row r="126" spans="1:23" x14ac:dyDescent="0.3">
      <c r="A126" s="147"/>
      <c r="B126" s="205">
        <f t="shared" si="30"/>
        <v>5</v>
      </c>
      <c r="C126" s="206">
        <v>43228</v>
      </c>
      <c r="D126" s="161" t="s">
        <v>9</v>
      </c>
      <c r="E126" s="161" t="s">
        <v>2423</v>
      </c>
      <c r="F126" s="207">
        <v>123</v>
      </c>
      <c r="G126" s="207">
        <v>133</v>
      </c>
      <c r="H126" s="161">
        <v>20</v>
      </c>
      <c r="I126" s="207">
        <v>300</v>
      </c>
      <c r="J126" s="242">
        <f t="shared" si="27"/>
        <v>6000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43229</v>
      </c>
      <c r="D127" s="161" t="s">
        <v>9</v>
      </c>
      <c r="E127" s="161" t="s">
        <v>2486</v>
      </c>
      <c r="F127" s="207">
        <v>160</v>
      </c>
      <c r="G127" s="207">
        <v>189</v>
      </c>
      <c r="H127" s="161">
        <v>29</v>
      </c>
      <c r="I127" s="207">
        <v>300</v>
      </c>
      <c r="J127" s="242">
        <f t="shared" si="27"/>
        <v>8700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7</v>
      </c>
      <c r="C128" s="206">
        <v>43230</v>
      </c>
      <c r="D128" s="161" t="s">
        <v>9</v>
      </c>
      <c r="E128" s="161" t="s">
        <v>2429</v>
      </c>
      <c r="F128" s="207">
        <v>153</v>
      </c>
      <c r="G128" s="207">
        <v>173</v>
      </c>
      <c r="H128" s="161">
        <v>20</v>
      </c>
      <c r="I128" s="207">
        <v>300</v>
      </c>
      <c r="J128" s="242">
        <f t="shared" si="27"/>
        <v>6000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43231</v>
      </c>
      <c r="D129" s="161" t="s">
        <v>9</v>
      </c>
      <c r="E129" s="161" t="s">
        <v>2429</v>
      </c>
      <c r="F129" s="207">
        <v>160</v>
      </c>
      <c r="G129" s="207">
        <v>140</v>
      </c>
      <c r="H129" s="161">
        <v>-20</v>
      </c>
      <c r="I129" s="207">
        <v>300</v>
      </c>
      <c r="J129" s="242">
        <f t="shared" si="27"/>
        <v>-6000</v>
      </c>
      <c r="K129" s="153"/>
      <c r="V129" s="25">
        <f t="shared" si="28"/>
        <v>0</v>
      </c>
      <c r="W129" s="25">
        <f t="shared" si="29"/>
        <v>1</v>
      </c>
    </row>
    <row r="130" spans="1:23" x14ac:dyDescent="0.3">
      <c r="A130" s="147"/>
      <c r="B130" s="205">
        <f t="shared" si="30"/>
        <v>9</v>
      </c>
      <c r="C130" s="206">
        <v>43234</v>
      </c>
      <c r="D130" s="161" t="s">
        <v>9</v>
      </c>
      <c r="E130" s="161" t="s">
        <v>2434</v>
      </c>
      <c r="F130" s="207">
        <v>145</v>
      </c>
      <c r="G130" s="207">
        <v>125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43235</v>
      </c>
      <c r="D131" s="161" t="s">
        <v>9</v>
      </c>
      <c r="E131" s="161" t="s">
        <v>2440</v>
      </c>
      <c r="F131" s="207">
        <v>105</v>
      </c>
      <c r="G131" s="207">
        <v>85</v>
      </c>
      <c r="H131" s="161">
        <v>-20</v>
      </c>
      <c r="I131" s="207">
        <v>300</v>
      </c>
      <c r="J131" s="242">
        <f t="shared" si="27"/>
        <v>-6000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11</v>
      </c>
      <c r="C132" s="206">
        <v>43236</v>
      </c>
      <c r="D132" s="161" t="s">
        <v>9</v>
      </c>
      <c r="E132" s="161" t="s">
        <v>2429</v>
      </c>
      <c r="F132" s="207">
        <v>133</v>
      </c>
      <c r="G132" s="207">
        <v>113</v>
      </c>
      <c r="H132" s="161">
        <v>-20</v>
      </c>
      <c r="I132" s="207">
        <v>300</v>
      </c>
      <c r="J132" s="242">
        <f t="shared" si="27"/>
        <v>-6000</v>
      </c>
      <c r="K132" s="153"/>
      <c r="V132" s="25">
        <f t="shared" si="28"/>
        <v>0</v>
      </c>
      <c r="W132" s="25">
        <f t="shared" si="29"/>
        <v>1</v>
      </c>
    </row>
    <row r="133" spans="1:23" x14ac:dyDescent="0.3">
      <c r="A133" s="147"/>
      <c r="B133" s="205">
        <f t="shared" si="30"/>
        <v>12</v>
      </c>
      <c r="C133" s="206">
        <v>43237</v>
      </c>
      <c r="D133" s="161" t="s">
        <v>9</v>
      </c>
      <c r="E133" s="161" t="s">
        <v>2429</v>
      </c>
      <c r="F133" s="207">
        <v>125</v>
      </c>
      <c r="G133" s="207">
        <v>155</v>
      </c>
      <c r="H133" s="161">
        <v>30</v>
      </c>
      <c r="I133" s="207">
        <v>300</v>
      </c>
      <c r="J133" s="242">
        <f t="shared" si="27"/>
        <v>9000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13</v>
      </c>
      <c r="C134" s="206">
        <v>43238</v>
      </c>
      <c r="D134" s="161" t="s">
        <v>9</v>
      </c>
      <c r="E134" s="161" t="s">
        <v>2423</v>
      </c>
      <c r="F134" s="207">
        <v>113</v>
      </c>
      <c r="G134" s="207">
        <v>153</v>
      </c>
      <c r="H134" s="161">
        <v>40</v>
      </c>
      <c r="I134" s="207">
        <v>300</v>
      </c>
      <c r="J134" s="242">
        <f t="shared" si="27"/>
        <v>12000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43241</v>
      </c>
      <c r="D135" s="161" t="s">
        <v>9</v>
      </c>
      <c r="E135" s="161" t="s">
        <v>2423</v>
      </c>
      <c r="F135" s="207">
        <v>145</v>
      </c>
      <c r="G135" s="207">
        <v>185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0"/>
        <v>15</v>
      </c>
      <c r="C136" s="206">
        <v>43242</v>
      </c>
      <c r="D136" s="161" t="s">
        <v>9</v>
      </c>
      <c r="E136" s="161" t="s">
        <v>2412</v>
      </c>
      <c r="F136" s="207">
        <v>130</v>
      </c>
      <c r="G136" s="207">
        <v>110</v>
      </c>
      <c r="H136" s="161">
        <v>-20</v>
      </c>
      <c r="I136" s="207">
        <v>300</v>
      </c>
      <c r="J136" s="242">
        <f t="shared" si="27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30"/>
        <v>16</v>
      </c>
      <c r="C137" s="206">
        <v>43243</v>
      </c>
      <c r="D137" s="161" t="s">
        <v>9</v>
      </c>
      <c r="E137" s="161" t="s">
        <v>2412</v>
      </c>
      <c r="F137" s="207">
        <v>125</v>
      </c>
      <c r="G137" s="207">
        <v>165</v>
      </c>
      <c r="H137" s="161">
        <v>40</v>
      </c>
      <c r="I137" s="207">
        <v>300</v>
      </c>
      <c r="J137" s="242">
        <f t="shared" si="27"/>
        <v>12000</v>
      </c>
      <c r="K137" s="153"/>
      <c r="V137" s="25">
        <f t="shared" si="28"/>
        <v>1</v>
      </c>
      <c r="W137" s="25">
        <f t="shared" si="29"/>
        <v>0</v>
      </c>
    </row>
    <row r="138" spans="1:23" x14ac:dyDescent="0.3">
      <c r="A138" s="147"/>
      <c r="B138" s="205">
        <f t="shared" si="30"/>
        <v>17</v>
      </c>
      <c r="C138" s="206">
        <v>43244</v>
      </c>
      <c r="D138" s="161" t="s">
        <v>9</v>
      </c>
      <c r="E138" s="161" t="s">
        <v>2373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27"/>
        <v>-6000</v>
      </c>
      <c r="K138" s="153"/>
      <c r="V138" s="25">
        <f t="shared" si="28"/>
        <v>0</v>
      </c>
      <c r="W138" s="25">
        <f t="shared" si="29"/>
        <v>1</v>
      </c>
    </row>
    <row r="139" spans="1:23" x14ac:dyDescent="0.3">
      <c r="A139" s="147"/>
      <c r="B139" s="205">
        <f t="shared" si="30"/>
        <v>18</v>
      </c>
      <c r="C139" s="206">
        <v>43245</v>
      </c>
      <c r="D139" s="161" t="s">
        <v>9</v>
      </c>
      <c r="E139" s="161" t="s">
        <v>2423</v>
      </c>
      <c r="F139" s="207">
        <v>130</v>
      </c>
      <c r="G139" s="207">
        <v>140</v>
      </c>
      <c r="H139" s="161">
        <v>10</v>
      </c>
      <c r="I139" s="207">
        <v>300</v>
      </c>
      <c r="J139" s="242">
        <f t="shared" si="27"/>
        <v>3000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43248</v>
      </c>
      <c r="D140" s="161" t="s">
        <v>9</v>
      </c>
      <c r="E140" s="161" t="s">
        <v>2499</v>
      </c>
      <c r="F140" s="207">
        <v>85</v>
      </c>
      <c r="G140" s="207">
        <v>105</v>
      </c>
      <c r="H140" s="161">
        <v>20</v>
      </c>
      <c r="I140" s="207">
        <v>300</v>
      </c>
      <c r="J140" s="242">
        <f t="shared" si="27"/>
        <v>6000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20</v>
      </c>
      <c r="C141" s="206">
        <v>43249</v>
      </c>
      <c r="D141" s="161" t="s">
        <v>9</v>
      </c>
      <c r="E141" s="161" t="s">
        <v>2429</v>
      </c>
      <c r="F141" s="207">
        <v>133</v>
      </c>
      <c r="G141" s="207">
        <v>113</v>
      </c>
      <c r="H141" s="161">
        <v>-20</v>
      </c>
      <c r="I141" s="207">
        <v>300</v>
      </c>
      <c r="J141" s="242">
        <f t="shared" si="27"/>
        <v>-6000</v>
      </c>
      <c r="K141" s="153"/>
      <c r="V141" s="25">
        <f t="shared" si="28"/>
        <v>0</v>
      </c>
      <c r="W141" s="25">
        <f t="shared" si="29"/>
        <v>1</v>
      </c>
    </row>
    <row r="142" spans="1:23" x14ac:dyDescent="0.3">
      <c r="A142" s="147"/>
      <c r="B142" s="205">
        <f t="shared" si="30"/>
        <v>21</v>
      </c>
      <c r="C142" s="206">
        <v>43250</v>
      </c>
      <c r="D142" s="161" t="s">
        <v>9</v>
      </c>
      <c r="E142" s="161" t="s">
        <v>2423</v>
      </c>
      <c r="F142" s="207">
        <v>133</v>
      </c>
      <c r="G142" s="207">
        <v>153</v>
      </c>
      <c r="H142" s="161">
        <v>20</v>
      </c>
      <c r="I142" s="207">
        <v>300</v>
      </c>
      <c r="J142" s="242">
        <f t="shared" si="27"/>
        <v>6000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>
        <v>43251</v>
      </c>
      <c r="D143" s="161" t="s">
        <v>9</v>
      </c>
      <c r="E143" s="161" t="s">
        <v>2499</v>
      </c>
      <c r="F143" s="207">
        <v>55</v>
      </c>
      <c r="G143" s="207">
        <v>90</v>
      </c>
      <c r="H143" s="161">
        <v>35</v>
      </c>
      <c r="I143" s="207">
        <v>300</v>
      </c>
      <c r="J143" s="242">
        <f t="shared" si="27"/>
        <v>10500</v>
      </c>
      <c r="K143" s="153"/>
      <c r="V143" s="25">
        <f t="shared" si="28"/>
        <v>1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57600</v>
      </c>
      <c r="K145" s="153"/>
      <c r="V145" s="25">
        <f>SUM(V122:V144)</f>
        <v>14</v>
      </c>
      <c r="W145" s="25">
        <f>SUM(W122:W144)</f>
        <v>8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2498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43222</v>
      </c>
      <c r="D153" s="185" t="s">
        <v>8</v>
      </c>
      <c r="E153" s="185" t="s">
        <v>301</v>
      </c>
      <c r="F153" s="219">
        <v>25650</v>
      </c>
      <c r="G153" s="219">
        <v>25600</v>
      </c>
      <c r="H153" s="185">
        <v>50</v>
      </c>
      <c r="I153" s="219">
        <v>80</v>
      </c>
      <c r="J153" s="246">
        <f t="shared" ref="J153:J175" si="31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43223</v>
      </c>
      <c r="D154" s="161" t="s">
        <v>8</v>
      </c>
      <c r="E154" s="161" t="s">
        <v>301</v>
      </c>
      <c r="F154" s="207">
        <v>25590</v>
      </c>
      <c r="G154" s="207">
        <v>25690</v>
      </c>
      <c r="H154" s="161">
        <v>-100</v>
      </c>
      <c r="I154" s="207">
        <v>80</v>
      </c>
      <c r="J154" s="242">
        <f t="shared" si="31"/>
        <v>-8000</v>
      </c>
      <c r="K154" s="153"/>
      <c r="V154" s="25">
        <f t="shared" ref="V154:V175" si="32">IF($J154&gt;0,1,0)</f>
        <v>0</v>
      </c>
      <c r="W154" s="25">
        <f t="shared" ref="W154:W175" si="33">IF($J154&lt;0,1,0)</f>
        <v>1</v>
      </c>
    </row>
    <row r="155" spans="1:23" x14ac:dyDescent="0.3">
      <c r="A155" s="147"/>
      <c r="B155" s="205">
        <f t="shared" ref="B155:B175" si="34">B154+1</f>
        <v>3</v>
      </c>
      <c r="C155" s="206">
        <v>43224</v>
      </c>
      <c r="D155" s="161" t="s">
        <v>8</v>
      </c>
      <c r="E155" s="161" t="s">
        <v>301</v>
      </c>
      <c r="F155" s="207">
        <v>25700</v>
      </c>
      <c r="G155" s="207">
        <v>25620</v>
      </c>
      <c r="H155" s="161">
        <v>80</v>
      </c>
      <c r="I155" s="207">
        <v>80</v>
      </c>
      <c r="J155" s="242">
        <f t="shared" si="31"/>
        <v>6400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43227</v>
      </c>
      <c r="D156" s="161" t="s">
        <v>8</v>
      </c>
      <c r="E156" s="161" t="s">
        <v>301</v>
      </c>
      <c r="F156" s="207">
        <v>25770</v>
      </c>
      <c r="G156" s="207">
        <v>25830</v>
      </c>
      <c r="H156" s="161">
        <v>-60</v>
      </c>
      <c r="I156" s="207">
        <v>80</v>
      </c>
      <c r="J156" s="242">
        <f t="shared" si="31"/>
        <v>-4800</v>
      </c>
      <c r="K156" s="153"/>
      <c r="V156" s="25">
        <f t="shared" si="32"/>
        <v>0</v>
      </c>
      <c r="W156" s="25">
        <f t="shared" si="33"/>
        <v>1</v>
      </c>
    </row>
    <row r="157" spans="1:23" x14ac:dyDescent="0.3">
      <c r="A157" s="147"/>
      <c r="B157" s="205">
        <f t="shared" si="34"/>
        <v>5</v>
      </c>
      <c r="C157" s="206">
        <v>43228</v>
      </c>
      <c r="D157" s="161" t="s">
        <v>8</v>
      </c>
      <c r="E157" s="161" t="s">
        <v>301</v>
      </c>
      <c r="F157" s="207">
        <v>25970</v>
      </c>
      <c r="G157" s="207">
        <v>26030</v>
      </c>
      <c r="H157" s="161">
        <v>-60</v>
      </c>
      <c r="I157" s="207">
        <v>80</v>
      </c>
      <c r="J157" s="242">
        <f t="shared" si="31"/>
        <v>-4800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6</v>
      </c>
      <c r="C158" s="206">
        <v>43229</v>
      </c>
      <c r="D158" s="161" t="s">
        <v>8</v>
      </c>
      <c r="E158" s="161" t="s">
        <v>301</v>
      </c>
      <c r="F158" s="207">
        <v>26000</v>
      </c>
      <c r="G158" s="207">
        <v>26150</v>
      </c>
      <c r="H158" s="161">
        <v>150</v>
      </c>
      <c r="I158" s="207">
        <v>80</v>
      </c>
      <c r="J158" s="242">
        <f t="shared" si="31"/>
        <v>12000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43230</v>
      </c>
      <c r="D159" s="161" t="s">
        <v>8</v>
      </c>
      <c r="E159" s="161" t="s">
        <v>301</v>
      </c>
      <c r="F159" s="207">
        <v>26190</v>
      </c>
      <c r="G159" s="207">
        <v>26090</v>
      </c>
      <c r="H159" s="161">
        <v>150</v>
      </c>
      <c r="I159" s="207">
        <v>80</v>
      </c>
      <c r="J159" s="242">
        <f t="shared" si="31"/>
        <v>12000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43231</v>
      </c>
      <c r="D160" s="161" t="s">
        <v>8</v>
      </c>
      <c r="E160" s="161" t="s">
        <v>301</v>
      </c>
      <c r="F160" s="207">
        <v>26100</v>
      </c>
      <c r="G160" s="207">
        <v>26200</v>
      </c>
      <c r="H160" s="161">
        <v>-100</v>
      </c>
      <c r="I160" s="207">
        <v>80</v>
      </c>
      <c r="J160" s="242">
        <f t="shared" si="31"/>
        <v>-8000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9</v>
      </c>
      <c r="C161" s="206">
        <v>43234</v>
      </c>
      <c r="D161" s="161" t="s">
        <v>8</v>
      </c>
      <c r="E161" s="161" t="s">
        <v>301</v>
      </c>
      <c r="F161" s="207">
        <v>26500</v>
      </c>
      <c r="G161" s="207">
        <v>26560</v>
      </c>
      <c r="H161" s="161">
        <v>60</v>
      </c>
      <c r="I161" s="207">
        <v>80</v>
      </c>
      <c r="J161" s="242">
        <f t="shared" si="31"/>
        <v>4800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10</v>
      </c>
      <c r="C162" s="206">
        <v>43235</v>
      </c>
      <c r="D162" s="161" t="s">
        <v>9</v>
      </c>
      <c r="E162" s="161" t="s">
        <v>301</v>
      </c>
      <c r="F162" s="207">
        <v>26850</v>
      </c>
      <c r="G162" s="207">
        <v>26900</v>
      </c>
      <c r="H162" s="161">
        <v>50</v>
      </c>
      <c r="I162" s="207">
        <v>80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43236</v>
      </c>
      <c r="D163" s="161" t="s">
        <v>8</v>
      </c>
      <c r="E163" s="161" t="s">
        <v>301</v>
      </c>
      <c r="F163" s="207">
        <v>26200</v>
      </c>
      <c r="G163" s="207">
        <v>26300</v>
      </c>
      <c r="H163" s="161">
        <v>-100</v>
      </c>
      <c r="I163" s="207">
        <v>80</v>
      </c>
      <c r="J163" s="242">
        <f t="shared" si="31"/>
        <v>-8000</v>
      </c>
      <c r="K163" s="153"/>
      <c r="V163" s="25">
        <f t="shared" si="32"/>
        <v>0</v>
      </c>
      <c r="W163" s="25">
        <f t="shared" si="33"/>
        <v>1</v>
      </c>
    </row>
    <row r="164" spans="1:23" x14ac:dyDescent="0.3">
      <c r="A164" s="147"/>
      <c r="B164" s="205">
        <f t="shared" si="34"/>
        <v>12</v>
      </c>
      <c r="C164" s="206">
        <v>43237</v>
      </c>
      <c r="D164" s="161" t="s">
        <v>8</v>
      </c>
      <c r="E164" s="161" t="s">
        <v>301</v>
      </c>
      <c r="F164" s="207">
        <v>26220</v>
      </c>
      <c r="G164" s="207">
        <v>26070</v>
      </c>
      <c r="H164" s="161">
        <v>150</v>
      </c>
      <c r="I164" s="207">
        <v>80</v>
      </c>
      <c r="J164" s="242">
        <f t="shared" si="31"/>
        <v>12000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13</v>
      </c>
      <c r="C165" s="206">
        <v>43238</v>
      </c>
      <c r="D165" s="161" t="s">
        <v>8</v>
      </c>
      <c r="E165" s="161" t="s">
        <v>301</v>
      </c>
      <c r="F165" s="207">
        <v>25950</v>
      </c>
      <c r="G165" s="207">
        <v>25850</v>
      </c>
      <c r="H165" s="161">
        <v>100</v>
      </c>
      <c r="I165" s="207">
        <v>80</v>
      </c>
      <c r="J165" s="242">
        <f t="shared" si="31"/>
        <v>8000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43241</v>
      </c>
      <c r="D166" s="161" t="s">
        <v>8</v>
      </c>
      <c r="E166" s="161" t="s">
        <v>301</v>
      </c>
      <c r="F166" s="207">
        <v>25900</v>
      </c>
      <c r="G166" s="207">
        <v>25760</v>
      </c>
      <c r="H166" s="161">
        <v>140</v>
      </c>
      <c r="I166" s="207">
        <v>80</v>
      </c>
      <c r="J166" s="242">
        <f t="shared" si="31"/>
        <v>11200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43242</v>
      </c>
      <c r="D167" s="161" t="s">
        <v>9</v>
      </c>
      <c r="E167" s="161" t="s">
        <v>301</v>
      </c>
      <c r="F167" s="207">
        <v>25900</v>
      </c>
      <c r="G167" s="207">
        <v>25955</v>
      </c>
      <c r="H167" s="161">
        <v>55</v>
      </c>
      <c r="I167" s="207">
        <v>80</v>
      </c>
      <c r="J167" s="242">
        <f t="shared" si="31"/>
        <v>4400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16</v>
      </c>
      <c r="C168" s="206">
        <v>43243</v>
      </c>
      <c r="D168" s="161" t="s">
        <v>8</v>
      </c>
      <c r="E168" s="161" t="s">
        <v>301</v>
      </c>
      <c r="F168" s="207">
        <v>25760</v>
      </c>
      <c r="G168" s="207">
        <v>25560</v>
      </c>
      <c r="H168" s="161">
        <v>200</v>
      </c>
      <c r="I168" s="207">
        <v>80</v>
      </c>
      <c r="J168" s="242">
        <f t="shared" si="31"/>
        <v>16000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17</v>
      </c>
      <c r="C169" s="206">
        <v>43244</v>
      </c>
      <c r="D169" s="161" t="s">
        <v>8</v>
      </c>
      <c r="E169" s="161" t="s">
        <v>301</v>
      </c>
      <c r="F169" s="207">
        <v>25680</v>
      </c>
      <c r="G169" s="207">
        <v>25780</v>
      </c>
      <c r="H169" s="161">
        <v>-100</v>
      </c>
      <c r="I169" s="207">
        <v>80</v>
      </c>
      <c r="J169" s="242">
        <f t="shared" si="31"/>
        <v>-8000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18</v>
      </c>
      <c r="C170" s="206">
        <v>43245</v>
      </c>
      <c r="D170" s="161" t="s">
        <v>8</v>
      </c>
      <c r="E170" s="161" t="s">
        <v>301</v>
      </c>
      <c r="F170" s="207">
        <v>26130</v>
      </c>
      <c r="G170" s="207">
        <v>26230</v>
      </c>
      <c r="H170" s="161">
        <v>-100</v>
      </c>
      <c r="I170" s="207">
        <v>80</v>
      </c>
      <c r="J170" s="242">
        <f t="shared" si="31"/>
        <v>-8000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19</v>
      </c>
      <c r="C171" s="206">
        <v>43248</v>
      </c>
      <c r="D171" s="161" t="s">
        <v>9</v>
      </c>
      <c r="E171" s="161" t="s">
        <v>301</v>
      </c>
      <c r="F171" s="207">
        <v>26450</v>
      </c>
      <c r="G171" s="207">
        <v>26590</v>
      </c>
      <c r="H171" s="161">
        <v>140</v>
      </c>
      <c r="I171" s="207">
        <v>80</v>
      </c>
      <c r="J171" s="242">
        <f t="shared" si="31"/>
        <v>11200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43249</v>
      </c>
      <c r="D172" s="161" t="s">
        <v>8</v>
      </c>
      <c r="E172" s="161" t="s">
        <v>301</v>
      </c>
      <c r="F172" s="207">
        <v>26430</v>
      </c>
      <c r="G172" s="207">
        <v>26230</v>
      </c>
      <c r="H172" s="161">
        <v>200</v>
      </c>
      <c r="I172" s="207">
        <v>80</v>
      </c>
      <c r="J172" s="242">
        <f t="shared" si="31"/>
        <v>16000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43250</v>
      </c>
      <c r="D173" s="161" t="s">
        <v>8</v>
      </c>
      <c r="E173" s="161" t="s">
        <v>301</v>
      </c>
      <c r="F173" s="207">
        <v>26050</v>
      </c>
      <c r="G173" s="207">
        <v>25995</v>
      </c>
      <c r="H173" s="161">
        <v>55</v>
      </c>
      <c r="I173" s="207">
        <v>80</v>
      </c>
      <c r="J173" s="242">
        <f t="shared" si="31"/>
        <v>4400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22</v>
      </c>
      <c r="C174" s="206">
        <v>43251</v>
      </c>
      <c r="D174" s="161" t="s">
        <v>9</v>
      </c>
      <c r="E174" s="161" t="s">
        <v>301</v>
      </c>
      <c r="F174" s="207">
        <v>26420</v>
      </c>
      <c r="G174" s="207">
        <v>26620</v>
      </c>
      <c r="H174" s="161">
        <v>200</v>
      </c>
      <c r="I174" s="207">
        <v>80</v>
      </c>
      <c r="J174" s="242">
        <f t="shared" si="31"/>
        <v>16000</v>
      </c>
      <c r="K174" s="153"/>
      <c r="V174" s="25">
        <f t="shared" si="32"/>
        <v>1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92800</v>
      </c>
      <c r="K176" s="153"/>
      <c r="V176" s="25">
        <f>SUM(V153:V175)</f>
        <v>15</v>
      </c>
      <c r="W176" s="25">
        <f>SUM(W153:W175)</f>
        <v>7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2498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43222</v>
      </c>
      <c r="D184" s="185" t="s">
        <v>9</v>
      </c>
      <c r="E184" s="185" t="s">
        <v>2424</v>
      </c>
      <c r="F184" s="219">
        <v>380</v>
      </c>
      <c r="G184" s="219">
        <v>430</v>
      </c>
      <c r="H184" s="185">
        <v>50</v>
      </c>
      <c r="I184" s="219">
        <v>160</v>
      </c>
      <c r="J184" s="246">
        <f t="shared" ref="J184:J206" si="35">I184*H184</f>
        <v>8000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43223</v>
      </c>
      <c r="D185" s="161" t="s">
        <v>9</v>
      </c>
      <c r="E185" s="161" t="s">
        <v>2424</v>
      </c>
      <c r="F185" s="207">
        <v>430</v>
      </c>
      <c r="G185" s="207">
        <v>370</v>
      </c>
      <c r="H185" s="161">
        <v>-60</v>
      </c>
      <c r="I185" s="207">
        <v>160</v>
      </c>
      <c r="J185" s="242">
        <f t="shared" si="35"/>
        <v>-9600</v>
      </c>
      <c r="K185" s="153"/>
      <c r="V185" s="25">
        <f t="shared" ref="V185:V206" si="36">IF($J185&gt;0,1,0)</f>
        <v>0</v>
      </c>
      <c r="W185" s="25">
        <f t="shared" ref="W185:W206" si="37">IF($J185&lt;0,1,0)</f>
        <v>1</v>
      </c>
    </row>
    <row r="186" spans="1:23" x14ac:dyDescent="0.3">
      <c r="A186" s="147"/>
      <c r="B186" s="205">
        <f t="shared" ref="B186:B206" si="38">B185+1</f>
        <v>3</v>
      </c>
      <c r="C186" s="206">
        <v>43224</v>
      </c>
      <c r="D186" s="161" t="s">
        <v>9</v>
      </c>
      <c r="E186" s="161" t="s">
        <v>2410</v>
      </c>
      <c r="F186" s="207">
        <v>400</v>
      </c>
      <c r="G186" s="207">
        <v>440</v>
      </c>
      <c r="H186" s="161">
        <v>40</v>
      </c>
      <c r="I186" s="207">
        <v>160</v>
      </c>
      <c r="J186" s="242">
        <f t="shared" si="35"/>
        <v>6400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43227</v>
      </c>
      <c r="D187" s="161" t="s">
        <v>9</v>
      </c>
      <c r="E187" s="161" t="s">
        <v>2410</v>
      </c>
      <c r="F187" s="207">
        <v>370</v>
      </c>
      <c r="G187" s="207">
        <v>360</v>
      </c>
      <c r="H187" s="161">
        <v>-10</v>
      </c>
      <c r="I187" s="207">
        <v>160</v>
      </c>
      <c r="J187" s="242">
        <f t="shared" si="35"/>
        <v>-1600</v>
      </c>
      <c r="K187" s="153"/>
      <c r="V187" s="25">
        <f t="shared" si="36"/>
        <v>0</v>
      </c>
      <c r="W187" s="25">
        <f t="shared" si="37"/>
        <v>1</v>
      </c>
    </row>
    <row r="188" spans="1:23" x14ac:dyDescent="0.3">
      <c r="A188" s="147"/>
      <c r="B188" s="205">
        <f t="shared" si="38"/>
        <v>5</v>
      </c>
      <c r="C188" s="206">
        <v>43228</v>
      </c>
      <c r="D188" s="161" t="s">
        <v>9</v>
      </c>
      <c r="E188" s="161" t="s">
        <v>2392</v>
      </c>
      <c r="F188" s="207">
        <v>390</v>
      </c>
      <c r="G188" s="207">
        <v>370</v>
      </c>
      <c r="H188" s="161">
        <v>-20</v>
      </c>
      <c r="I188" s="207">
        <v>160</v>
      </c>
      <c r="J188" s="242">
        <f t="shared" si="35"/>
        <v>-3200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6</v>
      </c>
      <c r="C189" s="206">
        <v>43229</v>
      </c>
      <c r="D189" s="161" t="s">
        <v>9</v>
      </c>
      <c r="E189" s="161" t="s">
        <v>2487</v>
      </c>
      <c r="F189" s="207">
        <v>440</v>
      </c>
      <c r="G189" s="207">
        <v>500</v>
      </c>
      <c r="H189" s="161">
        <v>60</v>
      </c>
      <c r="I189" s="207">
        <v>160</v>
      </c>
      <c r="J189" s="242">
        <f t="shared" si="35"/>
        <v>9600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43230</v>
      </c>
      <c r="D190" s="161" t="s">
        <v>9</v>
      </c>
      <c r="E190" s="161" t="s">
        <v>2457</v>
      </c>
      <c r="F190" s="207">
        <v>410</v>
      </c>
      <c r="G190" s="207">
        <v>480</v>
      </c>
      <c r="H190" s="161">
        <v>70</v>
      </c>
      <c r="I190" s="207">
        <v>160</v>
      </c>
      <c r="J190" s="242">
        <f t="shared" si="35"/>
        <v>11200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43231</v>
      </c>
      <c r="D191" s="161" t="s">
        <v>9</v>
      </c>
      <c r="E191" s="161" t="s">
        <v>2430</v>
      </c>
      <c r="F191" s="207">
        <v>400</v>
      </c>
      <c r="G191" s="207">
        <v>340</v>
      </c>
      <c r="H191" s="161">
        <v>-60</v>
      </c>
      <c r="I191" s="207">
        <v>160</v>
      </c>
      <c r="J191" s="242">
        <f t="shared" si="35"/>
        <v>-9600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9</v>
      </c>
      <c r="C192" s="206">
        <v>43234</v>
      </c>
      <c r="D192" s="161" t="s">
        <v>9</v>
      </c>
      <c r="E192" s="161" t="s">
        <v>2489</v>
      </c>
      <c r="F192" s="207">
        <v>380</v>
      </c>
      <c r="G192" s="207">
        <v>320</v>
      </c>
      <c r="H192" s="161">
        <v>-60</v>
      </c>
      <c r="I192" s="207">
        <v>160</v>
      </c>
      <c r="J192" s="242">
        <f t="shared" si="35"/>
        <v>-9600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10</v>
      </c>
      <c r="C193" s="206">
        <v>43235</v>
      </c>
      <c r="D193" s="161" t="s">
        <v>9</v>
      </c>
      <c r="E193" s="161" t="s">
        <v>2491</v>
      </c>
      <c r="F193" s="207">
        <v>360</v>
      </c>
      <c r="G193" s="207">
        <v>300</v>
      </c>
      <c r="H193" s="161">
        <v>-60</v>
      </c>
      <c r="I193" s="207">
        <v>160</v>
      </c>
      <c r="J193" s="242">
        <f t="shared" si="35"/>
        <v>-9600</v>
      </c>
      <c r="K193" s="153"/>
      <c r="V193" s="25">
        <f t="shared" si="36"/>
        <v>0</v>
      </c>
      <c r="W193" s="25">
        <f t="shared" si="37"/>
        <v>1</v>
      </c>
    </row>
    <row r="194" spans="1:23" x14ac:dyDescent="0.3">
      <c r="A194" s="147"/>
      <c r="B194" s="205">
        <f t="shared" si="38"/>
        <v>11</v>
      </c>
      <c r="C194" s="206">
        <v>43236</v>
      </c>
      <c r="D194" s="161" t="s">
        <v>9</v>
      </c>
      <c r="E194" s="161" t="s">
        <v>2457</v>
      </c>
      <c r="F194" s="207">
        <v>340</v>
      </c>
      <c r="G194" s="207">
        <v>280</v>
      </c>
      <c r="H194" s="161">
        <v>-60</v>
      </c>
      <c r="I194" s="207">
        <v>160</v>
      </c>
      <c r="J194" s="242">
        <f t="shared" si="35"/>
        <v>-9600</v>
      </c>
      <c r="K194" s="153"/>
      <c r="V194" s="25">
        <f t="shared" si="36"/>
        <v>0</v>
      </c>
      <c r="W194" s="25">
        <f t="shared" si="37"/>
        <v>1</v>
      </c>
    </row>
    <row r="195" spans="1:23" x14ac:dyDescent="0.3">
      <c r="A195" s="147"/>
      <c r="B195" s="205">
        <f t="shared" si="38"/>
        <v>12</v>
      </c>
      <c r="C195" s="206">
        <v>43237</v>
      </c>
      <c r="D195" s="161" t="s">
        <v>9</v>
      </c>
      <c r="E195" s="161" t="s">
        <v>2457</v>
      </c>
      <c r="F195" s="207">
        <v>290</v>
      </c>
      <c r="G195" s="207">
        <v>375</v>
      </c>
      <c r="H195" s="161">
        <v>85</v>
      </c>
      <c r="I195" s="207">
        <v>160</v>
      </c>
      <c r="J195" s="242">
        <f t="shared" si="35"/>
        <v>13600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13</v>
      </c>
      <c r="C196" s="206">
        <v>43238</v>
      </c>
      <c r="D196" s="161" t="s">
        <v>9</v>
      </c>
      <c r="E196" s="161" t="s">
        <v>2392</v>
      </c>
      <c r="F196" s="207">
        <v>280</v>
      </c>
      <c r="G196" s="207">
        <v>315</v>
      </c>
      <c r="H196" s="161">
        <v>35</v>
      </c>
      <c r="I196" s="207">
        <v>160</v>
      </c>
      <c r="J196" s="242">
        <f t="shared" si="35"/>
        <v>5600</v>
      </c>
      <c r="K196" s="153"/>
      <c r="V196" s="25">
        <f t="shared" si="36"/>
        <v>1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43241</v>
      </c>
      <c r="D197" s="161" t="s">
        <v>9</v>
      </c>
      <c r="E197" s="161" t="s">
        <v>2392</v>
      </c>
      <c r="F197" s="207">
        <v>260</v>
      </c>
      <c r="G197" s="207">
        <v>320</v>
      </c>
      <c r="H197" s="161">
        <v>60</v>
      </c>
      <c r="I197" s="207">
        <v>160</v>
      </c>
      <c r="J197" s="242">
        <f t="shared" si="35"/>
        <v>9600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15</v>
      </c>
      <c r="C198" s="206">
        <v>43242</v>
      </c>
      <c r="D198" s="161" t="s">
        <v>9</v>
      </c>
      <c r="E198" s="161" t="s">
        <v>2389</v>
      </c>
      <c r="F198" s="207">
        <v>260</v>
      </c>
      <c r="G198" s="207">
        <v>200</v>
      </c>
      <c r="H198" s="161">
        <v>-60</v>
      </c>
      <c r="I198" s="207">
        <v>160</v>
      </c>
      <c r="J198" s="242">
        <f t="shared" si="35"/>
        <v>-9600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16</v>
      </c>
      <c r="C199" s="206">
        <v>43243</v>
      </c>
      <c r="D199" s="161" t="s">
        <v>9</v>
      </c>
      <c r="E199" s="161" t="s">
        <v>2389</v>
      </c>
      <c r="F199" s="207">
        <v>220</v>
      </c>
      <c r="G199" s="207">
        <v>340</v>
      </c>
      <c r="H199" s="161">
        <v>120</v>
      </c>
      <c r="I199" s="207">
        <v>160</v>
      </c>
      <c r="J199" s="242">
        <f t="shared" si="35"/>
        <v>19200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17</v>
      </c>
      <c r="C200" s="206">
        <v>43244</v>
      </c>
      <c r="D200" s="161" t="s">
        <v>9</v>
      </c>
      <c r="E200" s="161" t="s">
        <v>2410</v>
      </c>
      <c r="F200" s="207">
        <v>210</v>
      </c>
      <c r="G200" s="207">
        <v>150</v>
      </c>
      <c r="H200" s="161">
        <v>-60</v>
      </c>
      <c r="I200" s="207">
        <v>160</v>
      </c>
      <c r="J200" s="242">
        <f t="shared" si="35"/>
        <v>-9600</v>
      </c>
      <c r="K200" s="153"/>
      <c r="V200" s="25">
        <f t="shared" si="36"/>
        <v>0</v>
      </c>
      <c r="W200" s="25">
        <f t="shared" si="37"/>
        <v>1</v>
      </c>
    </row>
    <row r="201" spans="1:23" x14ac:dyDescent="0.3">
      <c r="A201" s="147"/>
      <c r="B201" s="205">
        <f t="shared" si="38"/>
        <v>18</v>
      </c>
      <c r="C201" s="206">
        <v>43245</v>
      </c>
      <c r="D201" s="161" t="s">
        <v>9</v>
      </c>
      <c r="E201" s="161" t="s">
        <v>2457</v>
      </c>
      <c r="F201" s="207">
        <v>200</v>
      </c>
      <c r="G201" s="207">
        <v>140</v>
      </c>
      <c r="H201" s="161">
        <v>-60</v>
      </c>
      <c r="I201" s="207">
        <v>160</v>
      </c>
      <c r="J201" s="242">
        <f t="shared" si="35"/>
        <v>-9600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19</v>
      </c>
      <c r="C202" s="206">
        <v>43248</v>
      </c>
      <c r="D202" s="161" t="s">
        <v>9</v>
      </c>
      <c r="E202" s="161" t="s">
        <v>2500</v>
      </c>
      <c r="F202" s="207">
        <v>160</v>
      </c>
      <c r="G202" s="207">
        <v>280</v>
      </c>
      <c r="H202" s="161">
        <v>120</v>
      </c>
      <c r="I202" s="207">
        <v>160</v>
      </c>
      <c r="J202" s="242">
        <f t="shared" si="35"/>
        <v>19200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20</v>
      </c>
      <c r="C203" s="206">
        <v>43249</v>
      </c>
      <c r="D203" s="161" t="s">
        <v>9</v>
      </c>
      <c r="E203" s="161" t="s">
        <v>2502</v>
      </c>
      <c r="F203" s="207">
        <v>160</v>
      </c>
      <c r="G203" s="207">
        <v>280</v>
      </c>
      <c r="H203" s="161">
        <v>120</v>
      </c>
      <c r="I203" s="207">
        <v>160</v>
      </c>
      <c r="J203" s="242">
        <f t="shared" si="35"/>
        <v>19200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21</v>
      </c>
      <c r="C204" s="206">
        <v>43250</v>
      </c>
      <c r="D204" s="161" t="s">
        <v>9</v>
      </c>
      <c r="E204" s="161" t="s">
        <v>2430</v>
      </c>
      <c r="F204" s="207">
        <v>140</v>
      </c>
      <c r="G204" s="207">
        <v>170</v>
      </c>
      <c r="H204" s="161">
        <v>30</v>
      </c>
      <c r="I204" s="207">
        <v>160</v>
      </c>
      <c r="J204" s="242">
        <f t="shared" si="35"/>
        <v>4800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>
        <v>43251</v>
      </c>
      <c r="D205" s="161" t="s">
        <v>9</v>
      </c>
      <c r="E205" s="161" t="s">
        <v>2500</v>
      </c>
      <c r="F205" s="207">
        <v>100</v>
      </c>
      <c r="G205" s="207">
        <v>200</v>
      </c>
      <c r="H205" s="161">
        <v>100</v>
      </c>
      <c r="I205" s="207">
        <v>160</v>
      </c>
      <c r="J205" s="242">
        <f t="shared" si="35"/>
        <v>16000</v>
      </c>
      <c r="K205" s="153"/>
      <c r="V205" s="25">
        <f t="shared" si="36"/>
        <v>1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60800</v>
      </c>
      <c r="K207" s="153"/>
      <c r="V207" s="25">
        <f>SUM(V184:V206)</f>
        <v>12</v>
      </c>
      <c r="W207" s="25">
        <f>SUM(W184:W206)</f>
        <v>10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2498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43222</v>
      </c>
      <c r="D215" s="185" t="s">
        <v>9</v>
      </c>
      <c r="E215" s="185" t="s">
        <v>2052</v>
      </c>
      <c r="F215" s="231">
        <v>10.5</v>
      </c>
      <c r="G215" s="231">
        <v>11.5</v>
      </c>
      <c r="H215" s="231">
        <v>1</v>
      </c>
      <c r="I215" s="219">
        <v>2750</v>
      </c>
      <c r="J215" s="246">
        <f t="shared" ref="J215:J237" si="39">I215*H215</f>
        <v>2750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43223</v>
      </c>
      <c r="D216" s="161" t="s">
        <v>9</v>
      </c>
      <c r="E216" s="161" t="s">
        <v>2469</v>
      </c>
      <c r="F216" s="222">
        <v>8</v>
      </c>
      <c r="G216" s="222">
        <v>8.9</v>
      </c>
      <c r="H216" s="255">
        <v>0.9</v>
      </c>
      <c r="I216" s="207">
        <v>3000</v>
      </c>
      <c r="J216" s="242">
        <f>I216*H216</f>
        <v>2700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43224</v>
      </c>
      <c r="D217" s="161" t="s">
        <v>9</v>
      </c>
      <c r="E217" s="161" t="s">
        <v>2469</v>
      </c>
      <c r="F217" s="222">
        <v>7.3</v>
      </c>
      <c r="G217" s="222">
        <v>8.4</v>
      </c>
      <c r="H217" s="222">
        <v>1.1000000000000001</v>
      </c>
      <c r="I217" s="207">
        <v>3000</v>
      </c>
      <c r="J217" s="242">
        <f t="shared" si="39"/>
        <v>3300.0000000000005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43227</v>
      </c>
      <c r="D218" s="161" t="s">
        <v>9</v>
      </c>
      <c r="E218" s="161" t="s">
        <v>1955</v>
      </c>
      <c r="F218" s="222">
        <v>31</v>
      </c>
      <c r="G218" s="222">
        <v>40</v>
      </c>
      <c r="H218" s="222">
        <v>9</v>
      </c>
      <c r="I218" s="207">
        <v>750</v>
      </c>
      <c r="J218" s="242">
        <f t="shared" si="39"/>
        <v>6750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43228</v>
      </c>
      <c r="D219" s="161" t="s">
        <v>9</v>
      </c>
      <c r="E219" s="161" t="s">
        <v>2469</v>
      </c>
      <c r="F219" s="222">
        <v>6.5</v>
      </c>
      <c r="G219" s="222">
        <v>4.5</v>
      </c>
      <c r="H219" s="222">
        <v>-2</v>
      </c>
      <c r="I219" s="207">
        <v>3000</v>
      </c>
      <c r="J219" s="242">
        <f t="shared" si="39"/>
        <v>-6000</v>
      </c>
      <c r="K219" s="153"/>
      <c r="V219" s="25">
        <f t="shared" si="41"/>
        <v>0</v>
      </c>
      <c r="W219" s="25">
        <f t="shared" si="42"/>
        <v>1</v>
      </c>
    </row>
    <row r="220" spans="1:23" x14ac:dyDescent="0.3">
      <c r="A220" s="147"/>
      <c r="B220" s="205">
        <f t="shared" si="40"/>
        <v>6</v>
      </c>
      <c r="C220" s="206">
        <v>43229</v>
      </c>
      <c r="D220" s="161" t="s">
        <v>9</v>
      </c>
      <c r="E220" s="161" t="s">
        <v>2469</v>
      </c>
      <c r="F220" s="222">
        <v>6</v>
      </c>
      <c r="G220" s="222">
        <v>5.7</v>
      </c>
      <c r="H220" s="222">
        <v>-0.3</v>
      </c>
      <c r="I220" s="207">
        <v>3000</v>
      </c>
      <c r="J220" s="242">
        <f t="shared" si="39"/>
        <v>-900</v>
      </c>
      <c r="K220" s="153"/>
      <c r="V220" s="25">
        <f t="shared" si="41"/>
        <v>0</v>
      </c>
      <c r="W220" s="25">
        <f t="shared" si="42"/>
        <v>1</v>
      </c>
    </row>
    <row r="221" spans="1:23" x14ac:dyDescent="0.3">
      <c r="A221" s="147"/>
      <c r="B221" s="205">
        <f t="shared" si="40"/>
        <v>7</v>
      </c>
      <c r="C221" s="206">
        <v>43230</v>
      </c>
      <c r="D221" s="161" t="s">
        <v>9</v>
      </c>
      <c r="E221" s="161" t="s">
        <v>1881</v>
      </c>
      <c r="F221" s="222">
        <v>32</v>
      </c>
      <c r="G221" s="222">
        <v>41</v>
      </c>
      <c r="H221" s="222">
        <v>9</v>
      </c>
      <c r="I221" s="207">
        <v>750</v>
      </c>
      <c r="J221" s="242">
        <f t="shared" si="39"/>
        <v>6750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8</v>
      </c>
      <c r="C222" s="206">
        <v>43231</v>
      </c>
      <c r="D222" s="161" t="s">
        <v>9</v>
      </c>
      <c r="E222" s="161" t="s">
        <v>2488</v>
      </c>
      <c r="F222" s="222">
        <v>72</v>
      </c>
      <c r="G222" s="222">
        <v>90</v>
      </c>
      <c r="H222" s="222">
        <v>18</v>
      </c>
      <c r="I222" s="207">
        <v>250</v>
      </c>
      <c r="J222" s="242">
        <f t="shared" si="39"/>
        <v>4500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43234</v>
      </c>
      <c r="D223" s="161" t="s">
        <v>9</v>
      </c>
      <c r="E223" s="161" t="s">
        <v>2490</v>
      </c>
      <c r="F223" s="222">
        <v>6.5</v>
      </c>
      <c r="G223" s="222">
        <v>7.7</v>
      </c>
      <c r="H223" s="255">
        <v>1.2</v>
      </c>
      <c r="I223" s="207">
        <v>1750</v>
      </c>
      <c r="J223" s="242">
        <f t="shared" si="39"/>
        <v>2100</v>
      </c>
      <c r="K223" s="153"/>
      <c r="V223" s="25">
        <f t="shared" si="41"/>
        <v>1</v>
      </c>
      <c r="W223" s="25">
        <f t="shared" si="42"/>
        <v>0</v>
      </c>
    </row>
    <row r="224" spans="1:23" x14ac:dyDescent="0.3">
      <c r="A224" s="147"/>
      <c r="B224" s="205">
        <f t="shared" si="40"/>
        <v>10</v>
      </c>
      <c r="C224" s="206">
        <v>43235</v>
      </c>
      <c r="D224" s="161" t="s">
        <v>9</v>
      </c>
      <c r="E224" s="161" t="s">
        <v>2492</v>
      </c>
      <c r="F224" s="222">
        <v>10</v>
      </c>
      <c r="G224" s="222">
        <v>16</v>
      </c>
      <c r="H224" s="255">
        <v>6</v>
      </c>
      <c r="I224" s="207">
        <v>1500</v>
      </c>
      <c r="J224" s="242">
        <f t="shared" si="39"/>
        <v>9000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11</v>
      </c>
      <c r="C225" s="206">
        <v>43236</v>
      </c>
      <c r="D225" s="161" t="s">
        <v>9</v>
      </c>
      <c r="E225" s="161" t="s">
        <v>1889</v>
      </c>
      <c r="F225" s="222">
        <v>26</v>
      </c>
      <c r="G225" s="222">
        <v>25.5</v>
      </c>
      <c r="H225" s="255">
        <v>0.5</v>
      </c>
      <c r="I225" s="207">
        <v>750</v>
      </c>
      <c r="J225" s="242">
        <f t="shared" si="39"/>
        <v>375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12</v>
      </c>
      <c r="C226" s="206">
        <v>43237</v>
      </c>
      <c r="D226" s="161" t="s">
        <v>9</v>
      </c>
      <c r="E226" s="161" t="s">
        <v>2469</v>
      </c>
      <c r="F226" s="222">
        <v>6.2</v>
      </c>
      <c r="G226" s="222">
        <v>6.5</v>
      </c>
      <c r="H226" s="255">
        <v>0.3</v>
      </c>
      <c r="I226" s="207">
        <v>3000</v>
      </c>
      <c r="J226" s="242">
        <f t="shared" si="39"/>
        <v>900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13</v>
      </c>
      <c r="C227" s="206">
        <v>43238</v>
      </c>
      <c r="D227" s="161" t="s">
        <v>9</v>
      </c>
      <c r="E227" s="161" t="s">
        <v>1851</v>
      </c>
      <c r="F227" s="222">
        <v>5.5</v>
      </c>
      <c r="G227" s="222">
        <v>8.3000000000000007</v>
      </c>
      <c r="H227" s="255">
        <v>3</v>
      </c>
      <c r="I227" s="207">
        <v>2750</v>
      </c>
      <c r="J227" s="242">
        <f t="shared" si="39"/>
        <v>8250</v>
      </c>
      <c r="K227" s="153"/>
      <c r="V227" s="25">
        <f t="shared" si="41"/>
        <v>1</v>
      </c>
      <c r="W227" s="25">
        <f t="shared" si="42"/>
        <v>0</v>
      </c>
    </row>
    <row r="228" spans="1:23" x14ac:dyDescent="0.3">
      <c r="A228" s="147"/>
      <c r="B228" s="205">
        <f t="shared" si="40"/>
        <v>14</v>
      </c>
      <c r="C228" s="206">
        <v>43241</v>
      </c>
      <c r="D228" s="161" t="s">
        <v>9</v>
      </c>
      <c r="E228" s="161" t="s">
        <v>2493</v>
      </c>
      <c r="F228" s="222">
        <v>6.3</v>
      </c>
      <c r="G228" s="222">
        <v>10.3</v>
      </c>
      <c r="H228" s="255">
        <v>4</v>
      </c>
      <c r="I228" s="207">
        <v>1750</v>
      </c>
      <c r="J228" s="242">
        <f>I228*H228</f>
        <v>7000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15</v>
      </c>
      <c r="C229" s="206">
        <v>43242</v>
      </c>
      <c r="D229" s="161" t="s">
        <v>9</v>
      </c>
      <c r="E229" s="161" t="s">
        <v>1851</v>
      </c>
      <c r="F229" s="222">
        <v>4.2</v>
      </c>
      <c r="G229" s="222">
        <v>5</v>
      </c>
      <c r="H229" s="255">
        <v>0.8</v>
      </c>
      <c r="I229" s="207">
        <v>2750</v>
      </c>
      <c r="J229" s="242">
        <f t="shared" si="39"/>
        <v>2200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43243</v>
      </c>
      <c r="D230" s="161" t="s">
        <v>9</v>
      </c>
      <c r="E230" s="161" t="s">
        <v>2056</v>
      </c>
      <c r="F230" s="222">
        <v>5.5</v>
      </c>
      <c r="G230" s="222">
        <v>9.5</v>
      </c>
      <c r="H230" s="222">
        <v>4</v>
      </c>
      <c r="I230" s="207">
        <v>1750</v>
      </c>
      <c r="J230" s="242">
        <f t="shared" si="39"/>
        <v>7000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17</v>
      </c>
      <c r="C231" s="206">
        <v>43244</v>
      </c>
      <c r="D231" s="161" t="s">
        <v>9</v>
      </c>
      <c r="E231" s="161" t="s">
        <v>2496</v>
      </c>
      <c r="F231" s="222">
        <v>19</v>
      </c>
      <c r="G231" s="222">
        <v>15.5</v>
      </c>
      <c r="H231" s="222">
        <v>-3.5</v>
      </c>
      <c r="I231" s="207">
        <v>750</v>
      </c>
      <c r="J231" s="242">
        <f t="shared" si="39"/>
        <v>-2625</v>
      </c>
      <c r="K231" s="153"/>
      <c r="V231" s="25">
        <f t="shared" si="41"/>
        <v>0</v>
      </c>
      <c r="W231" s="25">
        <f t="shared" si="42"/>
        <v>1</v>
      </c>
    </row>
    <row r="232" spans="1:23" x14ac:dyDescent="0.3">
      <c r="A232" s="147"/>
      <c r="B232" s="205">
        <f t="shared" si="40"/>
        <v>18</v>
      </c>
      <c r="C232" s="206">
        <v>43245</v>
      </c>
      <c r="D232" s="161" t="s">
        <v>9</v>
      </c>
      <c r="E232" s="161" t="s">
        <v>2497</v>
      </c>
      <c r="F232" s="222">
        <v>5</v>
      </c>
      <c r="G232" s="222">
        <v>8.8000000000000007</v>
      </c>
      <c r="H232" s="222">
        <v>3.8</v>
      </c>
      <c r="I232" s="207">
        <v>3000</v>
      </c>
      <c r="J232" s="242">
        <f t="shared" si="39"/>
        <v>11400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43248</v>
      </c>
      <c r="D233" s="161" t="s">
        <v>9</v>
      </c>
      <c r="E233" s="161" t="s">
        <v>2501</v>
      </c>
      <c r="F233" s="222">
        <v>43</v>
      </c>
      <c r="G233" s="222">
        <v>58</v>
      </c>
      <c r="H233" s="222">
        <v>15</v>
      </c>
      <c r="I233" s="207">
        <v>250</v>
      </c>
      <c r="J233" s="242">
        <f t="shared" si="39"/>
        <v>3750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43249</v>
      </c>
      <c r="D234" s="161" t="s">
        <v>9</v>
      </c>
      <c r="E234" s="161" t="s">
        <v>2007</v>
      </c>
      <c r="F234" s="222">
        <v>4</v>
      </c>
      <c r="G234" s="222">
        <v>7</v>
      </c>
      <c r="H234" s="222">
        <v>3</v>
      </c>
      <c r="I234" s="207">
        <v>3000</v>
      </c>
      <c r="J234" s="242">
        <f t="shared" si="39"/>
        <v>9000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43250</v>
      </c>
      <c r="D235" s="161" t="s">
        <v>9</v>
      </c>
      <c r="E235" s="161" t="s">
        <v>1965</v>
      </c>
      <c r="F235" s="222">
        <v>1.7</v>
      </c>
      <c r="G235" s="222">
        <v>0.7</v>
      </c>
      <c r="H235" s="222">
        <v>-1</v>
      </c>
      <c r="I235" s="207">
        <v>3000</v>
      </c>
      <c r="J235" s="242">
        <f t="shared" si="39"/>
        <v>-3000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22</v>
      </c>
      <c r="C236" s="206">
        <v>43251</v>
      </c>
      <c r="D236" s="161" t="s">
        <v>9</v>
      </c>
      <c r="E236" s="161" t="s">
        <v>2503</v>
      </c>
      <c r="F236" s="222">
        <v>2</v>
      </c>
      <c r="G236" s="222">
        <v>4</v>
      </c>
      <c r="H236" s="222">
        <v>2</v>
      </c>
      <c r="I236" s="207">
        <v>1750</v>
      </c>
      <c r="J236" s="242">
        <f t="shared" si="39"/>
        <v>3500</v>
      </c>
      <c r="K236" s="153"/>
      <c r="V236" s="25">
        <f t="shared" si="41"/>
        <v>1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78700</v>
      </c>
      <c r="K238" s="153"/>
      <c r="V238" s="25">
        <f>SUM(V215:V237)</f>
        <v>18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D00-000000000000}"/>
    <hyperlink ref="B83" r:id="rId2" xr:uid="{00000000-0004-0000-3D00-000001000000}"/>
    <hyperlink ref="B114" r:id="rId3" xr:uid="{00000000-0004-0000-3D00-000002000000}"/>
    <hyperlink ref="M8:M9" location="'MAY-2018'!A108" display="NIFTY FUTURE" xr:uid="{00000000-0004-0000-3D00-000003000000}"/>
    <hyperlink ref="B145" r:id="rId4" xr:uid="{00000000-0004-0000-3D00-000004000000}"/>
    <hyperlink ref="M10:M11" location="'MAY-2018'!A139" display="NF. OPTION" xr:uid="{00000000-0004-0000-3D00-000005000000}"/>
    <hyperlink ref="B176" r:id="rId5" xr:uid="{00000000-0004-0000-3D00-000006000000}"/>
    <hyperlink ref="M12:M13" location="'MAY-2018'!A170" display="BANK NIFTY" xr:uid="{00000000-0004-0000-3D00-000007000000}"/>
    <hyperlink ref="B207" r:id="rId6" xr:uid="{00000000-0004-0000-3D00-000008000000}"/>
    <hyperlink ref="M14:M15" location="'MAY-2018'!A201" display="B.NIFTY OPTION" xr:uid="{00000000-0004-0000-3D00-000009000000}"/>
    <hyperlink ref="B238" r:id="rId7" xr:uid="{00000000-0004-0000-3D00-00000A000000}"/>
    <hyperlink ref="M16:M17" location="'MAY-2018'!A232" display="STOCK OPTION" xr:uid="{00000000-0004-0000-3D00-00000B000000}"/>
    <hyperlink ref="M6:M7" location="'MAY-2018'!A77" display="STOCK FUTURE" xr:uid="{00000000-0004-0000-3D00-00000C000000}"/>
    <hyperlink ref="M1" location="'MASTER '!A1" display="Back" xr:uid="{00000000-0004-0000-3D00-00000D000000}"/>
    <hyperlink ref="M4:M5" location="'MAY-2018'!A1" display="CASH" xr:uid="{00000000-0004-0000-3D00-00000E000000}"/>
  </hyperlinks>
  <pageMargins left="0" right="0" top="0" bottom="0" header="0" footer="0"/>
  <pageSetup scale="95" orientation="portrait" r:id="rId8"/>
  <drawing r:id="rId9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W239"/>
  <sheetViews>
    <sheetView topLeftCell="A213" workbookViewId="0">
      <selection activeCell="A232" sqref="A23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33203125" style="25" bestFit="1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2504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30</v>
      </c>
      <c r="P4" s="354">
        <f>W52</f>
        <v>11</v>
      </c>
      <c r="Q4" s="355">
        <f>N4-O4-P4</f>
        <v>1</v>
      </c>
      <c r="R4" s="314">
        <f>O4/N4</f>
        <v>0.7142857142857143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43252</v>
      </c>
      <c r="D6" s="158" t="s">
        <v>9</v>
      </c>
      <c r="E6" s="158" t="s">
        <v>192</v>
      </c>
      <c r="F6" s="204">
        <v>258</v>
      </c>
      <c r="G6" s="230">
        <v>262</v>
      </c>
      <c r="H6" s="158">
        <v>4</v>
      </c>
      <c r="I6" s="204">
        <f>300000/F6</f>
        <v>1162.7906976744187</v>
      </c>
      <c r="J6" s="241">
        <f>H6*I6</f>
        <v>4651.1627906976746</v>
      </c>
      <c r="K6" s="153"/>
      <c r="M6" s="389" t="s">
        <v>450</v>
      </c>
      <c r="N6" s="343">
        <f>COUNT(C60:C82)</f>
        <v>21</v>
      </c>
      <c r="O6" s="345">
        <f>V83</f>
        <v>18</v>
      </c>
      <c r="P6" s="345">
        <f>W83</f>
        <v>3</v>
      </c>
      <c r="Q6" s="347">
        <f>N6-O6-P6</f>
        <v>0</v>
      </c>
      <c r="R6" s="340">
        <f t="shared" ref="R6" si="0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43252</v>
      </c>
      <c r="D7" s="161" t="s">
        <v>8</v>
      </c>
      <c r="E7" s="161" t="s">
        <v>2023</v>
      </c>
      <c r="F7" s="207">
        <v>2100</v>
      </c>
      <c r="G7" s="207">
        <v>2068</v>
      </c>
      <c r="H7" s="234">
        <v>32</v>
      </c>
      <c r="I7" s="207">
        <f t="shared" ref="I7" si="1">300000/F7</f>
        <v>142.85714285714286</v>
      </c>
      <c r="J7" s="242">
        <f t="shared" ref="J7" si="2">H7*I7</f>
        <v>4571.4285714285716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43255</v>
      </c>
      <c r="D8" s="161" t="s">
        <v>9</v>
      </c>
      <c r="E8" s="161" t="s">
        <v>139</v>
      </c>
      <c r="F8" s="207">
        <v>345</v>
      </c>
      <c r="G8" s="222">
        <v>350</v>
      </c>
      <c r="H8" s="222">
        <v>5</v>
      </c>
      <c r="I8" s="207">
        <f t="shared" ref="I8:I9" si="6">300000/F8</f>
        <v>869.56521739130437</v>
      </c>
      <c r="J8" s="242">
        <f t="shared" ref="J8:J9" si="7">H8*I8</f>
        <v>4347.826086956522</v>
      </c>
      <c r="K8" s="153"/>
      <c r="M8" s="389" t="s">
        <v>451</v>
      </c>
      <c r="N8" s="343">
        <f>COUNT(C91:C113)</f>
        <v>21</v>
      </c>
      <c r="O8" s="345">
        <f>V114</f>
        <v>14</v>
      </c>
      <c r="P8" s="345">
        <f>W114</f>
        <v>7</v>
      </c>
      <c r="Q8" s="347">
        <f>N8-O8-P8</f>
        <v>0</v>
      </c>
      <c r="R8" s="340">
        <f t="shared" ref="R8" si="8">O8/N8</f>
        <v>0.66666666666666663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43255</v>
      </c>
      <c r="D9" s="161" t="s">
        <v>8</v>
      </c>
      <c r="E9" s="161" t="s">
        <v>19</v>
      </c>
      <c r="F9" s="222">
        <v>265.5</v>
      </c>
      <c r="G9" s="222">
        <v>261.60000000000002</v>
      </c>
      <c r="H9" s="222">
        <v>3.9</v>
      </c>
      <c r="I9" s="207">
        <f t="shared" si="6"/>
        <v>1129.9435028248588</v>
      </c>
      <c r="J9" s="242">
        <f t="shared" si="7"/>
        <v>4406.7796610169489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43256</v>
      </c>
      <c r="D10" s="161" t="s">
        <v>9</v>
      </c>
      <c r="E10" s="161" t="s">
        <v>31</v>
      </c>
      <c r="F10" s="222">
        <v>947</v>
      </c>
      <c r="G10" s="222">
        <v>953</v>
      </c>
      <c r="H10" s="222">
        <v>6</v>
      </c>
      <c r="I10" s="207">
        <f t="shared" ref="I10:I47" si="9">300000/F10</f>
        <v>316.78986272439283</v>
      </c>
      <c r="J10" s="242">
        <f t="shared" ref="J10:J47" si="10">H10*I10</f>
        <v>1900.739176346357</v>
      </c>
      <c r="K10" s="153"/>
      <c r="M10" s="389" t="s">
        <v>1176</v>
      </c>
      <c r="N10" s="343">
        <f>COUNT(C122:C144)</f>
        <v>21</v>
      </c>
      <c r="O10" s="345">
        <f>V145</f>
        <v>12</v>
      </c>
      <c r="P10" s="345">
        <f>W145</f>
        <v>9</v>
      </c>
      <c r="Q10" s="347">
        <f>N10-O10-P10</f>
        <v>0</v>
      </c>
      <c r="R10" s="340">
        <f t="shared" ref="R10:R16" si="11">O10/N10</f>
        <v>0.5714285714285714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43256</v>
      </c>
      <c r="D11" s="161" t="s">
        <v>8</v>
      </c>
      <c r="E11" s="161" t="s">
        <v>78</v>
      </c>
      <c r="F11" s="222">
        <v>1340</v>
      </c>
      <c r="G11" s="222">
        <v>1330</v>
      </c>
      <c r="H11" s="255">
        <v>10</v>
      </c>
      <c r="I11" s="207">
        <f t="shared" si="9"/>
        <v>223.88059701492537</v>
      </c>
      <c r="J11" s="242">
        <f t="shared" si="10"/>
        <v>2238.8059701492539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43257</v>
      </c>
      <c r="D12" s="161" t="s">
        <v>9</v>
      </c>
      <c r="E12" s="161" t="s">
        <v>395</v>
      </c>
      <c r="F12" s="222">
        <v>1965</v>
      </c>
      <c r="G12" s="222">
        <v>1975</v>
      </c>
      <c r="H12" s="222">
        <v>10</v>
      </c>
      <c r="I12" s="207">
        <f t="shared" si="9"/>
        <v>152.67175572519085</v>
      </c>
      <c r="J12" s="242">
        <f t="shared" si="10"/>
        <v>1526.7175572519086</v>
      </c>
      <c r="K12" s="153"/>
      <c r="M12" s="389" t="s">
        <v>41</v>
      </c>
      <c r="N12" s="343">
        <f>COUNT(C153:C175)</f>
        <v>21</v>
      </c>
      <c r="O12" s="345">
        <f>V176</f>
        <v>16</v>
      </c>
      <c r="P12" s="345">
        <f>W176</f>
        <v>5</v>
      </c>
      <c r="Q12" s="347">
        <f t="shared" ref="Q12" si="12">N12-O12-P12</f>
        <v>0</v>
      </c>
      <c r="R12" s="340">
        <f t="shared" si="11"/>
        <v>0.76190476190476186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43257</v>
      </c>
      <c r="D13" s="161" t="s">
        <v>8</v>
      </c>
      <c r="E13" s="161" t="s">
        <v>1064</v>
      </c>
      <c r="F13" s="222">
        <v>1088</v>
      </c>
      <c r="G13" s="222">
        <v>1078</v>
      </c>
      <c r="H13" s="255">
        <v>10</v>
      </c>
      <c r="I13" s="207">
        <f t="shared" si="9"/>
        <v>275.73529411764707</v>
      </c>
      <c r="J13" s="242">
        <f t="shared" si="10"/>
        <v>2757.3529411764707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43258</v>
      </c>
      <c r="D14" s="161" t="s">
        <v>9</v>
      </c>
      <c r="E14" s="161" t="s">
        <v>395</v>
      </c>
      <c r="F14" s="222">
        <v>1970</v>
      </c>
      <c r="G14" s="222">
        <v>1965</v>
      </c>
      <c r="H14" s="222">
        <v>-5</v>
      </c>
      <c r="I14" s="207">
        <f t="shared" si="9"/>
        <v>152.28426395939087</v>
      </c>
      <c r="J14" s="242">
        <f t="shared" si="10"/>
        <v>-761.42131979695432</v>
      </c>
      <c r="K14" s="153"/>
      <c r="M14" s="389" t="s">
        <v>1175</v>
      </c>
      <c r="N14" s="343">
        <f>COUNT(C184:C206)</f>
        <v>21</v>
      </c>
      <c r="O14" s="345">
        <f>V207</f>
        <v>13</v>
      </c>
      <c r="P14" s="345">
        <f>W207</f>
        <v>7</v>
      </c>
      <c r="Q14" s="347">
        <f t="shared" ref="Q14" si="13">N14-O14-P14</f>
        <v>1</v>
      </c>
      <c r="R14" s="340">
        <f t="shared" si="11"/>
        <v>0.61904761904761907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43258</v>
      </c>
      <c r="D15" s="161" t="s">
        <v>8</v>
      </c>
      <c r="E15" s="161" t="s">
        <v>19</v>
      </c>
      <c r="F15" s="222">
        <v>269</v>
      </c>
      <c r="G15" s="222">
        <v>272</v>
      </c>
      <c r="H15" s="222">
        <v>-3</v>
      </c>
      <c r="I15" s="207">
        <f t="shared" si="9"/>
        <v>1115.2416356877322</v>
      </c>
      <c r="J15" s="242">
        <f t="shared" si="10"/>
        <v>-3345.724907063197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43259</v>
      </c>
      <c r="D16" s="161" t="s">
        <v>9</v>
      </c>
      <c r="E16" s="161" t="s">
        <v>31</v>
      </c>
      <c r="F16" s="222">
        <v>966</v>
      </c>
      <c r="G16" s="222">
        <v>982</v>
      </c>
      <c r="H16" s="222">
        <v>16</v>
      </c>
      <c r="I16" s="207">
        <f t="shared" si="9"/>
        <v>310.55900621118013</v>
      </c>
      <c r="J16" s="242">
        <f t="shared" si="10"/>
        <v>4968.9440993788821</v>
      </c>
      <c r="K16" s="153"/>
      <c r="L16" s="25" t="s">
        <v>2008</v>
      </c>
      <c r="M16" s="389" t="s">
        <v>1090</v>
      </c>
      <c r="N16" s="343">
        <f>COUNT(C215:C237)</f>
        <v>21</v>
      </c>
      <c r="O16" s="345">
        <f>V238</f>
        <v>17</v>
      </c>
      <c r="P16" s="345">
        <f>W238</f>
        <v>3</v>
      </c>
      <c r="Q16" s="347">
        <f t="shared" ref="Q16" si="14">N16-O16-P16</f>
        <v>1</v>
      </c>
      <c r="R16" s="340">
        <f t="shared" si="11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43259</v>
      </c>
      <c r="D17" s="161" t="s">
        <v>8</v>
      </c>
      <c r="E17" s="161" t="s">
        <v>395</v>
      </c>
      <c r="F17" s="222">
        <v>2020</v>
      </c>
      <c r="G17" s="222">
        <v>2040</v>
      </c>
      <c r="H17" s="222">
        <v>-20</v>
      </c>
      <c r="I17" s="207">
        <f t="shared" si="9"/>
        <v>148.51485148514851</v>
      </c>
      <c r="J17" s="242">
        <f t="shared" si="10"/>
        <v>-2970.2970297029701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43262</v>
      </c>
      <c r="D18" s="161" t="s">
        <v>9</v>
      </c>
      <c r="E18" s="161" t="s">
        <v>2023</v>
      </c>
      <c r="F18" s="222">
        <v>2220</v>
      </c>
      <c r="G18" s="222">
        <v>2255</v>
      </c>
      <c r="H18" s="222">
        <v>35</v>
      </c>
      <c r="I18" s="207">
        <f t="shared" si="9"/>
        <v>135.13513513513513</v>
      </c>
      <c r="J18" s="242">
        <f t="shared" si="10"/>
        <v>4729.7297297297291</v>
      </c>
      <c r="K18" s="153"/>
      <c r="M18" s="334" t="s">
        <v>946</v>
      </c>
      <c r="N18" s="336">
        <f>SUM(N4:N17)</f>
        <v>168</v>
      </c>
      <c r="O18" s="336">
        <f t="shared" ref="O18:Q18" si="15">SUM(O4:O17)</f>
        <v>120</v>
      </c>
      <c r="P18" s="336">
        <f t="shared" si="15"/>
        <v>45</v>
      </c>
      <c r="Q18" s="338">
        <f t="shared" si="15"/>
        <v>3</v>
      </c>
      <c r="R18" s="314">
        <f t="shared" ref="R18" si="16">O18/N18</f>
        <v>0.7142857142857143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43262</v>
      </c>
      <c r="D19" s="161" t="s">
        <v>8</v>
      </c>
      <c r="E19" s="161" t="s">
        <v>796</v>
      </c>
      <c r="F19" s="222">
        <v>1015</v>
      </c>
      <c r="G19" s="222">
        <v>995</v>
      </c>
      <c r="H19" s="222">
        <v>20</v>
      </c>
      <c r="I19" s="207">
        <f t="shared" si="9"/>
        <v>295.56650246305418</v>
      </c>
      <c r="J19" s="242">
        <f t="shared" si="10"/>
        <v>5911.3300492610833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43263</v>
      </c>
      <c r="D20" s="161" t="s">
        <v>9</v>
      </c>
      <c r="E20" s="161" t="s">
        <v>31</v>
      </c>
      <c r="F20" s="222">
        <v>984</v>
      </c>
      <c r="G20" s="222">
        <v>1000</v>
      </c>
      <c r="H20" s="222">
        <v>16</v>
      </c>
      <c r="I20" s="207">
        <f t="shared" si="9"/>
        <v>304.8780487804878</v>
      </c>
      <c r="J20" s="242">
        <f t="shared" si="10"/>
        <v>4878.0487804878048</v>
      </c>
      <c r="K20" s="153"/>
      <c r="M20" s="316" t="s">
        <v>2253</v>
      </c>
      <c r="N20" s="317"/>
      <c r="O20" s="318"/>
      <c r="P20" s="325">
        <f>R18</f>
        <v>0.7142857142857143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43263</v>
      </c>
      <c r="D21" s="161" t="s">
        <v>8</v>
      </c>
      <c r="E21" s="161" t="s">
        <v>13</v>
      </c>
      <c r="F21" s="222">
        <v>431</v>
      </c>
      <c r="G21" s="222">
        <v>428</v>
      </c>
      <c r="H21" s="222">
        <v>3</v>
      </c>
      <c r="I21" s="207">
        <f t="shared" si="9"/>
        <v>696.05568445475637</v>
      </c>
      <c r="J21" s="242">
        <f t="shared" si="10"/>
        <v>2088.1670533642691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43264</v>
      </c>
      <c r="D22" s="161" t="s">
        <v>9</v>
      </c>
      <c r="E22" s="161" t="s">
        <v>395</v>
      </c>
      <c r="F22" s="222">
        <v>2240</v>
      </c>
      <c r="G22" s="222">
        <v>2280</v>
      </c>
      <c r="H22" s="222">
        <v>40</v>
      </c>
      <c r="I22" s="207">
        <f t="shared" si="9"/>
        <v>133.92857142857142</v>
      </c>
      <c r="J22" s="242">
        <f t="shared" si="10"/>
        <v>5357.1428571428569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43264</v>
      </c>
      <c r="D23" s="161" t="s">
        <v>8</v>
      </c>
      <c r="E23" s="161" t="s">
        <v>834</v>
      </c>
      <c r="F23" s="222">
        <v>244</v>
      </c>
      <c r="G23" s="222">
        <v>241.5</v>
      </c>
      <c r="H23" s="222">
        <v>2.5</v>
      </c>
      <c r="I23" s="207">
        <f t="shared" si="9"/>
        <v>1229.5081967213114</v>
      </c>
      <c r="J23" s="242">
        <f t="shared" si="10"/>
        <v>3073.7704918032787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43265</v>
      </c>
      <c r="D24" s="161" t="s">
        <v>9</v>
      </c>
      <c r="E24" s="161" t="s">
        <v>834</v>
      </c>
      <c r="F24" s="222">
        <v>243</v>
      </c>
      <c r="G24" s="222">
        <v>240.7</v>
      </c>
      <c r="H24" s="222">
        <v>-2.2999999999999998</v>
      </c>
      <c r="I24" s="207">
        <f t="shared" si="9"/>
        <v>1234.5679012345679</v>
      </c>
      <c r="J24" s="242">
        <f t="shared" si="10"/>
        <v>-2839.5061728395058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43265</v>
      </c>
      <c r="D25" s="161" t="s">
        <v>8</v>
      </c>
      <c r="E25" s="161" t="s">
        <v>2023</v>
      </c>
      <c r="F25" s="222">
        <v>2217</v>
      </c>
      <c r="G25" s="222">
        <v>2197</v>
      </c>
      <c r="H25" s="222">
        <v>20</v>
      </c>
      <c r="I25" s="207">
        <f t="shared" si="9"/>
        <v>135.31799729364005</v>
      </c>
      <c r="J25" s="242">
        <f t="shared" si="10"/>
        <v>2706.3599458728008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43266</v>
      </c>
      <c r="D26" s="161" t="s">
        <v>9</v>
      </c>
      <c r="E26" s="161" t="s">
        <v>126</v>
      </c>
      <c r="F26" s="222">
        <v>1804</v>
      </c>
      <c r="G26" s="222">
        <v>1844</v>
      </c>
      <c r="H26" s="222">
        <v>40</v>
      </c>
      <c r="I26" s="207">
        <f t="shared" si="9"/>
        <v>166.29711751662973</v>
      </c>
      <c r="J26" s="242">
        <f t="shared" si="10"/>
        <v>6651.8847006651886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43266</v>
      </c>
      <c r="D27" s="161" t="s">
        <v>8</v>
      </c>
      <c r="E27" s="161" t="s">
        <v>78</v>
      </c>
      <c r="F27" s="222">
        <v>1335</v>
      </c>
      <c r="G27" s="222">
        <v>1325</v>
      </c>
      <c r="H27" s="222">
        <v>10</v>
      </c>
      <c r="I27" s="207">
        <f t="shared" si="9"/>
        <v>224.71910112359549</v>
      </c>
      <c r="J27" s="242">
        <f t="shared" si="10"/>
        <v>2247.1910112359551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43269</v>
      </c>
      <c r="D28" s="161" t="s">
        <v>9</v>
      </c>
      <c r="E28" s="161" t="s">
        <v>395</v>
      </c>
      <c r="F28" s="222">
        <v>2340</v>
      </c>
      <c r="G28" s="222">
        <v>2320</v>
      </c>
      <c r="H28" s="222">
        <v>-20</v>
      </c>
      <c r="I28" s="207">
        <f t="shared" si="9"/>
        <v>128.2051282051282</v>
      </c>
      <c r="J28" s="242">
        <f t="shared" si="10"/>
        <v>-2564.102564102564</v>
      </c>
      <c r="K28" s="153"/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43269</v>
      </c>
      <c r="D29" s="161" t="s">
        <v>8</v>
      </c>
      <c r="E29" s="161" t="s">
        <v>834</v>
      </c>
      <c r="F29" s="222">
        <v>231</v>
      </c>
      <c r="G29" s="222">
        <v>229.4</v>
      </c>
      <c r="H29" s="222">
        <v>1.6</v>
      </c>
      <c r="I29" s="207">
        <f t="shared" si="9"/>
        <v>1298.7012987012988</v>
      </c>
      <c r="J29" s="242">
        <f t="shared" si="10"/>
        <v>2077.9220779220782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43270</v>
      </c>
      <c r="D30" s="161" t="s">
        <v>9</v>
      </c>
      <c r="E30" s="161" t="s">
        <v>126</v>
      </c>
      <c r="F30" s="222">
        <v>1833</v>
      </c>
      <c r="G30" s="222">
        <v>1825</v>
      </c>
      <c r="H30" s="222">
        <v>-8</v>
      </c>
      <c r="I30" s="207">
        <f t="shared" si="9"/>
        <v>163.66612111292963</v>
      </c>
      <c r="J30" s="242">
        <f t="shared" si="10"/>
        <v>-1309.328968903437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43270</v>
      </c>
      <c r="D31" s="161" t="s">
        <v>8</v>
      </c>
      <c r="E31" s="161" t="s">
        <v>78</v>
      </c>
      <c r="F31" s="222">
        <v>1319</v>
      </c>
      <c r="G31" s="222">
        <v>1309</v>
      </c>
      <c r="H31" s="222">
        <v>10</v>
      </c>
      <c r="I31" s="207">
        <f t="shared" si="9"/>
        <v>227.44503411675512</v>
      </c>
      <c r="J31" s="242">
        <f t="shared" si="10"/>
        <v>2274.4503411675514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43271</v>
      </c>
      <c r="D32" s="161" t="s">
        <v>9</v>
      </c>
      <c r="E32" s="161" t="s">
        <v>834</v>
      </c>
      <c r="F32" s="222">
        <v>228</v>
      </c>
      <c r="G32" s="222">
        <v>229.5</v>
      </c>
      <c r="H32" s="222">
        <v>1.5</v>
      </c>
      <c r="I32" s="207">
        <f t="shared" si="9"/>
        <v>1315.7894736842106</v>
      </c>
      <c r="J32" s="242">
        <f t="shared" si="10"/>
        <v>1973.6842105263158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43271</v>
      </c>
      <c r="D33" s="161" t="s">
        <v>8</v>
      </c>
      <c r="E33" s="161" t="s">
        <v>78</v>
      </c>
      <c r="F33" s="222">
        <v>1312</v>
      </c>
      <c r="G33" s="222">
        <v>1302</v>
      </c>
      <c r="H33" s="222">
        <v>10</v>
      </c>
      <c r="I33" s="207">
        <f t="shared" si="9"/>
        <v>228.65853658536585</v>
      </c>
      <c r="J33" s="242">
        <f t="shared" si="10"/>
        <v>2286.5853658536585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43272</v>
      </c>
      <c r="D34" s="161" t="s">
        <v>9</v>
      </c>
      <c r="E34" s="161" t="s">
        <v>834</v>
      </c>
      <c r="F34" s="222">
        <v>228</v>
      </c>
      <c r="G34" s="222">
        <v>229.9</v>
      </c>
      <c r="H34" s="222">
        <v>1.9</v>
      </c>
      <c r="I34" s="207">
        <f t="shared" si="9"/>
        <v>1315.7894736842106</v>
      </c>
      <c r="J34" s="242">
        <f t="shared" si="10"/>
        <v>2500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43272</v>
      </c>
      <c r="D35" s="161" t="s">
        <v>8</v>
      </c>
      <c r="E35" s="161" t="s">
        <v>78</v>
      </c>
      <c r="F35" s="222">
        <v>1314</v>
      </c>
      <c r="G35" s="222">
        <v>1294</v>
      </c>
      <c r="H35" s="222">
        <v>20</v>
      </c>
      <c r="I35" s="207">
        <f t="shared" si="9"/>
        <v>228.31050228310502</v>
      </c>
      <c r="J35" s="242">
        <f t="shared" si="10"/>
        <v>4566.2100456621001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43273</v>
      </c>
      <c r="D36" s="161" t="s">
        <v>9</v>
      </c>
      <c r="E36" s="161" t="s">
        <v>78</v>
      </c>
      <c r="F36" s="222">
        <v>1292</v>
      </c>
      <c r="G36" s="222">
        <v>1302</v>
      </c>
      <c r="H36" s="222">
        <v>10</v>
      </c>
      <c r="I36" s="207">
        <f t="shared" si="9"/>
        <v>232.19814241486068</v>
      </c>
      <c r="J36" s="242">
        <f t="shared" si="10"/>
        <v>2321.9814241486069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43273</v>
      </c>
      <c r="D37" s="161" t="s">
        <v>8</v>
      </c>
      <c r="E37" s="161" t="s">
        <v>796</v>
      </c>
      <c r="F37" s="222">
        <v>1010</v>
      </c>
      <c r="G37" s="222">
        <v>1018</v>
      </c>
      <c r="H37" s="222">
        <v>-8</v>
      </c>
      <c r="I37" s="207">
        <f t="shared" si="9"/>
        <v>297.02970297029702</v>
      </c>
      <c r="J37" s="242">
        <f t="shared" si="10"/>
        <v>-2376.2376237623762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43276</v>
      </c>
      <c r="D38" s="161" t="s">
        <v>9</v>
      </c>
      <c r="E38" s="161" t="s">
        <v>1439</v>
      </c>
      <c r="F38" s="222">
        <v>1013</v>
      </c>
      <c r="G38" s="222">
        <v>1005</v>
      </c>
      <c r="H38" s="222">
        <v>-8</v>
      </c>
      <c r="I38" s="207">
        <f t="shared" si="9"/>
        <v>296.15004935834156</v>
      </c>
      <c r="J38" s="242">
        <f t="shared" si="10"/>
        <v>-2369.2003948667325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43276</v>
      </c>
      <c r="D39" s="161" t="s">
        <v>8</v>
      </c>
      <c r="E39" s="161" t="s">
        <v>78</v>
      </c>
      <c r="F39" s="222">
        <v>1292</v>
      </c>
      <c r="G39" s="222">
        <v>1272</v>
      </c>
      <c r="H39" s="222">
        <v>30</v>
      </c>
      <c r="I39" s="207">
        <f t="shared" si="9"/>
        <v>232.19814241486068</v>
      </c>
      <c r="J39" s="242">
        <f t="shared" si="10"/>
        <v>6965.9442724458204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43277</v>
      </c>
      <c r="D40" s="161" t="s">
        <v>9</v>
      </c>
      <c r="E40" s="161" t="s">
        <v>94</v>
      </c>
      <c r="F40" s="222">
        <v>2095</v>
      </c>
      <c r="G40" s="222">
        <v>2095</v>
      </c>
      <c r="H40" s="222">
        <v>0</v>
      </c>
      <c r="I40" s="207">
        <f t="shared" si="9"/>
        <v>143.19809069212411</v>
      </c>
      <c r="J40" s="242">
        <f t="shared" si="10"/>
        <v>0</v>
      </c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43277</v>
      </c>
      <c r="D41" s="161" t="s">
        <v>8</v>
      </c>
      <c r="E41" s="161" t="s">
        <v>834</v>
      </c>
      <c r="F41" s="222">
        <v>230.5</v>
      </c>
      <c r="G41" s="223">
        <v>231.5</v>
      </c>
      <c r="H41" s="222">
        <v>-1</v>
      </c>
      <c r="I41" s="207">
        <f t="shared" si="9"/>
        <v>1301.5184381778743</v>
      </c>
      <c r="J41" s="242">
        <f t="shared" si="10"/>
        <v>-1301.5184381778743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43278</v>
      </c>
      <c r="D42" s="161" t="s">
        <v>9</v>
      </c>
      <c r="E42" s="161" t="s">
        <v>796</v>
      </c>
      <c r="F42" s="222">
        <v>1020</v>
      </c>
      <c r="G42" s="222">
        <v>1024</v>
      </c>
      <c r="H42" s="222">
        <v>4</v>
      </c>
      <c r="I42" s="207">
        <f t="shared" si="9"/>
        <v>294.11764705882354</v>
      </c>
      <c r="J42" s="242">
        <f t="shared" si="10"/>
        <v>1176.4705882352941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43278</v>
      </c>
      <c r="D43" s="161" t="s">
        <v>8</v>
      </c>
      <c r="E43" s="161" t="s">
        <v>192</v>
      </c>
      <c r="F43" s="222">
        <v>248.5</v>
      </c>
      <c r="G43" s="222">
        <v>242.5</v>
      </c>
      <c r="H43" s="222">
        <v>6</v>
      </c>
      <c r="I43" s="207">
        <f t="shared" si="9"/>
        <v>1207.2434607645876</v>
      </c>
      <c r="J43" s="242">
        <f t="shared" si="10"/>
        <v>7243.4607645875258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43279</v>
      </c>
      <c r="D44" s="161" t="s">
        <v>9</v>
      </c>
      <c r="E44" s="161" t="s">
        <v>395</v>
      </c>
      <c r="F44" s="222">
        <v>2316</v>
      </c>
      <c r="G44" s="222">
        <v>2296</v>
      </c>
      <c r="H44" s="222">
        <v>-20</v>
      </c>
      <c r="I44" s="207">
        <f t="shared" si="9"/>
        <v>129.53367875647669</v>
      </c>
      <c r="J44" s="242">
        <f t="shared" si="10"/>
        <v>-2590.6735751295337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43279</v>
      </c>
      <c r="D45" s="161" t="s">
        <v>8</v>
      </c>
      <c r="E45" s="161" t="s">
        <v>126</v>
      </c>
      <c r="F45" s="222">
        <v>1850</v>
      </c>
      <c r="G45" s="222">
        <v>1830</v>
      </c>
      <c r="H45" s="222">
        <v>20</v>
      </c>
      <c r="I45" s="207">
        <f t="shared" si="9"/>
        <v>162.16216216216216</v>
      </c>
      <c r="J45" s="242">
        <f t="shared" si="10"/>
        <v>3243.2432432432433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43280</v>
      </c>
      <c r="D46" s="161" t="s">
        <v>9</v>
      </c>
      <c r="E46" s="161" t="s">
        <v>78</v>
      </c>
      <c r="F46" s="222">
        <v>1250</v>
      </c>
      <c r="G46" s="222">
        <v>1270</v>
      </c>
      <c r="H46" s="222">
        <v>20</v>
      </c>
      <c r="I46" s="207">
        <f t="shared" si="9"/>
        <v>240</v>
      </c>
      <c r="J46" s="242">
        <f t="shared" si="10"/>
        <v>4800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43280</v>
      </c>
      <c r="D47" s="161" t="s">
        <v>8</v>
      </c>
      <c r="E47" s="161" t="s">
        <v>95</v>
      </c>
      <c r="F47" s="222">
        <v>271</v>
      </c>
      <c r="G47" s="222">
        <v>274</v>
      </c>
      <c r="H47" s="222">
        <v>-4</v>
      </c>
      <c r="I47" s="207">
        <f t="shared" si="9"/>
        <v>1107.0110701107012</v>
      </c>
      <c r="J47" s="242">
        <f t="shared" si="10"/>
        <v>-4428.0442804428048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83587.278532969794</v>
      </c>
      <c r="K52" s="153"/>
      <c r="V52" s="25">
        <f>SUM(V6:V51)</f>
        <v>30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2504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43252</v>
      </c>
      <c r="D60" s="158" t="s">
        <v>9</v>
      </c>
      <c r="E60" s="158" t="s">
        <v>395</v>
      </c>
      <c r="F60" s="204">
        <v>1960</v>
      </c>
      <c r="G60" s="230">
        <v>1970</v>
      </c>
      <c r="H60" s="230">
        <v>10</v>
      </c>
      <c r="I60" s="204">
        <v>250</v>
      </c>
      <c r="J60" s="241">
        <f t="shared" ref="J60:J82" si="17">I60*H60</f>
        <v>2500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43255</v>
      </c>
      <c r="D61" s="161" t="s">
        <v>8</v>
      </c>
      <c r="E61" s="161" t="s">
        <v>78</v>
      </c>
      <c r="F61" s="207">
        <v>1375</v>
      </c>
      <c r="G61" s="222">
        <v>1355</v>
      </c>
      <c r="H61" s="222">
        <v>20</v>
      </c>
      <c r="I61" s="207">
        <v>750</v>
      </c>
      <c r="J61" s="242">
        <f t="shared" si="17"/>
        <v>15000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43256</v>
      </c>
      <c r="D62" s="161" t="s">
        <v>8</v>
      </c>
      <c r="E62" s="161" t="s">
        <v>78</v>
      </c>
      <c r="F62" s="207">
        <v>1342</v>
      </c>
      <c r="G62" s="222">
        <v>1332</v>
      </c>
      <c r="H62" s="222">
        <v>10</v>
      </c>
      <c r="I62" s="207">
        <v>750</v>
      </c>
      <c r="J62" s="242">
        <f t="shared" si="17"/>
        <v>7500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43257</v>
      </c>
      <c r="D63" s="161" t="s">
        <v>8</v>
      </c>
      <c r="E63" s="161" t="s">
        <v>78</v>
      </c>
      <c r="F63" s="222">
        <v>1350</v>
      </c>
      <c r="G63" s="222">
        <v>1343</v>
      </c>
      <c r="H63" s="222">
        <v>7</v>
      </c>
      <c r="I63" s="207">
        <v>750</v>
      </c>
      <c r="J63" s="242">
        <f t="shared" si="17"/>
        <v>5250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43258</v>
      </c>
      <c r="D64" s="161" t="s">
        <v>8</v>
      </c>
      <c r="E64" s="161" t="s">
        <v>78</v>
      </c>
      <c r="F64" s="207">
        <v>1363</v>
      </c>
      <c r="G64" s="222">
        <v>1355</v>
      </c>
      <c r="H64" s="222">
        <v>8</v>
      </c>
      <c r="I64" s="207">
        <v>750</v>
      </c>
      <c r="J64" s="242">
        <f t="shared" si="17"/>
        <v>6000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43259</v>
      </c>
      <c r="D65" s="161" t="s">
        <v>8</v>
      </c>
      <c r="E65" s="161" t="s">
        <v>78</v>
      </c>
      <c r="F65" s="207">
        <v>1346</v>
      </c>
      <c r="G65" s="222">
        <v>1336</v>
      </c>
      <c r="H65" s="222">
        <v>10</v>
      </c>
      <c r="I65" s="207">
        <v>750</v>
      </c>
      <c r="J65" s="242">
        <f t="shared" si="17"/>
        <v>7500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43262</v>
      </c>
      <c r="D66" s="161" t="s">
        <v>8</v>
      </c>
      <c r="E66" s="161" t="s">
        <v>78</v>
      </c>
      <c r="F66" s="207">
        <v>1353</v>
      </c>
      <c r="G66" s="222">
        <v>1343</v>
      </c>
      <c r="H66" s="222">
        <v>10</v>
      </c>
      <c r="I66" s="207">
        <v>750</v>
      </c>
      <c r="J66" s="242">
        <f t="shared" si="17"/>
        <v>7500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43263</v>
      </c>
      <c r="D67" s="161" t="s">
        <v>8</v>
      </c>
      <c r="E67" s="161" t="s">
        <v>78</v>
      </c>
      <c r="F67" s="207">
        <v>1353</v>
      </c>
      <c r="G67" s="222">
        <v>1363</v>
      </c>
      <c r="H67" s="222">
        <v>-10</v>
      </c>
      <c r="I67" s="207">
        <v>750</v>
      </c>
      <c r="J67" s="242">
        <f t="shared" si="17"/>
        <v>-7500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43264</v>
      </c>
      <c r="D68" s="161" t="s">
        <v>8</v>
      </c>
      <c r="E68" s="161" t="s">
        <v>139</v>
      </c>
      <c r="F68" s="222">
        <v>334.5</v>
      </c>
      <c r="G68" s="222">
        <v>334.3</v>
      </c>
      <c r="H68" s="222">
        <v>0.2</v>
      </c>
      <c r="I68" s="207">
        <v>1750</v>
      </c>
      <c r="J68" s="242">
        <f t="shared" si="17"/>
        <v>350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43265</v>
      </c>
      <c r="D69" s="161" t="s">
        <v>8</v>
      </c>
      <c r="E69" s="161" t="s">
        <v>95</v>
      </c>
      <c r="F69" s="222">
        <v>287.5</v>
      </c>
      <c r="G69" s="222">
        <v>285.3</v>
      </c>
      <c r="H69" s="222">
        <v>2.2000000000000002</v>
      </c>
      <c r="I69" s="207">
        <v>2750</v>
      </c>
      <c r="J69" s="242">
        <f t="shared" si="17"/>
        <v>6050.0000000000009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43266</v>
      </c>
      <c r="D70" s="161" t="s">
        <v>8</v>
      </c>
      <c r="E70" s="161" t="s">
        <v>834</v>
      </c>
      <c r="F70" s="222">
        <v>240</v>
      </c>
      <c r="G70" s="222">
        <v>236</v>
      </c>
      <c r="H70" s="222">
        <v>4</v>
      </c>
      <c r="I70" s="207">
        <v>1750</v>
      </c>
      <c r="J70" s="242">
        <f t="shared" si="17"/>
        <v>7000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43269</v>
      </c>
      <c r="D71" s="161" t="s">
        <v>9</v>
      </c>
      <c r="E71" s="161" t="s">
        <v>433</v>
      </c>
      <c r="F71" s="222">
        <v>264</v>
      </c>
      <c r="G71" s="222">
        <v>261</v>
      </c>
      <c r="H71" s="222">
        <v>-3</v>
      </c>
      <c r="I71" s="207">
        <v>2750</v>
      </c>
      <c r="J71" s="242">
        <f t="shared" si="17"/>
        <v>-8250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43270</v>
      </c>
      <c r="D72" s="161" t="s">
        <v>8</v>
      </c>
      <c r="E72" s="161" t="s">
        <v>31</v>
      </c>
      <c r="F72" s="222">
        <v>1002</v>
      </c>
      <c r="G72" s="222">
        <v>990</v>
      </c>
      <c r="H72" s="222">
        <v>12</v>
      </c>
      <c r="I72" s="207">
        <v>1000</v>
      </c>
      <c r="J72" s="242">
        <f t="shared" si="17"/>
        <v>12000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43271</v>
      </c>
      <c r="D73" s="161" t="s">
        <v>8</v>
      </c>
      <c r="E73" s="161" t="s">
        <v>395</v>
      </c>
      <c r="F73" s="223">
        <v>2370</v>
      </c>
      <c r="G73" s="222">
        <v>2360</v>
      </c>
      <c r="H73" s="255">
        <v>10</v>
      </c>
      <c r="I73" s="207">
        <v>250</v>
      </c>
      <c r="J73" s="242">
        <f t="shared" si="17"/>
        <v>2500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43272</v>
      </c>
      <c r="D74" s="161" t="s">
        <v>8</v>
      </c>
      <c r="E74" s="161" t="s">
        <v>192</v>
      </c>
      <c r="F74" s="222">
        <v>259.5</v>
      </c>
      <c r="G74" s="222">
        <v>254.5</v>
      </c>
      <c r="H74" s="255">
        <v>5</v>
      </c>
      <c r="I74" s="207">
        <v>1650</v>
      </c>
      <c r="J74" s="242">
        <f t="shared" si="17"/>
        <v>8250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43273</v>
      </c>
      <c r="D75" s="161" t="s">
        <v>8</v>
      </c>
      <c r="E75" s="161" t="s">
        <v>95</v>
      </c>
      <c r="F75" s="222">
        <v>297</v>
      </c>
      <c r="G75" s="222">
        <v>296</v>
      </c>
      <c r="H75" s="222">
        <v>1</v>
      </c>
      <c r="I75" s="207">
        <v>2750</v>
      </c>
      <c r="J75" s="242">
        <f t="shared" si="17"/>
        <v>2750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43276</v>
      </c>
      <c r="D76" s="161" t="s">
        <v>8</v>
      </c>
      <c r="E76" s="161" t="s">
        <v>192</v>
      </c>
      <c r="F76" s="222">
        <v>257.5</v>
      </c>
      <c r="G76" s="222">
        <v>250</v>
      </c>
      <c r="H76" s="222">
        <v>7.5</v>
      </c>
      <c r="I76" s="207">
        <v>1650</v>
      </c>
      <c r="J76" s="242">
        <f t="shared" si="17"/>
        <v>12375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43277</v>
      </c>
      <c r="D77" s="161" t="s">
        <v>8</v>
      </c>
      <c r="E77" s="161" t="s">
        <v>95</v>
      </c>
      <c r="F77" s="222">
        <v>286</v>
      </c>
      <c r="G77" s="222">
        <v>289</v>
      </c>
      <c r="H77" s="222">
        <v>-3</v>
      </c>
      <c r="I77" s="207">
        <v>2750</v>
      </c>
      <c r="J77" s="242">
        <f t="shared" si="17"/>
        <v>-8250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43278</v>
      </c>
      <c r="D78" s="161" t="s">
        <v>8</v>
      </c>
      <c r="E78" s="161" t="s">
        <v>78</v>
      </c>
      <c r="F78" s="222">
        <v>1253</v>
      </c>
      <c r="G78" s="222">
        <v>1233</v>
      </c>
      <c r="H78" s="222">
        <v>20</v>
      </c>
      <c r="I78" s="207">
        <v>750</v>
      </c>
      <c r="J78" s="242">
        <f t="shared" si="17"/>
        <v>15000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43279</v>
      </c>
      <c r="D79" s="161" t="s">
        <v>8</v>
      </c>
      <c r="E79" s="161" t="s">
        <v>78</v>
      </c>
      <c r="F79" s="222">
        <v>1228</v>
      </c>
      <c r="G79" s="222">
        <v>1218</v>
      </c>
      <c r="H79" s="222">
        <v>10</v>
      </c>
      <c r="I79" s="207">
        <v>750</v>
      </c>
      <c r="J79" s="242">
        <f t="shared" si="17"/>
        <v>7500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43280</v>
      </c>
      <c r="D80" s="161" t="s">
        <v>8</v>
      </c>
      <c r="E80" s="161" t="s">
        <v>395</v>
      </c>
      <c r="F80" s="222">
        <v>2250</v>
      </c>
      <c r="G80" s="222">
        <v>2219</v>
      </c>
      <c r="H80" s="222">
        <v>31</v>
      </c>
      <c r="I80" s="207">
        <v>250</v>
      </c>
      <c r="J80" s="242">
        <f t="shared" si="17"/>
        <v>7750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108775</v>
      </c>
      <c r="K83" s="153"/>
      <c r="V83" s="25">
        <f>SUM(V60:V82)</f>
        <v>18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2504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43252</v>
      </c>
      <c r="D91" s="185" t="s">
        <v>9</v>
      </c>
      <c r="E91" s="185" t="s">
        <v>39</v>
      </c>
      <c r="F91" s="219">
        <v>10730</v>
      </c>
      <c r="G91" s="219">
        <v>10700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43255</v>
      </c>
      <c r="D92" s="161" t="s">
        <v>8</v>
      </c>
      <c r="E92" s="161" t="s">
        <v>39</v>
      </c>
      <c r="F92" s="207">
        <v>10670</v>
      </c>
      <c r="G92" s="207">
        <v>10610</v>
      </c>
      <c r="H92" s="161">
        <v>60</v>
      </c>
      <c r="I92" s="207">
        <v>150</v>
      </c>
      <c r="J92" s="242">
        <f t="shared" si="21"/>
        <v>9000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43256</v>
      </c>
      <c r="D93" s="161" t="s">
        <v>8</v>
      </c>
      <c r="E93" s="161" t="s">
        <v>39</v>
      </c>
      <c r="F93" s="207">
        <v>10585</v>
      </c>
      <c r="G93" s="207">
        <v>10568</v>
      </c>
      <c r="H93" s="161">
        <v>17</v>
      </c>
      <c r="I93" s="207">
        <v>150</v>
      </c>
      <c r="J93" s="242">
        <f t="shared" si="21"/>
        <v>2550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43257</v>
      </c>
      <c r="D94" s="161" t="s">
        <v>8</v>
      </c>
      <c r="E94" s="161" t="s">
        <v>39</v>
      </c>
      <c r="F94" s="207">
        <v>10635</v>
      </c>
      <c r="G94" s="207">
        <v>10620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43258</v>
      </c>
      <c r="D95" s="161" t="s">
        <v>9</v>
      </c>
      <c r="E95" s="161" t="s">
        <v>39</v>
      </c>
      <c r="F95" s="207">
        <v>10740</v>
      </c>
      <c r="G95" s="207">
        <v>10800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43259</v>
      </c>
      <c r="D96" s="161" t="s">
        <v>8</v>
      </c>
      <c r="E96" s="161" t="s">
        <v>39</v>
      </c>
      <c r="F96" s="207">
        <v>10735</v>
      </c>
      <c r="G96" s="207">
        <v>10695</v>
      </c>
      <c r="H96" s="161">
        <v>40</v>
      </c>
      <c r="I96" s="207">
        <v>150</v>
      </c>
      <c r="J96" s="242">
        <f t="shared" si="21"/>
        <v>6000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43262</v>
      </c>
      <c r="D97" s="161" t="s">
        <v>9</v>
      </c>
      <c r="E97" s="161" t="s">
        <v>39</v>
      </c>
      <c r="F97" s="207">
        <v>10810</v>
      </c>
      <c r="G97" s="207">
        <v>10825</v>
      </c>
      <c r="H97" s="161">
        <v>15</v>
      </c>
      <c r="I97" s="207">
        <v>150</v>
      </c>
      <c r="J97" s="242">
        <f t="shared" si="21"/>
        <v>2250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43263</v>
      </c>
      <c r="D98" s="161" t="s">
        <v>8</v>
      </c>
      <c r="E98" s="161" t="s">
        <v>39</v>
      </c>
      <c r="F98" s="207">
        <v>10815</v>
      </c>
      <c r="G98" s="207">
        <v>10845</v>
      </c>
      <c r="H98" s="161">
        <v>-30</v>
      </c>
      <c r="I98" s="207">
        <v>150</v>
      </c>
      <c r="J98" s="242">
        <f t="shared" si="21"/>
        <v>-4500</v>
      </c>
      <c r="K98" s="153"/>
      <c r="V98" s="25">
        <f t="shared" si="22"/>
        <v>0</v>
      </c>
      <c r="W98" s="25">
        <f t="shared" si="23"/>
        <v>1</v>
      </c>
    </row>
    <row r="99" spans="1:23" x14ac:dyDescent="0.3">
      <c r="A99" s="147"/>
      <c r="B99" s="205">
        <f t="shared" si="24"/>
        <v>9</v>
      </c>
      <c r="C99" s="206">
        <v>43264</v>
      </c>
      <c r="D99" s="161" t="s">
        <v>8</v>
      </c>
      <c r="E99" s="161" t="s">
        <v>39</v>
      </c>
      <c r="F99" s="207">
        <v>10840</v>
      </c>
      <c r="G99" s="207">
        <v>10870</v>
      </c>
      <c r="H99" s="161">
        <v>-30</v>
      </c>
      <c r="I99" s="207">
        <v>150</v>
      </c>
      <c r="J99" s="242">
        <f t="shared" si="21"/>
        <v>-4500</v>
      </c>
      <c r="K99" s="153"/>
      <c r="V99" s="25">
        <f t="shared" si="22"/>
        <v>0</v>
      </c>
      <c r="W99" s="25">
        <f t="shared" si="23"/>
        <v>1</v>
      </c>
    </row>
    <row r="100" spans="1:23" x14ac:dyDescent="0.3">
      <c r="A100" s="147"/>
      <c r="B100" s="205">
        <f t="shared" si="24"/>
        <v>10</v>
      </c>
      <c r="C100" s="206">
        <v>43265</v>
      </c>
      <c r="D100" s="161" t="s">
        <v>8</v>
      </c>
      <c r="E100" s="161" t="s">
        <v>39</v>
      </c>
      <c r="F100" s="207">
        <v>10805</v>
      </c>
      <c r="G100" s="207">
        <v>10775</v>
      </c>
      <c r="H100" s="161">
        <v>30</v>
      </c>
      <c r="I100" s="207">
        <v>150</v>
      </c>
      <c r="J100" s="242">
        <f t="shared" si="21"/>
        <v>4500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43266</v>
      </c>
      <c r="D101" s="161" t="s">
        <v>9</v>
      </c>
      <c r="E101" s="161" t="s">
        <v>39</v>
      </c>
      <c r="F101" s="207">
        <v>10820</v>
      </c>
      <c r="G101" s="207">
        <v>10835</v>
      </c>
      <c r="H101" s="161">
        <v>15</v>
      </c>
      <c r="I101" s="207">
        <v>150</v>
      </c>
      <c r="J101" s="242">
        <f t="shared" si="21"/>
        <v>2250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43269</v>
      </c>
      <c r="D102" s="161" t="s">
        <v>8</v>
      </c>
      <c r="E102" s="161" t="s">
        <v>39</v>
      </c>
      <c r="F102" s="207">
        <v>10810</v>
      </c>
      <c r="G102" s="207">
        <v>10788</v>
      </c>
      <c r="H102" s="161">
        <v>22</v>
      </c>
      <c r="I102" s="207">
        <v>150</v>
      </c>
      <c r="J102" s="242">
        <f t="shared" si="21"/>
        <v>3300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43270</v>
      </c>
      <c r="D103" s="161" t="s">
        <v>8</v>
      </c>
      <c r="E103" s="161" t="s">
        <v>39</v>
      </c>
      <c r="F103" s="207">
        <v>10745</v>
      </c>
      <c r="G103" s="207">
        <v>10705</v>
      </c>
      <c r="H103" s="161">
        <v>40</v>
      </c>
      <c r="I103" s="207">
        <v>150</v>
      </c>
      <c r="J103" s="242">
        <f t="shared" si="21"/>
        <v>6000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43271</v>
      </c>
      <c r="D104" s="161" t="s">
        <v>8</v>
      </c>
      <c r="E104" s="161" t="s">
        <v>39</v>
      </c>
      <c r="F104" s="207">
        <v>10740</v>
      </c>
      <c r="G104" s="207">
        <v>10770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43272</v>
      </c>
      <c r="D105" s="161" t="s">
        <v>8</v>
      </c>
      <c r="E105" s="161" t="s">
        <v>39</v>
      </c>
      <c r="F105" s="207">
        <v>10780</v>
      </c>
      <c r="G105" s="207">
        <v>10720</v>
      </c>
      <c r="H105" s="161">
        <v>60</v>
      </c>
      <c r="I105" s="207">
        <v>150</v>
      </c>
      <c r="J105" s="242">
        <f t="shared" si="21"/>
        <v>9000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43273</v>
      </c>
      <c r="D106" s="161" t="s">
        <v>8</v>
      </c>
      <c r="E106" s="161" t="s">
        <v>39</v>
      </c>
      <c r="F106" s="207">
        <v>10725</v>
      </c>
      <c r="G106" s="207">
        <v>10755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43276</v>
      </c>
      <c r="D107" s="161" t="s">
        <v>8</v>
      </c>
      <c r="E107" s="161" t="s">
        <v>39</v>
      </c>
      <c r="F107" s="207">
        <v>10805</v>
      </c>
      <c r="G107" s="207">
        <v>10753</v>
      </c>
      <c r="H107" s="161">
        <v>52</v>
      </c>
      <c r="I107" s="207">
        <v>150</v>
      </c>
      <c r="J107" s="242">
        <f t="shared" si="21"/>
        <v>7800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43277</v>
      </c>
      <c r="D108" s="161" t="s">
        <v>8</v>
      </c>
      <c r="E108" s="161" t="s">
        <v>39</v>
      </c>
      <c r="F108" s="207">
        <v>10775</v>
      </c>
      <c r="G108" s="207">
        <v>10780</v>
      </c>
      <c r="H108" s="161">
        <v>-5</v>
      </c>
      <c r="I108" s="207">
        <v>150</v>
      </c>
      <c r="J108" s="242">
        <f t="shared" si="21"/>
        <v>-750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43278</v>
      </c>
      <c r="D109" s="161" t="s">
        <v>8</v>
      </c>
      <c r="E109" s="161" t="s">
        <v>39</v>
      </c>
      <c r="F109" s="207">
        <v>10720</v>
      </c>
      <c r="G109" s="207">
        <v>10660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43279</v>
      </c>
      <c r="D110" s="161" t="s">
        <v>8</v>
      </c>
      <c r="E110" s="161" t="s">
        <v>39</v>
      </c>
      <c r="F110" s="207">
        <v>10660</v>
      </c>
      <c r="G110" s="207">
        <v>10600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43280</v>
      </c>
      <c r="D111" s="161" t="s">
        <v>8</v>
      </c>
      <c r="E111" s="161" t="s">
        <v>39</v>
      </c>
      <c r="F111" s="207">
        <v>10645</v>
      </c>
      <c r="G111" s="207">
        <v>10675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54150</v>
      </c>
      <c r="K114" s="153"/>
      <c r="V114" s="25">
        <f>SUM(V91:V113)</f>
        <v>14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2504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43252</v>
      </c>
      <c r="D122" s="185" t="s">
        <v>9</v>
      </c>
      <c r="E122" s="185" t="s">
        <v>2486</v>
      </c>
      <c r="F122" s="219">
        <v>153</v>
      </c>
      <c r="G122" s="219">
        <v>133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43255</v>
      </c>
      <c r="D123" s="161" t="s">
        <v>9</v>
      </c>
      <c r="E123" s="161" t="s">
        <v>2423</v>
      </c>
      <c r="F123" s="207">
        <v>155</v>
      </c>
      <c r="G123" s="207">
        <v>195</v>
      </c>
      <c r="H123" s="161">
        <v>40</v>
      </c>
      <c r="I123" s="207">
        <v>300</v>
      </c>
      <c r="J123" s="242">
        <f t="shared" si="25"/>
        <v>12000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43256</v>
      </c>
      <c r="D124" s="161" t="s">
        <v>9</v>
      </c>
      <c r="E124" s="161" t="s">
        <v>2499</v>
      </c>
      <c r="F124" s="207">
        <v>145</v>
      </c>
      <c r="G124" s="207">
        <v>155</v>
      </c>
      <c r="H124" s="161">
        <v>10</v>
      </c>
      <c r="I124" s="207">
        <v>300</v>
      </c>
      <c r="J124" s="242">
        <f t="shared" si="25"/>
        <v>3000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43257</v>
      </c>
      <c r="D125" s="161" t="s">
        <v>9</v>
      </c>
      <c r="E125" s="161" t="s">
        <v>2412</v>
      </c>
      <c r="F125" s="207">
        <v>114</v>
      </c>
      <c r="G125" s="207">
        <v>94</v>
      </c>
      <c r="H125" s="161">
        <v>-20</v>
      </c>
      <c r="I125" s="207">
        <v>300</v>
      </c>
      <c r="J125" s="242">
        <f t="shared" si="25"/>
        <v>-6000</v>
      </c>
      <c r="K125" s="153"/>
      <c r="V125" s="25">
        <f t="shared" si="26"/>
        <v>0</v>
      </c>
      <c r="W125" s="25">
        <f t="shared" si="27"/>
        <v>1</v>
      </c>
    </row>
    <row r="126" spans="1:23" x14ac:dyDescent="0.3">
      <c r="A126" s="147"/>
      <c r="B126" s="205">
        <f t="shared" si="28"/>
        <v>5</v>
      </c>
      <c r="C126" s="206">
        <v>43258</v>
      </c>
      <c r="D126" s="161" t="s">
        <v>9</v>
      </c>
      <c r="E126" s="161" t="s">
        <v>2486</v>
      </c>
      <c r="F126" s="207">
        <v>135</v>
      </c>
      <c r="G126" s="207">
        <v>175</v>
      </c>
      <c r="H126" s="161">
        <v>40</v>
      </c>
      <c r="I126" s="207">
        <v>300</v>
      </c>
      <c r="J126" s="242">
        <f t="shared" si="25"/>
        <v>12000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43259</v>
      </c>
      <c r="D127" s="161" t="s">
        <v>9</v>
      </c>
      <c r="E127" s="161" t="s">
        <v>2429</v>
      </c>
      <c r="F127" s="207">
        <v>144</v>
      </c>
      <c r="G127" s="207">
        <v>173</v>
      </c>
      <c r="H127" s="161">
        <v>29</v>
      </c>
      <c r="I127" s="207">
        <v>300</v>
      </c>
      <c r="J127" s="242">
        <f t="shared" si="25"/>
        <v>8700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43262</v>
      </c>
      <c r="D128" s="161" t="s">
        <v>9</v>
      </c>
      <c r="E128" s="161" t="s">
        <v>2434</v>
      </c>
      <c r="F128" s="207">
        <v>115</v>
      </c>
      <c r="G128" s="207">
        <v>108</v>
      </c>
      <c r="H128" s="161">
        <v>7</v>
      </c>
      <c r="I128" s="207">
        <v>300</v>
      </c>
      <c r="J128" s="242">
        <f t="shared" si="25"/>
        <v>2100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43263</v>
      </c>
      <c r="D129" s="161" t="s">
        <v>9</v>
      </c>
      <c r="E129" s="161" t="s">
        <v>2429</v>
      </c>
      <c r="F129" s="207">
        <v>100</v>
      </c>
      <c r="G129" s="207">
        <v>94</v>
      </c>
      <c r="H129" s="161">
        <v>-6</v>
      </c>
      <c r="I129" s="207">
        <v>300</v>
      </c>
      <c r="J129" s="242">
        <f t="shared" si="25"/>
        <v>-1800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43264</v>
      </c>
      <c r="D130" s="161" t="s">
        <v>9</v>
      </c>
      <c r="E130" s="161" t="s">
        <v>2508</v>
      </c>
      <c r="F130" s="207">
        <v>133</v>
      </c>
      <c r="G130" s="207">
        <v>113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43265</v>
      </c>
      <c r="D131" s="161" t="s">
        <v>9</v>
      </c>
      <c r="E131" s="161" t="s">
        <v>2429</v>
      </c>
      <c r="F131" s="207">
        <v>100</v>
      </c>
      <c r="G131" s="207">
        <v>80</v>
      </c>
      <c r="H131" s="161">
        <v>-20</v>
      </c>
      <c r="I131" s="207">
        <v>300</v>
      </c>
      <c r="J131" s="242">
        <f t="shared" si="25"/>
        <v>-6000</v>
      </c>
      <c r="K131" s="153"/>
      <c r="V131" s="25">
        <f t="shared" si="26"/>
        <v>0</v>
      </c>
      <c r="W131" s="25">
        <f t="shared" si="27"/>
        <v>1</v>
      </c>
    </row>
    <row r="132" spans="1:23" x14ac:dyDescent="0.3">
      <c r="A132" s="147"/>
      <c r="B132" s="205">
        <f t="shared" si="28"/>
        <v>11</v>
      </c>
      <c r="C132" s="206">
        <v>43266</v>
      </c>
      <c r="D132" s="161" t="s">
        <v>9</v>
      </c>
      <c r="E132" s="161" t="s">
        <v>2434</v>
      </c>
      <c r="F132" s="207">
        <v>100</v>
      </c>
      <c r="G132" s="207">
        <v>80</v>
      </c>
      <c r="H132" s="161">
        <v>-20</v>
      </c>
      <c r="I132" s="207">
        <v>300</v>
      </c>
      <c r="J132" s="242">
        <f t="shared" si="25"/>
        <v>-6000</v>
      </c>
      <c r="K132" s="153"/>
      <c r="V132" s="25">
        <f t="shared" si="26"/>
        <v>0</v>
      </c>
      <c r="W132" s="25">
        <f t="shared" si="27"/>
        <v>1</v>
      </c>
    </row>
    <row r="133" spans="1:23" x14ac:dyDescent="0.3">
      <c r="A133" s="147"/>
      <c r="B133" s="205">
        <f t="shared" si="28"/>
        <v>12</v>
      </c>
      <c r="C133" s="206">
        <v>43269</v>
      </c>
      <c r="D133" s="161" t="s">
        <v>9</v>
      </c>
      <c r="E133" s="161" t="s">
        <v>2429</v>
      </c>
      <c r="F133" s="207">
        <v>84</v>
      </c>
      <c r="G133" s="207">
        <v>88</v>
      </c>
      <c r="H133" s="161">
        <v>4</v>
      </c>
      <c r="I133" s="207">
        <v>300</v>
      </c>
      <c r="J133" s="242">
        <f t="shared" si="25"/>
        <v>1200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43362</v>
      </c>
      <c r="D134" s="161" t="s">
        <v>9</v>
      </c>
      <c r="E134" s="161" t="s">
        <v>2429</v>
      </c>
      <c r="F134" s="207">
        <v>115</v>
      </c>
      <c r="G134" s="207">
        <v>135</v>
      </c>
      <c r="H134" s="161">
        <v>20</v>
      </c>
      <c r="I134" s="207">
        <v>300</v>
      </c>
      <c r="J134" s="242">
        <f t="shared" si="25"/>
        <v>6000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43271</v>
      </c>
      <c r="D135" s="161" t="s">
        <v>9</v>
      </c>
      <c r="E135" s="161" t="s">
        <v>2429</v>
      </c>
      <c r="F135" s="207">
        <v>87</v>
      </c>
      <c r="G135" s="207">
        <v>76</v>
      </c>
      <c r="H135" s="161">
        <v>-11</v>
      </c>
      <c r="I135" s="207">
        <v>300</v>
      </c>
      <c r="J135" s="242">
        <f>I135*H135</f>
        <v>-3300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43272</v>
      </c>
      <c r="D136" s="161" t="s">
        <v>9</v>
      </c>
      <c r="E136" s="161" t="s">
        <v>2429</v>
      </c>
      <c r="F136" s="207">
        <v>82</v>
      </c>
      <c r="G136" s="207">
        <v>112</v>
      </c>
      <c r="H136" s="161">
        <v>30</v>
      </c>
      <c r="I136" s="207">
        <v>300</v>
      </c>
      <c r="J136" s="242">
        <f t="shared" si="25"/>
        <v>9000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43273</v>
      </c>
      <c r="D137" s="161" t="s">
        <v>9</v>
      </c>
      <c r="E137" s="161" t="s">
        <v>2429</v>
      </c>
      <c r="F137" s="207">
        <v>95</v>
      </c>
      <c r="G137" s="207">
        <v>75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43276</v>
      </c>
      <c r="D138" s="161" t="s">
        <v>9</v>
      </c>
      <c r="E138" s="161" t="s">
        <v>2508</v>
      </c>
      <c r="F138" s="207">
        <v>113</v>
      </c>
      <c r="G138" s="207">
        <v>153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43277</v>
      </c>
      <c r="D139" s="161" t="s">
        <v>9</v>
      </c>
      <c r="E139" s="161" t="s">
        <v>2508</v>
      </c>
      <c r="F139" s="207">
        <v>132</v>
      </c>
      <c r="G139" s="207">
        <v>162</v>
      </c>
      <c r="H139" s="161">
        <v>30</v>
      </c>
      <c r="I139" s="207">
        <v>300</v>
      </c>
      <c r="J139" s="242">
        <f t="shared" si="25"/>
        <v>9000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43278</v>
      </c>
      <c r="D140" s="161" t="s">
        <v>9</v>
      </c>
      <c r="E140" s="161" t="s">
        <v>2429</v>
      </c>
      <c r="F140" s="207">
        <v>82</v>
      </c>
      <c r="G140" s="207">
        <v>122</v>
      </c>
      <c r="H140" s="161">
        <v>40</v>
      </c>
      <c r="I140" s="207">
        <v>300</v>
      </c>
      <c r="J140" s="242">
        <f t="shared" si="25"/>
        <v>12000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43279</v>
      </c>
      <c r="D141" s="161" t="s">
        <v>9</v>
      </c>
      <c r="E141" s="161" t="s">
        <v>2429</v>
      </c>
      <c r="F141" s="207">
        <v>150</v>
      </c>
      <c r="G141" s="207">
        <v>190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43280</v>
      </c>
      <c r="D142" s="161" t="s">
        <v>9</v>
      </c>
      <c r="E142" s="161" t="s">
        <v>2412</v>
      </c>
      <c r="F142" s="207">
        <v>110</v>
      </c>
      <c r="G142" s="207">
        <v>100</v>
      </c>
      <c r="H142" s="161">
        <v>-10</v>
      </c>
      <c r="I142" s="207">
        <v>300</v>
      </c>
      <c r="J142" s="242">
        <f t="shared" si="25"/>
        <v>-3000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54900</v>
      </c>
      <c r="K145" s="153"/>
      <c r="V145" s="25">
        <f>SUM(V122:V144)</f>
        <v>12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2504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43252</v>
      </c>
      <c r="D153" s="185" t="s">
        <v>9</v>
      </c>
      <c r="E153" s="185" t="s">
        <v>301</v>
      </c>
      <c r="F153" s="219">
        <v>26800</v>
      </c>
      <c r="G153" s="219">
        <v>26700</v>
      </c>
      <c r="H153" s="185">
        <v>-100</v>
      </c>
      <c r="I153" s="219">
        <v>80</v>
      </c>
      <c r="J153" s="246">
        <f t="shared" ref="J153:J175" si="29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43255</v>
      </c>
      <c r="D154" s="161" t="s">
        <v>8</v>
      </c>
      <c r="E154" s="161" t="s">
        <v>301</v>
      </c>
      <c r="F154" s="207">
        <v>26510</v>
      </c>
      <c r="G154" s="207">
        <v>26310</v>
      </c>
      <c r="H154" s="161">
        <v>200</v>
      </c>
      <c r="I154" s="207">
        <v>80</v>
      </c>
      <c r="J154" s="242">
        <f t="shared" si="29"/>
        <v>16000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43256</v>
      </c>
      <c r="D155" s="161" t="s">
        <v>8</v>
      </c>
      <c r="E155" s="161" t="s">
        <v>301</v>
      </c>
      <c r="F155" s="207">
        <v>26210</v>
      </c>
      <c r="G155" s="207">
        <v>26110</v>
      </c>
      <c r="H155" s="161">
        <v>100</v>
      </c>
      <c r="I155" s="207">
        <v>80</v>
      </c>
      <c r="J155" s="242">
        <f t="shared" si="29"/>
        <v>8000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43257</v>
      </c>
      <c r="D156" s="161" t="s">
        <v>8</v>
      </c>
      <c r="E156" s="161" t="s">
        <v>301</v>
      </c>
      <c r="F156" s="207">
        <v>26270</v>
      </c>
      <c r="G156" s="207">
        <v>26220</v>
      </c>
      <c r="H156" s="161">
        <v>50</v>
      </c>
      <c r="I156" s="207">
        <v>80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43258</v>
      </c>
      <c r="D157" s="161" t="s">
        <v>9</v>
      </c>
      <c r="E157" s="161" t="s">
        <v>301</v>
      </c>
      <c r="F157" s="207">
        <v>26580</v>
      </c>
      <c r="G157" s="207">
        <v>26780</v>
      </c>
      <c r="H157" s="161">
        <v>200</v>
      </c>
      <c r="I157" s="207">
        <v>80</v>
      </c>
      <c r="J157" s="242">
        <f t="shared" si="29"/>
        <v>16000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43259</v>
      </c>
      <c r="D158" s="161" t="s">
        <v>8</v>
      </c>
      <c r="E158" s="161" t="s">
        <v>301</v>
      </c>
      <c r="F158" s="207">
        <v>26380</v>
      </c>
      <c r="G158" s="207">
        <v>26320</v>
      </c>
      <c r="H158" s="161">
        <v>60</v>
      </c>
      <c r="I158" s="207">
        <v>80</v>
      </c>
      <c r="J158" s="242">
        <f t="shared" si="29"/>
        <v>4800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43262</v>
      </c>
      <c r="D159" s="161" t="s">
        <v>9</v>
      </c>
      <c r="E159" s="161" t="s">
        <v>301</v>
      </c>
      <c r="F159" s="207">
        <v>26600</v>
      </c>
      <c r="G159" s="207">
        <v>26650</v>
      </c>
      <c r="H159" s="161">
        <v>50</v>
      </c>
      <c r="I159" s="207">
        <v>80</v>
      </c>
      <c r="J159" s="242">
        <f t="shared" si="29"/>
        <v>4000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43263</v>
      </c>
      <c r="D160" s="161" t="s">
        <v>8</v>
      </c>
      <c r="E160" s="161" t="s">
        <v>301</v>
      </c>
      <c r="F160" s="207">
        <v>26600</v>
      </c>
      <c r="G160" s="207">
        <v>26500</v>
      </c>
      <c r="H160" s="161">
        <v>100</v>
      </c>
      <c r="I160" s="207">
        <v>80</v>
      </c>
      <c r="J160" s="242">
        <f t="shared" si="29"/>
        <v>8000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43264</v>
      </c>
      <c r="D161" s="161" t="s">
        <v>8</v>
      </c>
      <c r="E161" s="161" t="s">
        <v>301</v>
      </c>
      <c r="F161" s="207">
        <v>26660</v>
      </c>
      <c r="G161" s="207">
        <v>26610</v>
      </c>
      <c r="H161" s="161">
        <v>50</v>
      </c>
      <c r="I161" s="207">
        <v>80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43265</v>
      </c>
      <c r="D162" s="161" t="s">
        <v>8</v>
      </c>
      <c r="E162" s="161" t="s">
        <v>301</v>
      </c>
      <c r="F162" s="207">
        <v>26550</v>
      </c>
      <c r="G162" s="207">
        <v>26500</v>
      </c>
      <c r="H162" s="161">
        <v>50</v>
      </c>
      <c r="I162" s="207">
        <v>80</v>
      </c>
      <c r="J162" s="242">
        <f t="shared" si="29"/>
        <v>4000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43266</v>
      </c>
      <c r="D163" s="161" t="s">
        <v>9</v>
      </c>
      <c r="E163" s="161" t="s">
        <v>301</v>
      </c>
      <c r="F163" s="207">
        <v>26520</v>
      </c>
      <c r="G163" s="207">
        <v>26420</v>
      </c>
      <c r="H163" s="161">
        <v>-100</v>
      </c>
      <c r="I163" s="207">
        <v>80</v>
      </c>
      <c r="J163" s="242">
        <f t="shared" si="29"/>
        <v>-8000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43269</v>
      </c>
      <c r="D164" s="161" t="s">
        <v>8</v>
      </c>
      <c r="E164" s="161" t="s">
        <v>301</v>
      </c>
      <c r="F164" s="207">
        <v>26420</v>
      </c>
      <c r="G164" s="207">
        <v>26370</v>
      </c>
      <c r="H164" s="161">
        <v>50</v>
      </c>
      <c r="I164" s="207">
        <v>80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43270</v>
      </c>
      <c r="D165" s="161" t="s">
        <v>8</v>
      </c>
      <c r="E165" s="161" t="s">
        <v>301</v>
      </c>
      <c r="F165" s="207">
        <v>26320</v>
      </c>
      <c r="G165" s="207">
        <v>26220</v>
      </c>
      <c r="H165" s="161">
        <v>100</v>
      </c>
      <c r="I165" s="207">
        <v>80</v>
      </c>
      <c r="J165" s="242">
        <f t="shared" si="29"/>
        <v>8000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43271</v>
      </c>
      <c r="D166" s="161" t="s">
        <v>8</v>
      </c>
      <c r="E166" s="161" t="s">
        <v>301</v>
      </c>
      <c r="F166" s="207">
        <v>26350</v>
      </c>
      <c r="G166" s="207">
        <v>26450</v>
      </c>
      <c r="H166" s="161">
        <v>-100</v>
      </c>
      <c r="I166" s="207">
        <v>80</v>
      </c>
      <c r="J166" s="242">
        <f t="shared" si="29"/>
        <v>-8000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43272</v>
      </c>
      <c r="D167" s="161" t="s">
        <v>8</v>
      </c>
      <c r="E167" s="161" t="s">
        <v>301</v>
      </c>
      <c r="F167" s="207">
        <v>26600</v>
      </c>
      <c r="G167" s="207">
        <v>26440</v>
      </c>
      <c r="H167" s="161">
        <v>160</v>
      </c>
      <c r="I167" s="207">
        <v>80</v>
      </c>
      <c r="J167" s="242">
        <f t="shared" si="29"/>
        <v>12800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43273</v>
      </c>
      <c r="D168" s="161" t="s">
        <v>8</v>
      </c>
      <c r="E168" s="161" t="s">
        <v>301</v>
      </c>
      <c r="F168" s="207">
        <v>26400</v>
      </c>
      <c r="G168" s="207">
        <v>26500</v>
      </c>
      <c r="H168" s="161">
        <v>-100</v>
      </c>
      <c r="I168" s="207">
        <v>80</v>
      </c>
      <c r="J168" s="242">
        <f t="shared" si="29"/>
        <v>-8000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>
        <v>43276</v>
      </c>
      <c r="D169" s="161" t="s">
        <v>8</v>
      </c>
      <c r="E169" s="161" t="s">
        <v>301</v>
      </c>
      <c r="F169" s="207">
        <v>26750</v>
      </c>
      <c r="G169" s="207">
        <v>26610</v>
      </c>
      <c r="H169" s="161">
        <v>140</v>
      </c>
      <c r="I169" s="207">
        <v>80</v>
      </c>
      <c r="J169" s="242">
        <f t="shared" si="29"/>
        <v>11200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43277</v>
      </c>
      <c r="D170" s="161" t="s">
        <v>8</v>
      </c>
      <c r="E170" s="161" t="s">
        <v>301</v>
      </c>
      <c r="F170" s="207">
        <v>26620</v>
      </c>
      <c r="G170" s="207">
        <v>26650</v>
      </c>
      <c r="H170" s="161">
        <v>-30</v>
      </c>
      <c r="I170" s="207">
        <v>80</v>
      </c>
      <c r="J170" s="242">
        <f t="shared" si="29"/>
        <v>-2400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43278</v>
      </c>
      <c r="D171" s="161" t="s">
        <v>8</v>
      </c>
      <c r="E171" s="161" t="s">
        <v>301</v>
      </c>
      <c r="F171" s="207">
        <v>26550</v>
      </c>
      <c r="G171" s="207">
        <v>26350</v>
      </c>
      <c r="H171" s="161">
        <v>200</v>
      </c>
      <c r="I171" s="207">
        <v>80</v>
      </c>
      <c r="J171" s="242">
        <f t="shared" si="29"/>
        <v>16000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43279</v>
      </c>
      <c r="D172" s="161" t="s">
        <v>8</v>
      </c>
      <c r="E172" s="161" t="s">
        <v>301</v>
      </c>
      <c r="F172" s="207">
        <v>26420</v>
      </c>
      <c r="G172" s="207">
        <v>26220</v>
      </c>
      <c r="H172" s="161">
        <v>200</v>
      </c>
      <c r="I172" s="207">
        <v>80</v>
      </c>
      <c r="J172" s="242">
        <f t="shared" si="29"/>
        <v>16000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43280</v>
      </c>
      <c r="D173" s="161" t="s">
        <v>8</v>
      </c>
      <c r="E173" s="161" t="s">
        <v>301</v>
      </c>
      <c r="F173" s="207">
        <v>26350</v>
      </c>
      <c r="G173" s="207">
        <v>26300</v>
      </c>
      <c r="H173" s="161">
        <v>50</v>
      </c>
      <c r="I173" s="207">
        <v>80</v>
      </c>
      <c r="J173" s="242">
        <f t="shared" si="29"/>
        <v>4000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106400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2504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43252</v>
      </c>
      <c r="D184" s="185" t="s">
        <v>9</v>
      </c>
      <c r="E184" s="185" t="s">
        <v>2491</v>
      </c>
      <c r="F184" s="219">
        <v>410</v>
      </c>
      <c r="G184" s="219">
        <v>390</v>
      </c>
      <c r="H184" s="185">
        <v>-20</v>
      </c>
      <c r="I184" s="219">
        <v>160</v>
      </c>
      <c r="J184" s="246">
        <f t="shared" ref="J184:J206" si="33">I184*H184</f>
        <v>-3200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43255</v>
      </c>
      <c r="D185" s="161" t="s">
        <v>9</v>
      </c>
      <c r="E185" s="161" t="s">
        <v>2505</v>
      </c>
      <c r="F185" s="207">
        <v>420</v>
      </c>
      <c r="G185" s="207">
        <v>540</v>
      </c>
      <c r="H185" s="161">
        <v>120</v>
      </c>
      <c r="I185" s="207">
        <v>160</v>
      </c>
      <c r="J185" s="242">
        <f t="shared" si="33"/>
        <v>19200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43256</v>
      </c>
      <c r="D186" s="161" t="s">
        <v>9</v>
      </c>
      <c r="E186" s="161" t="s">
        <v>2457</v>
      </c>
      <c r="F186" s="207">
        <v>430</v>
      </c>
      <c r="G186" s="207">
        <v>490</v>
      </c>
      <c r="H186" s="161">
        <v>60</v>
      </c>
      <c r="I186" s="207">
        <v>160</v>
      </c>
      <c r="J186" s="242">
        <f t="shared" si="33"/>
        <v>9600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43257</v>
      </c>
      <c r="D187" s="161" t="s">
        <v>9</v>
      </c>
      <c r="E187" s="161" t="s">
        <v>2457</v>
      </c>
      <c r="F187" s="207">
        <v>370</v>
      </c>
      <c r="G187" s="207">
        <v>310</v>
      </c>
      <c r="H187" s="161">
        <v>-60</v>
      </c>
      <c r="I187" s="207">
        <v>160</v>
      </c>
      <c r="J187" s="242">
        <f t="shared" si="33"/>
        <v>-9600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43258</v>
      </c>
      <c r="D188" s="161" t="s">
        <v>9</v>
      </c>
      <c r="E188" s="161" t="s">
        <v>2507</v>
      </c>
      <c r="F188" s="207">
        <v>340</v>
      </c>
      <c r="G188" s="207">
        <v>460</v>
      </c>
      <c r="H188" s="161">
        <v>120</v>
      </c>
      <c r="I188" s="207">
        <v>160</v>
      </c>
      <c r="J188" s="242">
        <f t="shared" si="33"/>
        <v>19200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43259</v>
      </c>
      <c r="D189" s="161" t="s">
        <v>9</v>
      </c>
      <c r="E189" s="161" t="s">
        <v>2505</v>
      </c>
      <c r="F189" s="207">
        <v>370</v>
      </c>
      <c r="G189" s="207">
        <v>405</v>
      </c>
      <c r="H189" s="161">
        <v>35</v>
      </c>
      <c r="I189" s="207">
        <v>160</v>
      </c>
      <c r="J189" s="242">
        <f t="shared" si="33"/>
        <v>5600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43262</v>
      </c>
      <c r="D190" s="161" t="s">
        <v>9</v>
      </c>
      <c r="E190" s="161" t="s">
        <v>2507</v>
      </c>
      <c r="F190" s="207">
        <v>340</v>
      </c>
      <c r="G190" s="207">
        <v>300</v>
      </c>
      <c r="H190" s="161">
        <v>-40</v>
      </c>
      <c r="I190" s="207">
        <v>160</v>
      </c>
      <c r="J190" s="242">
        <f t="shared" si="33"/>
        <v>-6400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43263</v>
      </c>
      <c r="D191" s="161" t="s">
        <v>9</v>
      </c>
      <c r="E191" s="161" t="s">
        <v>2502</v>
      </c>
      <c r="F191" s="207">
        <v>290</v>
      </c>
      <c r="G191" s="207">
        <v>320</v>
      </c>
      <c r="H191" s="161">
        <v>30</v>
      </c>
      <c r="I191" s="207">
        <v>160</v>
      </c>
      <c r="J191" s="242">
        <f t="shared" si="33"/>
        <v>4800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43264</v>
      </c>
      <c r="D192" s="161" t="s">
        <v>9</v>
      </c>
      <c r="E192" s="161" t="s">
        <v>2509</v>
      </c>
      <c r="F192" s="207">
        <v>300</v>
      </c>
      <c r="G192" s="207">
        <v>300</v>
      </c>
      <c r="H192" s="161">
        <v>0</v>
      </c>
      <c r="I192" s="207">
        <v>160</v>
      </c>
      <c r="J192" s="242">
        <f t="shared" si="33"/>
        <v>0</v>
      </c>
      <c r="K192" s="153"/>
      <c r="V192" s="25">
        <f t="shared" si="34"/>
        <v>0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43265</v>
      </c>
      <c r="D193" s="161" t="s">
        <v>9</v>
      </c>
      <c r="E193" s="161" t="s">
        <v>2509</v>
      </c>
      <c r="F193" s="207">
        <v>320</v>
      </c>
      <c r="G193" s="207">
        <v>285</v>
      </c>
      <c r="H193" s="161">
        <v>-35</v>
      </c>
      <c r="I193" s="207">
        <v>160</v>
      </c>
      <c r="J193" s="242">
        <f t="shared" si="33"/>
        <v>-5600</v>
      </c>
      <c r="K193" s="153"/>
      <c r="V193" s="25">
        <f t="shared" si="34"/>
        <v>0</v>
      </c>
      <c r="W193" s="25">
        <f t="shared" si="35"/>
        <v>1</v>
      </c>
    </row>
    <row r="194" spans="1:23" x14ac:dyDescent="0.3">
      <c r="A194" s="147"/>
      <c r="B194" s="205">
        <f t="shared" si="36"/>
        <v>11</v>
      </c>
      <c r="C194" s="206">
        <v>43266</v>
      </c>
      <c r="D194" s="161" t="s">
        <v>9</v>
      </c>
      <c r="E194" s="161" t="s">
        <v>2489</v>
      </c>
      <c r="F194" s="207">
        <v>290</v>
      </c>
      <c r="G194" s="207">
        <v>230</v>
      </c>
      <c r="H194" s="161">
        <v>-60</v>
      </c>
      <c r="I194" s="207">
        <v>160</v>
      </c>
      <c r="J194" s="242">
        <f t="shared" si="33"/>
        <v>-9600</v>
      </c>
      <c r="K194" s="153"/>
      <c r="V194" s="25">
        <f t="shared" si="34"/>
        <v>0</v>
      </c>
      <c r="W194" s="25">
        <f t="shared" si="35"/>
        <v>1</v>
      </c>
    </row>
    <row r="195" spans="1:23" x14ac:dyDescent="0.3">
      <c r="A195" s="147"/>
      <c r="B195" s="205">
        <f t="shared" si="36"/>
        <v>12</v>
      </c>
      <c r="C195" s="206">
        <v>43269</v>
      </c>
      <c r="D195" s="161" t="s">
        <v>9</v>
      </c>
      <c r="E195" s="161" t="s">
        <v>2505</v>
      </c>
      <c r="F195" s="207">
        <v>260</v>
      </c>
      <c r="G195" s="207">
        <v>270</v>
      </c>
      <c r="H195" s="161">
        <v>10</v>
      </c>
      <c r="I195" s="207">
        <v>160</v>
      </c>
      <c r="J195" s="242">
        <f t="shared" si="33"/>
        <v>1600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43270</v>
      </c>
      <c r="D196" s="161" t="s">
        <v>9</v>
      </c>
      <c r="E196" s="161" t="s">
        <v>2505</v>
      </c>
      <c r="F196" s="207">
        <v>290</v>
      </c>
      <c r="G196" s="207">
        <v>345</v>
      </c>
      <c r="H196" s="161">
        <v>55</v>
      </c>
      <c r="I196" s="207">
        <v>160</v>
      </c>
      <c r="J196" s="242">
        <f t="shared" si="33"/>
        <v>8800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43271</v>
      </c>
      <c r="D197" s="161" t="s">
        <v>9</v>
      </c>
      <c r="E197" s="161" t="s">
        <v>2505</v>
      </c>
      <c r="F197" s="207">
        <v>230</v>
      </c>
      <c r="G197" s="207">
        <v>170</v>
      </c>
      <c r="H197" s="161">
        <v>-60</v>
      </c>
      <c r="I197" s="207">
        <v>160</v>
      </c>
      <c r="J197" s="242">
        <f t="shared" si="33"/>
        <v>-9600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43272</v>
      </c>
      <c r="D198" s="161" t="s">
        <v>9</v>
      </c>
      <c r="E198" s="161" t="s">
        <v>2509</v>
      </c>
      <c r="F198" s="207">
        <v>190</v>
      </c>
      <c r="G198" s="207">
        <v>280</v>
      </c>
      <c r="H198" s="161">
        <v>90</v>
      </c>
      <c r="I198" s="207">
        <v>160</v>
      </c>
      <c r="J198" s="242">
        <f t="shared" si="33"/>
        <v>14400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43273</v>
      </c>
      <c r="D199" s="161" t="s">
        <v>9</v>
      </c>
      <c r="E199" s="161" t="s">
        <v>2505</v>
      </c>
      <c r="F199" s="207">
        <v>180</v>
      </c>
      <c r="G199" s="207">
        <v>120</v>
      </c>
      <c r="H199" s="161">
        <v>-60</v>
      </c>
      <c r="I199" s="207">
        <v>160</v>
      </c>
      <c r="J199" s="242">
        <f t="shared" si="33"/>
        <v>-9600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>
        <v>43276</v>
      </c>
      <c r="D200" s="161" t="s">
        <v>9</v>
      </c>
      <c r="E200" s="161" t="s">
        <v>2456</v>
      </c>
      <c r="F200" s="207">
        <v>180</v>
      </c>
      <c r="G200" s="207">
        <v>260</v>
      </c>
      <c r="H200" s="161">
        <v>80</v>
      </c>
      <c r="I200" s="207">
        <v>160</v>
      </c>
      <c r="J200" s="242">
        <f t="shared" si="33"/>
        <v>12800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43277</v>
      </c>
      <c r="D201" s="161" t="s">
        <v>9</v>
      </c>
      <c r="E201" s="161" t="s">
        <v>2433</v>
      </c>
      <c r="F201" s="207">
        <v>150</v>
      </c>
      <c r="G201" s="207">
        <v>220</v>
      </c>
      <c r="H201" s="161">
        <v>70</v>
      </c>
      <c r="I201" s="207">
        <v>160</v>
      </c>
      <c r="J201" s="242">
        <f t="shared" si="33"/>
        <v>11200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43278</v>
      </c>
      <c r="D202" s="161" t="s">
        <v>9</v>
      </c>
      <c r="E202" s="161" t="s">
        <v>2509</v>
      </c>
      <c r="F202" s="207">
        <v>140</v>
      </c>
      <c r="G202" s="207">
        <v>260</v>
      </c>
      <c r="H202" s="161">
        <v>120</v>
      </c>
      <c r="I202" s="207">
        <v>160</v>
      </c>
      <c r="J202" s="242">
        <f t="shared" si="33"/>
        <v>19200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43279</v>
      </c>
      <c r="D203" s="161" t="s">
        <v>9</v>
      </c>
      <c r="E203" s="161" t="s">
        <v>2502</v>
      </c>
      <c r="F203" s="207">
        <v>120</v>
      </c>
      <c r="G203" s="207">
        <v>240</v>
      </c>
      <c r="H203" s="161">
        <v>120</v>
      </c>
      <c r="I203" s="207">
        <v>160</v>
      </c>
      <c r="J203" s="242">
        <f t="shared" si="33"/>
        <v>19200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43280</v>
      </c>
      <c r="D204" s="161" t="s">
        <v>9</v>
      </c>
      <c r="E204" s="161" t="s">
        <v>2515</v>
      </c>
      <c r="F204" s="207">
        <v>370</v>
      </c>
      <c r="G204" s="207">
        <v>400</v>
      </c>
      <c r="H204" s="161">
        <v>30</v>
      </c>
      <c r="I204" s="207">
        <v>160</v>
      </c>
      <c r="J204" s="242">
        <f t="shared" si="33"/>
        <v>4800</v>
      </c>
      <c r="K204" s="153"/>
      <c r="V204" s="25">
        <f t="shared" si="34"/>
        <v>1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96800</v>
      </c>
      <c r="K207" s="153"/>
      <c r="V207" s="25">
        <f>SUM(V184:V206)</f>
        <v>13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2504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43252</v>
      </c>
      <c r="D215" s="185" t="s">
        <v>9</v>
      </c>
      <c r="E215" s="185" t="s">
        <v>1851</v>
      </c>
      <c r="F215" s="231">
        <v>10.5</v>
      </c>
      <c r="G215" s="231">
        <v>10.6</v>
      </c>
      <c r="H215" s="231">
        <v>0.1</v>
      </c>
      <c r="I215" s="219">
        <v>2750</v>
      </c>
      <c r="J215" s="246">
        <f t="shared" ref="J215:J237" si="37">I215*H215</f>
        <v>275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43255</v>
      </c>
      <c r="D216" s="161" t="s">
        <v>9</v>
      </c>
      <c r="E216" s="161" t="s">
        <v>1851</v>
      </c>
      <c r="F216" s="222">
        <v>10.199999999999999</v>
      </c>
      <c r="G216" s="222">
        <v>12.2</v>
      </c>
      <c r="H216" s="255">
        <v>2</v>
      </c>
      <c r="I216" s="207">
        <v>2750</v>
      </c>
      <c r="J216" s="242">
        <f>I216*H216</f>
        <v>5500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43256</v>
      </c>
      <c r="D217" s="161" t="s">
        <v>9</v>
      </c>
      <c r="E217" s="161" t="s">
        <v>2506</v>
      </c>
      <c r="F217" s="222">
        <v>12.5</v>
      </c>
      <c r="G217" s="222">
        <v>13.5</v>
      </c>
      <c r="H217" s="222">
        <v>1</v>
      </c>
      <c r="I217" s="207">
        <v>1750</v>
      </c>
      <c r="J217" s="242">
        <f t="shared" si="37"/>
        <v>1750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43257</v>
      </c>
      <c r="D218" s="161" t="s">
        <v>9</v>
      </c>
      <c r="E218" s="161" t="s">
        <v>2052</v>
      </c>
      <c r="F218" s="222">
        <v>6.5</v>
      </c>
      <c r="G218" s="222">
        <v>6.05</v>
      </c>
      <c r="H218" s="222">
        <v>-0.45</v>
      </c>
      <c r="I218" s="207">
        <v>2750</v>
      </c>
      <c r="J218" s="242">
        <f t="shared" si="37"/>
        <v>-1237.5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43258</v>
      </c>
      <c r="D219" s="161" t="s">
        <v>9</v>
      </c>
      <c r="E219" s="161" t="s">
        <v>2466</v>
      </c>
      <c r="F219" s="222">
        <v>11</v>
      </c>
      <c r="G219" s="222">
        <v>8</v>
      </c>
      <c r="H219" s="222">
        <v>-3</v>
      </c>
      <c r="I219" s="207">
        <v>1600</v>
      </c>
      <c r="J219" s="242">
        <f t="shared" si="37"/>
        <v>-4800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43259</v>
      </c>
      <c r="D220" s="161" t="s">
        <v>9</v>
      </c>
      <c r="E220" s="161" t="s">
        <v>2506</v>
      </c>
      <c r="F220" s="222">
        <v>10</v>
      </c>
      <c r="G220" s="222">
        <v>11</v>
      </c>
      <c r="H220" s="222">
        <v>1</v>
      </c>
      <c r="I220" s="207">
        <v>1750</v>
      </c>
      <c r="J220" s="242">
        <f t="shared" si="37"/>
        <v>1750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43262</v>
      </c>
      <c r="D221" s="161" t="s">
        <v>9</v>
      </c>
      <c r="E221" s="161" t="s">
        <v>2476</v>
      </c>
      <c r="F221" s="222">
        <v>11.5</v>
      </c>
      <c r="G221" s="222">
        <v>13.2</v>
      </c>
      <c r="H221" s="222">
        <v>1.7</v>
      </c>
      <c r="I221" s="207">
        <v>1600</v>
      </c>
      <c r="J221" s="242">
        <f t="shared" si="37"/>
        <v>2720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43263</v>
      </c>
      <c r="D222" s="161" t="s">
        <v>9</v>
      </c>
      <c r="E222" s="161" t="s">
        <v>2506</v>
      </c>
      <c r="F222" s="222">
        <v>10.5</v>
      </c>
      <c r="G222" s="222">
        <v>11.8</v>
      </c>
      <c r="H222" s="222">
        <v>1.3</v>
      </c>
      <c r="I222" s="207">
        <v>1750</v>
      </c>
      <c r="J222" s="242">
        <f t="shared" si="37"/>
        <v>2275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43264</v>
      </c>
      <c r="D223" s="161" t="s">
        <v>9</v>
      </c>
      <c r="E223" s="161" t="s">
        <v>1889</v>
      </c>
      <c r="F223" s="222">
        <v>24</v>
      </c>
      <c r="G223" s="222">
        <v>24</v>
      </c>
      <c r="H223" s="255">
        <v>0</v>
      </c>
      <c r="I223" s="207">
        <v>750</v>
      </c>
      <c r="J223" s="242">
        <f t="shared" si="37"/>
        <v>0</v>
      </c>
      <c r="K223" s="153"/>
      <c r="V223" s="25">
        <f t="shared" si="39"/>
        <v>0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43265</v>
      </c>
      <c r="D224" s="161" t="s">
        <v>9</v>
      </c>
      <c r="E224" s="161" t="s">
        <v>1560</v>
      </c>
      <c r="F224" s="222">
        <v>12</v>
      </c>
      <c r="G224" s="222">
        <v>13.8</v>
      </c>
      <c r="H224" s="255">
        <v>1.8</v>
      </c>
      <c r="I224" s="207">
        <v>1000</v>
      </c>
      <c r="J224" s="242">
        <f t="shared" si="37"/>
        <v>1800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43266</v>
      </c>
      <c r="D225" s="161" t="s">
        <v>9</v>
      </c>
      <c r="E225" s="161" t="s">
        <v>1882</v>
      </c>
      <c r="F225" s="222">
        <v>5</v>
      </c>
      <c r="G225" s="222">
        <v>7</v>
      </c>
      <c r="H225" s="255">
        <v>2</v>
      </c>
      <c r="I225" s="207">
        <v>3000</v>
      </c>
      <c r="J225" s="242">
        <f t="shared" si="37"/>
        <v>6000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43269</v>
      </c>
      <c r="D226" s="161" t="s">
        <v>9</v>
      </c>
      <c r="E226" s="161" t="s">
        <v>2496</v>
      </c>
      <c r="F226" s="222">
        <v>14</v>
      </c>
      <c r="G226" s="222">
        <v>17.899999999999999</v>
      </c>
      <c r="H226" s="255">
        <v>3.9</v>
      </c>
      <c r="I226" s="207">
        <v>750</v>
      </c>
      <c r="J226" s="242">
        <f t="shared" si="37"/>
        <v>2925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43270</v>
      </c>
      <c r="D227" s="161" t="s">
        <v>9</v>
      </c>
      <c r="E227" s="161" t="s">
        <v>2006</v>
      </c>
      <c r="F227" s="222">
        <v>5.3</v>
      </c>
      <c r="G227" s="222">
        <v>7.3</v>
      </c>
      <c r="H227" s="255">
        <v>2</v>
      </c>
      <c r="I227" s="207">
        <v>3000</v>
      </c>
      <c r="J227" s="242">
        <f t="shared" si="37"/>
        <v>6000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43271</v>
      </c>
      <c r="D228" s="161" t="s">
        <v>9</v>
      </c>
      <c r="E228" s="161" t="s">
        <v>2352</v>
      </c>
      <c r="F228" s="222">
        <v>68</v>
      </c>
      <c r="G228" s="222">
        <v>76.5</v>
      </c>
      <c r="H228" s="255">
        <v>8.5</v>
      </c>
      <c r="I228" s="207">
        <v>250</v>
      </c>
      <c r="J228" s="242">
        <f>I228*H228</f>
        <v>2125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43272</v>
      </c>
      <c r="D229" s="161" t="s">
        <v>9</v>
      </c>
      <c r="E229" s="161" t="s">
        <v>2510</v>
      </c>
      <c r="F229" s="222">
        <v>15</v>
      </c>
      <c r="G229" s="222">
        <v>18.2</v>
      </c>
      <c r="H229" s="255">
        <v>3.2</v>
      </c>
      <c r="I229" s="207">
        <v>1000</v>
      </c>
      <c r="J229" s="242">
        <f t="shared" si="37"/>
        <v>3200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43273</v>
      </c>
      <c r="D230" s="161" t="s">
        <v>9</v>
      </c>
      <c r="E230" s="161" t="s">
        <v>2511</v>
      </c>
      <c r="F230" s="222">
        <v>8.5</v>
      </c>
      <c r="G230" s="222">
        <v>5.5</v>
      </c>
      <c r="H230" s="222">
        <v>-3</v>
      </c>
      <c r="I230" s="207">
        <v>1500</v>
      </c>
      <c r="J230" s="242">
        <f t="shared" si="37"/>
        <v>-4500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>
        <v>43276</v>
      </c>
      <c r="D231" s="161" t="s">
        <v>9</v>
      </c>
      <c r="E231" s="161" t="s">
        <v>2512</v>
      </c>
      <c r="F231" s="222">
        <v>10.5</v>
      </c>
      <c r="G231" s="222">
        <v>14.2</v>
      </c>
      <c r="H231" s="222">
        <v>3.7</v>
      </c>
      <c r="I231" s="207">
        <v>500</v>
      </c>
      <c r="J231" s="242">
        <f t="shared" si="37"/>
        <v>1850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43277</v>
      </c>
      <c r="D232" s="161" t="s">
        <v>9</v>
      </c>
      <c r="E232" s="161" t="s">
        <v>2513</v>
      </c>
      <c r="F232" s="222">
        <v>2.2999999999999998</v>
      </c>
      <c r="G232" s="222">
        <v>3.6</v>
      </c>
      <c r="H232" s="222">
        <v>1.3</v>
      </c>
      <c r="I232" s="207">
        <v>3000</v>
      </c>
      <c r="J232" s="242">
        <f t="shared" si="37"/>
        <v>3900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43278</v>
      </c>
      <c r="D233" s="161" t="s">
        <v>9</v>
      </c>
      <c r="E233" s="161" t="s">
        <v>2514</v>
      </c>
      <c r="F233" s="222">
        <v>2.6</v>
      </c>
      <c r="G233" s="222">
        <v>4.3</v>
      </c>
      <c r="H233" s="222">
        <v>1.7</v>
      </c>
      <c r="I233" s="207">
        <v>3000</v>
      </c>
      <c r="J233" s="242">
        <f t="shared" si="37"/>
        <v>5100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43279</v>
      </c>
      <c r="D234" s="161" t="s">
        <v>9</v>
      </c>
      <c r="E234" s="161" t="s">
        <v>1965</v>
      </c>
      <c r="F234" s="222">
        <v>1.4</v>
      </c>
      <c r="G234" s="222">
        <v>3.8</v>
      </c>
      <c r="H234" s="222">
        <v>2.4</v>
      </c>
      <c r="I234" s="207">
        <v>3000</v>
      </c>
      <c r="J234" s="242">
        <f t="shared" si="37"/>
        <v>7200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43280</v>
      </c>
      <c r="D235" s="161" t="s">
        <v>9</v>
      </c>
      <c r="E235" s="161" t="s">
        <v>343</v>
      </c>
      <c r="F235" s="222">
        <v>30</v>
      </c>
      <c r="G235" s="222">
        <v>36</v>
      </c>
      <c r="H235" s="222">
        <v>6</v>
      </c>
      <c r="I235" s="207">
        <v>1000</v>
      </c>
      <c r="J235" s="242">
        <f t="shared" si="37"/>
        <v>6000</v>
      </c>
      <c r="K235" s="153"/>
      <c r="V235" s="25">
        <f t="shared" si="39"/>
        <v>1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49832.5</v>
      </c>
      <c r="K238" s="153"/>
      <c r="V238" s="25">
        <f>SUM(V215:V237)</f>
        <v>17</v>
      </c>
      <c r="W238" s="25">
        <f>SUM(W215:W237)</f>
        <v>3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3E00-000000000000}"/>
    <hyperlink ref="B83" r:id="rId2" xr:uid="{00000000-0004-0000-3E00-000001000000}"/>
    <hyperlink ref="B114" r:id="rId3" xr:uid="{00000000-0004-0000-3E00-000002000000}"/>
    <hyperlink ref="B145" r:id="rId4" xr:uid="{00000000-0004-0000-3E00-000003000000}"/>
    <hyperlink ref="B176" r:id="rId5" xr:uid="{00000000-0004-0000-3E00-000004000000}"/>
    <hyperlink ref="B207" r:id="rId6" xr:uid="{00000000-0004-0000-3E00-000005000000}"/>
    <hyperlink ref="B238" r:id="rId7" xr:uid="{00000000-0004-0000-3E00-000006000000}"/>
    <hyperlink ref="M1" location="'MASTER '!A1" display="Back" xr:uid="{00000000-0004-0000-3E00-000007000000}"/>
    <hyperlink ref="M8:M9" location="'JUNE -2018'!A108" display="NIFTY FUTURE" xr:uid="{00000000-0004-0000-3E00-000008000000}"/>
    <hyperlink ref="M10:M11" location="'JUNE -2018'!A139" display="NF. OPTION" xr:uid="{00000000-0004-0000-3E00-000009000000}"/>
    <hyperlink ref="M12:M13" location="'JUNE -2018'!A170" display="BANK NIFTY" xr:uid="{00000000-0004-0000-3E00-00000A000000}"/>
    <hyperlink ref="M14:M15" location="'JUNE -2018'!A201" display="B.NIFTY OPTION" xr:uid="{00000000-0004-0000-3E00-00000B000000}"/>
    <hyperlink ref="M16:M17" location="'JUNE -2018'!A232" display="STOCK OPTION" xr:uid="{00000000-0004-0000-3E00-00000C000000}"/>
    <hyperlink ref="M6:M7" location="'JUNE -2018'!A77" display="STOCK FUTURE" xr:uid="{00000000-0004-0000-3E00-00000D000000}"/>
    <hyperlink ref="M4:M5" location="'JUNE -2018'!A1" display="CASH" xr:uid="{00000000-0004-0000-3E00-00000E000000}"/>
  </hyperlinks>
  <pageMargins left="0" right="0" top="0" bottom="0" header="0" footer="0"/>
  <pageSetup scale="95" orientation="portrait" r:id="rId8"/>
  <drawing r:id="rId9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W239"/>
  <sheetViews>
    <sheetView topLeftCell="A216" workbookViewId="0">
      <selection activeCell="M230" sqref="M230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2516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44</v>
      </c>
      <c r="O4" s="354">
        <f>V52</f>
        <v>36</v>
      </c>
      <c r="P4" s="354">
        <f>W52</f>
        <v>7</v>
      </c>
      <c r="Q4" s="355">
        <f>N4-O4-P4</f>
        <v>1</v>
      </c>
      <c r="R4" s="314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43283</v>
      </c>
      <c r="D6" s="158" t="s">
        <v>9</v>
      </c>
      <c r="E6" s="158" t="s">
        <v>126</v>
      </c>
      <c r="F6" s="204">
        <v>1855</v>
      </c>
      <c r="G6" s="230">
        <v>1852</v>
      </c>
      <c r="H6" s="158">
        <v>-3</v>
      </c>
      <c r="I6" s="204">
        <f>300000/F6</f>
        <v>161.72506738544473</v>
      </c>
      <c r="J6" s="241">
        <f>H6*I6</f>
        <v>-485.17520215633419</v>
      </c>
      <c r="K6" s="153"/>
      <c r="M6" s="389" t="s">
        <v>450</v>
      </c>
      <c r="N6" s="343">
        <f>COUNT(C60:C82)</f>
        <v>22</v>
      </c>
      <c r="O6" s="345">
        <f>V83</f>
        <v>20</v>
      </c>
      <c r="P6" s="345">
        <f>W83</f>
        <v>2</v>
      </c>
      <c r="Q6" s="347">
        <f>N6-O6-P6</f>
        <v>0</v>
      </c>
      <c r="R6" s="340">
        <f t="shared" ref="R6" si="0">O6/N6</f>
        <v>0.90909090909090906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43283</v>
      </c>
      <c r="D7" s="161" t="s">
        <v>8</v>
      </c>
      <c r="E7" s="161" t="s">
        <v>192</v>
      </c>
      <c r="F7" s="207">
        <v>245</v>
      </c>
      <c r="G7" s="207">
        <v>241</v>
      </c>
      <c r="H7" s="234">
        <v>4</v>
      </c>
      <c r="I7" s="207">
        <f t="shared" ref="I7" si="1">300000/F7</f>
        <v>1224.4897959183672</v>
      </c>
      <c r="J7" s="242">
        <f t="shared" ref="J7" si="2">H7*I7</f>
        <v>4897.9591836734689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43284</v>
      </c>
      <c r="D8" s="161" t="s">
        <v>9</v>
      </c>
      <c r="E8" s="161" t="s">
        <v>94</v>
      </c>
      <c r="F8" s="207">
        <v>2080</v>
      </c>
      <c r="G8" s="222">
        <v>2070</v>
      </c>
      <c r="H8" s="222">
        <v>-10</v>
      </c>
      <c r="I8" s="207">
        <f t="shared" ref="I8:I10" si="6">300000/F8</f>
        <v>144.23076923076923</v>
      </c>
      <c r="J8" s="242">
        <f t="shared" ref="J8:J10" si="7">H8*I8</f>
        <v>-1442.3076923076924</v>
      </c>
      <c r="K8" s="153"/>
      <c r="M8" s="389" t="s">
        <v>451</v>
      </c>
      <c r="N8" s="343">
        <f>COUNT(C91:C113)</f>
        <v>22</v>
      </c>
      <c r="O8" s="345">
        <f>V114</f>
        <v>14</v>
      </c>
      <c r="P8" s="345">
        <f>W114</f>
        <v>8</v>
      </c>
      <c r="Q8" s="347">
        <f>N8-O8-P8</f>
        <v>0</v>
      </c>
      <c r="R8" s="340">
        <f t="shared" ref="R8" si="8">O8/N8</f>
        <v>0.63636363636363635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43284</v>
      </c>
      <c r="D9" s="161" t="s">
        <v>8</v>
      </c>
      <c r="E9" s="161" t="s">
        <v>395</v>
      </c>
      <c r="F9" s="222">
        <v>2247</v>
      </c>
      <c r="G9" s="222">
        <v>2237</v>
      </c>
      <c r="H9" s="222">
        <v>10</v>
      </c>
      <c r="I9" s="207">
        <f t="shared" si="6"/>
        <v>133.51134846461949</v>
      </c>
      <c r="J9" s="242">
        <f t="shared" si="7"/>
        <v>1335.1134846461948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43285</v>
      </c>
      <c r="D10" s="161" t="s">
        <v>9</v>
      </c>
      <c r="E10" s="161" t="s">
        <v>395</v>
      </c>
      <c r="F10" s="222">
        <v>2300</v>
      </c>
      <c r="G10" s="222">
        <v>2330</v>
      </c>
      <c r="H10" s="222">
        <v>30</v>
      </c>
      <c r="I10" s="207">
        <f t="shared" si="6"/>
        <v>130.43478260869566</v>
      </c>
      <c r="J10" s="242">
        <f t="shared" si="7"/>
        <v>3913.0434782608695</v>
      </c>
      <c r="K10" s="153"/>
      <c r="M10" s="389" t="s">
        <v>1176</v>
      </c>
      <c r="N10" s="343">
        <f>COUNT(C122:C144)</f>
        <v>21</v>
      </c>
      <c r="O10" s="345">
        <f>V145</f>
        <v>12</v>
      </c>
      <c r="P10" s="345">
        <f>W145</f>
        <v>9</v>
      </c>
      <c r="Q10" s="347">
        <f>N10-O10-P10</f>
        <v>0</v>
      </c>
      <c r="R10" s="340">
        <f t="shared" ref="R10:R16" si="9">O10/N10</f>
        <v>0.5714285714285714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43285</v>
      </c>
      <c r="D11" s="161" t="s">
        <v>8</v>
      </c>
      <c r="E11" s="161" t="s">
        <v>126</v>
      </c>
      <c r="F11" s="222">
        <v>1862</v>
      </c>
      <c r="G11" s="222">
        <v>1865</v>
      </c>
      <c r="H11" s="255">
        <v>-3</v>
      </c>
      <c r="I11" s="207">
        <f t="shared" ref="I11:I49" si="10">300000/F11</f>
        <v>161.11707841031151</v>
      </c>
      <c r="J11" s="242">
        <f t="shared" ref="J11:J49" si="11">H11*I11</f>
        <v>-483.35123523093455</v>
      </c>
      <c r="K11" s="153"/>
      <c r="M11" s="389"/>
      <c r="N11" s="343"/>
      <c r="O11" s="345"/>
      <c r="P11" s="345"/>
      <c r="Q11" s="349"/>
      <c r="R11" s="340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43286</v>
      </c>
      <c r="D12" s="161" t="s">
        <v>9</v>
      </c>
      <c r="E12" s="161" t="s">
        <v>31</v>
      </c>
      <c r="F12" s="222">
        <v>1002</v>
      </c>
      <c r="G12" s="222">
        <v>1007.5</v>
      </c>
      <c r="H12" s="222">
        <v>5.5</v>
      </c>
      <c r="I12" s="207">
        <f t="shared" si="10"/>
        <v>299.40119760479041</v>
      </c>
      <c r="J12" s="242">
        <f t="shared" si="11"/>
        <v>1646.7065868263473</v>
      </c>
      <c r="K12" s="153"/>
      <c r="M12" s="389" t="s">
        <v>41</v>
      </c>
      <c r="N12" s="343">
        <f>COUNT(C153:C175)</f>
        <v>22</v>
      </c>
      <c r="O12" s="345">
        <f>V176</f>
        <v>13</v>
      </c>
      <c r="P12" s="345">
        <f>W176</f>
        <v>9</v>
      </c>
      <c r="Q12" s="347">
        <f t="shared" ref="Q12" si="12">N12-O12-P12</f>
        <v>0</v>
      </c>
      <c r="R12" s="340">
        <f t="shared" si="9"/>
        <v>0.59090909090909094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43286</v>
      </c>
      <c r="D13" s="161" t="s">
        <v>8</v>
      </c>
      <c r="E13" s="161" t="s">
        <v>192</v>
      </c>
      <c r="F13" s="222">
        <v>244</v>
      </c>
      <c r="G13" s="222">
        <v>243.8</v>
      </c>
      <c r="H13" s="255">
        <v>0.2</v>
      </c>
      <c r="I13" s="207">
        <f t="shared" si="10"/>
        <v>1229.5081967213114</v>
      </c>
      <c r="J13" s="242">
        <f t="shared" si="11"/>
        <v>245.90163934426229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43287</v>
      </c>
      <c r="D14" s="161" t="s">
        <v>9</v>
      </c>
      <c r="E14" s="161" t="s">
        <v>139</v>
      </c>
      <c r="F14" s="222">
        <v>353</v>
      </c>
      <c r="G14" s="222">
        <v>357</v>
      </c>
      <c r="H14" s="222">
        <v>4</v>
      </c>
      <c r="I14" s="207">
        <f t="shared" si="10"/>
        <v>849.85835694050991</v>
      </c>
      <c r="J14" s="242">
        <f t="shared" si="11"/>
        <v>3399.4334277620396</v>
      </c>
      <c r="K14" s="153"/>
      <c r="M14" s="389" t="s">
        <v>1175</v>
      </c>
      <c r="N14" s="343">
        <f>COUNT(C184:C206)</f>
        <v>21</v>
      </c>
      <c r="O14" s="345">
        <f>V207</f>
        <v>10</v>
      </c>
      <c r="P14" s="345">
        <f>W207</f>
        <v>11</v>
      </c>
      <c r="Q14" s="347">
        <f t="shared" ref="Q14" si="13">N14-O14-P14</f>
        <v>0</v>
      </c>
      <c r="R14" s="340">
        <f t="shared" si="9"/>
        <v>0.47619047619047616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43287</v>
      </c>
      <c r="D15" s="161" t="s">
        <v>8</v>
      </c>
      <c r="E15" s="161" t="s">
        <v>395</v>
      </c>
      <c r="F15" s="222">
        <v>2307</v>
      </c>
      <c r="G15" s="222">
        <v>2267</v>
      </c>
      <c r="H15" s="222">
        <v>40</v>
      </c>
      <c r="I15" s="207">
        <f t="shared" si="10"/>
        <v>130.03901170351105</v>
      </c>
      <c r="J15" s="242">
        <f t="shared" si="11"/>
        <v>5201.560468140442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43290</v>
      </c>
      <c r="D16" s="161" t="s">
        <v>9</v>
      </c>
      <c r="E16" s="161" t="s">
        <v>834</v>
      </c>
      <c r="F16" s="222">
        <v>223</v>
      </c>
      <c r="G16" s="222">
        <v>226.8</v>
      </c>
      <c r="H16" s="222">
        <v>3.8</v>
      </c>
      <c r="I16" s="207">
        <f t="shared" si="10"/>
        <v>1345.2914798206277</v>
      </c>
      <c r="J16" s="242">
        <f t="shared" si="11"/>
        <v>5112.1076233183849</v>
      </c>
      <c r="K16" s="153"/>
      <c r="L16" s="25" t="s">
        <v>2008</v>
      </c>
      <c r="M16" s="389" t="s">
        <v>1090</v>
      </c>
      <c r="N16" s="343">
        <f>COUNT(C215:C237)</f>
        <v>22</v>
      </c>
      <c r="O16" s="345">
        <f>V238</f>
        <v>17</v>
      </c>
      <c r="P16" s="345">
        <f>W238</f>
        <v>5</v>
      </c>
      <c r="Q16" s="347">
        <f t="shared" ref="Q16" si="14">N16-O16-P16</f>
        <v>0</v>
      </c>
      <c r="R16" s="340">
        <f t="shared" si="9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43290</v>
      </c>
      <c r="D17" s="161" t="s">
        <v>8</v>
      </c>
      <c r="E17" s="161" t="s">
        <v>192</v>
      </c>
      <c r="F17" s="222">
        <v>248</v>
      </c>
      <c r="G17" s="222">
        <v>246</v>
      </c>
      <c r="H17" s="222">
        <v>2</v>
      </c>
      <c r="I17" s="207">
        <f t="shared" si="10"/>
        <v>1209.6774193548388</v>
      </c>
      <c r="J17" s="242">
        <f t="shared" si="11"/>
        <v>2419.3548387096776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43291</v>
      </c>
      <c r="D18" s="161" t="s">
        <v>9</v>
      </c>
      <c r="E18" s="161" t="s">
        <v>192</v>
      </c>
      <c r="F18" s="222">
        <v>252</v>
      </c>
      <c r="G18" s="222">
        <v>253.8</v>
      </c>
      <c r="H18" s="222">
        <v>1.8</v>
      </c>
      <c r="I18" s="207">
        <f t="shared" si="10"/>
        <v>1190.4761904761904</v>
      </c>
      <c r="J18" s="242">
        <f t="shared" si="11"/>
        <v>2142.8571428571427</v>
      </c>
      <c r="K18" s="153"/>
      <c r="M18" s="334" t="s">
        <v>946</v>
      </c>
      <c r="N18" s="336">
        <f>SUM(N4:N17)</f>
        <v>174</v>
      </c>
      <c r="O18" s="336">
        <f t="shared" ref="O18:Q18" si="15">SUM(O4:O17)</f>
        <v>122</v>
      </c>
      <c r="P18" s="336">
        <f t="shared" si="15"/>
        <v>51</v>
      </c>
      <c r="Q18" s="338">
        <f t="shared" si="15"/>
        <v>1</v>
      </c>
      <c r="R18" s="314">
        <f t="shared" ref="R18" si="16">O18/N18</f>
        <v>0.70114942528735635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43291</v>
      </c>
      <c r="D19" s="161" t="s">
        <v>8</v>
      </c>
      <c r="E19" s="161" t="s">
        <v>834</v>
      </c>
      <c r="F19" s="222">
        <v>226</v>
      </c>
      <c r="G19" s="222">
        <v>226</v>
      </c>
      <c r="H19" s="222">
        <v>0</v>
      </c>
      <c r="I19" s="207">
        <f t="shared" si="10"/>
        <v>1327.4336283185842</v>
      </c>
      <c r="J19" s="242">
        <f t="shared" si="11"/>
        <v>0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43292</v>
      </c>
      <c r="D20" s="161" t="s">
        <v>9</v>
      </c>
      <c r="E20" s="161" t="s">
        <v>139</v>
      </c>
      <c r="F20" s="222">
        <v>370</v>
      </c>
      <c r="G20" s="222">
        <v>373</v>
      </c>
      <c r="H20" s="222">
        <v>3</v>
      </c>
      <c r="I20" s="207">
        <f t="shared" si="10"/>
        <v>810.81081081081084</v>
      </c>
      <c r="J20" s="242">
        <f t="shared" si="11"/>
        <v>2432.4324324324325</v>
      </c>
      <c r="K20" s="153"/>
      <c r="M20" s="316" t="s">
        <v>2253</v>
      </c>
      <c r="N20" s="317"/>
      <c r="O20" s="318"/>
      <c r="P20" s="325">
        <f>R18</f>
        <v>0.70114942528735635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43292</v>
      </c>
      <c r="D21" s="161" t="s">
        <v>8</v>
      </c>
      <c r="E21" s="161" t="s">
        <v>395</v>
      </c>
      <c r="F21" s="222">
        <v>2320</v>
      </c>
      <c r="G21" s="222">
        <v>2280</v>
      </c>
      <c r="H21" s="222">
        <v>40</v>
      </c>
      <c r="I21" s="207">
        <f t="shared" si="10"/>
        <v>129.31034482758622</v>
      </c>
      <c r="J21" s="242">
        <f t="shared" si="11"/>
        <v>5172.4137931034493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43293</v>
      </c>
      <c r="D22" s="161" t="s">
        <v>9</v>
      </c>
      <c r="E22" s="161" t="s">
        <v>139</v>
      </c>
      <c r="F22" s="222">
        <v>376</v>
      </c>
      <c r="G22" s="222">
        <v>384</v>
      </c>
      <c r="H22" s="222">
        <v>8</v>
      </c>
      <c r="I22" s="207">
        <f t="shared" si="10"/>
        <v>797.87234042553189</v>
      </c>
      <c r="J22" s="242">
        <f t="shared" si="11"/>
        <v>6382.9787234042551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43293</v>
      </c>
      <c r="D23" s="161" t="s">
        <v>8</v>
      </c>
      <c r="E23" s="161" t="s">
        <v>834</v>
      </c>
      <c r="F23" s="222">
        <v>217</v>
      </c>
      <c r="G23" s="222">
        <v>220</v>
      </c>
      <c r="H23" s="222">
        <v>-3</v>
      </c>
      <c r="I23" s="207">
        <f t="shared" si="10"/>
        <v>1382.4884792626729</v>
      </c>
      <c r="J23" s="242">
        <f t="shared" si="11"/>
        <v>-4147.4654377880188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43294</v>
      </c>
      <c r="D24" s="161" t="s">
        <v>9</v>
      </c>
      <c r="E24" s="161" t="s">
        <v>31</v>
      </c>
      <c r="F24" s="222">
        <v>1098</v>
      </c>
      <c r="G24" s="222">
        <v>1108</v>
      </c>
      <c r="H24" s="222">
        <v>10</v>
      </c>
      <c r="I24" s="207">
        <f t="shared" si="10"/>
        <v>273.22404371584702</v>
      </c>
      <c r="J24" s="242">
        <f t="shared" si="11"/>
        <v>2732.2404371584703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43294</v>
      </c>
      <c r="D25" s="161" t="s">
        <v>8</v>
      </c>
      <c r="E25" s="161" t="s">
        <v>19</v>
      </c>
      <c r="F25" s="222">
        <v>259</v>
      </c>
      <c r="G25" s="222">
        <v>257.60000000000002</v>
      </c>
      <c r="H25" s="222">
        <v>1.4</v>
      </c>
      <c r="I25" s="207">
        <f t="shared" si="10"/>
        <v>1158.3011583011582</v>
      </c>
      <c r="J25" s="242">
        <f t="shared" si="11"/>
        <v>1621.6216216216214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43297</v>
      </c>
      <c r="D26" s="161" t="s">
        <v>9</v>
      </c>
      <c r="E26" s="161" t="s">
        <v>834</v>
      </c>
      <c r="F26" s="222">
        <v>210</v>
      </c>
      <c r="G26" s="222">
        <v>207</v>
      </c>
      <c r="H26" s="222">
        <v>-3</v>
      </c>
      <c r="I26" s="207">
        <f t="shared" si="10"/>
        <v>1428.5714285714287</v>
      </c>
      <c r="J26" s="242">
        <f t="shared" si="11"/>
        <v>-4285.7142857142862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43297</v>
      </c>
      <c r="D27" s="161" t="s">
        <v>8</v>
      </c>
      <c r="E27" s="161" t="s">
        <v>192</v>
      </c>
      <c r="F27" s="222">
        <v>227</v>
      </c>
      <c r="G27" s="222">
        <v>221</v>
      </c>
      <c r="H27" s="222">
        <v>6</v>
      </c>
      <c r="I27" s="207">
        <f t="shared" si="10"/>
        <v>1321.5859030837005</v>
      </c>
      <c r="J27" s="242">
        <f t="shared" si="11"/>
        <v>7929.5154185022029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43298</v>
      </c>
      <c r="D28" s="161" t="s">
        <v>9</v>
      </c>
      <c r="E28" s="161" t="s">
        <v>834</v>
      </c>
      <c r="F28" s="222">
        <v>208.5</v>
      </c>
      <c r="G28" s="222">
        <v>211.5</v>
      </c>
      <c r="H28" s="222">
        <v>3</v>
      </c>
      <c r="I28" s="207">
        <f t="shared" si="10"/>
        <v>1438.8489208633093</v>
      </c>
      <c r="J28" s="242">
        <f t="shared" si="11"/>
        <v>4316.5467625899282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43298</v>
      </c>
      <c r="D29" s="161" t="s">
        <v>8</v>
      </c>
      <c r="E29" s="161" t="s">
        <v>192</v>
      </c>
      <c r="F29" s="222">
        <v>227</v>
      </c>
      <c r="G29" s="222">
        <v>225.3</v>
      </c>
      <c r="H29" s="222">
        <v>1.7</v>
      </c>
      <c r="I29" s="207">
        <f t="shared" si="10"/>
        <v>1321.5859030837005</v>
      </c>
      <c r="J29" s="242">
        <f t="shared" si="11"/>
        <v>2246.6960352422907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43299</v>
      </c>
      <c r="D30" s="161" t="s">
        <v>9</v>
      </c>
      <c r="E30" s="161" t="s">
        <v>2190</v>
      </c>
      <c r="F30" s="222">
        <v>1435</v>
      </c>
      <c r="G30" s="222">
        <v>1425</v>
      </c>
      <c r="H30" s="222">
        <v>-10</v>
      </c>
      <c r="I30" s="207">
        <f t="shared" si="10"/>
        <v>209.05923344947735</v>
      </c>
      <c r="J30" s="242">
        <f t="shared" si="11"/>
        <v>-2090.5923344947732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43299</v>
      </c>
      <c r="D31" s="161" t="s">
        <v>8</v>
      </c>
      <c r="E31" s="161" t="s">
        <v>834</v>
      </c>
      <c r="F31" s="222">
        <v>208</v>
      </c>
      <c r="G31" s="222">
        <v>202</v>
      </c>
      <c r="H31" s="222">
        <v>6</v>
      </c>
      <c r="I31" s="207">
        <f t="shared" si="10"/>
        <v>1442.3076923076924</v>
      </c>
      <c r="J31" s="242">
        <f t="shared" si="11"/>
        <v>8653.8461538461543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43300</v>
      </c>
      <c r="D32" s="161" t="s">
        <v>9</v>
      </c>
      <c r="E32" s="161" t="s">
        <v>139</v>
      </c>
      <c r="F32" s="222">
        <v>383.5</v>
      </c>
      <c r="G32" s="222">
        <v>391</v>
      </c>
      <c r="H32" s="222">
        <v>7.5</v>
      </c>
      <c r="I32" s="207">
        <f t="shared" si="10"/>
        <v>782.26857887874837</v>
      </c>
      <c r="J32" s="242">
        <f t="shared" si="11"/>
        <v>5867.0143415906132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43300</v>
      </c>
      <c r="D33" s="161" t="s">
        <v>8</v>
      </c>
      <c r="E33" s="161" t="s">
        <v>395</v>
      </c>
      <c r="F33" s="222">
        <v>2045</v>
      </c>
      <c r="G33" s="222">
        <v>2025</v>
      </c>
      <c r="H33" s="222">
        <v>20</v>
      </c>
      <c r="I33" s="207">
        <f t="shared" si="10"/>
        <v>146.69926650366747</v>
      </c>
      <c r="J33" s="242">
        <f t="shared" si="11"/>
        <v>2933.9853300733494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43301</v>
      </c>
      <c r="D34" s="161" t="s">
        <v>9</v>
      </c>
      <c r="E34" s="161" t="s">
        <v>31</v>
      </c>
      <c r="F34" s="222">
        <v>1125</v>
      </c>
      <c r="G34" s="222">
        <v>1135</v>
      </c>
      <c r="H34" s="222">
        <v>10</v>
      </c>
      <c r="I34" s="207">
        <f t="shared" si="10"/>
        <v>266.66666666666669</v>
      </c>
      <c r="J34" s="242">
        <f t="shared" si="11"/>
        <v>2666.666666666667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43301</v>
      </c>
      <c r="D35" s="161" t="s">
        <v>9</v>
      </c>
      <c r="E35" s="161" t="s">
        <v>139</v>
      </c>
      <c r="F35" s="222">
        <v>388</v>
      </c>
      <c r="G35" s="222">
        <v>392</v>
      </c>
      <c r="H35" s="222">
        <v>4</v>
      </c>
      <c r="I35" s="207">
        <f t="shared" si="10"/>
        <v>773.19587628865975</v>
      </c>
      <c r="J35" s="242">
        <f t="shared" si="11"/>
        <v>3092.783505154639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43304</v>
      </c>
      <c r="D36" s="161" t="s">
        <v>9</v>
      </c>
      <c r="E36" s="161" t="s">
        <v>139</v>
      </c>
      <c r="F36" s="222">
        <v>390</v>
      </c>
      <c r="G36" s="222">
        <v>392.2</v>
      </c>
      <c r="H36" s="222">
        <v>2.2000000000000002</v>
      </c>
      <c r="I36" s="207">
        <f t="shared" si="10"/>
        <v>769.23076923076928</v>
      </c>
      <c r="J36" s="242">
        <f t="shared" si="11"/>
        <v>1692.3076923076926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43304</v>
      </c>
      <c r="D37" s="161" t="s">
        <v>8</v>
      </c>
      <c r="E37" s="161" t="s">
        <v>395</v>
      </c>
      <c r="F37" s="222">
        <v>2050</v>
      </c>
      <c r="G37" s="222">
        <v>2040</v>
      </c>
      <c r="H37" s="222">
        <v>10</v>
      </c>
      <c r="I37" s="207">
        <f t="shared" si="10"/>
        <v>146.34146341463415</v>
      </c>
      <c r="J37" s="242">
        <f t="shared" si="11"/>
        <v>1463.4146341463415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43305</v>
      </c>
      <c r="D38" s="161" t="s">
        <v>9</v>
      </c>
      <c r="E38" s="161" t="s">
        <v>139</v>
      </c>
      <c r="F38" s="222">
        <v>386</v>
      </c>
      <c r="G38" s="222">
        <v>387.6</v>
      </c>
      <c r="H38" s="222">
        <v>1.6</v>
      </c>
      <c r="I38" s="207">
        <f t="shared" si="10"/>
        <v>777.20207253886008</v>
      </c>
      <c r="J38" s="242">
        <f t="shared" si="11"/>
        <v>1243.5233160621763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43305</v>
      </c>
      <c r="D39" s="161" t="s">
        <v>8</v>
      </c>
      <c r="E39" s="161" t="s">
        <v>31</v>
      </c>
      <c r="F39" s="222">
        <v>1116</v>
      </c>
      <c r="G39" s="222">
        <v>1110.5</v>
      </c>
      <c r="H39" s="222">
        <v>5.5</v>
      </c>
      <c r="I39" s="207">
        <f t="shared" si="10"/>
        <v>268.81720430107526</v>
      </c>
      <c r="J39" s="242">
        <f t="shared" si="11"/>
        <v>1478.494623655914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43306</v>
      </c>
      <c r="D40" s="161" t="s">
        <v>9</v>
      </c>
      <c r="E40" s="161" t="s">
        <v>139</v>
      </c>
      <c r="F40" s="222">
        <v>384</v>
      </c>
      <c r="G40" s="222">
        <v>392</v>
      </c>
      <c r="H40" s="222">
        <v>8</v>
      </c>
      <c r="I40" s="207">
        <f t="shared" si="10"/>
        <v>781.25</v>
      </c>
      <c r="J40" s="242">
        <f t="shared" si="11"/>
        <v>6250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43306</v>
      </c>
      <c r="D41" s="161" t="s">
        <v>8</v>
      </c>
      <c r="E41" s="161" t="s">
        <v>395</v>
      </c>
      <c r="F41" s="222">
        <v>2080</v>
      </c>
      <c r="G41" s="223">
        <v>2062</v>
      </c>
      <c r="H41" s="222">
        <v>18</v>
      </c>
      <c r="I41" s="207">
        <f t="shared" si="10"/>
        <v>144.23076923076923</v>
      </c>
      <c r="J41" s="242">
        <f t="shared" si="11"/>
        <v>2596.1538461538462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43307</v>
      </c>
      <c r="D42" s="161" t="s">
        <v>9</v>
      </c>
      <c r="E42" s="161" t="s">
        <v>139</v>
      </c>
      <c r="F42" s="222">
        <v>384</v>
      </c>
      <c r="G42" s="222">
        <v>386</v>
      </c>
      <c r="H42" s="222">
        <v>2</v>
      </c>
      <c r="I42" s="207">
        <f t="shared" si="10"/>
        <v>781.25</v>
      </c>
      <c r="J42" s="242">
        <f t="shared" si="11"/>
        <v>1562.5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43307</v>
      </c>
      <c r="D43" s="161" t="s">
        <v>8</v>
      </c>
      <c r="E43" s="161" t="s">
        <v>31</v>
      </c>
      <c r="F43" s="222">
        <v>1116</v>
      </c>
      <c r="G43" s="222">
        <v>1109</v>
      </c>
      <c r="H43" s="222">
        <v>7</v>
      </c>
      <c r="I43" s="207">
        <f t="shared" si="10"/>
        <v>268.81720430107526</v>
      </c>
      <c r="J43" s="242">
        <f t="shared" si="11"/>
        <v>1881.7204301075269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43308</v>
      </c>
      <c r="D44" s="161" t="s">
        <v>9</v>
      </c>
      <c r="E44" s="161" t="s">
        <v>192</v>
      </c>
      <c r="F44" s="222">
        <v>278</v>
      </c>
      <c r="G44" s="222">
        <v>282</v>
      </c>
      <c r="H44" s="222">
        <v>4</v>
      </c>
      <c r="I44" s="207">
        <f t="shared" si="10"/>
        <v>1079.1366906474821</v>
      </c>
      <c r="J44" s="242">
        <f t="shared" si="11"/>
        <v>4316.5467625899282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43308</v>
      </c>
      <c r="D45" s="161" t="s">
        <v>8</v>
      </c>
      <c r="E45" s="161" t="s">
        <v>371</v>
      </c>
      <c r="F45" s="222">
        <v>506</v>
      </c>
      <c r="G45" s="222">
        <v>511</v>
      </c>
      <c r="H45" s="222">
        <v>-5</v>
      </c>
      <c r="I45" s="207">
        <f t="shared" si="10"/>
        <v>592.88537549407113</v>
      </c>
      <c r="J45" s="242">
        <f t="shared" si="11"/>
        <v>-2964.4268774703555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43311</v>
      </c>
      <c r="D46" s="161" t="s">
        <v>9</v>
      </c>
      <c r="E46" s="161" t="s">
        <v>192</v>
      </c>
      <c r="F46" s="222">
        <v>285</v>
      </c>
      <c r="G46" s="222">
        <v>291</v>
      </c>
      <c r="H46" s="222">
        <v>6</v>
      </c>
      <c r="I46" s="207">
        <f t="shared" si="10"/>
        <v>1052.6315789473683</v>
      </c>
      <c r="J46" s="242">
        <f t="shared" si="11"/>
        <v>6315.78947368421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43311</v>
      </c>
      <c r="D47" s="161" t="s">
        <v>8</v>
      </c>
      <c r="E47" s="161" t="s">
        <v>78</v>
      </c>
      <c r="F47" s="222">
        <v>1302</v>
      </c>
      <c r="G47" s="222">
        <v>1292</v>
      </c>
      <c r="H47" s="222">
        <v>10</v>
      </c>
      <c r="I47" s="207">
        <f t="shared" si="10"/>
        <v>230.41474654377879</v>
      </c>
      <c r="J47" s="242">
        <f t="shared" si="11"/>
        <v>2304.147465437788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43312</v>
      </c>
      <c r="D48" s="161" t="s">
        <v>9</v>
      </c>
      <c r="E48" s="161" t="s">
        <v>31</v>
      </c>
      <c r="F48" s="222">
        <v>1152</v>
      </c>
      <c r="G48" s="222">
        <v>1172</v>
      </c>
      <c r="H48" s="222">
        <v>20</v>
      </c>
      <c r="I48" s="207">
        <f t="shared" si="10"/>
        <v>260.41666666666669</v>
      </c>
      <c r="J48" s="242">
        <f t="shared" si="11"/>
        <v>5208.3333333333339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43312</v>
      </c>
      <c r="D49" s="161" t="s">
        <v>8</v>
      </c>
      <c r="E49" s="161" t="s">
        <v>192</v>
      </c>
      <c r="F49" s="222">
        <v>285</v>
      </c>
      <c r="G49" s="222">
        <v>281.89999999999998</v>
      </c>
      <c r="H49" s="222">
        <v>3.1</v>
      </c>
      <c r="I49" s="207">
        <f t="shared" si="10"/>
        <v>1052.6315789473683</v>
      </c>
      <c r="J49" s="242">
        <f t="shared" si="11"/>
        <v>3263.1578947368421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110039.83550197809</v>
      </c>
      <c r="K52" s="153"/>
      <c r="V52" s="25">
        <f>SUM(V6:V51)</f>
        <v>36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2516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43283</v>
      </c>
      <c r="D60" s="158" t="s">
        <v>8</v>
      </c>
      <c r="E60" s="158" t="s">
        <v>31</v>
      </c>
      <c r="F60" s="204">
        <v>965</v>
      </c>
      <c r="G60" s="230">
        <v>961</v>
      </c>
      <c r="H60" s="230">
        <v>4</v>
      </c>
      <c r="I60" s="204">
        <v>1000</v>
      </c>
      <c r="J60" s="241">
        <f t="shared" ref="J60:J82" si="17">I60*H60</f>
        <v>4000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43284</v>
      </c>
      <c r="D61" s="161" t="s">
        <v>8</v>
      </c>
      <c r="E61" s="161" t="s">
        <v>78</v>
      </c>
      <c r="F61" s="207">
        <v>1261</v>
      </c>
      <c r="G61" s="222">
        <v>1255</v>
      </c>
      <c r="H61" s="222">
        <v>6</v>
      </c>
      <c r="I61" s="207">
        <v>750</v>
      </c>
      <c r="J61" s="242">
        <f t="shared" si="17"/>
        <v>4500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43285</v>
      </c>
      <c r="D62" s="161" t="s">
        <v>8</v>
      </c>
      <c r="E62" s="161" t="s">
        <v>78</v>
      </c>
      <c r="F62" s="207">
        <v>1256</v>
      </c>
      <c r="G62" s="222">
        <v>1259</v>
      </c>
      <c r="H62" s="222">
        <v>-3</v>
      </c>
      <c r="I62" s="207">
        <v>150</v>
      </c>
      <c r="J62" s="242">
        <f t="shared" si="17"/>
        <v>-450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43286</v>
      </c>
      <c r="D63" s="161" t="s">
        <v>8</v>
      </c>
      <c r="E63" s="161" t="s">
        <v>78</v>
      </c>
      <c r="F63" s="222">
        <v>1264</v>
      </c>
      <c r="G63" s="222">
        <v>1249</v>
      </c>
      <c r="H63" s="222">
        <v>15</v>
      </c>
      <c r="I63" s="207">
        <v>750</v>
      </c>
      <c r="J63" s="242">
        <f t="shared" si="17"/>
        <v>11250</v>
      </c>
      <c r="K63" s="153"/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43287</v>
      </c>
      <c r="D64" s="161" t="s">
        <v>8</v>
      </c>
      <c r="E64" s="161" t="s">
        <v>796</v>
      </c>
      <c r="F64" s="207">
        <v>1046</v>
      </c>
      <c r="G64" s="222">
        <v>1026</v>
      </c>
      <c r="H64" s="222">
        <v>20</v>
      </c>
      <c r="I64" s="207">
        <v>500</v>
      </c>
      <c r="J64" s="242">
        <f t="shared" si="17"/>
        <v>10000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43290</v>
      </c>
      <c r="D65" s="161" t="s">
        <v>8</v>
      </c>
      <c r="E65" s="161" t="s">
        <v>796</v>
      </c>
      <c r="F65" s="207">
        <v>1000</v>
      </c>
      <c r="G65" s="222">
        <v>993</v>
      </c>
      <c r="H65" s="222">
        <v>7</v>
      </c>
      <c r="I65" s="207">
        <v>500</v>
      </c>
      <c r="J65" s="242">
        <f t="shared" si="17"/>
        <v>3500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43291</v>
      </c>
      <c r="D66" s="161" t="s">
        <v>8</v>
      </c>
      <c r="E66" s="161" t="s">
        <v>78</v>
      </c>
      <c r="F66" s="207">
        <v>1283</v>
      </c>
      <c r="G66" s="222">
        <v>1277</v>
      </c>
      <c r="H66" s="222">
        <v>6</v>
      </c>
      <c r="I66" s="207">
        <v>750</v>
      </c>
      <c r="J66" s="242">
        <f t="shared" si="17"/>
        <v>4500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43292</v>
      </c>
      <c r="D67" s="161" t="s">
        <v>8</v>
      </c>
      <c r="E67" s="161" t="s">
        <v>78</v>
      </c>
      <c r="F67" s="207">
        <v>1278</v>
      </c>
      <c r="G67" s="222">
        <v>1273.8</v>
      </c>
      <c r="H67" s="222">
        <v>4.2</v>
      </c>
      <c r="I67" s="207">
        <v>750</v>
      </c>
      <c r="J67" s="242">
        <f t="shared" si="17"/>
        <v>3150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43293</v>
      </c>
      <c r="D68" s="161" t="s">
        <v>8</v>
      </c>
      <c r="E68" s="161" t="s">
        <v>796</v>
      </c>
      <c r="F68" s="222">
        <v>1013</v>
      </c>
      <c r="G68" s="222">
        <v>1000</v>
      </c>
      <c r="H68" s="222">
        <v>13</v>
      </c>
      <c r="I68" s="207">
        <v>500</v>
      </c>
      <c r="J68" s="242">
        <f t="shared" si="17"/>
        <v>6500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43294</v>
      </c>
      <c r="D69" s="161" t="s">
        <v>8</v>
      </c>
      <c r="E69" s="161" t="s">
        <v>78</v>
      </c>
      <c r="F69" s="222">
        <v>1305</v>
      </c>
      <c r="G69" s="222">
        <v>1290</v>
      </c>
      <c r="H69" s="222">
        <v>15</v>
      </c>
      <c r="I69" s="207">
        <v>750</v>
      </c>
      <c r="J69" s="242">
        <f t="shared" si="17"/>
        <v>11250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43297</v>
      </c>
      <c r="D70" s="161" t="s">
        <v>8</v>
      </c>
      <c r="E70" s="161" t="s">
        <v>78</v>
      </c>
      <c r="F70" s="222">
        <v>1289</v>
      </c>
      <c r="G70" s="222">
        <v>1279</v>
      </c>
      <c r="H70" s="222">
        <v>10</v>
      </c>
      <c r="I70" s="207">
        <v>750</v>
      </c>
      <c r="J70" s="242">
        <f t="shared" si="17"/>
        <v>7500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43298</v>
      </c>
      <c r="D71" s="161" t="s">
        <v>8</v>
      </c>
      <c r="E71" s="161" t="s">
        <v>796</v>
      </c>
      <c r="F71" s="222">
        <v>927</v>
      </c>
      <c r="G71" s="222">
        <v>922</v>
      </c>
      <c r="H71" s="222">
        <v>5</v>
      </c>
      <c r="I71" s="207">
        <v>500</v>
      </c>
      <c r="J71" s="242">
        <f t="shared" si="17"/>
        <v>2500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43299</v>
      </c>
      <c r="D72" s="161" t="s">
        <v>8</v>
      </c>
      <c r="E72" s="161" t="s">
        <v>95</v>
      </c>
      <c r="F72" s="222">
        <v>264</v>
      </c>
      <c r="G72" s="222">
        <v>262</v>
      </c>
      <c r="H72" s="222">
        <v>2</v>
      </c>
      <c r="I72" s="207">
        <v>2750</v>
      </c>
      <c r="J72" s="242">
        <f t="shared" si="17"/>
        <v>5500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43300</v>
      </c>
      <c r="D73" s="161" t="s">
        <v>8</v>
      </c>
      <c r="E73" s="161" t="s">
        <v>78</v>
      </c>
      <c r="F73" s="223">
        <v>1283</v>
      </c>
      <c r="G73" s="222">
        <v>1263</v>
      </c>
      <c r="H73" s="255">
        <v>20</v>
      </c>
      <c r="I73" s="207">
        <v>750</v>
      </c>
      <c r="J73" s="242">
        <f t="shared" si="17"/>
        <v>15000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43301</v>
      </c>
      <c r="D74" s="161" t="s">
        <v>8</v>
      </c>
      <c r="E74" s="161" t="s">
        <v>78</v>
      </c>
      <c r="F74" s="222">
        <v>1280</v>
      </c>
      <c r="G74" s="222">
        <v>1270</v>
      </c>
      <c r="H74" s="255">
        <v>10</v>
      </c>
      <c r="I74" s="207">
        <v>750</v>
      </c>
      <c r="J74" s="242">
        <f t="shared" si="17"/>
        <v>7500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43304</v>
      </c>
      <c r="D75" s="161" t="s">
        <v>8</v>
      </c>
      <c r="E75" s="161" t="s">
        <v>78</v>
      </c>
      <c r="F75" s="222">
        <v>1275</v>
      </c>
      <c r="G75" s="222">
        <v>1265.7</v>
      </c>
      <c r="H75" s="222">
        <v>9.3000000000000007</v>
      </c>
      <c r="I75" s="207">
        <v>750</v>
      </c>
      <c r="J75" s="242">
        <f t="shared" si="17"/>
        <v>6975.0000000000009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43305</v>
      </c>
      <c r="D76" s="161" t="s">
        <v>8</v>
      </c>
      <c r="E76" s="161" t="s">
        <v>78</v>
      </c>
      <c r="F76" s="222">
        <v>1290</v>
      </c>
      <c r="G76" s="222">
        <v>1300</v>
      </c>
      <c r="H76" s="222">
        <v>-10</v>
      </c>
      <c r="I76" s="207">
        <v>750</v>
      </c>
      <c r="J76" s="242">
        <f t="shared" si="17"/>
        <v>-7500</v>
      </c>
      <c r="K76" s="153"/>
      <c r="V76" s="25">
        <f t="shared" si="18"/>
        <v>0</v>
      </c>
      <c r="W76" s="25">
        <f t="shared" si="19"/>
        <v>1</v>
      </c>
    </row>
    <row r="77" spans="1:23" x14ac:dyDescent="0.3">
      <c r="A77" s="147"/>
      <c r="B77" s="205">
        <f t="shared" si="20"/>
        <v>18</v>
      </c>
      <c r="C77" s="206">
        <v>43306</v>
      </c>
      <c r="D77" s="161" t="s">
        <v>9</v>
      </c>
      <c r="E77" s="161" t="s">
        <v>139</v>
      </c>
      <c r="F77" s="222">
        <v>386</v>
      </c>
      <c r="G77" s="222">
        <v>391.5</v>
      </c>
      <c r="H77" s="222">
        <v>5.5</v>
      </c>
      <c r="I77" s="207">
        <v>1750</v>
      </c>
      <c r="J77" s="242">
        <f t="shared" si="17"/>
        <v>9625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43307</v>
      </c>
      <c r="D78" s="161" t="s">
        <v>8</v>
      </c>
      <c r="E78" s="161" t="s">
        <v>78</v>
      </c>
      <c r="F78" s="222">
        <v>1298</v>
      </c>
      <c r="G78" s="222">
        <v>1294</v>
      </c>
      <c r="H78" s="222">
        <v>4</v>
      </c>
      <c r="I78" s="207">
        <v>750</v>
      </c>
      <c r="J78" s="242">
        <f t="shared" si="17"/>
        <v>3000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43308</v>
      </c>
      <c r="D79" s="161" t="s">
        <v>8</v>
      </c>
      <c r="E79" s="161" t="s">
        <v>796</v>
      </c>
      <c r="F79" s="222">
        <v>940</v>
      </c>
      <c r="G79" s="222">
        <v>939</v>
      </c>
      <c r="H79" s="222">
        <v>1</v>
      </c>
      <c r="I79" s="207">
        <v>500</v>
      </c>
      <c r="J79" s="242">
        <f t="shared" si="17"/>
        <v>500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43311</v>
      </c>
      <c r="D80" s="161" t="s">
        <v>8</v>
      </c>
      <c r="E80" s="161" t="s">
        <v>78</v>
      </c>
      <c r="F80" s="222">
        <v>1300</v>
      </c>
      <c r="G80" s="222">
        <v>1285</v>
      </c>
      <c r="H80" s="222">
        <v>15</v>
      </c>
      <c r="I80" s="207">
        <v>750</v>
      </c>
      <c r="J80" s="242">
        <f t="shared" si="17"/>
        <v>11250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43312</v>
      </c>
      <c r="D81" s="161" t="s">
        <v>9</v>
      </c>
      <c r="E81" s="161" t="s">
        <v>31</v>
      </c>
      <c r="F81" s="222">
        <v>1163</v>
      </c>
      <c r="G81" s="222">
        <v>1183</v>
      </c>
      <c r="H81" s="222">
        <v>20</v>
      </c>
      <c r="I81" s="207">
        <v>1000</v>
      </c>
      <c r="J81" s="242">
        <f t="shared" si="17"/>
        <v>20000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140050</v>
      </c>
      <c r="K83" s="153"/>
      <c r="V83" s="25">
        <f>SUM(V60:V82)</f>
        <v>20</v>
      </c>
      <c r="W83" s="25">
        <f>SUM(W60:W82)</f>
        <v>2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2516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43283</v>
      </c>
      <c r="D91" s="185" t="s">
        <v>8</v>
      </c>
      <c r="E91" s="185" t="s">
        <v>39</v>
      </c>
      <c r="F91" s="219">
        <v>10655</v>
      </c>
      <c r="G91" s="219">
        <v>10595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43284</v>
      </c>
      <c r="D92" s="161" t="s">
        <v>8</v>
      </c>
      <c r="E92" s="161" t="s">
        <v>39</v>
      </c>
      <c r="F92" s="207">
        <v>10675</v>
      </c>
      <c r="G92" s="207">
        <v>10660</v>
      </c>
      <c r="H92" s="161">
        <v>15</v>
      </c>
      <c r="I92" s="207">
        <v>150</v>
      </c>
      <c r="J92" s="242">
        <f t="shared" si="21"/>
        <v>2250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43285</v>
      </c>
      <c r="D93" s="161" t="s">
        <v>8</v>
      </c>
      <c r="E93" s="161" t="s">
        <v>39</v>
      </c>
      <c r="F93" s="207">
        <v>10690</v>
      </c>
      <c r="G93" s="207">
        <v>10720</v>
      </c>
      <c r="H93" s="161">
        <v>-30</v>
      </c>
      <c r="I93" s="207">
        <v>150</v>
      </c>
      <c r="J93" s="242">
        <f t="shared" si="21"/>
        <v>-4500</v>
      </c>
      <c r="K93" s="153"/>
      <c r="V93" s="25">
        <f t="shared" si="22"/>
        <v>0</v>
      </c>
      <c r="W93" s="25">
        <f t="shared" si="23"/>
        <v>1</v>
      </c>
    </row>
    <row r="94" spans="1:23" x14ac:dyDescent="0.3">
      <c r="A94" s="147"/>
      <c r="B94" s="205">
        <f t="shared" si="24"/>
        <v>4</v>
      </c>
      <c r="C94" s="206">
        <v>43286</v>
      </c>
      <c r="D94" s="161" t="s">
        <v>8</v>
      </c>
      <c r="E94" s="161" t="s">
        <v>39</v>
      </c>
      <c r="F94" s="207">
        <v>10755</v>
      </c>
      <c r="G94" s="207">
        <v>10740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43287</v>
      </c>
      <c r="D95" s="161" t="s">
        <v>8</v>
      </c>
      <c r="E95" s="161" t="s">
        <v>39</v>
      </c>
      <c r="F95" s="207">
        <v>10805</v>
      </c>
      <c r="G95" s="207">
        <v>10775</v>
      </c>
      <c r="H95" s="161">
        <v>30</v>
      </c>
      <c r="I95" s="207">
        <v>150</v>
      </c>
      <c r="J95" s="242">
        <f t="shared" si="21"/>
        <v>4500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43290</v>
      </c>
      <c r="D96" s="161" t="s">
        <v>8</v>
      </c>
      <c r="E96" s="161" t="s">
        <v>39</v>
      </c>
      <c r="F96" s="207">
        <v>10830</v>
      </c>
      <c r="G96" s="207">
        <v>10860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43291</v>
      </c>
      <c r="D97" s="161" t="s">
        <v>9</v>
      </c>
      <c r="E97" s="161" t="s">
        <v>39</v>
      </c>
      <c r="F97" s="207">
        <v>10930</v>
      </c>
      <c r="G97" s="207">
        <v>10952</v>
      </c>
      <c r="H97" s="161">
        <v>22</v>
      </c>
      <c r="I97" s="207">
        <v>150</v>
      </c>
      <c r="J97" s="242">
        <f t="shared" si="21"/>
        <v>3300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43292</v>
      </c>
      <c r="D98" s="161" t="s">
        <v>9</v>
      </c>
      <c r="E98" s="161" t="s">
        <v>39</v>
      </c>
      <c r="F98" s="207">
        <v>10950</v>
      </c>
      <c r="G98" s="207">
        <v>10920</v>
      </c>
      <c r="H98" s="161">
        <v>-30</v>
      </c>
      <c r="I98" s="207">
        <v>150</v>
      </c>
      <c r="J98" s="242">
        <f t="shared" si="21"/>
        <v>-4500</v>
      </c>
      <c r="K98" s="153"/>
      <c r="V98" s="25">
        <f t="shared" si="22"/>
        <v>0</v>
      </c>
      <c r="W98" s="25">
        <f t="shared" si="23"/>
        <v>1</v>
      </c>
    </row>
    <row r="99" spans="1:23" x14ac:dyDescent="0.3">
      <c r="A99" s="147"/>
      <c r="B99" s="205">
        <f t="shared" si="24"/>
        <v>9</v>
      </c>
      <c r="C99" s="206">
        <v>43293</v>
      </c>
      <c r="D99" s="161" t="s">
        <v>9</v>
      </c>
      <c r="E99" s="161" t="s">
        <v>39</v>
      </c>
      <c r="F99" s="207">
        <v>11050</v>
      </c>
      <c r="G99" s="207">
        <v>11065</v>
      </c>
      <c r="H99" s="161">
        <v>15</v>
      </c>
      <c r="I99" s="207">
        <v>150</v>
      </c>
      <c r="J99" s="242">
        <f t="shared" si="21"/>
        <v>2250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43294</v>
      </c>
      <c r="D100" s="161" t="s">
        <v>8</v>
      </c>
      <c r="E100" s="161" t="s">
        <v>39</v>
      </c>
      <c r="F100" s="207">
        <v>11015</v>
      </c>
      <c r="G100" s="207">
        <v>11000</v>
      </c>
      <c r="H100" s="161">
        <v>15</v>
      </c>
      <c r="I100" s="207">
        <v>150</v>
      </c>
      <c r="J100" s="242">
        <f t="shared" si="21"/>
        <v>2250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43297</v>
      </c>
      <c r="D101" s="161" t="s">
        <v>8</v>
      </c>
      <c r="E101" s="161" t="s">
        <v>39</v>
      </c>
      <c r="F101" s="207">
        <v>11000</v>
      </c>
      <c r="G101" s="207">
        <v>10940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43298</v>
      </c>
      <c r="D102" s="161" t="s">
        <v>8</v>
      </c>
      <c r="E102" s="161" t="s">
        <v>39</v>
      </c>
      <c r="F102" s="207">
        <v>10975</v>
      </c>
      <c r="G102" s="207">
        <v>11005</v>
      </c>
      <c r="H102" s="161">
        <v>-30</v>
      </c>
      <c r="I102" s="207">
        <v>150</v>
      </c>
      <c r="J102" s="242">
        <f t="shared" si="21"/>
        <v>-4500</v>
      </c>
      <c r="K102" s="153"/>
      <c r="V102" s="25">
        <f t="shared" si="22"/>
        <v>0</v>
      </c>
      <c r="W102" s="25">
        <f t="shared" si="23"/>
        <v>1</v>
      </c>
    </row>
    <row r="103" spans="1:23" x14ac:dyDescent="0.3">
      <c r="A103" s="147"/>
      <c r="B103" s="205">
        <f t="shared" si="24"/>
        <v>13</v>
      </c>
      <c r="C103" s="206">
        <v>43299</v>
      </c>
      <c r="D103" s="161" t="s">
        <v>9</v>
      </c>
      <c r="E103" s="161" t="s">
        <v>39</v>
      </c>
      <c r="F103" s="207">
        <v>11060</v>
      </c>
      <c r="G103" s="207">
        <v>11030</v>
      </c>
      <c r="H103" s="161">
        <v>-30</v>
      </c>
      <c r="I103" s="207">
        <v>150</v>
      </c>
      <c r="J103" s="242">
        <f t="shared" si="21"/>
        <v>-4500</v>
      </c>
      <c r="K103" s="153"/>
      <c r="V103" s="25">
        <f t="shared" si="22"/>
        <v>0</v>
      </c>
      <c r="W103" s="25">
        <f t="shared" si="23"/>
        <v>1</v>
      </c>
    </row>
    <row r="104" spans="1:23" x14ac:dyDescent="0.3">
      <c r="A104" s="147"/>
      <c r="B104" s="205">
        <f t="shared" si="24"/>
        <v>14</v>
      </c>
      <c r="C104" s="206">
        <v>43300</v>
      </c>
      <c r="D104" s="161" t="s">
        <v>8</v>
      </c>
      <c r="E104" s="161" t="s">
        <v>39</v>
      </c>
      <c r="F104" s="207">
        <v>10990</v>
      </c>
      <c r="G104" s="207">
        <v>10960</v>
      </c>
      <c r="H104" s="161">
        <v>30</v>
      </c>
      <c r="I104" s="207">
        <v>150</v>
      </c>
      <c r="J104" s="242">
        <f t="shared" si="21"/>
        <v>4500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43301</v>
      </c>
      <c r="D105" s="161" t="s">
        <v>8</v>
      </c>
      <c r="E105" s="161" t="s">
        <v>39</v>
      </c>
      <c r="F105" s="207">
        <v>11020</v>
      </c>
      <c r="G105" s="207">
        <v>10997</v>
      </c>
      <c r="H105" s="161">
        <v>23</v>
      </c>
      <c r="I105" s="207">
        <v>150</v>
      </c>
      <c r="J105" s="242">
        <f t="shared" si="21"/>
        <v>3450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43304</v>
      </c>
      <c r="D106" s="161" t="s">
        <v>8</v>
      </c>
      <c r="E106" s="161" t="s">
        <v>39</v>
      </c>
      <c r="F106" s="207">
        <v>11035</v>
      </c>
      <c r="G106" s="207">
        <v>11065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43305</v>
      </c>
      <c r="D107" s="161" t="s">
        <v>8</v>
      </c>
      <c r="E107" s="161" t="s">
        <v>39</v>
      </c>
      <c r="F107" s="207">
        <v>11140</v>
      </c>
      <c r="G107" s="207">
        <v>11110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43306</v>
      </c>
      <c r="D108" s="161" t="s">
        <v>8</v>
      </c>
      <c r="E108" s="161" t="s">
        <v>39</v>
      </c>
      <c r="F108" s="207">
        <v>11135</v>
      </c>
      <c r="G108" s="207">
        <v>11145</v>
      </c>
      <c r="H108" s="161">
        <v>-10</v>
      </c>
      <c r="I108" s="207">
        <v>150</v>
      </c>
      <c r="J108" s="242">
        <f t="shared" si="21"/>
        <v>-1500</v>
      </c>
      <c r="K108" s="153"/>
      <c r="V108" s="25">
        <f t="shared" si="22"/>
        <v>0</v>
      </c>
      <c r="W108" s="25">
        <f t="shared" si="23"/>
        <v>1</v>
      </c>
    </row>
    <row r="109" spans="1:23" x14ac:dyDescent="0.3">
      <c r="A109" s="147"/>
      <c r="B109" s="205">
        <f t="shared" si="24"/>
        <v>19</v>
      </c>
      <c r="C109" s="206">
        <v>43307</v>
      </c>
      <c r="D109" s="161" t="s">
        <v>9</v>
      </c>
      <c r="E109" s="161" t="s">
        <v>39</v>
      </c>
      <c r="F109" s="207">
        <v>11165</v>
      </c>
      <c r="G109" s="207">
        <v>11180</v>
      </c>
      <c r="H109" s="161">
        <v>15</v>
      </c>
      <c r="I109" s="207">
        <v>150</v>
      </c>
      <c r="J109" s="242">
        <f>I109*H109</f>
        <v>2250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43308</v>
      </c>
      <c r="D110" s="161" t="s">
        <v>9</v>
      </c>
      <c r="E110" s="161" t="s">
        <v>39</v>
      </c>
      <c r="F110" s="207">
        <v>11260</v>
      </c>
      <c r="G110" s="207">
        <v>11307</v>
      </c>
      <c r="H110" s="161">
        <v>47</v>
      </c>
      <c r="I110" s="207">
        <v>150</v>
      </c>
      <c r="J110" s="242">
        <f t="shared" si="21"/>
        <v>7050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43311</v>
      </c>
      <c r="D111" s="161" t="s">
        <v>8</v>
      </c>
      <c r="E111" s="161" t="s">
        <v>39</v>
      </c>
      <c r="F111" s="207">
        <v>11300</v>
      </c>
      <c r="G111" s="207">
        <v>11285</v>
      </c>
      <c r="H111" s="161">
        <v>15</v>
      </c>
      <c r="I111" s="207">
        <v>150</v>
      </c>
      <c r="J111" s="242">
        <f t="shared" si="21"/>
        <v>2250</v>
      </c>
      <c r="K111" s="153"/>
      <c r="V111" s="25">
        <f t="shared" si="22"/>
        <v>1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>
        <v>43312</v>
      </c>
      <c r="D112" s="161" t="s">
        <v>8</v>
      </c>
      <c r="E112" s="161" t="s">
        <v>39</v>
      </c>
      <c r="F112" s="207">
        <v>11310</v>
      </c>
      <c r="G112" s="207">
        <v>11340</v>
      </c>
      <c r="H112" s="161">
        <v>-30</v>
      </c>
      <c r="I112" s="207">
        <v>150</v>
      </c>
      <c r="J112" s="242">
        <f t="shared" si="21"/>
        <v>-4500</v>
      </c>
      <c r="K112" s="153"/>
      <c r="V112" s="25">
        <f t="shared" si="22"/>
        <v>0</v>
      </c>
      <c r="W112" s="25">
        <f t="shared" si="23"/>
        <v>1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25800</v>
      </c>
      <c r="K114" s="153"/>
      <c r="V114" s="25">
        <f>SUM(V91:V113)</f>
        <v>14</v>
      </c>
      <c r="W114" s="25">
        <f>SUM(W91:W113)</f>
        <v>8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2516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43283</v>
      </c>
      <c r="D122" s="185" t="s">
        <v>9</v>
      </c>
      <c r="E122" s="185" t="s">
        <v>2423</v>
      </c>
      <c r="F122" s="219">
        <v>160</v>
      </c>
      <c r="G122" s="219">
        <v>190</v>
      </c>
      <c r="H122" s="185">
        <v>30</v>
      </c>
      <c r="I122" s="219">
        <v>300</v>
      </c>
      <c r="J122" s="246">
        <f t="shared" ref="J122:J144" si="25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43284</v>
      </c>
      <c r="D123" s="161" t="s">
        <v>9</v>
      </c>
      <c r="E123" s="161" t="s">
        <v>2423</v>
      </c>
      <c r="F123" s="207">
        <v>148</v>
      </c>
      <c r="G123" s="207">
        <v>159</v>
      </c>
      <c r="H123" s="161">
        <v>11</v>
      </c>
      <c r="I123" s="207">
        <v>300</v>
      </c>
      <c r="J123" s="242">
        <f t="shared" si="25"/>
        <v>3300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43285</v>
      </c>
      <c r="D124" s="161" t="s">
        <v>9</v>
      </c>
      <c r="E124" s="161" t="s">
        <v>2423</v>
      </c>
      <c r="F124" s="207">
        <v>130</v>
      </c>
      <c r="G124" s="207">
        <v>110</v>
      </c>
      <c r="H124" s="161">
        <v>-20</v>
      </c>
      <c r="I124" s="207">
        <v>300</v>
      </c>
      <c r="J124" s="242">
        <f t="shared" si="25"/>
        <v>-6000</v>
      </c>
      <c r="K124" s="153"/>
      <c r="V124" s="25">
        <f t="shared" si="26"/>
        <v>0</v>
      </c>
      <c r="W124" s="25">
        <f t="shared" si="27"/>
        <v>1</v>
      </c>
    </row>
    <row r="125" spans="1:23" x14ac:dyDescent="0.3">
      <c r="A125" s="147"/>
      <c r="B125" s="205">
        <f t="shared" si="28"/>
        <v>4</v>
      </c>
      <c r="C125" s="206">
        <v>43287</v>
      </c>
      <c r="D125" s="161" t="s">
        <v>9</v>
      </c>
      <c r="E125" s="161" t="s">
        <v>2429</v>
      </c>
      <c r="F125" s="207">
        <v>114</v>
      </c>
      <c r="G125" s="207">
        <v>124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43290</v>
      </c>
      <c r="D126" s="161" t="s">
        <v>9</v>
      </c>
      <c r="E126" s="161" t="s">
        <v>2429</v>
      </c>
      <c r="F126" s="207">
        <v>95</v>
      </c>
      <c r="G126" s="207">
        <v>85</v>
      </c>
      <c r="H126" s="161">
        <v>-10</v>
      </c>
      <c r="I126" s="207">
        <v>300</v>
      </c>
      <c r="J126" s="242">
        <f t="shared" si="25"/>
        <v>-3000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43291</v>
      </c>
      <c r="D127" s="161" t="s">
        <v>9</v>
      </c>
      <c r="E127" s="161" t="s">
        <v>2440</v>
      </c>
      <c r="F127" s="207">
        <v>110</v>
      </c>
      <c r="G127" s="207">
        <v>130</v>
      </c>
      <c r="H127" s="161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43292</v>
      </c>
      <c r="D128" s="161" t="s">
        <v>9</v>
      </c>
      <c r="E128" s="161" t="s">
        <v>2440</v>
      </c>
      <c r="F128" s="207">
        <v>130</v>
      </c>
      <c r="G128" s="207">
        <v>110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43293</v>
      </c>
      <c r="D129" s="161" t="s">
        <v>9</v>
      </c>
      <c r="E129" s="161" t="s">
        <v>2442</v>
      </c>
      <c r="F129" s="207">
        <v>125</v>
      </c>
      <c r="G129" s="207">
        <v>105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43294</v>
      </c>
      <c r="D130" s="161" t="s">
        <v>9</v>
      </c>
      <c r="E130" s="161" t="s">
        <v>2520</v>
      </c>
      <c r="F130" s="207">
        <v>85</v>
      </c>
      <c r="G130" s="207">
        <v>78</v>
      </c>
      <c r="H130" s="161">
        <v>-7</v>
      </c>
      <c r="I130" s="207">
        <v>300</v>
      </c>
      <c r="J130" s="242">
        <f t="shared" si="25"/>
        <v>-2100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43297</v>
      </c>
      <c r="D131" s="161" t="s">
        <v>9</v>
      </c>
      <c r="E131" s="161" t="s">
        <v>2437</v>
      </c>
      <c r="F131" s="207">
        <v>90</v>
      </c>
      <c r="G131" s="207">
        <v>119</v>
      </c>
      <c r="H131" s="161">
        <v>29</v>
      </c>
      <c r="I131" s="207">
        <v>300</v>
      </c>
      <c r="J131" s="242">
        <f t="shared" si="25"/>
        <v>8700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43298</v>
      </c>
      <c r="D132" s="161" t="s">
        <v>9</v>
      </c>
      <c r="E132" s="161" t="s">
        <v>2437</v>
      </c>
      <c r="F132" s="207">
        <v>90</v>
      </c>
      <c r="G132" s="207">
        <v>70</v>
      </c>
      <c r="H132" s="161">
        <v>-20</v>
      </c>
      <c r="I132" s="207">
        <v>300</v>
      </c>
      <c r="J132" s="242">
        <f t="shared" si="25"/>
        <v>-6000</v>
      </c>
      <c r="K132" s="153"/>
      <c r="V132" s="25">
        <f t="shared" si="26"/>
        <v>0</v>
      </c>
      <c r="W132" s="25">
        <f t="shared" si="27"/>
        <v>1</v>
      </c>
    </row>
    <row r="133" spans="1:23" x14ac:dyDescent="0.3">
      <c r="A133" s="147"/>
      <c r="B133" s="205">
        <f t="shared" si="28"/>
        <v>12</v>
      </c>
      <c r="C133" s="206">
        <v>43299</v>
      </c>
      <c r="D133" s="161" t="s">
        <v>9</v>
      </c>
      <c r="E133" s="161" t="s">
        <v>2437</v>
      </c>
      <c r="F133" s="207">
        <v>90</v>
      </c>
      <c r="G133" s="207">
        <v>101</v>
      </c>
      <c r="H133" s="161">
        <v>11</v>
      </c>
      <c r="I133" s="207">
        <v>300</v>
      </c>
      <c r="J133" s="242">
        <f t="shared" si="25"/>
        <v>3300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43300</v>
      </c>
      <c r="D134" s="161" t="s">
        <v>9</v>
      </c>
      <c r="E134" s="161" t="s">
        <v>2437</v>
      </c>
      <c r="F134" s="207">
        <v>88</v>
      </c>
      <c r="G134" s="207">
        <v>99</v>
      </c>
      <c r="H134" s="161">
        <v>10</v>
      </c>
      <c r="I134" s="207">
        <v>300</v>
      </c>
      <c r="J134" s="242">
        <f t="shared" si="25"/>
        <v>3000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43301</v>
      </c>
      <c r="D135" s="161" t="s">
        <v>9</v>
      </c>
      <c r="E135" s="161" t="s">
        <v>2520</v>
      </c>
      <c r="F135" s="207">
        <v>122</v>
      </c>
      <c r="G135" s="207">
        <v>132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43304</v>
      </c>
      <c r="D136" s="161" t="s">
        <v>9</v>
      </c>
      <c r="E136" s="161" t="s">
        <v>2520</v>
      </c>
      <c r="F136" s="207">
        <v>93</v>
      </c>
      <c r="G136" s="207">
        <v>73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43305</v>
      </c>
      <c r="D137" s="161" t="s">
        <v>9</v>
      </c>
      <c r="E137" s="161" t="s">
        <v>2529</v>
      </c>
      <c r="F137" s="207">
        <v>82</v>
      </c>
      <c r="G137" s="207">
        <v>102</v>
      </c>
      <c r="H137" s="161">
        <v>20</v>
      </c>
      <c r="I137" s="207">
        <v>300</v>
      </c>
      <c r="J137" s="242">
        <f t="shared" si="25"/>
        <v>6000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43306</v>
      </c>
      <c r="D138" s="161" t="s">
        <v>9</v>
      </c>
      <c r="E138" s="161" t="s">
        <v>2442</v>
      </c>
      <c r="F138" s="207">
        <v>148</v>
      </c>
      <c r="G138" s="207">
        <v>168</v>
      </c>
      <c r="H138" s="161">
        <v>20</v>
      </c>
      <c r="I138" s="207">
        <v>300</v>
      </c>
      <c r="J138" s="242">
        <f t="shared" si="25"/>
        <v>6000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43307</v>
      </c>
      <c r="D139" s="161" t="s">
        <v>9</v>
      </c>
      <c r="E139" s="161" t="s">
        <v>2442</v>
      </c>
      <c r="F139" s="207">
        <v>165</v>
      </c>
      <c r="G139" s="207">
        <v>175</v>
      </c>
      <c r="H139" s="161">
        <v>10</v>
      </c>
      <c r="I139" s="207">
        <v>300</v>
      </c>
      <c r="J139" s="242">
        <f t="shared" si="25"/>
        <v>3000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43308</v>
      </c>
      <c r="D140" s="161" t="s">
        <v>9</v>
      </c>
      <c r="E140" s="161" t="s">
        <v>2445</v>
      </c>
      <c r="F140" s="207">
        <v>178</v>
      </c>
      <c r="G140" s="207">
        <v>207</v>
      </c>
      <c r="H140" s="161">
        <v>29</v>
      </c>
      <c r="I140" s="207">
        <v>300</v>
      </c>
      <c r="J140" s="242">
        <f t="shared" si="25"/>
        <v>8700</v>
      </c>
      <c r="K140" s="153"/>
      <c r="V140" s="25">
        <f t="shared" si="26"/>
        <v>1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>
        <v>43311</v>
      </c>
      <c r="D141" s="161" t="s">
        <v>9</v>
      </c>
      <c r="E141" s="161" t="s">
        <v>2531</v>
      </c>
      <c r="F141" s="207">
        <v>155</v>
      </c>
      <c r="G141" s="207">
        <v>135</v>
      </c>
      <c r="H141" s="161">
        <v>-20</v>
      </c>
      <c r="I141" s="207">
        <v>300</v>
      </c>
      <c r="J141" s="242">
        <f t="shared" si="25"/>
        <v>-6000</v>
      </c>
      <c r="K141" s="153"/>
      <c r="V141" s="25">
        <f t="shared" si="26"/>
        <v>0</v>
      </c>
      <c r="W141" s="25">
        <f t="shared" si="27"/>
        <v>1</v>
      </c>
    </row>
    <row r="142" spans="1:23" x14ac:dyDescent="0.3">
      <c r="A142" s="147"/>
      <c r="B142" s="205">
        <f t="shared" si="28"/>
        <v>21</v>
      </c>
      <c r="C142" s="206">
        <v>43312</v>
      </c>
      <c r="D142" s="161" t="s">
        <v>9</v>
      </c>
      <c r="E142" s="161" t="s">
        <v>2531</v>
      </c>
      <c r="F142" s="207">
        <v>145</v>
      </c>
      <c r="G142" s="207">
        <v>125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15900</v>
      </c>
      <c r="K145" s="153"/>
      <c r="V145" s="25">
        <f>SUM(V122:V144)</f>
        <v>12</v>
      </c>
      <c r="W145" s="25">
        <f>SUM(W122:W144)</f>
        <v>9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2516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43283</v>
      </c>
      <c r="D153" s="185" t="s">
        <v>8</v>
      </c>
      <c r="E153" s="185" t="s">
        <v>301</v>
      </c>
      <c r="F153" s="219">
        <v>26250</v>
      </c>
      <c r="G153" s="219">
        <v>26110</v>
      </c>
      <c r="H153" s="185">
        <v>140</v>
      </c>
      <c r="I153" s="219">
        <v>80</v>
      </c>
      <c r="J153" s="246">
        <f t="shared" ref="J153:J175" si="29">I153*H153</f>
        <v>11200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43284</v>
      </c>
      <c r="D154" s="161" t="s">
        <v>8</v>
      </c>
      <c r="E154" s="161" t="s">
        <v>301</v>
      </c>
      <c r="F154" s="207">
        <v>26260</v>
      </c>
      <c r="G154" s="207">
        <v>26210</v>
      </c>
      <c r="H154" s="161">
        <v>50</v>
      </c>
      <c r="I154" s="207">
        <v>80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43285</v>
      </c>
      <c r="D155" s="161" t="s">
        <v>8</v>
      </c>
      <c r="E155" s="161" t="s">
        <v>301</v>
      </c>
      <c r="F155" s="207">
        <v>26160</v>
      </c>
      <c r="G155" s="207">
        <v>26260</v>
      </c>
      <c r="H155" s="161">
        <v>-100</v>
      </c>
      <c r="I155" s="207">
        <v>80</v>
      </c>
      <c r="J155" s="242">
        <f t="shared" si="29"/>
        <v>-8000</v>
      </c>
      <c r="K155" s="153"/>
      <c r="V155" s="25">
        <f t="shared" si="30"/>
        <v>0</v>
      </c>
      <c r="W155" s="25">
        <f t="shared" si="31"/>
        <v>1</v>
      </c>
    </row>
    <row r="156" spans="1:23" x14ac:dyDescent="0.3">
      <c r="A156" s="147"/>
      <c r="B156" s="205">
        <f t="shared" si="32"/>
        <v>4</v>
      </c>
      <c r="C156" s="206">
        <v>43286</v>
      </c>
      <c r="D156" s="161" t="s">
        <v>8</v>
      </c>
      <c r="E156" s="161" t="s">
        <v>301</v>
      </c>
      <c r="F156" s="207">
        <v>26500</v>
      </c>
      <c r="G156" s="207">
        <v>26465</v>
      </c>
      <c r="H156" s="161">
        <v>35</v>
      </c>
      <c r="I156" s="207">
        <v>80</v>
      </c>
      <c r="J156" s="242">
        <f t="shared" si="29"/>
        <v>2800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43287</v>
      </c>
      <c r="D157" s="161" t="s">
        <v>8</v>
      </c>
      <c r="E157" s="161" t="s">
        <v>301</v>
      </c>
      <c r="F157" s="207">
        <v>26550</v>
      </c>
      <c r="G157" s="207">
        <v>26505</v>
      </c>
      <c r="H157" s="161">
        <v>45</v>
      </c>
      <c r="I157" s="207">
        <v>80</v>
      </c>
      <c r="J157" s="242">
        <f t="shared" si="29"/>
        <v>3600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43290</v>
      </c>
      <c r="D158" s="161" t="s">
        <v>8</v>
      </c>
      <c r="E158" s="161" t="s">
        <v>301</v>
      </c>
      <c r="F158" s="207">
        <v>26650</v>
      </c>
      <c r="G158" s="207">
        <v>26710</v>
      </c>
      <c r="H158" s="161">
        <v>-60</v>
      </c>
      <c r="I158" s="207">
        <v>80</v>
      </c>
      <c r="J158" s="242">
        <f t="shared" si="29"/>
        <v>-4800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43291</v>
      </c>
      <c r="D159" s="161" t="s">
        <v>9</v>
      </c>
      <c r="E159" s="161" t="s">
        <v>301</v>
      </c>
      <c r="F159" s="207">
        <v>26880</v>
      </c>
      <c r="G159" s="207">
        <v>26890</v>
      </c>
      <c r="H159" s="161">
        <v>10</v>
      </c>
      <c r="I159" s="207">
        <v>80</v>
      </c>
      <c r="J159" s="242">
        <f t="shared" si="29"/>
        <v>800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43292</v>
      </c>
      <c r="D160" s="161" t="s">
        <v>9</v>
      </c>
      <c r="E160" s="161" t="s">
        <v>301</v>
      </c>
      <c r="F160" s="207">
        <v>26850</v>
      </c>
      <c r="G160" s="207">
        <v>26750</v>
      </c>
      <c r="H160" s="161">
        <v>-100</v>
      </c>
      <c r="I160" s="207">
        <v>80</v>
      </c>
      <c r="J160" s="242">
        <f t="shared" si="29"/>
        <v>-8000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43293</v>
      </c>
      <c r="D161" s="161" t="s">
        <v>9</v>
      </c>
      <c r="E161" s="161" t="s">
        <v>301</v>
      </c>
      <c r="F161" s="207">
        <v>27100</v>
      </c>
      <c r="G161" s="207">
        <v>27150</v>
      </c>
      <c r="H161" s="161">
        <v>50</v>
      </c>
      <c r="I161" s="207">
        <v>80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43294</v>
      </c>
      <c r="D162" s="161" t="s">
        <v>8</v>
      </c>
      <c r="E162" s="161" t="s">
        <v>301</v>
      </c>
      <c r="F162" s="207">
        <v>26960</v>
      </c>
      <c r="G162" s="207">
        <v>26925</v>
      </c>
      <c r="H162" s="161">
        <v>35</v>
      </c>
      <c r="I162" s="207">
        <v>80</v>
      </c>
      <c r="J162" s="242">
        <f t="shared" si="29"/>
        <v>2800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43297</v>
      </c>
      <c r="D163" s="161" t="s">
        <v>8</v>
      </c>
      <c r="E163" s="161" t="s">
        <v>301</v>
      </c>
      <c r="F163" s="207">
        <v>26820</v>
      </c>
      <c r="G163" s="207">
        <v>26720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43298</v>
      </c>
      <c r="D164" s="161" t="s">
        <v>8</v>
      </c>
      <c r="E164" s="161" t="s">
        <v>301</v>
      </c>
      <c r="F164" s="207">
        <v>26840</v>
      </c>
      <c r="G164" s="207">
        <v>26940</v>
      </c>
      <c r="H164" s="161">
        <v>-100</v>
      </c>
      <c r="I164" s="207">
        <v>80</v>
      </c>
      <c r="J164" s="242">
        <f t="shared" si="29"/>
        <v>-8000</v>
      </c>
      <c r="K164" s="153"/>
      <c r="V164" s="25">
        <f t="shared" si="30"/>
        <v>0</v>
      </c>
      <c r="W164" s="25">
        <f t="shared" si="31"/>
        <v>1</v>
      </c>
    </row>
    <row r="165" spans="1:23" x14ac:dyDescent="0.3">
      <c r="A165" s="147"/>
      <c r="B165" s="205">
        <f t="shared" si="32"/>
        <v>13</v>
      </c>
      <c r="C165" s="206">
        <v>43299</v>
      </c>
      <c r="D165" s="161" t="s">
        <v>9</v>
      </c>
      <c r="E165" s="161" t="s">
        <v>301</v>
      </c>
      <c r="F165" s="207">
        <v>27200</v>
      </c>
      <c r="G165" s="207">
        <v>27100</v>
      </c>
      <c r="H165" s="161">
        <v>-100</v>
      </c>
      <c r="I165" s="207">
        <v>80</v>
      </c>
      <c r="J165" s="242">
        <f t="shared" si="29"/>
        <v>-8000</v>
      </c>
      <c r="K165" s="153"/>
      <c r="V165" s="25">
        <f t="shared" si="30"/>
        <v>0</v>
      </c>
      <c r="W165" s="25">
        <f t="shared" si="31"/>
        <v>1</v>
      </c>
    </row>
    <row r="166" spans="1:23" x14ac:dyDescent="0.3">
      <c r="A166" s="147"/>
      <c r="B166" s="205">
        <f t="shared" si="32"/>
        <v>14</v>
      </c>
      <c r="C166" s="206">
        <v>43300</v>
      </c>
      <c r="D166" s="161" t="s">
        <v>8</v>
      </c>
      <c r="E166" s="161" t="s">
        <v>301</v>
      </c>
      <c r="F166" s="207">
        <v>27000</v>
      </c>
      <c r="G166" s="207">
        <v>26800</v>
      </c>
      <c r="H166" s="161">
        <v>200</v>
      </c>
      <c r="I166" s="207">
        <v>80</v>
      </c>
      <c r="J166" s="242">
        <f t="shared" si="29"/>
        <v>16000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43301</v>
      </c>
      <c r="D167" s="161" t="s">
        <v>8</v>
      </c>
      <c r="E167" s="161" t="s">
        <v>301</v>
      </c>
      <c r="F167" s="207">
        <v>26900</v>
      </c>
      <c r="G167" s="207">
        <v>26850</v>
      </c>
      <c r="H167" s="161">
        <v>50</v>
      </c>
      <c r="I167" s="207">
        <v>80</v>
      </c>
      <c r="J167" s="242">
        <f t="shared" si="29"/>
        <v>4000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43304</v>
      </c>
      <c r="D168" s="161" t="s">
        <v>8</v>
      </c>
      <c r="E168" s="161" t="s">
        <v>301</v>
      </c>
      <c r="F168" s="207">
        <v>26900</v>
      </c>
      <c r="G168" s="207">
        <v>27000</v>
      </c>
      <c r="H168" s="161">
        <v>-100</v>
      </c>
      <c r="I168" s="207">
        <v>80</v>
      </c>
      <c r="J168" s="242">
        <f t="shared" si="29"/>
        <v>-8000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>
        <v>43305</v>
      </c>
      <c r="D169" s="161" t="s">
        <v>8</v>
      </c>
      <c r="E169" s="161" t="s">
        <v>301</v>
      </c>
      <c r="F169" s="207">
        <v>27040</v>
      </c>
      <c r="G169" s="207">
        <v>26940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43306</v>
      </c>
      <c r="D170" s="161" t="s">
        <v>8</v>
      </c>
      <c r="E170" s="161" t="s">
        <v>301</v>
      </c>
      <c r="F170" s="207">
        <v>27000</v>
      </c>
      <c r="G170" s="207">
        <v>27100</v>
      </c>
      <c r="H170" s="161">
        <v>-100</v>
      </c>
      <c r="I170" s="207">
        <v>80</v>
      </c>
      <c r="J170" s="242">
        <f t="shared" si="29"/>
        <v>-8000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43307</v>
      </c>
      <c r="D171" s="161" t="s">
        <v>9</v>
      </c>
      <c r="E171" s="161" t="s">
        <v>301</v>
      </c>
      <c r="F171" s="207">
        <v>27200</v>
      </c>
      <c r="G171" s="207">
        <v>27400</v>
      </c>
      <c r="H171" s="161">
        <v>200</v>
      </c>
      <c r="I171" s="207">
        <v>80</v>
      </c>
      <c r="J171" s="242">
        <f t="shared" si="29"/>
        <v>16000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43308</v>
      </c>
      <c r="D172" s="161" t="s">
        <v>9</v>
      </c>
      <c r="E172" s="161" t="s">
        <v>301</v>
      </c>
      <c r="F172" s="207">
        <v>27590</v>
      </c>
      <c r="G172" s="207">
        <v>27640</v>
      </c>
      <c r="H172" s="161">
        <v>50</v>
      </c>
      <c r="I172" s="207">
        <v>80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43311</v>
      </c>
      <c r="D173" s="161" t="s">
        <v>8</v>
      </c>
      <c r="E173" s="161" t="s">
        <v>301</v>
      </c>
      <c r="F173" s="207">
        <v>29650</v>
      </c>
      <c r="G173" s="207">
        <v>27750</v>
      </c>
      <c r="H173" s="161">
        <v>-100</v>
      </c>
      <c r="I173" s="207">
        <v>80</v>
      </c>
      <c r="J173" s="242">
        <f t="shared" si="29"/>
        <v>-8000</v>
      </c>
      <c r="K173" s="153"/>
      <c r="V173" s="25">
        <f t="shared" si="30"/>
        <v>0</v>
      </c>
      <c r="W173" s="25">
        <f t="shared" si="31"/>
        <v>1</v>
      </c>
    </row>
    <row r="174" spans="1:23" x14ac:dyDescent="0.3">
      <c r="A174" s="147"/>
      <c r="B174" s="205">
        <f t="shared" si="32"/>
        <v>22</v>
      </c>
      <c r="C174" s="206">
        <v>43312</v>
      </c>
      <c r="D174" s="161" t="s">
        <v>8</v>
      </c>
      <c r="E174" s="161" t="s">
        <v>301</v>
      </c>
      <c r="F174" s="207">
        <v>27770</v>
      </c>
      <c r="G174" s="207">
        <v>27800</v>
      </c>
      <c r="H174" s="161">
        <v>-30</v>
      </c>
      <c r="I174" s="207">
        <v>80</v>
      </c>
      <c r="J174" s="242">
        <f t="shared" si="29"/>
        <v>-2400</v>
      </c>
      <c r="K174" s="153"/>
      <c r="V174" s="25">
        <f t="shared" si="30"/>
        <v>0</v>
      </c>
      <c r="W174" s="25">
        <f t="shared" si="31"/>
        <v>1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22000</v>
      </c>
      <c r="K176" s="153"/>
      <c r="V176" s="25">
        <f>SUM(V153:V175)</f>
        <v>13</v>
      </c>
      <c r="W176" s="25">
        <f>SUM(W153:W175)</f>
        <v>9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2516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43283</v>
      </c>
      <c r="D184" s="185" t="s">
        <v>9</v>
      </c>
      <c r="E184" s="185" t="s">
        <v>2457</v>
      </c>
      <c r="F184" s="219">
        <v>390</v>
      </c>
      <c r="G184" s="219">
        <v>450</v>
      </c>
      <c r="H184" s="185">
        <v>60</v>
      </c>
      <c r="I184" s="219">
        <v>160</v>
      </c>
      <c r="J184" s="246">
        <f t="shared" ref="J184:J206" si="33">I184*H184</f>
        <v>9600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43284</v>
      </c>
      <c r="D185" s="161" t="s">
        <v>9</v>
      </c>
      <c r="E185" s="161" t="s">
        <v>2457</v>
      </c>
      <c r="F185" s="207">
        <v>370</v>
      </c>
      <c r="G185" s="207">
        <v>375</v>
      </c>
      <c r="H185" s="161">
        <v>-5</v>
      </c>
      <c r="I185" s="207">
        <v>160</v>
      </c>
      <c r="J185" s="242">
        <f t="shared" si="33"/>
        <v>-800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43285</v>
      </c>
      <c r="D186" s="161" t="s">
        <v>9</v>
      </c>
      <c r="E186" s="161" t="s">
        <v>2430</v>
      </c>
      <c r="F186" s="207">
        <v>340</v>
      </c>
      <c r="G186" s="207">
        <v>280</v>
      </c>
      <c r="H186" s="161">
        <v>-60</v>
      </c>
      <c r="I186" s="207">
        <v>160</v>
      </c>
      <c r="J186" s="242">
        <f t="shared" si="33"/>
        <v>-9600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43287</v>
      </c>
      <c r="D187" s="161" t="s">
        <v>9</v>
      </c>
      <c r="E187" s="161" t="s">
        <v>2502</v>
      </c>
      <c r="F187" s="207">
        <v>310</v>
      </c>
      <c r="G187" s="207">
        <v>338</v>
      </c>
      <c r="H187" s="161">
        <v>28</v>
      </c>
      <c r="I187" s="207">
        <v>160</v>
      </c>
      <c r="J187" s="242">
        <f t="shared" si="33"/>
        <v>4480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43290</v>
      </c>
      <c r="D188" s="161" t="s">
        <v>9</v>
      </c>
      <c r="E188" s="161" t="s">
        <v>2509</v>
      </c>
      <c r="F188" s="207">
        <v>290</v>
      </c>
      <c r="G188" s="207">
        <v>230</v>
      </c>
      <c r="H188" s="161">
        <v>-60</v>
      </c>
      <c r="I188" s="207">
        <v>160</v>
      </c>
      <c r="J188" s="242">
        <f t="shared" si="33"/>
        <v>-9600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43291</v>
      </c>
      <c r="D189" s="161" t="s">
        <v>9</v>
      </c>
      <c r="E189" s="161" t="s">
        <v>2438</v>
      </c>
      <c r="F189" s="207">
        <v>270</v>
      </c>
      <c r="G189" s="207">
        <v>273</v>
      </c>
      <c r="H189" s="161">
        <v>3</v>
      </c>
      <c r="I189" s="207">
        <v>160</v>
      </c>
      <c r="J189" s="242">
        <f t="shared" si="33"/>
        <v>480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43292</v>
      </c>
      <c r="D190" s="161" t="s">
        <v>9</v>
      </c>
      <c r="E190" s="161" t="s">
        <v>2438</v>
      </c>
      <c r="F190" s="207">
        <v>260</v>
      </c>
      <c r="G190" s="207">
        <v>200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43293</v>
      </c>
      <c r="D191" s="161" t="s">
        <v>9</v>
      </c>
      <c r="E191" s="161" t="s">
        <v>2518</v>
      </c>
      <c r="F191" s="207">
        <v>270</v>
      </c>
      <c r="G191" s="207">
        <v>220</v>
      </c>
      <c r="H191" s="161">
        <v>-50</v>
      </c>
      <c r="I191" s="207">
        <v>160</v>
      </c>
      <c r="J191" s="242">
        <f t="shared" si="33"/>
        <v>-8000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43294</v>
      </c>
      <c r="D192" s="161" t="s">
        <v>9</v>
      </c>
      <c r="E192" s="161" t="s">
        <v>2521</v>
      </c>
      <c r="F192" s="207">
        <v>260</v>
      </c>
      <c r="G192" s="207">
        <v>280</v>
      </c>
      <c r="H192" s="161">
        <v>20</v>
      </c>
      <c r="I192" s="207">
        <v>160</v>
      </c>
      <c r="J192" s="242">
        <f t="shared" si="33"/>
        <v>3200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43297</v>
      </c>
      <c r="D193" s="161" t="s">
        <v>9</v>
      </c>
      <c r="E193" s="161" t="s">
        <v>2523</v>
      </c>
      <c r="F193" s="207">
        <v>260</v>
      </c>
      <c r="G193" s="207">
        <v>320</v>
      </c>
      <c r="H193" s="161">
        <v>60</v>
      </c>
      <c r="I193" s="207">
        <v>160</v>
      </c>
      <c r="J193" s="242">
        <f t="shared" si="33"/>
        <v>9600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43298</v>
      </c>
      <c r="D194" s="161" t="s">
        <v>9</v>
      </c>
      <c r="E194" s="161" t="s">
        <v>2523</v>
      </c>
      <c r="F194" s="207">
        <v>240</v>
      </c>
      <c r="G194" s="207">
        <v>180</v>
      </c>
      <c r="H194" s="161">
        <v>-60</v>
      </c>
      <c r="I194" s="207">
        <v>160</v>
      </c>
      <c r="J194" s="242">
        <f t="shared" si="33"/>
        <v>-9600</v>
      </c>
      <c r="K194" s="153"/>
      <c r="V194" s="25">
        <f t="shared" si="34"/>
        <v>0</v>
      </c>
      <c r="W194" s="25">
        <f t="shared" si="35"/>
        <v>1</v>
      </c>
    </row>
    <row r="195" spans="1:23" x14ac:dyDescent="0.3">
      <c r="A195" s="147"/>
      <c r="B195" s="205">
        <f t="shared" si="36"/>
        <v>12</v>
      </c>
      <c r="C195" s="206">
        <v>43299</v>
      </c>
      <c r="D195" s="161" t="s">
        <v>9</v>
      </c>
      <c r="E195" s="161" t="s">
        <v>2524</v>
      </c>
      <c r="F195" s="207">
        <v>210</v>
      </c>
      <c r="G195" s="207">
        <v>150</v>
      </c>
      <c r="H195" s="161">
        <v>-60</v>
      </c>
      <c r="I195" s="207">
        <v>160</v>
      </c>
      <c r="J195" s="242">
        <f t="shared" si="33"/>
        <v>-9600</v>
      </c>
      <c r="K195" s="153"/>
      <c r="V195" s="25">
        <f t="shared" si="34"/>
        <v>0</v>
      </c>
      <c r="W195" s="25">
        <f t="shared" si="35"/>
        <v>1</v>
      </c>
    </row>
    <row r="196" spans="1:23" x14ac:dyDescent="0.3">
      <c r="A196" s="147"/>
      <c r="B196" s="205">
        <f t="shared" si="36"/>
        <v>13</v>
      </c>
      <c r="C196" s="206">
        <v>43300</v>
      </c>
      <c r="D196" s="161" t="s">
        <v>9</v>
      </c>
      <c r="E196" s="161" t="s">
        <v>2521</v>
      </c>
      <c r="F196" s="207">
        <v>190</v>
      </c>
      <c r="G196" s="207">
        <v>280</v>
      </c>
      <c r="H196" s="161">
        <v>90</v>
      </c>
      <c r="I196" s="207">
        <v>160</v>
      </c>
      <c r="J196" s="242">
        <f t="shared" si="33"/>
        <v>14400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43301</v>
      </c>
      <c r="D197" s="161" t="s">
        <v>9</v>
      </c>
      <c r="E197" s="161" t="s">
        <v>2523</v>
      </c>
      <c r="F197" s="207">
        <v>190</v>
      </c>
      <c r="G197" s="207">
        <v>215</v>
      </c>
      <c r="H197" s="161">
        <v>25</v>
      </c>
      <c r="I197" s="207">
        <v>160</v>
      </c>
      <c r="J197" s="242">
        <f t="shared" si="33"/>
        <v>4000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43304</v>
      </c>
      <c r="D198" s="161" t="s">
        <v>9</v>
      </c>
      <c r="E198" s="161" t="s">
        <v>2523</v>
      </c>
      <c r="F198" s="207">
        <v>160</v>
      </c>
      <c r="G198" s="207">
        <v>100</v>
      </c>
      <c r="H198" s="161">
        <v>-60</v>
      </c>
      <c r="I198" s="207">
        <v>160</v>
      </c>
      <c r="J198" s="242">
        <f t="shared" si="33"/>
        <v>-9600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43305</v>
      </c>
      <c r="D199" s="161" t="s">
        <v>9</v>
      </c>
      <c r="E199" s="161" t="s">
        <v>2521</v>
      </c>
      <c r="F199" s="207">
        <v>120</v>
      </c>
      <c r="G199" s="207">
        <v>155</v>
      </c>
      <c r="H199" s="161">
        <v>35</v>
      </c>
      <c r="I199" s="207">
        <v>160</v>
      </c>
      <c r="J199" s="242">
        <f t="shared" si="33"/>
        <v>5600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43306</v>
      </c>
      <c r="D200" s="161" t="s">
        <v>9</v>
      </c>
      <c r="E200" s="161" t="s">
        <v>2441</v>
      </c>
      <c r="F200" s="207">
        <v>150</v>
      </c>
      <c r="G200" s="207">
        <v>130</v>
      </c>
      <c r="H200" s="161">
        <v>-20</v>
      </c>
      <c r="I200" s="207">
        <v>160</v>
      </c>
      <c r="J200" s="242">
        <f t="shared" si="33"/>
        <v>-3200</v>
      </c>
      <c r="K200" s="153"/>
      <c r="V200" s="25">
        <f t="shared" si="34"/>
        <v>0</v>
      </c>
      <c r="W200" s="25">
        <f t="shared" si="35"/>
        <v>1</v>
      </c>
    </row>
    <row r="201" spans="1:23" x14ac:dyDescent="0.3">
      <c r="A201" s="147"/>
      <c r="B201" s="205">
        <f t="shared" si="36"/>
        <v>18</v>
      </c>
      <c r="C201" s="206">
        <v>43307</v>
      </c>
      <c r="D201" s="161" t="s">
        <v>9</v>
      </c>
      <c r="E201" s="161" t="s">
        <v>2441</v>
      </c>
      <c r="F201" s="207">
        <v>210</v>
      </c>
      <c r="G201" s="207">
        <v>330</v>
      </c>
      <c r="H201" s="161">
        <v>120</v>
      </c>
      <c r="I201" s="207">
        <v>160</v>
      </c>
      <c r="J201" s="242">
        <f t="shared" si="33"/>
        <v>19200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43308</v>
      </c>
      <c r="D202" s="161" t="s">
        <v>9</v>
      </c>
      <c r="E202" s="161" t="s">
        <v>2446</v>
      </c>
      <c r="F202" s="207">
        <v>420</v>
      </c>
      <c r="G202" s="207">
        <v>460</v>
      </c>
      <c r="H202" s="161">
        <v>40</v>
      </c>
      <c r="I202" s="207">
        <v>160</v>
      </c>
      <c r="J202" s="242">
        <f t="shared" si="33"/>
        <v>6400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43311</v>
      </c>
      <c r="D203" s="161" t="s">
        <v>9</v>
      </c>
      <c r="E203" s="161" t="s">
        <v>2532</v>
      </c>
      <c r="F203" s="207">
        <v>450</v>
      </c>
      <c r="G203" s="207">
        <v>390</v>
      </c>
      <c r="H203" s="161">
        <v>-60</v>
      </c>
      <c r="I203" s="207">
        <v>160</v>
      </c>
      <c r="J203" s="242">
        <f t="shared" si="33"/>
        <v>-9600</v>
      </c>
      <c r="K203" s="153"/>
      <c r="V203" s="25">
        <f t="shared" si="34"/>
        <v>0</v>
      </c>
      <c r="W203" s="25">
        <f t="shared" si="35"/>
        <v>1</v>
      </c>
    </row>
    <row r="204" spans="1:23" x14ac:dyDescent="0.3">
      <c r="A204" s="147"/>
      <c r="B204" s="205">
        <f t="shared" si="36"/>
        <v>21</v>
      </c>
      <c r="C204" s="206">
        <v>43312</v>
      </c>
      <c r="D204" s="161" t="s">
        <v>9</v>
      </c>
      <c r="E204" s="161" t="s">
        <v>2532</v>
      </c>
      <c r="F204" s="207">
        <v>400</v>
      </c>
      <c r="G204" s="207">
        <v>370</v>
      </c>
      <c r="H204" s="161">
        <v>-30</v>
      </c>
      <c r="I204" s="207">
        <v>160</v>
      </c>
      <c r="J204" s="242">
        <f t="shared" si="33"/>
        <v>-4800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-7040</v>
      </c>
      <c r="K207" s="153"/>
      <c r="V207" s="25">
        <f>SUM(V184:V206)</f>
        <v>10</v>
      </c>
      <c r="W207" s="25">
        <f>SUM(W184:W206)</f>
        <v>11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2516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43283</v>
      </c>
      <c r="D215" s="185" t="s">
        <v>9</v>
      </c>
      <c r="E215" s="185" t="s">
        <v>1965</v>
      </c>
      <c r="F215" s="231">
        <v>9</v>
      </c>
      <c r="G215" s="231">
        <v>10.8</v>
      </c>
      <c r="H215" s="231">
        <v>1.8</v>
      </c>
      <c r="I215" s="219">
        <v>3000</v>
      </c>
      <c r="J215" s="246">
        <f t="shared" ref="J215:J237" si="37">I215*H215</f>
        <v>5400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43284</v>
      </c>
      <c r="D216" s="161" t="s">
        <v>9</v>
      </c>
      <c r="E216" s="161" t="s">
        <v>1965</v>
      </c>
      <c r="F216" s="222">
        <v>8.5</v>
      </c>
      <c r="G216" s="222">
        <v>9.4</v>
      </c>
      <c r="H216" s="255">
        <v>0.9</v>
      </c>
      <c r="I216" s="207">
        <v>3000</v>
      </c>
      <c r="J216" s="242">
        <f>I216*H216</f>
        <v>2700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43285</v>
      </c>
      <c r="D217" s="161" t="s">
        <v>9</v>
      </c>
      <c r="E217" s="161" t="s">
        <v>1965</v>
      </c>
      <c r="F217" s="222">
        <v>9</v>
      </c>
      <c r="G217" s="222">
        <v>9.8000000000000007</v>
      </c>
      <c r="H217" s="222">
        <v>0.8</v>
      </c>
      <c r="I217" s="207">
        <v>3000</v>
      </c>
      <c r="J217" s="242">
        <f t="shared" si="37"/>
        <v>2400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43286</v>
      </c>
      <c r="D218" s="161" t="s">
        <v>9</v>
      </c>
      <c r="E218" s="161" t="s">
        <v>1965</v>
      </c>
      <c r="F218" s="222">
        <v>8.5</v>
      </c>
      <c r="G218" s="222">
        <v>8.5500000000000007</v>
      </c>
      <c r="H218" s="222">
        <v>0.05</v>
      </c>
      <c r="I218" s="207">
        <v>3000</v>
      </c>
      <c r="J218" s="242">
        <f t="shared" si="37"/>
        <v>150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43287</v>
      </c>
      <c r="D219" s="161" t="s">
        <v>9</v>
      </c>
      <c r="E219" s="161" t="s">
        <v>2517</v>
      </c>
      <c r="F219" s="222">
        <v>22</v>
      </c>
      <c r="G219" s="222">
        <v>24</v>
      </c>
      <c r="H219" s="222">
        <v>2</v>
      </c>
      <c r="I219" s="207">
        <v>750</v>
      </c>
      <c r="J219" s="242">
        <f t="shared" si="37"/>
        <v>1500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43290</v>
      </c>
      <c r="D220" s="161" t="s">
        <v>9</v>
      </c>
      <c r="E220" s="161" t="s">
        <v>2517</v>
      </c>
      <c r="F220" s="222">
        <v>19</v>
      </c>
      <c r="G220" s="222">
        <v>13</v>
      </c>
      <c r="H220" s="222">
        <v>-6</v>
      </c>
      <c r="I220" s="207">
        <v>750</v>
      </c>
      <c r="J220" s="242">
        <f t="shared" si="37"/>
        <v>-4500</v>
      </c>
      <c r="K220" s="153"/>
      <c r="V220" s="25">
        <f t="shared" si="39"/>
        <v>0</v>
      </c>
      <c r="W220" s="25">
        <f t="shared" si="40"/>
        <v>1</v>
      </c>
    </row>
    <row r="221" spans="1:23" x14ac:dyDescent="0.3">
      <c r="A221" s="147"/>
      <c r="B221" s="205">
        <f t="shared" si="38"/>
        <v>7</v>
      </c>
      <c r="C221" s="206">
        <v>43291</v>
      </c>
      <c r="D221" s="161" t="s">
        <v>9</v>
      </c>
      <c r="E221" s="161" t="s">
        <v>2510</v>
      </c>
      <c r="F221" s="222">
        <v>23</v>
      </c>
      <c r="G221" s="222">
        <v>25.6</v>
      </c>
      <c r="H221" s="222">
        <v>2.6</v>
      </c>
      <c r="I221" s="207">
        <v>1000</v>
      </c>
      <c r="J221" s="242">
        <f t="shared" si="37"/>
        <v>2600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43292</v>
      </c>
      <c r="D222" s="161" t="s">
        <v>9</v>
      </c>
      <c r="E222" s="161" t="s">
        <v>2510</v>
      </c>
      <c r="F222" s="222">
        <v>27</v>
      </c>
      <c r="G222" s="222">
        <v>33</v>
      </c>
      <c r="H222" s="222">
        <v>6</v>
      </c>
      <c r="I222" s="207">
        <v>1000</v>
      </c>
      <c r="J222" s="242">
        <f t="shared" si="37"/>
        <v>6000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43293</v>
      </c>
      <c r="D223" s="161" t="s">
        <v>9</v>
      </c>
      <c r="E223" s="161" t="s">
        <v>2519</v>
      </c>
      <c r="F223" s="222">
        <v>22</v>
      </c>
      <c r="G223" s="222">
        <v>34</v>
      </c>
      <c r="H223" s="255">
        <v>12</v>
      </c>
      <c r="I223" s="207">
        <v>1000</v>
      </c>
      <c r="J223" s="242">
        <f t="shared" si="37"/>
        <v>12000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43294</v>
      </c>
      <c r="D224" s="161" t="s">
        <v>9</v>
      </c>
      <c r="E224" s="161" t="s">
        <v>2522</v>
      </c>
      <c r="F224" s="222">
        <v>29</v>
      </c>
      <c r="G224" s="222">
        <v>23</v>
      </c>
      <c r="H224" s="255">
        <v>-6</v>
      </c>
      <c r="I224" s="207">
        <v>1000</v>
      </c>
      <c r="J224" s="242">
        <f t="shared" si="37"/>
        <v>-6000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43297</v>
      </c>
      <c r="D225" s="161" t="s">
        <v>9</v>
      </c>
      <c r="E225" s="161" t="s">
        <v>1385</v>
      </c>
      <c r="F225" s="222">
        <v>22</v>
      </c>
      <c r="G225" s="222">
        <v>27.5</v>
      </c>
      <c r="H225" s="255">
        <v>5.5</v>
      </c>
      <c r="I225" s="207">
        <v>750</v>
      </c>
      <c r="J225" s="242">
        <f t="shared" si="37"/>
        <v>4125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43298</v>
      </c>
      <c r="D226" s="161" t="s">
        <v>9</v>
      </c>
      <c r="E226" s="161" t="s">
        <v>1385</v>
      </c>
      <c r="F226" s="222">
        <v>26</v>
      </c>
      <c r="G226" s="222">
        <v>29</v>
      </c>
      <c r="H226" s="255">
        <v>3</v>
      </c>
      <c r="I226" s="207">
        <v>750</v>
      </c>
      <c r="J226" s="242">
        <f t="shared" si="37"/>
        <v>2250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43299</v>
      </c>
      <c r="D227" s="161" t="s">
        <v>9</v>
      </c>
      <c r="E227" s="161" t="s">
        <v>2525</v>
      </c>
      <c r="F227" s="222">
        <v>9.5</v>
      </c>
      <c r="G227" s="222">
        <v>10.6</v>
      </c>
      <c r="H227" s="255">
        <v>1.1000000000000001</v>
      </c>
      <c r="I227" s="207">
        <v>1750</v>
      </c>
      <c r="J227" s="242">
        <f t="shared" si="37"/>
        <v>1925.0000000000002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43300</v>
      </c>
      <c r="D228" s="161" t="s">
        <v>9</v>
      </c>
      <c r="E228" s="161" t="s">
        <v>2526</v>
      </c>
      <c r="F228" s="222">
        <v>4.2</v>
      </c>
      <c r="G228" s="222">
        <v>6.2</v>
      </c>
      <c r="H228" s="255">
        <v>2</v>
      </c>
      <c r="I228" s="207">
        <v>1750</v>
      </c>
      <c r="J228" s="242">
        <f>I228*H228</f>
        <v>3500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43301</v>
      </c>
      <c r="D229" s="161" t="s">
        <v>9</v>
      </c>
      <c r="E229" s="161" t="s">
        <v>2527</v>
      </c>
      <c r="F229" s="222">
        <v>20</v>
      </c>
      <c r="G229" s="222">
        <v>28.7</v>
      </c>
      <c r="H229" s="255">
        <v>8.6999999999999993</v>
      </c>
      <c r="I229" s="207">
        <v>1000</v>
      </c>
      <c r="J229" s="242">
        <f t="shared" si="37"/>
        <v>8700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43304</v>
      </c>
      <c r="D230" s="161" t="s">
        <v>9</v>
      </c>
      <c r="E230" s="161" t="s">
        <v>1795</v>
      </c>
      <c r="F230" s="222">
        <v>3.8</v>
      </c>
      <c r="G230" s="222">
        <v>6.8</v>
      </c>
      <c r="H230" s="222">
        <v>3</v>
      </c>
      <c r="I230" s="207">
        <v>2750</v>
      </c>
      <c r="J230" s="242">
        <f t="shared" si="37"/>
        <v>8250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43305</v>
      </c>
      <c r="D231" s="161" t="s">
        <v>9</v>
      </c>
      <c r="E231" s="161" t="s">
        <v>2528</v>
      </c>
      <c r="F231" s="222">
        <v>11</v>
      </c>
      <c r="G231" s="222">
        <v>17.5</v>
      </c>
      <c r="H231" s="222">
        <v>6.5</v>
      </c>
      <c r="I231" s="207">
        <v>1000</v>
      </c>
      <c r="J231" s="242">
        <f t="shared" si="37"/>
        <v>6500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43306</v>
      </c>
      <c r="D232" s="161" t="s">
        <v>9</v>
      </c>
      <c r="E232" s="161" t="s">
        <v>1965</v>
      </c>
      <c r="F232" s="222">
        <v>2</v>
      </c>
      <c r="G232" s="222">
        <v>0.7</v>
      </c>
      <c r="H232" s="222">
        <v>-1.3</v>
      </c>
      <c r="I232" s="207">
        <v>3000</v>
      </c>
      <c r="J232" s="242">
        <f t="shared" si="37"/>
        <v>-3900</v>
      </c>
      <c r="K232" s="153"/>
      <c r="V232" s="25">
        <f t="shared" si="39"/>
        <v>0</v>
      </c>
      <c r="W232" s="25">
        <f t="shared" si="40"/>
        <v>1</v>
      </c>
    </row>
    <row r="233" spans="1:23" x14ac:dyDescent="0.3">
      <c r="A233" s="147"/>
      <c r="B233" s="205">
        <f t="shared" si="38"/>
        <v>19</v>
      </c>
      <c r="C233" s="206">
        <v>43307</v>
      </c>
      <c r="D233" s="161" t="s">
        <v>9</v>
      </c>
      <c r="E233" s="161" t="s">
        <v>2528</v>
      </c>
      <c r="F233" s="222">
        <v>9</v>
      </c>
      <c r="G233" s="222">
        <v>4</v>
      </c>
      <c r="H233" s="222">
        <v>-5</v>
      </c>
      <c r="I233" s="207">
        <v>1000</v>
      </c>
      <c r="J233" s="242">
        <f t="shared" si="37"/>
        <v>-5000</v>
      </c>
      <c r="K233" s="153"/>
      <c r="V233" s="25">
        <f t="shared" si="39"/>
        <v>0</v>
      </c>
      <c r="W233" s="25">
        <f t="shared" si="40"/>
        <v>1</v>
      </c>
    </row>
    <row r="234" spans="1:23" x14ac:dyDescent="0.3">
      <c r="A234" s="147"/>
      <c r="B234" s="205">
        <f t="shared" si="38"/>
        <v>20</v>
      </c>
      <c r="C234" s="206">
        <v>43308</v>
      </c>
      <c r="D234" s="161" t="s">
        <v>9</v>
      </c>
      <c r="E234" s="161" t="s">
        <v>2530</v>
      </c>
      <c r="F234" s="222">
        <v>90</v>
      </c>
      <c r="G234" s="222">
        <v>120</v>
      </c>
      <c r="H234" s="222">
        <v>30</v>
      </c>
      <c r="I234" s="207">
        <v>200</v>
      </c>
      <c r="J234" s="242">
        <f t="shared" si="37"/>
        <v>6000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43311</v>
      </c>
      <c r="D235" s="161" t="s">
        <v>9</v>
      </c>
      <c r="E235" s="161" t="s">
        <v>2294</v>
      </c>
      <c r="F235" s="222">
        <v>10</v>
      </c>
      <c r="G235" s="222">
        <v>14</v>
      </c>
      <c r="H235" s="222">
        <v>4</v>
      </c>
      <c r="I235" s="207">
        <v>2750</v>
      </c>
      <c r="J235" s="242">
        <f t="shared" si="37"/>
        <v>11000</v>
      </c>
      <c r="K235" s="153"/>
      <c r="V235" s="25">
        <f t="shared" si="39"/>
        <v>1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>
        <v>43312</v>
      </c>
      <c r="D236" s="161" t="s">
        <v>9</v>
      </c>
      <c r="E236" s="161" t="s">
        <v>2339</v>
      </c>
      <c r="F236" s="222">
        <v>8.4</v>
      </c>
      <c r="G236" s="222">
        <v>7.7</v>
      </c>
      <c r="H236" s="222">
        <v>-0.7</v>
      </c>
      <c r="I236" s="207">
        <v>2750</v>
      </c>
      <c r="J236" s="242">
        <f t="shared" si="37"/>
        <v>-1924.9999999999998</v>
      </c>
      <c r="K236" s="153"/>
      <c r="V236" s="25">
        <f t="shared" si="39"/>
        <v>0</v>
      </c>
      <c r="W236" s="25">
        <f t="shared" si="40"/>
        <v>1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63675</v>
      </c>
      <c r="K238" s="153"/>
      <c r="V238" s="25">
        <f>SUM(V215:V237)</f>
        <v>17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3F00-000000000000}"/>
    <hyperlink ref="B83" r:id="rId2" xr:uid="{00000000-0004-0000-3F00-000001000000}"/>
    <hyperlink ref="B114" r:id="rId3" xr:uid="{00000000-0004-0000-3F00-000002000000}"/>
    <hyperlink ref="B145" r:id="rId4" xr:uid="{00000000-0004-0000-3F00-000003000000}"/>
    <hyperlink ref="B176" r:id="rId5" xr:uid="{00000000-0004-0000-3F00-000004000000}"/>
    <hyperlink ref="B207" r:id="rId6" xr:uid="{00000000-0004-0000-3F00-000005000000}"/>
    <hyperlink ref="B238" r:id="rId7" xr:uid="{00000000-0004-0000-3F00-000006000000}"/>
    <hyperlink ref="M1" location="'MASTER '!A1" display="Back" xr:uid="{00000000-0004-0000-3F00-000007000000}"/>
    <hyperlink ref="M8:M9" location="'JULY -2018'!A108" display="NIFTY FUTURE" xr:uid="{00000000-0004-0000-3F00-000008000000}"/>
    <hyperlink ref="M10:M11" location="'JULY -2018'!A139" display="NF. OPTION" xr:uid="{00000000-0004-0000-3F00-000009000000}"/>
    <hyperlink ref="M12:M13" location="'JULY -2018'!A170" display="BANK NIFTY" xr:uid="{00000000-0004-0000-3F00-00000A000000}"/>
    <hyperlink ref="M14:M15" location="'JULY -2018'!A201" display="B.NIFTY OPTION" xr:uid="{00000000-0004-0000-3F00-00000B000000}"/>
    <hyperlink ref="M16:M17" location="'JULY -2018'!A232" display="STOCK OPTION" xr:uid="{00000000-0004-0000-3F00-00000C000000}"/>
    <hyperlink ref="M6:M7" location="'JULY -2018'!A77" display="STOCK FUTURE" xr:uid="{00000000-0004-0000-3F00-00000D000000}"/>
    <hyperlink ref="M4:M5" location="'JULY -2018'!A1" display="CASH" xr:uid="{00000000-0004-0000-3F00-00000E000000}"/>
  </hyperlinks>
  <pageMargins left="0" right="0" top="0" bottom="0" header="0" footer="0"/>
  <pageSetup scale="95" orientation="portrait" r:id="rId8"/>
  <drawing r:id="rId9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2533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41</v>
      </c>
      <c r="O4" s="354">
        <f>V52</f>
        <v>33</v>
      </c>
      <c r="P4" s="354">
        <f>W52</f>
        <v>8</v>
      </c>
      <c r="Q4" s="355">
        <f>N4-O4-P4</f>
        <v>0</v>
      </c>
      <c r="R4" s="314">
        <f>O4/N4</f>
        <v>0.80487804878048785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43313</v>
      </c>
      <c r="D6" s="158" t="s">
        <v>9</v>
      </c>
      <c r="E6" s="158" t="s">
        <v>31</v>
      </c>
      <c r="F6" s="204">
        <v>1191</v>
      </c>
      <c r="G6" s="230">
        <v>1201</v>
      </c>
      <c r="H6" s="158">
        <v>10</v>
      </c>
      <c r="I6" s="204">
        <f>300000/F6</f>
        <v>251.88916876574308</v>
      </c>
      <c r="J6" s="241">
        <f>H6*I6</f>
        <v>2518.8916876574308</v>
      </c>
      <c r="K6" s="153"/>
      <c r="M6" s="389" t="s">
        <v>450</v>
      </c>
      <c r="N6" s="343">
        <f>COUNT(C60:C82)</f>
        <v>21</v>
      </c>
      <c r="O6" s="345">
        <f>V83</f>
        <v>18</v>
      </c>
      <c r="P6" s="345">
        <f>W83</f>
        <v>3</v>
      </c>
      <c r="Q6" s="347">
        <f>N6-O6-P6</f>
        <v>0</v>
      </c>
      <c r="R6" s="340">
        <f t="shared" ref="R6" si="0">O6/N6</f>
        <v>0.8571428571428571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43313</v>
      </c>
      <c r="D7" s="161" t="s">
        <v>8</v>
      </c>
      <c r="E7" s="161" t="s">
        <v>139</v>
      </c>
      <c r="F7" s="207">
        <v>368</v>
      </c>
      <c r="G7" s="207">
        <v>364</v>
      </c>
      <c r="H7" s="234">
        <v>4</v>
      </c>
      <c r="I7" s="207">
        <f t="shared" ref="I7" si="1">300000/F7</f>
        <v>815.21739130434787</v>
      </c>
      <c r="J7" s="242">
        <f t="shared" ref="J7" si="2">H7*I7</f>
        <v>3260.8695652173915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43314</v>
      </c>
      <c r="D8" s="161" t="s">
        <v>9</v>
      </c>
      <c r="E8" s="161" t="s">
        <v>395</v>
      </c>
      <c r="F8" s="207">
        <v>2215</v>
      </c>
      <c r="G8" s="222">
        <v>2235</v>
      </c>
      <c r="H8" s="222">
        <v>20</v>
      </c>
      <c r="I8" s="207">
        <f t="shared" ref="I8" si="6">300000/F8</f>
        <v>135.44018058690745</v>
      </c>
      <c r="J8" s="242">
        <f t="shared" ref="J8" si="7">H8*I8</f>
        <v>2708.8036117381489</v>
      </c>
      <c r="K8" s="153"/>
      <c r="M8" s="389" t="s">
        <v>451</v>
      </c>
      <c r="N8" s="343">
        <f>COUNT(C91:C113)</f>
        <v>21</v>
      </c>
      <c r="O8" s="345">
        <f>V114</f>
        <v>17</v>
      </c>
      <c r="P8" s="345">
        <f>W114</f>
        <v>4</v>
      </c>
      <c r="Q8" s="347">
        <f>N8-O8-P8</f>
        <v>0</v>
      </c>
      <c r="R8" s="340">
        <f t="shared" ref="R8" si="8">O8/N8</f>
        <v>0.80952380952380953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43314</v>
      </c>
      <c r="D9" s="161" t="s">
        <v>8</v>
      </c>
      <c r="E9" s="161" t="s">
        <v>139</v>
      </c>
      <c r="F9" s="222">
        <v>360</v>
      </c>
      <c r="G9" s="222">
        <v>357.5</v>
      </c>
      <c r="H9" s="222">
        <v>2.5</v>
      </c>
      <c r="I9" s="207">
        <f t="shared" ref="I9" si="9">300000/F9</f>
        <v>833.33333333333337</v>
      </c>
      <c r="J9" s="242">
        <f t="shared" ref="J9" si="10">H9*I9</f>
        <v>2083.3333333333335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43315</v>
      </c>
      <c r="D10" s="161" t="s">
        <v>9</v>
      </c>
      <c r="E10" s="161" t="s">
        <v>502</v>
      </c>
      <c r="F10" s="222">
        <v>1425</v>
      </c>
      <c r="G10" s="222">
        <v>1445</v>
      </c>
      <c r="H10" s="222">
        <v>20</v>
      </c>
      <c r="I10" s="207">
        <f t="shared" ref="I10:I46" si="11">300000/F10</f>
        <v>210.52631578947367</v>
      </c>
      <c r="J10" s="242">
        <f t="shared" ref="J10:J46" si="12">H10*I10</f>
        <v>4210.5263157894733</v>
      </c>
      <c r="K10" s="153"/>
      <c r="M10" s="389" t="s">
        <v>1176</v>
      </c>
      <c r="N10" s="343">
        <f>COUNT(C122:C144)</f>
        <v>20</v>
      </c>
      <c r="O10" s="345">
        <f>V145</f>
        <v>15</v>
      </c>
      <c r="P10" s="345">
        <f>W145</f>
        <v>5</v>
      </c>
      <c r="Q10" s="347">
        <f>N10-O10-P10</f>
        <v>0</v>
      </c>
      <c r="R10" s="340">
        <f t="shared" ref="R10:R16" si="13">O10/N10</f>
        <v>0.75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43315</v>
      </c>
      <c r="D11" s="161" t="s">
        <v>9</v>
      </c>
      <c r="E11" s="161" t="s">
        <v>58</v>
      </c>
      <c r="F11" s="222">
        <v>555</v>
      </c>
      <c r="G11" s="222">
        <v>565</v>
      </c>
      <c r="H11" s="255">
        <v>10</v>
      </c>
      <c r="I11" s="207">
        <f t="shared" si="11"/>
        <v>540.54054054054052</v>
      </c>
      <c r="J11" s="242">
        <f t="shared" si="12"/>
        <v>5405.405405405405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43318</v>
      </c>
      <c r="D12" s="161" t="s">
        <v>9</v>
      </c>
      <c r="E12" s="161" t="s">
        <v>800</v>
      </c>
      <c r="F12" s="222">
        <v>1160</v>
      </c>
      <c r="G12" s="222">
        <v>1150</v>
      </c>
      <c r="H12" s="222">
        <v>-10</v>
      </c>
      <c r="I12" s="207">
        <f t="shared" si="11"/>
        <v>258.62068965517244</v>
      </c>
      <c r="J12" s="242">
        <f t="shared" si="12"/>
        <v>-2586.2068965517246</v>
      </c>
      <c r="K12" s="153"/>
      <c r="M12" s="389" t="s">
        <v>41</v>
      </c>
      <c r="N12" s="343">
        <f>COUNT(C153:C175)</f>
        <v>21</v>
      </c>
      <c r="O12" s="345">
        <f>V176</f>
        <v>18</v>
      </c>
      <c r="P12" s="345">
        <f>W176</f>
        <v>2</v>
      </c>
      <c r="Q12" s="347">
        <f t="shared" ref="Q12" si="14">N12-O12-P12</f>
        <v>1</v>
      </c>
      <c r="R12" s="340">
        <f t="shared" si="13"/>
        <v>0.8571428571428571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43318</v>
      </c>
      <c r="D13" s="161" t="s">
        <v>9</v>
      </c>
      <c r="E13" s="161" t="s">
        <v>864</v>
      </c>
      <c r="F13" s="222">
        <v>1780</v>
      </c>
      <c r="G13" s="222">
        <v>1799</v>
      </c>
      <c r="H13" s="255">
        <v>19</v>
      </c>
      <c r="I13" s="207">
        <f t="shared" si="11"/>
        <v>168.53932584269663</v>
      </c>
      <c r="J13" s="242">
        <f t="shared" si="12"/>
        <v>3202.2471910112358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43319</v>
      </c>
      <c r="D14" s="161" t="s">
        <v>9</v>
      </c>
      <c r="E14" s="161" t="s">
        <v>49</v>
      </c>
      <c r="F14" s="222">
        <v>1515</v>
      </c>
      <c r="G14" s="222">
        <v>1524.5</v>
      </c>
      <c r="H14" s="222">
        <v>9.5</v>
      </c>
      <c r="I14" s="207">
        <f t="shared" si="11"/>
        <v>198.01980198019803</v>
      </c>
      <c r="J14" s="242">
        <f t="shared" si="12"/>
        <v>1881.1881188118812</v>
      </c>
      <c r="K14" s="153"/>
      <c r="M14" s="389" t="s">
        <v>1175</v>
      </c>
      <c r="N14" s="343">
        <f>COUNT(C184:C206)</f>
        <v>20</v>
      </c>
      <c r="O14" s="345">
        <f>V207</f>
        <v>14</v>
      </c>
      <c r="P14" s="345">
        <f>W207</f>
        <v>3</v>
      </c>
      <c r="Q14" s="347">
        <f t="shared" ref="Q14" si="15">N14-O14-P14</f>
        <v>3</v>
      </c>
      <c r="R14" s="340">
        <f t="shared" si="13"/>
        <v>0.7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43319</v>
      </c>
      <c r="D15" s="161" t="s">
        <v>8</v>
      </c>
      <c r="E15" s="161" t="s">
        <v>794</v>
      </c>
      <c r="F15" s="222">
        <v>387</v>
      </c>
      <c r="G15" s="222">
        <v>379</v>
      </c>
      <c r="H15" s="222">
        <v>8</v>
      </c>
      <c r="I15" s="207">
        <f t="shared" si="11"/>
        <v>775.19379844961236</v>
      </c>
      <c r="J15" s="242">
        <f t="shared" si="12"/>
        <v>6201.5503875968989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43320</v>
      </c>
      <c r="D16" s="161" t="s">
        <v>9</v>
      </c>
      <c r="E16" s="161" t="s">
        <v>864</v>
      </c>
      <c r="F16" s="222">
        <v>1830</v>
      </c>
      <c r="G16" s="222">
        <v>1870</v>
      </c>
      <c r="H16" s="222">
        <v>40</v>
      </c>
      <c r="I16" s="207">
        <f t="shared" si="11"/>
        <v>163.9344262295082</v>
      </c>
      <c r="J16" s="242">
        <f t="shared" si="12"/>
        <v>6557.377049180328</v>
      </c>
      <c r="K16" s="153"/>
      <c r="L16" s="25" t="s">
        <v>2008</v>
      </c>
      <c r="M16" s="389" t="s">
        <v>1090</v>
      </c>
      <c r="N16" s="343">
        <f>COUNT(C215:C237)</f>
        <v>21</v>
      </c>
      <c r="O16" s="345">
        <f>V238</f>
        <v>13</v>
      </c>
      <c r="P16" s="345">
        <f>W238</f>
        <v>8</v>
      </c>
      <c r="Q16" s="347">
        <f t="shared" ref="Q16" si="16">N16-O16-P16</f>
        <v>0</v>
      </c>
      <c r="R16" s="340">
        <f t="shared" si="13"/>
        <v>0.61904761904761907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43320</v>
      </c>
      <c r="D17" s="161" t="s">
        <v>9</v>
      </c>
      <c r="E17" s="161" t="s">
        <v>864</v>
      </c>
      <c r="F17" s="222">
        <v>1845</v>
      </c>
      <c r="G17" s="222">
        <v>1875</v>
      </c>
      <c r="H17" s="222">
        <v>30</v>
      </c>
      <c r="I17" s="207">
        <f t="shared" si="11"/>
        <v>162.60162601626016</v>
      </c>
      <c r="J17" s="242">
        <f t="shared" si="12"/>
        <v>4878.0487804878048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43321</v>
      </c>
      <c r="D18" s="161" t="s">
        <v>9</v>
      </c>
      <c r="E18" s="161" t="s">
        <v>2278</v>
      </c>
      <c r="F18" s="222">
        <v>763</v>
      </c>
      <c r="G18" s="222">
        <v>768</v>
      </c>
      <c r="H18" s="222">
        <v>5</v>
      </c>
      <c r="I18" s="207">
        <f t="shared" si="11"/>
        <v>393.18479685452161</v>
      </c>
      <c r="J18" s="242">
        <f t="shared" si="12"/>
        <v>1965.9239842726081</v>
      </c>
      <c r="K18" s="153"/>
      <c r="M18" s="334" t="s">
        <v>946</v>
      </c>
      <c r="N18" s="336">
        <f>SUM(N4:N17)</f>
        <v>165</v>
      </c>
      <c r="O18" s="336">
        <f t="shared" ref="O18:Q18" si="17">SUM(O4:O17)</f>
        <v>128</v>
      </c>
      <c r="P18" s="336">
        <f t="shared" si="17"/>
        <v>33</v>
      </c>
      <c r="Q18" s="338">
        <f t="shared" si="17"/>
        <v>4</v>
      </c>
      <c r="R18" s="314">
        <f t="shared" ref="R18" si="18">O18/N18</f>
        <v>0.77575757575757576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43322</v>
      </c>
      <c r="D19" s="161" t="s">
        <v>9</v>
      </c>
      <c r="E19" s="161" t="s">
        <v>2544</v>
      </c>
      <c r="F19" s="222">
        <v>588</v>
      </c>
      <c r="G19" s="222">
        <v>582</v>
      </c>
      <c r="H19" s="222">
        <v>-6</v>
      </c>
      <c r="I19" s="207">
        <f t="shared" si="11"/>
        <v>510.20408163265307</v>
      </c>
      <c r="J19" s="242">
        <f t="shared" si="12"/>
        <v>-3061.2244897959185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43322</v>
      </c>
      <c r="D20" s="161" t="s">
        <v>8</v>
      </c>
      <c r="E20" s="161" t="s">
        <v>586</v>
      </c>
      <c r="F20" s="222">
        <v>978</v>
      </c>
      <c r="G20" s="222">
        <v>968</v>
      </c>
      <c r="H20" s="222">
        <v>10</v>
      </c>
      <c r="I20" s="207">
        <f t="shared" si="11"/>
        <v>306.74846625766872</v>
      </c>
      <c r="J20" s="242">
        <f t="shared" si="12"/>
        <v>3067.4846625766872</v>
      </c>
      <c r="K20" s="153"/>
      <c r="M20" s="316" t="s">
        <v>2253</v>
      </c>
      <c r="N20" s="317"/>
      <c r="O20" s="318"/>
      <c r="P20" s="325">
        <f>R18</f>
        <v>0.77575757575757576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43325</v>
      </c>
      <c r="D21" s="161" t="s">
        <v>9</v>
      </c>
      <c r="E21" s="161" t="s">
        <v>395</v>
      </c>
      <c r="F21" s="222">
        <v>2235</v>
      </c>
      <c r="G21" s="222">
        <v>2242</v>
      </c>
      <c r="H21" s="222">
        <v>7</v>
      </c>
      <c r="I21" s="207">
        <f t="shared" si="11"/>
        <v>134.2281879194631</v>
      </c>
      <c r="J21" s="242">
        <f t="shared" si="12"/>
        <v>939.59731543624162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43325</v>
      </c>
      <c r="D22" s="161" t="s">
        <v>8</v>
      </c>
      <c r="E22" s="161" t="s">
        <v>31</v>
      </c>
      <c r="F22" s="222">
        <v>1185</v>
      </c>
      <c r="G22" s="222">
        <v>1195</v>
      </c>
      <c r="H22" s="222">
        <v>-10</v>
      </c>
      <c r="I22" s="207">
        <f t="shared" si="11"/>
        <v>253.16455696202533</v>
      </c>
      <c r="J22" s="242">
        <f t="shared" si="12"/>
        <v>-2531.6455696202534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43326</v>
      </c>
      <c r="D23" s="161" t="s">
        <v>9</v>
      </c>
      <c r="E23" s="161" t="s">
        <v>192</v>
      </c>
      <c r="F23" s="222">
        <v>272.5</v>
      </c>
      <c r="G23" s="222">
        <v>269.5</v>
      </c>
      <c r="H23" s="222">
        <v>-3</v>
      </c>
      <c r="I23" s="207">
        <f t="shared" si="11"/>
        <v>1100.9174311926606</v>
      </c>
      <c r="J23" s="242">
        <f t="shared" si="12"/>
        <v>-3302.7522935779816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43326</v>
      </c>
      <c r="D24" s="161" t="s">
        <v>8</v>
      </c>
      <c r="E24" s="161" t="s">
        <v>834</v>
      </c>
      <c r="F24" s="222">
        <v>214</v>
      </c>
      <c r="G24" s="222">
        <v>215</v>
      </c>
      <c r="H24" s="222">
        <v>-1</v>
      </c>
      <c r="I24" s="207">
        <f t="shared" si="11"/>
        <v>1401.8691588785048</v>
      </c>
      <c r="J24" s="242">
        <f t="shared" si="12"/>
        <v>-1401.8691588785048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43328</v>
      </c>
      <c r="D25" s="161" t="s">
        <v>9</v>
      </c>
      <c r="E25" s="161" t="s">
        <v>395</v>
      </c>
      <c r="F25" s="222">
        <v>2310</v>
      </c>
      <c r="G25" s="222">
        <v>2350</v>
      </c>
      <c r="H25" s="222">
        <v>40</v>
      </c>
      <c r="I25" s="207">
        <f t="shared" si="11"/>
        <v>129.87012987012986</v>
      </c>
      <c r="J25" s="242">
        <f t="shared" si="12"/>
        <v>5194.8051948051943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43328</v>
      </c>
      <c r="D26" s="161" t="s">
        <v>8</v>
      </c>
      <c r="E26" s="161" t="s">
        <v>78</v>
      </c>
      <c r="F26" s="222">
        <v>1256</v>
      </c>
      <c r="G26" s="222">
        <v>1236</v>
      </c>
      <c r="H26" s="222">
        <v>20</v>
      </c>
      <c r="I26" s="207">
        <f t="shared" si="11"/>
        <v>238.85350318471339</v>
      </c>
      <c r="J26" s="242">
        <f t="shared" si="12"/>
        <v>4777.0700636942674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43329</v>
      </c>
      <c r="D27" s="161" t="s">
        <v>9</v>
      </c>
      <c r="E27" s="161" t="s">
        <v>133</v>
      </c>
      <c r="F27" s="222">
        <v>862</v>
      </c>
      <c r="G27" s="222">
        <v>882</v>
      </c>
      <c r="H27" s="222">
        <v>20</v>
      </c>
      <c r="I27" s="207">
        <f t="shared" si="11"/>
        <v>348.02784222737819</v>
      </c>
      <c r="J27" s="242">
        <f t="shared" si="12"/>
        <v>6960.5568445475637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43329</v>
      </c>
      <c r="D28" s="161" t="s">
        <v>8</v>
      </c>
      <c r="E28" s="161" t="s">
        <v>78</v>
      </c>
      <c r="F28" s="222">
        <v>1242</v>
      </c>
      <c r="G28" s="222">
        <v>1234.5</v>
      </c>
      <c r="H28" s="222">
        <v>7.5</v>
      </c>
      <c r="I28" s="207">
        <f t="shared" si="11"/>
        <v>241.54589371980677</v>
      </c>
      <c r="J28" s="242">
        <f t="shared" si="12"/>
        <v>1811.5942028985507</v>
      </c>
      <c r="K28" s="153"/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43332</v>
      </c>
      <c r="D29" s="161" t="s">
        <v>9</v>
      </c>
      <c r="E29" s="161" t="s">
        <v>139</v>
      </c>
      <c r="F29" s="222">
        <v>403</v>
      </c>
      <c r="G29" s="222">
        <v>398</v>
      </c>
      <c r="H29" s="222">
        <v>-5</v>
      </c>
      <c r="I29" s="207">
        <f t="shared" si="11"/>
        <v>744.41687344913146</v>
      </c>
      <c r="J29" s="242">
        <f t="shared" si="12"/>
        <v>-3722.0843672456572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43332</v>
      </c>
      <c r="D30" s="161" t="s">
        <v>9</v>
      </c>
      <c r="E30" s="161" t="s">
        <v>19</v>
      </c>
      <c r="F30" s="222">
        <v>306</v>
      </c>
      <c r="G30" s="222">
        <v>308</v>
      </c>
      <c r="H30" s="222">
        <v>2</v>
      </c>
      <c r="I30" s="207">
        <f t="shared" si="11"/>
        <v>980.39215686274508</v>
      </c>
      <c r="J30" s="242">
        <f t="shared" si="12"/>
        <v>1960.7843137254902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43333</v>
      </c>
      <c r="D31" s="161" t="s">
        <v>9</v>
      </c>
      <c r="E31" s="161" t="s">
        <v>496</v>
      </c>
      <c r="F31" s="222">
        <v>562</v>
      </c>
      <c r="G31" s="222">
        <v>565.5</v>
      </c>
      <c r="H31" s="222">
        <v>3.5</v>
      </c>
      <c r="I31" s="207">
        <f t="shared" si="11"/>
        <v>533.80782918149464</v>
      </c>
      <c r="J31" s="242">
        <f t="shared" si="12"/>
        <v>1868.3274021352313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43333</v>
      </c>
      <c r="D32" s="161" t="s">
        <v>8</v>
      </c>
      <c r="E32" s="161" t="s">
        <v>78</v>
      </c>
      <c r="F32" s="222">
        <v>1323</v>
      </c>
      <c r="G32" s="222">
        <v>1315</v>
      </c>
      <c r="H32" s="222">
        <v>8</v>
      </c>
      <c r="I32" s="207">
        <f t="shared" si="11"/>
        <v>226.75736961451247</v>
      </c>
      <c r="J32" s="242">
        <f t="shared" si="12"/>
        <v>1814.0589569160998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43335</v>
      </c>
      <c r="D33" s="161" t="s">
        <v>9</v>
      </c>
      <c r="E33" s="161" t="s">
        <v>31</v>
      </c>
      <c r="F33" s="222">
        <v>1254</v>
      </c>
      <c r="G33" s="222">
        <v>1274</v>
      </c>
      <c r="H33" s="222">
        <v>20</v>
      </c>
      <c r="I33" s="207">
        <f t="shared" si="11"/>
        <v>239.23444976076556</v>
      </c>
      <c r="J33" s="242">
        <f t="shared" si="12"/>
        <v>4784.6889952153115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43335</v>
      </c>
      <c r="D34" s="161" t="s">
        <v>8</v>
      </c>
      <c r="E34" s="161" t="s">
        <v>124</v>
      </c>
      <c r="F34" s="222">
        <v>265</v>
      </c>
      <c r="G34" s="222">
        <v>257</v>
      </c>
      <c r="H34" s="222">
        <v>8</v>
      </c>
      <c r="I34" s="207">
        <f t="shared" si="11"/>
        <v>1132.0754716981132</v>
      </c>
      <c r="J34" s="242">
        <f t="shared" si="12"/>
        <v>9056.6037735849059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43336</v>
      </c>
      <c r="D35" s="161" t="s">
        <v>9</v>
      </c>
      <c r="E35" s="161" t="s">
        <v>31</v>
      </c>
      <c r="F35" s="222">
        <v>1275</v>
      </c>
      <c r="G35" s="222">
        <v>1265</v>
      </c>
      <c r="H35" s="222">
        <v>-10</v>
      </c>
      <c r="I35" s="207">
        <f t="shared" si="11"/>
        <v>235.29411764705881</v>
      </c>
      <c r="J35" s="242">
        <f t="shared" si="12"/>
        <v>-2352.9411764705883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43336</v>
      </c>
      <c r="D36" s="161" t="s">
        <v>8</v>
      </c>
      <c r="E36" s="161" t="s">
        <v>139</v>
      </c>
      <c r="F36" s="222">
        <v>384</v>
      </c>
      <c r="G36" s="222">
        <v>376</v>
      </c>
      <c r="H36" s="222">
        <v>8</v>
      </c>
      <c r="I36" s="207">
        <f t="shared" si="11"/>
        <v>781.25</v>
      </c>
      <c r="J36" s="242">
        <f t="shared" si="12"/>
        <v>6250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43339</v>
      </c>
      <c r="D37" s="161" t="s">
        <v>9</v>
      </c>
      <c r="E37" s="161" t="s">
        <v>126</v>
      </c>
      <c r="F37" s="222">
        <v>2045</v>
      </c>
      <c r="G37" s="222">
        <v>2055</v>
      </c>
      <c r="H37" s="222">
        <v>10</v>
      </c>
      <c r="I37" s="207">
        <f t="shared" si="11"/>
        <v>146.69926650366747</v>
      </c>
      <c r="J37" s="242">
        <f t="shared" si="12"/>
        <v>1466.9926650366747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43339</v>
      </c>
      <c r="D38" s="161" t="s">
        <v>8</v>
      </c>
      <c r="E38" s="161" t="s">
        <v>395</v>
      </c>
      <c r="F38" s="222">
        <v>2430</v>
      </c>
      <c r="G38" s="222">
        <v>2450</v>
      </c>
      <c r="H38" s="222">
        <v>-20</v>
      </c>
      <c r="I38" s="207">
        <f t="shared" si="11"/>
        <v>123.45679012345678</v>
      </c>
      <c r="J38" s="242">
        <f t="shared" si="12"/>
        <v>-2469.1358024691358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43340</v>
      </c>
      <c r="D39" s="161" t="s">
        <v>9</v>
      </c>
      <c r="E39" s="161" t="s">
        <v>173</v>
      </c>
      <c r="F39" s="222">
        <v>1413</v>
      </c>
      <c r="G39" s="222">
        <v>1419</v>
      </c>
      <c r="H39" s="222">
        <v>6</v>
      </c>
      <c r="I39" s="207">
        <f t="shared" si="11"/>
        <v>212.31422505307856</v>
      </c>
      <c r="J39" s="242">
        <f t="shared" si="12"/>
        <v>1273.8853503184714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43340</v>
      </c>
      <c r="D40" s="161" t="s">
        <v>8</v>
      </c>
      <c r="E40" s="161" t="s">
        <v>139</v>
      </c>
      <c r="F40" s="222">
        <v>376</v>
      </c>
      <c r="G40" s="222">
        <v>368</v>
      </c>
      <c r="H40" s="222">
        <v>8</v>
      </c>
      <c r="I40" s="207">
        <f t="shared" si="11"/>
        <v>797.87234042553189</v>
      </c>
      <c r="J40" s="242">
        <f t="shared" si="12"/>
        <v>6382.9787234042551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43341</v>
      </c>
      <c r="D41" s="161" t="s">
        <v>9</v>
      </c>
      <c r="E41" s="161" t="s">
        <v>31</v>
      </c>
      <c r="F41" s="222">
        <v>1324</v>
      </c>
      <c r="G41" s="223">
        <v>1329</v>
      </c>
      <c r="H41" s="222">
        <v>5</v>
      </c>
      <c r="I41" s="207">
        <f t="shared" si="11"/>
        <v>226.58610271903322</v>
      </c>
      <c r="J41" s="242">
        <f t="shared" si="12"/>
        <v>1132.9305135951661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43341</v>
      </c>
      <c r="D42" s="161" t="s">
        <v>8</v>
      </c>
      <c r="E42" s="161" t="s">
        <v>2563</v>
      </c>
      <c r="F42" s="222">
        <v>1000</v>
      </c>
      <c r="G42" s="222">
        <v>970</v>
      </c>
      <c r="H42" s="222">
        <v>30</v>
      </c>
      <c r="I42" s="207">
        <f t="shared" si="11"/>
        <v>300</v>
      </c>
      <c r="J42" s="242">
        <f t="shared" si="12"/>
        <v>9000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43342</v>
      </c>
      <c r="D43" s="161" t="s">
        <v>9</v>
      </c>
      <c r="E43" s="161" t="s">
        <v>862</v>
      </c>
      <c r="F43" s="222">
        <v>691</v>
      </c>
      <c r="G43" s="222">
        <v>698</v>
      </c>
      <c r="H43" s="222">
        <v>7</v>
      </c>
      <c r="I43" s="207">
        <f t="shared" si="11"/>
        <v>434.15340086830679</v>
      </c>
      <c r="J43" s="242">
        <f t="shared" si="12"/>
        <v>3039.0738060781478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43342</v>
      </c>
      <c r="D44" s="161" t="s">
        <v>8</v>
      </c>
      <c r="E44" s="161" t="s">
        <v>139</v>
      </c>
      <c r="F44" s="222">
        <v>363</v>
      </c>
      <c r="G44" s="222">
        <v>359</v>
      </c>
      <c r="H44" s="222">
        <v>4</v>
      </c>
      <c r="I44" s="207">
        <f t="shared" si="11"/>
        <v>826.44628099173553</v>
      </c>
      <c r="J44" s="242">
        <f t="shared" si="12"/>
        <v>3305.7851239669421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43343</v>
      </c>
      <c r="D45" s="161" t="s">
        <v>9</v>
      </c>
      <c r="E45" s="161" t="s">
        <v>552</v>
      </c>
      <c r="F45" s="222">
        <v>1894</v>
      </c>
      <c r="G45" s="222">
        <v>1915</v>
      </c>
      <c r="H45" s="222">
        <v>21</v>
      </c>
      <c r="I45" s="207">
        <f t="shared" si="11"/>
        <v>158.39493136219642</v>
      </c>
      <c r="J45" s="242">
        <f t="shared" si="12"/>
        <v>3326.2935586061249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43343</v>
      </c>
      <c r="D46" s="161" t="s">
        <v>8</v>
      </c>
      <c r="E46" s="161" t="s">
        <v>31</v>
      </c>
      <c r="F46" s="222">
        <v>1260</v>
      </c>
      <c r="G46" s="222">
        <v>1240</v>
      </c>
      <c r="H46" s="222">
        <v>20</v>
      </c>
      <c r="I46" s="207">
        <f t="shared" si="11"/>
        <v>238.0952380952381</v>
      </c>
      <c r="J46" s="242">
        <f t="shared" si="12"/>
        <v>4761.9047619047624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105621.72190433828</v>
      </c>
      <c r="K52" s="153"/>
      <c r="V52" s="25">
        <f>SUM(V6:V51)</f>
        <v>33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2533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43313</v>
      </c>
      <c r="D60" s="158" t="s">
        <v>8</v>
      </c>
      <c r="E60" s="158" t="s">
        <v>78</v>
      </c>
      <c r="F60" s="204">
        <v>1291</v>
      </c>
      <c r="G60" s="230">
        <v>1285</v>
      </c>
      <c r="H60" s="230">
        <v>6</v>
      </c>
      <c r="I60" s="204">
        <v>750</v>
      </c>
      <c r="J60" s="241">
        <f t="shared" ref="J60:J82" si="19">I60*H60</f>
        <v>4500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43314</v>
      </c>
      <c r="D61" s="161" t="s">
        <v>8</v>
      </c>
      <c r="E61" s="161" t="s">
        <v>78</v>
      </c>
      <c r="F61" s="207">
        <v>1281</v>
      </c>
      <c r="G61" s="222">
        <v>1271</v>
      </c>
      <c r="H61" s="222">
        <v>10</v>
      </c>
      <c r="I61" s="207">
        <v>750</v>
      </c>
      <c r="J61" s="242">
        <f t="shared" si="19"/>
        <v>7500</v>
      </c>
      <c r="K61" s="153"/>
      <c r="V61" s="25">
        <f t="shared" ref="V61:V82" si="20">IF($J61&gt;0,1,0)</f>
        <v>1</v>
      </c>
      <c r="W61" s="25">
        <f t="shared" ref="W61:W82" si="21">IF($J61&lt;0,1,0)</f>
        <v>0</v>
      </c>
    </row>
    <row r="62" spans="1:23" x14ac:dyDescent="0.3">
      <c r="A62" s="147"/>
      <c r="B62" s="205">
        <f t="shared" ref="B62:B82" si="22">B61+1</f>
        <v>3</v>
      </c>
      <c r="C62" s="206">
        <v>43315</v>
      </c>
      <c r="D62" s="161" t="s">
        <v>9</v>
      </c>
      <c r="E62" s="161" t="s">
        <v>51</v>
      </c>
      <c r="F62" s="207">
        <v>579</v>
      </c>
      <c r="G62" s="222">
        <v>586</v>
      </c>
      <c r="H62" s="222">
        <v>7</v>
      </c>
      <c r="I62" s="207">
        <v>1000</v>
      </c>
      <c r="J62" s="242">
        <f t="shared" si="19"/>
        <v>7000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43318</v>
      </c>
      <c r="D63" s="161" t="s">
        <v>9</v>
      </c>
      <c r="E63" s="161" t="s">
        <v>864</v>
      </c>
      <c r="F63" s="222">
        <v>1775</v>
      </c>
      <c r="G63" s="222">
        <v>1797</v>
      </c>
      <c r="H63" s="222">
        <v>22</v>
      </c>
      <c r="I63" s="207">
        <v>500</v>
      </c>
      <c r="J63" s="242">
        <f t="shared" si="19"/>
        <v>11000</v>
      </c>
      <c r="K63" s="153"/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43319</v>
      </c>
      <c r="D64" s="161" t="s">
        <v>9</v>
      </c>
      <c r="E64" s="161" t="s">
        <v>112</v>
      </c>
      <c r="F64" s="207">
        <v>531</v>
      </c>
      <c r="G64" s="222">
        <v>534</v>
      </c>
      <c r="H64" s="222">
        <v>3</v>
      </c>
      <c r="I64" s="207">
        <v>1300</v>
      </c>
      <c r="J64" s="242">
        <f t="shared" si="19"/>
        <v>3900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43320</v>
      </c>
      <c r="D65" s="161" t="s">
        <v>9</v>
      </c>
      <c r="E65" s="161" t="s">
        <v>864</v>
      </c>
      <c r="F65" s="207">
        <v>1847</v>
      </c>
      <c r="G65" s="222">
        <v>1867</v>
      </c>
      <c r="H65" s="222">
        <v>20</v>
      </c>
      <c r="I65" s="207">
        <v>500</v>
      </c>
      <c r="J65" s="242">
        <f t="shared" si="19"/>
        <v>10000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43321</v>
      </c>
      <c r="D66" s="161" t="s">
        <v>9</v>
      </c>
      <c r="E66" s="161" t="s">
        <v>1017</v>
      </c>
      <c r="F66" s="207">
        <v>1190</v>
      </c>
      <c r="G66" s="222">
        <v>1180</v>
      </c>
      <c r="H66" s="222">
        <v>-10</v>
      </c>
      <c r="I66" s="207">
        <v>500</v>
      </c>
      <c r="J66" s="242">
        <f t="shared" si="19"/>
        <v>-5000</v>
      </c>
      <c r="K66" s="153"/>
      <c r="V66" s="25">
        <f t="shared" si="20"/>
        <v>0</v>
      </c>
      <c r="W66" s="25">
        <f t="shared" si="21"/>
        <v>1</v>
      </c>
    </row>
    <row r="67" spans="1:23" x14ac:dyDescent="0.3">
      <c r="A67" s="147"/>
      <c r="B67" s="205">
        <f t="shared" si="22"/>
        <v>8</v>
      </c>
      <c r="C67" s="206">
        <v>43322</v>
      </c>
      <c r="D67" s="161" t="s">
        <v>8</v>
      </c>
      <c r="E67" s="161" t="s">
        <v>586</v>
      </c>
      <c r="F67" s="207">
        <v>985</v>
      </c>
      <c r="G67" s="222">
        <v>971.5</v>
      </c>
      <c r="H67" s="222">
        <v>13.5</v>
      </c>
      <c r="I67" s="207">
        <v>750</v>
      </c>
      <c r="J67" s="242">
        <f t="shared" si="19"/>
        <v>10125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43325</v>
      </c>
      <c r="D68" s="161" t="s">
        <v>9</v>
      </c>
      <c r="E68" s="161" t="s">
        <v>78</v>
      </c>
      <c r="F68" s="222">
        <v>1252</v>
      </c>
      <c r="G68" s="222">
        <v>1262</v>
      </c>
      <c r="H68" s="222">
        <v>10</v>
      </c>
      <c r="I68" s="207">
        <v>750</v>
      </c>
      <c r="J68" s="242">
        <f t="shared" si="19"/>
        <v>7500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43326</v>
      </c>
      <c r="D69" s="161" t="s">
        <v>8</v>
      </c>
      <c r="E69" s="161" t="s">
        <v>78</v>
      </c>
      <c r="F69" s="222">
        <v>1262</v>
      </c>
      <c r="G69" s="222">
        <v>1257</v>
      </c>
      <c r="H69" s="222">
        <v>5</v>
      </c>
      <c r="I69" s="207">
        <v>750</v>
      </c>
      <c r="J69" s="242">
        <f t="shared" si="19"/>
        <v>3750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43328</v>
      </c>
      <c r="D70" s="161" t="s">
        <v>9</v>
      </c>
      <c r="E70" s="161" t="s">
        <v>50</v>
      </c>
      <c r="F70" s="161">
        <v>609</v>
      </c>
      <c r="G70" s="222">
        <v>620.5</v>
      </c>
      <c r="H70" s="222">
        <v>11.5</v>
      </c>
      <c r="I70" s="207">
        <v>1100</v>
      </c>
      <c r="J70" s="242">
        <f t="shared" si="19"/>
        <v>12650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43329</v>
      </c>
      <c r="D71" s="161" t="s">
        <v>9</v>
      </c>
      <c r="E71" s="161" t="s">
        <v>395</v>
      </c>
      <c r="F71" s="222">
        <v>2410</v>
      </c>
      <c r="G71" s="222">
        <v>2390</v>
      </c>
      <c r="H71" s="222">
        <v>-20</v>
      </c>
      <c r="I71" s="207">
        <v>250</v>
      </c>
      <c r="J71" s="242">
        <f t="shared" si="19"/>
        <v>-5000</v>
      </c>
      <c r="K71" s="153"/>
      <c r="V71" s="25">
        <f t="shared" si="20"/>
        <v>0</v>
      </c>
      <c r="W71" s="25">
        <f t="shared" si="21"/>
        <v>1</v>
      </c>
    </row>
    <row r="72" spans="1:23" x14ac:dyDescent="0.3">
      <c r="A72" s="147"/>
      <c r="B72" s="205">
        <f t="shared" si="22"/>
        <v>13</v>
      </c>
      <c r="C72" s="206">
        <v>43332</v>
      </c>
      <c r="D72" s="161" t="s">
        <v>9</v>
      </c>
      <c r="E72" s="161" t="s">
        <v>78</v>
      </c>
      <c r="F72" s="222">
        <v>1305</v>
      </c>
      <c r="G72" s="222">
        <v>1325</v>
      </c>
      <c r="H72" s="222">
        <v>20</v>
      </c>
      <c r="I72" s="207">
        <v>750</v>
      </c>
      <c r="J72" s="242">
        <f t="shared" si="19"/>
        <v>15000</v>
      </c>
      <c r="K72" s="153"/>
      <c r="V72" s="25">
        <f t="shared" si="20"/>
        <v>1</v>
      </c>
      <c r="W72" s="25">
        <f t="shared" si="21"/>
        <v>0</v>
      </c>
    </row>
    <row r="73" spans="1:23" x14ac:dyDescent="0.3">
      <c r="A73" s="147"/>
      <c r="B73" s="205">
        <f t="shared" si="22"/>
        <v>14</v>
      </c>
      <c r="C73" s="206">
        <v>43333</v>
      </c>
      <c r="D73" s="161" t="s">
        <v>9</v>
      </c>
      <c r="E73" s="161" t="s">
        <v>99</v>
      </c>
      <c r="F73" s="223">
        <v>315</v>
      </c>
      <c r="G73" s="222">
        <v>313.2</v>
      </c>
      <c r="H73" s="255">
        <v>-1.8</v>
      </c>
      <c r="I73" s="207">
        <v>2400</v>
      </c>
      <c r="J73" s="242">
        <f t="shared" si="19"/>
        <v>-4320</v>
      </c>
      <c r="K73" s="153"/>
      <c r="V73" s="25">
        <f t="shared" si="20"/>
        <v>0</v>
      </c>
      <c r="W73" s="25">
        <f t="shared" si="21"/>
        <v>1</v>
      </c>
    </row>
    <row r="74" spans="1:23" x14ac:dyDescent="0.3">
      <c r="A74" s="147"/>
      <c r="B74" s="205">
        <f t="shared" si="22"/>
        <v>15</v>
      </c>
      <c r="C74" s="206">
        <v>43335</v>
      </c>
      <c r="D74" s="161" t="s">
        <v>8</v>
      </c>
      <c r="E74" s="161" t="s">
        <v>124</v>
      </c>
      <c r="F74" s="222">
        <v>262</v>
      </c>
      <c r="G74" s="222">
        <v>257</v>
      </c>
      <c r="H74" s="255">
        <v>5</v>
      </c>
      <c r="I74" s="207">
        <v>1500</v>
      </c>
      <c r="J74" s="242">
        <f t="shared" si="19"/>
        <v>7500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43336</v>
      </c>
      <c r="D75" s="161" t="s">
        <v>9</v>
      </c>
      <c r="E75" s="161" t="s">
        <v>58</v>
      </c>
      <c r="F75" s="222">
        <v>641</v>
      </c>
      <c r="G75" s="222">
        <v>644</v>
      </c>
      <c r="H75" s="222">
        <v>3</v>
      </c>
      <c r="I75" s="207">
        <v>1200</v>
      </c>
      <c r="J75" s="242">
        <f t="shared" si="19"/>
        <v>3600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43339</v>
      </c>
      <c r="D76" s="161" t="s">
        <v>9</v>
      </c>
      <c r="E76" s="161" t="s">
        <v>78</v>
      </c>
      <c r="F76" s="222">
        <v>1351</v>
      </c>
      <c r="G76" s="222">
        <v>1361</v>
      </c>
      <c r="H76" s="222">
        <v>10</v>
      </c>
      <c r="I76" s="207">
        <v>750</v>
      </c>
      <c r="J76" s="242">
        <f t="shared" si="19"/>
        <v>7500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43340</v>
      </c>
      <c r="D77" s="161" t="s">
        <v>8</v>
      </c>
      <c r="E77" s="161" t="s">
        <v>78</v>
      </c>
      <c r="F77" s="222">
        <v>1358</v>
      </c>
      <c r="G77" s="222">
        <v>1354.4</v>
      </c>
      <c r="H77" s="222">
        <v>3.6</v>
      </c>
      <c r="I77" s="207">
        <v>750</v>
      </c>
      <c r="J77" s="242">
        <f t="shared" si="19"/>
        <v>2700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43341</v>
      </c>
      <c r="D78" s="161" t="s">
        <v>8</v>
      </c>
      <c r="E78" s="161" t="s">
        <v>78</v>
      </c>
      <c r="F78" s="222">
        <v>1353</v>
      </c>
      <c r="G78" s="222">
        <v>1346</v>
      </c>
      <c r="H78" s="222">
        <v>7</v>
      </c>
      <c r="I78" s="207">
        <v>750</v>
      </c>
      <c r="J78" s="242">
        <f t="shared" si="19"/>
        <v>5250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43342</v>
      </c>
      <c r="D79" s="161" t="s">
        <v>8</v>
      </c>
      <c r="E79" s="161" t="s">
        <v>139</v>
      </c>
      <c r="F79" s="222">
        <v>360</v>
      </c>
      <c r="G79" s="222">
        <v>358.8</v>
      </c>
      <c r="H79" s="222">
        <v>1.2</v>
      </c>
      <c r="I79" s="207">
        <v>1750</v>
      </c>
      <c r="J79" s="242">
        <f t="shared" si="19"/>
        <v>2100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43343</v>
      </c>
      <c r="D80" s="161" t="s">
        <v>8</v>
      </c>
      <c r="E80" s="161" t="s">
        <v>31</v>
      </c>
      <c r="F80" s="222">
        <v>1265</v>
      </c>
      <c r="G80" s="222">
        <v>1251.5</v>
      </c>
      <c r="H80" s="222">
        <v>13.5</v>
      </c>
      <c r="I80" s="207">
        <v>1000</v>
      </c>
      <c r="J80" s="242">
        <f t="shared" si="19"/>
        <v>13500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/>
      <c r="D81" s="161"/>
      <c r="E81" s="161"/>
      <c r="F81" s="222"/>
      <c r="G81" s="222"/>
      <c r="H81" s="222"/>
      <c r="I81" s="207"/>
      <c r="J81" s="242">
        <f t="shared" si="19"/>
        <v>0</v>
      </c>
      <c r="K81" s="153"/>
      <c r="V81" s="25">
        <f t="shared" si="20"/>
        <v>0</v>
      </c>
      <c r="W81" s="25">
        <f t="shared" si="21"/>
        <v>0</v>
      </c>
    </row>
    <row r="82" spans="1:23" ht="15" thickBot="1" x14ac:dyDescent="0.35">
      <c r="A82" s="147"/>
      <c r="B82" s="208">
        <f t="shared" si="22"/>
        <v>23</v>
      </c>
      <c r="C82" s="209"/>
      <c r="D82" s="166"/>
      <c r="E82" s="166"/>
      <c r="F82" s="210"/>
      <c r="G82" s="210"/>
      <c r="H82" s="166"/>
      <c r="I82" s="210"/>
      <c r="J82" s="244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120755</v>
      </c>
      <c r="K83" s="153"/>
      <c r="V83" s="25">
        <f>SUM(V60:V82)</f>
        <v>18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2533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43313</v>
      </c>
      <c r="D91" s="185" t="s">
        <v>8</v>
      </c>
      <c r="E91" s="185" t="s">
        <v>39</v>
      </c>
      <c r="F91" s="219">
        <v>11380</v>
      </c>
      <c r="G91" s="219">
        <v>11350</v>
      </c>
      <c r="H91" s="185">
        <v>30</v>
      </c>
      <c r="I91" s="219">
        <v>150</v>
      </c>
      <c r="J91" s="246">
        <f t="shared" ref="J91:J113" si="23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43314</v>
      </c>
      <c r="D92" s="161" t="s">
        <v>8</v>
      </c>
      <c r="E92" s="161" t="s">
        <v>39</v>
      </c>
      <c r="F92" s="207">
        <v>11310</v>
      </c>
      <c r="G92" s="207">
        <v>11280</v>
      </c>
      <c r="H92" s="161">
        <v>30</v>
      </c>
      <c r="I92" s="207">
        <v>150</v>
      </c>
      <c r="J92" s="242">
        <f t="shared" si="23"/>
        <v>4500</v>
      </c>
      <c r="K92" s="153"/>
      <c r="V92" s="25">
        <f t="shared" ref="V92:V113" si="24">IF($J92&gt;0,1,0)</f>
        <v>1</v>
      </c>
      <c r="W92" s="25">
        <f t="shared" ref="W92:W113" si="25">IF($J92&lt;0,1,0)</f>
        <v>0</v>
      </c>
    </row>
    <row r="93" spans="1:23" x14ac:dyDescent="0.3">
      <c r="A93" s="147"/>
      <c r="B93" s="205">
        <f t="shared" ref="B93:B113" si="26">B92+1</f>
        <v>3</v>
      </c>
      <c r="C93" s="206">
        <v>43315</v>
      </c>
      <c r="D93" s="161" t="s">
        <v>9</v>
      </c>
      <c r="E93" s="161" t="s">
        <v>39</v>
      </c>
      <c r="F93" s="207">
        <v>11350</v>
      </c>
      <c r="G93" s="207">
        <v>11394</v>
      </c>
      <c r="H93" s="161">
        <v>44</v>
      </c>
      <c r="I93" s="207">
        <v>150</v>
      </c>
      <c r="J93" s="242">
        <f t="shared" si="23"/>
        <v>6600</v>
      </c>
      <c r="K93" s="153"/>
      <c r="V93" s="25">
        <f t="shared" si="24"/>
        <v>1</v>
      </c>
      <c r="W93" s="25">
        <f t="shared" si="25"/>
        <v>0</v>
      </c>
    </row>
    <row r="94" spans="1:23" x14ac:dyDescent="0.3">
      <c r="A94" s="147"/>
      <c r="B94" s="205">
        <f t="shared" si="26"/>
        <v>4</v>
      </c>
      <c r="C94" s="206">
        <v>43318</v>
      </c>
      <c r="D94" s="161" t="s">
        <v>9</v>
      </c>
      <c r="E94" s="161" t="s">
        <v>39</v>
      </c>
      <c r="F94" s="207">
        <v>11410</v>
      </c>
      <c r="G94" s="207">
        <v>11427</v>
      </c>
      <c r="H94" s="161">
        <v>17</v>
      </c>
      <c r="I94" s="207">
        <v>150</v>
      </c>
      <c r="J94" s="242">
        <f t="shared" si="23"/>
        <v>2550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5</v>
      </c>
      <c r="C95" s="206">
        <v>43319</v>
      </c>
      <c r="D95" s="161" t="s">
        <v>9</v>
      </c>
      <c r="E95" s="161" t="s">
        <v>39</v>
      </c>
      <c r="F95" s="207">
        <v>11410</v>
      </c>
      <c r="G95" s="207">
        <v>11380</v>
      </c>
      <c r="H95" s="161">
        <v>-30</v>
      </c>
      <c r="I95" s="207">
        <v>150</v>
      </c>
      <c r="J95" s="242">
        <f t="shared" si="23"/>
        <v>-4500</v>
      </c>
      <c r="K95" s="153"/>
      <c r="V95" s="25">
        <f t="shared" si="24"/>
        <v>0</v>
      </c>
      <c r="W95" s="25">
        <f t="shared" si="25"/>
        <v>1</v>
      </c>
    </row>
    <row r="96" spans="1:23" x14ac:dyDescent="0.3">
      <c r="A96" s="147"/>
      <c r="B96" s="205">
        <f t="shared" si="26"/>
        <v>6</v>
      </c>
      <c r="C96" s="206">
        <v>43320</v>
      </c>
      <c r="D96" s="161" t="s">
        <v>9</v>
      </c>
      <c r="E96" s="161" t="s">
        <v>39</v>
      </c>
      <c r="F96" s="207">
        <v>11410</v>
      </c>
      <c r="G96" s="207">
        <v>11470</v>
      </c>
      <c r="H96" s="161">
        <v>60</v>
      </c>
      <c r="I96" s="207">
        <v>150</v>
      </c>
      <c r="J96" s="242">
        <f t="shared" si="23"/>
        <v>9000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7</v>
      </c>
      <c r="C97" s="206">
        <v>43321</v>
      </c>
      <c r="D97" s="161" t="s">
        <v>9</v>
      </c>
      <c r="E97" s="161" t="s">
        <v>39</v>
      </c>
      <c r="F97" s="207">
        <v>11475</v>
      </c>
      <c r="G97" s="207">
        <v>11504</v>
      </c>
      <c r="H97" s="161">
        <v>29</v>
      </c>
      <c r="I97" s="207">
        <v>150</v>
      </c>
      <c r="J97" s="242">
        <f t="shared" si="23"/>
        <v>4350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8</v>
      </c>
      <c r="C98" s="206">
        <v>43322</v>
      </c>
      <c r="D98" s="161" t="s">
        <v>8</v>
      </c>
      <c r="E98" s="161" t="s">
        <v>39</v>
      </c>
      <c r="F98" s="207">
        <v>11460</v>
      </c>
      <c r="G98" s="207">
        <v>11435</v>
      </c>
      <c r="H98" s="161">
        <v>25</v>
      </c>
      <c r="I98" s="207">
        <v>150</v>
      </c>
      <c r="J98" s="242">
        <f t="shared" si="23"/>
        <v>3750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9</v>
      </c>
      <c r="C99" s="206">
        <v>43325</v>
      </c>
      <c r="D99" s="161" t="s">
        <v>8</v>
      </c>
      <c r="E99" s="161" t="s">
        <v>39</v>
      </c>
      <c r="F99" s="207">
        <v>11370</v>
      </c>
      <c r="G99" s="207">
        <v>11400</v>
      </c>
      <c r="H99" s="161">
        <v>-30</v>
      </c>
      <c r="I99" s="207">
        <v>150</v>
      </c>
      <c r="J99" s="242">
        <f t="shared" si="23"/>
        <v>-4500</v>
      </c>
      <c r="K99" s="153"/>
      <c r="V99" s="25">
        <f t="shared" si="24"/>
        <v>0</v>
      </c>
      <c r="W99" s="25">
        <f t="shared" si="25"/>
        <v>1</v>
      </c>
    </row>
    <row r="100" spans="1:23" x14ac:dyDescent="0.3">
      <c r="A100" s="147"/>
      <c r="B100" s="205">
        <f t="shared" si="26"/>
        <v>10</v>
      </c>
      <c r="C100" s="206">
        <v>43326</v>
      </c>
      <c r="D100" s="161" t="s">
        <v>8</v>
      </c>
      <c r="E100" s="161" t="s">
        <v>39</v>
      </c>
      <c r="F100" s="207">
        <v>11430</v>
      </c>
      <c r="G100" s="207">
        <v>11415</v>
      </c>
      <c r="H100" s="161">
        <v>15</v>
      </c>
      <c r="I100" s="207">
        <v>150</v>
      </c>
      <c r="J100" s="242">
        <f t="shared" si="23"/>
        <v>2250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11</v>
      </c>
      <c r="C101" s="206">
        <v>43328</v>
      </c>
      <c r="D101" s="161" t="s">
        <v>9</v>
      </c>
      <c r="E101" s="161" t="s">
        <v>39</v>
      </c>
      <c r="F101" s="207">
        <v>11430</v>
      </c>
      <c r="G101" s="207">
        <v>11460</v>
      </c>
      <c r="H101" s="161">
        <v>30</v>
      </c>
      <c r="I101" s="207">
        <v>150</v>
      </c>
      <c r="J101" s="242">
        <f t="shared" si="23"/>
        <v>4500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12</v>
      </c>
      <c r="C102" s="206">
        <v>43329</v>
      </c>
      <c r="D102" s="161" t="s">
        <v>9</v>
      </c>
      <c r="E102" s="161" t="s">
        <v>39</v>
      </c>
      <c r="F102" s="207">
        <v>11480</v>
      </c>
      <c r="G102" s="207">
        <v>11498</v>
      </c>
      <c r="H102" s="161">
        <v>18</v>
      </c>
      <c r="I102" s="207">
        <v>150</v>
      </c>
      <c r="J102" s="242">
        <f t="shared" si="23"/>
        <v>2700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13</v>
      </c>
      <c r="C103" s="206">
        <v>43332</v>
      </c>
      <c r="D103" s="161" t="s">
        <v>9</v>
      </c>
      <c r="E103" s="161" t="s">
        <v>39</v>
      </c>
      <c r="F103" s="207">
        <v>11550</v>
      </c>
      <c r="G103" s="207">
        <v>11580</v>
      </c>
      <c r="H103" s="161">
        <v>30</v>
      </c>
      <c r="I103" s="207">
        <v>150</v>
      </c>
      <c r="J103" s="242">
        <f t="shared" si="23"/>
        <v>4500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14</v>
      </c>
      <c r="C104" s="206">
        <v>43333</v>
      </c>
      <c r="D104" s="161" t="s">
        <v>9</v>
      </c>
      <c r="E104" s="161" t="s">
        <v>39</v>
      </c>
      <c r="F104" s="207">
        <v>11560</v>
      </c>
      <c r="G104" s="207">
        <v>11590</v>
      </c>
      <c r="H104" s="161">
        <v>30</v>
      </c>
      <c r="I104" s="207">
        <v>150</v>
      </c>
      <c r="J104" s="242">
        <f t="shared" si="23"/>
        <v>4500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15</v>
      </c>
      <c r="C105" s="206">
        <v>43335</v>
      </c>
      <c r="D105" s="161" t="s">
        <v>8</v>
      </c>
      <c r="E105" s="161" t="s">
        <v>39</v>
      </c>
      <c r="F105" s="207">
        <v>11590</v>
      </c>
      <c r="G105" s="207">
        <v>11560</v>
      </c>
      <c r="H105" s="161">
        <v>30</v>
      </c>
      <c r="I105" s="207">
        <v>150</v>
      </c>
      <c r="J105" s="242">
        <f t="shared" si="23"/>
        <v>4500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16</v>
      </c>
      <c r="C106" s="206">
        <v>43336</v>
      </c>
      <c r="D106" s="161" t="s">
        <v>9</v>
      </c>
      <c r="E106" s="161" t="s">
        <v>39</v>
      </c>
      <c r="F106" s="207">
        <v>11595</v>
      </c>
      <c r="G106" s="207">
        <v>11565</v>
      </c>
      <c r="H106" s="161">
        <v>-30</v>
      </c>
      <c r="I106" s="207">
        <v>150</v>
      </c>
      <c r="J106" s="242">
        <f t="shared" si="23"/>
        <v>-4500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17</v>
      </c>
      <c r="C107" s="206">
        <v>43339</v>
      </c>
      <c r="D107" s="161" t="s">
        <v>9</v>
      </c>
      <c r="E107" s="161" t="s">
        <v>39</v>
      </c>
      <c r="F107" s="207">
        <v>11660</v>
      </c>
      <c r="G107" s="207">
        <v>11700</v>
      </c>
      <c r="H107" s="161">
        <v>40</v>
      </c>
      <c r="I107" s="207">
        <v>150</v>
      </c>
      <c r="J107" s="242">
        <f t="shared" si="23"/>
        <v>6000</v>
      </c>
      <c r="K107" s="153"/>
      <c r="V107" s="25">
        <f t="shared" si="24"/>
        <v>1</v>
      </c>
      <c r="W107" s="25">
        <f t="shared" si="25"/>
        <v>0</v>
      </c>
    </row>
    <row r="108" spans="1:23" x14ac:dyDescent="0.3">
      <c r="A108" s="147"/>
      <c r="B108" s="205">
        <f t="shared" si="26"/>
        <v>18</v>
      </c>
      <c r="C108" s="206">
        <v>43340</v>
      </c>
      <c r="D108" s="161" t="s">
        <v>9</v>
      </c>
      <c r="E108" s="161" t="s">
        <v>39</v>
      </c>
      <c r="F108" s="207">
        <v>11730</v>
      </c>
      <c r="G108" s="207">
        <v>11755</v>
      </c>
      <c r="H108" s="161">
        <v>25</v>
      </c>
      <c r="I108" s="207">
        <v>150</v>
      </c>
      <c r="J108" s="242">
        <f t="shared" si="23"/>
        <v>3750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19</v>
      </c>
      <c r="C109" s="206">
        <v>43341</v>
      </c>
      <c r="D109" s="161" t="s">
        <v>9</v>
      </c>
      <c r="E109" s="161" t="s">
        <v>39</v>
      </c>
      <c r="F109" s="207">
        <v>11745</v>
      </c>
      <c r="G109" s="207">
        <v>11735</v>
      </c>
      <c r="H109" s="161">
        <v>-10</v>
      </c>
      <c r="I109" s="207">
        <v>150</v>
      </c>
      <c r="J109" s="242">
        <f>I109*H109</f>
        <v>-1500</v>
      </c>
      <c r="K109" s="153"/>
      <c r="V109" s="25">
        <f t="shared" si="24"/>
        <v>0</v>
      </c>
      <c r="W109" s="25">
        <f t="shared" si="25"/>
        <v>1</v>
      </c>
    </row>
    <row r="110" spans="1:23" x14ac:dyDescent="0.3">
      <c r="A110" s="147"/>
      <c r="B110" s="205">
        <f t="shared" si="26"/>
        <v>20</v>
      </c>
      <c r="C110" s="206">
        <v>43342</v>
      </c>
      <c r="D110" s="161" t="s">
        <v>8</v>
      </c>
      <c r="E110" s="161" t="s">
        <v>39</v>
      </c>
      <c r="F110" s="207">
        <v>11670</v>
      </c>
      <c r="G110" s="207">
        <v>10655</v>
      </c>
      <c r="H110" s="161">
        <v>15</v>
      </c>
      <c r="I110" s="207">
        <v>150</v>
      </c>
      <c r="J110" s="242">
        <f t="shared" si="23"/>
        <v>2250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21</v>
      </c>
      <c r="C111" s="206">
        <v>43343</v>
      </c>
      <c r="D111" s="161" t="s">
        <v>8</v>
      </c>
      <c r="E111" s="161" t="s">
        <v>39</v>
      </c>
      <c r="F111" s="207">
        <v>11750</v>
      </c>
      <c r="G111" s="207">
        <v>11690</v>
      </c>
      <c r="H111" s="161">
        <v>60</v>
      </c>
      <c r="I111" s="207">
        <v>150</v>
      </c>
      <c r="J111" s="242">
        <f t="shared" si="23"/>
        <v>9000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ht="15" thickBot="1" x14ac:dyDescent="0.35">
      <c r="A113" s="147"/>
      <c r="B113" s="208">
        <f t="shared" si="26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64200</v>
      </c>
      <c r="K114" s="153"/>
      <c r="V114" s="25">
        <f>SUM(V91:V113)</f>
        <v>17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2533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43313</v>
      </c>
      <c r="D122" s="185" t="s">
        <v>9</v>
      </c>
      <c r="E122" s="185" t="s">
        <v>2531</v>
      </c>
      <c r="F122" s="219">
        <v>114</v>
      </c>
      <c r="G122" s="219">
        <v>107</v>
      </c>
      <c r="H122" s="185">
        <v>-7</v>
      </c>
      <c r="I122" s="219">
        <v>300</v>
      </c>
      <c r="J122" s="246">
        <f t="shared" ref="J122:J144" si="27">I122*H122</f>
        <v>-2100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43314</v>
      </c>
      <c r="D123" s="161" t="s">
        <v>9</v>
      </c>
      <c r="E123" s="161" t="s">
        <v>2531</v>
      </c>
      <c r="F123" s="207">
        <v>132</v>
      </c>
      <c r="G123" s="207">
        <v>147</v>
      </c>
      <c r="H123" s="161">
        <v>15</v>
      </c>
      <c r="I123" s="207">
        <v>300</v>
      </c>
      <c r="J123" s="242">
        <f t="shared" si="27"/>
        <v>4500</v>
      </c>
      <c r="K123" s="153"/>
      <c r="V123" s="25">
        <f t="shared" ref="V123:V144" si="28">IF($J123&gt;0,1,0)</f>
        <v>1</v>
      </c>
      <c r="W123" s="25">
        <f t="shared" ref="W123:W144" si="29">IF($J123&lt;0,1,0)</f>
        <v>0</v>
      </c>
    </row>
    <row r="124" spans="1:23" x14ac:dyDescent="0.3">
      <c r="A124" s="147"/>
      <c r="B124" s="205">
        <f t="shared" ref="B124:B144" si="30">B123+1</f>
        <v>3</v>
      </c>
      <c r="C124" s="206">
        <v>43315</v>
      </c>
      <c r="D124" s="161" t="s">
        <v>9</v>
      </c>
      <c r="E124" s="161" t="s">
        <v>2536</v>
      </c>
      <c r="F124" s="207">
        <v>160</v>
      </c>
      <c r="G124" s="207">
        <v>188</v>
      </c>
      <c r="H124" s="161">
        <v>28</v>
      </c>
      <c r="I124" s="207">
        <v>300</v>
      </c>
      <c r="J124" s="242">
        <f t="shared" si="27"/>
        <v>8400</v>
      </c>
      <c r="K124" s="153"/>
      <c r="V124" s="25">
        <f t="shared" si="28"/>
        <v>1</v>
      </c>
      <c r="W124" s="25">
        <f t="shared" si="29"/>
        <v>0</v>
      </c>
    </row>
    <row r="125" spans="1:23" x14ac:dyDescent="0.3">
      <c r="A125" s="147"/>
      <c r="B125" s="205">
        <f t="shared" si="30"/>
        <v>4</v>
      </c>
      <c r="C125" s="206">
        <v>43318</v>
      </c>
      <c r="D125" s="161" t="s">
        <v>9</v>
      </c>
      <c r="E125" s="161" t="s">
        <v>2538</v>
      </c>
      <c r="F125" s="207">
        <v>130</v>
      </c>
      <c r="G125" s="207">
        <v>131</v>
      </c>
      <c r="H125" s="161">
        <v>1</v>
      </c>
      <c r="I125" s="207">
        <v>300</v>
      </c>
      <c r="J125" s="242">
        <f t="shared" si="27"/>
        <v>300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5</v>
      </c>
      <c r="C126" s="206">
        <v>43319</v>
      </c>
      <c r="D126" s="161" t="s">
        <v>9</v>
      </c>
      <c r="E126" s="161" t="s">
        <v>2538</v>
      </c>
      <c r="F126" s="207">
        <v>130</v>
      </c>
      <c r="G126" s="207">
        <v>160</v>
      </c>
      <c r="H126" s="161">
        <v>30</v>
      </c>
      <c r="I126" s="207">
        <v>300</v>
      </c>
      <c r="J126" s="242">
        <f t="shared" si="27"/>
        <v>9000</v>
      </c>
      <c r="K126" s="153"/>
      <c r="M126" s="25" t="s">
        <v>2008</v>
      </c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6</v>
      </c>
      <c r="C127" s="206">
        <v>43320</v>
      </c>
      <c r="D127" s="161" t="s">
        <v>9</v>
      </c>
      <c r="E127" s="161" t="s">
        <v>2538</v>
      </c>
      <c r="F127" s="207">
        <v>125</v>
      </c>
      <c r="G127" s="207">
        <v>154</v>
      </c>
      <c r="H127" s="161">
        <v>29</v>
      </c>
      <c r="I127" s="207">
        <v>300</v>
      </c>
      <c r="J127" s="242">
        <f t="shared" si="27"/>
        <v>8700</v>
      </c>
      <c r="K127" s="153"/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7</v>
      </c>
      <c r="C128" s="206">
        <v>43321</v>
      </c>
      <c r="D128" s="161" t="s">
        <v>9</v>
      </c>
      <c r="E128" s="161" t="s">
        <v>2541</v>
      </c>
      <c r="F128" s="207">
        <v>100</v>
      </c>
      <c r="G128" s="207">
        <v>105</v>
      </c>
      <c r="H128" s="161">
        <v>5</v>
      </c>
      <c r="I128" s="207">
        <v>300</v>
      </c>
      <c r="J128" s="242">
        <f t="shared" si="27"/>
        <v>1500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8</v>
      </c>
      <c r="C129" s="206">
        <v>43322</v>
      </c>
      <c r="D129" s="161" t="s">
        <v>9</v>
      </c>
      <c r="E129" s="161" t="s">
        <v>2545</v>
      </c>
      <c r="F129" s="207">
        <v>135</v>
      </c>
      <c r="G129" s="207">
        <v>144</v>
      </c>
      <c r="H129" s="161">
        <v>9</v>
      </c>
      <c r="I129" s="207">
        <v>300</v>
      </c>
      <c r="J129" s="242">
        <f t="shared" si="27"/>
        <v>2700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9</v>
      </c>
      <c r="C130" s="206">
        <v>43325</v>
      </c>
      <c r="D130" s="161" t="s">
        <v>9</v>
      </c>
      <c r="E130" s="161" t="s">
        <v>2548</v>
      </c>
      <c r="F130" s="207">
        <v>125</v>
      </c>
      <c r="G130" s="207">
        <v>105</v>
      </c>
      <c r="H130" s="161">
        <v>-20</v>
      </c>
      <c r="I130" s="207">
        <v>300</v>
      </c>
      <c r="J130" s="242">
        <f t="shared" si="27"/>
        <v>-6000</v>
      </c>
      <c r="K130" s="153"/>
      <c r="V130" s="25">
        <f t="shared" si="28"/>
        <v>0</v>
      </c>
      <c r="W130" s="25">
        <f t="shared" si="29"/>
        <v>1</v>
      </c>
    </row>
    <row r="131" spans="1:23" x14ac:dyDescent="0.3">
      <c r="A131" s="147"/>
      <c r="B131" s="205">
        <f t="shared" si="30"/>
        <v>10</v>
      </c>
      <c r="C131" s="206">
        <v>43326</v>
      </c>
      <c r="D131" s="161" t="s">
        <v>9</v>
      </c>
      <c r="E131" s="161" t="s">
        <v>2548</v>
      </c>
      <c r="F131" s="207">
        <v>95</v>
      </c>
      <c r="G131" s="207">
        <v>82</v>
      </c>
      <c r="H131" s="161">
        <v>-13</v>
      </c>
      <c r="I131" s="207">
        <v>300</v>
      </c>
      <c r="J131" s="242">
        <f t="shared" si="27"/>
        <v>-3900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11</v>
      </c>
      <c r="C132" s="206">
        <v>43328</v>
      </c>
      <c r="D132" s="161" t="s">
        <v>9</v>
      </c>
      <c r="E132" s="161" t="s">
        <v>2538</v>
      </c>
      <c r="F132" s="207">
        <v>125</v>
      </c>
      <c r="G132" s="207">
        <v>136</v>
      </c>
      <c r="H132" s="161">
        <v>11</v>
      </c>
      <c r="I132" s="207">
        <v>300</v>
      </c>
      <c r="J132" s="242">
        <f t="shared" si="27"/>
        <v>3300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12</v>
      </c>
      <c r="C133" s="206">
        <v>43329</v>
      </c>
      <c r="D133" s="161" t="s">
        <v>9</v>
      </c>
      <c r="E133" s="161" t="s">
        <v>2538</v>
      </c>
      <c r="F133" s="207">
        <v>140</v>
      </c>
      <c r="G133" s="207">
        <v>150</v>
      </c>
      <c r="H133" s="161">
        <v>10</v>
      </c>
      <c r="I133" s="207">
        <v>300</v>
      </c>
      <c r="J133" s="242">
        <f t="shared" si="27"/>
        <v>3000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13</v>
      </c>
      <c r="C134" s="206">
        <v>43332</v>
      </c>
      <c r="D134" s="161" t="s">
        <v>9</v>
      </c>
      <c r="E134" s="161" t="s">
        <v>2541</v>
      </c>
      <c r="F134" s="207">
        <v>112</v>
      </c>
      <c r="G134" s="207">
        <v>128</v>
      </c>
      <c r="H134" s="161">
        <v>16</v>
      </c>
      <c r="I134" s="207">
        <v>300</v>
      </c>
      <c r="J134" s="242">
        <f t="shared" si="27"/>
        <v>4800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14</v>
      </c>
      <c r="C135" s="206">
        <v>43333</v>
      </c>
      <c r="D135" s="161" t="s">
        <v>9</v>
      </c>
      <c r="E135" s="161" t="s">
        <v>2541</v>
      </c>
      <c r="F135" s="207">
        <v>115</v>
      </c>
      <c r="G135" s="207">
        <v>125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30"/>
        <v>15</v>
      </c>
      <c r="C136" s="206">
        <v>43335</v>
      </c>
      <c r="D136" s="161" t="s">
        <v>9</v>
      </c>
      <c r="E136" s="161" t="s">
        <v>2555</v>
      </c>
      <c r="F136" s="207">
        <v>132</v>
      </c>
      <c r="G136" s="207">
        <v>152</v>
      </c>
      <c r="H136" s="161">
        <v>20</v>
      </c>
      <c r="I136" s="207">
        <v>300</v>
      </c>
      <c r="J136" s="242">
        <f t="shared" si="27"/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16</v>
      </c>
      <c r="C137" s="206">
        <v>43336</v>
      </c>
      <c r="D137" s="161" t="s">
        <v>9</v>
      </c>
      <c r="E137" s="161" t="s">
        <v>2541</v>
      </c>
      <c r="F137" s="207">
        <v>115</v>
      </c>
      <c r="G137" s="207">
        <v>95</v>
      </c>
      <c r="H137" s="161">
        <v>-20</v>
      </c>
      <c r="I137" s="207">
        <v>300</v>
      </c>
      <c r="J137" s="242">
        <f t="shared" si="27"/>
        <v>-6000</v>
      </c>
      <c r="K137" s="153"/>
      <c r="V137" s="25">
        <f t="shared" si="28"/>
        <v>0</v>
      </c>
      <c r="W137" s="25">
        <f t="shared" si="29"/>
        <v>1</v>
      </c>
    </row>
    <row r="138" spans="1:23" x14ac:dyDescent="0.3">
      <c r="A138" s="147"/>
      <c r="B138" s="205">
        <f t="shared" si="30"/>
        <v>17</v>
      </c>
      <c r="C138" s="206">
        <v>43339</v>
      </c>
      <c r="D138" s="161" t="s">
        <v>9</v>
      </c>
      <c r="E138" s="161" t="s">
        <v>2541</v>
      </c>
      <c r="F138" s="207">
        <v>163</v>
      </c>
      <c r="G138" s="207">
        <v>203</v>
      </c>
      <c r="H138" s="161">
        <v>40</v>
      </c>
      <c r="I138" s="207">
        <v>300</v>
      </c>
      <c r="J138" s="242">
        <f t="shared" si="27"/>
        <v>12000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18</v>
      </c>
      <c r="C139" s="206">
        <v>43340</v>
      </c>
      <c r="D139" s="161" t="s">
        <v>9</v>
      </c>
      <c r="E139" s="161" t="s">
        <v>2561</v>
      </c>
      <c r="F139" s="207">
        <v>135</v>
      </c>
      <c r="G139" s="207">
        <v>155</v>
      </c>
      <c r="H139" s="161">
        <v>20</v>
      </c>
      <c r="I139" s="207">
        <v>300</v>
      </c>
      <c r="J139" s="242">
        <f t="shared" si="27"/>
        <v>6000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19</v>
      </c>
      <c r="C140" s="206">
        <v>43341</v>
      </c>
      <c r="D140" s="161" t="s">
        <v>9</v>
      </c>
      <c r="E140" s="161" t="s">
        <v>2561</v>
      </c>
      <c r="F140" s="207">
        <v>148</v>
      </c>
      <c r="G140" s="207">
        <v>128</v>
      </c>
      <c r="H140" s="161">
        <v>-20</v>
      </c>
      <c r="I140" s="207">
        <v>300</v>
      </c>
      <c r="J140" s="242">
        <f t="shared" si="27"/>
        <v>-6000</v>
      </c>
      <c r="K140" s="153"/>
      <c r="V140" s="25">
        <f t="shared" si="28"/>
        <v>0</v>
      </c>
      <c r="W140" s="25">
        <f t="shared" si="29"/>
        <v>1</v>
      </c>
    </row>
    <row r="141" spans="1:23" x14ac:dyDescent="0.3">
      <c r="A141" s="147"/>
      <c r="B141" s="205">
        <f t="shared" si="30"/>
        <v>20</v>
      </c>
      <c r="C141" s="206">
        <v>43343</v>
      </c>
      <c r="D141" s="161" t="s">
        <v>9</v>
      </c>
      <c r="E141" s="161" t="s">
        <v>2566</v>
      </c>
      <c r="F141" s="207">
        <v>167</v>
      </c>
      <c r="G141" s="207">
        <v>197</v>
      </c>
      <c r="H141" s="161">
        <v>30</v>
      </c>
      <c r="I141" s="207">
        <v>300</v>
      </c>
      <c r="J141" s="242">
        <f t="shared" si="27"/>
        <v>9000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ht="15" thickBot="1" x14ac:dyDescent="0.35">
      <c r="A144" s="147"/>
      <c r="B144" s="208">
        <f t="shared" si="30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58200</v>
      </c>
      <c r="K145" s="153"/>
      <c r="V145" s="25">
        <f>SUM(V122:V144)</f>
        <v>15</v>
      </c>
      <c r="W145" s="25">
        <f>SUM(W122:W144)</f>
        <v>5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2533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43313</v>
      </c>
      <c r="D153" s="185" t="s">
        <v>8</v>
      </c>
      <c r="E153" s="185" t="s">
        <v>301</v>
      </c>
      <c r="F153" s="219">
        <v>27740</v>
      </c>
      <c r="G153" s="219">
        <v>27590</v>
      </c>
      <c r="H153" s="185">
        <v>150</v>
      </c>
      <c r="I153" s="219">
        <v>80</v>
      </c>
      <c r="J153" s="246">
        <f t="shared" ref="J153:J175" si="31">I153*H153</f>
        <v>12000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43314</v>
      </c>
      <c r="D154" s="161" t="s">
        <v>8</v>
      </c>
      <c r="E154" s="161" t="s">
        <v>301</v>
      </c>
      <c r="F154" s="207">
        <v>27460</v>
      </c>
      <c r="G154" s="207">
        <v>27455</v>
      </c>
      <c r="H154" s="161">
        <v>5</v>
      </c>
      <c r="I154" s="207">
        <v>80</v>
      </c>
      <c r="J154" s="242">
        <f t="shared" si="31"/>
        <v>400</v>
      </c>
      <c r="K154" s="153"/>
      <c r="V154" s="25">
        <f t="shared" ref="V154:V175" si="32">IF($J154&gt;0,1,0)</f>
        <v>1</v>
      </c>
      <c r="W154" s="25">
        <f t="shared" ref="W154:W175" si="33">IF($J154&lt;0,1,0)</f>
        <v>0</v>
      </c>
    </row>
    <row r="155" spans="1:23" x14ac:dyDescent="0.3">
      <c r="A155" s="147"/>
      <c r="B155" s="205">
        <f t="shared" ref="B155:B175" si="34">B154+1</f>
        <v>3</v>
      </c>
      <c r="C155" s="206">
        <v>43315</v>
      </c>
      <c r="D155" s="161" t="s">
        <v>9</v>
      </c>
      <c r="E155" s="161" t="s">
        <v>301</v>
      </c>
      <c r="F155" s="207">
        <v>27620</v>
      </c>
      <c r="G155" s="207">
        <v>27770</v>
      </c>
      <c r="H155" s="161">
        <v>150</v>
      </c>
      <c r="I155" s="207">
        <v>80</v>
      </c>
      <c r="J155" s="242">
        <f t="shared" si="31"/>
        <v>12000</v>
      </c>
      <c r="K155" s="153"/>
      <c r="V155" s="25">
        <f t="shared" si="32"/>
        <v>1</v>
      </c>
      <c r="W155" s="25">
        <f t="shared" si="33"/>
        <v>0</v>
      </c>
    </row>
    <row r="156" spans="1:23" x14ac:dyDescent="0.3">
      <c r="A156" s="147"/>
      <c r="B156" s="205">
        <f t="shared" si="34"/>
        <v>4</v>
      </c>
      <c r="C156" s="206">
        <v>43318</v>
      </c>
      <c r="D156" s="161" t="s">
        <v>9</v>
      </c>
      <c r="E156" s="161" t="s">
        <v>301</v>
      </c>
      <c r="F156" s="207">
        <v>27940</v>
      </c>
      <c r="G156" s="207">
        <v>27990</v>
      </c>
      <c r="H156" s="161">
        <v>50</v>
      </c>
      <c r="I156" s="207">
        <v>80</v>
      </c>
      <c r="J156" s="242">
        <f t="shared" si="31"/>
        <v>4000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5</v>
      </c>
      <c r="C157" s="206">
        <v>43319</v>
      </c>
      <c r="D157" s="161" t="s">
        <v>9</v>
      </c>
      <c r="E157" s="161" t="s">
        <v>301</v>
      </c>
      <c r="F157" s="207">
        <v>27920</v>
      </c>
      <c r="G157" s="207">
        <v>27970</v>
      </c>
      <c r="H157" s="161">
        <v>50</v>
      </c>
      <c r="I157" s="207">
        <v>80</v>
      </c>
      <c r="J157" s="242">
        <f t="shared" si="31"/>
        <v>4000</v>
      </c>
      <c r="K157" s="153"/>
      <c r="V157" s="25">
        <f t="shared" si="32"/>
        <v>1</v>
      </c>
      <c r="W157" s="25">
        <f t="shared" si="33"/>
        <v>0</v>
      </c>
    </row>
    <row r="158" spans="1:23" x14ac:dyDescent="0.3">
      <c r="A158" s="147"/>
      <c r="B158" s="205">
        <f t="shared" si="34"/>
        <v>6</v>
      </c>
      <c r="C158" s="206">
        <v>43320</v>
      </c>
      <c r="D158" s="161" t="s">
        <v>9</v>
      </c>
      <c r="E158" s="161" t="s">
        <v>301</v>
      </c>
      <c r="F158" s="207">
        <v>27940</v>
      </c>
      <c r="G158" s="207">
        <v>28140</v>
      </c>
      <c r="H158" s="161">
        <v>200</v>
      </c>
      <c r="I158" s="207">
        <v>80</v>
      </c>
      <c r="J158" s="242">
        <f t="shared" si="31"/>
        <v>16000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7</v>
      </c>
      <c r="C159" s="206">
        <v>43321</v>
      </c>
      <c r="D159" s="161" t="s">
        <v>9</v>
      </c>
      <c r="E159" s="161" t="s">
        <v>301</v>
      </c>
      <c r="F159" s="207">
        <v>28200</v>
      </c>
      <c r="G159" s="207">
        <v>28345</v>
      </c>
      <c r="H159" s="161">
        <v>145</v>
      </c>
      <c r="I159" s="207">
        <v>80</v>
      </c>
      <c r="J159" s="242">
        <f t="shared" si="31"/>
        <v>11600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8</v>
      </c>
      <c r="C160" s="206">
        <v>43322</v>
      </c>
      <c r="D160" s="161" t="s">
        <v>8</v>
      </c>
      <c r="E160" s="161" t="s">
        <v>301</v>
      </c>
      <c r="F160" s="207">
        <v>28250</v>
      </c>
      <c r="G160" s="207">
        <v>28350</v>
      </c>
      <c r="H160" s="161">
        <v>-100</v>
      </c>
      <c r="I160" s="207">
        <v>80</v>
      </c>
      <c r="J160" s="242">
        <f t="shared" si="31"/>
        <v>-8000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9</v>
      </c>
      <c r="C161" s="206">
        <v>43325</v>
      </c>
      <c r="D161" s="161" t="s">
        <v>8</v>
      </c>
      <c r="E161" s="161" t="s">
        <v>301</v>
      </c>
      <c r="F161" s="207">
        <v>27880</v>
      </c>
      <c r="G161" s="207">
        <v>27830</v>
      </c>
      <c r="H161" s="161">
        <v>50</v>
      </c>
      <c r="I161" s="207">
        <v>80</v>
      </c>
      <c r="J161" s="242">
        <f t="shared" si="31"/>
        <v>4000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10</v>
      </c>
      <c r="C162" s="206">
        <v>43326</v>
      </c>
      <c r="D162" s="161" t="s">
        <v>8</v>
      </c>
      <c r="E162" s="161" t="s">
        <v>301</v>
      </c>
      <c r="F162" s="207">
        <v>28070</v>
      </c>
      <c r="G162" s="207">
        <v>28020</v>
      </c>
      <c r="H162" s="161">
        <v>50</v>
      </c>
      <c r="I162" s="207">
        <v>80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11</v>
      </c>
      <c r="C163" s="206">
        <v>43328</v>
      </c>
      <c r="D163" s="161" t="s">
        <v>9</v>
      </c>
      <c r="E163" s="161" t="s">
        <v>301</v>
      </c>
      <c r="F163" s="207">
        <v>27950</v>
      </c>
      <c r="G163" s="207">
        <v>28045</v>
      </c>
      <c r="H163" s="161">
        <v>95</v>
      </c>
      <c r="I163" s="207">
        <v>80</v>
      </c>
      <c r="J163" s="242">
        <f t="shared" si="31"/>
        <v>7600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12</v>
      </c>
      <c r="C164" s="206">
        <v>43329</v>
      </c>
      <c r="D164" s="161" t="s">
        <v>9</v>
      </c>
      <c r="E164" s="161" t="s">
        <v>301</v>
      </c>
      <c r="F164" s="207">
        <v>28100</v>
      </c>
      <c r="G164" s="207">
        <v>28200</v>
      </c>
      <c r="H164" s="161">
        <v>100</v>
      </c>
      <c r="I164" s="207">
        <v>80</v>
      </c>
      <c r="J164" s="242">
        <f t="shared" si="31"/>
        <v>8000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13</v>
      </c>
      <c r="C165" s="206">
        <v>43332</v>
      </c>
      <c r="D165" s="161" t="s">
        <v>9</v>
      </c>
      <c r="E165" s="161" t="s">
        <v>301</v>
      </c>
      <c r="F165" s="207">
        <v>28340</v>
      </c>
      <c r="G165" s="207">
        <v>28340</v>
      </c>
      <c r="H165" s="161">
        <v>0</v>
      </c>
      <c r="I165" s="207">
        <v>80</v>
      </c>
      <c r="J165" s="242">
        <f t="shared" si="31"/>
        <v>0</v>
      </c>
      <c r="K165" s="153"/>
      <c r="V165" s="25">
        <f t="shared" si="32"/>
        <v>0</v>
      </c>
      <c r="W165" s="25">
        <f t="shared" si="33"/>
        <v>0</v>
      </c>
    </row>
    <row r="166" spans="1:23" x14ac:dyDescent="0.3">
      <c r="A166" s="147"/>
      <c r="B166" s="205">
        <f t="shared" si="34"/>
        <v>14</v>
      </c>
      <c r="C166" s="206">
        <v>43333</v>
      </c>
      <c r="D166" s="161" t="s">
        <v>9</v>
      </c>
      <c r="E166" s="161" t="s">
        <v>301</v>
      </c>
      <c r="F166" s="207">
        <v>28260</v>
      </c>
      <c r="G166" s="207">
        <v>28280</v>
      </c>
      <c r="H166" s="161">
        <v>20</v>
      </c>
      <c r="I166" s="207">
        <v>80</v>
      </c>
      <c r="J166" s="242">
        <f t="shared" si="31"/>
        <v>1600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15</v>
      </c>
      <c r="C167" s="206">
        <v>43335</v>
      </c>
      <c r="D167" s="161" t="s">
        <v>8</v>
      </c>
      <c r="E167" s="161" t="s">
        <v>301</v>
      </c>
      <c r="F167" s="207">
        <v>28200</v>
      </c>
      <c r="G167" s="207">
        <v>28030</v>
      </c>
      <c r="H167" s="161">
        <v>170</v>
      </c>
      <c r="I167" s="207">
        <v>80</v>
      </c>
      <c r="J167" s="242">
        <f t="shared" si="31"/>
        <v>13600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16</v>
      </c>
      <c r="C168" s="206">
        <v>43336</v>
      </c>
      <c r="D168" s="161" t="s">
        <v>9</v>
      </c>
      <c r="E168" s="161" t="s">
        <v>301</v>
      </c>
      <c r="F168" s="207">
        <v>28130</v>
      </c>
      <c r="G168" s="207">
        <v>28030</v>
      </c>
      <c r="H168" s="161">
        <v>-100</v>
      </c>
      <c r="I168" s="207">
        <v>80</v>
      </c>
      <c r="J168" s="242">
        <f t="shared" si="31"/>
        <v>-8000</v>
      </c>
      <c r="K168" s="153"/>
      <c r="V168" s="25">
        <f t="shared" si="32"/>
        <v>0</v>
      </c>
      <c r="W168" s="25">
        <f t="shared" si="33"/>
        <v>1</v>
      </c>
    </row>
    <row r="169" spans="1:23" x14ac:dyDescent="0.3">
      <c r="A169" s="147"/>
      <c r="B169" s="205">
        <f t="shared" si="34"/>
        <v>17</v>
      </c>
      <c r="C169" s="206">
        <v>43339</v>
      </c>
      <c r="D169" s="161" t="s">
        <v>9</v>
      </c>
      <c r="E169" s="161" t="s">
        <v>301</v>
      </c>
      <c r="F169" s="207">
        <v>28200</v>
      </c>
      <c r="G169" s="207">
        <v>28250</v>
      </c>
      <c r="H169" s="161">
        <v>50</v>
      </c>
      <c r="I169" s="207">
        <v>80</v>
      </c>
      <c r="J169" s="242">
        <f t="shared" si="31"/>
        <v>4000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18</v>
      </c>
      <c r="C170" s="206">
        <v>43340</v>
      </c>
      <c r="D170" s="161" t="s">
        <v>9</v>
      </c>
      <c r="E170" s="161" t="s">
        <v>301</v>
      </c>
      <c r="F170" s="207">
        <v>28200</v>
      </c>
      <c r="G170" s="207">
        <v>28300</v>
      </c>
      <c r="H170" s="161">
        <v>100</v>
      </c>
      <c r="I170" s="207">
        <v>80</v>
      </c>
      <c r="J170" s="242">
        <f t="shared" si="31"/>
        <v>8000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19</v>
      </c>
      <c r="C171" s="206">
        <v>43341</v>
      </c>
      <c r="D171" s="161" t="s">
        <v>9</v>
      </c>
      <c r="E171" s="161" t="s">
        <v>301</v>
      </c>
      <c r="F171" s="207">
        <v>28300</v>
      </c>
      <c r="G171" s="207">
        <v>28390</v>
      </c>
      <c r="H171" s="161">
        <v>90</v>
      </c>
      <c r="I171" s="207">
        <v>80</v>
      </c>
      <c r="J171" s="242">
        <f t="shared" si="31"/>
        <v>7200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20</v>
      </c>
      <c r="C172" s="206">
        <v>43342</v>
      </c>
      <c r="D172" s="161" t="s">
        <v>8</v>
      </c>
      <c r="E172" s="161" t="s">
        <v>301</v>
      </c>
      <c r="F172" s="207">
        <v>28050</v>
      </c>
      <c r="G172" s="207">
        <v>28000</v>
      </c>
      <c r="H172" s="161">
        <v>50</v>
      </c>
      <c r="I172" s="207">
        <v>80</v>
      </c>
      <c r="J172" s="242">
        <f t="shared" si="31"/>
        <v>4000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21</v>
      </c>
      <c r="C173" s="206">
        <v>43343</v>
      </c>
      <c r="D173" s="161" t="s">
        <v>8</v>
      </c>
      <c r="E173" s="161" t="s">
        <v>301</v>
      </c>
      <c r="F173" s="207">
        <v>28200</v>
      </c>
      <c r="G173" s="207">
        <v>28125</v>
      </c>
      <c r="H173" s="161">
        <v>75</v>
      </c>
      <c r="I173" s="207">
        <v>80</v>
      </c>
      <c r="J173" s="242">
        <f t="shared" si="31"/>
        <v>6000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ht="15" thickBot="1" x14ac:dyDescent="0.35">
      <c r="A175" s="147"/>
      <c r="B175" s="208">
        <f t="shared" si="34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112000</v>
      </c>
      <c r="K176" s="153"/>
      <c r="V176" s="25">
        <f>SUM(V153:V175)</f>
        <v>18</v>
      </c>
      <c r="W176" s="25">
        <f>SUM(W153:W175)</f>
        <v>2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2533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43313</v>
      </c>
      <c r="D184" s="185" t="s">
        <v>9</v>
      </c>
      <c r="E184" s="185" t="s">
        <v>2532</v>
      </c>
      <c r="F184" s="219">
        <v>390</v>
      </c>
      <c r="G184" s="219">
        <v>450</v>
      </c>
      <c r="H184" s="185">
        <v>60</v>
      </c>
      <c r="I184" s="219">
        <v>160</v>
      </c>
      <c r="J184" s="246">
        <f t="shared" ref="J184:J206" si="35">I184*H184</f>
        <v>9600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43314</v>
      </c>
      <c r="D185" s="161" t="s">
        <v>9</v>
      </c>
      <c r="E185" s="161" t="s">
        <v>2534</v>
      </c>
      <c r="F185" s="207">
        <v>400</v>
      </c>
      <c r="G185" s="207">
        <v>405</v>
      </c>
      <c r="H185" s="161">
        <v>5</v>
      </c>
      <c r="I185" s="207">
        <v>160</v>
      </c>
      <c r="J185" s="242">
        <f t="shared" si="35"/>
        <v>800</v>
      </c>
      <c r="K185" s="153"/>
      <c r="V185" s="25">
        <f t="shared" ref="V185:V206" si="36">IF($J185&gt;0,1,0)</f>
        <v>1</v>
      </c>
      <c r="W185" s="25">
        <f t="shared" ref="W185:W206" si="37">IF($J185&lt;0,1,0)</f>
        <v>0</v>
      </c>
    </row>
    <row r="186" spans="1:23" x14ac:dyDescent="0.3">
      <c r="A186" s="147"/>
      <c r="B186" s="205">
        <f t="shared" ref="B186:B206" si="38">B185+1</f>
        <v>3</v>
      </c>
      <c r="C186" s="206">
        <v>43315</v>
      </c>
      <c r="D186" s="161" t="s">
        <v>9</v>
      </c>
      <c r="E186" s="161" t="s">
        <v>2446</v>
      </c>
      <c r="F186" s="207">
        <v>390</v>
      </c>
      <c r="G186" s="207">
        <v>470</v>
      </c>
      <c r="H186" s="161">
        <v>80</v>
      </c>
      <c r="I186" s="207">
        <v>160</v>
      </c>
      <c r="J186" s="242">
        <f t="shared" si="35"/>
        <v>12800</v>
      </c>
      <c r="K186" s="153"/>
      <c r="V186" s="25">
        <f t="shared" si="36"/>
        <v>1</v>
      </c>
      <c r="W186" s="25">
        <f t="shared" si="37"/>
        <v>0</v>
      </c>
    </row>
    <row r="187" spans="1:23" x14ac:dyDescent="0.3">
      <c r="A187" s="147"/>
      <c r="B187" s="205">
        <f t="shared" si="38"/>
        <v>4</v>
      </c>
      <c r="C187" s="206">
        <v>43318</v>
      </c>
      <c r="D187" s="161" t="s">
        <v>9</v>
      </c>
      <c r="E187" s="161" t="s">
        <v>2539</v>
      </c>
      <c r="F187" s="207">
        <v>330</v>
      </c>
      <c r="G187" s="207">
        <v>330</v>
      </c>
      <c r="H187" s="161">
        <v>0</v>
      </c>
      <c r="I187" s="207">
        <v>160</v>
      </c>
      <c r="J187" s="242">
        <f t="shared" si="35"/>
        <v>0</v>
      </c>
      <c r="K187" s="153"/>
      <c r="V187" s="25">
        <f t="shared" si="36"/>
        <v>0</v>
      </c>
      <c r="W187" s="25">
        <f t="shared" si="37"/>
        <v>0</v>
      </c>
    </row>
    <row r="188" spans="1:23" x14ac:dyDescent="0.3">
      <c r="A188" s="147"/>
      <c r="B188" s="205">
        <f t="shared" si="38"/>
        <v>5</v>
      </c>
      <c r="C188" s="206">
        <v>43319</v>
      </c>
      <c r="D188" s="161" t="s">
        <v>9</v>
      </c>
      <c r="E188" s="161" t="s">
        <v>2539</v>
      </c>
      <c r="F188" s="207">
        <v>310</v>
      </c>
      <c r="G188" s="207">
        <v>400</v>
      </c>
      <c r="H188" s="161">
        <v>90</v>
      </c>
      <c r="I188" s="207">
        <v>160</v>
      </c>
      <c r="J188" s="242">
        <f t="shared" si="35"/>
        <v>14400</v>
      </c>
      <c r="K188" s="153"/>
      <c r="V188" s="25">
        <f t="shared" si="36"/>
        <v>1</v>
      </c>
      <c r="W188" s="25">
        <f t="shared" si="37"/>
        <v>0</v>
      </c>
    </row>
    <row r="189" spans="1:23" x14ac:dyDescent="0.3">
      <c r="A189" s="147"/>
      <c r="B189" s="205">
        <f t="shared" si="38"/>
        <v>6</v>
      </c>
      <c r="C189" s="206">
        <v>43320</v>
      </c>
      <c r="D189" s="161" t="s">
        <v>9</v>
      </c>
      <c r="E189" s="161" t="s">
        <v>2539</v>
      </c>
      <c r="F189" s="207">
        <v>310</v>
      </c>
      <c r="G189" s="207">
        <v>400</v>
      </c>
      <c r="H189" s="161">
        <v>80</v>
      </c>
      <c r="I189" s="207">
        <v>160</v>
      </c>
      <c r="J189" s="242">
        <f t="shared" si="35"/>
        <v>12800</v>
      </c>
      <c r="K189" s="153"/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7</v>
      </c>
      <c r="C190" s="206">
        <v>43321</v>
      </c>
      <c r="D190" s="161" t="s">
        <v>9</v>
      </c>
      <c r="E190" s="161" t="s">
        <v>2542</v>
      </c>
      <c r="F190" s="207">
        <v>335</v>
      </c>
      <c r="G190" s="207">
        <v>420</v>
      </c>
      <c r="H190" s="161">
        <v>85</v>
      </c>
      <c r="I190" s="207">
        <v>160</v>
      </c>
      <c r="J190" s="242">
        <f t="shared" si="35"/>
        <v>13600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8</v>
      </c>
      <c r="C191" s="206">
        <v>43322</v>
      </c>
      <c r="D191" s="161" t="s">
        <v>9</v>
      </c>
      <c r="E191" s="161" t="s">
        <v>2546</v>
      </c>
      <c r="F191" s="207">
        <v>340</v>
      </c>
      <c r="G191" s="207">
        <v>280</v>
      </c>
      <c r="H191" s="161">
        <v>-60</v>
      </c>
      <c r="I191" s="207">
        <v>160</v>
      </c>
      <c r="J191" s="242">
        <f t="shared" si="35"/>
        <v>-9600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9</v>
      </c>
      <c r="C192" s="206">
        <v>43325</v>
      </c>
      <c r="D192" s="161" t="s">
        <v>9</v>
      </c>
      <c r="E192" s="161" t="s">
        <v>2549</v>
      </c>
      <c r="F192" s="207">
        <v>330</v>
      </c>
      <c r="G192" s="207">
        <v>330</v>
      </c>
      <c r="H192" s="161">
        <v>0</v>
      </c>
      <c r="I192" s="207">
        <v>160</v>
      </c>
      <c r="J192" s="242">
        <f t="shared" si="35"/>
        <v>0</v>
      </c>
      <c r="K192" s="153"/>
      <c r="V192" s="25">
        <f t="shared" si="36"/>
        <v>0</v>
      </c>
      <c r="W192" s="25">
        <f t="shared" si="37"/>
        <v>0</v>
      </c>
    </row>
    <row r="193" spans="1:23" x14ac:dyDescent="0.3">
      <c r="A193" s="147"/>
      <c r="B193" s="205">
        <f t="shared" si="38"/>
        <v>10</v>
      </c>
      <c r="C193" s="206">
        <v>43326</v>
      </c>
      <c r="D193" s="161" t="s">
        <v>9</v>
      </c>
      <c r="E193" s="161" t="s">
        <v>2550</v>
      </c>
      <c r="F193" s="207">
        <v>260</v>
      </c>
      <c r="G193" s="207">
        <v>300</v>
      </c>
      <c r="H193" s="161">
        <v>40</v>
      </c>
      <c r="I193" s="207">
        <v>160</v>
      </c>
      <c r="J193" s="242">
        <f t="shared" si="35"/>
        <v>6400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11</v>
      </c>
      <c r="C194" s="206">
        <v>43328</v>
      </c>
      <c r="D194" s="161" t="s">
        <v>9</v>
      </c>
      <c r="E194" s="161" t="s">
        <v>2539</v>
      </c>
      <c r="F194" s="207">
        <v>260</v>
      </c>
      <c r="G194" s="207">
        <v>290</v>
      </c>
      <c r="H194" s="161">
        <v>30</v>
      </c>
      <c r="I194" s="207">
        <v>160</v>
      </c>
      <c r="J194" s="242">
        <f t="shared" si="35"/>
        <v>4800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12</v>
      </c>
      <c r="C195" s="206">
        <v>43329</v>
      </c>
      <c r="D195" s="161" t="s">
        <v>9</v>
      </c>
      <c r="E195" s="161" t="s">
        <v>2539</v>
      </c>
      <c r="F195" s="207">
        <v>320</v>
      </c>
      <c r="G195" s="207">
        <v>350</v>
      </c>
      <c r="H195" s="161">
        <v>30</v>
      </c>
      <c r="I195" s="207">
        <v>160</v>
      </c>
      <c r="J195" s="242">
        <f t="shared" si="35"/>
        <v>4800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13</v>
      </c>
      <c r="C196" s="206">
        <v>43332</v>
      </c>
      <c r="D196" s="161" t="s">
        <v>9</v>
      </c>
      <c r="E196" s="161" t="s">
        <v>2553</v>
      </c>
      <c r="F196" s="207">
        <v>250</v>
      </c>
      <c r="G196" s="207">
        <v>250</v>
      </c>
      <c r="H196" s="161">
        <v>0</v>
      </c>
      <c r="I196" s="207">
        <v>160</v>
      </c>
      <c r="J196" s="242">
        <f t="shared" si="35"/>
        <v>0</v>
      </c>
      <c r="K196" s="153"/>
      <c r="V196" s="25">
        <f t="shared" si="36"/>
        <v>0</v>
      </c>
      <c r="W196" s="25">
        <f t="shared" si="37"/>
        <v>0</v>
      </c>
    </row>
    <row r="197" spans="1:23" x14ac:dyDescent="0.3">
      <c r="A197" s="147"/>
      <c r="B197" s="205">
        <f t="shared" si="38"/>
        <v>14</v>
      </c>
      <c r="C197" s="206">
        <v>43333</v>
      </c>
      <c r="D197" s="161" t="s">
        <v>9</v>
      </c>
      <c r="E197" s="161" t="s">
        <v>2553</v>
      </c>
      <c r="F197" s="207">
        <v>210</v>
      </c>
      <c r="G197" s="207">
        <v>200</v>
      </c>
      <c r="H197" s="161">
        <v>-10</v>
      </c>
      <c r="I197" s="207">
        <v>160</v>
      </c>
      <c r="J197" s="242">
        <f t="shared" si="35"/>
        <v>-1600</v>
      </c>
      <c r="K197" s="153"/>
      <c r="V197" s="25">
        <f t="shared" si="36"/>
        <v>0</v>
      </c>
      <c r="W197" s="25">
        <f t="shared" si="37"/>
        <v>1</v>
      </c>
    </row>
    <row r="198" spans="1:23" x14ac:dyDescent="0.3">
      <c r="A198" s="147"/>
      <c r="B198" s="205">
        <f t="shared" si="38"/>
        <v>15</v>
      </c>
      <c r="C198" s="206">
        <v>43335</v>
      </c>
      <c r="D198" s="161" t="s">
        <v>9</v>
      </c>
      <c r="E198" s="161" t="s">
        <v>2556</v>
      </c>
      <c r="F198" s="207">
        <v>190</v>
      </c>
      <c r="G198" s="207">
        <v>275</v>
      </c>
      <c r="H198" s="161">
        <v>85</v>
      </c>
      <c r="I198" s="207">
        <v>160</v>
      </c>
      <c r="J198" s="242">
        <f t="shared" si="35"/>
        <v>13600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16</v>
      </c>
      <c r="C199" s="206">
        <v>43336</v>
      </c>
      <c r="D199" s="161" t="s">
        <v>9</v>
      </c>
      <c r="E199" s="161" t="s">
        <v>2539</v>
      </c>
      <c r="F199" s="207">
        <v>170</v>
      </c>
      <c r="G199" s="207">
        <v>110</v>
      </c>
      <c r="H199" s="161">
        <v>-60</v>
      </c>
      <c r="I199" s="207">
        <v>160</v>
      </c>
      <c r="J199" s="242">
        <f t="shared" si="35"/>
        <v>-9600</v>
      </c>
      <c r="K199" s="153"/>
      <c r="V199" s="25">
        <f t="shared" si="36"/>
        <v>0</v>
      </c>
      <c r="W199" s="25">
        <f t="shared" si="37"/>
        <v>1</v>
      </c>
    </row>
    <row r="200" spans="1:23" x14ac:dyDescent="0.3">
      <c r="A200" s="147"/>
      <c r="B200" s="205">
        <f t="shared" si="38"/>
        <v>17</v>
      </c>
      <c r="C200" s="206">
        <v>43339</v>
      </c>
      <c r="D200" s="161" t="s">
        <v>9</v>
      </c>
      <c r="E200" s="161" t="s">
        <v>2559</v>
      </c>
      <c r="F200" s="207">
        <v>180</v>
      </c>
      <c r="G200" s="207">
        <v>240</v>
      </c>
      <c r="H200" s="161">
        <v>60</v>
      </c>
      <c r="I200" s="207">
        <v>160</v>
      </c>
      <c r="J200" s="242">
        <f t="shared" si="35"/>
        <v>9600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18</v>
      </c>
      <c r="C201" s="206">
        <v>43340</v>
      </c>
      <c r="D201" s="161" t="s">
        <v>9</v>
      </c>
      <c r="E201" s="161" t="s">
        <v>2559</v>
      </c>
      <c r="F201" s="207">
        <v>170</v>
      </c>
      <c r="G201" s="207">
        <v>260</v>
      </c>
      <c r="H201" s="161">
        <v>90</v>
      </c>
      <c r="I201" s="207">
        <v>160</v>
      </c>
      <c r="J201" s="242">
        <f t="shared" si="35"/>
        <v>14400</v>
      </c>
      <c r="K201" s="153"/>
      <c r="V201" s="25">
        <f t="shared" si="36"/>
        <v>1</v>
      </c>
      <c r="W201" s="25">
        <f t="shared" si="37"/>
        <v>0</v>
      </c>
    </row>
    <row r="202" spans="1:23" x14ac:dyDescent="0.3">
      <c r="A202" s="147"/>
      <c r="B202" s="205">
        <f t="shared" si="38"/>
        <v>19</v>
      </c>
      <c r="C202" s="206">
        <v>43341</v>
      </c>
      <c r="D202" s="161" t="s">
        <v>9</v>
      </c>
      <c r="E202" s="161" t="s">
        <v>2542</v>
      </c>
      <c r="F202" s="207">
        <v>160</v>
      </c>
      <c r="G202" s="207">
        <v>210</v>
      </c>
      <c r="H202" s="161">
        <v>60</v>
      </c>
      <c r="I202" s="207">
        <v>160</v>
      </c>
      <c r="J202" s="242">
        <f t="shared" si="35"/>
        <v>9600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20</v>
      </c>
      <c r="C203" s="206">
        <v>43343</v>
      </c>
      <c r="D203" s="161" t="s">
        <v>9</v>
      </c>
      <c r="E203" s="161" t="s">
        <v>2567</v>
      </c>
      <c r="F203" s="207">
        <v>340</v>
      </c>
      <c r="G203" s="207">
        <v>375</v>
      </c>
      <c r="H203" s="161">
        <v>35</v>
      </c>
      <c r="I203" s="207">
        <v>160</v>
      </c>
      <c r="J203" s="242">
        <f t="shared" si="35"/>
        <v>5600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5"/>
        <v>0</v>
      </c>
      <c r="K204" s="153"/>
      <c r="V204" s="25">
        <f t="shared" si="36"/>
        <v>0</v>
      </c>
      <c r="W204" s="25">
        <f t="shared" si="37"/>
        <v>0</v>
      </c>
    </row>
    <row r="205" spans="1:23" x14ac:dyDescent="0.3">
      <c r="A205" s="147"/>
      <c r="B205" s="205">
        <f t="shared" si="38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ht="15" thickBot="1" x14ac:dyDescent="0.35">
      <c r="A206" s="147"/>
      <c r="B206" s="208">
        <f t="shared" si="38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112000</v>
      </c>
      <c r="K207" s="153"/>
      <c r="V207" s="25">
        <f>SUM(V184:V206)</f>
        <v>14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2533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43313</v>
      </c>
      <c r="D215" s="185" t="s">
        <v>9</v>
      </c>
      <c r="E215" s="185" t="s">
        <v>2535</v>
      </c>
      <c r="F215" s="231">
        <v>12</v>
      </c>
      <c r="G215" s="231">
        <v>13.5</v>
      </c>
      <c r="H215" s="231">
        <v>1.5</v>
      </c>
      <c r="I215" s="219">
        <v>2000</v>
      </c>
      <c r="J215" s="246">
        <f t="shared" ref="J215:J237" si="39">I215*H215</f>
        <v>3000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43314</v>
      </c>
      <c r="D216" s="161" t="s">
        <v>9</v>
      </c>
      <c r="E216" s="161" t="s">
        <v>2476</v>
      </c>
      <c r="F216" s="222">
        <v>12</v>
      </c>
      <c r="G216" s="222">
        <v>12.15</v>
      </c>
      <c r="H216" s="255">
        <v>0.15</v>
      </c>
      <c r="I216" s="207">
        <v>2000</v>
      </c>
      <c r="J216" s="242">
        <f>I216*H216</f>
        <v>300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40">B216+1</f>
        <v>3</v>
      </c>
      <c r="C217" s="206">
        <v>43315</v>
      </c>
      <c r="D217" s="161" t="s">
        <v>9</v>
      </c>
      <c r="E217" s="161" t="s">
        <v>2537</v>
      </c>
      <c r="F217" s="222">
        <v>19</v>
      </c>
      <c r="G217" s="222">
        <v>28</v>
      </c>
      <c r="H217" s="222">
        <v>9</v>
      </c>
      <c r="I217" s="207">
        <v>1200</v>
      </c>
      <c r="J217" s="242">
        <f t="shared" si="39"/>
        <v>10800</v>
      </c>
      <c r="K217" s="153"/>
      <c r="V217" s="25">
        <f t="shared" ref="V217:V237" si="41">IF($J217&gt;0,1,0)</f>
        <v>1</v>
      </c>
      <c r="W217" s="25">
        <f t="shared" ref="W217:W237" si="42">IF($J217&lt;0,1,0)</f>
        <v>0</v>
      </c>
    </row>
    <row r="218" spans="1:23" x14ac:dyDescent="0.3">
      <c r="A218" s="147"/>
      <c r="B218" s="205">
        <f t="shared" si="40"/>
        <v>4</v>
      </c>
      <c r="C218" s="206">
        <v>43318</v>
      </c>
      <c r="D218" s="161" t="s">
        <v>9</v>
      </c>
      <c r="E218" s="161" t="s">
        <v>2540</v>
      </c>
      <c r="F218" s="222">
        <v>10</v>
      </c>
      <c r="G218" s="222">
        <v>11.5</v>
      </c>
      <c r="H218" s="222">
        <v>1.5</v>
      </c>
      <c r="I218" s="207">
        <v>1750</v>
      </c>
      <c r="J218" s="242">
        <f t="shared" si="39"/>
        <v>2625</v>
      </c>
      <c r="K218" s="153"/>
      <c r="V218" s="25">
        <f t="shared" si="41"/>
        <v>1</v>
      </c>
      <c r="W218" s="25">
        <f t="shared" si="42"/>
        <v>0</v>
      </c>
    </row>
    <row r="219" spans="1:23" x14ac:dyDescent="0.3">
      <c r="A219" s="147"/>
      <c r="B219" s="205">
        <f t="shared" si="40"/>
        <v>5</v>
      </c>
      <c r="C219" s="206">
        <v>43319</v>
      </c>
      <c r="D219" s="161" t="s">
        <v>9</v>
      </c>
      <c r="E219" s="161" t="s">
        <v>2309</v>
      </c>
      <c r="F219" s="222">
        <v>11.5</v>
      </c>
      <c r="G219" s="222">
        <v>13</v>
      </c>
      <c r="H219" s="222">
        <v>2.5</v>
      </c>
      <c r="I219" s="207">
        <v>2750</v>
      </c>
      <c r="J219" s="242">
        <f t="shared" si="39"/>
        <v>6875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6</v>
      </c>
      <c r="C220" s="206">
        <v>43320</v>
      </c>
      <c r="D220" s="161" t="s">
        <v>9</v>
      </c>
      <c r="E220" s="161" t="s">
        <v>2540</v>
      </c>
      <c r="F220" s="222">
        <v>13</v>
      </c>
      <c r="G220" s="222">
        <v>14.1</v>
      </c>
      <c r="H220" s="222">
        <v>1.1000000000000001</v>
      </c>
      <c r="I220" s="207">
        <v>1750</v>
      </c>
      <c r="J220" s="242">
        <f t="shared" si="39"/>
        <v>1925.0000000000002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7</v>
      </c>
      <c r="C221" s="206">
        <v>43321</v>
      </c>
      <c r="D221" s="161" t="s">
        <v>9</v>
      </c>
      <c r="E221" s="161" t="s">
        <v>2543</v>
      </c>
      <c r="F221" s="222">
        <v>33</v>
      </c>
      <c r="G221" s="222">
        <v>27</v>
      </c>
      <c r="H221" s="222">
        <v>-6</v>
      </c>
      <c r="I221" s="207">
        <v>1000</v>
      </c>
      <c r="J221" s="242">
        <f t="shared" si="39"/>
        <v>-6000</v>
      </c>
      <c r="K221" s="153"/>
      <c r="V221" s="25">
        <f t="shared" si="41"/>
        <v>0</v>
      </c>
      <c r="W221" s="25">
        <f t="shared" si="42"/>
        <v>1</v>
      </c>
    </row>
    <row r="222" spans="1:23" x14ac:dyDescent="0.3">
      <c r="A222" s="147"/>
      <c r="B222" s="205">
        <f t="shared" si="40"/>
        <v>8</v>
      </c>
      <c r="C222" s="206">
        <v>43322</v>
      </c>
      <c r="D222" s="161" t="s">
        <v>9</v>
      </c>
      <c r="E222" s="161" t="s">
        <v>2547</v>
      </c>
      <c r="F222" s="222">
        <v>9</v>
      </c>
      <c r="G222" s="222">
        <v>11</v>
      </c>
      <c r="H222" s="222">
        <v>2</v>
      </c>
      <c r="I222" s="207">
        <v>1600</v>
      </c>
      <c r="J222" s="242">
        <f t="shared" si="39"/>
        <v>3200</v>
      </c>
      <c r="K222" s="153"/>
      <c r="V222" s="25">
        <f t="shared" si="41"/>
        <v>1</v>
      </c>
      <c r="W222" s="25">
        <f t="shared" si="42"/>
        <v>0</v>
      </c>
    </row>
    <row r="223" spans="1:23" x14ac:dyDescent="0.3">
      <c r="A223" s="147"/>
      <c r="B223" s="205">
        <f t="shared" si="40"/>
        <v>9</v>
      </c>
      <c r="C223" s="206">
        <v>43325</v>
      </c>
      <c r="D223" s="161" t="s">
        <v>9</v>
      </c>
      <c r="E223" s="161" t="s">
        <v>2345</v>
      </c>
      <c r="F223" s="222">
        <v>68</v>
      </c>
      <c r="G223" s="222">
        <v>65</v>
      </c>
      <c r="H223" s="255">
        <v>-3</v>
      </c>
      <c r="I223" s="207">
        <v>250</v>
      </c>
      <c r="J223" s="242">
        <f t="shared" si="39"/>
        <v>-750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10</v>
      </c>
      <c r="C224" s="206">
        <v>43326</v>
      </c>
      <c r="D224" s="161" t="s">
        <v>9</v>
      </c>
      <c r="E224" s="161" t="s">
        <v>2306</v>
      </c>
      <c r="F224" s="222">
        <v>8.5</v>
      </c>
      <c r="G224" s="222">
        <v>8.1999999999999993</v>
      </c>
      <c r="H224" s="255">
        <v>-0.3</v>
      </c>
      <c r="I224" s="207">
        <v>3000</v>
      </c>
      <c r="J224" s="242">
        <f t="shared" si="39"/>
        <v>-900</v>
      </c>
      <c r="K224" s="153"/>
      <c r="V224" s="25">
        <f t="shared" si="41"/>
        <v>0</v>
      </c>
      <c r="W224" s="25">
        <f t="shared" si="42"/>
        <v>1</v>
      </c>
    </row>
    <row r="225" spans="1:23" x14ac:dyDescent="0.3">
      <c r="A225" s="147"/>
      <c r="B225" s="205">
        <f t="shared" si="40"/>
        <v>11</v>
      </c>
      <c r="C225" s="206">
        <v>43328</v>
      </c>
      <c r="D225" s="161" t="s">
        <v>9</v>
      </c>
      <c r="E225" s="161" t="s">
        <v>2551</v>
      </c>
      <c r="F225" s="222">
        <v>22</v>
      </c>
      <c r="G225" s="222">
        <v>16</v>
      </c>
      <c r="H225" s="255">
        <v>-6</v>
      </c>
      <c r="I225" s="207">
        <v>1200</v>
      </c>
      <c r="J225" s="242">
        <f t="shared" si="39"/>
        <v>-7200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12</v>
      </c>
      <c r="C226" s="206">
        <v>43329</v>
      </c>
      <c r="D226" s="161" t="s">
        <v>9</v>
      </c>
      <c r="E226" s="161" t="s">
        <v>2552</v>
      </c>
      <c r="F226" s="222">
        <v>6.5</v>
      </c>
      <c r="G226" s="222">
        <v>8.1</v>
      </c>
      <c r="H226" s="255">
        <v>1.6</v>
      </c>
      <c r="I226" s="207">
        <v>2400</v>
      </c>
      <c r="J226" s="242">
        <f t="shared" si="39"/>
        <v>3840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13</v>
      </c>
      <c r="C227" s="206">
        <v>43332</v>
      </c>
      <c r="D227" s="161" t="s">
        <v>9</v>
      </c>
      <c r="E227" s="161" t="s">
        <v>2554</v>
      </c>
      <c r="F227" s="222">
        <v>11.5</v>
      </c>
      <c r="G227" s="222">
        <v>8.5</v>
      </c>
      <c r="H227" s="255">
        <v>-3</v>
      </c>
      <c r="I227" s="207">
        <v>1750</v>
      </c>
      <c r="J227" s="242">
        <f t="shared" si="39"/>
        <v>-5250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14</v>
      </c>
      <c r="C228" s="206">
        <v>43333</v>
      </c>
      <c r="D228" s="161" t="s">
        <v>9</v>
      </c>
      <c r="E228" s="161" t="s">
        <v>2552</v>
      </c>
      <c r="F228" s="222">
        <v>7.8</v>
      </c>
      <c r="G228" s="222">
        <v>6.2</v>
      </c>
      <c r="H228" s="255">
        <v>-1.6</v>
      </c>
      <c r="I228" s="207">
        <v>2400</v>
      </c>
      <c r="J228" s="242">
        <f>I228*H228</f>
        <v>-3840</v>
      </c>
      <c r="K228" s="153"/>
      <c r="V228" s="25">
        <f t="shared" si="41"/>
        <v>0</v>
      </c>
      <c r="W228" s="25">
        <f t="shared" si="42"/>
        <v>1</v>
      </c>
    </row>
    <row r="229" spans="1:23" x14ac:dyDescent="0.3">
      <c r="A229" s="147"/>
      <c r="B229" s="205">
        <f t="shared" si="40"/>
        <v>15</v>
      </c>
      <c r="C229" s="206">
        <v>43335</v>
      </c>
      <c r="D229" s="161" t="s">
        <v>9</v>
      </c>
      <c r="E229" s="161" t="s">
        <v>2557</v>
      </c>
      <c r="F229" s="222">
        <v>4</v>
      </c>
      <c r="G229" s="222">
        <v>6.7</v>
      </c>
      <c r="H229" s="255">
        <v>2.7</v>
      </c>
      <c r="I229" s="207">
        <v>1500</v>
      </c>
      <c r="J229" s="242">
        <f t="shared" si="39"/>
        <v>4050.0000000000005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16</v>
      </c>
      <c r="C230" s="206">
        <v>43336</v>
      </c>
      <c r="D230" s="161" t="s">
        <v>9</v>
      </c>
      <c r="E230" s="161" t="s">
        <v>2558</v>
      </c>
      <c r="F230" s="222">
        <v>13</v>
      </c>
      <c r="G230" s="222">
        <v>12.35</v>
      </c>
      <c r="H230" s="222">
        <v>-0.65</v>
      </c>
      <c r="I230" s="207">
        <v>1200</v>
      </c>
      <c r="J230" s="242">
        <f t="shared" si="39"/>
        <v>-780</v>
      </c>
      <c r="K230" s="153"/>
      <c r="V230" s="25">
        <f t="shared" si="41"/>
        <v>0</v>
      </c>
      <c r="W230" s="25">
        <f t="shared" si="42"/>
        <v>1</v>
      </c>
    </row>
    <row r="231" spans="1:23" x14ac:dyDescent="0.3">
      <c r="A231" s="147"/>
      <c r="B231" s="205">
        <f t="shared" si="40"/>
        <v>17</v>
      </c>
      <c r="C231" s="206">
        <v>43339</v>
      </c>
      <c r="D231" s="161" t="s">
        <v>9</v>
      </c>
      <c r="E231" s="161" t="s">
        <v>2560</v>
      </c>
      <c r="F231" s="222">
        <v>10</v>
      </c>
      <c r="G231" s="222">
        <v>9.8000000000000007</v>
      </c>
      <c r="H231" s="222">
        <v>-0.2</v>
      </c>
      <c r="I231" s="207">
        <v>1200</v>
      </c>
      <c r="J231" s="242">
        <f t="shared" si="39"/>
        <v>-240</v>
      </c>
      <c r="K231" s="153"/>
      <c r="V231" s="25">
        <f t="shared" si="41"/>
        <v>0</v>
      </c>
      <c r="W231" s="25">
        <f t="shared" si="42"/>
        <v>1</v>
      </c>
    </row>
    <row r="232" spans="1:23" x14ac:dyDescent="0.3">
      <c r="A232" s="147"/>
      <c r="B232" s="205">
        <f t="shared" si="40"/>
        <v>18</v>
      </c>
      <c r="C232" s="206">
        <v>43340</v>
      </c>
      <c r="D232" s="161" t="s">
        <v>9</v>
      </c>
      <c r="E232" s="161" t="s">
        <v>2562</v>
      </c>
      <c r="F232" s="222">
        <v>10</v>
      </c>
      <c r="G232" s="222">
        <v>16</v>
      </c>
      <c r="H232" s="222">
        <v>6</v>
      </c>
      <c r="I232" s="207">
        <v>1000</v>
      </c>
      <c r="J232" s="242">
        <f t="shared" si="39"/>
        <v>6000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19</v>
      </c>
      <c r="C233" s="206">
        <v>43341</v>
      </c>
      <c r="D233" s="161" t="s">
        <v>9</v>
      </c>
      <c r="E233" s="161" t="s">
        <v>2564</v>
      </c>
      <c r="F233" s="222">
        <v>14</v>
      </c>
      <c r="G233" s="222">
        <v>16.2</v>
      </c>
      <c r="H233" s="222">
        <v>2.2000000000000002</v>
      </c>
      <c r="I233" s="207">
        <v>1000</v>
      </c>
      <c r="J233" s="242">
        <f t="shared" si="39"/>
        <v>2200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20</v>
      </c>
      <c r="C234" s="206">
        <v>43342</v>
      </c>
      <c r="D234" s="161" t="s">
        <v>9</v>
      </c>
      <c r="E234" s="161" t="s">
        <v>2565</v>
      </c>
      <c r="F234" s="222">
        <v>3.5</v>
      </c>
      <c r="G234" s="222">
        <v>4.8</v>
      </c>
      <c r="H234" s="222">
        <v>1.3</v>
      </c>
      <c r="I234" s="207">
        <v>1750</v>
      </c>
      <c r="J234" s="242">
        <f t="shared" si="39"/>
        <v>2275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21</v>
      </c>
      <c r="C235" s="206">
        <v>43343</v>
      </c>
      <c r="D235" s="161" t="s">
        <v>9</v>
      </c>
      <c r="E235" s="161" t="s">
        <v>2568</v>
      </c>
      <c r="F235" s="222">
        <v>41</v>
      </c>
      <c r="G235" s="222">
        <v>51.5</v>
      </c>
      <c r="H235" s="222">
        <v>10.5</v>
      </c>
      <c r="I235" s="207">
        <v>300</v>
      </c>
      <c r="J235" s="242">
        <f t="shared" si="39"/>
        <v>3150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9"/>
        <v>0</v>
      </c>
      <c r="K236" s="153"/>
      <c r="V236" s="25">
        <f t="shared" si="41"/>
        <v>0</v>
      </c>
      <c r="W236" s="25">
        <f t="shared" si="42"/>
        <v>0</v>
      </c>
    </row>
    <row r="237" spans="1:23" ht="15" thickBot="1" x14ac:dyDescent="0.35">
      <c r="A237" s="147"/>
      <c r="B237" s="208">
        <f t="shared" si="40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25280</v>
      </c>
      <c r="K238" s="153"/>
      <c r="V238" s="25">
        <f>SUM(V215:V237)</f>
        <v>13</v>
      </c>
      <c r="W238" s="25">
        <f>SUM(W215:W237)</f>
        <v>8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000-000000000000}"/>
    <hyperlink ref="B83" r:id="rId2" xr:uid="{00000000-0004-0000-4000-000001000000}"/>
    <hyperlink ref="B114" r:id="rId3" xr:uid="{00000000-0004-0000-4000-000002000000}"/>
    <hyperlink ref="B145" r:id="rId4" xr:uid="{00000000-0004-0000-4000-000003000000}"/>
    <hyperlink ref="B176" r:id="rId5" xr:uid="{00000000-0004-0000-4000-000004000000}"/>
    <hyperlink ref="B207" r:id="rId6" xr:uid="{00000000-0004-0000-4000-000005000000}"/>
    <hyperlink ref="B238" r:id="rId7" xr:uid="{00000000-0004-0000-4000-000006000000}"/>
    <hyperlink ref="M1" location="'MASTER '!A1" display="Back" xr:uid="{00000000-0004-0000-4000-000007000000}"/>
    <hyperlink ref="M8:M9" location="'AUGUST-2018'!A108" display="NIFTY FUTURE" xr:uid="{00000000-0004-0000-4000-000008000000}"/>
    <hyperlink ref="M10:M11" location="'AUGUST-2018'!A139" display="NF. OPTION" xr:uid="{00000000-0004-0000-4000-000009000000}"/>
    <hyperlink ref="M12:M13" location="'AUGUST-2018'!A170" display="BANK NIFTY" xr:uid="{00000000-0004-0000-4000-00000A000000}"/>
    <hyperlink ref="M14:M15" location="'AUGUST-2018'!A201" display="B.NIFTY OPTION" xr:uid="{00000000-0004-0000-4000-00000B000000}"/>
    <hyperlink ref="M16:M17" location="'AUGUST-2018'!A232" display="STOCK OPTION" xr:uid="{00000000-0004-0000-4000-00000C000000}"/>
    <hyperlink ref="M6:M7" location="'AUGUST-2018'!A77" display="STOCK FUTURE" xr:uid="{00000000-0004-0000-4000-00000D000000}"/>
    <hyperlink ref="M4:M5" location="'AUGUST-2018'!A1" display="CASH" xr:uid="{00000000-0004-0000-4000-00000E000000}"/>
  </hyperlinks>
  <pageMargins left="0" right="0" top="0" bottom="0" header="0" footer="0"/>
  <pageSetup scale="95" orientation="portrait" r:id="rId8"/>
  <drawing r:id="rId9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W239"/>
  <sheetViews>
    <sheetView topLeftCell="A58" workbookViewId="0">
      <selection activeCell="C75" sqref="C75:J76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9.109375" style="25"/>
    <col min="13" max="13" width="15.66406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2569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34</v>
      </c>
      <c r="O4" s="354">
        <f>V52</f>
        <v>26</v>
      </c>
      <c r="P4" s="354">
        <f>W52</f>
        <v>8</v>
      </c>
      <c r="Q4" s="355">
        <f>N4-O4-P4</f>
        <v>0</v>
      </c>
      <c r="R4" s="314">
        <f>O4/N4</f>
        <v>0.76470588235294112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43346</v>
      </c>
      <c r="D6" s="158" t="s">
        <v>9</v>
      </c>
      <c r="E6" s="158" t="s">
        <v>78</v>
      </c>
      <c r="F6" s="204">
        <v>1383</v>
      </c>
      <c r="G6" s="230">
        <v>1388</v>
      </c>
      <c r="H6" s="158">
        <v>5</v>
      </c>
      <c r="I6" s="204">
        <f>300000/F6</f>
        <v>216.91973969631238</v>
      </c>
      <c r="J6" s="241">
        <f>H6*I6</f>
        <v>1084.5986984815618</v>
      </c>
      <c r="K6" s="153"/>
      <c r="M6" s="389" t="s">
        <v>450</v>
      </c>
      <c r="N6" s="343">
        <f>COUNT(C60:C82)</f>
        <v>17</v>
      </c>
      <c r="O6" s="345">
        <f>V83</f>
        <v>9</v>
      </c>
      <c r="P6" s="345">
        <f>W83</f>
        <v>8</v>
      </c>
      <c r="Q6" s="347">
        <f>N6-O6-P6</f>
        <v>0</v>
      </c>
      <c r="R6" s="340">
        <f t="shared" ref="R6" si="0">O6/N6</f>
        <v>0.52941176470588236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43254</v>
      </c>
      <c r="D7" s="161" t="s">
        <v>8</v>
      </c>
      <c r="E7" s="161" t="s">
        <v>139</v>
      </c>
      <c r="F7" s="207">
        <v>343</v>
      </c>
      <c r="G7" s="207">
        <v>338</v>
      </c>
      <c r="H7" s="234">
        <v>5</v>
      </c>
      <c r="I7" s="207">
        <f t="shared" ref="I7:I8" si="1">300000/F7</f>
        <v>874.63556851311955</v>
      </c>
      <c r="J7" s="242">
        <f t="shared" ref="J7:J8" si="2">H7*I7</f>
        <v>4373.1778425655975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43256</v>
      </c>
      <c r="D8" s="161" t="s">
        <v>9</v>
      </c>
      <c r="E8" s="161" t="s">
        <v>173</v>
      </c>
      <c r="F8" s="207">
        <v>1322</v>
      </c>
      <c r="G8" s="222">
        <v>1212</v>
      </c>
      <c r="H8" s="222">
        <v>-10</v>
      </c>
      <c r="I8" s="207">
        <f t="shared" si="1"/>
        <v>226.928895612708</v>
      </c>
      <c r="J8" s="242">
        <f t="shared" si="2"/>
        <v>-2269.2889561270799</v>
      </c>
      <c r="K8" s="153"/>
      <c r="M8" s="389" t="s">
        <v>451</v>
      </c>
      <c r="N8" s="343">
        <f>COUNT(C91:C113)</f>
        <v>17</v>
      </c>
      <c r="O8" s="345">
        <f>V114</f>
        <v>13</v>
      </c>
      <c r="P8" s="345">
        <f>W114</f>
        <v>4</v>
      </c>
      <c r="Q8" s="347">
        <f>N8-O8-P8</f>
        <v>0</v>
      </c>
      <c r="R8" s="340">
        <f t="shared" ref="R8" si="6">O8/N8</f>
        <v>0.76470588235294112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43256</v>
      </c>
      <c r="D9" s="161" t="s">
        <v>9</v>
      </c>
      <c r="E9" s="161" t="s">
        <v>139</v>
      </c>
      <c r="F9" s="222">
        <v>338</v>
      </c>
      <c r="G9" s="222">
        <v>344</v>
      </c>
      <c r="H9" s="222">
        <v>6</v>
      </c>
      <c r="I9" s="207">
        <f t="shared" ref="I9:I10" si="7">300000/F9</f>
        <v>887.5739644970414</v>
      </c>
      <c r="J9" s="242">
        <f t="shared" ref="J9:J10" si="8">H9*I9</f>
        <v>5325.4437869822486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43349</v>
      </c>
      <c r="D10" s="161" t="s">
        <v>9</v>
      </c>
      <c r="E10" s="161" t="s">
        <v>139</v>
      </c>
      <c r="F10" s="222">
        <v>346</v>
      </c>
      <c r="G10" s="222">
        <v>342</v>
      </c>
      <c r="H10" s="222">
        <v>-4</v>
      </c>
      <c r="I10" s="207">
        <f t="shared" si="7"/>
        <v>867.05202312138726</v>
      </c>
      <c r="J10" s="242">
        <f t="shared" si="8"/>
        <v>-3468.2080924855491</v>
      </c>
      <c r="K10" s="153"/>
      <c r="M10" s="389" t="s">
        <v>1176</v>
      </c>
      <c r="N10" s="343">
        <f>COUNT(C122:C144)</f>
        <v>17</v>
      </c>
      <c r="O10" s="345">
        <f>V145</f>
        <v>13</v>
      </c>
      <c r="P10" s="345">
        <f>W145</f>
        <v>4</v>
      </c>
      <c r="Q10" s="347">
        <f>N10-O10-P10</f>
        <v>0</v>
      </c>
      <c r="R10" s="340">
        <f t="shared" ref="R10:R16" si="9">O10/N10</f>
        <v>0.76470588235294112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43349</v>
      </c>
      <c r="D11" s="161" t="s">
        <v>8</v>
      </c>
      <c r="E11" s="161" t="s">
        <v>395</v>
      </c>
      <c r="F11" s="222">
        <v>2600</v>
      </c>
      <c r="G11" s="222">
        <v>2560</v>
      </c>
      <c r="H11" s="255">
        <v>40</v>
      </c>
      <c r="I11" s="207">
        <f t="shared" ref="I11:I39" si="10">300000/F11</f>
        <v>115.38461538461539</v>
      </c>
      <c r="J11" s="242">
        <f t="shared" ref="J11:J39" si="11">H11*I11</f>
        <v>4615.3846153846152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43350</v>
      </c>
      <c r="D12" s="161" t="s">
        <v>9</v>
      </c>
      <c r="E12" s="161" t="s">
        <v>31</v>
      </c>
      <c r="F12" s="222">
        <v>1267</v>
      </c>
      <c r="G12" s="222">
        <v>1281</v>
      </c>
      <c r="H12" s="222">
        <v>14</v>
      </c>
      <c r="I12" s="207">
        <f t="shared" si="10"/>
        <v>236.77979479084451</v>
      </c>
      <c r="J12" s="242">
        <f t="shared" si="11"/>
        <v>3314.917127071823</v>
      </c>
      <c r="K12" s="153"/>
      <c r="M12" s="389" t="s">
        <v>41</v>
      </c>
      <c r="N12" s="343">
        <f>COUNT(C153:C175)</f>
        <v>17</v>
      </c>
      <c r="O12" s="345">
        <f>V176</f>
        <v>12</v>
      </c>
      <c r="P12" s="345">
        <f>W176</f>
        <v>5</v>
      </c>
      <c r="Q12" s="347">
        <f t="shared" ref="Q12" si="12">N12-O12-P12</f>
        <v>0</v>
      </c>
      <c r="R12" s="340">
        <f t="shared" si="9"/>
        <v>0.70588235294117652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43350</v>
      </c>
      <c r="D13" s="161" t="s">
        <v>8</v>
      </c>
      <c r="E13" s="161" t="s">
        <v>19</v>
      </c>
      <c r="F13" s="222">
        <v>293</v>
      </c>
      <c r="G13" s="222">
        <v>290.5</v>
      </c>
      <c r="H13" s="255">
        <v>2.5</v>
      </c>
      <c r="I13" s="207">
        <f t="shared" si="10"/>
        <v>1023.8907849829352</v>
      </c>
      <c r="J13" s="242">
        <f t="shared" si="11"/>
        <v>2559.7269624573382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43353</v>
      </c>
      <c r="D14" s="161" t="s">
        <v>9</v>
      </c>
      <c r="E14" s="161" t="s">
        <v>2107</v>
      </c>
      <c r="F14" s="222">
        <v>3115</v>
      </c>
      <c r="G14" s="222">
        <v>3085</v>
      </c>
      <c r="H14" s="222">
        <v>-30</v>
      </c>
      <c r="I14" s="207">
        <f t="shared" si="10"/>
        <v>96.30818619582665</v>
      </c>
      <c r="J14" s="242">
        <f t="shared" si="11"/>
        <v>-2889.2455858747994</v>
      </c>
      <c r="K14" s="153"/>
      <c r="M14" s="389" t="s">
        <v>1175</v>
      </c>
      <c r="N14" s="343">
        <f>COUNT(C184:C206)</f>
        <v>17</v>
      </c>
      <c r="O14" s="345">
        <f>V207</f>
        <v>13</v>
      </c>
      <c r="P14" s="345">
        <f>W207</f>
        <v>4</v>
      </c>
      <c r="Q14" s="347">
        <f t="shared" ref="Q14" si="13">N14-O14-P14</f>
        <v>0</v>
      </c>
      <c r="R14" s="340">
        <f t="shared" si="9"/>
        <v>0.76470588235294112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43353</v>
      </c>
      <c r="D15" s="161" t="s">
        <v>9</v>
      </c>
      <c r="E15" s="161" t="s">
        <v>95</v>
      </c>
      <c r="F15" s="222">
        <v>332</v>
      </c>
      <c r="G15" s="222">
        <v>335.5</v>
      </c>
      <c r="H15" s="222">
        <v>3.5</v>
      </c>
      <c r="I15" s="207">
        <f t="shared" si="10"/>
        <v>903.61445783132535</v>
      </c>
      <c r="J15" s="242">
        <f t="shared" si="11"/>
        <v>3162.6506024096389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43354</v>
      </c>
      <c r="D16" s="161" t="s">
        <v>9</v>
      </c>
      <c r="E16" s="161" t="s">
        <v>2563</v>
      </c>
      <c r="F16" s="222">
        <v>904</v>
      </c>
      <c r="G16" s="222">
        <v>910</v>
      </c>
      <c r="H16" s="222">
        <v>6</v>
      </c>
      <c r="I16" s="207">
        <f t="shared" si="10"/>
        <v>331.85840707964604</v>
      </c>
      <c r="J16" s="242">
        <f t="shared" si="11"/>
        <v>1991.1504424778764</v>
      </c>
      <c r="K16" s="153"/>
      <c r="L16" s="25" t="s">
        <v>2008</v>
      </c>
      <c r="M16" s="389" t="s">
        <v>1090</v>
      </c>
      <c r="N16" s="343">
        <f>COUNT(C215:C237)</f>
        <v>17</v>
      </c>
      <c r="O16" s="345">
        <f>V238</f>
        <v>12</v>
      </c>
      <c r="P16" s="345">
        <f>W238</f>
        <v>5</v>
      </c>
      <c r="Q16" s="347">
        <f t="shared" ref="Q16" si="14">N16-O16-P16</f>
        <v>0</v>
      </c>
      <c r="R16" s="340">
        <f t="shared" si="9"/>
        <v>0.70588235294117652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43354</v>
      </c>
      <c r="D17" s="161" t="s">
        <v>8</v>
      </c>
      <c r="E17" s="161" t="s">
        <v>395</v>
      </c>
      <c r="F17" s="222">
        <v>2545</v>
      </c>
      <c r="G17" s="222">
        <v>2515</v>
      </c>
      <c r="H17" s="222">
        <v>30</v>
      </c>
      <c r="I17" s="207">
        <f t="shared" si="10"/>
        <v>117.87819253438114</v>
      </c>
      <c r="J17" s="242">
        <f t="shared" si="11"/>
        <v>3536.3457760314341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43355</v>
      </c>
      <c r="D18" s="161" t="s">
        <v>9</v>
      </c>
      <c r="E18" s="161" t="s">
        <v>796</v>
      </c>
      <c r="F18" s="222">
        <v>1110</v>
      </c>
      <c r="G18" s="222">
        <v>1120</v>
      </c>
      <c r="H18" s="222">
        <v>10</v>
      </c>
      <c r="I18" s="207">
        <f t="shared" si="10"/>
        <v>270.27027027027026</v>
      </c>
      <c r="J18" s="242">
        <f t="shared" si="11"/>
        <v>2702.7027027027025</v>
      </c>
      <c r="K18" s="153"/>
      <c r="M18" s="334" t="s">
        <v>946</v>
      </c>
      <c r="N18" s="336">
        <f>SUM(N4:N17)</f>
        <v>136</v>
      </c>
      <c r="O18" s="336">
        <f t="shared" ref="O18:Q18" si="15">SUM(O4:O17)</f>
        <v>98</v>
      </c>
      <c r="P18" s="336">
        <f t="shared" si="15"/>
        <v>38</v>
      </c>
      <c r="Q18" s="338">
        <f t="shared" si="15"/>
        <v>0</v>
      </c>
      <c r="R18" s="314">
        <f t="shared" ref="R18" si="16">O18/N18</f>
        <v>0.72058823529411764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43355</v>
      </c>
      <c r="D19" s="161" t="s">
        <v>8</v>
      </c>
      <c r="E19" s="161" t="s">
        <v>19</v>
      </c>
      <c r="F19" s="222">
        <v>281</v>
      </c>
      <c r="G19" s="222">
        <v>284</v>
      </c>
      <c r="H19" s="222">
        <v>-3</v>
      </c>
      <c r="I19" s="207">
        <f t="shared" si="10"/>
        <v>1067.6156583629893</v>
      </c>
      <c r="J19" s="242">
        <f t="shared" si="11"/>
        <v>-3202.8469750889681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43357</v>
      </c>
      <c r="D20" s="161" t="s">
        <v>9</v>
      </c>
      <c r="E20" s="161" t="s">
        <v>139</v>
      </c>
      <c r="F20" s="222">
        <v>323</v>
      </c>
      <c r="G20" s="222">
        <v>328.3</v>
      </c>
      <c r="H20" s="222">
        <v>5.3</v>
      </c>
      <c r="I20" s="207">
        <f t="shared" si="10"/>
        <v>928.79256965944273</v>
      </c>
      <c r="J20" s="242">
        <f t="shared" si="11"/>
        <v>4922.6006191950464</v>
      </c>
      <c r="K20" s="153"/>
      <c r="M20" s="316" t="s">
        <v>2253</v>
      </c>
      <c r="N20" s="317"/>
      <c r="O20" s="318"/>
      <c r="P20" s="325">
        <f>R18</f>
        <v>0.72058823529411764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43357</v>
      </c>
      <c r="D21" s="161" t="s">
        <v>8</v>
      </c>
      <c r="E21" s="161" t="s">
        <v>78</v>
      </c>
      <c r="F21" s="222">
        <v>1358</v>
      </c>
      <c r="G21" s="222">
        <v>1352</v>
      </c>
      <c r="H21" s="222">
        <v>6</v>
      </c>
      <c r="I21" s="207">
        <f t="shared" si="10"/>
        <v>220.91310751104567</v>
      </c>
      <c r="J21" s="242">
        <f t="shared" si="11"/>
        <v>1325.4786450662741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43360</v>
      </c>
      <c r="D22" s="161" t="s">
        <v>9</v>
      </c>
      <c r="E22" s="161" t="s">
        <v>796</v>
      </c>
      <c r="F22" s="222">
        <v>1112</v>
      </c>
      <c r="G22" s="222">
        <v>1123</v>
      </c>
      <c r="H22" s="222">
        <v>9</v>
      </c>
      <c r="I22" s="207">
        <f t="shared" si="10"/>
        <v>269.78417266187051</v>
      </c>
      <c r="J22" s="242">
        <f t="shared" si="11"/>
        <v>2428.0575539568345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43360</v>
      </c>
      <c r="D23" s="161" t="s">
        <v>9</v>
      </c>
      <c r="E23" s="161" t="s">
        <v>192</v>
      </c>
      <c r="F23" s="222">
        <v>266.5</v>
      </c>
      <c r="G23" s="222">
        <v>270.5</v>
      </c>
      <c r="H23" s="222">
        <v>4</v>
      </c>
      <c r="I23" s="207">
        <f t="shared" si="10"/>
        <v>1125.7035647279549</v>
      </c>
      <c r="J23" s="242">
        <f t="shared" si="11"/>
        <v>4502.8142589118197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43361</v>
      </c>
      <c r="D24" s="161" t="s">
        <v>9</v>
      </c>
      <c r="E24" s="161" t="s">
        <v>796</v>
      </c>
      <c r="F24" s="222">
        <v>1124</v>
      </c>
      <c r="G24" s="222">
        <v>1134</v>
      </c>
      <c r="H24" s="222">
        <v>10</v>
      </c>
      <c r="I24" s="207">
        <f t="shared" si="10"/>
        <v>266.90391459074732</v>
      </c>
      <c r="J24" s="242">
        <f t="shared" si="11"/>
        <v>2669.0391459074731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43361</v>
      </c>
      <c r="D25" s="161" t="s">
        <v>9</v>
      </c>
      <c r="E25" s="161" t="s">
        <v>192</v>
      </c>
      <c r="F25" s="222">
        <v>256</v>
      </c>
      <c r="G25" s="222">
        <v>258</v>
      </c>
      <c r="H25" s="222">
        <v>2</v>
      </c>
      <c r="I25" s="207">
        <f t="shared" si="10"/>
        <v>1171.875</v>
      </c>
      <c r="J25" s="242">
        <f t="shared" si="11"/>
        <v>2343.75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43362</v>
      </c>
      <c r="D26" s="161" t="s">
        <v>9</v>
      </c>
      <c r="E26" s="161" t="s">
        <v>31</v>
      </c>
      <c r="F26" s="222">
        <v>1212</v>
      </c>
      <c r="G26" s="222">
        <v>1204</v>
      </c>
      <c r="H26" s="222">
        <v>8</v>
      </c>
      <c r="I26" s="207">
        <f t="shared" si="10"/>
        <v>247.52475247524754</v>
      </c>
      <c r="J26" s="242">
        <f t="shared" si="11"/>
        <v>1980.1980198019803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43362</v>
      </c>
      <c r="D27" s="161" t="s">
        <v>9</v>
      </c>
      <c r="E27" s="161" t="s">
        <v>137</v>
      </c>
      <c r="F27" s="222">
        <v>1663</v>
      </c>
      <c r="G27" s="222">
        <v>1650</v>
      </c>
      <c r="H27" s="222">
        <v>13</v>
      </c>
      <c r="I27" s="207">
        <f t="shared" si="10"/>
        <v>180.39687312086591</v>
      </c>
      <c r="J27" s="242">
        <f t="shared" si="11"/>
        <v>2345.1593505712567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43364</v>
      </c>
      <c r="D28" s="161" t="s">
        <v>9</v>
      </c>
      <c r="E28" s="161" t="s">
        <v>834</v>
      </c>
      <c r="F28" s="222">
        <v>232</v>
      </c>
      <c r="G28" s="222">
        <v>235</v>
      </c>
      <c r="H28" s="222">
        <v>3</v>
      </c>
      <c r="I28" s="207">
        <f t="shared" si="10"/>
        <v>1293.1034482758621</v>
      </c>
      <c r="J28" s="242">
        <f t="shared" si="11"/>
        <v>3879.3103448275861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43364</v>
      </c>
      <c r="D29" s="161" t="s">
        <v>8</v>
      </c>
      <c r="E29" s="161" t="s">
        <v>796</v>
      </c>
      <c r="F29" s="222">
        <v>1058</v>
      </c>
      <c r="G29" s="222">
        <v>1038</v>
      </c>
      <c r="H29" s="222">
        <v>20</v>
      </c>
      <c r="I29" s="207">
        <f t="shared" si="10"/>
        <v>283.55387523629491</v>
      </c>
      <c r="J29" s="242">
        <f t="shared" si="11"/>
        <v>5671.0775047258985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43367</v>
      </c>
      <c r="D30" s="161" t="s">
        <v>9</v>
      </c>
      <c r="E30" s="161" t="s">
        <v>834</v>
      </c>
      <c r="F30" s="222">
        <v>236</v>
      </c>
      <c r="G30" s="222">
        <v>232</v>
      </c>
      <c r="H30" s="222">
        <v>-4</v>
      </c>
      <c r="I30" s="207">
        <f t="shared" si="10"/>
        <v>1271.1864406779662</v>
      </c>
      <c r="J30" s="242">
        <f t="shared" si="11"/>
        <v>-5084.7457627118647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43367</v>
      </c>
      <c r="D31" s="161" t="s">
        <v>8</v>
      </c>
      <c r="E31" s="161" t="s">
        <v>796</v>
      </c>
      <c r="F31" s="222">
        <v>1016</v>
      </c>
      <c r="G31" s="222">
        <v>1009</v>
      </c>
      <c r="H31" s="222">
        <v>7</v>
      </c>
      <c r="I31" s="207">
        <f t="shared" si="10"/>
        <v>295.2755905511811</v>
      </c>
      <c r="J31" s="242">
        <f t="shared" si="11"/>
        <v>2066.9291338582675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43368</v>
      </c>
      <c r="D32" s="161" t="s">
        <v>9</v>
      </c>
      <c r="E32" s="161" t="s">
        <v>796</v>
      </c>
      <c r="F32" s="222">
        <v>1050</v>
      </c>
      <c r="G32" s="222">
        <v>1040</v>
      </c>
      <c r="H32" s="222">
        <v>-10</v>
      </c>
      <c r="I32" s="207">
        <f t="shared" si="10"/>
        <v>285.71428571428572</v>
      </c>
      <c r="J32" s="242">
        <f t="shared" si="11"/>
        <v>-2857.1428571428573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43368</v>
      </c>
      <c r="D33" s="161" t="s">
        <v>8</v>
      </c>
      <c r="E33" s="161" t="s">
        <v>95</v>
      </c>
      <c r="F33" s="222">
        <v>305</v>
      </c>
      <c r="G33" s="222">
        <v>301</v>
      </c>
      <c r="H33" s="222">
        <v>-4</v>
      </c>
      <c r="I33" s="207">
        <f t="shared" si="10"/>
        <v>983.60655737704917</v>
      </c>
      <c r="J33" s="242">
        <f t="shared" si="11"/>
        <v>-3934.4262295081967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43369</v>
      </c>
      <c r="D34" s="161" t="s">
        <v>9</v>
      </c>
      <c r="E34" s="161" t="s">
        <v>31</v>
      </c>
      <c r="F34" s="222">
        <v>1234</v>
      </c>
      <c r="G34" s="222">
        <v>1253.5</v>
      </c>
      <c r="H34" s="222">
        <v>19.5</v>
      </c>
      <c r="I34" s="207">
        <f t="shared" si="10"/>
        <v>243.11183144246354</v>
      </c>
      <c r="J34" s="242">
        <f t="shared" si="11"/>
        <v>4740.6807131280393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43369</v>
      </c>
      <c r="D35" s="161" t="s">
        <v>8</v>
      </c>
      <c r="E35" s="161" t="s">
        <v>46</v>
      </c>
      <c r="F35" s="222">
        <v>180</v>
      </c>
      <c r="G35" s="222">
        <v>179.1</v>
      </c>
      <c r="H35" s="222">
        <v>0.9</v>
      </c>
      <c r="I35" s="207">
        <f t="shared" si="10"/>
        <v>1666.6666666666667</v>
      </c>
      <c r="J35" s="242">
        <f t="shared" si="11"/>
        <v>1500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43370</v>
      </c>
      <c r="D36" s="161" t="s">
        <v>9</v>
      </c>
      <c r="E36" s="161" t="s">
        <v>31</v>
      </c>
      <c r="F36" s="222">
        <v>1252</v>
      </c>
      <c r="G36" s="222">
        <v>1242</v>
      </c>
      <c r="H36" s="222">
        <v>-10</v>
      </c>
      <c r="I36" s="207">
        <f t="shared" si="10"/>
        <v>239.61661341853036</v>
      </c>
      <c r="J36" s="242">
        <f t="shared" si="11"/>
        <v>-2396.1661341853037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43370</v>
      </c>
      <c r="D37" s="161" t="s">
        <v>8</v>
      </c>
      <c r="E37" s="161" t="s">
        <v>139</v>
      </c>
      <c r="F37" s="222">
        <v>211</v>
      </c>
      <c r="G37" s="222">
        <v>203</v>
      </c>
      <c r="H37" s="222">
        <v>8</v>
      </c>
      <c r="I37" s="207">
        <f t="shared" si="10"/>
        <v>1421.8009478672986</v>
      </c>
      <c r="J37" s="242">
        <f t="shared" si="11"/>
        <v>11374.407582938389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43371</v>
      </c>
      <c r="D38" s="161" t="s">
        <v>9</v>
      </c>
      <c r="E38" s="161" t="s">
        <v>31</v>
      </c>
      <c r="F38" s="222">
        <v>1264</v>
      </c>
      <c r="G38" s="222">
        <v>1269</v>
      </c>
      <c r="H38" s="222">
        <v>5</v>
      </c>
      <c r="I38" s="207">
        <f t="shared" si="10"/>
        <v>237.34177215189874</v>
      </c>
      <c r="J38" s="242">
        <f t="shared" si="11"/>
        <v>1186.7088607594937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43371</v>
      </c>
      <c r="D39" s="161" t="s">
        <v>8</v>
      </c>
      <c r="E39" s="161" t="s">
        <v>796</v>
      </c>
      <c r="F39" s="222">
        <v>1053</v>
      </c>
      <c r="G39" s="222">
        <v>1038</v>
      </c>
      <c r="H39" s="222">
        <v>15</v>
      </c>
      <c r="I39" s="207">
        <f t="shared" si="10"/>
        <v>284.90028490028487</v>
      </c>
      <c r="J39" s="242">
        <f t="shared" si="11"/>
        <v>4273.5042735042734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63773.743970592863</v>
      </c>
      <c r="K52" s="153"/>
      <c r="V52" s="25">
        <f>SUM(V6:V51)</f>
        <v>26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2569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43346</v>
      </c>
      <c r="D60" s="158" t="s">
        <v>9</v>
      </c>
      <c r="E60" s="158" t="s">
        <v>78</v>
      </c>
      <c r="F60" s="204">
        <v>1389</v>
      </c>
      <c r="G60" s="230">
        <v>1379</v>
      </c>
      <c r="H60" s="230">
        <v>-10</v>
      </c>
      <c r="I60" s="204">
        <v>750</v>
      </c>
      <c r="J60" s="241">
        <f t="shared" ref="J60:J82" si="17">I60*H60</f>
        <v>-7500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43348</v>
      </c>
      <c r="D61" s="161" t="s">
        <v>9</v>
      </c>
      <c r="E61" s="161" t="s">
        <v>78</v>
      </c>
      <c r="F61" s="207">
        <v>1363</v>
      </c>
      <c r="G61" s="222">
        <v>1353</v>
      </c>
      <c r="H61" s="222">
        <v>-10</v>
      </c>
      <c r="I61" s="207">
        <v>750</v>
      </c>
      <c r="J61" s="242">
        <f t="shared" si="17"/>
        <v>-7500</v>
      </c>
      <c r="K61" s="153"/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43349</v>
      </c>
      <c r="D62" s="161" t="s">
        <v>9</v>
      </c>
      <c r="E62" s="161" t="s">
        <v>95</v>
      </c>
      <c r="F62" s="222">
        <v>332.5</v>
      </c>
      <c r="G62" s="222">
        <v>328.5</v>
      </c>
      <c r="H62" s="222">
        <v>-4</v>
      </c>
      <c r="I62" s="207">
        <v>2750</v>
      </c>
      <c r="J62" s="242">
        <f t="shared" si="17"/>
        <v>-11000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43350</v>
      </c>
      <c r="D63" s="161" t="s">
        <v>9</v>
      </c>
      <c r="E63" s="161" t="s">
        <v>2203</v>
      </c>
      <c r="F63" s="222">
        <v>860</v>
      </c>
      <c r="G63" s="222">
        <v>864</v>
      </c>
      <c r="H63" s="222">
        <v>4</v>
      </c>
      <c r="I63" s="207">
        <v>600</v>
      </c>
      <c r="J63" s="242">
        <f t="shared" si="17"/>
        <v>2400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43353</v>
      </c>
      <c r="D64" s="161" t="s">
        <v>9</v>
      </c>
      <c r="E64" s="161" t="s">
        <v>139</v>
      </c>
      <c r="F64" s="207">
        <v>327</v>
      </c>
      <c r="G64" s="222">
        <v>323</v>
      </c>
      <c r="H64" s="222">
        <v>-4</v>
      </c>
      <c r="I64" s="207">
        <v>1750</v>
      </c>
      <c r="J64" s="242">
        <f t="shared" si="17"/>
        <v>-7000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43354</v>
      </c>
      <c r="D65" s="161" t="s">
        <v>9</v>
      </c>
      <c r="E65" s="161" t="s">
        <v>795</v>
      </c>
      <c r="F65" s="207">
        <v>1113</v>
      </c>
      <c r="G65" s="222">
        <v>1101.5</v>
      </c>
      <c r="H65" s="222">
        <v>11.5</v>
      </c>
      <c r="I65" s="207">
        <v>750</v>
      </c>
      <c r="J65" s="242">
        <f t="shared" si="17"/>
        <v>8625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43355</v>
      </c>
      <c r="D66" s="161" t="s">
        <v>8</v>
      </c>
      <c r="E66" s="161" t="s">
        <v>78</v>
      </c>
      <c r="F66" s="207">
        <v>1330</v>
      </c>
      <c r="G66" s="222">
        <v>1324.5</v>
      </c>
      <c r="H66" s="222">
        <v>5.5</v>
      </c>
      <c r="I66" s="207">
        <v>750</v>
      </c>
      <c r="J66" s="242">
        <f t="shared" si="17"/>
        <v>4125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43357</v>
      </c>
      <c r="D67" s="161" t="s">
        <v>9</v>
      </c>
      <c r="E67" s="161" t="s">
        <v>31</v>
      </c>
      <c r="F67" s="207">
        <v>1268</v>
      </c>
      <c r="G67" s="222">
        <v>1258</v>
      </c>
      <c r="H67" s="222">
        <v>-10</v>
      </c>
      <c r="I67" s="207">
        <v>1000</v>
      </c>
      <c r="J67" s="242">
        <f t="shared" si="17"/>
        <v>-10000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43360</v>
      </c>
      <c r="D68" s="161" t="s">
        <v>9</v>
      </c>
      <c r="E68" s="161" t="s">
        <v>31</v>
      </c>
      <c r="F68" s="222">
        <v>1236</v>
      </c>
      <c r="G68" s="222">
        <v>1242</v>
      </c>
      <c r="H68" s="222">
        <v>6</v>
      </c>
      <c r="I68" s="207">
        <v>1000</v>
      </c>
      <c r="J68" s="242">
        <f t="shared" si="17"/>
        <v>6000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43361</v>
      </c>
      <c r="D69" s="161" t="s">
        <v>8</v>
      </c>
      <c r="E69" s="161" t="s">
        <v>31</v>
      </c>
      <c r="F69" s="222">
        <v>1231</v>
      </c>
      <c r="G69" s="222">
        <v>1241</v>
      </c>
      <c r="H69" s="222">
        <v>-10</v>
      </c>
      <c r="I69" s="207">
        <v>1000</v>
      </c>
      <c r="J69" s="242">
        <f t="shared" si="17"/>
        <v>-10000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43362</v>
      </c>
      <c r="D70" s="161" t="s">
        <v>9</v>
      </c>
      <c r="E70" s="161" t="s">
        <v>139</v>
      </c>
      <c r="F70" s="161">
        <v>326</v>
      </c>
      <c r="G70" s="222">
        <v>322</v>
      </c>
      <c r="H70" s="222">
        <v>-4</v>
      </c>
      <c r="I70" s="207">
        <v>1750</v>
      </c>
      <c r="J70" s="242">
        <f t="shared" si="17"/>
        <v>-7000</v>
      </c>
      <c r="K70" s="153"/>
      <c r="V70" s="25">
        <f t="shared" si="18"/>
        <v>0</v>
      </c>
      <c r="W70" s="25">
        <f t="shared" si="19"/>
        <v>1</v>
      </c>
    </row>
    <row r="71" spans="1:23" x14ac:dyDescent="0.3">
      <c r="A71" s="147"/>
      <c r="B71" s="205">
        <f t="shared" si="20"/>
        <v>12</v>
      </c>
      <c r="C71" s="206">
        <v>43364</v>
      </c>
      <c r="D71" s="161" t="s">
        <v>8</v>
      </c>
      <c r="E71" s="161" t="s">
        <v>31</v>
      </c>
      <c r="F71" s="222">
        <v>1234</v>
      </c>
      <c r="G71" s="222">
        <v>1214</v>
      </c>
      <c r="H71" s="222">
        <v>20</v>
      </c>
      <c r="I71" s="207">
        <v>1000</v>
      </c>
      <c r="J71" s="242">
        <f t="shared" si="17"/>
        <v>20000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43367</v>
      </c>
      <c r="D72" s="161" t="s">
        <v>9</v>
      </c>
      <c r="E72" s="161" t="s">
        <v>29</v>
      </c>
      <c r="F72" s="222">
        <v>1104</v>
      </c>
      <c r="G72" s="222">
        <v>1109</v>
      </c>
      <c r="H72" s="222">
        <v>5</v>
      </c>
      <c r="I72" s="207">
        <v>700</v>
      </c>
      <c r="J72" s="242">
        <f t="shared" si="17"/>
        <v>3500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43368</v>
      </c>
      <c r="D73" s="161" t="s">
        <v>8</v>
      </c>
      <c r="E73" s="161" t="s">
        <v>95</v>
      </c>
      <c r="F73" s="223">
        <v>305.5</v>
      </c>
      <c r="G73" s="222">
        <v>309.5</v>
      </c>
      <c r="H73" s="255">
        <v>-4</v>
      </c>
      <c r="I73" s="207">
        <v>2750</v>
      </c>
      <c r="J73" s="242">
        <f t="shared" si="17"/>
        <v>-11000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43369</v>
      </c>
      <c r="D74" s="161" t="s">
        <v>8</v>
      </c>
      <c r="E74" s="161" t="s">
        <v>19</v>
      </c>
      <c r="F74" s="222">
        <v>267</v>
      </c>
      <c r="G74" s="222">
        <v>264</v>
      </c>
      <c r="H74" s="255">
        <v>3</v>
      </c>
      <c r="I74" s="207">
        <v>3000</v>
      </c>
      <c r="J74" s="242">
        <f t="shared" si="17"/>
        <v>9000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43370</v>
      </c>
      <c r="D75" s="161" t="s">
        <v>9</v>
      </c>
      <c r="E75" s="161" t="s">
        <v>19</v>
      </c>
      <c r="F75" s="222">
        <v>267</v>
      </c>
      <c r="G75" s="222">
        <v>268.3</v>
      </c>
      <c r="H75" s="222">
        <v>1.3</v>
      </c>
      <c r="I75" s="207">
        <v>3000</v>
      </c>
      <c r="J75" s="242">
        <f t="shared" si="17"/>
        <v>3900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43371</v>
      </c>
      <c r="D76" s="161" t="s">
        <v>9</v>
      </c>
      <c r="E76" s="161" t="s">
        <v>31</v>
      </c>
      <c r="F76" s="222">
        <v>1274</v>
      </c>
      <c r="G76" s="222">
        <v>1279</v>
      </c>
      <c r="H76" s="222">
        <v>5</v>
      </c>
      <c r="I76" s="207">
        <v>1000</v>
      </c>
      <c r="J76" s="242">
        <f t="shared" si="17"/>
        <v>5000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/>
      <c r="D77" s="161"/>
      <c r="E77" s="161"/>
      <c r="F77" s="222"/>
      <c r="G77" s="222"/>
      <c r="H77" s="222"/>
      <c r="I77" s="207"/>
      <c r="J77" s="242">
        <f t="shared" si="17"/>
        <v>0</v>
      </c>
      <c r="K77" s="153"/>
      <c r="V77" s="25">
        <f t="shared" si="18"/>
        <v>0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/>
      <c r="D78" s="161"/>
      <c r="E78" s="161"/>
      <c r="F78" s="222"/>
      <c r="G78" s="222"/>
      <c r="H78" s="222"/>
      <c r="I78" s="207"/>
      <c r="J78" s="242">
        <f t="shared" si="17"/>
        <v>0</v>
      </c>
      <c r="K78" s="153"/>
      <c r="V78" s="25">
        <f t="shared" si="18"/>
        <v>0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/>
      <c r="D79" s="161"/>
      <c r="E79" s="161"/>
      <c r="F79" s="222"/>
      <c r="G79" s="222"/>
      <c r="H79" s="222"/>
      <c r="I79" s="207"/>
      <c r="J79" s="242">
        <f t="shared" si="17"/>
        <v>0</v>
      </c>
      <c r="K79" s="153"/>
      <c r="V79" s="25">
        <f t="shared" si="18"/>
        <v>0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-8450</v>
      </c>
      <c r="K83" s="153"/>
      <c r="V83" s="25">
        <f>SUM(V60:V82)</f>
        <v>9</v>
      </c>
      <c r="W83" s="25">
        <f>SUM(W60:W82)</f>
        <v>8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2569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43346</v>
      </c>
      <c r="D91" s="185" t="s">
        <v>9</v>
      </c>
      <c r="E91" s="185" t="s">
        <v>39</v>
      </c>
      <c r="F91" s="219">
        <v>10760</v>
      </c>
      <c r="G91" s="219">
        <v>10730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43348</v>
      </c>
      <c r="D92" s="161" t="s">
        <v>8</v>
      </c>
      <c r="E92" s="161" t="s">
        <v>39</v>
      </c>
      <c r="F92" s="207">
        <v>11555</v>
      </c>
      <c r="G92" s="207">
        <v>11495</v>
      </c>
      <c r="H92" s="161">
        <v>60</v>
      </c>
      <c r="I92" s="207">
        <v>150</v>
      </c>
      <c r="J92" s="242">
        <f t="shared" si="21"/>
        <v>9000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43349</v>
      </c>
      <c r="D93" s="161" t="s">
        <v>9</v>
      </c>
      <c r="E93" s="161" t="s">
        <v>39</v>
      </c>
      <c r="F93" s="207">
        <v>11540</v>
      </c>
      <c r="G93" s="207">
        <v>11570</v>
      </c>
      <c r="H93" s="161">
        <v>30</v>
      </c>
      <c r="I93" s="207">
        <v>150</v>
      </c>
      <c r="J93" s="242">
        <f t="shared" si="21"/>
        <v>4500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43350</v>
      </c>
      <c r="D94" s="161" t="s">
        <v>9</v>
      </c>
      <c r="E94" s="161" t="s">
        <v>39</v>
      </c>
      <c r="F94" s="207">
        <v>11540</v>
      </c>
      <c r="G94" s="207">
        <v>11600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43353</v>
      </c>
      <c r="D95" s="161" t="s">
        <v>9</v>
      </c>
      <c r="E95" s="161" t="s">
        <v>39</v>
      </c>
      <c r="F95" s="207">
        <v>11540</v>
      </c>
      <c r="G95" s="207">
        <v>11510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43354</v>
      </c>
      <c r="D96" s="161" t="s">
        <v>9</v>
      </c>
      <c r="E96" s="161" t="s">
        <v>39</v>
      </c>
      <c r="F96" s="207">
        <v>11480</v>
      </c>
      <c r="G96" s="207">
        <v>11450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43355</v>
      </c>
      <c r="D97" s="161" t="s">
        <v>8</v>
      </c>
      <c r="E97" s="161" t="s">
        <v>39</v>
      </c>
      <c r="F97" s="207">
        <v>11350</v>
      </c>
      <c r="G97" s="207">
        <v>11310</v>
      </c>
      <c r="H97" s="161">
        <v>50</v>
      </c>
      <c r="I97" s="207">
        <v>150</v>
      </c>
      <c r="J97" s="242">
        <f t="shared" si="21"/>
        <v>7500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43357</v>
      </c>
      <c r="D98" s="161" t="s">
        <v>9</v>
      </c>
      <c r="E98" s="161" t="s">
        <v>39</v>
      </c>
      <c r="F98" s="207">
        <v>11480</v>
      </c>
      <c r="G98" s="207">
        <v>11540</v>
      </c>
      <c r="H98" s="161">
        <v>60</v>
      </c>
      <c r="I98" s="207">
        <v>150</v>
      </c>
      <c r="J98" s="242">
        <f t="shared" si="21"/>
        <v>9000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43360</v>
      </c>
      <c r="D99" s="161" t="s">
        <v>8</v>
      </c>
      <c r="E99" s="161" t="s">
        <v>39</v>
      </c>
      <c r="F99" s="207">
        <v>11435</v>
      </c>
      <c r="G99" s="207">
        <v>11395</v>
      </c>
      <c r="H99" s="161">
        <v>40</v>
      </c>
      <c r="I99" s="207">
        <v>150</v>
      </c>
      <c r="J99" s="242">
        <f t="shared" si="21"/>
        <v>6000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43361</v>
      </c>
      <c r="D100" s="161" t="s">
        <v>8</v>
      </c>
      <c r="E100" s="161" t="s">
        <v>39</v>
      </c>
      <c r="F100" s="207">
        <v>11410</v>
      </c>
      <c r="G100" s="207">
        <v>11350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43362</v>
      </c>
      <c r="D101" s="161" t="s">
        <v>8</v>
      </c>
      <c r="E101" s="161" t="s">
        <v>39</v>
      </c>
      <c r="F101" s="207">
        <v>11360</v>
      </c>
      <c r="G101" s="207">
        <v>11300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43364</v>
      </c>
      <c r="D102" s="161" t="s">
        <v>8</v>
      </c>
      <c r="E102" s="161" t="s">
        <v>39</v>
      </c>
      <c r="F102" s="207">
        <v>11350</v>
      </c>
      <c r="G102" s="207">
        <v>11290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43367</v>
      </c>
      <c r="D103" s="161" t="s">
        <v>8</v>
      </c>
      <c r="E103" s="161" t="s">
        <v>39</v>
      </c>
      <c r="F103" s="207">
        <v>11110</v>
      </c>
      <c r="G103" s="207">
        <v>11050</v>
      </c>
      <c r="H103" s="161">
        <v>60</v>
      </c>
      <c r="I103" s="207">
        <v>150</v>
      </c>
      <c r="J103" s="242">
        <f t="shared" si="21"/>
        <v>9000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43368</v>
      </c>
      <c r="D104" s="161" t="s">
        <v>8</v>
      </c>
      <c r="E104" s="161" t="s">
        <v>39</v>
      </c>
      <c r="F104" s="207">
        <v>10950</v>
      </c>
      <c r="G104" s="207">
        <v>10980</v>
      </c>
      <c r="H104" s="161">
        <v>-30</v>
      </c>
      <c r="I104" s="207">
        <v>150</v>
      </c>
      <c r="J104" s="242">
        <f t="shared" si="21"/>
        <v>-4500</v>
      </c>
      <c r="K104" s="153"/>
      <c r="V104" s="25">
        <f t="shared" si="22"/>
        <v>0</v>
      </c>
      <c r="W104" s="25">
        <f t="shared" si="23"/>
        <v>1</v>
      </c>
    </row>
    <row r="105" spans="1:23" x14ac:dyDescent="0.3">
      <c r="A105" s="147"/>
      <c r="B105" s="205">
        <f t="shared" si="24"/>
        <v>15</v>
      </c>
      <c r="C105" s="206">
        <v>43369</v>
      </c>
      <c r="D105" s="161" t="s">
        <v>8</v>
      </c>
      <c r="E105" s="161" t="s">
        <v>39</v>
      </c>
      <c r="F105" s="207">
        <v>11040</v>
      </c>
      <c r="G105" s="207">
        <v>11010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43370</v>
      </c>
      <c r="D106" s="161" t="s">
        <v>8</v>
      </c>
      <c r="E106" s="161" t="s">
        <v>39</v>
      </c>
      <c r="F106" s="207">
        <v>11050</v>
      </c>
      <c r="G106" s="207">
        <v>10990</v>
      </c>
      <c r="H106" s="161">
        <v>60</v>
      </c>
      <c r="I106" s="207">
        <v>150</v>
      </c>
      <c r="J106" s="242">
        <f t="shared" si="21"/>
        <v>9000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43371</v>
      </c>
      <c r="D107" s="161" t="s">
        <v>8</v>
      </c>
      <c r="E107" s="161" t="s">
        <v>39</v>
      </c>
      <c r="F107" s="207">
        <v>11020</v>
      </c>
      <c r="G107" s="207">
        <v>10990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21"/>
        <v>0</v>
      </c>
      <c r="K108" s="153"/>
      <c r="V108" s="25">
        <f t="shared" si="22"/>
        <v>0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2"/>
        <v>0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81000</v>
      </c>
      <c r="K114" s="153"/>
      <c r="V114" s="25">
        <f>SUM(V91:V113)</f>
        <v>13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2569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43346</v>
      </c>
      <c r="D122" s="185" t="s">
        <v>9</v>
      </c>
      <c r="E122" s="185" t="s">
        <v>2570</v>
      </c>
      <c r="F122" s="219">
        <v>165</v>
      </c>
      <c r="G122" s="219">
        <v>145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43348</v>
      </c>
      <c r="D123" s="161" t="s">
        <v>9</v>
      </c>
      <c r="E123" s="161" t="s">
        <v>2571</v>
      </c>
      <c r="F123" s="207">
        <v>160</v>
      </c>
      <c r="G123" s="207">
        <v>200</v>
      </c>
      <c r="H123" s="161">
        <v>40</v>
      </c>
      <c r="I123" s="207">
        <v>300</v>
      </c>
      <c r="J123" s="242">
        <f t="shared" si="25"/>
        <v>12000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43349</v>
      </c>
      <c r="D124" s="161" t="s">
        <v>9</v>
      </c>
      <c r="E124" s="161" t="s">
        <v>2541</v>
      </c>
      <c r="F124" s="207">
        <v>148</v>
      </c>
      <c r="G124" s="207">
        <v>168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43350</v>
      </c>
      <c r="D125" s="161" t="s">
        <v>9</v>
      </c>
      <c r="E125" s="161" t="s">
        <v>2541</v>
      </c>
      <c r="F125" s="207">
        <v>155</v>
      </c>
      <c r="G125" s="207">
        <v>195</v>
      </c>
      <c r="H125" s="161">
        <v>40</v>
      </c>
      <c r="I125" s="207">
        <v>300</v>
      </c>
      <c r="J125" s="242">
        <f t="shared" si="25"/>
        <v>12000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43353</v>
      </c>
      <c r="D126" s="161" t="s">
        <v>9</v>
      </c>
      <c r="E126" s="161" t="s">
        <v>2541</v>
      </c>
      <c r="F126" s="207">
        <v>153</v>
      </c>
      <c r="G126" s="207">
        <v>133</v>
      </c>
      <c r="H126" s="161">
        <v>-20</v>
      </c>
      <c r="I126" s="207">
        <v>300</v>
      </c>
      <c r="J126" s="242">
        <f t="shared" si="25"/>
        <v>-6000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43354</v>
      </c>
      <c r="D127" s="161" t="s">
        <v>9</v>
      </c>
      <c r="E127" s="161" t="s">
        <v>2541</v>
      </c>
      <c r="F127" s="207">
        <v>117</v>
      </c>
      <c r="G127" s="207">
        <v>97</v>
      </c>
      <c r="H127" s="161">
        <v>-20</v>
      </c>
      <c r="I127" s="207">
        <v>300</v>
      </c>
      <c r="J127" s="242">
        <f t="shared" si="25"/>
        <v>-6000</v>
      </c>
      <c r="K127" s="153"/>
      <c r="V127" s="25">
        <f t="shared" si="26"/>
        <v>0</v>
      </c>
      <c r="W127" s="25">
        <f t="shared" si="27"/>
        <v>1</v>
      </c>
    </row>
    <row r="128" spans="1:23" x14ac:dyDescent="0.3">
      <c r="A128" s="147"/>
      <c r="B128" s="205">
        <f t="shared" si="28"/>
        <v>7</v>
      </c>
      <c r="C128" s="206">
        <v>43355</v>
      </c>
      <c r="D128" s="161" t="s">
        <v>9</v>
      </c>
      <c r="E128" s="161" t="s">
        <v>2531</v>
      </c>
      <c r="F128" s="207">
        <v>105</v>
      </c>
      <c r="G128" s="207">
        <v>125</v>
      </c>
      <c r="H128" s="161">
        <v>20</v>
      </c>
      <c r="I128" s="207">
        <v>300</v>
      </c>
      <c r="J128" s="242">
        <f t="shared" si="25"/>
        <v>6000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43357</v>
      </c>
      <c r="D129" s="161" t="s">
        <v>9</v>
      </c>
      <c r="E129" s="161" t="s">
        <v>2538</v>
      </c>
      <c r="F129" s="207">
        <v>155</v>
      </c>
      <c r="G129" s="207">
        <v>195</v>
      </c>
      <c r="H129" s="161">
        <v>40</v>
      </c>
      <c r="I129" s="207">
        <v>300</v>
      </c>
      <c r="J129" s="242">
        <f t="shared" si="25"/>
        <v>12000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43360</v>
      </c>
      <c r="D130" s="161" t="s">
        <v>9</v>
      </c>
      <c r="E130" s="161" t="s">
        <v>2545</v>
      </c>
      <c r="F130" s="207">
        <v>135</v>
      </c>
      <c r="G130" s="207">
        <v>155</v>
      </c>
      <c r="H130" s="161">
        <v>20</v>
      </c>
      <c r="I130" s="207">
        <v>300</v>
      </c>
      <c r="J130" s="242">
        <f t="shared" si="25"/>
        <v>6000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43361</v>
      </c>
      <c r="D131" s="161" t="s">
        <v>9</v>
      </c>
      <c r="E131" s="161" t="s">
        <v>2545</v>
      </c>
      <c r="F131" s="207">
        <v>150</v>
      </c>
      <c r="G131" s="207">
        <v>190</v>
      </c>
      <c r="H131" s="161">
        <v>40</v>
      </c>
      <c r="I131" s="207">
        <v>300</v>
      </c>
      <c r="J131" s="242">
        <f t="shared" si="25"/>
        <v>12000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43362</v>
      </c>
      <c r="D132" s="161" t="s">
        <v>9</v>
      </c>
      <c r="E132" s="161" t="s">
        <v>2548</v>
      </c>
      <c r="F132" s="207">
        <v>110</v>
      </c>
      <c r="G132" s="207">
        <v>150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43364</v>
      </c>
      <c r="D133" s="161" t="s">
        <v>9</v>
      </c>
      <c r="E133" s="161" t="s">
        <v>2545</v>
      </c>
      <c r="F133" s="207">
        <v>165</v>
      </c>
      <c r="G133" s="207">
        <v>205</v>
      </c>
      <c r="H133" s="161">
        <v>40</v>
      </c>
      <c r="I133" s="207">
        <v>300</v>
      </c>
      <c r="J133" s="242">
        <f t="shared" si="25"/>
        <v>12000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43367</v>
      </c>
      <c r="D134" s="161" t="s">
        <v>9</v>
      </c>
      <c r="E134" s="161" t="s">
        <v>2529</v>
      </c>
      <c r="F134" s="207">
        <v>130</v>
      </c>
      <c r="G134" s="207">
        <v>170</v>
      </c>
      <c r="H134" s="161">
        <v>40</v>
      </c>
      <c r="I134" s="207">
        <v>300</v>
      </c>
      <c r="J134" s="242">
        <f t="shared" si="25"/>
        <v>12000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43368</v>
      </c>
      <c r="D135" s="161" t="s">
        <v>9</v>
      </c>
      <c r="E135" s="161" t="s">
        <v>2437</v>
      </c>
      <c r="F135" s="207">
        <v>110</v>
      </c>
      <c r="G135" s="207">
        <v>90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43369</v>
      </c>
      <c r="D136" s="161" t="s">
        <v>9</v>
      </c>
      <c r="E136" s="161" t="s">
        <v>2529</v>
      </c>
      <c r="F136" s="207">
        <v>135</v>
      </c>
      <c r="G136" s="207">
        <v>175</v>
      </c>
      <c r="H136" s="161">
        <v>40</v>
      </c>
      <c r="I136" s="207">
        <v>300</v>
      </c>
      <c r="J136" s="242">
        <f t="shared" si="25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43370</v>
      </c>
      <c r="D137" s="161" t="s">
        <v>9</v>
      </c>
      <c r="E137" s="161" t="s">
        <v>2529</v>
      </c>
      <c r="F137" s="207">
        <v>140</v>
      </c>
      <c r="G137" s="207">
        <v>180</v>
      </c>
      <c r="H137" s="161">
        <v>40</v>
      </c>
      <c r="I137" s="207">
        <v>300</v>
      </c>
      <c r="J137" s="242">
        <f t="shared" si="25"/>
        <v>12000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43371</v>
      </c>
      <c r="D138" s="161" t="s">
        <v>9</v>
      </c>
      <c r="E138" s="161" t="s">
        <v>2437</v>
      </c>
      <c r="F138" s="207">
        <v>175</v>
      </c>
      <c r="G138" s="207">
        <v>215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25"/>
        <v>0</v>
      </c>
      <c r="K139" s="153"/>
      <c r="V139" s="25">
        <f t="shared" si="26"/>
        <v>0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114000</v>
      </c>
      <c r="K145" s="153"/>
      <c r="V145" s="25">
        <f>SUM(V122:V144)</f>
        <v>13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2569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43346</v>
      </c>
      <c r="D153" s="185" t="s">
        <v>9</v>
      </c>
      <c r="E153" s="185" t="s">
        <v>301</v>
      </c>
      <c r="F153" s="219">
        <v>28200</v>
      </c>
      <c r="G153" s="219">
        <v>28100</v>
      </c>
      <c r="H153" s="185">
        <v>-100</v>
      </c>
      <c r="I153" s="219">
        <v>80</v>
      </c>
      <c r="J153" s="246">
        <f t="shared" ref="J153:J175" si="29">I153*H153</f>
        <v>-8000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43348</v>
      </c>
      <c r="D154" s="161" t="s">
        <v>8</v>
      </c>
      <c r="E154" s="161" t="s">
        <v>301</v>
      </c>
      <c r="F154" s="207">
        <v>27520</v>
      </c>
      <c r="G154" s="207">
        <v>27320</v>
      </c>
      <c r="H154" s="161">
        <v>200</v>
      </c>
      <c r="I154" s="207">
        <v>80</v>
      </c>
      <c r="J154" s="242">
        <f t="shared" si="29"/>
        <v>16000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43349</v>
      </c>
      <c r="D155" s="161" t="s">
        <v>9</v>
      </c>
      <c r="E155" s="161" t="s">
        <v>301</v>
      </c>
      <c r="F155" s="207">
        <v>27540</v>
      </c>
      <c r="G155" s="207">
        <v>27440</v>
      </c>
      <c r="H155" s="161">
        <v>-100</v>
      </c>
      <c r="I155" s="207">
        <v>80</v>
      </c>
      <c r="J155" s="242">
        <f t="shared" si="29"/>
        <v>-8000</v>
      </c>
      <c r="K155" s="153"/>
      <c r="V155" s="25">
        <f t="shared" si="30"/>
        <v>0</v>
      </c>
      <c r="W155" s="25">
        <f t="shared" si="31"/>
        <v>1</v>
      </c>
    </row>
    <row r="156" spans="1:23" x14ac:dyDescent="0.3">
      <c r="A156" s="147"/>
      <c r="B156" s="205">
        <f t="shared" si="32"/>
        <v>4</v>
      </c>
      <c r="C156" s="206">
        <v>43350</v>
      </c>
      <c r="D156" s="161" t="s">
        <v>9</v>
      </c>
      <c r="E156" s="161" t="s">
        <v>301</v>
      </c>
      <c r="F156" s="207">
        <v>27400</v>
      </c>
      <c r="G156" s="207">
        <v>27600</v>
      </c>
      <c r="H156" s="161">
        <v>200</v>
      </c>
      <c r="I156" s="207">
        <v>80</v>
      </c>
      <c r="J156" s="242">
        <f t="shared" si="29"/>
        <v>16000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43353</v>
      </c>
      <c r="D157" s="161" t="s">
        <v>9</v>
      </c>
      <c r="E157" s="161" t="s">
        <v>301</v>
      </c>
      <c r="F157" s="207">
        <v>27380</v>
      </c>
      <c r="G157" s="207">
        <v>27280</v>
      </c>
      <c r="H157" s="161">
        <v>-100</v>
      </c>
      <c r="I157" s="207">
        <v>80</v>
      </c>
      <c r="J157" s="242">
        <f t="shared" si="29"/>
        <v>-8000</v>
      </c>
      <c r="K157" s="153"/>
      <c r="V157" s="25">
        <f t="shared" si="30"/>
        <v>0</v>
      </c>
      <c r="W157" s="25">
        <f t="shared" si="31"/>
        <v>1</v>
      </c>
    </row>
    <row r="158" spans="1:23" x14ac:dyDescent="0.3">
      <c r="A158" s="147"/>
      <c r="B158" s="205">
        <f t="shared" si="32"/>
        <v>6</v>
      </c>
      <c r="C158" s="206">
        <v>43354</v>
      </c>
      <c r="D158" s="161" t="s">
        <v>9</v>
      </c>
      <c r="E158" s="161" t="s">
        <v>301</v>
      </c>
      <c r="F158" s="207">
        <v>27400</v>
      </c>
      <c r="G158" s="207">
        <v>27300</v>
      </c>
      <c r="H158" s="161">
        <v>-100</v>
      </c>
      <c r="I158" s="207">
        <v>80</v>
      </c>
      <c r="J158" s="242">
        <f t="shared" si="29"/>
        <v>-8000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43355</v>
      </c>
      <c r="D159" s="161" t="s">
        <v>8</v>
      </c>
      <c r="E159" s="161" t="s">
        <v>301</v>
      </c>
      <c r="F159" s="207">
        <v>26850</v>
      </c>
      <c r="G159" s="207">
        <v>26710</v>
      </c>
      <c r="H159" s="161">
        <v>140</v>
      </c>
      <c r="I159" s="207">
        <v>80</v>
      </c>
      <c r="J159" s="242">
        <f t="shared" si="29"/>
        <v>11200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43357</v>
      </c>
      <c r="D160" s="161" t="s">
        <v>9</v>
      </c>
      <c r="E160" s="161" t="s">
        <v>301</v>
      </c>
      <c r="F160" s="207">
        <v>27140</v>
      </c>
      <c r="G160" s="207">
        <v>27280</v>
      </c>
      <c r="H160" s="161">
        <v>140</v>
      </c>
      <c r="I160" s="207">
        <v>80</v>
      </c>
      <c r="J160" s="242">
        <f t="shared" si="29"/>
        <v>11200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43360</v>
      </c>
      <c r="D161" s="161" t="s">
        <v>8</v>
      </c>
      <c r="E161" s="161" t="s">
        <v>301</v>
      </c>
      <c r="F161" s="207">
        <v>26900</v>
      </c>
      <c r="G161" s="207">
        <v>26840</v>
      </c>
      <c r="H161" s="161">
        <v>60</v>
      </c>
      <c r="I161" s="207">
        <v>80</v>
      </c>
      <c r="J161" s="242">
        <f t="shared" si="29"/>
        <v>4800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43361</v>
      </c>
      <c r="D162" s="161" t="s">
        <v>8</v>
      </c>
      <c r="E162" s="161" t="s">
        <v>301</v>
      </c>
      <c r="F162" s="207">
        <v>26860</v>
      </c>
      <c r="G162" s="207">
        <v>26660</v>
      </c>
      <c r="H162" s="161">
        <v>200</v>
      </c>
      <c r="I162" s="207">
        <v>80</v>
      </c>
      <c r="J162" s="242">
        <f t="shared" si="29"/>
        <v>16000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43362</v>
      </c>
      <c r="D163" s="161" t="s">
        <v>8</v>
      </c>
      <c r="E163" s="161" t="s">
        <v>301</v>
      </c>
      <c r="F163" s="207">
        <v>26570</v>
      </c>
      <c r="G163" s="207">
        <v>26670</v>
      </c>
      <c r="H163" s="161">
        <v>-100</v>
      </c>
      <c r="I163" s="207">
        <v>80</v>
      </c>
      <c r="J163" s="242">
        <f t="shared" si="29"/>
        <v>-8000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43364</v>
      </c>
      <c r="D164" s="161" t="s">
        <v>8</v>
      </c>
      <c r="E164" s="161" t="s">
        <v>301</v>
      </c>
      <c r="F164" s="207">
        <v>26450</v>
      </c>
      <c r="G164" s="207">
        <v>26250</v>
      </c>
      <c r="H164" s="161">
        <v>200</v>
      </c>
      <c r="I164" s="207">
        <v>80</v>
      </c>
      <c r="J164" s="242">
        <f t="shared" si="29"/>
        <v>16000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43367</v>
      </c>
      <c r="D165" s="161" t="s">
        <v>8</v>
      </c>
      <c r="E165" s="161" t="s">
        <v>301</v>
      </c>
      <c r="F165" s="207">
        <v>25350</v>
      </c>
      <c r="G165" s="207">
        <v>25150</v>
      </c>
      <c r="H165" s="161">
        <v>200</v>
      </c>
      <c r="I165" s="207">
        <v>80</v>
      </c>
      <c r="J165" s="242">
        <f t="shared" si="29"/>
        <v>16000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43368</v>
      </c>
      <c r="D166" s="161" t="s">
        <v>8</v>
      </c>
      <c r="E166" s="161" t="s">
        <v>301</v>
      </c>
      <c r="F166" s="207">
        <v>24770</v>
      </c>
      <c r="G166" s="207">
        <v>24720</v>
      </c>
      <c r="H166" s="161">
        <v>50</v>
      </c>
      <c r="I166" s="207">
        <v>80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43369</v>
      </c>
      <c r="D167" s="161" t="s">
        <v>8</v>
      </c>
      <c r="E167" s="161" t="s">
        <v>301</v>
      </c>
      <c r="F167" s="207">
        <v>25400</v>
      </c>
      <c r="G167" s="207">
        <v>25240</v>
      </c>
      <c r="H167" s="161">
        <v>160</v>
      </c>
      <c r="I167" s="207">
        <v>80</v>
      </c>
      <c r="J167" s="242">
        <f t="shared" si="29"/>
        <v>12800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43370</v>
      </c>
      <c r="D168" s="161" t="s">
        <v>8</v>
      </c>
      <c r="E168" s="161" t="s">
        <v>301</v>
      </c>
      <c r="F168" s="207">
        <v>25250</v>
      </c>
      <c r="G168" s="207">
        <v>25050</v>
      </c>
      <c r="H168" s="161">
        <v>200</v>
      </c>
      <c r="I168" s="207">
        <v>80</v>
      </c>
      <c r="J168" s="242">
        <f t="shared" si="29"/>
        <v>16000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43371</v>
      </c>
      <c r="D169" s="161" t="s">
        <v>8</v>
      </c>
      <c r="E169" s="161" t="s">
        <v>301</v>
      </c>
      <c r="F169" s="207">
        <v>25200</v>
      </c>
      <c r="G169" s="207">
        <v>25100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29"/>
        <v>0</v>
      </c>
      <c r="K170" s="153"/>
      <c r="V170" s="25">
        <f t="shared" si="30"/>
        <v>0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29"/>
        <v>0</v>
      </c>
      <c r="K171" s="153"/>
      <c r="V171" s="25">
        <f t="shared" si="30"/>
        <v>0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108000</v>
      </c>
      <c r="K176" s="153"/>
      <c r="V176" s="25">
        <f>SUM(V153:V175)</f>
        <v>12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2569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43346</v>
      </c>
      <c r="D184" s="185" t="s">
        <v>9</v>
      </c>
      <c r="E184" s="185" t="s">
        <v>2542</v>
      </c>
      <c r="F184" s="219">
        <v>360</v>
      </c>
      <c r="G184" s="219">
        <v>300</v>
      </c>
      <c r="H184" s="185">
        <v>-60</v>
      </c>
      <c r="I184" s="219">
        <v>160</v>
      </c>
      <c r="J184" s="246">
        <f t="shared" ref="J184:J206" si="33">I184*H184</f>
        <v>-9600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43348</v>
      </c>
      <c r="D185" s="161" t="s">
        <v>9</v>
      </c>
      <c r="E185" s="161" t="s">
        <v>2534</v>
      </c>
      <c r="F185" s="207">
        <v>370</v>
      </c>
      <c r="G185" s="207">
        <v>465</v>
      </c>
      <c r="H185" s="161">
        <v>95</v>
      </c>
      <c r="I185" s="207">
        <v>160</v>
      </c>
      <c r="J185" s="242">
        <f t="shared" si="33"/>
        <v>15200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43349</v>
      </c>
      <c r="D186" s="161" t="s">
        <v>9</v>
      </c>
      <c r="E186" s="161" t="s">
        <v>2452</v>
      </c>
      <c r="F186" s="207">
        <v>360</v>
      </c>
      <c r="G186" s="207">
        <v>300</v>
      </c>
      <c r="H186" s="161">
        <v>-60</v>
      </c>
      <c r="I186" s="207">
        <v>160</v>
      </c>
      <c r="J186" s="242">
        <f t="shared" si="33"/>
        <v>-9600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43350</v>
      </c>
      <c r="D187" s="161" t="s">
        <v>9</v>
      </c>
      <c r="E187" s="161" t="s">
        <v>2448</v>
      </c>
      <c r="F187" s="207">
        <v>360</v>
      </c>
      <c r="G187" s="207">
        <v>450</v>
      </c>
      <c r="H187" s="161">
        <v>90</v>
      </c>
      <c r="I187" s="207">
        <v>160</v>
      </c>
      <c r="J187" s="242">
        <f t="shared" si="33"/>
        <v>14400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43353</v>
      </c>
      <c r="D188" s="161" t="s">
        <v>9</v>
      </c>
      <c r="E188" s="161" t="s">
        <v>2448</v>
      </c>
      <c r="F188" s="207">
        <v>330</v>
      </c>
      <c r="G188" s="207">
        <v>310</v>
      </c>
      <c r="H188" s="161">
        <v>-20</v>
      </c>
      <c r="I188" s="207">
        <v>160</v>
      </c>
      <c r="J188" s="242">
        <f t="shared" si="33"/>
        <v>-3200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43354</v>
      </c>
      <c r="D189" s="161" t="s">
        <v>9</v>
      </c>
      <c r="E189" s="161" t="s">
        <v>2448</v>
      </c>
      <c r="F189" s="207">
        <v>320</v>
      </c>
      <c r="G189" s="207">
        <v>260</v>
      </c>
      <c r="H189" s="161">
        <v>-60</v>
      </c>
      <c r="I189" s="207">
        <v>160</v>
      </c>
      <c r="J189" s="242">
        <f t="shared" si="33"/>
        <v>-9600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43355</v>
      </c>
      <c r="D190" s="161" t="s">
        <v>9</v>
      </c>
      <c r="E190" s="161" t="s">
        <v>2456</v>
      </c>
      <c r="F190" s="207">
        <v>320</v>
      </c>
      <c r="G190" s="207">
        <v>380</v>
      </c>
      <c r="H190" s="161">
        <v>60</v>
      </c>
      <c r="I190" s="207">
        <v>160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43357</v>
      </c>
      <c r="D191" s="161" t="s">
        <v>9</v>
      </c>
      <c r="E191" s="161" t="s">
        <v>2518</v>
      </c>
      <c r="F191" s="207">
        <v>300</v>
      </c>
      <c r="G191" s="207">
        <v>360</v>
      </c>
      <c r="H191" s="161">
        <v>60</v>
      </c>
      <c r="I191" s="207">
        <v>160</v>
      </c>
      <c r="J191" s="242">
        <f t="shared" si="33"/>
        <v>9600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43360</v>
      </c>
      <c r="D192" s="161" t="s">
        <v>9</v>
      </c>
      <c r="E192" s="161" t="s">
        <v>2523</v>
      </c>
      <c r="F192" s="207">
        <v>260</v>
      </c>
      <c r="G192" s="207">
        <v>290</v>
      </c>
      <c r="H192" s="161">
        <v>30</v>
      </c>
      <c r="I192" s="207">
        <v>160</v>
      </c>
      <c r="J192" s="242">
        <f t="shared" si="33"/>
        <v>4800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43361</v>
      </c>
      <c r="D193" s="161" t="s">
        <v>9</v>
      </c>
      <c r="E193" s="161" t="s">
        <v>2523</v>
      </c>
      <c r="F193" s="207">
        <v>260</v>
      </c>
      <c r="G193" s="207">
        <v>380</v>
      </c>
      <c r="H193" s="161">
        <v>120</v>
      </c>
      <c r="I193" s="207">
        <v>160</v>
      </c>
      <c r="J193" s="242">
        <f t="shared" si="33"/>
        <v>19200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43362</v>
      </c>
      <c r="D194" s="161" t="s">
        <v>9</v>
      </c>
      <c r="E194" s="161" t="s">
        <v>2509</v>
      </c>
      <c r="F194" s="207">
        <v>200</v>
      </c>
      <c r="G194" s="207">
        <v>320</v>
      </c>
      <c r="H194" s="161">
        <v>120</v>
      </c>
      <c r="I194" s="207">
        <v>160</v>
      </c>
      <c r="J194" s="242">
        <f t="shared" si="33"/>
        <v>19200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43364</v>
      </c>
      <c r="D195" s="161" t="s">
        <v>9</v>
      </c>
      <c r="E195" s="161" t="s">
        <v>2502</v>
      </c>
      <c r="F195" s="207">
        <v>220</v>
      </c>
      <c r="G195" s="207">
        <v>340</v>
      </c>
      <c r="H195" s="161">
        <v>120</v>
      </c>
      <c r="I195" s="207">
        <v>160</v>
      </c>
      <c r="J195" s="242">
        <f t="shared" si="33"/>
        <v>19200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43367</v>
      </c>
      <c r="D196" s="161" t="s">
        <v>9</v>
      </c>
      <c r="E196" s="161" t="s">
        <v>2379</v>
      </c>
      <c r="F196" s="207">
        <v>310</v>
      </c>
      <c r="G196" s="207">
        <v>430</v>
      </c>
      <c r="H196" s="161">
        <v>120</v>
      </c>
      <c r="I196" s="207">
        <v>160</v>
      </c>
      <c r="J196" s="242">
        <f t="shared" si="33"/>
        <v>19200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43368</v>
      </c>
      <c r="D197" s="161" t="s">
        <v>9</v>
      </c>
      <c r="E197" s="161" t="s">
        <v>2319</v>
      </c>
      <c r="F197" s="207">
        <v>320</v>
      </c>
      <c r="G197" s="207">
        <v>350</v>
      </c>
      <c r="H197" s="161">
        <v>30</v>
      </c>
      <c r="I197" s="207">
        <v>160</v>
      </c>
      <c r="J197" s="242">
        <f t="shared" si="33"/>
        <v>4800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43369</v>
      </c>
      <c r="D198" s="161" t="s">
        <v>9</v>
      </c>
      <c r="E198" s="161" t="s">
        <v>2374</v>
      </c>
      <c r="F198" s="207">
        <v>220</v>
      </c>
      <c r="G198" s="207">
        <v>340</v>
      </c>
      <c r="H198" s="161">
        <v>120</v>
      </c>
      <c r="I198" s="207">
        <v>160</v>
      </c>
      <c r="J198" s="242">
        <f t="shared" si="33"/>
        <v>19200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43370</v>
      </c>
      <c r="D199" s="161" t="s">
        <v>9</v>
      </c>
      <c r="E199" s="161" t="s">
        <v>2374</v>
      </c>
      <c r="F199" s="207">
        <v>200</v>
      </c>
      <c r="G199" s="207">
        <v>320</v>
      </c>
      <c r="H199" s="161">
        <v>120</v>
      </c>
      <c r="I199" s="207">
        <v>160</v>
      </c>
      <c r="J199" s="242">
        <f t="shared" si="33"/>
        <v>19200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43371</v>
      </c>
      <c r="D200" s="161" t="s">
        <v>9</v>
      </c>
      <c r="E200" s="161" t="s">
        <v>2405</v>
      </c>
      <c r="F200" s="207">
        <v>490</v>
      </c>
      <c r="G200" s="207">
        <v>550</v>
      </c>
      <c r="H200" s="161">
        <v>60</v>
      </c>
      <c r="I200" s="207">
        <v>160</v>
      </c>
      <c r="J200" s="242">
        <f t="shared" si="33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33"/>
        <v>0</v>
      </c>
      <c r="K201" s="153"/>
      <c r="V201" s="25">
        <f t="shared" si="34"/>
        <v>0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33"/>
        <v>0</v>
      </c>
      <c r="K202" s="153"/>
      <c r="V202" s="25">
        <f t="shared" si="34"/>
        <v>0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151200</v>
      </c>
      <c r="K207" s="153"/>
      <c r="V207" s="25">
        <f>SUM(V184:V206)</f>
        <v>13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2569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43346</v>
      </c>
      <c r="D215" s="185" t="s">
        <v>9</v>
      </c>
      <c r="E215" s="185" t="s">
        <v>1955</v>
      </c>
      <c r="F215" s="231">
        <v>34</v>
      </c>
      <c r="G215" s="231">
        <v>28</v>
      </c>
      <c r="H215" s="231">
        <v>-6</v>
      </c>
      <c r="I215" s="219">
        <v>750</v>
      </c>
      <c r="J215" s="246">
        <f t="shared" ref="J215:J237" si="37">I215*H215</f>
        <v>-4500</v>
      </c>
      <c r="K215" s="153"/>
      <c r="V215" s="25">
        <f>IF($J215&gt;0,1,0)</f>
        <v>0</v>
      </c>
      <c r="W215" s="25">
        <f>IF($J215&lt;0,1,0)</f>
        <v>1</v>
      </c>
    </row>
    <row r="216" spans="1:23" x14ac:dyDescent="0.3">
      <c r="A216" s="147"/>
      <c r="B216" s="205">
        <f>B215+1</f>
        <v>2</v>
      </c>
      <c r="C216" s="206">
        <v>43348</v>
      </c>
      <c r="D216" s="161" t="s">
        <v>9</v>
      </c>
      <c r="E216" s="161" t="s">
        <v>2306</v>
      </c>
      <c r="F216" s="222">
        <v>9</v>
      </c>
      <c r="G216" s="222">
        <v>10.1</v>
      </c>
      <c r="H216" s="255">
        <v>1.1000000000000001</v>
      </c>
      <c r="I216" s="207">
        <v>3000</v>
      </c>
      <c r="J216" s="242">
        <f>I216*H216</f>
        <v>3300.0000000000005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43349</v>
      </c>
      <c r="D217" s="161" t="s">
        <v>9</v>
      </c>
      <c r="E217" s="161" t="s">
        <v>2572</v>
      </c>
      <c r="F217" s="222">
        <v>33</v>
      </c>
      <c r="G217" s="222">
        <v>43</v>
      </c>
      <c r="H217" s="222">
        <v>10</v>
      </c>
      <c r="I217" s="207">
        <v>1000</v>
      </c>
      <c r="J217" s="242">
        <f t="shared" si="37"/>
        <v>10000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43350</v>
      </c>
      <c r="D218" s="161" t="s">
        <v>9</v>
      </c>
      <c r="E218" s="161" t="s">
        <v>2573</v>
      </c>
      <c r="F218" s="222">
        <v>30</v>
      </c>
      <c r="G218" s="222">
        <v>33.200000000000003</v>
      </c>
      <c r="H218" s="222">
        <v>3.2</v>
      </c>
      <c r="I218" s="207">
        <v>1000</v>
      </c>
      <c r="J218" s="242">
        <f t="shared" si="37"/>
        <v>3200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43353</v>
      </c>
      <c r="D219" s="161" t="s">
        <v>9</v>
      </c>
      <c r="E219" s="161" t="s">
        <v>2574</v>
      </c>
      <c r="F219" s="222">
        <v>105</v>
      </c>
      <c r="G219" s="222">
        <v>85</v>
      </c>
      <c r="H219" s="222">
        <v>-20</v>
      </c>
      <c r="I219" s="207">
        <v>302</v>
      </c>
      <c r="J219" s="242">
        <f t="shared" si="37"/>
        <v>-6040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43354</v>
      </c>
      <c r="D220" s="161" t="s">
        <v>9</v>
      </c>
      <c r="E220" s="161" t="s">
        <v>2575</v>
      </c>
      <c r="F220" s="222">
        <v>90</v>
      </c>
      <c r="G220" s="222">
        <v>98</v>
      </c>
      <c r="H220" s="222">
        <v>8</v>
      </c>
      <c r="I220" s="207">
        <v>250</v>
      </c>
      <c r="J220" s="242">
        <f t="shared" si="37"/>
        <v>2000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43355</v>
      </c>
      <c r="D221" s="161" t="s">
        <v>9</v>
      </c>
      <c r="E221" s="161" t="s">
        <v>2199</v>
      </c>
      <c r="F221" s="222">
        <v>7</v>
      </c>
      <c r="G221" s="222">
        <v>8</v>
      </c>
      <c r="H221" s="222">
        <v>1</v>
      </c>
      <c r="I221" s="207">
        <v>2750</v>
      </c>
      <c r="J221" s="242">
        <f t="shared" si="37"/>
        <v>2750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43357</v>
      </c>
      <c r="D222" s="161" t="s">
        <v>9</v>
      </c>
      <c r="E222" s="161" t="s">
        <v>2420</v>
      </c>
      <c r="F222" s="222">
        <v>14</v>
      </c>
      <c r="G222" s="222">
        <v>16.399999999999999</v>
      </c>
      <c r="H222" s="222">
        <v>2.4</v>
      </c>
      <c r="I222" s="207">
        <v>1750</v>
      </c>
      <c r="J222" s="242">
        <f t="shared" si="37"/>
        <v>4200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43360</v>
      </c>
      <c r="D223" s="161" t="s">
        <v>9</v>
      </c>
      <c r="E223" s="161" t="s">
        <v>2420</v>
      </c>
      <c r="F223" s="222">
        <v>11</v>
      </c>
      <c r="G223" s="222">
        <v>12</v>
      </c>
      <c r="H223" s="255">
        <v>1</v>
      </c>
      <c r="I223" s="207">
        <v>1750</v>
      </c>
      <c r="J223" s="242">
        <f t="shared" si="37"/>
        <v>1750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43361</v>
      </c>
      <c r="D224" s="161" t="s">
        <v>9</v>
      </c>
      <c r="E224" s="161" t="s">
        <v>2420</v>
      </c>
      <c r="F224" s="222">
        <v>12.5</v>
      </c>
      <c r="G224" s="222">
        <v>14</v>
      </c>
      <c r="H224" s="255">
        <v>1.5</v>
      </c>
      <c r="I224" s="207">
        <v>1750</v>
      </c>
      <c r="J224" s="242">
        <f t="shared" si="37"/>
        <v>2625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43362</v>
      </c>
      <c r="D225" s="161" t="s">
        <v>9</v>
      </c>
      <c r="E225" s="161" t="s">
        <v>2420</v>
      </c>
      <c r="F225" s="222">
        <v>12</v>
      </c>
      <c r="G225" s="222">
        <v>13.1</v>
      </c>
      <c r="H225" s="255">
        <v>1.1000000000000001</v>
      </c>
      <c r="I225" s="207">
        <v>1750</v>
      </c>
      <c r="J225" s="242">
        <f t="shared" si="37"/>
        <v>1925.0000000000002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43364</v>
      </c>
      <c r="D226" s="161" t="s">
        <v>9</v>
      </c>
      <c r="E226" s="161" t="s">
        <v>2576</v>
      </c>
      <c r="F226" s="222">
        <v>18</v>
      </c>
      <c r="G226" s="222">
        <v>28</v>
      </c>
      <c r="H226" s="255">
        <v>10</v>
      </c>
      <c r="I226" s="207">
        <v>1000</v>
      </c>
      <c r="J226" s="242">
        <f t="shared" si="37"/>
        <v>10000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43367</v>
      </c>
      <c r="D227" s="161" t="s">
        <v>9</v>
      </c>
      <c r="E227" s="161" t="s">
        <v>2543</v>
      </c>
      <c r="F227" s="222">
        <v>22</v>
      </c>
      <c r="G227" s="222">
        <v>16</v>
      </c>
      <c r="H227" s="255">
        <v>-6</v>
      </c>
      <c r="I227" s="207">
        <v>1000</v>
      </c>
      <c r="J227" s="242">
        <f t="shared" si="37"/>
        <v>-6000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43368</v>
      </c>
      <c r="D228" s="161" t="s">
        <v>9</v>
      </c>
      <c r="E228" s="161" t="s">
        <v>402</v>
      </c>
      <c r="F228" s="222">
        <v>33</v>
      </c>
      <c r="G228" s="222">
        <v>23</v>
      </c>
      <c r="H228" s="255">
        <v>-10</v>
      </c>
      <c r="I228" s="207">
        <v>500</v>
      </c>
      <c r="J228" s="242">
        <f>I228*H228</f>
        <v>-5000</v>
      </c>
      <c r="K228" s="153"/>
      <c r="V228" s="25">
        <f t="shared" si="39"/>
        <v>0</v>
      </c>
      <c r="W228" s="25">
        <f t="shared" si="40"/>
        <v>1</v>
      </c>
    </row>
    <row r="229" spans="1:23" x14ac:dyDescent="0.3">
      <c r="A229" s="147"/>
      <c r="B229" s="205">
        <f t="shared" si="38"/>
        <v>15</v>
      </c>
      <c r="C229" s="206">
        <v>43369</v>
      </c>
      <c r="D229" s="161" t="s">
        <v>9</v>
      </c>
      <c r="E229" s="161" t="s">
        <v>2007</v>
      </c>
      <c r="F229" s="222">
        <v>4.5</v>
      </c>
      <c r="G229" s="222">
        <v>7</v>
      </c>
      <c r="H229" s="255">
        <v>2.5</v>
      </c>
      <c r="I229" s="207">
        <v>3000</v>
      </c>
      <c r="J229" s="242">
        <f t="shared" si="37"/>
        <v>7500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43370</v>
      </c>
      <c r="D230" s="161" t="s">
        <v>9</v>
      </c>
      <c r="E230" s="161" t="s">
        <v>2577</v>
      </c>
      <c r="F230" s="222">
        <v>20</v>
      </c>
      <c r="G230" s="222">
        <v>28</v>
      </c>
      <c r="H230" s="222">
        <v>-8</v>
      </c>
      <c r="I230" s="207">
        <v>300</v>
      </c>
      <c r="J230" s="242">
        <f t="shared" si="37"/>
        <v>-2400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>
        <v>43371</v>
      </c>
      <c r="D231" s="161" t="s">
        <v>9</v>
      </c>
      <c r="E231" s="161" t="s">
        <v>2513</v>
      </c>
      <c r="F231" s="222">
        <v>12</v>
      </c>
      <c r="G231" s="222">
        <v>12.8</v>
      </c>
      <c r="H231" s="222">
        <v>0.8</v>
      </c>
      <c r="I231" s="207">
        <v>3000</v>
      </c>
      <c r="J231" s="242">
        <f t="shared" si="37"/>
        <v>2400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27710</v>
      </c>
      <c r="K238" s="153"/>
      <c r="V238" s="25">
        <f>SUM(V215:V237)</f>
        <v>12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100-000000000000}"/>
    <hyperlink ref="B83" r:id="rId2" xr:uid="{00000000-0004-0000-4100-000001000000}"/>
    <hyperlink ref="B114" r:id="rId3" xr:uid="{00000000-0004-0000-4100-000002000000}"/>
    <hyperlink ref="B145" r:id="rId4" xr:uid="{00000000-0004-0000-4100-000003000000}"/>
    <hyperlink ref="B176" r:id="rId5" xr:uid="{00000000-0004-0000-4100-000004000000}"/>
    <hyperlink ref="B207" r:id="rId6" xr:uid="{00000000-0004-0000-4100-000005000000}"/>
    <hyperlink ref="B238" r:id="rId7" xr:uid="{00000000-0004-0000-4100-000006000000}"/>
    <hyperlink ref="M1" location="'MASTER '!A1" display="Back" xr:uid="{00000000-0004-0000-4100-000007000000}"/>
    <hyperlink ref="M8:M9" location="'SEP-2018'!A108" display="NIFTY FUTURE" xr:uid="{00000000-0004-0000-4100-000008000000}"/>
    <hyperlink ref="M10:M11" location="'SEP-2018'!A139" display="NF. OPTION" xr:uid="{00000000-0004-0000-4100-000009000000}"/>
    <hyperlink ref="M12:M13" location="'SEP-2018'!A170" display="BANK NIFTY" xr:uid="{00000000-0004-0000-4100-00000A000000}"/>
    <hyperlink ref="M14:M15" location="'SEP-2018'!A201" display="B.NIFTY OPTION" xr:uid="{00000000-0004-0000-4100-00000B000000}"/>
    <hyperlink ref="M16:M17" location="'SEP-2018'!A232" display="STOCK OPTION" xr:uid="{00000000-0004-0000-4100-00000C000000}"/>
    <hyperlink ref="M6:M7" location="'SEP-2018'!A77" display="STOCK FUTURE" xr:uid="{00000000-0004-0000-4100-00000D000000}"/>
    <hyperlink ref="M4:M5" location="'SEP-2018'!A1" display="CASH" xr:uid="{00000000-0004-0000-4100-00000E000000}"/>
  </hyperlinks>
  <pageMargins left="0" right="0" top="0" bottom="0" header="0" footer="0"/>
  <pageSetup scale="95" orientation="portrait" r:id="rId8"/>
  <drawing r:id="rId9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W239"/>
  <sheetViews>
    <sheetView topLeftCell="A176" workbookViewId="0">
      <selection activeCell="J133" sqref="J133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19.44140625" style="201" customWidth="1"/>
    <col min="6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2578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32</v>
      </c>
      <c r="P4" s="354">
        <f>W52</f>
        <v>10</v>
      </c>
      <c r="Q4" s="355">
        <f>N4-O4-P4</f>
        <v>0</v>
      </c>
      <c r="R4" s="314">
        <f>O4/N4</f>
        <v>0.76190476190476186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43374</v>
      </c>
      <c r="D6" s="158" t="s">
        <v>9</v>
      </c>
      <c r="E6" s="158" t="s">
        <v>796</v>
      </c>
      <c r="F6" s="204">
        <v>1067</v>
      </c>
      <c r="G6" s="230">
        <v>1073</v>
      </c>
      <c r="H6" s="158">
        <v>6</v>
      </c>
      <c r="I6" s="204">
        <f>300000/F6</f>
        <v>281.16213683223992</v>
      </c>
      <c r="J6" s="241">
        <f>H6*I6</f>
        <v>1686.9728209934397</v>
      </c>
      <c r="K6" s="153"/>
      <c r="M6" s="389" t="s">
        <v>450</v>
      </c>
      <c r="N6" s="343">
        <f>COUNT(C60:C82)</f>
        <v>21</v>
      </c>
      <c r="O6" s="345">
        <f>V83</f>
        <v>17</v>
      </c>
      <c r="P6" s="345">
        <f>W83</f>
        <v>4</v>
      </c>
      <c r="Q6" s="347">
        <f>N6-O6-P6</f>
        <v>0</v>
      </c>
      <c r="R6" s="340">
        <f t="shared" ref="R6" si="0">O6/N6</f>
        <v>0.80952380952380953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43374</v>
      </c>
      <c r="D7" s="161" t="s">
        <v>8</v>
      </c>
      <c r="E7" s="161" t="s">
        <v>95</v>
      </c>
      <c r="F7" s="207">
        <v>302</v>
      </c>
      <c r="G7" s="207">
        <v>306</v>
      </c>
      <c r="H7" s="234">
        <v>-4</v>
      </c>
      <c r="I7" s="207">
        <f t="shared" ref="I7" si="1">300000/F7</f>
        <v>993.37748344370857</v>
      </c>
      <c r="J7" s="242">
        <f t="shared" ref="J7" si="2">H7*I7</f>
        <v>-3973.5099337748343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43376</v>
      </c>
      <c r="D8" s="161" t="s">
        <v>9</v>
      </c>
      <c r="E8" s="161" t="s">
        <v>94</v>
      </c>
      <c r="F8" s="207">
        <v>2012</v>
      </c>
      <c r="G8" s="222">
        <v>2052</v>
      </c>
      <c r="H8" s="222">
        <v>40</v>
      </c>
      <c r="I8" s="207">
        <f t="shared" ref="I8:I9" si="6">300000/F8</f>
        <v>149.10536779324056</v>
      </c>
      <c r="J8" s="242">
        <f t="shared" ref="J8:J9" si="7">H8*I8</f>
        <v>5964.2147117296226</v>
      </c>
      <c r="K8" s="153"/>
      <c r="M8" s="389" t="s">
        <v>451</v>
      </c>
      <c r="N8" s="343">
        <f>COUNT(C91:C113)</f>
        <v>21</v>
      </c>
      <c r="O8" s="345">
        <f>V114</f>
        <v>16</v>
      </c>
      <c r="P8" s="345">
        <f>W114</f>
        <v>5</v>
      </c>
      <c r="Q8" s="347">
        <f>N8-O8-P8</f>
        <v>0</v>
      </c>
      <c r="R8" s="340">
        <f t="shared" ref="R8" si="8">O8/N8</f>
        <v>0.76190476190476186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43376</v>
      </c>
      <c r="D9" s="161" t="s">
        <v>8</v>
      </c>
      <c r="E9" s="161" t="s">
        <v>31</v>
      </c>
      <c r="F9" s="222">
        <v>1225</v>
      </c>
      <c r="G9" s="222">
        <v>1205</v>
      </c>
      <c r="H9" s="222">
        <v>20</v>
      </c>
      <c r="I9" s="207">
        <f t="shared" si="6"/>
        <v>244.89795918367346</v>
      </c>
      <c r="J9" s="242">
        <f t="shared" si="7"/>
        <v>4897.9591836734689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43377</v>
      </c>
      <c r="D10" s="161" t="s">
        <v>9</v>
      </c>
      <c r="E10" s="161" t="s">
        <v>139</v>
      </c>
      <c r="F10" s="222">
        <v>216</v>
      </c>
      <c r="G10" s="222">
        <v>219.5</v>
      </c>
      <c r="H10" s="222">
        <v>3.5</v>
      </c>
      <c r="I10" s="207">
        <f t="shared" ref="I10:I47" si="9">300000/F10</f>
        <v>1388.8888888888889</v>
      </c>
      <c r="J10" s="242">
        <f t="shared" ref="J10:J47" si="10">H10*I10</f>
        <v>4861.1111111111113</v>
      </c>
      <c r="K10" s="153"/>
      <c r="M10" s="389" t="s">
        <v>1176</v>
      </c>
      <c r="N10" s="343">
        <f>COUNT(C122:C144)</f>
        <v>21</v>
      </c>
      <c r="O10" s="345">
        <f>V145</f>
        <v>14</v>
      </c>
      <c r="P10" s="345">
        <f>W145</f>
        <v>7</v>
      </c>
      <c r="Q10" s="347">
        <f>N10-O10-P10</f>
        <v>0</v>
      </c>
      <c r="R10" s="340">
        <f t="shared" ref="R10:R16" si="11">O10/N10</f>
        <v>0.66666666666666663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43377</v>
      </c>
      <c r="D11" s="161" t="s">
        <v>8</v>
      </c>
      <c r="E11" s="161" t="s">
        <v>796</v>
      </c>
      <c r="F11" s="222">
        <v>1052</v>
      </c>
      <c r="G11" s="222">
        <v>1038</v>
      </c>
      <c r="H11" s="255">
        <v>14</v>
      </c>
      <c r="I11" s="207">
        <f t="shared" si="9"/>
        <v>285.17110266159693</v>
      </c>
      <c r="J11" s="242">
        <f t="shared" si="10"/>
        <v>3992.3954372623571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43378</v>
      </c>
      <c r="D12" s="161" t="s">
        <v>9</v>
      </c>
      <c r="E12" s="161" t="s">
        <v>78</v>
      </c>
      <c r="F12" s="222">
        <v>1259</v>
      </c>
      <c r="G12" s="222">
        <v>1249</v>
      </c>
      <c r="H12" s="222">
        <v>-10</v>
      </c>
      <c r="I12" s="207">
        <f t="shared" si="9"/>
        <v>238.28435266084193</v>
      </c>
      <c r="J12" s="242">
        <f t="shared" si="10"/>
        <v>-2382.8435266084193</v>
      </c>
      <c r="K12" s="153"/>
      <c r="M12" s="389" t="s">
        <v>41</v>
      </c>
      <c r="N12" s="343">
        <f>COUNT(C153:C175)</f>
        <v>21</v>
      </c>
      <c r="O12" s="345">
        <f>V176</f>
        <v>16</v>
      </c>
      <c r="P12" s="345">
        <f>W176</f>
        <v>5</v>
      </c>
      <c r="Q12" s="347">
        <f t="shared" ref="Q12" si="12">N12-O12-P12</f>
        <v>0</v>
      </c>
      <c r="R12" s="340">
        <f t="shared" si="11"/>
        <v>0.76190476190476186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43378</v>
      </c>
      <c r="D13" s="161" t="s">
        <v>8</v>
      </c>
      <c r="E13" s="161" t="s">
        <v>31</v>
      </c>
      <c r="F13" s="222">
        <v>1086</v>
      </c>
      <c r="G13" s="222">
        <v>1096</v>
      </c>
      <c r="H13" s="255">
        <v>-10</v>
      </c>
      <c r="I13" s="207">
        <f t="shared" si="9"/>
        <v>276.24309392265195</v>
      </c>
      <c r="J13" s="242">
        <f t="shared" si="10"/>
        <v>-2762.4309392265195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43381</v>
      </c>
      <c r="D14" s="161" t="s">
        <v>9</v>
      </c>
      <c r="E14" s="161" t="s">
        <v>796</v>
      </c>
      <c r="F14" s="222">
        <v>1055</v>
      </c>
      <c r="G14" s="222">
        <v>1075</v>
      </c>
      <c r="H14" s="222">
        <v>20</v>
      </c>
      <c r="I14" s="207">
        <f t="shared" si="9"/>
        <v>284.36018957345971</v>
      </c>
      <c r="J14" s="242">
        <f t="shared" si="10"/>
        <v>5687.2037914691937</v>
      </c>
      <c r="K14" s="153"/>
      <c r="M14" s="389" t="s">
        <v>1175</v>
      </c>
      <c r="N14" s="343">
        <f>COUNT(C184:C206)</f>
        <v>21</v>
      </c>
      <c r="O14" s="345">
        <f>V207</f>
        <v>15</v>
      </c>
      <c r="P14" s="345">
        <f>W207</f>
        <v>6</v>
      </c>
      <c r="Q14" s="347">
        <f t="shared" ref="Q14" si="13">N14-O14-P14</f>
        <v>0</v>
      </c>
      <c r="R14" s="340">
        <f t="shared" si="11"/>
        <v>0.7142857142857143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43381</v>
      </c>
      <c r="D15" s="161" t="s">
        <v>8</v>
      </c>
      <c r="E15" s="161" t="s">
        <v>395</v>
      </c>
      <c r="F15" s="222">
        <v>2365</v>
      </c>
      <c r="G15" s="222">
        <v>2385</v>
      </c>
      <c r="H15" s="222">
        <v>-20</v>
      </c>
      <c r="I15" s="207">
        <f t="shared" si="9"/>
        <v>126.84989429175475</v>
      </c>
      <c r="J15" s="242">
        <f t="shared" si="10"/>
        <v>-2536.9978858350951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43382</v>
      </c>
      <c r="D16" s="161" t="s">
        <v>9</v>
      </c>
      <c r="E16" s="161" t="s">
        <v>834</v>
      </c>
      <c r="F16" s="222">
        <v>209</v>
      </c>
      <c r="G16" s="222">
        <v>214.8</v>
      </c>
      <c r="H16" s="222">
        <v>5.8</v>
      </c>
      <c r="I16" s="207">
        <f t="shared" si="9"/>
        <v>1435.4066985645934</v>
      </c>
      <c r="J16" s="242">
        <f t="shared" si="10"/>
        <v>8325.3588516746422</v>
      </c>
      <c r="K16" s="153"/>
      <c r="L16" s="25" t="s">
        <v>2008</v>
      </c>
      <c r="M16" s="389" t="s">
        <v>1090</v>
      </c>
      <c r="N16" s="343">
        <f>COUNT(C215:C237)</f>
        <v>21</v>
      </c>
      <c r="O16" s="345">
        <f>V238</f>
        <v>15</v>
      </c>
      <c r="P16" s="345">
        <f>W238</f>
        <v>6</v>
      </c>
      <c r="Q16" s="347">
        <f t="shared" ref="Q16" si="14">N16-O16-P16</f>
        <v>0</v>
      </c>
      <c r="R16" s="340">
        <f t="shared" si="11"/>
        <v>0.7142857142857143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43382</v>
      </c>
      <c r="D17" s="161" t="s">
        <v>8</v>
      </c>
      <c r="E17" s="161" t="s">
        <v>19</v>
      </c>
      <c r="F17" s="222">
        <v>265</v>
      </c>
      <c r="G17" s="222">
        <v>260.60000000000002</v>
      </c>
      <c r="H17" s="222">
        <v>4.4000000000000004</v>
      </c>
      <c r="I17" s="207">
        <f t="shared" si="9"/>
        <v>1132.0754716981132</v>
      </c>
      <c r="J17" s="242">
        <f t="shared" si="10"/>
        <v>4981.132075471699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43383</v>
      </c>
      <c r="D18" s="161" t="s">
        <v>9</v>
      </c>
      <c r="E18" s="161" t="s">
        <v>800</v>
      </c>
      <c r="F18" s="222">
        <v>1196</v>
      </c>
      <c r="G18" s="222">
        <v>1201</v>
      </c>
      <c r="H18" s="222">
        <v>5</v>
      </c>
      <c r="I18" s="207">
        <f t="shared" si="9"/>
        <v>250.83612040133778</v>
      </c>
      <c r="J18" s="242">
        <f t="shared" si="10"/>
        <v>1254.1806020066888</v>
      </c>
      <c r="K18" s="153"/>
      <c r="M18" s="334" t="s">
        <v>946</v>
      </c>
      <c r="N18" s="336">
        <f>SUM(N4:N17)</f>
        <v>168</v>
      </c>
      <c r="O18" s="336">
        <f t="shared" ref="O18:Q18" si="15">SUM(O4:O17)</f>
        <v>125</v>
      </c>
      <c r="P18" s="336">
        <f t="shared" si="15"/>
        <v>43</v>
      </c>
      <c r="Q18" s="338">
        <f t="shared" si="15"/>
        <v>0</v>
      </c>
      <c r="R18" s="314">
        <f t="shared" ref="R18" si="16">O18/N18</f>
        <v>0.74404761904761907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43383</v>
      </c>
      <c r="D19" s="161" t="s">
        <v>8</v>
      </c>
      <c r="E19" s="161" t="s">
        <v>796</v>
      </c>
      <c r="F19" s="222">
        <v>1115</v>
      </c>
      <c r="G19" s="222">
        <v>1125</v>
      </c>
      <c r="H19" s="222">
        <v>-10</v>
      </c>
      <c r="I19" s="207">
        <f t="shared" si="9"/>
        <v>269.05829596412553</v>
      </c>
      <c r="J19" s="242">
        <f t="shared" si="10"/>
        <v>-2690.5829596412555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43384</v>
      </c>
      <c r="D20" s="161" t="s">
        <v>9</v>
      </c>
      <c r="E20" s="161" t="s">
        <v>796</v>
      </c>
      <c r="F20" s="222">
        <v>1125</v>
      </c>
      <c r="G20" s="222">
        <v>1140</v>
      </c>
      <c r="H20" s="222">
        <v>15</v>
      </c>
      <c r="I20" s="207">
        <f t="shared" si="9"/>
        <v>266.66666666666669</v>
      </c>
      <c r="J20" s="242">
        <f t="shared" si="10"/>
        <v>4000.0000000000005</v>
      </c>
      <c r="K20" s="153"/>
      <c r="M20" s="316" t="s">
        <v>2253</v>
      </c>
      <c r="N20" s="317"/>
      <c r="O20" s="318"/>
      <c r="P20" s="325">
        <f>R18</f>
        <v>0.74404761904761907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43384</v>
      </c>
      <c r="D21" s="161" t="s">
        <v>8</v>
      </c>
      <c r="E21" s="161" t="s">
        <v>19</v>
      </c>
      <c r="F21" s="222">
        <v>263.5</v>
      </c>
      <c r="G21" s="222">
        <v>261.8</v>
      </c>
      <c r="H21" s="222">
        <v>1.7</v>
      </c>
      <c r="I21" s="207">
        <f t="shared" si="9"/>
        <v>1138.5199240986717</v>
      </c>
      <c r="J21" s="242">
        <f t="shared" si="10"/>
        <v>1935.483870967742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43385</v>
      </c>
      <c r="D22" s="161" t="s">
        <v>9</v>
      </c>
      <c r="E22" s="161" t="s">
        <v>796</v>
      </c>
      <c r="F22" s="222">
        <v>1120</v>
      </c>
      <c r="G22" s="222">
        <v>1134</v>
      </c>
      <c r="H22" s="222">
        <v>14</v>
      </c>
      <c r="I22" s="207">
        <f t="shared" si="9"/>
        <v>267.85714285714283</v>
      </c>
      <c r="J22" s="242">
        <f t="shared" si="10"/>
        <v>3749.9999999999995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43385</v>
      </c>
      <c r="D23" s="161" t="s">
        <v>8</v>
      </c>
      <c r="E23" s="161" t="s">
        <v>395</v>
      </c>
      <c r="F23" s="222">
        <v>2445</v>
      </c>
      <c r="G23" s="222">
        <v>2435</v>
      </c>
      <c r="H23" s="222">
        <v>10</v>
      </c>
      <c r="I23" s="207">
        <f t="shared" si="9"/>
        <v>122.69938650306749</v>
      </c>
      <c r="J23" s="242">
        <f t="shared" si="10"/>
        <v>1226.9938650306749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43388</v>
      </c>
      <c r="D24" s="161" t="s">
        <v>9</v>
      </c>
      <c r="E24" s="161" t="s">
        <v>796</v>
      </c>
      <c r="F24" s="222">
        <v>1124</v>
      </c>
      <c r="G24" s="222">
        <v>1138.5</v>
      </c>
      <c r="H24" s="222">
        <v>14.5</v>
      </c>
      <c r="I24" s="207">
        <f t="shared" si="9"/>
        <v>266.90391459074732</v>
      </c>
      <c r="J24" s="242">
        <f t="shared" si="10"/>
        <v>3870.1067615658362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43388</v>
      </c>
      <c r="D25" s="161" t="s">
        <v>8</v>
      </c>
      <c r="E25" s="161" t="s">
        <v>19</v>
      </c>
      <c r="F25" s="222">
        <v>262.5</v>
      </c>
      <c r="G25" s="222">
        <v>261.2</v>
      </c>
      <c r="H25" s="222">
        <v>1.3</v>
      </c>
      <c r="I25" s="207">
        <f t="shared" si="9"/>
        <v>1142.8571428571429</v>
      </c>
      <c r="J25" s="242">
        <f t="shared" si="10"/>
        <v>1485.7142857142858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43389</v>
      </c>
      <c r="D26" s="161" t="s">
        <v>9</v>
      </c>
      <c r="E26" s="161" t="s">
        <v>31</v>
      </c>
      <c r="F26" s="222">
        <v>1145</v>
      </c>
      <c r="G26" s="222">
        <v>1165</v>
      </c>
      <c r="H26" s="222">
        <v>20</v>
      </c>
      <c r="I26" s="207">
        <f t="shared" si="9"/>
        <v>262.00873362445412</v>
      </c>
      <c r="J26" s="242">
        <f t="shared" si="10"/>
        <v>5240.1746724890827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43389</v>
      </c>
      <c r="D27" s="161" t="s">
        <v>8</v>
      </c>
      <c r="E27" s="161" t="s">
        <v>796</v>
      </c>
      <c r="F27" s="222">
        <v>1130</v>
      </c>
      <c r="G27" s="222">
        <v>1110</v>
      </c>
      <c r="H27" s="222">
        <v>20</v>
      </c>
      <c r="I27" s="207">
        <f t="shared" si="9"/>
        <v>265.48672566371681</v>
      </c>
      <c r="J27" s="242">
        <f t="shared" si="10"/>
        <v>5309.7345132743358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43390</v>
      </c>
      <c r="D28" s="161" t="s">
        <v>9</v>
      </c>
      <c r="E28" s="161" t="s">
        <v>31</v>
      </c>
      <c r="F28" s="222">
        <v>1173</v>
      </c>
      <c r="G28" s="222">
        <v>1163</v>
      </c>
      <c r="H28" s="222">
        <v>-10</v>
      </c>
      <c r="I28" s="207">
        <f t="shared" si="9"/>
        <v>255.7544757033248</v>
      </c>
      <c r="J28" s="242">
        <f t="shared" si="10"/>
        <v>-2557.5447570332481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43390</v>
      </c>
      <c r="D29" s="161" t="s">
        <v>8</v>
      </c>
      <c r="E29" s="161" t="s">
        <v>19</v>
      </c>
      <c r="F29" s="222">
        <v>267</v>
      </c>
      <c r="G29" s="222">
        <v>261</v>
      </c>
      <c r="H29" s="222">
        <v>6</v>
      </c>
      <c r="I29" s="207">
        <f t="shared" si="9"/>
        <v>1123.5955056179776</v>
      </c>
      <c r="J29" s="242">
        <f t="shared" si="10"/>
        <v>6741.5730337078658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43392</v>
      </c>
      <c r="D30" s="161" t="s">
        <v>9</v>
      </c>
      <c r="E30" s="161" t="s">
        <v>796</v>
      </c>
      <c r="F30" s="222">
        <v>1111</v>
      </c>
      <c r="G30" s="222">
        <v>1125</v>
      </c>
      <c r="H30" s="222">
        <v>14</v>
      </c>
      <c r="I30" s="207">
        <f t="shared" si="9"/>
        <v>270.02700270027003</v>
      </c>
      <c r="J30" s="242">
        <f t="shared" si="10"/>
        <v>3780.3780378037804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43392</v>
      </c>
      <c r="D31" s="161" t="s">
        <v>8</v>
      </c>
      <c r="E31" s="161" t="s">
        <v>19</v>
      </c>
      <c r="F31" s="222">
        <v>260</v>
      </c>
      <c r="G31" s="222">
        <v>258.5</v>
      </c>
      <c r="H31" s="222">
        <v>1.5</v>
      </c>
      <c r="I31" s="207">
        <f t="shared" si="9"/>
        <v>1153.8461538461538</v>
      </c>
      <c r="J31" s="242">
        <f t="shared" si="10"/>
        <v>1730.7692307692307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43395</v>
      </c>
      <c r="D32" s="161" t="s">
        <v>9</v>
      </c>
      <c r="E32" s="161" t="s">
        <v>2023</v>
      </c>
      <c r="F32" s="222">
        <v>2205</v>
      </c>
      <c r="G32" s="222">
        <v>2185</v>
      </c>
      <c r="H32" s="222">
        <v>-20</v>
      </c>
      <c r="I32" s="207">
        <f t="shared" si="9"/>
        <v>136.05442176870747</v>
      </c>
      <c r="J32" s="242">
        <f t="shared" si="10"/>
        <v>-2721.0884353741494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43395</v>
      </c>
      <c r="D33" s="161" t="s">
        <v>8</v>
      </c>
      <c r="E33" s="161" t="s">
        <v>192</v>
      </c>
      <c r="F33" s="222">
        <v>219</v>
      </c>
      <c r="G33" s="222">
        <v>211</v>
      </c>
      <c r="H33" s="222">
        <v>8</v>
      </c>
      <c r="I33" s="207">
        <f t="shared" si="9"/>
        <v>1369.8630136986301</v>
      </c>
      <c r="J33" s="242">
        <f t="shared" si="10"/>
        <v>10958.904109589041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43396</v>
      </c>
      <c r="D34" s="161" t="s">
        <v>9</v>
      </c>
      <c r="E34" s="161" t="s">
        <v>13</v>
      </c>
      <c r="F34" s="222">
        <v>331</v>
      </c>
      <c r="G34" s="222">
        <v>326</v>
      </c>
      <c r="H34" s="222">
        <v>-5</v>
      </c>
      <c r="I34" s="207">
        <f t="shared" si="9"/>
        <v>906.34441087613288</v>
      </c>
      <c r="J34" s="242">
        <f t="shared" si="10"/>
        <v>-4531.7220543806643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43396</v>
      </c>
      <c r="D35" s="161" t="s">
        <v>8</v>
      </c>
      <c r="E35" s="161" t="s">
        <v>19</v>
      </c>
      <c r="F35" s="222">
        <v>258</v>
      </c>
      <c r="G35" s="222">
        <v>255</v>
      </c>
      <c r="H35" s="222">
        <v>3</v>
      </c>
      <c r="I35" s="207">
        <f t="shared" si="9"/>
        <v>1162.7906976744187</v>
      </c>
      <c r="J35" s="242">
        <f t="shared" si="10"/>
        <v>3488.3720930232557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43397</v>
      </c>
      <c r="D36" s="161" t="s">
        <v>9</v>
      </c>
      <c r="E36" s="161" t="s">
        <v>2589</v>
      </c>
      <c r="F36" s="222">
        <v>1503</v>
      </c>
      <c r="G36" s="222">
        <v>1522</v>
      </c>
      <c r="H36" s="222">
        <v>19</v>
      </c>
      <c r="I36" s="207">
        <f t="shared" si="9"/>
        <v>199.60079840319361</v>
      </c>
      <c r="J36" s="242">
        <f t="shared" si="10"/>
        <v>3792.4151696606787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43397</v>
      </c>
      <c r="D37" s="161" t="s">
        <v>8</v>
      </c>
      <c r="E37" s="161" t="s">
        <v>139</v>
      </c>
      <c r="F37" s="222">
        <v>214</v>
      </c>
      <c r="G37" s="222">
        <v>206</v>
      </c>
      <c r="H37" s="222">
        <v>8</v>
      </c>
      <c r="I37" s="207">
        <f t="shared" si="9"/>
        <v>1401.8691588785048</v>
      </c>
      <c r="J37" s="242">
        <f t="shared" si="10"/>
        <v>11214.953271028038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43398</v>
      </c>
      <c r="D38" s="161" t="s">
        <v>9</v>
      </c>
      <c r="E38" s="161" t="s">
        <v>2589</v>
      </c>
      <c r="F38" s="222">
        <v>1495</v>
      </c>
      <c r="G38" s="222">
        <v>1516</v>
      </c>
      <c r="H38" s="222">
        <v>21</v>
      </c>
      <c r="I38" s="207">
        <f t="shared" si="9"/>
        <v>200.66889632107024</v>
      </c>
      <c r="J38" s="242">
        <f t="shared" si="10"/>
        <v>4214.0468227424753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43398</v>
      </c>
      <c r="D39" s="161" t="s">
        <v>8</v>
      </c>
      <c r="E39" s="161" t="s">
        <v>31</v>
      </c>
      <c r="F39" s="222">
        <v>1027</v>
      </c>
      <c r="G39" s="222">
        <v>1017</v>
      </c>
      <c r="H39" s="222">
        <v>10</v>
      </c>
      <c r="I39" s="207">
        <f t="shared" si="9"/>
        <v>292.11295034079842</v>
      </c>
      <c r="J39" s="242">
        <f t="shared" si="10"/>
        <v>2921.129503407984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43399</v>
      </c>
      <c r="D40" s="161" t="s">
        <v>9</v>
      </c>
      <c r="E40" s="161" t="s">
        <v>31</v>
      </c>
      <c r="F40" s="222">
        <v>1040</v>
      </c>
      <c r="G40" s="222">
        <v>1055</v>
      </c>
      <c r="H40" s="222">
        <v>15</v>
      </c>
      <c r="I40" s="207">
        <f t="shared" si="9"/>
        <v>288.46153846153845</v>
      </c>
      <c r="J40" s="242">
        <f t="shared" si="10"/>
        <v>4326.9230769230771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43399</v>
      </c>
      <c r="D41" s="161" t="s">
        <v>8</v>
      </c>
      <c r="E41" s="161" t="s">
        <v>2589</v>
      </c>
      <c r="F41" s="222">
        <v>1475</v>
      </c>
      <c r="G41" s="223">
        <v>1445</v>
      </c>
      <c r="H41" s="222">
        <v>30</v>
      </c>
      <c r="I41" s="207">
        <f t="shared" si="9"/>
        <v>203.38983050847457</v>
      </c>
      <c r="J41" s="242">
        <f t="shared" si="10"/>
        <v>6101.6949152542375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43402</v>
      </c>
      <c r="D42" s="161" t="s">
        <v>9</v>
      </c>
      <c r="E42" s="161" t="s">
        <v>31</v>
      </c>
      <c r="F42" s="222">
        <v>1060</v>
      </c>
      <c r="G42" s="222">
        <v>1080</v>
      </c>
      <c r="H42" s="222">
        <v>20</v>
      </c>
      <c r="I42" s="207">
        <f t="shared" si="9"/>
        <v>283.01886792452831</v>
      </c>
      <c r="J42" s="242">
        <f t="shared" si="10"/>
        <v>5660.3773584905666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43402</v>
      </c>
      <c r="D43" s="161" t="s">
        <v>8</v>
      </c>
      <c r="E43" s="161" t="s">
        <v>139</v>
      </c>
      <c r="F43" s="222">
        <v>180</v>
      </c>
      <c r="G43" s="222">
        <v>176</v>
      </c>
      <c r="H43" s="222">
        <v>4</v>
      </c>
      <c r="I43" s="207">
        <f t="shared" si="9"/>
        <v>1666.6666666666667</v>
      </c>
      <c r="J43" s="242">
        <f t="shared" si="10"/>
        <v>6666.666666666667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43403</v>
      </c>
      <c r="D44" s="161" t="s">
        <v>9</v>
      </c>
      <c r="E44" s="161" t="s">
        <v>31</v>
      </c>
      <c r="F44" s="222">
        <v>1073</v>
      </c>
      <c r="G44" s="222">
        <v>1063</v>
      </c>
      <c r="H44" s="222">
        <v>-10</v>
      </c>
      <c r="I44" s="207">
        <f t="shared" si="9"/>
        <v>279.58993476234855</v>
      </c>
      <c r="J44" s="242">
        <f t="shared" si="10"/>
        <v>-2795.8993476234855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43403</v>
      </c>
      <c r="D45" s="161" t="s">
        <v>8</v>
      </c>
      <c r="E45" s="161" t="s">
        <v>2589</v>
      </c>
      <c r="F45" s="222">
        <v>1382</v>
      </c>
      <c r="G45" s="222">
        <v>1360</v>
      </c>
      <c r="H45" s="222">
        <v>22</v>
      </c>
      <c r="I45" s="207">
        <f t="shared" si="9"/>
        <v>217.07670043415339</v>
      </c>
      <c r="J45" s="242">
        <f t="shared" si="10"/>
        <v>4775.6874095513749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43404</v>
      </c>
      <c r="D46" s="161" t="s">
        <v>9</v>
      </c>
      <c r="E46" s="161" t="s">
        <v>942</v>
      </c>
      <c r="F46" s="222">
        <v>505</v>
      </c>
      <c r="G46" s="222">
        <v>512.5</v>
      </c>
      <c r="H46" s="222">
        <v>7.5</v>
      </c>
      <c r="I46" s="207">
        <f t="shared" si="9"/>
        <v>594.05940594059405</v>
      </c>
      <c r="J46" s="242">
        <f t="shared" si="10"/>
        <v>4455.4455445544554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43404</v>
      </c>
      <c r="D47" s="161" t="s">
        <v>8</v>
      </c>
      <c r="E47" s="161" t="s">
        <v>31</v>
      </c>
      <c r="F47" s="222">
        <v>1050</v>
      </c>
      <c r="G47" s="222">
        <v>1060</v>
      </c>
      <c r="H47" s="222">
        <v>-10</v>
      </c>
      <c r="I47" s="207">
        <f t="shared" si="9"/>
        <v>285.71428571428572</v>
      </c>
      <c r="J47" s="242">
        <f t="shared" si="10"/>
        <v>-2857.1428571428573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119488.31010096638</v>
      </c>
      <c r="K52" s="153"/>
      <c r="V52" s="25">
        <f>SUM(V6:V51)</f>
        <v>32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2578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43374</v>
      </c>
      <c r="D60" s="158" t="s">
        <v>8</v>
      </c>
      <c r="E60" s="158" t="s">
        <v>31</v>
      </c>
      <c r="F60" s="204">
        <v>1252</v>
      </c>
      <c r="G60" s="230">
        <v>1232</v>
      </c>
      <c r="H60" s="230">
        <v>20</v>
      </c>
      <c r="I60" s="204">
        <v>1000</v>
      </c>
      <c r="J60" s="241">
        <f t="shared" ref="J60:J82" si="17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43376</v>
      </c>
      <c r="D61" s="161" t="s">
        <v>8</v>
      </c>
      <c r="E61" s="161" t="s">
        <v>31</v>
      </c>
      <c r="F61" s="207">
        <v>1227</v>
      </c>
      <c r="G61" s="222">
        <v>1207.5</v>
      </c>
      <c r="H61" s="222">
        <v>19.5</v>
      </c>
      <c r="I61" s="207">
        <v>1000</v>
      </c>
      <c r="J61" s="242">
        <f t="shared" si="17"/>
        <v>19500</v>
      </c>
      <c r="K61" s="153"/>
      <c r="V61" s="25">
        <f t="shared" ref="V61:V82" si="18">IF($J61&gt;0,1,0)</f>
        <v>1</v>
      </c>
      <c r="W61" s="25">
        <f t="shared" ref="W61:W82" si="19">IF($J61&lt;0,1,0)</f>
        <v>0</v>
      </c>
    </row>
    <row r="62" spans="1:23" x14ac:dyDescent="0.3">
      <c r="A62" s="147"/>
      <c r="B62" s="205">
        <f t="shared" ref="B62:B82" si="20">B61+1</f>
        <v>3</v>
      </c>
      <c r="C62" s="206">
        <v>43377</v>
      </c>
      <c r="D62" s="161" t="s">
        <v>8</v>
      </c>
      <c r="E62" s="161" t="s">
        <v>31</v>
      </c>
      <c r="F62" s="222">
        <v>1140</v>
      </c>
      <c r="G62" s="222">
        <v>1120</v>
      </c>
      <c r="H62" s="222">
        <v>20</v>
      </c>
      <c r="I62" s="207">
        <v>1000</v>
      </c>
      <c r="J62" s="242">
        <f t="shared" si="17"/>
        <v>20000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43378</v>
      </c>
      <c r="D63" s="161" t="s">
        <v>8</v>
      </c>
      <c r="E63" s="161" t="s">
        <v>31</v>
      </c>
      <c r="F63" s="222">
        <v>1085</v>
      </c>
      <c r="G63" s="222">
        <v>1065</v>
      </c>
      <c r="H63" s="222">
        <v>20</v>
      </c>
      <c r="I63" s="207">
        <v>1000</v>
      </c>
      <c r="J63" s="242">
        <f t="shared" si="17"/>
        <v>20000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43381</v>
      </c>
      <c r="D64" s="161" t="s">
        <v>8</v>
      </c>
      <c r="E64" s="161" t="s">
        <v>19</v>
      </c>
      <c r="F64" s="222">
        <v>262.5</v>
      </c>
      <c r="G64" s="222">
        <v>260</v>
      </c>
      <c r="H64" s="222">
        <v>2.5</v>
      </c>
      <c r="I64" s="207">
        <v>3000</v>
      </c>
      <c r="J64" s="242">
        <f t="shared" si="17"/>
        <v>7500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43382</v>
      </c>
      <c r="D65" s="161" t="s">
        <v>8</v>
      </c>
      <c r="E65" s="161" t="s">
        <v>19</v>
      </c>
      <c r="F65" s="207">
        <v>263</v>
      </c>
      <c r="G65" s="222">
        <v>260.89999999999998</v>
      </c>
      <c r="H65" s="222">
        <v>2.1</v>
      </c>
      <c r="I65" s="207">
        <v>3000</v>
      </c>
      <c r="J65" s="242">
        <f t="shared" si="17"/>
        <v>6300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43383</v>
      </c>
      <c r="D66" s="161" t="s">
        <v>8</v>
      </c>
      <c r="E66" s="161" t="s">
        <v>31</v>
      </c>
      <c r="F66" s="207">
        <v>1100</v>
      </c>
      <c r="G66" s="222">
        <v>1095</v>
      </c>
      <c r="H66" s="222">
        <v>5</v>
      </c>
      <c r="I66" s="207">
        <v>1000</v>
      </c>
      <c r="J66" s="242">
        <f t="shared" si="17"/>
        <v>5000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43384</v>
      </c>
      <c r="D67" s="161" t="s">
        <v>8</v>
      </c>
      <c r="E67" s="161" t="s">
        <v>31</v>
      </c>
      <c r="F67" s="207">
        <v>1075</v>
      </c>
      <c r="G67" s="222">
        <v>1085</v>
      </c>
      <c r="H67" s="222">
        <v>-10</v>
      </c>
      <c r="I67" s="207">
        <v>1000</v>
      </c>
      <c r="J67" s="242">
        <f t="shared" si="17"/>
        <v>-10000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43385</v>
      </c>
      <c r="D68" s="161" t="s">
        <v>8</v>
      </c>
      <c r="E68" s="161" t="s">
        <v>19</v>
      </c>
      <c r="F68" s="222">
        <v>266</v>
      </c>
      <c r="G68" s="222">
        <v>263</v>
      </c>
      <c r="H68" s="222">
        <v>3</v>
      </c>
      <c r="I68" s="207">
        <v>3000</v>
      </c>
      <c r="J68" s="242">
        <f t="shared" si="17"/>
        <v>9000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43388</v>
      </c>
      <c r="D69" s="161" t="s">
        <v>8</v>
      </c>
      <c r="E69" s="161" t="s">
        <v>19</v>
      </c>
      <c r="F69" s="222">
        <v>262</v>
      </c>
      <c r="G69" s="222">
        <v>265</v>
      </c>
      <c r="H69" s="222">
        <v>-3</v>
      </c>
      <c r="I69" s="207">
        <v>3000</v>
      </c>
      <c r="J69" s="242">
        <f t="shared" si="17"/>
        <v>-9000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43389</v>
      </c>
      <c r="D70" s="161" t="s">
        <v>9</v>
      </c>
      <c r="E70" s="161" t="s">
        <v>31</v>
      </c>
      <c r="F70" s="161">
        <v>1152</v>
      </c>
      <c r="G70" s="222">
        <v>1162</v>
      </c>
      <c r="H70" s="222">
        <v>10</v>
      </c>
      <c r="I70" s="207">
        <v>1000</v>
      </c>
      <c r="J70" s="242">
        <f t="shared" si="17"/>
        <v>10000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43390</v>
      </c>
      <c r="D71" s="161" t="s">
        <v>9</v>
      </c>
      <c r="E71" s="161" t="s">
        <v>95</v>
      </c>
      <c r="F71" s="222">
        <v>324</v>
      </c>
      <c r="G71" s="222">
        <v>320</v>
      </c>
      <c r="H71" s="222">
        <v>-4</v>
      </c>
      <c r="I71" s="207">
        <v>2750</v>
      </c>
      <c r="J71" s="242">
        <f t="shared" si="17"/>
        <v>-11000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43392</v>
      </c>
      <c r="D72" s="161" t="s">
        <v>8</v>
      </c>
      <c r="E72" s="161" t="s">
        <v>19</v>
      </c>
      <c r="F72" s="222">
        <v>261</v>
      </c>
      <c r="G72" s="222">
        <v>259.7</v>
      </c>
      <c r="H72" s="222">
        <v>1.3</v>
      </c>
      <c r="I72" s="207">
        <v>3000</v>
      </c>
      <c r="J72" s="242">
        <f t="shared" si="17"/>
        <v>3900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43395</v>
      </c>
      <c r="D73" s="161" t="s">
        <v>8</v>
      </c>
      <c r="E73" s="161" t="s">
        <v>31</v>
      </c>
      <c r="F73" s="223">
        <v>1090</v>
      </c>
      <c r="G73" s="222">
        <v>1070</v>
      </c>
      <c r="H73" s="255">
        <v>20</v>
      </c>
      <c r="I73" s="207">
        <v>1000</v>
      </c>
      <c r="J73" s="242">
        <f t="shared" si="17"/>
        <v>20000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43396</v>
      </c>
      <c r="D74" s="161" t="s">
        <v>8</v>
      </c>
      <c r="E74" s="161" t="s">
        <v>19</v>
      </c>
      <c r="F74" s="222">
        <v>257.5</v>
      </c>
      <c r="G74" s="222">
        <v>254.5</v>
      </c>
      <c r="H74" s="255">
        <v>3</v>
      </c>
      <c r="I74" s="207">
        <v>3000</v>
      </c>
      <c r="J74" s="242">
        <f t="shared" si="17"/>
        <v>9000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43397</v>
      </c>
      <c r="D75" s="161" t="s">
        <v>8</v>
      </c>
      <c r="E75" s="161" t="s">
        <v>31</v>
      </c>
      <c r="F75" s="222">
        <v>1060</v>
      </c>
      <c r="G75" s="222">
        <v>1040</v>
      </c>
      <c r="H75" s="222">
        <v>20</v>
      </c>
      <c r="I75" s="207">
        <v>1000</v>
      </c>
      <c r="J75" s="242">
        <f t="shared" si="17"/>
        <v>20000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43398</v>
      </c>
      <c r="D76" s="161" t="s">
        <v>8</v>
      </c>
      <c r="E76" s="161" t="s">
        <v>19</v>
      </c>
      <c r="F76" s="222">
        <v>252</v>
      </c>
      <c r="G76" s="222">
        <v>249</v>
      </c>
      <c r="H76" s="222">
        <v>3</v>
      </c>
      <c r="I76" s="207">
        <v>3000</v>
      </c>
      <c r="J76" s="242">
        <f t="shared" si="17"/>
        <v>9000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43399</v>
      </c>
      <c r="D77" s="161" t="s">
        <v>8</v>
      </c>
      <c r="E77" s="161" t="s">
        <v>19</v>
      </c>
      <c r="F77" s="222">
        <v>252</v>
      </c>
      <c r="G77" s="222">
        <v>249</v>
      </c>
      <c r="H77" s="222">
        <v>3</v>
      </c>
      <c r="I77" s="207">
        <v>3000</v>
      </c>
      <c r="J77" s="242">
        <f t="shared" si="17"/>
        <v>9000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43402</v>
      </c>
      <c r="D78" s="161" t="s">
        <v>8</v>
      </c>
      <c r="E78" s="161" t="s">
        <v>552</v>
      </c>
      <c r="F78" s="222">
        <v>1395</v>
      </c>
      <c r="G78" s="222">
        <v>1381</v>
      </c>
      <c r="H78" s="222">
        <v>14</v>
      </c>
      <c r="I78" s="207">
        <v>300</v>
      </c>
      <c r="J78" s="242">
        <f t="shared" si="17"/>
        <v>4200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43403</v>
      </c>
      <c r="D79" s="161" t="s">
        <v>8</v>
      </c>
      <c r="E79" s="161" t="s">
        <v>552</v>
      </c>
      <c r="F79" s="222">
        <v>1400</v>
      </c>
      <c r="G79" s="222">
        <v>1371</v>
      </c>
      <c r="H79" s="222">
        <v>29</v>
      </c>
      <c r="I79" s="207">
        <v>300</v>
      </c>
      <c r="J79" s="242">
        <f t="shared" si="17"/>
        <v>8700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43404</v>
      </c>
      <c r="D80" s="161" t="s">
        <v>8</v>
      </c>
      <c r="E80" s="161" t="s">
        <v>19</v>
      </c>
      <c r="F80" s="222">
        <v>270</v>
      </c>
      <c r="G80" s="222">
        <v>273</v>
      </c>
      <c r="H80" s="222">
        <v>-3</v>
      </c>
      <c r="I80" s="207">
        <v>300</v>
      </c>
      <c r="J80" s="242">
        <f t="shared" si="17"/>
        <v>-900</v>
      </c>
      <c r="K80" s="153"/>
      <c r="V80" s="25">
        <f t="shared" si="18"/>
        <v>0</v>
      </c>
      <c r="W80" s="25">
        <f t="shared" si="19"/>
        <v>1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170200</v>
      </c>
      <c r="K83" s="153"/>
      <c r="V83" s="25">
        <f>SUM(V60:V82)</f>
        <v>17</v>
      </c>
      <c r="W83" s="25">
        <f>SUM(W60:W82)</f>
        <v>4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2578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43374</v>
      </c>
      <c r="D91" s="185" t="s">
        <v>8</v>
      </c>
      <c r="E91" s="185" t="s">
        <v>39</v>
      </c>
      <c r="F91" s="219">
        <v>10930</v>
      </c>
      <c r="G91" s="219">
        <v>10870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43376</v>
      </c>
      <c r="D92" s="161" t="s">
        <v>8</v>
      </c>
      <c r="E92" s="161" t="s">
        <v>39</v>
      </c>
      <c r="F92" s="207">
        <v>10970</v>
      </c>
      <c r="G92" s="207">
        <v>10940</v>
      </c>
      <c r="H92" s="161">
        <v>30</v>
      </c>
      <c r="I92" s="207">
        <v>150</v>
      </c>
      <c r="J92" s="242">
        <f t="shared" si="21"/>
        <v>4500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43377</v>
      </c>
      <c r="D93" s="161" t="s">
        <v>8</v>
      </c>
      <c r="E93" s="161" t="s">
        <v>39</v>
      </c>
      <c r="F93" s="207">
        <v>10720</v>
      </c>
      <c r="G93" s="207">
        <v>10660</v>
      </c>
      <c r="H93" s="161">
        <v>60</v>
      </c>
      <c r="I93" s="207">
        <v>150</v>
      </c>
      <c r="J93" s="242">
        <f t="shared" si="21"/>
        <v>9000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43378</v>
      </c>
      <c r="D94" s="161" t="s">
        <v>8</v>
      </c>
      <c r="E94" s="161" t="s">
        <v>39</v>
      </c>
      <c r="F94" s="207">
        <v>10520</v>
      </c>
      <c r="G94" s="207">
        <v>10460</v>
      </c>
      <c r="H94" s="161">
        <v>60</v>
      </c>
      <c r="I94" s="207">
        <v>150</v>
      </c>
      <c r="J94" s="242">
        <f t="shared" si="21"/>
        <v>9000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43381</v>
      </c>
      <c r="D95" s="161" t="s">
        <v>8</v>
      </c>
      <c r="E95" s="161" t="s">
        <v>39</v>
      </c>
      <c r="F95" s="207">
        <v>10340</v>
      </c>
      <c r="G95" s="207">
        <v>10370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43382</v>
      </c>
      <c r="D96" s="161" t="s">
        <v>8</v>
      </c>
      <c r="E96" s="161" t="s">
        <v>39</v>
      </c>
      <c r="F96" s="207">
        <v>10370</v>
      </c>
      <c r="G96" s="207">
        <v>10310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43383</v>
      </c>
      <c r="D97" s="161" t="s">
        <v>8</v>
      </c>
      <c r="E97" s="161" t="s">
        <v>39</v>
      </c>
      <c r="F97" s="207">
        <v>10410</v>
      </c>
      <c r="G97" s="207">
        <v>10440</v>
      </c>
      <c r="H97" s="161">
        <v>-30</v>
      </c>
      <c r="I97" s="207">
        <v>150</v>
      </c>
      <c r="J97" s="242">
        <f t="shared" si="21"/>
        <v>-4500</v>
      </c>
      <c r="K97" s="153"/>
      <c r="V97" s="25">
        <f t="shared" si="22"/>
        <v>0</v>
      </c>
      <c r="W97" s="25">
        <f t="shared" si="23"/>
        <v>1</v>
      </c>
    </row>
    <row r="98" spans="1:23" x14ac:dyDescent="0.3">
      <c r="A98" s="147"/>
      <c r="B98" s="205">
        <f t="shared" si="24"/>
        <v>8</v>
      </c>
      <c r="C98" s="206">
        <v>43384</v>
      </c>
      <c r="D98" s="161" t="s">
        <v>8</v>
      </c>
      <c r="E98" s="161" t="s">
        <v>39</v>
      </c>
      <c r="F98" s="207">
        <v>10220</v>
      </c>
      <c r="G98" s="207">
        <v>10280</v>
      </c>
      <c r="H98" s="161">
        <v>60</v>
      </c>
      <c r="I98" s="207">
        <v>150</v>
      </c>
      <c r="J98" s="242">
        <f t="shared" si="21"/>
        <v>9000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43385</v>
      </c>
      <c r="D99" s="161" t="s">
        <v>8</v>
      </c>
      <c r="E99" s="161" t="s">
        <v>39</v>
      </c>
      <c r="F99" s="207">
        <v>10460</v>
      </c>
      <c r="G99" s="207">
        <v>10445</v>
      </c>
      <c r="H99" s="161">
        <v>15</v>
      </c>
      <c r="I99" s="207">
        <v>150</v>
      </c>
      <c r="J99" s="242">
        <f t="shared" si="21"/>
        <v>2250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43388</v>
      </c>
      <c r="D100" s="161" t="s">
        <v>8</v>
      </c>
      <c r="E100" s="161" t="s">
        <v>39</v>
      </c>
      <c r="F100" s="207">
        <v>10440</v>
      </c>
      <c r="G100" s="207">
        <v>10410</v>
      </c>
      <c r="H100" s="161">
        <v>30</v>
      </c>
      <c r="I100" s="207">
        <v>150</v>
      </c>
      <c r="J100" s="242">
        <f t="shared" si="21"/>
        <v>4500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43389</v>
      </c>
      <c r="D101" s="161" t="s">
        <v>8</v>
      </c>
      <c r="E101" s="161" t="s">
        <v>39</v>
      </c>
      <c r="F101" s="207">
        <v>10580</v>
      </c>
      <c r="G101" s="207">
        <v>10540</v>
      </c>
      <c r="H101" s="161">
        <v>40</v>
      </c>
      <c r="I101" s="207">
        <v>150</v>
      </c>
      <c r="J101" s="242">
        <f t="shared" si="21"/>
        <v>6000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43390</v>
      </c>
      <c r="D102" s="161" t="s">
        <v>8</v>
      </c>
      <c r="E102" s="161" t="s">
        <v>39</v>
      </c>
      <c r="F102" s="207">
        <v>10640</v>
      </c>
      <c r="G102" s="207">
        <v>10580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43392</v>
      </c>
      <c r="D103" s="161" t="s">
        <v>8</v>
      </c>
      <c r="E103" s="161" t="s">
        <v>39</v>
      </c>
      <c r="F103" s="207">
        <v>10330</v>
      </c>
      <c r="G103" s="207">
        <v>10270</v>
      </c>
      <c r="H103" s="161">
        <v>60</v>
      </c>
      <c r="I103" s="207">
        <v>150</v>
      </c>
      <c r="J103" s="242">
        <f t="shared" si="21"/>
        <v>9000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43395</v>
      </c>
      <c r="D104" s="161" t="s">
        <v>8</v>
      </c>
      <c r="E104" s="161" t="s">
        <v>39</v>
      </c>
      <c r="F104" s="207">
        <v>10320</v>
      </c>
      <c r="G104" s="207">
        <v>10280</v>
      </c>
      <c r="H104" s="161">
        <v>40</v>
      </c>
      <c r="I104" s="207">
        <v>150</v>
      </c>
      <c r="J104" s="242">
        <f t="shared" si="21"/>
        <v>6000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43396</v>
      </c>
      <c r="D105" s="161" t="s">
        <v>8</v>
      </c>
      <c r="E105" s="161" t="s">
        <v>39</v>
      </c>
      <c r="F105" s="207">
        <v>10160</v>
      </c>
      <c r="G105" s="207">
        <v>10190</v>
      </c>
      <c r="H105" s="161">
        <v>-30</v>
      </c>
      <c r="I105" s="207">
        <v>150</v>
      </c>
      <c r="J105" s="242">
        <f t="shared" si="21"/>
        <v>-4500</v>
      </c>
      <c r="K105" s="153"/>
      <c r="V105" s="25">
        <f t="shared" si="22"/>
        <v>0</v>
      </c>
      <c r="W105" s="25">
        <f t="shared" si="23"/>
        <v>1</v>
      </c>
    </row>
    <row r="106" spans="1:23" x14ac:dyDescent="0.3">
      <c r="A106" s="147"/>
      <c r="B106" s="205">
        <f t="shared" si="24"/>
        <v>16</v>
      </c>
      <c r="C106" s="206">
        <v>43397</v>
      </c>
      <c r="D106" s="161" t="s">
        <v>8</v>
      </c>
      <c r="E106" s="161" t="s">
        <v>39</v>
      </c>
      <c r="F106" s="207">
        <v>10220</v>
      </c>
      <c r="G106" s="207">
        <v>10160</v>
      </c>
      <c r="H106" s="161">
        <v>60</v>
      </c>
      <c r="I106" s="207">
        <v>150</v>
      </c>
      <c r="J106" s="242">
        <f t="shared" si="21"/>
        <v>9000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43398</v>
      </c>
      <c r="D107" s="161" t="s">
        <v>8</v>
      </c>
      <c r="E107" s="161" t="s">
        <v>39</v>
      </c>
      <c r="F107" s="207">
        <v>10130</v>
      </c>
      <c r="G107" s="207">
        <v>10085</v>
      </c>
      <c r="H107" s="161">
        <v>45</v>
      </c>
      <c r="I107" s="207">
        <v>150</v>
      </c>
      <c r="J107" s="242">
        <f t="shared" si="21"/>
        <v>6750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43399</v>
      </c>
      <c r="D108" s="161" t="s">
        <v>8</v>
      </c>
      <c r="E108" s="161" t="s">
        <v>39</v>
      </c>
      <c r="F108" s="207">
        <v>10130</v>
      </c>
      <c r="G108" s="207">
        <v>10070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43402</v>
      </c>
      <c r="D109" s="161" t="s">
        <v>8</v>
      </c>
      <c r="E109" s="161" t="s">
        <v>39</v>
      </c>
      <c r="F109" s="207">
        <v>10140</v>
      </c>
      <c r="G109" s="207">
        <v>10170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2"/>
        <v>0</v>
      </c>
      <c r="W109" s="25">
        <f t="shared" si="23"/>
        <v>1</v>
      </c>
    </row>
    <row r="110" spans="1:23" x14ac:dyDescent="0.3">
      <c r="A110" s="147"/>
      <c r="B110" s="205">
        <f t="shared" si="24"/>
        <v>20</v>
      </c>
      <c r="C110" s="206">
        <v>43403</v>
      </c>
      <c r="D110" s="161" t="s">
        <v>8</v>
      </c>
      <c r="E110" s="161" t="s">
        <v>39</v>
      </c>
      <c r="F110" s="207">
        <v>10300</v>
      </c>
      <c r="G110" s="207">
        <v>10240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43404</v>
      </c>
      <c r="D111" s="161" t="s">
        <v>8</v>
      </c>
      <c r="E111" s="161" t="s">
        <v>39</v>
      </c>
      <c r="F111" s="207">
        <v>10140</v>
      </c>
      <c r="G111" s="207">
        <v>10170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97500</v>
      </c>
      <c r="K114" s="153"/>
      <c r="V114" s="25">
        <f>SUM(V91:V113)</f>
        <v>16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2579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43374</v>
      </c>
      <c r="D122" s="185" t="s">
        <v>9</v>
      </c>
      <c r="E122" s="185" t="s">
        <v>2508</v>
      </c>
      <c r="F122" s="219">
        <v>190</v>
      </c>
      <c r="G122" s="219">
        <v>220</v>
      </c>
      <c r="H122" s="185">
        <v>30</v>
      </c>
      <c r="I122" s="219">
        <v>300</v>
      </c>
      <c r="J122" s="246">
        <f t="shared" ref="J122:J144" si="25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43376</v>
      </c>
      <c r="D123" s="161" t="s">
        <v>9</v>
      </c>
      <c r="E123" s="161" t="s">
        <v>2508</v>
      </c>
      <c r="F123" s="207">
        <v>170</v>
      </c>
      <c r="G123" s="207">
        <v>185</v>
      </c>
      <c r="H123" s="161">
        <v>15</v>
      </c>
      <c r="I123" s="207">
        <v>300</v>
      </c>
      <c r="J123" s="242">
        <f t="shared" si="25"/>
        <v>4500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43377</v>
      </c>
      <c r="D124" s="161" t="s">
        <v>9</v>
      </c>
      <c r="E124" s="161" t="s">
        <v>2423</v>
      </c>
      <c r="F124" s="207">
        <v>200</v>
      </c>
      <c r="G124" s="207">
        <v>240</v>
      </c>
      <c r="H124" s="161">
        <v>40</v>
      </c>
      <c r="I124" s="207">
        <v>300</v>
      </c>
      <c r="J124" s="242">
        <f t="shared" si="25"/>
        <v>12000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43378</v>
      </c>
      <c r="D125" s="161" t="s">
        <v>9</v>
      </c>
      <c r="E125" s="161" t="s">
        <v>2373</v>
      </c>
      <c r="F125" s="207">
        <v>200</v>
      </c>
      <c r="G125" s="207">
        <v>220</v>
      </c>
      <c r="H125" s="161">
        <v>20</v>
      </c>
      <c r="I125" s="207">
        <v>300</v>
      </c>
      <c r="J125" s="242">
        <f t="shared" si="25"/>
        <v>6000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43381</v>
      </c>
      <c r="D126" s="161" t="s">
        <v>9</v>
      </c>
      <c r="E126" s="161" t="s">
        <v>2348</v>
      </c>
      <c r="F126" s="207">
        <v>175</v>
      </c>
      <c r="G126" s="207">
        <v>155</v>
      </c>
      <c r="H126" s="161">
        <v>-20</v>
      </c>
      <c r="I126" s="207">
        <v>300</v>
      </c>
      <c r="J126" s="242">
        <f t="shared" si="25"/>
        <v>-6000</v>
      </c>
      <c r="K126" s="153"/>
      <c r="M126" s="25" t="s">
        <v>2008</v>
      </c>
      <c r="V126" s="25">
        <f t="shared" si="26"/>
        <v>0</v>
      </c>
      <c r="W126" s="25">
        <f t="shared" si="27"/>
        <v>1</v>
      </c>
    </row>
    <row r="127" spans="1:23" x14ac:dyDescent="0.3">
      <c r="A127" s="147"/>
      <c r="B127" s="205">
        <f t="shared" si="28"/>
        <v>6</v>
      </c>
      <c r="C127" s="206">
        <v>43382</v>
      </c>
      <c r="D127" s="161" t="s">
        <v>9</v>
      </c>
      <c r="E127" s="161" t="s">
        <v>2348</v>
      </c>
      <c r="F127" s="207">
        <v>145</v>
      </c>
      <c r="G127" s="207">
        <v>165</v>
      </c>
      <c r="H127" s="161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43383</v>
      </c>
      <c r="D128" s="161" t="s">
        <v>9</v>
      </c>
      <c r="E128" s="161" t="s">
        <v>2376</v>
      </c>
      <c r="F128" s="207">
        <v>147</v>
      </c>
      <c r="G128" s="207">
        <v>127</v>
      </c>
      <c r="H128" s="161">
        <v>-20</v>
      </c>
      <c r="I128" s="207">
        <v>300</v>
      </c>
      <c r="J128" s="242">
        <f t="shared" si="25"/>
        <v>-6000</v>
      </c>
      <c r="K128" s="153"/>
      <c r="V128" s="25">
        <f t="shared" si="26"/>
        <v>0</v>
      </c>
      <c r="W128" s="25">
        <f t="shared" si="27"/>
        <v>1</v>
      </c>
    </row>
    <row r="129" spans="1:23" x14ac:dyDescent="0.3">
      <c r="A129" s="147"/>
      <c r="B129" s="205">
        <f t="shared" si="28"/>
        <v>8</v>
      </c>
      <c r="C129" s="206">
        <v>43384</v>
      </c>
      <c r="D129" s="161" t="s">
        <v>9</v>
      </c>
      <c r="E129" s="161" t="s">
        <v>2378</v>
      </c>
      <c r="F129" s="207">
        <v>180</v>
      </c>
      <c r="G129" s="207">
        <v>190</v>
      </c>
      <c r="H129" s="161">
        <v>10</v>
      </c>
      <c r="I129" s="207">
        <v>300</v>
      </c>
      <c r="J129" s="242">
        <f t="shared" si="25"/>
        <v>3000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43385</v>
      </c>
      <c r="D130" s="161" t="s">
        <v>9</v>
      </c>
      <c r="E130" s="161" t="s">
        <v>2373</v>
      </c>
      <c r="F130" s="207">
        <v>163</v>
      </c>
      <c r="G130" s="207">
        <v>143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43388</v>
      </c>
      <c r="D131" s="161" t="s">
        <v>9</v>
      </c>
      <c r="E131" s="161" t="s">
        <v>2373</v>
      </c>
      <c r="F131" s="207">
        <v>160</v>
      </c>
      <c r="G131" s="207">
        <v>170</v>
      </c>
      <c r="H131" s="161">
        <v>10</v>
      </c>
      <c r="I131" s="207">
        <v>300</v>
      </c>
      <c r="J131" s="242">
        <f t="shared" si="25"/>
        <v>3000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43389</v>
      </c>
      <c r="D132" s="161" t="s">
        <v>9</v>
      </c>
      <c r="E132" s="161" t="s">
        <v>2412</v>
      </c>
      <c r="F132" s="207">
        <v>128</v>
      </c>
      <c r="G132" s="207">
        <v>138</v>
      </c>
      <c r="H132" s="161">
        <v>10</v>
      </c>
      <c r="I132" s="207">
        <v>300</v>
      </c>
      <c r="J132" s="242">
        <f t="shared" si="25"/>
        <v>3000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43390</v>
      </c>
      <c r="D133" s="161" t="s">
        <v>9</v>
      </c>
      <c r="E133" s="161" t="s">
        <v>2423</v>
      </c>
      <c r="F133" s="207">
        <v>133</v>
      </c>
      <c r="G133" s="207">
        <v>173</v>
      </c>
      <c r="H133" s="161">
        <v>40</v>
      </c>
      <c r="I133" s="207">
        <v>300</v>
      </c>
      <c r="J133" s="242">
        <f t="shared" si="25"/>
        <v>12000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43392</v>
      </c>
      <c r="D134" s="161" t="s">
        <v>9</v>
      </c>
      <c r="E134" s="161" t="s">
        <v>2376</v>
      </c>
      <c r="F134" s="207">
        <v>133</v>
      </c>
      <c r="G134" s="207">
        <v>173</v>
      </c>
      <c r="H134" s="161">
        <v>40</v>
      </c>
      <c r="I134" s="207">
        <v>300</v>
      </c>
      <c r="J134" s="242">
        <f t="shared" si="25"/>
        <v>12000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43395</v>
      </c>
      <c r="D135" s="161" t="s">
        <v>9</v>
      </c>
      <c r="E135" s="161" t="s">
        <v>2376</v>
      </c>
      <c r="F135" s="207">
        <v>132</v>
      </c>
      <c r="G135" s="207">
        <v>152</v>
      </c>
      <c r="H135" s="161">
        <v>20</v>
      </c>
      <c r="I135" s="207">
        <v>300</v>
      </c>
      <c r="J135" s="242">
        <f>I135*H135</f>
        <v>6000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43396</v>
      </c>
      <c r="D136" s="161" t="s">
        <v>9</v>
      </c>
      <c r="E136" s="161" t="s">
        <v>2346</v>
      </c>
      <c r="F136" s="207">
        <v>104</v>
      </c>
      <c r="G136" s="207">
        <v>84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43397</v>
      </c>
      <c r="D137" s="161" t="s">
        <v>9</v>
      </c>
      <c r="E137" s="161" t="s">
        <v>2348</v>
      </c>
      <c r="F137" s="207">
        <v>113</v>
      </c>
      <c r="G137" s="207">
        <v>153</v>
      </c>
      <c r="H137" s="161">
        <v>40</v>
      </c>
      <c r="I137" s="207">
        <v>300</v>
      </c>
      <c r="J137" s="242">
        <f t="shared" si="25"/>
        <v>12000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43398</v>
      </c>
      <c r="D138" s="161" t="s">
        <v>9</v>
      </c>
      <c r="E138" s="161" t="s">
        <v>2346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43399</v>
      </c>
      <c r="D139" s="161" t="s">
        <v>9</v>
      </c>
      <c r="E139" s="161" t="s">
        <v>2290</v>
      </c>
      <c r="F139" s="207">
        <v>195</v>
      </c>
      <c r="G139" s="207">
        <v>175</v>
      </c>
      <c r="H139" s="161">
        <v>-20</v>
      </c>
      <c r="I139" s="207">
        <v>300</v>
      </c>
      <c r="J139" s="242">
        <f t="shared" si="25"/>
        <v>-6000</v>
      </c>
      <c r="K139" s="153"/>
      <c r="V139" s="25">
        <f t="shared" si="26"/>
        <v>0</v>
      </c>
      <c r="W139" s="25">
        <f t="shared" si="27"/>
        <v>1</v>
      </c>
    </row>
    <row r="140" spans="1:23" x14ac:dyDescent="0.3">
      <c r="A140" s="147"/>
      <c r="B140" s="205">
        <f t="shared" si="28"/>
        <v>19</v>
      </c>
      <c r="C140" s="206">
        <v>43402</v>
      </c>
      <c r="D140" s="161" t="s">
        <v>9</v>
      </c>
      <c r="E140" s="161" t="s">
        <v>2290</v>
      </c>
      <c r="F140" s="207">
        <v>180</v>
      </c>
      <c r="G140" s="207">
        <v>160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43403</v>
      </c>
      <c r="D141" s="161" t="s">
        <v>9</v>
      </c>
      <c r="E141" s="161" t="s">
        <v>2346</v>
      </c>
      <c r="F141" s="207">
        <v>185</v>
      </c>
      <c r="G141" s="207">
        <v>225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43404</v>
      </c>
      <c r="D142" s="161" t="s">
        <v>9</v>
      </c>
      <c r="E142" s="161" t="s">
        <v>2290</v>
      </c>
      <c r="F142" s="207">
        <v>200</v>
      </c>
      <c r="G142" s="207">
        <v>180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70500</v>
      </c>
      <c r="K145" s="153"/>
      <c r="V145" s="25">
        <f>SUM(V122:V144)</f>
        <v>14</v>
      </c>
      <c r="W145" s="25">
        <f>SUM(W122:W144)</f>
        <v>7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2578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43374</v>
      </c>
      <c r="D153" s="185" t="s">
        <v>8</v>
      </c>
      <c r="E153" s="185" t="s">
        <v>301</v>
      </c>
      <c r="F153" s="219">
        <v>25050</v>
      </c>
      <c r="G153" s="219">
        <v>24900</v>
      </c>
      <c r="H153" s="185">
        <v>150</v>
      </c>
      <c r="I153" s="219">
        <v>80</v>
      </c>
      <c r="J153" s="246">
        <f t="shared" ref="J153:J175" si="29">I153*H153</f>
        <v>12000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43376</v>
      </c>
      <c r="D154" s="161" t="s">
        <v>8</v>
      </c>
      <c r="E154" s="161" t="s">
        <v>301</v>
      </c>
      <c r="F154" s="207">
        <v>25380</v>
      </c>
      <c r="G154" s="207">
        <v>25330</v>
      </c>
      <c r="H154" s="161">
        <v>50</v>
      </c>
      <c r="I154" s="207">
        <v>80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43377</v>
      </c>
      <c r="D155" s="161" t="s">
        <v>8</v>
      </c>
      <c r="E155" s="161" t="s">
        <v>301</v>
      </c>
      <c r="F155" s="207">
        <v>24900</v>
      </c>
      <c r="G155" s="207">
        <v>24700</v>
      </c>
      <c r="H155" s="161">
        <v>200</v>
      </c>
      <c r="I155" s="207">
        <v>80</v>
      </c>
      <c r="J155" s="242">
        <f t="shared" si="29"/>
        <v>16000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43378</v>
      </c>
      <c r="D156" s="161" t="s">
        <v>8</v>
      </c>
      <c r="E156" s="161" t="s">
        <v>301</v>
      </c>
      <c r="F156" s="207">
        <v>24850</v>
      </c>
      <c r="G156" s="207">
        <v>24800</v>
      </c>
      <c r="H156" s="161">
        <v>50</v>
      </c>
      <c r="I156" s="207">
        <v>80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43381</v>
      </c>
      <c r="D157" s="161" t="s">
        <v>8</v>
      </c>
      <c r="E157" s="161" t="s">
        <v>301</v>
      </c>
      <c r="F157" s="207">
        <v>24580</v>
      </c>
      <c r="G157" s="207">
        <v>24680</v>
      </c>
      <c r="H157" s="161">
        <v>-100</v>
      </c>
      <c r="I157" s="207">
        <v>80</v>
      </c>
      <c r="J157" s="242">
        <f t="shared" si="29"/>
        <v>-8000</v>
      </c>
      <c r="K157" s="153"/>
      <c r="V157" s="25">
        <f t="shared" si="30"/>
        <v>0</v>
      </c>
      <c r="W157" s="25">
        <f t="shared" si="31"/>
        <v>1</v>
      </c>
    </row>
    <row r="158" spans="1:23" x14ac:dyDescent="0.3">
      <c r="A158" s="147"/>
      <c r="B158" s="205">
        <f t="shared" si="32"/>
        <v>6</v>
      </c>
      <c r="C158" s="206">
        <v>43382</v>
      </c>
      <c r="D158" s="161" t="s">
        <v>8</v>
      </c>
      <c r="E158" s="161" t="s">
        <v>301</v>
      </c>
      <c r="F158" s="207">
        <v>24700</v>
      </c>
      <c r="G158" s="207">
        <v>24600</v>
      </c>
      <c r="H158" s="161">
        <v>100</v>
      </c>
      <c r="I158" s="207">
        <v>80</v>
      </c>
      <c r="J158" s="242">
        <f t="shared" si="29"/>
        <v>8000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43383</v>
      </c>
      <c r="D159" s="161" t="s">
        <v>8</v>
      </c>
      <c r="E159" s="161" t="s">
        <v>301</v>
      </c>
      <c r="F159" s="207">
        <v>24840</v>
      </c>
      <c r="G159" s="207">
        <v>24940</v>
      </c>
      <c r="H159" s="161">
        <v>-100</v>
      </c>
      <c r="I159" s="207">
        <v>80</v>
      </c>
      <c r="J159" s="242">
        <f t="shared" si="29"/>
        <v>-8000</v>
      </c>
      <c r="K159" s="153"/>
      <c r="V159" s="25">
        <f t="shared" si="30"/>
        <v>0</v>
      </c>
      <c r="W159" s="25">
        <f t="shared" si="31"/>
        <v>1</v>
      </c>
    </row>
    <row r="160" spans="1:23" x14ac:dyDescent="0.3">
      <c r="A160" s="147"/>
      <c r="B160" s="205">
        <f t="shared" si="32"/>
        <v>8</v>
      </c>
      <c r="C160" s="206">
        <v>43384</v>
      </c>
      <c r="D160" s="161" t="s">
        <v>8</v>
      </c>
      <c r="E160" s="161" t="s">
        <v>301</v>
      </c>
      <c r="F160" s="207">
        <v>24710</v>
      </c>
      <c r="G160" s="207">
        <v>27910</v>
      </c>
      <c r="H160" s="161">
        <v>200</v>
      </c>
      <c r="I160" s="207">
        <v>80</v>
      </c>
      <c r="J160" s="242">
        <f t="shared" si="29"/>
        <v>16000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43385</v>
      </c>
      <c r="D161" s="161" t="s">
        <v>8</v>
      </c>
      <c r="E161" s="161" t="s">
        <v>301</v>
      </c>
      <c r="F161" s="207">
        <v>25440</v>
      </c>
      <c r="G161" s="207">
        <v>25290</v>
      </c>
      <c r="H161" s="161">
        <v>150</v>
      </c>
      <c r="I161" s="207">
        <v>80</v>
      </c>
      <c r="J161" s="242">
        <f t="shared" si="29"/>
        <v>12000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43388</v>
      </c>
      <c r="D162" s="161" t="s">
        <v>8</v>
      </c>
      <c r="E162" s="161" t="s">
        <v>301</v>
      </c>
      <c r="F162" s="207">
        <v>25200</v>
      </c>
      <c r="G162" s="207">
        <v>25150</v>
      </c>
      <c r="H162" s="161">
        <v>50</v>
      </c>
      <c r="I162" s="207">
        <v>80</v>
      </c>
      <c r="J162" s="242">
        <f t="shared" si="29"/>
        <v>4000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43389</v>
      </c>
      <c r="D163" s="161" t="s">
        <v>8</v>
      </c>
      <c r="E163" s="161" t="s">
        <v>301</v>
      </c>
      <c r="F163" s="207">
        <v>25650</v>
      </c>
      <c r="G163" s="207">
        <v>25550</v>
      </c>
      <c r="H163" s="161">
        <v>100</v>
      </c>
      <c r="I163" s="207">
        <v>80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43390</v>
      </c>
      <c r="D164" s="161" t="s">
        <v>8</v>
      </c>
      <c r="E164" s="161" t="s">
        <v>301</v>
      </c>
      <c r="F164" s="207">
        <v>25720</v>
      </c>
      <c r="G164" s="207">
        <v>25520</v>
      </c>
      <c r="H164" s="161">
        <v>200</v>
      </c>
      <c r="I164" s="207">
        <v>80</v>
      </c>
      <c r="J164" s="242">
        <f t="shared" si="29"/>
        <v>16000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43392</v>
      </c>
      <c r="D165" s="161" t="s">
        <v>8</v>
      </c>
      <c r="E165" s="161" t="s">
        <v>301</v>
      </c>
      <c r="F165" s="207">
        <v>25050</v>
      </c>
      <c r="G165" s="207">
        <v>24950</v>
      </c>
      <c r="H165" s="161">
        <v>100</v>
      </c>
      <c r="I165" s="207">
        <v>80</v>
      </c>
      <c r="J165" s="242">
        <f t="shared" si="29"/>
        <v>8000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43395</v>
      </c>
      <c r="D166" s="161" t="s">
        <v>8</v>
      </c>
      <c r="E166" s="161" t="s">
        <v>301</v>
      </c>
      <c r="F166" s="207">
        <v>25200</v>
      </c>
      <c r="G166" s="207">
        <v>25125</v>
      </c>
      <c r="H166" s="161">
        <v>75</v>
      </c>
      <c r="I166" s="207">
        <v>80</v>
      </c>
      <c r="J166" s="242">
        <f t="shared" si="29"/>
        <v>6000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43396</v>
      </c>
      <c r="D167" s="161" t="s">
        <v>8</v>
      </c>
      <c r="E167" s="161" t="s">
        <v>301</v>
      </c>
      <c r="F167" s="207">
        <v>24900</v>
      </c>
      <c r="G167" s="207">
        <v>25000</v>
      </c>
      <c r="H167" s="161">
        <v>-100</v>
      </c>
      <c r="I167" s="207">
        <v>80</v>
      </c>
      <c r="J167" s="242">
        <f t="shared" si="29"/>
        <v>-8000</v>
      </c>
      <c r="K167" s="153"/>
      <c r="V167" s="25">
        <f t="shared" si="30"/>
        <v>0</v>
      </c>
      <c r="W167" s="25">
        <f t="shared" si="31"/>
        <v>1</v>
      </c>
    </row>
    <row r="168" spans="1:23" x14ac:dyDescent="0.3">
      <c r="A168" s="147"/>
      <c r="B168" s="205">
        <f t="shared" si="32"/>
        <v>16</v>
      </c>
      <c r="C168" s="206">
        <v>43397</v>
      </c>
      <c r="D168" s="161" t="s">
        <v>8</v>
      </c>
      <c r="E168" s="161" t="s">
        <v>301</v>
      </c>
      <c r="F168" s="207">
        <v>25220</v>
      </c>
      <c r="G168" s="207">
        <v>25020</v>
      </c>
      <c r="H168" s="161">
        <v>200</v>
      </c>
      <c r="I168" s="207">
        <v>80</v>
      </c>
      <c r="J168" s="242">
        <f t="shared" si="29"/>
        <v>16000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43398</v>
      </c>
      <c r="D169" s="161" t="s">
        <v>8</v>
      </c>
      <c r="E169" s="161" t="s">
        <v>301</v>
      </c>
      <c r="F169" s="207">
        <v>24800</v>
      </c>
      <c r="G169" s="207">
        <v>24700</v>
      </c>
      <c r="H169" s="161">
        <v>100</v>
      </c>
      <c r="I169" s="207">
        <v>80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43399</v>
      </c>
      <c r="D170" s="161" t="s">
        <v>8</v>
      </c>
      <c r="E170" s="161" t="s">
        <v>301</v>
      </c>
      <c r="F170" s="207">
        <v>24750</v>
      </c>
      <c r="G170" s="207">
        <v>24850</v>
      </c>
      <c r="H170" s="161">
        <v>-100</v>
      </c>
      <c r="I170" s="207">
        <v>40</v>
      </c>
      <c r="J170" s="242">
        <f t="shared" si="29"/>
        <v>-4000</v>
      </c>
      <c r="K170" s="153"/>
      <c r="V170" s="25">
        <f t="shared" si="30"/>
        <v>0</v>
      </c>
      <c r="W170" s="25">
        <f t="shared" si="31"/>
        <v>1</v>
      </c>
    </row>
    <row r="171" spans="1:23" x14ac:dyDescent="0.3">
      <c r="A171" s="147"/>
      <c r="B171" s="205">
        <f t="shared" si="32"/>
        <v>19</v>
      </c>
      <c r="C171" s="206">
        <v>43402</v>
      </c>
      <c r="D171" s="161" t="s">
        <v>8</v>
      </c>
      <c r="E171" s="161" t="s">
        <v>301</v>
      </c>
      <c r="F171" s="207">
        <v>24630</v>
      </c>
      <c r="G171" s="207">
        <v>24730</v>
      </c>
      <c r="H171" s="161">
        <v>-100</v>
      </c>
      <c r="I171" s="207">
        <v>40</v>
      </c>
      <c r="J171" s="242">
        <f t="shared" si="29"/>
        <v>-4000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43403</v>
      </c>
      <c r="D172" s="161" t="s">
        <v>8</v>
      </c>
      <c r="E172" s="161" t="s">
        <v>301</v>
      </c>
      <c r="F172" s="207">
        <v>25150</v>
      </c>
      <c r="G172" s="207">
        <v>24950</v>
      </c>
      <c r="H172" s="161">
        <v>200</v>
      </c>
      <c r="I172" s="207">
        <v>40</v>
      </c>
      <c r="J172" s="242">
        <f t="shared" si="29"/>
        <v>8000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43404</v>
      </c>
      <c r="D173" s="161" t="s">
        <v>8</v>
      </c>
      <c r="E173" s="161" t="s">
        <v>301</v>
      </c>
      <c r="F173" s="207">
        <v>24720</v>
      </c>
      <c r="G173" s="207">
        <v>24670</v>
      </c>
      <c r="H173" s="161">
        <v>50</v>
      </c>
      <c r="I173" s="207">
        <v>40</v>
      </c>
      <c r="J173" s="242">
        <f t="shared" si="29"/>
        <v>2000</v>
      </c>
      <c r="K173" s="153"/>
      <c r="V173" s="25">
        <f t="shared" si="30"/>
        <v>1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116000</v>
      </c>
      <c r="K176" s="153"/>
      <c r="V176" s="25">
        <f>SUM(V153:V175)</f>
        <v>16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2578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43374</v>
      </c>
      <c r="D184" s="185" t="s">
        <v>9</v>
      </c>
      <c r="E184" s="185" t="s">
        <v>2405</v>
      </c>
      <c r="F184" s="219">
        <v>580</v>
      </c>
      <c r="G184" s="219">
        <v>690</v>
      </c>
      <c r="H184" s="185">
        <v>110</v>
      </c>
      <c r="I184" s="219">
        <v>160</v>
      </c>
      <c r="J184" s="246">
        <f t="shared" ref="J184:J206" si="33">I184*H184</f>
        <v>17600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43376</v>
      </c>
      <c r="D185" s="161" t="s">
        <v>9</v>
      </c>
      <c r="E185" s="161" t="s">
        <v>2377</v>
      </c>
      <c r="F185" s="207">
        <v>530</v>
      </c>
      <c r="G185" s="207">
        <v>570</v>
      </c>
      <c r="H185" s="161">
        <v>40</v>
      </c>
      <c r="I185" s="207">
        <v>160</v>
      </c>
      <c r="J185" s="242">
        <f t="shared" si="33"/>
        <v>6400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43377</v>
      </c>
      <c r="D186" s="161" t="s">
        <v>9</v>
      </c>
      <c r="E186" s="161" t="s">
        <v>2321</v>
      </c>
      <c r="F186" s="207">
        <v>580</v>
      </c>
      <c r="G186" s="207">
        <v>700</v>
      </c>
      <c r="H186" s="161">
        <v>120</v>
      </c>
      <c r="I186" s="207">
        <v>160</v>
      </c>
      <c r="J186" s="242">
        <f t="shared" si="33"/>
        <v>19200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43378</v>
      </c>
      <c r="D187" s="161" t="s">
        <v>9</v>
      </c>
      <c r="E187" s="161" t="s">
        <v>2321</v>
      </c>
      <c r="F187" s="207">
        <v>580</v>
      </c>
      <c r="G187" s="207">
        <v>610</v>
      </c>
      <c r="H187" s="161">
        <v>30</v>
      </c>
      <c r="I187" s="207">
        <v>160</v>
      </c>
      <c r="J187" s="242">
        <f t="shared" si="33"/>
        <v>4800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43381</v>
      </c>
      <c r="D188" s="161" t="s">
        <v>9</v>
      </c>
      <c r="E188" s="161" t="s">
        <v>2301</v>
      </c>
      <c r="F188" s="207">
        <v>550</v>
      </c>
      <c r="G188" s="207">
        <v>490</v>
      </c>
      <c r="H188" s="161">
        <v>-60</v>
      </c>
      <c r="I188" s="207">
        <v>160</v>
      </c>
      <c r="J188" s="242">
        <f t="shared" si="33"/>
        <v>-9600</v>
      </c>
      <c r="K188" s="153"/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43382</v>
      </c>
      <c r="D189" s="161" t="s">
        <v>9</v>
      </c>
      <c r="E189" s="161" t="s">
        <v>2302</v>
      </c>
      <c r="F189" s="207">
        <v>460</v>
      </c>
      <c r="G189" s="207">
        <v>520</v>
      </c>
      <c r="H189" s="161">
        <v>60</v>
      </c>
      <c r="I189" s="207">
        <v>160</v>
      </c>
      <c r="J189" s="242">
        <f t="shared" si="33"/>
        <v>9600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43383</v>
      </c>
      <c r="D190" s="161" t="s">
        <v>9</v>
      </c>
      <c r="E190" s="161" t="s">
        <v>2303</v>
      </c>
      <c r="F190" s="207">
        <v>400</v>
      </c>
      <c r="G190" s="207">
        <v>340</v>
      </c>
      <c r="H190" s="161">
        <v>-60</v>
      </c>
      <c r="I190" s="207">
        <v>160</v>
      </c>
      <c r="J190" s="242">
        <f t="shared" si="33"/>
        <v>-9600</v>
      </c>
      <c r="K190" s="153"/>
      <c r="V190" s="25">
        <f t="shared" si="34"/>
        <v>0</v>
      </c>
      <c r="W190" s="25">
        <f t="shared" si="35"/>
        <v>1</v>
      </c>
    </row>
    <row r="191" spans="1:23" x14ac:dyDescent="0.3">
      <c r="A191" s="147"/>
      <c r="B191" s="205">
        <f t="shared" si="36"/>
        <v>8</v>
      </c>
      <c r="C191" s="206">
        <v>43384</v>
      </c>
      <c r="D191" s="161" t="s">
        <v>9</v>
      </c>
      <c r="E191" s="161" t="s">
        <v>2344</v>
      </c>
      <c r="F191" s="207">
        <v>490</v>
      </c>
      <c r="G191" s="207">
        <v>430</v>
      </c>
      <c r="H191" s="161">
        <v>-60</v>
      </c>
      <c r="I191" s="207">
        <v>160</v>
      </c>
      <c r="J191" s="242">
        <f t="shared" si="33"/>
        <v>-9600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43385</v>
      </c>
      <c r="D192" s="161" t="s">
        <v>9</v>
      </c>
      <c r="E192" s="161" t="s">
        <v>2379</v>
      </c>
      <c r="F192" s="207">
        <v>430</v>
      </c>
      <c r="G192" s="207">
        <v>468</v>
      </c>
      <c r="H192" s="161">
        <v>38</v>
      </c>
      <c r="I192" s="207">
        <v>160</v>
      </c>
      <c r="J192" s="242">
        <f t="shared" si="33"/>
        <v>6080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43388</v>
      </c>
      <c r="D193" s="161" t="s">
        <v>9</v>
      </c>
      <c r="E193" s="161" t="s">
        <v>2404</v>
      </c>
      <c r="F193" s="207">
        <v>420</v>
      </c>
      <c r="G193" s="207">
        <v>360</v>
      </c>
      <c r="H193" s="161">
        <v>-60</v>
      </c>
      <c r="I193" s="207">
        <v>160</v>
      </c>
      <c r="J193" s="242">
        <f t="shared" si="33"/>
        <v>-9600</v>
      </c>
      <c r="K193" s="153"/>
      <c r="V193" s="25">
        <f t="shared" si="34"/>
        <v>0</v>
      </c>
      <c r="W193" s="25">
        <f t="shared" si="35"/>
        <v>1</v>
      </c>
    </row>
    <row r="194" spans="1:23" x14ac:dyDescent="0.3">
      <c r="A194" s="147"/>
      <c r="B194" s="205">
        <f t="shared" si="36"/>
        <v>11</v>
      </c>
      <c r="C194" s="206">
        <v>43389</v>
      </c>
      <c r="D194" s="161" t="s">
        <v>9</v>
      </c>
      <c r="E194" s="161" t="s">
        <v>2424</v>
      </c>
      <c r="F194" s="207">
        <v>340</v>
      </c>
      <c r="G194" s="207">
        <v>37</v>
      </c>
      <c r="H194" s="161">
        <v>30</v>
      </c>
      <c r="I194" s="207">
        <v>160</v>
      </c>
      <c r="J194" s="242">
        <f t="shared" si="33"/>
        <v>4800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43390</v>
      </c>
      <c r="D195" s="161" t="s">
        <v>9</v>
      </c>
      <c r="E195" s="161" t="s">
        <v>2410</v>
      </c>
      <c r="F195" s="207">
        <v>270</v>
      </c>
      <c r="G195" s="207">
        <v>390</v>
      </c>
      <c r="H195" s="161">
        <v>120</v>
      </c>
      <c r="I195" s="207">
        <v>160</v>
      </c>
      <c r="J195" s="242">
        <f t="shared" si="33"/>
        <v>19200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43392</v>
      </c>
      <c r="D196" s="161" t="s">
        <v>9</v>
      </c>
      <c r="E196" s="161" t="s">
        <v>2317</v>
      </c>
      <c r="F196" s="207">
        <v>300</v>
      </c>
      <c r="G196" s="207">
        <v>390</v>
      </c>
      <c r="H196" s="161">
        <v>90</v>
      </c>
      <c r="I196" s="207">
        <v>160</v>
      </c>
      <c r="J196" s="242">
        <f t="shared" si="33"/>
        <v>14400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43395</v>
      </c>
      <c r="D197" s="161" t="s">
        <v>9</v>
      </c>
      <c r="E197" s="161" t="s">
        <v>2404</v>
      </c>
      <c r="F197" s="207">
        <v>250</v>
      </c>
      <c r="G197" s="207">
        <v>310</v>
      </c>
      <c r="H197" s="161">
        <v>60</v>
      </c>
      <c r="I197" s="207">
        <v>160</v>
      </c>
      <c r="J197" s="242">
        <f t="shared" si="33"/>
        <v>9600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43396</v>
      </c>
      <c r="D198" s="161" t="s">
        <v>9</v>
      </c>
      <c r="E198" s="161" t="s">
        <v>2319</v>
      </c>
      <c r="F198" s="207">
        <v>230</v>
      </c>
      <c r="G198" s="207">
        <v>160</v>
      </c>
      <c r="H198" s="161">
        <v>-60</v>
      </c>
      <c r="I198" s="207">
        <v>160</v>
      </c>
      <c r="J198" s="242">
        <f t="shared" si="33"/>
        <v>-9600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43397</v>
      </c>
      <c r="D199" s="161" t="s">
        <v>9</v>
      </c>
      <c r="E199" s="161" t="s">
        <v>2404</v>
      </c>
      <c r="F199" s="207">
        <v>160</v>
      </c>
      <c r="G199" s="207">
        <v>280</v>
      </c>
      <c r="H199" s="161">
        <v>120</v>
      </c>
      <c r="I199" s="207">
        <v>160</v>
      </c>
      <c r="J199" s="242">
        <f t="shared" si="33"/>
        <v>19200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43398</v>
      </c>
      <c r="D200" s="161" t="s">
        <v>9</v>
      </c>
      <c r="E200" s="161" t="s">
        <v>2405</v>
      </c>
      <c r="F200" s="207">
        <v>200</v>
      </c>
      <c r="G200" s="207">
        <v>295</v>
      </c>
      <c r="H200" s="161">
        <v>95</v>
      </c>
      <c r="I200" s="207">
        <v>160</v>
      </c>
      <c r="J200" s="242">
        <f t="shared" si="33"/>
        <v>15200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43399</v>
      </c>
      <c r="D201" s="161" t="s">
        <v>9</v>
      </c>
      <c r="E201" s="161" t="s">
        <v>2303</v>
      </c>
      <c r="F201" s="207">
        <v>650</v>
      </c>
      <c r="G201" s="207">
        <v>774</v>
      </c>
      <c r="H201" s="161">
        <v>124</v>
      </c>
      <c r="I201" s="207">
        <v>80</v>
      </c>
      <c r="J201" s="242">
        <f t="shared" si="33"/>
        <v>9920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43402</v>
      </c>
      <c r="D202" s="161" t="s">
        <v>9</v>
      </c>
      <c r="E202" s="161" t="s">
        <v>2302</v>
      </c>
      <c r="F202" s="207">
        <v>640</v>
      </c>
      <c r="G202" s="207">
        <v>540</v>
      </c>
      <c r="H202" s="161">
        <v>-100</v>
      </c>
      <c r="I202" s="207">
        <v>80</v>
      </c>
      <c r="J202" s="242">
        <f t="shared" si="33"/>
        <v>-8000</v>
      </c>
      <c r="K202" s="153"/>
      <c r="V202" s="25">
        <f t="shared" si="34"/>
        <v>0</v>
      </c>
      <c r="W202" s="25">
        <f t="shared" si="35"/>
        <v>1</v>
      </c>
    </row>
    <row r="203" spans="1:23" x14ac:dyDescent="0.3">
      <c r="A203" s="147"/>
      <c r="B203" s="205">
        <f t="shared" si="36"/>
        <v>20</v>
      </c>
      <c r="C203" s="206">
        <v>43403</v>
      </c>
      <c r="D203" s="161" t="s">
        <v>9</v>
      </c>
      <c r="E203" s="161" t="s">
        <v>2404</v>
      </c>
      <c r="F203" s="207">
        <v>620</v>
      </c>
      <c r="G203" s="207">
        <v>820</v>
      </c>
      <c r="H203" s="161">
        <v>200</v>
      </c>
      <c r="I203" s="207">
        <v>80</v>
      </c>
      <c r="J203" s="242">
        <f t="shared" si="33"/>
        <v>16000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43404</v>
      </c>
      <c r="D204" s="161" t="s">
        <v>9</v>
      </c>
      <c r="E204" s="161" t="s">
        <v>2303</v>
      </c>
      <c r="F204" s="207">
        <v>660</v>
      </c>
      <c r="G204" s="207">
        <v>715</v>
      </c>
      <c r="H204" s="161">
        <v>55</v>
      </c>
      <c r="I204" s="207">
        <v>80</v>
      </c>
      <c r="J204" s="242">
        <f t="shared" si="33"/>
        <v>4400</v>
      </c>
      <c r="K204" s="153"/>
      <c r="V204" s="25">
        <f t="shared" si="34"/>
        <v>1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120400</v>
      </c>
      <c r="K207" s="153"/>
      <c r="V207" s="25">
        <f>SUM(V184:V206)</f>
        <v>15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2578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43374</v>
      </c>
      <c r="D215" s="185" t="s">
        <v>9</v>
      </c>
      <c r="E215" s="185" t="s">
        <v>2514</v>
      </c>
      <c r="F215" s="231">
        <v>10</v>
      </c>
      <c r="G215" s="231">
        <v>10.9</v>
      </c>
      <c r="H215" s="231">
        <v>0.9</v>
      </c>
      <c r="I215" s="219">
        <v>3000</v>
      </c>
      <c r="J215" s="246">
        <f t="shared" ref="J215:J237" si="37">I215*H215</f>
        <v>2700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43376</v>
      </c>
      <c r="D216" s="161" t="s">
        <v>9</v>
      </c>
      <c r="E216" s="161" t="s">
        <v>2580</v>
      </c>
      <c r="F216" s="222">
        <v>12.5</v>
      </c>
      <c r="G216" s="222">
        <v>9</v>
      </c>
      <c r="H216" s="255">
        <v>-3.5</v>
      </c>
      <c r="I216" s="207">
        <v>2750</v>
      </c>
      <c r="J216" s="242">
        <f>I216*H216</f>
        <v>-9625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8">B216+1</f>
        <v>3</v>
      </c>
      <c r="C217" s="206">
        <v>43377</v>
      </c>
      <c r="D217" s="161" t="s">
        <v>9</v>
      </c>
      <c r="E217" s="161" t="s">
        <v>2513</v>
      </c>
      <c r="F217" s="222">
        <v>10</v>
      </c>
      <c r="G217" s="222">
        <v>12.1</v>
      </c>
      <c r="H217" s="222">
        <v>2.1</v>
      </c>
      <c r="I217" s="207">
        <v>3000</v>
      </c>
      <c r="J217" s="242">
        <f t="shared" si="37"/>
        <v>6300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43378</v>
      </c>
      <c r="D218" s="161" t="s">
        <v>9</v>
      </c>
      <c r="E218" s="161" t="s">
        <v>2581</v>
      </c>
      <c r="F218" s="222">
        <v>33</v>
      </c>
      <c r="G218" s="222">
        <v>50</v>
      </c>
      <c r="H218" s="222">
        <v>17</v>
      </c>
      <c r="I218" s="207">
        <v>1000</v>
      </c>
      <c r="J218" s="242">
        <f t="shared" si="37"/>
        <v>17000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43381</v>
      </c>
      <c r="D219" s="161" t="s">
        <v>9</v>
      </c>
      <c r="E219" s="161" t="s">
        <v>2522</v>
      </c>
      <c r="F219" s="222">
        <v>42</v>
      </c>
      <c r="G219" s="222">
        <v>49</v>
      </c>
      <c r="H219" s="222">
        <v>7</v>
      </c>
      <c r="I219" s="207">
        <v>1000</v>
      </c>
      <c r="J219" s="242">
        <f t="shared" si="37"/>
        <v>7000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43382</v>
      </c>
      <c r="D220" s="161" t="s">
        <v>9</v>
      </c>
      <c r="E220" s="161" t="s">
        <v>2514</v>
      </c>
      <c r="F220" s="222">
        <v>10.199999999999999</v>
      </c>
      <c r="G220" s="222">
        <v>12.2</v>
      </c>
      <c r="H220" s="222">
        <v>2</v>
      </c>
      <c r="I220" s="207">
        <v>3000</v>
      </c>
      <c r="J220" s="242">
        <f t="shared" si="37"/>
        <v>6000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43383</v>
      </c>
      <c r="D221" s="161" t="s">
        <v>9</v>
      </c>
      <c r="E221" s="161" t="s">
        <v>2582</v>
      </c>
      <c r="F221" s="222">
        <v>38</v>
      </c>
      <c r="G221" s="222">
        <v>41</v>
      </c>
      <c r="H221" s="222">
        <v>3</v>
      </c>
      <c r="I221" s="207">
        <v>1000</v>
      </c>
      <c r="J221" s="242">
        <f t="shared" si="37"/>
        <v>3000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43384</v>
      </c>
      <c r="D222" s="161" t="s">
        <v>9</v>
      </c>
      <c r="E222" s="161" t="s">
        <v>1850</v>
      </c>
      <c r="F222" s="222">
        <v>41</v>
      </c>
      <c r="G222" s="222">
        <v>35</v>
      </c>
      <c r="H222" s="222">
        <v>-6</v>
      </c>
      <c r="I222" s="207">
        <v>1000</v>
      </c>
      <c r="J222" s="242">
        <f t="shared" si="37"/>
        <v>-6000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43385</v>
      </c>
      <c r="D223" s="161" t="s">
        <v>9</v>
      </c>
      <c r="E223" s="161" t="s">
        <v>2583</v>
      </c>
      <c r="F223" s="222">
        <v>5.8</v>
      </c>
      <c r="G223" s="222">
        <v>6.4</v>
      </c>
      <c r="H223" s="255">
        <v>0.6</v>
      </c>
      <c r="I223" s="207">
        <v>3000</v>
      </c>
      <c r="J223" s="242">
        <f t="shared" si="37"/>
        <v>1800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43388</v>
      </c>
      <c r="D224" s="161" t="s">
        <v>9</v>
      </c>
      <c r="E224" s="161" t="s">
        <v>2584</v>
      </c>
      <c r="F224" s="222">
        <v>37</v>
      </c>
      <c r="G224" s="222">
        <v>40</v>
      </c>
      <c r="H224" s="255">
        <v>3</v>
      </c>
      <c r="I224" s="207">
        <v>1000</v>
      </c>
      <c r="J224" s="242">
        <f t="shared" si="37"/>
        <v>3000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43389</v>
      </c>
      <c r="D225" s="161" t="s">
        <v>9</v>
      </c>
      <c r="E225" s="161" t="s">
        <v>2585</v>
      </c>
      <c r="F225" s="222">
        <v>14</v>
      </c>
      <c r="G225" s="222">
        <v>11.5</v>
      </c>
      <c r="H225" s="255">
        <v>-2.5</v>
      </c>
      <c r="I225" s="207">
        <v>1750</v>
      </c>
      <c r="J225" s="242">
        <f t="shared" si="37"/>
        <v>-4375</v>
      </c>
      <c r="K225" s="153"/>
      <c r="V225" s="25">
        <f t="shared" si="39"/>
        <v>0</v>
      </c>
      <c r="W225" s="25">
        <f t="shared" si="40"/>
        <v>1</v>
      </c>
    </row>
    <row r="226" spans="1:23" x14ac:dyDescent="0.3">
      <c r="A226" s="147"/>
      <c r="B226" s="205">
        <f t="shared" si="38"/>
        <v>12</v>
      </c>
      <c r="C226" s="206">
        <v>43390</v>
      </c>
      <c r="D226" s="161" t="s">
        <v>9</v>
      </c>
      <c r="E226" s="161" t="s">
        <v>2586</v>
      </c>
      <c r="F226" s="222">
        <v>36</v>
      </c>
      <c r="G226" s="222">
        <v>30</v>
      </c>
      <c r="H226" s="255">
        <v>-6</v>
      </c>
      <c r="I226" s="207">
        <v>1000</v>
      </c>
      <c r="J226" s="242">
        <f t="shared" si="37"/>
        <v>-6000</v>
      </c>
      <c r="K226" s="153"/>
      <c r="V226" s="25">
        <f t="shared" si="39"/>
        <v>0</v>
      </c>
      <c r="W226" s="25">
        <f t="shared" si="40"/>
        <v>1</v>
      </c>
    </row>
    <row r="227" spans="1:23" x14ac:dyDescent="0.3">
      <c r="A227" s="147"/>
      <c r="B227" s="205">
        <f t="shared" si="38"/>
        <v>13</v>
      </c>
      <c r="C227" s="206">
        <v>43392</v>
      </c>
      <c r="D227" s="161" t="s">
        <v>9</v>
      </c>
      <c r="E227" s="161" t="s">
        <v>2587</v>
      </c>
      <c r="F227" s="222">
        <v>5.5</v>
      </c>
      <c r="G227" s="222">
        <v>3</v>
      </c>
      <c r="H227" s="255">
        <v>-2.5</v>
      </c>
      <c r="I227" s="207">
        <v>1750</v>
      </c>
      <c r="J227" s="242">
        <f t="shared" si="37"/>
        <v>-4375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43395</v>
      </c>
      <c r="D228" s="161" t="s">
        <v>9</v>
      </c>
      <c r="E228" s="161" t="s">
        <v>2588</v>
      </c>
      <c r="F228" s="222">
        <v>8.5</v>
      </c>
      <c r="G228" s="222">
        <v>9.5</v>
      </c>
      <c r="H228" s="255">
        <v>1</v>
      </c>
      <c r="I228" s="207">
        <v>1750</v>
      </c>
      <c r="J228" s="242">
        <f>I228*H228</f>
        <v>1750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43396</v>
      </c>
      <c r="D229" s="161" t="s">
        <v>9</v>
      </c>
      <c r="E229" s="161" t="s">
        <v>1965</v>
      </c>
      <c r="F229" s="222">
        <v>6.5</v>
      </c>
      <c r="G229" s="222">
        <v>7.5</v>
      </c>
      <c r="H229" s="255">
        <v>1</v>
      </c>
      <c r="I229" s="207">
        <v>3000</v>
      </c>
      <c r="J229" s="242">
        <f t="shared" si="37"/>
        <v>3000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43397</v>
      </c>
      <c r="D230" s="161" t="s">
        <v>9</v>
      </c>
      <c r="E230" s="161" t="s">
        <v>1965</v>
      </c>
      <c r="F230" s="222">
        <v>4.3</v>
      </c>
      <c r="G230" s="222">
        <v>8</v>
      </c>
      <c r="H230" s="222">
        <v>3.7</v>
      </c>
      <c r="I230" s="207">
        <v>3000</v>
      </c>
      <c r="J230" s="242">
        <f t="shared" si="37"/>
        <v>11100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43398</v>
      </c>
      <c r="D231" s="161" t="s">
        <v>9</v>
      </c>
      <c r="E231" s="161" t="s">
        <v>1762</v>
      </c>
      <c r="F231" s="222">
        <v>3.5</v>
      </c>
      <c r="G231" s="222">
        <v>5.9</v>
      </c>
      <c r="H231" s="222">
        <v>2.4</v>
      </c>
      <c r="I231" s="207">
        <v>3000</v>
      </c>
      <c r="J231" s="242">
        <f t="shared" si="37"/>
        <v>7200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43399</v>
      </c>
      <c r="D232" s="161" t="s">
        <v>9</v>
      </c>
      <c r="E232" s="161" t="s">
        <v>2590</v>
      </c>
      <c r="F232" s="222">
        <v>45</v>
      </c>
      <c r="G232" s="222">
        <v>50</v>
      </c>
      <c r="H232" s="222">
        <v>5</v>
      </c>
      <c r="I232" s="207">
        <v>500</v>
      </c>
      <c r="J232" s="242">
        <f t="shared" si="37"/>
        <v>2500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43402</v>
      </c>
      <c r="D233" s="161" t="s">
        <v>9</v>
      </c>
      <c r="E233" s="161" t="s">
        <v>2591</v>
      </c>
      <c r="F233" s="222">
        <v>60</v>
      </c>
      <c r="G233" s="222">
        <v>72</v>
      </c>
      <c r="H233" s="222">
        <v>12</v>
      </c>
      <c r="I233" s="207">
        <v>300</v>
      </c>
      <c r="J233" s="242">
        <f t="shared" si="37"/>
        <v>3600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43403</v>
      </c>
      <c r="D234" s="161" t="s">
        <v>9</v>
      </c>
      <c r="E234" s="161" t="s">
        <v>2591</v>
      </c>
      <c r="F234" s="222">
        <v>62</v>
      </c>
      <c r="G234" s="222">
        <v>85</v>
      </c>
      <c r="H234" s="222">
        <v>23</v>
      </c>
      <c r="I234" s="207">
        <v>300</v>
      </c>
      <c r="J234" s="242">
        <f t="shared" si="37"/>
        <v>6900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>
        <v>43404</v>
      </c>
      <c r="D235" s="161" t="s">
        <v>9</v>
      </c>
      <c r="E235" s="161" t="s">
        <v>2581</v>
      </c>
      <c r="F235" s="222">
        <v>46</v>
      </c>
      <c r="G235" s="222">
        <v>36</v>
      </c>
      <c r="H235" s="222">
        <v>-10</v>
      </c>
      <c r="I235" s="207">
        <v>500</v>
      </c>
      <c r="J235" s="242">
        <f t="shared" si="37"/>
        <v>-5000</v>
      </c>
      <c r="K235" s="153"/>
      <c r="V235" s="25">
        <f t="shared" si="39"/>
        <v>0</v>
      </c>
      <c r="W235" s="25">
        <f t="shared" si="40"/>
        <v>1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47475</v>
      </c>
      <c r="K238" s="153"/>
      <c r="V238" s="25">
        <f>SUM(V215:V237)</f>
        <v>15</v>
      </c>
      <c r="W238" s="25">
        <f>SUM(W215:W237)</f>
        <v>6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200-000000000000}"/>
    <hyperlink ref="B83" r:id="rId2" xr:uid="{00000000-0004-0000-4200-000001000000}"/>
    <hyperlink ref="B114" r:id="rId3" xr:uid="{00000000-0004-0000-4200-000002000000}"/>
    <hyperlink ref="B145" r:id="rId4" xr:uid="{00000000-0004-0000-4200-000003000000}"/>
    <hyperlink ref="B176" r:id="rId5" xr:uid="{00000000-0004-0000-4200-000004000000}"/>
    <hyperlink ref="B207" r:id="rId6" xr:uid="{00000000-0004-0000-4200-000005000000}"/>
    <hyperlink ref="B238" r:id="rId7" xr:uid="{00000000-0004-0000-4200-000006000000}"/>
    <hyperlink ref="M1" location="'MASTER '!A1" display="Back" xr:uid="{00000000-0004-0000-4200-000007000000}"/>
    <hyperlink ref="M8:M9" location="'OCT - 2018'!A108" display="NIFTY FUTURE" xr:uid="{00000000-0004-0000-4200-000008000000}"/>
    <hyperlink ref="M10:M11" location="'OCT - 2018'!A139" display="NF. OPTION" xr:uid="{00000000-0004-0000-4200-000009000000}"/>
    <hyperlink ref="M12:M13" location="'OCT - 2018'!A170" display="BANK NIFTY" xr:uid="{00000000-0004-0000-4200-00000A000000}"/>
    <hyperlink ref="M14:M15" location="'OCT - 2018'!A201" display="B.NIFTY OPTION" xr:uid="{00000000-0004-0000-4200-00000B000000}"/>
    <hyperlink ref="M16:M17" location="'OCT - 2018'!A232" display="STOCK OPTION" xr:uid="{00000000-0004-0000-4200-00000C000000}"/>
    <hyperlink ref="M6:M7" location="'OCT - 2018'!A77" display="STOCK FUTURE" xr:uid="{00000000-0004-0000-4200-00000D000000}"/>
    <hyperlink ref="M4:M5" location="'SEP-2018'!A1" display="CASH" xr:uid="{00000000-0004-0000-4200-00000E000000}"/>
  </hyperlinks>
  <pageMargins left="0" right="0" top="0" bottom="0" header="0" footer="0"/>
  <pageSetup scale="95" orientation="portrait" r:id="rId8"/>
  <drawing r:id="rId9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W239"/>
  <sheetViews>
    <sheetView topLeftCell="A82" workbookViewId="0">
      <selection activeCell="C215" sqref="C215:J230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>
        <v>26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2592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32</v>
      </c>
      <c r="O4" s="354">
        <f>V52</f>
        <v>27</v>
      </c>
      <c r="P4" s="354">
        <f>W52</f>
        <v>5</v>
      </c>
      <c r="Q4" s="355">
        <f>N4-O4-P4</f>
        <v>0</v>
      </c>
      <c r="R4" s="314">
        <f>O4/N4</f>
        <v>0.84375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43405</v>
      </c>
      <c r="D6" s="158" t="s">
        <v>9</v>
      </c>
      <c r="E6" s="158" t="s">
        <v>552</v>
      </c>
      <c r="F6" s="204">
        <v>1415</v>
      </c>
      <c r="G6" s="230">
        <v>1445</v>
      </c>
      <c r="H6" s="158">
        <v>30</v>
      </c>
      <c r="I6" s="204">
        <f>300000/F6</f>
        <v>212.01413427561837</v>
      </c>
      <c r="J6" s="241">
        <f>H6*I6</f>
        <v>6360.4240282685514</v>
      </c>
      <c r="K6" s="153"/>
      <c r="M6" s="389" t="s">
        <v>450</v>
      </c>
      <c r="N6" s="343">
        <f>COUNT(C60:C82)</f>
        <v>16</v>
      </c>
      <c r="O6" s="345">
        <f>V83</f>
        <v>9</v>
      </c>
      <c r="P6" s="345">
        <f>W83</f>
        <v>7</v>
      </c>
      <c r="Q6" s="347">
        <f>N6-O6-P6</f>
        <v>0</v>
      </c>
      <c r="R6" s="340">
        <f t="shared" ref="R6" si="0">O6/N6</f>
        <v>0.5625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43405</v>
      </c>
      <c r="D7" s="161" t="s">
        <v>8</v>
      </c>
      <c r="E7" s="161" t="s">
        <v>796</v>
      </c>
      <c r="F7" s="207">
        <v>1155</v>
      </c>
      <c r="G7" s="207">
        <v>1145</v>
      </c>
      <c r="H7" s="234">
        <v>10</v>
      </c>
      <c r="I7" s="207">
        <f t="shared" ref="I7" si="1">300000/F7</f>
        <v>259.74025974025972</v>
      </c>
      <c r="J7" s="242">
        <f t="shared" ref="J7" si="2">H7*I7</f>
        <v>2597.4025974025972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43406</v>
      </c>
      <c r="D8" s="161" t="s">
        <v>9</v>
      </c>
      <c r="E8" s="161" t="s">
        <v>2416</v>
      </c>
      <c r="F8" s="207">
        <v>2450</v>
      </c>
      <c r="G8" s="222">
        <v>2430</v>
      </c>
      <c r="H8" s="222">
        <v>-20</v>
      </c>
      <c r="I8" s="207">
        <f t="shared" ref="I8:I10" si="6">300000/F8</f>
        <v>122.44897959183673</v>
      </c>
      <c r="J8" s="242">
        <f t="shared" ref="J8:J10" si="7">H8*I8</f>
        <v>-2448.9795918367345</v>
      </c>
      <c r="K8" s="153"/>
      <c r="M8" s="389" t="s">
        <v>451</v>
      </c>
      <c r="N8" s="343">
        <f>COUNT(C91:C113)</f>
        <v>16</v>
      </c>
      <c r="O8" s="345">
        <f>V114</f>
        <v>14</v>
      </c>
      <c r="P8" s="345">
        <f>W114</f>
        <v>2</v>
      </c>
      <c r="Q8" s="347">
        <f>N8-O8-P8</f>
        <v>0</v>
      </c>
      <c r="R8" s="340">
        <f t="shared" ref="R8" si="8">O8/N8</f>
        <v>0.875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43406</v>
      </c>
      <c r="D9" s="161" t="s">
        <v>8</v>
      </c>
      <c r="E9" s="161" t="s">
        <v>19</v>
      </c>
      <c r="F9" s="222">
        <v>290</v>
      </c>
      <c r="G9" s="222">
        <v>284</v>
      </c>
      <c r="H9" s="222">
        <v>6</v>
      </c>
      <c r="I9" s="207">
        <f t="shared" si="6"/>
        <v>1034.4827586206898</v>
      </c>
      <c r="J9" s="242">
        <f t="shared" si="7"/>
        <v>6206.8965517241386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43409</v>
      </c>
      <c r="D10" s="161" t="s">
        <v>9</v>
      </c>
      <c r="E10" s="161" t="s">
        <v>19</v>
      </c>
      <c r="F10" s="222">
        <v>291</v>
      </c>
      <c r="G10" s="222">
        <v>299</v>
      </c>
      <c r="H10" s="222">
        <v>8</v>
      </c>
      <c r="I10" s="207">
        <f t="shared" si="6"/>
        <v>1030.9278350515465</v>
      </c>
      <c r="J10" s="242">
        <f t="shared" si="7"/>
        <v>8247.4226804123718</v>
      </c>
      <c r="K10" s="153"/>
      <c r="M10" s="389" t="s">
        <v>1176</v>
      </c>
      <c r="N10" s="343">
        <f>COUNT(C122:C144)</f>
        <v>16</v>
      </c>
      <c r="O10" s="345">
        <f>V145</f>
        <v>12</v>
      </c>
      <c r="P10" s="345">
        <f>W145</f>
        <v>4</v>
      </c>
      <c r="Q10" s="347">
        <f>N10-O10-P10</f>
        <v>0</v>
      </c>
      <c r="R10" s="340">
        <f t="shared" ref="R10:R16" si="9">O10/N10</f>
        <v>0.75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43409</v>
      </c>
      <c r="D11" s="161" t="s">
        <v>8</v>
      </c>
      <c r="E11" s="161" t="s">
        <v>46</v>
      </c>
      <c r="F11" s="222">
        <v>158.5</v>
      </c>
      <c r="G11" s="222">
        <v>154.5</v>
      </c>
      <c r="H11" s="255">
        <v>4</v>
      </c>
      <c r="I11" s="207">
        <f t="shared" ref="I11:I37" si="10">300000/F11</f>
        <v>1892.7444794952683</v>
      </c>
      <c r="J11" s="242">
        <f t="shared" ref="J11:J37" si="11">H11*I11</f>
        <v>7570.977917981073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43417</v>
      </c>
      <c r="D12" s="161" t="s">
        <v>9</v>
      </c>
      <c r="E12" s="161" t="s">
        <v>31</v>
      </c>
      <c r="F12" s="222">
        <v>1073</v>
      </c>
      <c r="G12" s="222">
        <v>1093</v>
      </c>
      <c r="H12" s="222">
        <v>20</v>
      </c>
      <c r="I12" s="207">
        <f t="shared" si="10"/>
        <v>279.58993476234855</v>
      </c>
      <c r="J12" s="242">
        <f t="shared" si="11"/>
        <v>5591.798695246971</v>
      </c>
      <c r="K12" s="153"/>
      <c r="M12" s="389" t="s">
        <v>41</v>
      </c>
      <c r="N12" s="343">
        <f>COUNT(C153:C175)</f>
        <v>16</v>
      </c>
      <c r="O12" s="345">
        <f>V176</f>
        <v>12</v>
      </c>
      <c r="P12" s="345">
        <f>W176</f>
        <v>4</v>
      </c>
      <c r="Q12" s="347">
        <f t="shared" ref="Q12" si="12">N12-O12-P12</f>
        <v>0</v>
      </c>
      <c r="R12" s="340">
        <f t="shared" si="9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43417</v>
      </c>
      <c r="D13" s="161" t="s">
        <v>8</v>
      </c>
      <c r="E13" s="161" t="s">
        <v>139</v>
      </c>
      <c r="F13" s="222">
        <v>223</v>
      </c>
      <c r="G13" s="222">
        <v>221</v>
      </c>
      <c r="H13" s="255">
        <v>2</v>
      </c>
      <c r="I13" s="207">
        <f t="shared" si="10"/>
        <v>1345.2914798206277</v>
      </c>
      <c r="J13" s="242">
        <f t="shared" si="11"/>
        <v>2690.5829596412555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43418</v>
      </c>
      <c r="D14" s="161" t="s">
        <v>9</v>
      </c>
      <c r="E14" s="161" t="s">
        <v>796</v>
      </c>
      <c r="F14" s="222">
        <v>1154</v>
      </c>
      <c r="G14" s="222">
        <v>1174</v>
      </c>
      <c r="H14" s="222">
        <v>20</v>
      </c>
      <c r="I14" s="207">
        <f t="shared" si="10"/>
        <v>259.96533795493934</v>
      </c>
      <c r="J14" s="242">
        <f t="shared" si="11"/>
        <v>5199.3067590987866</v>
      </c>
      <c r="K14" s="153"/>
      <c r="M14" s="389" t="s">
        <v>1175</v>
      </c>
      <c r="N14" s="343">
        <f>COUNT(C184:C206)</f>
        <v>16</v>
      </c>
      <c r="O14" s="345">
        <f>V207</f>
        <v>13</v>
      </c>
      <c r="P14" s="345">
        <f>W207</f>
        <v>3</v>
      </c>
      <c r="Q14" s="347">
        <f t="shared" ref="Q14" si="13">N14-O14-P14</f>
        <v>0</v>
      </c>
      <c r="R14" s="340">
        <f t="shared" si="9"/>
        <v>0.8125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43418</v>
      </c>
      <c r="D15" s="161" t="s">
        <v>8</v>
      </c>
      <c r="E15" s="161" t="s">
        <v>31</v>
      </c>
      <c r="F15" s="222">
        <v>1096</v>
      </c>
      <c r="G15" s="222">
        <v>1086</v>
      </c>
      <c r="H15" s="222">
        <v>10</v>
      </c>
      <c r="I15" s="207">
        <f t="shared" si="10"/>
        <v>273.72262773722628</v>
      </c>
      <c r="J15" s="242">
        <f t="shared" si="11"/>
        <v>2737.2262773722628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43419</v>
      </c>
      <c r="D16" s="161" t="s">
        <v>9</v>
      </c>
      <c r="E16" s="161" t="s">
        <v>58</v>
      </c>
      <c r="F16" s="222">
        <v>622</v>
      </c>
      <c r="G16" s="222">
        <v>632</v>
      </c>
      <c r="H16" s="222">
        <v>10</v>
      </c>
      <c r="I16" s="207">
        <f t="shared" si="10"/>
        <v>482.3151125401929</v>
      </c>
      <c r="J16" s="242">
        <f t="shared" si="11"/>
        <v>4823.1511254019288</v>
      </c>
      <c r="K16" s="153"/>
      <c r="L16" s="25" t="s">
        <v>2008</v>
      </c>
      <c r="M16" s="389" t="s">
        <v>1090</v>
      </c>
      <c r="N16" s="343">
        <f>COUNT(C215:C237)</f>
        <v>16</v>
      </c>
      <c r="O16" s="345">
        <f>V238</f>
        <v>12</v>
      </c>
      <c r="P16" s="345">
        <f>W238</f>
        <v>4</v>
      </c>
      <c r="Q16" s="347">
        <f t="shared" ref="Q16" si="14">N16-O16-P16</f>
        <v>0</v>
      </c>
      <c r="R16" s="340">
        <f t="shared" si="9"/>
        <v>0.75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43419</v>
      </c>
      <c r="D17" s="161" t="s">
        <v>8</v>
      </c>
      <c r="E17" s="161" t="s">
        <v>31</v>
      </c>
      <c r="F17" s="222">
        <v>1092</v>
      </c>
      <c r="G17" s="222">
        <v>1087</v>
      </c>
      <c r="H17" s="222">
        <v>5</v>
      </c>
      <c r="I17" s="207">
        <f t="shared" si="10"/>
        <v>274.72527472527474</v>
      </c>
      <c r="J17" s="242">
        <f t="shared" si="11"/>
        <v>1373.6263736263736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43420</v>
      </c>
      <c r="D18" s="161" t="s">
        <v>9</v>
      </c>
      <c r="E18" s="161" t="s">
        <v>95</v>
      </c>
      <c r="F18" s="222">
        <v>373</v>
      </c>
      <c r="G18" s="222">
        <v>375</v>
      </c>
      <c r="H18" s="222">
        <v>2</v>
      </c>
      <c r="I18" s="207">
        <f t="shared" si="10"/>
        <v>804.28954423592495</v>
      </c>
      <c r="J18" s="242">
        <f t="shared" si="11"/>
        <v>1608.5790884718499</v>
      </c>
      <c r="K18" s="153"/>
      <c r="M18" s="334" t="s">
        <v>946</v>
      </c>
      <c r="N18" s="336">
        <f>SUM(N4:N17)</f>
        <v>128</v>
      </c>
      <c r="O18" s="336">
        <f t="shared" ref="O18:Q18" si="15">SUM(O4:O17)</f>
        <v>99</v>
      </c>
      <c r="P18" s="336">
        <f t="shared" si="15"/>
        <v>29</v>
      </c>
      <c r="Q18" s="338">
        <f t="shared" si="15"/>
        <v>0</v>
      </c>
      <c r="R18" s="314">
        <f t="shared" ref="R18" si="16">O18/N18</f>
        <v>0.7734375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43420</v>
      </c>
      <c r="D19" s="161" t="s">
        <v>8</v>
      </c>
      <c r="E19" s="161" t="s">
        <v>31</v>
      </c>
      <c r="F19" s="222">
        <v>347</v>
      </c>
      <c r="G19" s="222">
        <v>337</v>
      </c>
      <c r="H19" s="222">
        <v>10</v>
      </c>
      <c r="I19" s="207">
        <f t="shared" si="10"/>
        <v>864.55331412103749</v>
      </c>
      <c r="J19" s="242">
        <f t="shared" si="11"/>
        <v>8645.5331412103751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43423</v>
      </c>
      <c r="D20" s="161" t="s">
        <v>9</v>
      </c>
      <c r="E20" s="161" t="s">
        <v>49</v>
      </c>
      <c r="F20" s="222">
        <v>1186</v>
      </c>
      <c r="G20" s="222">
        <v>1206</v>
      </c>
      <c r="H20" s="222">
        <v>20</v>
      </c>
      <c r="I20" s="207">
        <f t="shared" si="10"/>
        <v>252.95109612141653</v>
      </c>
      <c r="J20" s="242">
        <f t="shared" si="11"/>
        <v>5059.0219224283301</v>
      </c>
      <c r="K20" s="153"/>
      <c r="M20" s="316" t="s">
        <v>2253</v>
      </c>
      <c r="N20" s="317"/>
      <c r="O20" s="318"/>
      <c r="P20" s="325">
        <f>R18</f>
        <v>0.7734375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43423</v>
      </c>
      <c r="D21" s="161" t="s">
        <v>8</v>
      </c>
      <c r="E21" s="161" t="s">
        <v>395</v>
      </c>
      <c r="F21" s="222">
        <v>2510</v>
      </c>
      <c r="G21" s="222">
        <v>2490</v>
      </c>
      <c r="H21" s="222">
        <v>20</v>
      </c>
      <c r="I21" s="207">
        <f t="shared" si="10"/>
        <v>119.5219123505976</v>
      </c>
      <c r="J21" s="242">
        <f t="shared" si="11"/>
        <v>2390.4382470119522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43424</v>
      </c>
      <c r="D22" s="161" t="s">
        <v>9</v>
      </c>
      <c r="E22" s="161" t="s">
        <v>31</v>
      </c>
      <c r="F22" s="222">
        <v>1151</v>
      </c>
      <c r="G22" s="222">
        <v>1141</v>
      </c>
      <c r="H22" s="222">
        <v>-10</v>
      </c>
      <c r="I22" s="207">
        <f t="shared" si="10"/>
        <v>260.64291920069508</v>
      </c>
      <c r="J22" s="242">
        <f t="shared" si="11"/>
        <v>-2606.4291920069509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43424</v>
      </c>
      <c r="D23" s="161" t="s">
        <v>8</v>
      </c>
      <c r="E23" s="161" t="s">
        <v>395</v>
      </c>
      <c r="F23" s="222">
        <v>2490</v>
      </c>
      <c r="G23" s="222">
        <v>2450</v>
      </c>
      <c r="H23" s="222">
        <v>40</v>
      </c>
      <c r="I23" s="207">
        <f t="shared" si="10"/>
        <v>120.48192771084338</v>
      </c>
      <c r="J23" s="242">
        <f t="shared" si="11"/>
        <v>4819.2771084337355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43425</v>
      </c>
      <c r="D24" s="161" t="s">
        <v>9</v>
      </c>
      <c r="E24" s="161" t="s">
        <v>796</v>
      </c>
      <c r="F24" s="222">
        <v>1220</v>
      </c>
      <c r="G24" s="222">
        <v>1210</v>
      </c>
      <c r="H24" s="222">
        <v>-10</v>
      </c>
      <c r="I24" s="207">
        <f t="shared" si="10"/>
        <v>245.90163934426229</v>
      </c>
      <c r="J24" s="242">
        <f t="shared" si="11"/>
        <v>-2459.0163934426228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43425</v>
      </c>
      <c r="D25" s="161" t="s">
        <v>8</v>
      </c>
      <c r="E25" s="161" t="s">
        <v>31</v>
      </c>
      <c r="F25" s="222">
        <v>1125</v>
      </c>
      <c r="G25" s="222">
        <v>1110</v>
      </c>
      <c r="H25" s="222">
        <v>15</v>
      </c>
      <c r="I25" s="207">
        <f t="shared" si="10"/>
        <v>266.66666666666669</v>
      </c>
      <c r="J25" s="242">
        <f t="shared" si="11"/>
        <v>4000.0000000000005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43426</v>
      </c>
      <c r="D26" s="161" t="s">
        <v>9</v>
      </c>
      <c r="E26" s="161" t="s">
        <v>49</v>
      </c>
      <c r="F26" s="222">
        <v>1218</v>
      </c>
      <c r="G26" s="222">
        <v>1224</v>
      </c>
      <c r="H26" s="222">
        <v>6</v>
      </c>
      <c r="I26" s="207">
        <f t="shared" si="10"/>
        <v>246.30541871921181</v>
      </c>
      <c r="J26" s="242">
        <f t="shared" si="11"/>
        <v>1477.8325123152708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43426</v>
      </c>
      <c r="D27" s="161" t="s">
        <v>8</v>
      </c>
      <c r="E27" s="161" t="s">
        <v>31</v>
      </c>
      <c r="F27" s="222">
        <v>1116</v>
      </c>
      <c r="G27" s="222">
        <v>1101.5</v>
      </c>
      <c r="H27" s="222">
        <v>14.5</v>
      </c>
      <c r="I27" s="207">
        <f t="shared" si="10"/>
        <v>268.81720430107526</v>
      </c>
      <c r="J27" s="242">
        <f t="shared" si="11"/>
        <v>3897.8494623655915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43430</v>
      </c>
      <c r="D28" s="161" t="s">
        <v>9</v>
      </c>
      <c r="E28" s="161" t="s">
        <v>552</v>
      </c>
      <c r="F28" s="222">
        <v>1545</v>
      </c>
      <c r="G28" s="222">
        <v>1566.5</v>
      </c>
      <c r="H28" s="222">
        <v>21.5</v>
      </c>
      <c r="I28" s="207">
        <f t="shared" si="10"/>
        <v>194.17475728155341</v>
      </c>
      <c r="J28" s="242">
        <f t="shared" si="11"/>
        <v>4174.7572815533986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43430</v>
      </c>
      <c r="D29" s="161" t="s">
        <v>8</v>
      </c>
      <c r="E29" s="161" t="s">
        <v>982</v>
      </c>
      <c r="F29" s="222">
        <v>360</v>
      </c>
      <c r="G29" s="222">
        <v>364</v>
      </c>
      <c r="H29" s="222">
        <v>-4</v>
      </c>
      <c r="I29" s="207">
        <f t="shared" si="10"/>
        <v>833.33333333333337</v>
      </c>
      <c r="J29" s="242">
        <f t="shared" si="11"/>
        <v>-3333.3333333333335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43431</v>
      </c>
      <c r="D30" s="161" t="s">
        <v>9</v>
      </c>
      <c r="E30" s="161" t="s">
        <v>31</v>
      </c>
      <c r="F30" s="222">
        <v>1120</v>
      </c>
      <c r="G30" s="222">
        <v>1127.5</v>
      </c>
      <c r="H30" s="222">
        <v>7.5</v>
      </c>
      <c r="I30" s="207">
        <f t="shared" si="10"/>
        <v>267.85714285714283</v>
      </c>
      <c r="J30" s="242">
        <f t="shared" si="11"/>
        <v>2008.9285714285713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43431</v>
      </c>
      <c r="D31" s="161" t="s">
        <v>9</v>
      </c>
      <c r="E31" s="161" t="s">
        <v>552</v>
      </c>
      <c r="F31" s="222">
        <v>1560</v>
      </c>
      <c r="G31" s="222">
        <v>1590</v>
      </c>
      <c r="H31" s="222">
        <v>30</v>
      </c>
      <c r="I31" s="207">
        <f t="shared" si="10"/>
        <v>192.30769230769232</v>
      </c>
      <c r="J31" s="242">
        <f t="shared" si="11"/>
        <v>5769.2307692307695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43432</v>
      </c>
      <c r="D32" s="161" t="s">
        <v>9</v>
      </c>
      <c r="E32" s="161" t="s">
        <v>31</v>
      </c>
      <c r="F32" s="222">
        <v>1135</v>
      </c>
      <c r="G32" s="222">
        <v>1155</v>
      </c>
      <c r="H32" s="222">
        <v>20</v>
      </c>
      <c r="I32" s="207">
        <f t="shared" si="10"/>
        <v>264.31718061674007</v>
      </c>
      <c r="J32" s="242">
        <f t="shared" si="11"/>
        <v>5286.3436123348019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43432</v>
      </c>
      <c r="D33" s="161" t="s">
        <v>8</v>
      </c>
      <c r="E33" s="161" t="s">
        <v>137</v>
      </c>
      <c r="F33" s="222">
        <v>1730</v>
      </c>
      <c r="G33" s="222">
        <v>1723</v>
      </c>
      <c r="H33" s="222">
        <v>7</v>
      </c>
      <c r="I33" s="207">
        <f t="shared" si="10"/>
        <v>173.41040462427745</v>
      </c>
      <c r="J33" s="242">
        <f t="shared" si="11"/>
        <v>1213.8728323699422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43433</v>
      </c>
      <c r="D34" s="161" t="s">
        <v>9</v>
      </c>
      <c r="E34" s="161" t="s">
        <v>552</v>
      </c>
      <c r="F34" s="222">
        <v>1645</v>
      </c>
      <c r="G34" s="222">
        <v>1667</v>
      </c>
      <c r="H34" s="222">
        <v>22</v>
      </c>
      <c r="I34" s="207">
        <f t="shared" si="10"/>
        <v>182.370820668693</v>
      </c>
      <c r="J34" s="242">
        <f t="shared" si="11"/>
        <v>4012.1580547112462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43433</v>
      </c>
      <c r="D35" s="161" t="s">
        <v>8</v>
      </c>
      <c r="E35" s="161" t="s">
        <v>49</v>
      </c>
      <c r="F35" s="222">
        <v>1230</v>
      </c>
      <c r="G35" s="222">
        <v>1224</v>
      </c>
      <c r="H35" s="222">
        <v>6</v>
      </c>
      <c r="I35" s="207">
        <f t="shared" si="10"/>
        <v>243.90243902439025</v>
      </c>
      <c r="J35" s="242">
        <f t="shared" si="11"/>
        <v>1463.4146341463415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43434</v>
      </c>
      <c r="D36" s="161" t="s">
        <v>9</v>
      </c>
      <c r="E36" s="161" t="s">
        <v>31</v>
      </c>
      <c r="F36" s="222">
        <v>1182</v>
      </c>
      <c r="G36" s="222">
        <v>1172</v>
      </c>
      <c r="H36" s="222">
        <v>-10</v>
      </c>
      <c r="I36" s="207">
        <f t="shared" si="10"/>
        <v>253.80710659898477</v>
      </c>
      <c r="J36" s="242">
        <f t="shared" si="11"/>
        <v>-2538.0710659898477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43434</v>
      </c>
      <c r="D37" s="161" t="s">
        <v>8</v>
      </c>
      <c r="E37" s="161" t="s">
        <v>552</v>
      </c>
      <c r="F37" s="222">
        <v>1648</v>
      </c>
      <c r="G37" s="222">
        <v>1629</v>
      </c>
      <c r="H37" s="222">
        <v>19</v>
      </c>
      <c r="I37" s="207">
        <f t="shared" si="10"/>
        <v>182.03883495145632</v>
      </c>
      <c r="J37" s="242">
        <f t="shared" si="11"/>
        <v>3458.7378640776701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99298.96149165665</v>
      </c>
      <c r="K52" s="153"/>
      <c r="V52" s="25">
        <f>SUM(V6:V51)</f>
        <v>27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2592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43405</v>
      </c>
      <c r="D60" s="158" t="s">
        <v>8</v>
      </c>
      <c r="E60" s="158" t="s">
        <v>31</v>
      </c>
      <c r="F60" s="204">
        <v>1055</v>
      </c>
      <c r="G60" s="230">
        <v>1065</v>
      </c>
      <c r="H60" s="230">
        <v>-10</v>
      </c>
      <c r="I60" s="204">
        <v>500</v>
      </c>
      <c r="J60" s="241">
        <f t="shared" ref="J60:J82" si="17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43406</v>
      </c>
      <c r="D61" s="161" t="s">
        <v>8</v>
      </c>
      <c r="E61" s="161" t="s">
        <v>552</v>
      </c>
      <c r="F61" s="207">
        <v>1510</v>
      </c>
      <c r="G61" s="222">
        <v>1525</v>
      </c>
      <c r="H61" s="222">
        <v>-15</v>
      </c>
      <c r="I61" s="207">
        <v>300</v>
      </c>
      <c r="J61" s="242">
        <f t="shared" si="17"/>
        <v>-4500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43409</v>
      </c>
      <c r="D62" s="161" t="s">
        <v>9</v>
      </c>
      <c r="E62" s="161" t="s">
        <v>58</v>
      </c>
      <c r="F62" s="222">
        <v>628</v>
      </c>
      <c r="G62" s="222">
        <v>620</v>
      </c>
      <c r="H62" s="222">
        <v>-8</v>
      </c>
      <c r="I62" s="207">
        <v>1200</v>
      </c>
      <c r="J62" s="242">
        <f t="shared" si="17"/>
        <v>-9600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43417</v>
      </c>
      <c r="D63" s="161" t="s">
        <v>9</v>
      </c>
      <c r="E63" s="161" t="s">
        <v>31</v>
      </c>
      <c r="F63" s="222">
        <v>1082</v>
      </c>
      <c r="G63" s="222">
        <v>1102</v>
      </c>
      <c r="H63" s="222">
        <v>20</v>
      </c>
      <c r="I63" s="207">
        <v>500</v>
      </c>
      <c r="J63" s="242">
        <f t="shared" si="17"/>
        <v>10000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43418</v>
      </c>
      <c r="D64" s="161" t="s">
        <v>8</v>
      </c>
      <c r="E64" s="161" t="s">
        <v>31</v>
      </c>
      <c r="F64" s="222">
        <v>1095</v>
      </c>
      <c r="G64" s="222">
        <v>1105</v>
      </c>
      <c r="H64" s="222">
        <v>-10</v>
      </c>
      <c r="I64" s="207">
        <v>500</v>
      </c>
      <c r="J64" s="242">
        <f t="shared" si="17"/>
        <v>-5000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43419</v>
      </c>
      <c r="D65" s="161" t="s">
        <v>9</v>
      </c>
      <c r="E65" s="161" t="s">
        <v>552</v>
      </c>
      <c r="F65" s="207">
        <v>1525</v>
      </c>
      <c r="G65" s="222">
        <v>1537</v>
      </c>
      <c r="H65" s="222">
        <v>12</v>
      </c>
      <c r="I65" s="207">
        <v>300</v>
      </c>
      <c r="J65" s="242">
        <f t="shared" si="17"/>
        <v>3600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43420</v>
      </c>
      <c r="D66" s="161" t="s">
        <v>8</v>
      </c>
      <c r="E66" s="161" t="s">
        <v>13</v>
      </c>
      <c r="F66" s="207">
        <v>348</v>
      </c>
      <c r="G66" s="222">
        <v>338</v>
      </c>
      <c r="H66" s="222">
        <v>10</v>
      </c>
      <c r="I66" s="207">
        <v>1300</v>
      </c>
      <c r="J66" s="242">
        <f t="shared" si="17"/>
        <v>13000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43423</v>
      </c>
      <c r="D67" s="161" t="s">
        <v>9</v>
      </c>
      <c r="E67" s="161" t="s">
        <v>395</v>
      </c>
      <c r="F67" s="207">
        <v>2505</v>
      </c>
      <c r="G67" s="222">
        <v>2530</v>
      </c>
      <c r="H67" s="222">
        <v>-25</v>
      </c>
      <c r="I67" s="207">
        <v>250</v>
      </c>
      <c r="J67" s="242">
        <f t="shared" si="17"/>
        <v>-6250</v>
      </c>
      <c r="K67" s="153"/>
      <c r="V67" s="25">
        <f t="shared" si="18"/>
        <v>0</v>
      </c>
      <c r="W67" s="25">
        <f t="shared" si="19"/>
        <v>1</v>
      </c>
    </row>
    <row r="68" spans="1:23" x14ac:dyDescent="0.3">
      <c r="A68" s="147"/>
      <c r="B68" s="205">
        <f t="shared" si="20"/>
        <v>9</v>
      </c>
      <c r="C68" s="206">
        <v>43424</v>
      </c>
      <c r="D68" s="161" t="s">
        <v>8</v>
      </c>
      <c r="E68" s="161" t="s">
        <v>95</v>
      </c>
      <c r="F68" s="222">
        <v>359</v>
      </c>
      <c r="G68" s="222">
        <v>355.4</v>
      </c>
      <c r="H68" s="222">
        <v>3.6</v>
      </c>
      <c r="I68" s="207">
        <v>2750</v>
      </c>
      <c r="J68" s="242">
        <f t="shared" si="17"/>
        <v>9900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43425</v>
      </c>
      <c r="D69" s="161" t="s">
        <v>8</v>
      </c>
      <c r="E69" s="161" t="s">
        <v>31</v>
      </c>
      <c r="F69" s="222">
        <v>1112</v>
      </c>
      <c r="G69" s="222">
        <v>1115</v>
      </c>
      <c r="H69" s="222">
        <v>-5</v>
      </c>
      <c r="I69" s="207">
        <v>500</v>
      </c>
      <c r="J69" s="242">
        <f t="shared" si="17"/>
        <v>-2500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43426</v>
      </c>
      <c r="D70" s="161" t="s">
        <v>8</v>
      </c>
      <c r="E70" s="161" t="s">
        <v>552</v>
      </c>
      <c r="F70" s="161">
        <v>1542</v>
      </c>
      <c r="G70" s="222">
        <v>1527</v>
      </c>
      <c r="H70" s="222">
        <v>15</v>
      </c>
      <c r="I70" s="207">
        <v>300</v>
      </c>
      <c r="J70" s="242">
        <f t="shared" si="17"/>
        <v>4500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43430</v>
      </c>
      <c r="D71" s="161" t="s">
        <v>8</v>
      </c>
      <c r="E71" s="161" t="s">
        <v>31</v>
      </c>
      <c r="F71" s="222">
        <v>1106</v>
      </c>
      <c r="G71" s="222">
        <v>1098</v>
      </c>
      <c r="H71" s="222">
        <v>8</v>
      </c>
      <c r="I71" s="207">
        <v>500</v>
      </c>
      <c r="J71" s="242">
        <f t="shared" si="17"/>
        <v>4000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43431</v>
      </c>
      <c r="D72" s="161" t="s">
        <v>8</v>
      </c>
      <c r="E72" s="161" t="s">
        <v>95</v>
      </c>
      <c r="F72" s="222">
        <v>353</v>
      </c>
      <c r="G72" s="222">
        <v>351.5</v>
      </c>
      <c r="H72" s="222">
        <v>1.5</v>
      </c>
      <c r="I72" s="207">
        <v>2750</v>
      </c>
      <c r="J72" s="242">
        <f t="shared" si="17"/>
        <v>4125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43432</v>
      </c>
      <c r="D73" s="161" t="s">
        <v>8</v>
      </c>
      <c r="E73" s="161" t="s">
        <v>95</v>
      </c>
      <c r="F73" s="223">
        <v>354</v>
      </c>
      <c r="G73" s="222">
        <v>357</v>
      </c>
      <c r="H73" s="255">
        <v>-3</v>
      </c>
      <c r="I73" s="207">
        <v>2750</v>
      </c>
      <c r="J73" s="242">
        <f t="shared" si="17"/>
        <v>-8250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43433</v>
      </c>
      <c r="D74" s="161" t="s">
        <v>8</v>
      </c>
      <c r="E74" s="161" t="s">
        <v>58</v>
      </c>
      <c r="F74" s="222">
        <v>627</v>
      </c>
      <c r="G74" s="222">
        <v>622.29999999999995</v>
      </c>
      <c r="H74" s="255">
        <v>4.7</v>
      </c>
      <c r="I74" s="207">
        <v>1750</v>
      </c>
      <c r="J74" s="242">
        <f t="shared" si="17"/>
        <v>8225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43434</v>
      </c>
      <c r="D75" s="161" t="s">
        <v>9</v>
      </c>
      <c r="E75" s="161" t="s">
        <v>31</v>
      </c>
      <c r="F75" s="222">
        <v>1175</v>
      </c>
      <c r="G75" s="222">
        <v>1171</v>
      </c>
      <c r="H75" s="222">
        <v>4</v>
      </c>
      <c r="I75" s="207">
        <v>500</v>
      </c>
      <c r="J75" s="242">
        <f t="shared" si="17"/>
        <v>2000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/>
      <c r="D76" s="161"/>
      <c r="E76" s="161"/>
      <c r="F76" s="222"/>
      <c r="G76" s="222"/>
      <c r="H76" s="222"/>
      <c r="I76" s="207"/>
      <c r="J76" s="242">
        <f t="shared" si="17"/>
        <v>0</v>
      </c>
      <c r="K76" s="153"/>
      <c r="V76" s="25">
        <f t="shared" si="18"/>
        <v>0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/>
      <c r="D77" s="161"/>
      <c r="E77" s="161"/>
      <c r="F77" s="222"/>
      <c r="G77" s="222"/>
      <c r="H77" s="222"/>
      <c r="I77" s="207"/>
      <c r="J77" s="242">
        <f t="shared" si="17"/>
        <v>0</v>
      </c>
      <c r="K77" s="153"/>
      <c r="V77" s="25">
        <f t="shared" si="18"/>
        <v>0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/>
      <c r="D78" s="161"/>
      <c r="E78" s="161"/>
      <c r="F78" s="222"/>
      <c r="G78" s="222"/>
      <c r="H78" s="222"/>
      <c r="I78" s="207"/>
      <c r="J78" s="242">
        <f t="shared" si="17"/>
        <v>0</v>
      </c>
      <c r="K78" s="153"/>
      <c r="V78" s="25">
        <f t="shared" si="18"/>
        <v>0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/>
      <c r="D79" s="161"/>
      <c r="E79" s="161"/>
      <c r="F79" s="222"/>
      <c r="G79" s="222"/>
      <c r="H79" s="222"/>
      <c r="I79" s="207"/>
      <c r="J79" s="242">
        <f t="shared" si="17"/>
        <v>0</v>
      </c>
      <c r="K79" s="153"/>
      <c r="V79" s="25">
        <f t="shared" si="18"/>
        <v>0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18250</v>
      </c>
      <c r="K83" s="153"/>
      <c r="V83" s="25">
        <f>SUM(V60:V82)</f>
        <v>9</v>
      </c>
      <c r="W83" s="25">
        <f>SUM(W60:W82)</f>
        <v>7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2592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43405</v>
      </c>
      <c r="D91" s="185" t="s">
        <v>8</v>
      </c>
      <c r="E91" s="185" t="s">
        <v>39</v>
      </c>
      <c r="F91" s="219">
        <v>10360</v>
      </c>
      <c r="G91" s="219">
        <v>10390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43406</v>
      </c>
      <c r="D92" s="161" t="s">
        <v>9</v>
      </c>
      <c r="E92" s="161" t="s">
        <v>39</v>
      </c>
      <c r="F92" s="207">
        <v>10590</v>
      </c>
      <c r="G92" s="207">
        <v>10630</v>
      </c>
      <c r="H92" s="161">
        <v>40</v>
      </c>
      <c r="I92" s="207">
        <v>150</v>
      </c>
      <c r="J92" s="242">
        <f t="shared" si="21"/>
        <v>6000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43409</v>
      </c>
      <c r="D93" s="161" t="s">
        <v>8</v>
      </c>
      <c r="E93" s="161" t="s">
        <v>39</v>
      </c>
      <c r="F93" s="207">
        <v>10530</v>
      </c>
      <c r="G93" s="207">
        <v>10512</v>
      </c>
      <c r="H93" s="161">
        <v>18</v>
      </c>
      <c r="I93" s="207">
        <v>150</v>
      </c>
      <c r="J93" s="242">
        <f t="shared" si="21"/>
        <v>2700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43417</v>
      </c>
      <c r="D94" s="161" t="s">
        <v>8</v>
      </c>
      <c r="E94" s="161" t="s">
        <v>39</v>
      </c>
      <c r="F94" s="207">
        <v>10510</v>
      </c>
      <c r="G94" s="207">
        <v>10493</v>
      </c>
      <c r="H94" s="161">
        <v>17</v>
      </c>
      <c r="I94" s="207">
        <v>150</v>
      </c>
      <c r="J94" s="242">
        <f t="shared" si="21"/>
        <v>2550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43418</v>
      </c>
      <c r="D95" s="161" t="s">
        <v>8</v>
      </c>
      <c r="E95" s="161" t="s">
        <v>39</v>
      </c>
      <c r="F95" s="207">
        <v>10620</v>
      </c>
      <c r="G95" s="207">
        <v>10580</v>
      </c>
      <c r="H95" s="161">
        <v>40</v>
      </c>
      <c r="I95" s="207">
        <v>150</v>
      </c>
      <c r="J95" s="242">
        <f t="shared" si="21"/>
        <v>6000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43419</v>
      </c>
      <c r="D96" s="161" t="s">
        <v>9</v>
      </c>
      <c r="E96" s="161" t="s">
        <v>39</v>
      </c>
      <c r="F96" s="207">
        <v>10615</v>
      </c>
      <c r="G96" s="207">
        <v>10675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43420</v>
      </c>
      <c r="D97" s="161" t="s">
        <v>8</v>
      </c>
      <c r="E97" s="161" t="s">
        <v>39</v>
      </c>
      <c r="F97" s="207">
        <v>10685</v>
      </c>
      <c r="G97" s="207">
        <v>10645</v>
      </c>
      <c r="H97" s="161">
        <v>40</v>
      </c>
      <c r="I97" s="207">
        <v>150</v>
      </c>
      <c r="J97" s="242">
        <f t="shared" si="21"/>
        <v>6000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43423</v>
      </c>
      <c r="D98" s="161" t="s">
        <v>8</v>
      </c>
      <c r="E98" s="161" t="s">
        <v>39</v>
      </c>
      <c r="F98" s="207">
        <v>10710</v>
      </c>
      <c r="G98" s="207">
        <v>10695</v>
      </c>
      <c r="H98" s="161">
        <v>15</v>
      </c>
      <c r="I98" s="207">
        <v>150</v>
      </c>
      <c r="J98" s="242">
        <f t="shared" si="21"/>
        <v>2250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43424</v>
      </c>
      <c r="D99" s="161" t="s">
        <v>8</v>
      </c>
      <c r="E99" s="161" t="s">
        <v>39</v>
      </c>
      <c r="F99" s="207">
        <v>10720</v>
      </c>
      <c r="G99" s="207">
        <v>10660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43425</v>
      </c>
      <c r="D100" s="161" t="s">
        <v>8</v>
      </c>
      <c r="E100" s="161" t="s">
        <v>39</v>
      </c>
      <c r="F100" s="207">
        <v>10640</v>
      </c>
      <c r="G100" s="207">
        <v>10580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43426</v>
      </c>
      <c r="D101" s="161" t="s">
        <v>8</v>
      </c>
      <c r="E101" s="161" t="s">
        <v>39</v>
      </c>
      <c r="F101" s="207">
        <v>10630</v>
      </c>
      <c r="G101" s="207">
        <v>10570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43430</v>
      </c>
      <c r="D102" s="161" t="s">
        <v>8</v>
      </c>
      <c r="E102" s="161" t="s">
        <v>39</v>
      </c>
      <c r="F102" s="207">
        <v>10540</v>
      </c>
      <c r="G102" s="207">
        <v>10500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43431</v>
      </c>
      <c r="D103" s="161" t="s">
        <v>8</v>
      </c>
      <c r="E103" s="161" t="s">
        <v>39</v>
      </c>
      <c r="F103" s="207">
        <v>10630</v>
      </c>
      <c r="G103" s="207">
        <v>10590</v>
      </c>
      <c r="H103" s="161">
        <v>40</v>
      </c>
      <c r="I103" s="207">
        <v>150</v>
      </c>
      <c r="J103" s="242">
        <f t="shared" si="21"/>
        <v>6000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43432</v>
      </c>
      <c r="D104" s="161" t="s">
        <v>8</v>
      </c>
      <c r="E104" s="161" t="s">
        <v>39</v>
      </c>
      <c r="F104" s="207">
        <v>10720</v>
      </c>
      <c r="G104" s="207">
        <v>10705</v>
      </c>
      <c r="H104" s="161">
        <v>15</v>
      </c>
      <c r="I104" s="207">
        <v>150</v>
      </c>
      <c r="J104" s="242">
        <f t="shared" si="21"/>
        <v>2250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43433</v>
      </c>
      <c r="D105" s="161" t="s">
        <v>8</v>
      </c>
      <c r="E105" s="161" t="s">
        <v>39</v>
      </c>
      <c r="F105" s="207">
        <v>10800</v>
      </c>
      <c r="G105" s="207">
        <v>10830</v>
      </c>
      <c r="H105" s="161">
        <v>-30</v>
      </c>
      <c r="I105" s="207">
        <v>150</v>
      </c>
      <c r="J105" s="242">
        <f t="shared" si="21"/>
        <v>-4500</v>
      </c>
      <c r="K105" s="153"/>
      <c r="V105" s="25">
        <f t="shared" si="22"/>
        <v>0</v>
      </c>
      <c r="W105" s="25">
        <f t="shared" si="23"/>
        <v>1</v>
      </c>
    </row>
    <row r="106" spans="1:23" x14ac:dyDescent="0.3">
      <c r="A106" s="147"/>
      <c r="B106" s="205">
        <f t="shared" si="24"/>
        <v>16</v>
      </c>
      <c r="C106" s="206">
        <v>43434</v>
      </c>
      <c r="D106" s="161" t="s">
        <v>9</v>
      </c>
      <c r="E106" s="161" t="s">
        <v>39</v>
      </c>
      <c r="F106" s="207">
        <v>10920</v>
      </c>
      <c r="G106" s="207">
        <v>10935</v>
      </c>
      <c r="H106" s="161">
        <v>15</v>
      </c>
      <c r="I106" s="207">
        <v>150</v>
      </c>
      <c r="J106" s="242">
        <f t="shared" si="21"/>
        <v>2250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/>
      <c r="D107" s="161"/>
      <c r="E107" s="161"/>
      <c r="F107" s="207"/>
      <c r="G107" s="207"/>
      <c r="H107" s="161"/>
      <c r="I107" s="207"/>
      <c r="J107" s="242">
        <f t="shared" si="21"/>
        <v>0</v>
      </c>
      <c r="K107" s="153"/>
      <c r="V107" s="25">
        <f t="shared" si="22"/>
        <v>0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/>
      <c r="D108" s="161"/>
      <c r="E108" s="161"/>
      <c r="F108" s="207"/>
      <c r="G108" s="207"/>
      <c r="H108" s="161"/>
      <c r="I108" s="207"/>
      <c r="J108" s="242">
        <f t="shared" si="21"/>
        <v>0</v>
      </c>
      <c r="K108" s="153"/>
      <c r="V108" s="25">
        <f t="shared" si="22"/>
        <v>0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/>
      <c r="D109" s="161"/>
      <c r="E109" s="161"/>
      <c r="F109" s="207"/>
      <c r="G109" s="207"/>
      <c r="H109" s="161"/>
      <c r="I109" s="207"/>
      <c r="J109" s="242">
        <f>I109*H109</f>
        <v>0</v>
      </c>
      <c r="K109" s="153"/>
      <c r="V109" s="25">
        <f t="shared" si="22"/>
        <v>0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69000</v>
      </c>
      <c r="K114" s="153"/>
      <c r="V114" s="25">
        <f>SUM(V91:V113)</f>
        <v>14</v>
      </c>
      <c r="W114" s="25">
        <f>SUM(W91:W113)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2593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43405</v>
      </c>
      <c r="D122" s="185" t="s">
        <v>9</v>
      </c>
      <c r="E122" s="185" t="s">
        <v>2595</v>
      </c>
      <c r="F122" s="219">
        <v>180</v>
      </c>
      <c r="G122" s="219">
        <v>190</v>
      </c>
      <c r="H122" s="185">
        <v>10</v>
      </c>
      <c r="I122" s="219">
        <v>300</v>
      </c>
      <c r="J122" s="246">
        <f t="shared" ref="J122:J144" si="25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43406</v>
      </c>
      <c r="D123" s="161" t="s">
        <v>9</v>
      </c>
      <c r="E123" s="161" t="s">
        <v>2499</v>
      </c>
      <c r="F123" s="207">
        <v>180</v>
      </c>
      <c r="G123" s="207">
        <v>198</v>
      </c>
      <c r="H123" s="161">
        <v>18</v>
      </c>
      <c r="I123" s="207">
        <v>300</v>
      </c>
      <c r="J123" s="242">
        <f t="shared" si="25"/>
        <v>5400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43409</v>
      </c>
      <c r="D124" s="161" t="s">
        <v>9</v>
      </c>
      <c r="E124" s="161" t="s">
        <v>2373</v>
      </c>
      <c r="F124" s="207">
        <v>170</v>
      </c>
      <c r="G124" s="207">
        <v>181</v>
      </c>
      <c r="H124" s="161">
        <v>11</v>
      </c>
      <c r="I124" s="207">
        <v>300</v>
      </c>
      <c r="J124" s="242">
        <f t="shared" si="25"/>
        <v>3300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43417</v>
      </c>
      <c r="D125" s="161" t="s">
        <v>9</v>
      </c>
      <c r="E125" s="161" t="s">
        <v>2373</v>
      </c>
      <c r="F125" s="207">
        <v>145</v>
      </c>
      <c r="G125" s="207">
        <v>155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43418</v>
      </c>
      <c r="D126" s="161" t="s">
        <v>9</v>
      </c>
      <c r="E126" s="161" t="s">
        <v>2412</v>
      </c>
      <c r="F126" s="207">
        <v>120</v>
      </c>
      <c r="G126" s="207">
        <v>155</v>
      </c>
      <c r="H126" s="161">
        <v>35</v>
      </c>
      <c r="I126" s="207">
        <v>300</v>
      </c>
      <c r="J126" s="242">
        <f t="shared" si="25"/>
        <v>10500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43419</v>
      </c>
      <c r="D127" s="161" t="s">
        <v>9</v>
      </c>
      <c r="E127" s="161" t="s">
        <v>2499</v>
      </c>
      <c r="F127" s="207">
        <v>140</v>
      </c>
      <c r="G127" s="207">
        <v>169</v>
      </c>
      <c r="H127" s="161">
        <v>29</v>
      </c>
      <c r="I127" s="207">
        <v>300</v>
      </c>
      <c r="J127" s="242">
        <f t="shared" si="25"/>
        <v>8700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43420</v>
      </c>
      <c r="D128" s="161" t="s">
        <v>9</v>
      </c>
      <c r="E128" s="161" t="s">
        <v>2423</v>
      </c>
      <c r="F128" s="207">
        <v>118</v>
      </c>
      <c r="G128" s="207">
        <v>138</v>
      </c>
      <c r="H128" s="161">
        <v>20</v>
      </c>
      <c r="I128" s="207">
        <v>300</v>
      </c>
      <c r="J128" s="242">
        <f t="shared" si="25"/>
        <v>6000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43423</v>
      </c>
      <c r="D129" s="161" t="s">
        <v>9</v>
      </c>
      <c r="E129" s="161" t="s">
        <v>2423</v>
      </c>
      <c r="F129" s="207">
        <v>103</v>
      </c>
      <c r="G129" s="207">
        <v>83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43424</v>
      </c>
      <c r="D130" s="161" t="s">
        <v>9</v>
      </c>
      <c r="E130" s="161" t="s">
        <v>2423</v>
      </c>
      <c r="F130" s="207">
        <v>92</v>
      </c>
      <c r="G130" s="207">
        <v>112</v>
      </c>
      <c r="H130" s="161">
        <v>20</v>
      </c>
      <c r="I130" s="207">
        <v>300</v>
      </c>
      <c r="J130" s="242">
        <f t="shared" si="25"/>
        <v>6000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43425</v>
      </c>
      <c r="D131" s="161" t="s">
        <v>9</v>
      </c>
      <c r="E131" s="161" t="s">
        <v>2423</v>
      </c>
      <c r="F131" s="207">
        <v>130</v>
      </c>
      <c r="G131" s="207">
        <v>164</v>
      </c>
      <c r="H131" s="161">
        <v>34</v>
      </c>
      <c r="I131" s="207">
        <v>300</v>
      </c>
      <c r="J131" s="242">
        <f t="shared" si="25"/>
        <v>10200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43426</v>
      </c>
      <c r="D132" s="161" t="s">
        <v>9</v>
      </c>
      <c r="E132" s="161" t="s">
        <v>2423</v>
      </c>
      <c r="F132" s="207">
        <v>115</v>
      </c>
      <c r="G132" s="207">
        <v>155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43430</v>
      </c>
      <c r="D133" s="161" t="s">
        <v>9</v>
      </c>
      <c r="E133" s="161" t="s">
        <v>2412</v>
      </c>
      <c r="F133" s="207">
        <v>100</v>
      </c>
      <c r="G133" s="207">
        <v>130</v>
      </c>
      <c r="H133" s="161">
        <v>30</v>
      </c>
      <c r="I133" s="207">
        <v>300</v>
      </c>
      <c r="J133" s="242">
        <f t="shared" si="25"/>
        <v>9000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43431</v>
      </c>
      <c r="D134" s="161" t="s">
        <v>9</v>
      </c>
      <c r="E134" s="161" t="s">
        <v>2423</v>
      </c>
      <c r="F134" s="207">
        <v>92</v>
      </c>
      <c r="G134" s="207">
        <v>121</v>
      </c>
      <c r="H134" s="161">
        <v>29</v>
      </c>
      <c r="I134" s="207">
        <v>300</v>
      </c>
      <c r="J134" s="242">
        <f t="shared" si="25"/>
        <v>8700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43432</v>
      </c>
      <c r="D135" s="161" t="s">
        <v>9</v>
      </c>
      <c r="E135" s="161" t="s">
        <v>2429</v>
      </c>
      <c r="F135" s="207">
        <v>90</v>
      </c>
      <c r="G135" s="207">
        <v>70</v>
      </c>
      <c r="H135" s="161">
        <v>-20</v>
      </c>
      <c r="I135" s="207">
        <v>300</v>
      </c>
      <c r="J135" s="242">
        <f>I135*H135</f>
        <v>-6000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8"/>
        <v>15</v>
      </c>
      <c r="C136" s="206">
        <v>43433</v>
      </c>
      <c r="D136" s="161" t="s">
        <v>9</v>
      </c>
      <c r="E136" s="161" t="s">
        <v>2429</v>
      </c>
      <c r="F136" s="207">
        <v>24</v>
      </c>
      <c r="G136" s="207">
        <v>4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43434</v>
      </c>
      <c r="D137" s="161" t="s">
        <v>9</v>
      </c>
      <c r="E137" s="161" t="s">
        <v>2440</v>
      </c>
      <c r="F137" s="207">
        <v>203</v>
      </c>
      <c r="G137" s="207">
        <v>183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/>
      <c r="D138" s="161"/>
      <c r="E138" s="161"/>
      <c r="F138" s="207"/>
      <c r="G138" s="207"/>
      <c r="H138" s="161"/>
      <c r="I138" s="207"/>
      <c r="J138" s="242">
        <f t="shared" si="25"/>
        <v>0</v>
      </c>
      <c r="K138" s="153"/>
      <c r="V138" s="25">
        <f t="shared" si="26"/>
        <v>0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/>
      <c r="D139" s="161"/>
      <c r="E139" s="161"/>
      <c r="F139" s="207"/>
      <c r="G139" s="207"/>
      <c r="H139" s="161"/>
      <c r="I139" s="207"/>
      <c r="J139" s="242">
        <f t="shared" si="25"/>
        <v>0</v>
      </c>
      <c r="K139" s="153"/>
      <c r="V139" s="25">
        <f t="shared" si="26"/>
        <v>0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61800</v>
      </c>
      <c r="K145" s="153"/>
      <c r="V145" s="25">
        <f>SUM(V122:V144)</f>
        <v>12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2592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43405</v>
      </c>
      <c r="D153" s="185" t="s">
        <v>8</v>
      </c>
      <c r="E153" s="185" t="s">
        <v>301</v>
      </c>
      <c r="F153" s="219">
        <v>25220</v>
      </c>
      <c r="G153" s="219">
        <v>25320</v>
      </c>
      <c r="H153" s="185">
        <v>-100</v>
      </c>
      <c r="I153" s="219">
        <v>40</v>
      </c>
      <c r="J153" s="246">
        <f t="shared" ref="J153:J175" si="29">I153*H153</f>
        <v>-4000</v>
      </c>
      <c r="K153" s="153"/>
      <c r="V153" s="25">
        <f>IF($J153&gt;0,1,0)</f>
        <v>0</v>
      </c>
      <c r="W153" s="25">
        <f>IF($J153&lt;0,1,0)</f>
        <v>1</v>
      </c>
    </row>
    <row r="154" spans="1:23" x14ac:dyDescent="0.3">
      <c r="A154" s="147"/>
      <c r="B154" s="205">
        <f>B153+1</f>
        <v>2</v>
      </c>
      <c r="C154" s="206">
        <v>43406</v>
      </c>
      <c r="D154" s="161" t="s">
        <v>9</v>
      </c>
      <c r="E154" s="161" t="s">
        <v>301</v>
      </c>
      <c r="F154" s="207">
        <v>25780</v>
      </c>
      <c r="G154" s="207">
        <v>25880</v>
      </c>
      <c r="H154" s="161">
        <v>100</v>
      </c>
      <c r="I154" s="207">
        <v>40</v>
      </c>
      <c r="J154" s="242">
        <f t="shared" si="29"/>
        <v>4000</v>
      </c>
      <c r="K154" s="153"/>
      <c r="V154" s="25">
        <f t="shared" ref="V154:V175" si="30">IF($J154&gt;0,1,0)</f>
        <v>1</v>
      </c>
      <c r="W154" s="25">
        <f t="shared" ref="W154:W175" si="31">IF($J154&lt;0,1,0)</f>
        <v>0</v>
      </c>
    </row>
    <row r="155" spans="1:23" x14ac:dyDescent="0.3">
      <c r="A155" s="147"/>
      <c r="B155" s="205">
        <f t="shared" ref="B155:B175" si="32">B154+1</f>
        <v>3</v>
      </c>
      <c r="C155" s="206">
        <v>43409</v>
      </c>
      <c r="D155" s="161" t="s">
        <v>8</v>
      </c>
      <c r="E155" s="161" t="s">
        <v>301</v>
      </c>
      <c r="F155" s="207">
        <v>25680</v>
      </c>
      <c r="G155" s="207">
        <v>25635</v>
      </c>
      <c r="H155" s="161">
        <v>45</v>
      </c>
      <c r="I155" s="207">
        <v>40</v>
      </c>
      <c r="J155" s="242">
        <f t="shared" si="29"/>
        <v>1800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43417</v>
      </c>
      <c r="D156" s="161" t="s">
        <v>8</v>
      </c>
      <c r="E156" s="161" t="s">
        <v>301</v>
      </c>
      <c r="F156" s="207">
        <v>25520</v>
      </c>
      <c r="G156" s="207">
        <v>25465</v>
      </c>
      <c r="H156" s="161">
        <v>55</v>
      </c>
      <c r="I156" s="207">
        <v>40</v>
      </c>
      <c r="J156" s="242">
        <f t="shared" si="29"/>
        <v>2200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43418</v>
      </c>
      <c r="D157" s="161" t="s">
        <v>8</v>
      </c>
      <c r="E157" s="161" t="s">
        <v>301</v>
      </c>
      <c r="F157" s="207">
        <v>25950</v>
      </c>
      <c r="G157" s="207">
        <v>25905</v>
      </c>
      <c r="H157" s="161">
        <v>45</v>
      </c>
      <c r="I157" s="207">
        <v>40</v>
      </c>
      <c r="J157" s="242">
        <f t="shared" si="29"/>
        <v>1800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43419</v>
      </c>
      <c r="D158" s="161" t="s">
        <v>9</v>
      </c>
      <c r="E158" s="161" t="s">
        <v>301</v>
      </c>
      <c r="F158" s="207">
        <v>26000</v>
      </c>
      <c r="G158" s="207">
        <v>26200</v>
      </c>
      <c r="H158" s="161">
        <v>200</v>
      </c>
      <c r="I158" s="207">
        <v>40</v>
      </c>
      <c r="J158" s="242">
        <f t="shared" si="29"/>
        <v>8000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43420</v>
      </c>
      <c r="D159" s="161" t="s">
        <v>8</v>
      </c>
      <c r="E159" s="161" t="s">
        <v>301</v>
      </c>
      <c r="F159" s="207">
        <v>26250</v>
      </c>
      <c r="G159" s="207">
        <v>26150</v>
      </c>
      <c r="H159" s="161">
        <v>100</v>
      </c>
      <c r="I159" s="207">
        <v>40</v>
      </c>
      <c r="J159" s="242">
        <f t="shared" si="29"/>
        <v>4000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43423</v>
      </c>
      <c r="D160" s="161" t="s">
        <v>8</v>
      </c>
      <c r="E160" s="161" t="s">
        <v>301</v>
      </c>
      <c r="F160" s="207">
        <v>26260</v>
      </c>
      <c r="G160" s="207">
        <v>26360</v>
      </c>
      <c r="H160" s="161">
        <v>-100</v>
      </c>
      <c r="I160" s="207">
        <v>40</v>
      </c>
      <c r="J160" s="242">
        <f t="shared" si="29"/>
        <v>-4000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43424</v>
      </c>
      <c r="D161" s="161" t="s">
        <v>8</v>
      </c>
      <c r="E161" s="161" t="s">
        <v>301</v>
      </c>
      <c r="F161" s="207">
        <v>26200</v>
      </c>
      <c r="G161" s="207">
        <v>26100</v>
      </c>
      <c r="H161" s="161">
        <v>100</v>
      </c>
      <c r="I161" s="207">
        <v>40</v>
      </c>
      <c r="J161" s="242">
        <f t="shared" si="29"/>
        <v>4000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43425</v>
      </c>
      <c r="D162" s="161" t="s">
        <v>8</v>
      </c>
      <c r="E162" s="161" t="s">
        <v>301</v>
      </c>
      <c r="F162" s="207">
        <v>26200</v>
      </c>
      <c r="G162" s="207">
        <v>26150</v>
      </c>
      <c r="H162" s="161">
        <v>50</v>
      </c>
      <c r="I162" s="207">
        <v>40</v>
      </c>
      <c r="J162" s="242">
        <f t="shared" si="29"/>
        <v>2000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43426</v>
      </c>
      <c r="D163" s="161" t="s">
        <v>8</v>
      </c>
      <c r="E163" s="161" t="s">
        <v>301</v>
      </c>
      <c r="F163" s="207">
        <v>26300</v>
      </c>
      <c r="G163" s="207">
        <v>26100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43430</v>
      </c>
      <c r="D164" s="161" t="s">
        <v>8</v>
      </c>
      <c r="E164" s="161" t="s">
        <v>301</v>
      </c>
      <c r="F164" s="207">
        <v>26130</v>
      </c>
      <c r="G164" s="207">
        <v>26030</v>
      </c>
      <c r="H164" s="161">
        <v>100</v>
      </c>
      <c r="I164" s="207">
        <v>40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43431</v>
      </c>
      <c r="D165" s="161" t="s">
        <v>8</v>
      </c>
      <c r="E165" s="161" t="s">
        <v>301</v>
      </c>
      <c r="F165" s="207">
        <v>26420</v>
      </c>
      <c r="G165" s="207">
        <v>26260</v>
      </c>
      <c r="H165" s="161">
        <v>160</v>
      </c>
      <c r="I165" s="207">
        <v>40</v>
      </c>
      <c r="J165" s="242">
        <f t="shared" si="29"/>
        <v>6400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43432</v>
      </c>
      <c r="D166" s="161" t="s">
        <v>8</v>
      </c>
      <c r="E166" s="161" t="s">
        <v>301</v>
      </c>
      <c r="F166" s="207">
        <v>26500</v>
      </c>
      <c r="G166" s="207">
        <v>26400</v>
      </c>
      <c r="H166" s="161">
        <v>100</v>
      </c>
      <c r="I166" s="207">
        <v>40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43433</v>
      </c>
      <c r="D167" s="161" t="s">
        <v>8</v>
      </c>
      <c r="E167" s="161" t="s">
        <v>301</v>
      </c>
      <c r="F167" s="207">
        <v>26600</v>
      </c>
      <c r="G167" s="207">
        <v>26700</v>
      </c>
      <c r="H167" s="161">
        <v>-100</v>
      </c>
      <c r="I167" s="207">
        <v>40</v>
      </c>
      <c r="J167" s="242">
        <f t="shared" si="29"/>
        <v>-4000</v>
      </c>
      <c r="K167" s="153"/>
      <c r="V167" s="25">
        <f t="shared" si="30"/>
        <v>0</v>
      </c>
      <c r="W167" s="25">
        <f t="shared" si="31"/>
        <v>1</v>
      </c>
    </row>
    <row r="168" spans="1:23" x14ac:dyDescent="0.3">
      <c r="A168" s="147"/>
      <c r="B168" s="205">
        <f t="shared" si="32"/>
        <v>16</v>
      </c>
      <c r="C168" s="206">
        <v>43434</v>
      </c>
      <c r="D168" s="161" t="s">
        <v>9</v>
      </c>
      <c r="E168" s="161" t="s">
        <v>301</v>
      </c>
      <c r="F168" s="207">
        <v>26940</v>
      </c>
      <c r="G168" s="207">
        <v>26915</v>
      </c>
      <c r="H168" s="161">
        <v>-25</v>
      </c>
      <c r="I168" s="207">
        <v>40</v>
      </c>
      <c r="J168" s="242">
        <f t="shared" si="29"/>
        <v>-1000</v>
      </c>
      <c r="K168" s="153"/>
      <c r="V168" s="25">
        <f t="shared" si="30"/>
        <v>0</v>
      </c>
      <c r="W168" s="25">
        <f t="shared" si="31"/>
        <v>1</v>
      </c>
    </row>
    <row r="169" spans="1:23" x14ac:dyDescent="0.3">
      <c r="A169" s="147"/>
      <c r="B169" s="205">
        <f t="shared" si="32"/>
        <v>17</v>
      </c>
      <c r="C169" s="206"/>
      <c r="D169" s="161"/>
      <c r="E169" s="161"/>
      <c r="F169" s="207"/>
      <c r="G169" s="207"/>
      <c r="H169" s="161"/>
      <c r="I169" s="207"/>
      <c r="J169" s="242">
        <f t="shared" si="29"/>
        <v>0</v>
      </c>
      <c r="K169" s="153"/>
      <c r="V169" s="25">
        <f t="shared" si="30"/>
        <v>0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/>
      <c r="D170" s="161"/>
      <c r="E170" s="161"/>
      <c r="F170" s="207"/>
      <c r="G170" s="207"/>
      <c r="H170" s="161"/>
      <c r="I170" s="207"/>
      <c r="J170" s="242">
        <f t="shared" si="29"/>
        <v>0</v>
      </c>
      <c r="K170" s="153"/>
      <c r="V170" s="25">
        <f t="shared" si="30"/>
        <v>0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/>
      <c r="D171" s="161"/>
      <c r="E171" s="161"/>
      <c r="F171" s="207"/>
      <c r="G171" s="207"/>
      <c r="H171" s="161"/>
      <c r="I171" s="207"/>
      <c r="J171" s="242">
        <f t="shared" si="29"/>
        <v>0</v>
      </c>
      <c r="K171" s="153"/>
      <c r="V171" s="25">
        <f t="shared" si="30"/>
        <v>0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37200</v>
      </c>
      <c r="K176" s="153"/>
      <c r="V176" s="25">
        <f>SUM(V153:V175)</f>
        <v>12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2592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43405</v>
      </c>
      <c r="D184" s="185" t="s">
        <v>9</v>
      </c>
      <c r="E184" s="185" t="s">
        <v>2377</v>
      </c>
      <c r="F184" s="219">
        <v>540</v>
      </c>
      <c r="G184" s="219">
        <v>590</v>
      </c>
      <c r="H184" s="185">
        <v>50</v>
      </c>
      <c r="I184" s="219">
        <v>80</v>
      </c>
      <c r="J184" s="246">
        <f t="shared" ref="J184:J206" si="33">I184*H184</f>
        <v>4000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43406</v>
      </c>
      <c r="D185" s="161" t="s">
        <v>9</v>
      </c>
      <c r="E185" s="161" t="s">
        <v>2397</v>
      </c>
      <c r="F185" s="207">
        <v>160</v>
      </c>
      <c r="G185" s="207">
        <v>190</v>
      </c>
      <c r="H185" s="161">
        <v>30</v>
      </c>
      <c r="I185" s="207">
        <v>80</v>
      </c>
      <c r="J185" s="242">
        <f t="shared" si="33"/>
        <v>2400</v>
      </c>
      <c r="K185" s="153"/>
      <c r="V185" s="25">
        <f t="shared" ref="V185:V206" si="34">IF($J185&gt;0,1,0)</f>
        <v>1</v>
      </c>
      <c r="W185" s="25">
        <f t="shared" ref="W185:W206" si="35">IF($J185&lt;0,1,0)</f>
        <v>0</v>
      </c>
    </row>
    <row r="186" spans="1:23" x14ac:dyDescent="0.3">
      <c r="A186" s="147"/>
      <c r="B186" s="205">
        <f t="shared" ref="B186:B206" si="36">B185+1</f>
        <v>3</v>
      </c>
      <c r="C186" s="206">
        <v>43409</v>
      </c>
      <c r="D186" s="161" t="s">
        <v>9</v>
      </c>
      <c r="E186" s="161" t="s">
        <v>2410</v>
      </c>
      <c r="F186" s="207">
        <v>180</v>
      </c>
      <c r="G186" s="207">
        <v>205</v>
      </c>
      <c r="H186" s="161">
        <v>25</v>
      </c>
      <c r="I186" s="207">
        <v>80</v>
      </c>
      <c r="J186" s="242">
        <f t="shared" si="33"/>
        <v>2000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43417</v>
      </c>
      <c r="D187" s="161" t="s">
        <v>9</v>
      </c>
      <c r="E187" s="161" t="s">
        <v>2374</v>
      </c>
      <c r="F187" s="207">
        <v>190</v>
      </c>
      <c r="G187" s="207">
        <v>220</v>
      </c>
      <c r="H187" s="161">
        <v>30</v>
      </c>
      <c r="I187" s="207">
        <v>80</v>
      </c>
      <c r="J187" s="242">
        <f t="shared" si="33"/>
        <v>2400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43418</v>
      </c>
      <c r="D188" s="161" t="s">
        <v>9</v>
      </c>
      <c r="E188" s="161" t="s">
        <v>2399</v>
      </c>
      <c r="F188" s="207">
        <v>160</v>
      </c>
      <c r="G188" s="207">
        <v>220</v>
      </c>
      <c r="H188" s="161">
        <v>60</v>
      </c>
      <c r="I188" s="207">
        <v>80</v>
      </c>
      <c r="J188" s="242">
        <f t="shared" si="33"/>
        <v>4800</v>
      </c>
      <c r="K188" s="153"/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43419</v>
      </c>
      <c r="D189" s="161" t="s">
        <v>9</v>
      </c>
      <c r="E189" s="161" t="s">
        <v>2487</v>
      </c>
      <c r="F189" s="207">
        <v>55</v>
      </c>
      <c r="G189" s="207">
        <v>135</v>
      </c>
      <c r="H189" s="161">
        <v>80</v>
      </c>
      <c r="I189" s="207">
        <v>80</v>
      </c>
      <c r="J189" s="242">
        <f t="shared" si="33"/>
        <v>6400</v>
      </c>
      <c r="K189" s="153"/>
      <c r="V189" s="25">
        <f t="shared" si="34"/>
        <v>1</v>
      </c>
      <c r="W189" s="25">
        <f t="shared" si="35"/>
        <v>0</v>
      </c>
    </row>
    <row r="190" spans="1:23" x14ac:dyDescent="0.3">
      <c r="A190" s="147"/>
      <c r="B190" s="205">
        <f t="shared" si="36"/>
        <v>7</v>
      </c>
      <c r="C190" s="206">
        <v>43420</v>
      </c>
      <c r="D190" s="161" t="s">
        <v>9</v>
      </c>
      <c r="E190" s="161" t="s">
        <v>2515</v>
      </c>
      <c r="F190" s="207">
        <v>240</v>
      </c>
      <c r="G190" s="207">
        <v>300</v>
      </c>
      <c r="H190" s="161">
        <v>60</v>
      </c>
      <c r="I190" s="207">
        <v>80</v>
      </c>
      <c r="J190" s="242">
        <f t="shared" si="33"/>
        <v>4800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43423</v>
      </c>
      <c r="D191" s="161" t="s">
        <v>9</v>
      </c>
      <c r="E191" s="161" t="s">
        <v>2515</v>
      </c>
      <c r="F191" s="207">
        <v>250</v>
      </c>
      <c r="G191" s="207">
        <v>190</v>
      </c>
      <c r="H191" s="161">
        <v>-60</v>
      </c>
      <c r="I191" s="207">
        <v>80</v>
      </c>
      <c r="J191" s="242">
        <f t="shared" si="33"/>
        <v>-4800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43424</v>
      </c>
      <c r="D192" s="161" t="s">
        <v>9</v>
      </c>
      <c r="E192" s="161" t="s">
        <v>2457</v>
      </c>
      <c r="F192" s="207">
        <v>180</v>
      </c>
      <c r="G192" s="207">
        <v>220</v>
      </c>
      <c r="H192" s="161">
        <v>40</v>
      </c>
      <c r="I192" s="207">
        <v>80</v>
      </c>
      <c r="J192" s="242">
        <f t="shared" si="33"/>
        <v>3200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43425</v>
      </c>
      <c r="D193" s="161" t="s">
        <v>9</v>
      </c>
      <c r="E193" s="161" t="s">
        <v>2457</v>
      </c>
      <c r="F193" s="207">
        <v>140</v>
      </c>
      <c r="G193" s="207">
        <v>170</v>
      </c>
      <c r="H193" s="161">
        <v>30</v>
      </c>
      <c r="I193" s="207">
        <v>80</v>
      </c>
      <c r="J193" s="242">
        <f t="shared" si="33"/>
        <v>2400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43426</v>
      </c>
      <c r="D194" s="161" t="s">
        <v>9</v>
      </c>
      <c r="E194" s="161" t="s">
        <v>2515</v>
      </c>
      <c r="F194" s="207">
        <v>80</v>
      </c>
      <c r="G194" s="207">
        <v>200</v>
      </c>
      <c r="H194" s="161">
        <v>120</v>
      </c>
      <c r="I194" s="207">
        <v>80</v>
      </c>
      <c r="J194" s="242">
        <f t="shared" si="33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43430</v>
      </c>
      <c r="D195" s="161" t="s">
        <v>9</v>
      </c>
      <c r="E195" s="161" t="s">
        <v>2430</v>
      </c>
      <c r="F195" s="207">
        <v>170</v>
      </c>
      <c r="G195" s="207">
        <v>205</v>
      </c>
      <c r="H195" s="161">
        <v>35</v>
      </c>
      <c r="I195" s="207">
        <v>80</v>
      </c>
      <c r="J195" s="242">
        <f t="shared" si="33"/>
        <v>2800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43431</v>
      </c>
      <c r="D196" s="161" t="s">
        <v>9</v>
      </c>
      <c r="E196" s="161" t="s">
        <v>2505</v>
      </c>
      <c r="F196" s="207">
        <v>140</v>
      </c>
      <c r="G196" s="207">
        <v>225</v>
      </c>
      <c r="H196" s="161">
        <v>85</v>
      </c>
      <c r="I196" s="207">
        <v>80</v>
      </c>
      <c r="J196" s="242">
        <f t="shared" si="33"/>
        <v>6800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43432</v>
      </c>
      <c r="D197" s="161" t="s">
        <v>9</v>
      </c>
      <c r="E197" s="161" t="s">
        <v>2502</v>
      </c>
      <c r="F197" s="207">
        <v>120</v>
      </c>
      <c r="G197" s="207">
        <v>145</v>
      </c>
      <c r="H197" s="161">
        <v>25</v>
      </c>
      <c r="I197" s="207">
        <v>80</v>
      </c>
      <c r="J197" s="242">
        <f t="shared" si="33"/>
        <v>2000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43433</v>
      </c>
      <c r="D198" s="161" t="s">
        <v>9</v>
      </c>
      <c r="E198" s="161" t="s">
        <v>2509</v>
      </c>
      <c r="F198" s="207">
        <v>70</v>
      </c>
      <c r="G198" s="207">
        <v>10</v>
      </c>
      <c r="H198" s="161">
        <v>-60</v>
      </c>
      <c r="I198" s="207">
        <v>80</v>
      </c>
      <c r="J198" s="242">
        <f t="shared" si="33"/>
        <v>-4800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43434</v>
      </c>
      <c r="D199" s="161" t="s">
        <v>9</v>
      </c>
      <c r="E199" s="161" t="s">
        <v>2441</v>
      </c>
      <c r="F199" s="207">
        <v>160</v>
      </c>
      <c r="G199" s="207">
        <v>145</v>
      </c>
      <c r="H199" s="161">
        <v>-15</v>
      </c>
      <c r="I199" s="207">
        <v>80</v>
      </c>
      <c r="J199" s="242">
        <f t="shared" si="33"/>
        <v>-1200</v>
      </c>
      <c r="K199" s="153"/>
      <c r="V199" s="25">
        <f t="shared" si="34"/>
        <v>0</v>
      </c>
      <c r="W199" s="25">
        <f t="shared" si="35"/>
        <v>1</v>
      </c>
    </row>
    <row r="200" spans="1:23" x14ac:dyDescent="0.3">
      <c r="A200" s="147"/>
      <c r="B200" s="205">
        <f t="shared" si="36"/>
        <v>17</v>
      </c>
      <c r="C200" s="206"/>
      <c r="D200" s="161"/>
      <c r="E200" s="161"/>
      <c r="F200" s="207"/>
      <c r="G200" s="207"/>
      <c r="H200" s="161"/>
      <c r="I200" s="207"/>
      <c r="J200" s="242">
        <f t="shared" si="33"/>
        <v>0</v>
      </c>
      <c r="K200" s="153"/>
      <c r="V200" s="25">
        <f t="shared" si="34"/>
        <v>0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/>
      <c r="D201" s="161"/>
      <c r="E201" s="161"/>
      <c r="F201" s="207"/>
      <c r="G201" s="207"/>
      <c r="H201" s="161"/>
      <c r="I201" s="207"/>
      <c r="J201" s="242">
        <f t="shared" si="33"/>
        <v>0</v>
      </c>
      <c r="K201" s="153"/>
      <c r="V201" s="25">
        <f t="shared" si="34"/>
        <v>0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/>
      <c r="D202" s="161"/>
      <c r="E202" s="161"/>
      <c r="F202" s="207"/>
      <c r="G202" s="207"/>
      <c r="H202" s="161"/>
      <c r="I202" s="207"/>
      <c r="J202" s="242">
        <f t="shared" si="33"/>
        <v>0</v>
      </c>
      <c r="K202" s="153"/>
      <c r="V202" s="25">
        <f t="shared" si="34"/>
        <v>0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42800</v>
      </c>
      <c r="K207" s="153"/>
      <c r="V207" s="25">
        <f>SUM(V184:V206)</f>
        <v>13</v>
      </c>
      <c r="W207" s="25">
        <f>SUM(W184:W206)</f>
        <v>3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2592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43405</v>
      </c>
      <c r="D215" s="185" t="s">
        <v>9</v>
      </c>
      <c r="E215" s="185" t="s">
        <v>2581</v>
      </c>
      <c r="F215" s="231">
        <v>40</v>
      </c>
      <c r="G215" s="231">
        <v>44</v>
      </c>
      <c r="H215" s="231">
        <v>4</v>
      </c>
      <c r="I215" s="219">
        <v>500</v>
      </c>
      <c r="J215" s="246">
        <f t="shared" ref="J215:J237" si="37">I215*H215</f>
        <v>2000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43406</v>
      </c>
      <c r="D216" s="161" t="s">
        <v>9</v>
      </c>
      <c r="E216" s="161" t="s">
        <v>2594</v>
      </c>
      <c r="F216" s="222">
        <v>47</v>
      </c>
      <c r="G216" s="222">
        <v>52</v>
      </c>
      <c r="H216" s="255">
        <v>5</v>
      </c>
      <c r="I216" s="207">
        <v>300</v>
      </c>
      <c r="J216" s="242">
        <f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43409</v>
      </c>
      <c r="D217" s="161" t="s">
        <v>9</v>
      </c>
      <c r="E217" s="161" t="s">
        <v>2551</v>
      </c>
      <c r="F217" s="222">
        <v>23</v>
      </c>
      <c r="G217" s="222">
        <v>25.5</v>
      </c>
      <c r="H217" s="222">
        <v>2.5</v>
      </c>
      <c r="I217" s="207">
        <v>1200</v>
      </c>
      <c r="J217" s="242">
        <f t="shared" si="37"/>
        <v>3000</v>
      </c>
      <c r="K217" s="153"/>
      <c r="V217" s="25">
        <f t="shared" ref="V217:V237" si="39">IF($J217&gt;0,1,0)</f>
        <v>1</v>
      </c>
      <c r="W217" s="25">
        <f t="shared" ref="W217:W237" si="40">IF($J217&lt;0,1,0)</f>
        <v>0</v>
      </c>
    </row>
    <row r="218" spans="1:23" x14ac:dyDescent="0.3">
      <c r="A218" s="147"/>
      <c r="B218" s="205">
        <f t="shared" si="38"/>
        <v>4</v>
      </c>
      <c r="C218" s="206">
        <v>43417</v>
      </c>
      <c r="D218" s="161" t="s">
        <v>9</v>
      </c>
      <c r="E218" s="161" t="s">
        <v>2006</v>
      </c>
      <c r="F218" s="222">
        <v>7.5</v>
      </c>
      <c r="G218" s="222">
        <v>6.1</v>
      </c>
      <c r="H218" s="222">
        <v>-1.4</v>
      </c>
      <c r="I218" s="207">
        <v>3000</v>
      </c>
      <c r="J218" s="242">
        <f t="shared" si="37"/>
        <v>-4200</v>
      </c>
      <c r="K218" s="153"/>
      <c r="V218" s="25">
        <f t="shared" si="39"/>
        <v>0</v>
      </c>
      <c r="W218" s="25">
        <f t="shared" si="40"/>
        <v>1</v>
      </c>
    </row>
    <row r="219" spans="1:23" x14ac:dyDescent="0.3">
      <c r="A219" s="147"/>
      <c r="B219" s="205">
        <f t="shared" si="38"/>
        <v>5</v>
      </c>
      <c r="C219" s="206">
        <v>43418</v>
      </c>
      <c r="D219" s="161" t="s">
        <v>9</v>
      </c>
      <c r="E219" s="161" t="s">
        <v>2596</v>
      </c>
      <c r="F219" s="222">
        <v>19</v>
      </c>
      <c r="G219" s="222">
        <v>14</v>
      </c>
      <c r="H219" s="222">
        <v>-5</v>
      </c>
      <c r="I219" s="207">
        <v>1061</v>
      </c>
      <c r="J219" s="242">
        <f t="shared" si="37"/>
        <v>-5305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43419</v>
      </c>
      <c r="D220" s="161" t="s">
        <v>9</v>
      </c>
      <c r="E220" s="161" t="s">
        <v>2597</v>
      </c>
      <c r="F220" s="222">
        <v>2.6</v>
      </c>
      <c r="G220" s="222">
        <v>4.5999999999999996</v>
      </c>
      <c r="H220" s="222">
        <v>2</v>
      </c>
      <c r="I220" s="207">
        <v>4000</v>
      </c>
      <c r="J220" s="242">
        <f t="shared" si="37"/>
        <v>8000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43420</v>
      </c>
      <c r="D221" s="161" t="s">
        <v>9</v>
      </c>
      <c r="E221" s="161" t="s">
        <v>2598</v>
      </c>
      <c r="F221" s="222">
        <v>14</v>
      </c>
      <c r="G221" s="222">
        <v>22</v>
      </c>
      <c r="H221" s="222">
        <v>8</v>
      </c>
      <c r="I221" s="207">
        <v>1300</v>
      </c>
      <c r="J221" s="242">
        <f t="shared" si="37"/>
        <v>10400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43423</v>
      </c>
      <c r="D222" s="161" t="s">
        <v>9</v>
      </c>
      <c r="E222" s="161" t="s">
        <v>2425</v>
      </c>
      <c r="F222" s="222">
        <v>64</v>
      </c>
      <c r="G222" s="222">
        <v>80</v>
      </c>
      <c r="H222" s="222">
        <v>16</v>
      </c>
      <c r="I222" s="207">
        <v>250</v>
      </c>
      <c r="J222" s="242">
        <f t="shared" si="37"/>
        <v>4000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43424</v>
      </c>
      <c r="D223" s="161" t="s">
        <v>9</v>
      </c>
      <c r="E223" s="161" t="s">
        <v>2599</v>
      </c>
      <c r="F223" s="222">
        <v>6.5</v>
      </c>
      <c r="G223" s="222">
        <v>8.5</v>
      </c>
      <c r="H223" s="255">
        <v>2</v>
      </c>
      <c r="I223" s="207">
        <v>2750</v>
      </c>
      <c r="J223" s="242">
        <f t="shared" si="37"/>
        <v>5500</v>
      </c>
      <c r="K223" s="153"/>
      <c r="V223" s="25">
        <f t="shared" si="39"/>
        <v>1</v>
      </c>
      <c r="W223" s="25">
        <f t="shared" si="40"/>
        <v>0</v>
      </c>
    </row>
    <row r="224" spans="1:23" x14ac:dyDescent="0.3">
      <c r="A224" s="147"/>
      <c r="B224" s="205">
        <f t="shared" si="38"/>
        <v>10</v>
      </c>
      <c r="C224" s="206">
        <v>43425</v>
      </c>
      <c r="D224" s="161" t="s">
        <v>9</v>
      </c>
      <c r="E224" s="161" t="s">
        <v>2528</v>
      </c>
      <c r="F224" s="222">
        <v>16</v>
      </c>
      <c r="G224" s="222">
        <v>25</v>
      </c>
      <c r="H224" s="255">
        <v>9</v>
      </c>
      <c r="I224" s="207">
        <v>500</v>
      </c>
      <c r="J224" s="242">
        <f t="shared" si="37"/>
        <v>4500</v>
      </c>
      <c r="K224" s="153"/>
      <c r="V224" s="25">
        <f t="shared" si="39"/>
        <v>1</v>
      </c>
      <c r="W224" s="25">
        <f t="shared" si="40"/>
        <v>0</v>
      </c>
    </row>
    <row r="225" spans="1:23" x14ac:dyDescent="0.3">
      <c r="A225" s="147"/>
      <c r="B225" s="205">
        <f t="shared" si="38"/>
        <v>11</v>
      </c>
      <c r="C225" s="206">
        <v>43426</v>
      </c>
      <c r="D225" s="161" t="s">
        <v>9</v>
      </c>
      <c r="E225" s="161" t="s">
        <v>2600</v>
      </c>
      <c r="F225" s="222">
        <v>9.5</v>
      </c>
      <c r="G225" s="222">
        <v>11.2</v>
      </c>
      <c r="H225" s="255">
        <v>1.7</v>
      </c>
      <c r="I225" s="207">
        <v>1300</v>
      </c>
      <c r="J225" s="242">
        <f t="shared" si="37"/>
        <v>2210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43430</v>
      </c>
      <c r="D226" s="161" t="s">
        <v>9</v>
      </c>
      <c r="E226" s="161" t="s">
        <v>2601</v>
      </c>
      <c r="F226" s="222">
        <v>5</v>
      </c>
      <c r="G226" s="222">
        <v>6.2</v>
      </c>
      <c r="H226" s="255">
        <v>1.2</v>
      </c>
      <c r="I226" s="207">
        <v>2500</v>
      </c>
      <c r="J226" s="242">
        <f t="shared" si="37"/>
        <v>3000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43431</v>
      </c>
      <c r="D227" s="161" t="s">
        <v>9</v>
      </c>
      <c r="E227" s="161" t="s">
        <v>2602</v>
      </c>
      <c r="F227" s="222">
        <v>4</v>
      </c>
      <c r="G227" s="222">
        <v>5.5</v>
      </c>
      <c r="H227" s="255">
        <v>1.5</v>
      </c>
      <c r="I227" s="207">
        <v>2750</v>
      </c>
      <c r="J227" s="242">
        <f t="shared" si="37"/>
        <v>4125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43432</v>
      </c>
      <c r="D228" s="161" t="s">
        <v>9</v>
      </c>
      <c r="E228" s="161" t="s">
        <v>2527</v>
      </c>
      <c r="F228" s="222">
        <v>15</v>
      </c>
      <c r="G228" s="222">
        <v>25</v>
      </c>
      <c r="H228" s="255">
        <v>10</v>
      </c>
      <c r="I228" s="207">
        <v>500</v>
      </c>
      <c r="J228" s="242">
        <f>I228*H228</f>
        <v>5000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43433</v>
      </c>
      <c r="D229" s="161" t="s">
        <v>9</v>
      </c>
      <c r="E229" s="161" t="s">
        <v>2603</v>
      </c>
      <c r="F229" s="222">
        <v>14</v>
      </c>
      <c r="G229" s="222">
        <v>8</v>
      </c>
      <c r="H229" s="255">
        <v>-6</v>
      </c>
      <c r="I229" s="207">
        <v>500</v>
      </c>
      <c r="J229" s="242">
        <f t="shared" si="37"/>
        <v>-3000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43434</v>
      </c>
      <c r="D230" s="161" t="s">
        <v>9</v>
      </c>
      <c r="E230" s="161" t="s">
        <v>2604</v>
      </c>
      <c r="F230" s="222">
        <v>29</v>
      </c>
      <c r="G230" s="222">
        <v>22</v>
      </c>
      <c r="H230" s="222">
        <v>-7</v>
      </c>
      <c r="I230" s="207">
        <v>500</v>
      </c>
      <c r="J230" s="242">
        <f t="shared" si="37"/>
        <v>-3500</v>
      </c>
      <c r="K230" s="153"/>
      <c r="V230" s="25">
        <f t="shared" si="39"/>
        <v>0</v>
      </c>
      <c r="W230" s="25">
        <f t="shared" si="40"/>
        <v>1</v>
      </c>
    </row>
    <row r="231" spans="1:23" x14ac:dyDescent="0.3">
      <c r="A231" s="147"/>
      <c r="B231" s="205">
        <f t="shared" si="38"/>
        <v>17</v>
      </c>
      <c r="C231" s="206"/>
      <c r="D231" s="161"/>
      <c r="E231" s="161"/>
      <c r="F231" s="222"/>
      <c r="G231" s="222"/>
      <c r="H231" s="222"/>
      <c r="I231" s="207"/>
      <c r="J231" s="242">
        <f t="shared" si="37"/>
        <v>0</v>
      </c>
      <c r="K231" s="153"/>
      <c r="V231" s="25">
        <f t="shared" si="39"/>
        <v>0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37230</v>
      </c>
      <c r="K238" s="153"/>
      <c r="V238" s="25">
        <f>SUM(V215:V237)</f>
        <v>12</v>
      </c>
      <c r="W238" s="25">
        <f>SUM(W215:W237)</f>
        <v>4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300-000000000000}"/>
    <hyperlink ref="B83" r:id="rId2" xr:uid="{00000000-0004-0000-4300-000001000000}"/>
    <hyperlink ref="B114" r:id="rId3" xr:uid="{00000000-0004-0000-4300-000002000000}"/>
    <hyperlink ref="B145" r:id="rId4" xr:uid="{00000000-0004-0000-4300-000003000000}"/>
    <hyperlink ref="B176" r:id="rId5" xr:uid="{00000000-0004-0000-4300-000004000000}"/>
    <hyperlink ref="B207" r:id="rId6" xr:uid="{00000000-0004-0000-4300-000005000000}"/>
    <hyperlink ref="B238" r:id="rId7" xr:uid="{00000000-0004-0000-4300-000006000000}"/>
    <hyperlink ref="M1" location="'MASTER '!A1" display="Back" xr:uid="{00000000-0004-0000-4300-000007000000}"/>
    <hyperlink ref="M8:M9" location="'NOV-2018'!A108" display="NIFTY FUTURE" xr:uid="{00000000-0004-0000-4300-000008000000}"/>
    <hyperlink ref="M10:M11" location="'NOV-2018'!A139" display="NF. OPTION" xr:uid="{00000000-0004-0000-4300-000009000000}"/>
    <hyperlink ref="M12:M13" location="'NOV-2018'!A170" display="BANK NIFTY" xr:uid="{00000000-0004-0000-4300-00000A000000}"/>
    <hyperlink ref="M14:M15" location="'NOV-2018'!A201" display="B.NIFTY OPTION" xr:uid="{00000000-0004-0000-4300-00000B000000}"/>
    <hyperlink ref="M16:M17" location="'NOV-2018'!A232" display="STOCK OPTION" xr:uid="{00000000-0004-0000-4300-00000C000000}"/>
    <hyperlink ref="M6:M7" location="'NOV-2018'!A77" display="STOCK FUTURE" xr:uid="{00000000-0004-0000-4300-00000D000000}"/>
    <hyperlink ref="M4:M5" location="'NOV-2018'!A1" display="CASH" xr:uid="{00000000-0004-0000-4300-00000E000000}"/>
  </hyperlinks>
  <pageMargins left="0" right="0" top="0" bottom="0" header="0" footer="0"/>
  <pageSetup scale="95" orientation="portrait" r:id="rId8"/>
  <drawing r:id="rId9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239"/>
  <sheetViews>
    <sheetView topLeftCell="A5" workbookViewId="0">
      <selection activeCell="N122" sqref="N122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109375" style="236" customWidth="1"/>
    <col min="9" max="9" width="12.109375" style="201" customWidth="1"/>
    <col min="10" max="10" width="12.109375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2605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37</v>
      </c>
      <c r="O4" s="354">
        <f>V52</f>
        <v>21</v>
      </c>
      <c r="P4" s="354">
        <f>W52</f>
        <v>16</v>
      </c>
      <c r="Q4" s="355">
        <f>N4-O4-P4</f>
        <v>0</v>
      </c>
      <c r="R4" s="314">
        <f>O4/N4</f>
        <v>0.56756756756756754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43437</v>
      </c>
      <c r="D6" s="158" t="s">
        <v>9</v>
      </c>
      <c r="E6" s="158" t="s">
        <v>395</v>
      </c>
      <c r="F6" s="204">
        <v>2710</v>
      </c>
      <c r="G6" s="230">
        <v>2690</v>
      </c>
      <c r="H6" s="158">
        <v>-20</v>
      </c>
      <c r="I6" s="204">
        <f>300000/F6</f>
        <v>110.70110701107011</v>
      </c>
      <c r="J6" s="241">
        <f>H6*I6</f>
        <v>-2214.022140221402</v>
      </c>
      <c r="K6" s="153"/>
      <c r="M6" s="389" t="s">
        <v>450</v>
      </c>
      <c r="N6" s="343">
        <f>COUNT(C60:C82)</f>
        <v>19</v>
      </c>
      <c r="O6" s="345">
        <f>V83</f>
        <v>16</v>
      </c>
      <c r="P6" s="345">
        <f>W83</f>
        <v>3</v>
      </c>
      <c r="Q6" s="347">
        <f>N6-O6-P6</f>
        <v>0</v>
      </c>
      <c r="R6" s="340">
        <f t="shared" ref="R6" si="0">O6/N6</f>
        <v>0.84210526315789469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43437</v>
      </c>
      <c r="D7" s="161" t="s">
        <v>8</v>
      </c>
      <c r="E7" s="161" t="s">
        <v>31</v>
      </c>
      <c r="F7" s="207">
        <v>1164</v>
      </c>
      <c r="G7" s="207">
        <v>1149</v>
      </c>
      <c r="H7" s="234">
        <v>15</v>
      </c>
      <c r="I7" s="207">
        <f t="shared" ref="I7:I10" si="1">300000/F7</f>
        <v>257.73195876288662</v>
      </c>
      <c r="J7" s="242">
        <f t="shared" ref="J7:J10" si="2">H7*I7</f>
        <v>3865.9793814432992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43438</v>
      </c>
      <c r="D8" s="161" t="s">
        <v>9</v>
      </c>
      <c r="E8" s="161" t="s">
        <v>49</v>
      </c>
      <c r="F8" s="207">
        <v>1343</v>
      </c>
      <c r="G8" s="222">
        <v>1333</v>
      </c>
      <c r="H8" s="222">
        <v>-10</v>
      </c>
      <c r="I8" s="207">
        <f t="shared" si="1"/>
        <v>223.38049143708116</v>
      </c>
      <c r="J8" s="242">
        <f t="shared" si="2"/>
        <v>-2233.8049143708117</v>
      </c>
      <c r="K8" s="153"/>
      <c r="M8" s="389" t="s">
        <v>451</v>
      </c>
      <c r="N8" s="343">
        <f>COUNT(C91:C113)</f>
        <v>19</v>
      </c>
      <c r="O8" s="345">
        <f>V114</f>
        <v>18</v>
      </c>
      <c r="P8" s="345">
        <f>W114</f>
        <v>1</v>
      </c>
      <c r="Q8" s="347">
        <f>N8-O8-P8</f>
        <v>0</v>
      </c>
      <c r="R8" s="340">
        <f t="shared" ref="R8" si="6">O8/N8</f>
        <v>0.94736842105263153</v>
      </c>
      <c r="V8" s="25">
        <f t="shared" si="3"/>
        <v>0</v>
      </c>
      <c r="W8" s="25">
        <f t="shared" si="4"/>
        <v>1</v>
      </c>
    </row>
    <row r="9" spans="1:23" x14ac:dyDescent="0.3">
      <c r="A9" s="147"/>
      <c r="B9" s="205">
        <f t="shared" si="5"/>
        <v>4</v>
      </c>
      <c r="C9" s="206">
        <v>43438</v>
      </c>
      <c r="D9" s="161" t="s">
        <v>8</v>
      </c>
      <c r="E9" s="161" t="s">
        <v>31</v>
      </c>
      <c r="F9" s="222">
        <v>1152</v>
      </c>
      <c r="G9" s="222">
        <v>1144</v>
      </c>
      <c r="H9" s="222">
        <v>8</v>
      </c>
      <c r="I9" s="207">
        <f t="shared" si="1"/>
        <v>260.41666666666669</v>
      </c>
      <c r="J9" s="242">
        <f t="shared" si="2"/>
        <v>2083.3333333333335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43439</v>
      </c>
      <c r="D10" s="161" t="s">
        <v>9</v>
      </c>
      <c r="E10" s="161" t="s">
        <v>31</v>
      </c>
      <c r="F10" s="222">
        <v>1148</v>
      </c>
      <c r="G10" s="222">
        <v>1158</v>
      </c>
      <c r="H10" s="222">
        <v>10</v>
      </c>
      <c r="I10" s="207">
        <f t="shared" si="1"/>
        <v>261.32404181184671</v>
      </c>
      <c r="J10" s="242">
        <f t="shared" si="2"/>
        <v>2613.240418118467</v>
      </c>
      <c r="K10" s="153"/>
      <c r="M10" s="389" t="s">
        <v>1176</v>
      </c>
      <c r="N10" s="343">
        <f>COUNT(C122:C144)</f>
        <v>19</v>
      </c>
      <c r="O10" s="345">
        <f>V145</f>
        <v>17</v>
      </c>
      <c r="P10" s="345">
        <f>W145</f>
        <v>2</v>
      </c>
      <c r="Q10" s="347">
        <f>N10-O10-P10</f>
        <v>0</v>
      </c>
      <c r="R10" s="340">
        <f t="shared" ref="R10:R16" si="7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43439</v>
      </c>
      <c r="D11" s="161" t="s">
        <v>8</v>
      </c>
      <c r="E11" s="161" t="s">
        <v>137</v>
      </c>
      <c r="F11" s="222">
        <v>1792</v>
      </c>
      <c r="G11" s="222">
        <v>1812</v>
      </c>
      <c r="H11" s="255">
        <v>-20</v>
      </c>
      <c r="I11" s="207">
        <f t="shared" ref="I11:I42" si="8">300000/F11</f>
        <v>167.41071428571428</v>
      </c>
      <c r="J11" s="242">
        <f t="shared" ref="J11:J42" si="9">H11*I11</f>
        <v>-3348.2142857142853</v>
      </c>
      <c r="K11" s="153"/>
      <c r="M11" s="389"/>
      <c r="N11" s="343"/>
      <c r="O11" s="345"/>
      <c r="P11" s="345"/>
      <c r="Q11" s="349"/>
      <c r="R11" s="340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43440</v>
      </c>
      <c r="D12" s="161" t="s">
        <v>9</v>
      </c>
      <c r="E12" s="161" t="s">
        <v>31</v>
      </c>
      <c r="F12" s="222">
        <v>1142</v>
      </c>
      <c r="G12" s="222">
        <v>1132</v>
      </c>
      <c r="H12" s="222">
        <v>-10</v>
      </c>
      <c r="I12" s="207">
        <f t="shared" si="8"/>
        <v>262.69702276707528</v>
      </c>
      <c r="J12" s="242">
        <f t="shared" si="9"/>
        <v>-2626.970227670753</v>
      </c>
      <c r="K12" s="153"/>
      <c r="M12" s="389" t="s">
        <v>41</v>
      </c>
      <c r="N12" s="343">
        <f>COUNT(C153:C175)</f>
        <v>19</v>
      </c>
      <c r="O12" s="345">
        <f>V176</f>
        <v>15</v>
      </c>
      <c r="P12" s="345">
        <f>W176</f>
        <v>4</v>
      </c>
      <c r="Q12" s="347">
        <f t="shared" ref="Q12" si="10">N12-O12-P12</f>
        <v>0</v>
      </c>
      <c r="R12" s="340">
        <f t="shared" si="7"/>
        <v>0.78947368421052633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43440</v>
      </c>
      <c r="D13" s="161" t="s">
        <v>8</v>
      </c>
      <c r="E13" s="161" t="s">
        <v>58</v>
      </c>
      <c r="F13" s="222">
        <v>608</v>
      </c>
      <c r="G13" s="222">
        <v>598.5</v>
      </c>
      <c r="H13" s="255">
        <v>9.5</v>
      </c>
      <c r="I13" s="207">
        <f t="shared" si="8"/>
        <v>493.42105263157896</v>
      </c>
      <c r="J13" s="242">
        <f t="shared" si="9"/>
        <v>4687.5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43441</v>
      </c>
      <c r="D14" s="161" t="s">
        <v>9</v>
      </c>
      <c r="E14" s="161" t="s">
        <v>99</v>
      </c>
      <c r="F14" s="222">
        <v>275.5</v>
      </c>
      <c r="G14" s="222">
        <v>274</v>
      </c>
      <c r="H14" s="222">
        <v>-1.5</v>
      </c>
      <c r="I14" s="207">
        <f t="shared" si="8"/>
        <v>1088.9292196007259</v>
      </c>
      <c r="J14" s="242">
        <f t="shared" si="9"/>
        <v>-1633.3938294010889</v>
      </c>
      <c r="K14" s="153"/>
      <c r="M14" s="389" t="s">
        <v>1175</v>
      </c>
      <c r="N14" s="343">
        <f>COUNT(C184:C206)</f>
        <v>19</v>
      </c>
      <c r="O14" s="345">
        <f>V207</f>
        <v>13</v>
      </c>
      <c r="P14" s="345">
        <f>W207</f>
        <v>6</v>
      </c>
      <c r="Q14" s="347">
        <f t="shared" ref="Q14" si="11">N14-O14-P14</f>
        <v>0</v>
      </c>
      <c r="R14" s="340">
        <f t="shared" si="7"/>
        <v>0.68421052631578949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43441</v>
      </c>
      <c r="D15" s="161" t="s">
        <v>8</v>
      </c>
      <c r="E15" s="161" t="s">
        <v>552</v>
      </c>
      <c r="F15" s="222">
        <v>1560</v>
      </c>
      <c r="G15" s="222">
        <v>1538</v>
      </c>
      <c r="H15" s="222">
        <v>22</v>
      </c>
      <c r="I15" s="207">
        <f t="shared" si="8"/>
        <v>192.30769230769232</v>
      </c>
      <c r="J15" s="242">
        <f t="shared" si="9"/>
        <v>4230.7692307692314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43444</v>
      </c>
      <c r="D16" s="161" t="s">
        <v>9</v>
      </c>
      <c r="E16" s="161" t="s">
        <v>2611</v>
      </c>
      <c r="F16" s="222">
        <v>1705</v>
      </c>
      <c r="G16" s="222">
        <v>1690</v>
      </c>
      <c r="H16" s="222">
        <v>-15</v>
      </c>
      <c r="I16" s="207">
        <f t="shared" si="8"/>
        <v>175.95307917888562</v>
      </c>
      <c r="J16" s="242">
        <f t="shared" si="9"/>
        <v>-2639.2961876832842</v>
      </c>
      <c r="K16" s="153"/>
      <c r="L16" s="25" t="s">
        <v>2008</v>
      </c>
      <c r="M16" s="389" t="s">
        <v>1090</v>
      </c>
      <c r="N16" s="343">
        <f>COUNT(C215:C237)</f>
        <v>19</v>
      </c>
      <c r="O16" s="345">
        <f>V238</f>
        <v>14</v>
      </c>
      <c r="P16" s="345">
        <f>W238</f>
        <v>5</v>
      </c>
      <c r="Q16" s="347">
        <f t="shared" ref="Q16" si="12">N16-O16-P16</f>
        <v>0</v>
      </c>
      <c r="R16" s="340">
        <f t="shared" si="7"/>
        <v>0.73684210526315785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43444</v>
      </c>
      <c r="D17" s="161" t="s">
        <v>8</v>
      </c>
      <c r="E17" s="161" t="s">
        <v>31</v>
      </c>
      <c r="F17" s="222">
        <v>1085</v>
      </c>
      <c r="G17" s="222">
        <v>1091</v>
      </c>
      <c r="H17" s="222">
        <v>-6</v>
      </c>
      <c r="I17" s="207">
        <f t="shared" si="8"/>
        <v>276.49769585253455</v>
      </c>
      <c r="J17" s="242">
        <f t="shared" si="9"/>
        <v>-1658.9861751152073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43446</v>
      </c>
      <c r="D18" s="161" t="s">
        <v>9</v>
      </c>
      <c r="E18" s="161" t="s">
        <v>31</v>
      </c>
      <c r="F18" s="222">
        <v>1098</v>
      </c>
      <c r="G18" s="222">
        <v>1088</v>
      </c>
      <c r="H18" s="222">
        <v>-10</v>
      </c>
      <c r="I18" s="207">
        <f t="shared" si="8"/>
        <v>273.22404371584702</v>
      </c>
      <c r="J18" s="242">
        <f t="shared" si="9"/>
        <v>-2732.2404371584703</v>
      </c>
      <c r="K18" s="153"/>
      <c r="M18" s="334" t="s">
        <v>946</v>
      </c>
      <c r="N18" s="336">
        <f>SUM(N4:N17)</f>
        <v>151</v>
      </c>
      <c r="O18" s="336">
        <f t="shared" ref="O18:Q18" si="13">SUM(O4:O17)</f>
        <v>114</v>
      </c>
      <c r="P18" s="336">
        <f t="shared" si="13"/>
        <v>37</v>
      </c>
      <c r="Q18" s="338">
        <f t="shared" si="13"/>
        <v>0</v>
      </c>
      <c r="R18" s="314">
        <f t="shared" ref="R18" si="14">O18/N18</f>
        <v>0.75496688741721851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43446</v>
      </c>
      <c r="D19" s="161" t="s">
        <v>8</v>
      </c>
      <c r="E19" s="161" t="s">
        <v>552</v>
      </c>
      <c r="F19" s="222">
        <v>1560</v>
      </c>
      <c r="G19" s="222">
        <v>1575</v>
      </c>
      <c r="H19" s="222">
        <v>-15</v>
      </c>
      <c r="I19" s="207">
        <f t="shared" si="8"/>
        <v>192.30769230769232</v>
      </c>
      <c r="J19" s="242">
        <f t="shared" si="9"/>
        <v>-2884.6153846153848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43447</v>
      </c>
      <c r="D20" s="161" t="s">
        <v>9</v>
      </c>
      <c r="E20" s="161" t="s">
        <v>192</v>
      </c>
      <c r="F20" s="222">
        <v>262.5</v>
      </c>
      <c r="G20" s="222">
        <v>263.60000000000002</v>
      </c>
      <c r="H20" s="222">
        <v>1.1000000000000001</v>
      </c>
      <c r="I20" s="207">
        <f t="shared" si="8"/>
        <v>1142.8571428571429</v>
      </c>
      <c r="J20" s="242">
        <f t="shared" si="9"/>
        <v>1257.1428571428573</v>
      </c>
      <c r="K20" s="153"/>
      <c r="M20" s="316" t="s">
        <v>2253</v>
      </c>
      <c r="N20" s="317"/>
      <c r="O20" s="318"/>
      <c r="P20" s="325">
        <f>R18</f>
        <v>0.75496688741721851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43447</v>
      </c>
      <c r="D21" s="161" t="s">
        <v>8</v>
      </c>
      <c r="E21" s="161" t="s">
        <v>31</v>
      </c>
      <c r="F21" s="222">
        <v>1116</v>
      </c>
      <c r="G21" s="222">
        <v>1096</v>
      </c>
      <c r="H21" s="222">
        <v>20</v>
      </c>
      <c r="I21" s="207">
        <f t="shared" si="8"/>
        <v>268.81720430107526</v>
      </c>
      <c r="J21" s="242">
        <f t="shared" si="9"/>
        <v>5376.3440860215051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43448</v>
      </c>
      <c r="D22" s="161" t="s">
        <v>9</v>
      </c>
      <c r="E22" s="161" t="s">
        <v>31</v>
      </c>
      <c r="F22" s="222">
        <v>1107</v>
      </c>
      <c r="G22" s="222">
        <v>1114.5</v>
      </c>
      <c r="H22" s="222">
        <v>7.5</v>
      </c>
      <c r="I22" s="207">
        <f t="shared" si="8"/>
        <v>271.00271002710025</v>
      </c>
      <c r="J22" s="242">
        <f t="shared" si="9"/>
        <v>2032.5203252032518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43448</v>
      </c>
      <c r="D23" s="161" t="s">
        <v>9</v>
      </c>
      <c r="E23" s="161" t="s">
        <v>168</v>
      </c>
      <c r="F23" s="222">
        <v>714</v>
      </c>
      <c r="G23" s="222">
        <v>713</v>
      </c>
      <c r="H23" s="222">
        <v>-1</v>
      </c>
      <c r="I23" s="207">
        <f t="shared" si="8"/>
        <v>420.16806722689074</v>
      </c>
      <c r="J23" s="242">
        <f t="shared" si="9"/>
        <v>-420.16806722689074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43451</v>
      </c>
      <c r="D24" s="161" t="s">
        <v>9</v>
      </c>
      <c r="E24" s="161" t="s">
        <v>31</v>
      </c>
      <c r="F24" s="222">
        <v>1115</v>
      </c>
      <c r="G24" s="222">
        <v>1129</v>
      </c>
      <c r="H24" s="222">
        <v>14</v>
      </c>
      <c r="I24" s="207">
        <f t="shared" si="8"/>
        <v>269.05829596412553</v>
      </c>
      <c r="J24" s="242">
        <f t="shared" si="9"/>
        <v>3766.8161434977574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43451</v>
      </c>
      <c r="D25" s="161" t="s">
        <v>9</v>
      </c>
      <c r="E25" s="161" t="s">
        <v>31</v>
      </c>
      <c r="F25" s="222">
        <v>1115</v>
      </c>
      <c r="G25" s="222">
        <v>1129</v>
      </c>
      <c r="H25" s="222">
        <v>14</v>
      </c>
      <c r="I25" s="207">
        <f t="shared" si="8"/>
        <v>269.05829596412553</v>
      </c>
      <c r="J25" s="242">
        <f t="shared" si="9"/>
        <v>3766.8161434977574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43452</v>
      </c>
      <c r="D26" s="161" t="s">
        <v>9</v>
      </c>
      <c r="E26" s="161" t="s">
        <v>168</v>
      </c>
      <c r="F26" s="222">
        <v>698</v>
      </c>
      <c r="G26" s="222">
        <v>703</v>
      </c>
      <c r="H26" s="222">
        <v>5</v>
      </c>
      <c r="I26" s="207">
        <f t="shared" si="8"/>
        <v>429.79942693409743</v>
      </c>
      <c r="J26" s="242">
        <f t="shared" si="9"/>
        <v>2148.997134670487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43452</v>
      </c>
      <c r="D27" s="161" t="s">
        <v>8</v>
      </c>
      <c r="E27" s="161" t="s">
        <v>31</v>
      </c>
      <c r="F27" s="222">
        <v>1124</v>
      </c>
      <c r="G27" s="222">
        <v>1134</v>
      </c>
      <c r="H27" s="222">
        <v>-10</v>
      </c>
      <c r="I27" s="207">
        <f t="shared" si="8"/>
        <v>266.90391459074732</v>
      </c>
      <c r="J27" s="242">
        <f t="shared" si="9"/>
        <v>-2669.0391459074731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43453</v>
      </c>
      <c r="D28" s="161" t="s">
        <v>9</v>
      </c>
      <c r="E28" s="161" t="s">
        <v>31</v>
      </c>
      <c r="F28" s="222">
        <v>1143</v>
      </c>
      <c r="G28" s="222">
        <v>1141</v>
      </c>
      <c r="H28" s="222">
        <v>-2</v>
      </c>
      <c r="I28" s="207">
        <f t="shared" si="8"/>
        <v>262.46719160104988</v>
      </c>
      <c r="J28" s="242">
        <f t="shared" si="9"/>
        <v>-524.93438320209975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43453</v>
      </c>
      <c r="D29" s="161" t="s">
        <v>8</v>
      </c>
      <c r="E29" s="161" t="s">
        <v>168</v>
      </c>
      <c r="F29" s="222">
        <v>709</v>
      </c>
      <c r="G29" s="222">
        <v>712</v>
      </c>
      <c r="H29" s="222">
        <v>3</v>
      </c>
      <c r="I29" s="207">
        <f t="shared" si="8"/>
        <v>423.1311706629055</v>
      </c>
      <c r="J29" s="242">
        <f t="shared" si="9"/>
        <v>1269.3935119887165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43454</v>
      </c>
      <c r="D30" s="161" t="s">
        <v>9</v>
      </c>
      <c r="E30" s="161" t="s">
        <v>139</v>
      </c>
      <c r="F30" s="222">
        <v>186</v>
      </c>
      <c r="G30" s="222">
        <v>187</v>
      </c>
      <c r="H30" s="222">
        <v>1</v>
      </c>
      <c r="I30" s="207">
        <f t="shared" si="8"/>
        <v>1612.9032258064517</v>
      </c>
      <c r="J30" s="242">
        <f t="shared" si="9"/>
        <v>1612.9032258064517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43454</v>
      </c>
      <c r="D31" s="161" t="s">
        <v>8</v>
      </c>
      <c r="E31" s="161" t="s">
        <v>119</v>
      </c>
      <c r="F31" s="222">
        <v>1220</v>
      </c>
      <c r="G31" s="222">
        <v>1230</v>
      </c>
      <c r="H31" s="222">
        <v>-10</v>
      </c>
      <c r="I31" s="207">
        <f t="shared" si="8"/>
        <v>245.90163934426229</v>
      </c>
      <c r="J31" s="242">
        <f t="shared" si="9"/>
        <v>-2459.0163934426228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43455</v>
      </c>
      <c r="D32" s="161" t="s">
        <v>9</v>
      </c>
      <c r="E32" s="161" t="s">
        <v>129</v>
      </c>
      <c r="F32" s="222">
        <v>1970</v>
      </c>
      <c r="G32" s="222">
        <v>1950</v>
      </c>
      <c r="H32" s="222">
        <v>-20</v>
      </c>
      <c r="I32" s="207">
        <f t="shared" si="8"/>
        <v>152.28426395939087</v>
      </c>
      <c r="J32" s="242">
        <f t="shared" si="9"/>
        <v>-3045.6852791878173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43458</v>
      </c>
      <c r="D33" s="161" t="s">
        <v>9</v>
      </c>
      <c r="E33" s="161" t="s">
        <v>119</v>
      </c>
      <c r="F33" s="222">
        <v>1228</v>
      </c>
      <c r="G33" s="222">
        <v>1242.5</v>
      </c>
      <c r="H33" s="222">
        <v>17</v>
      </c>
      <c r="I33" s="207">
        <f t="shared" si="8"/>
        <v>244.29967426710098</v>
      </c>
      <c r="J33" s="242">
        <f t="shared" si="9"/>
        <v>4153.0944625407164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43458</v>
      </c>
      <c r="D34" s="161" t="s">
        <v>8</v>
      </c>
      <c r="E34" s="161" t="s">
        <v>26</v>
      </c>
      <c r="F34" s="222">
        <v>179.5</v>
      </c>
      <c r="G34" s="222">
        <v>177.2</v>
      </c>
      <c r="H34" s="222">
        <v>2.2999999999999998</v>
      </c>
      <c r="I34" s="207">
        <f t="shared" si="8"/>
        <v>1671.3091922005572</v>
      </c>
      <c r="J34" s="242">
        <f t="shared" si="9"/>
        <v>3844.0111420612811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43460</v>
      </c>
      <c r="D35" s="161" t="s">
        <v>9</v>
      </c>
      <c r="E35" s="161" t="s">
        <v>119</v>
      </c>
      <c r="F35" s="222">
        <v>1218</v>
      </c>
      <c r="G35" s="222">
        <v>1238</v>
      </c>
      <c r="H35" s="222">
        <v>20</v>
      </c>
      <c r="I35" s="207">
        <f t="shared" si="8"/>
        <v>246.30541871921181</v>
      </c>
      <c r="J35" s="242">
        <f t="shared" si="9"/>
        <v>4926.1083743842364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43460</v>
      </c>
      <c r="D36" s="161" t="s">
        <v>8</v>
      </c>
      <c r="E36" s="161" t="s">
        <v>78</v>
      </c>
      <c r="F36" s="222">
        <v>1390</v>
      </c>
      <c r="G36" s="222">
        <v>1405</v>
      </c>
      <c r="H36" s="222">
        <v>-15</v>
      </c>
      <c r="I36" s="207">
        <f t="shared" si="8"/>
        <v>215.82733812949641</v>
      </c>
      <c r="J36" s="242">
        <f t="shared" si="9"/>
        <v>-3237.4100719424459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43461</v>
      </c>
      <c r="D37" s="161" t="s">
        <v>9</v>
      </c>
      <c r="E37" s="161" t="s">
        <v>31</v>
      </c>
      <c r="F37" s="222">
        <v>1116</v>
      </c>
      <c r="G37" s="222">
        <v>1126</v>
      </c>
      <c r="H37" s="222">
        <v>10</v>
      </c>
      <c r="I37" s="207">
        <f t="shared" si="8"/>
        <v>268.81720430107526</v>
      </c>
      <c r="J37" s="242">
        <f t="shared" si="9"/>
        <v>2688.1720430107525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43461</v>
      </c>
      <c r="D38" s="161" t="s">
        <v>8</v>
      </c>
      <c r="E38" s="161" t="s">
        <v>78</v>
      </c>
      <c r="F38" s="222">
        <v>1420</v>
      </c>
      <c r="G38" s="222">
        <v>1409</v>
      </c>
      <c r="H38" s="222">
        <v>11</v>
      </c>
      <c r="I38" s="207">
        <f t="shared" si="8"/>
        <v>211.26760563380282</v>
      </c>
      <c r="J38" s="242">
        <f t="shared" si="9"/>
        <v>2323.9436619718308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43462</v>
      </c>
      <c r="D39" s="161" t="s">
        <v>9</v>
      </c>
      <c r="E39" s="161" t="s">
        <v>31</v>
      </c>
      <c r="F39" s="222">
        <v>1127</v>
      </c>
      <c r="G39" s="222">
        <v>1132</v>
      </c>
      <c r="H39" s="222">
        <v>5</v>
      </c>
      <c r="I39" s="207">
        <f t="shared" si="8"/>
        <v>266.19343389529723</v>
      </c>
      <c r="J39" s="242">
        <f t="shared" si="9"/>
        <v>1330.9671694764861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43462</v>
      </c>
      <c r="D40" s="161" t="s">
        <v>9</v>
      </c>
      <c r="E40" s="161" t="s">
        <v>31</v>
      </c>
      <c r="F40" s="222">
        <v>1130</v>
      </c>
      <c r="G40" s="222">
        <v>1125</v>
      </c>
      <c r="H40" s="222">
        <v>-5</v>
      </c>
      <c r="I40" s="207">
        <f t="shared" si="8"/>
        <v>265.48672566371681</v>
      </c>
      <c r="J40" s="242">
        <f t="shared" si="9"/>
        <v>-1327.4336283185839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43465</v>
      </c>
      <c r="D41" s="161" t="s">
        <v>9</v>
      </c>
      <c r="E41" s="161" t="s">
        <v>49</v>
      </c>
      <c r="F41" s="222">
        <v>1246</v>
      </c>
      <c r="G41" s="223">
        <v>1251</v>
      </c>
      <c r="H41" s="222">
        <v>5</v>
      </c>
      <c r="I41" s="207">
        <f t="shared" si="8"/>
        <v>240.77046548956662</v>
      </c>
      <c r="J41" s="242">
        <f t="shared" si="9"/>
        <v>1203.852327447833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43465</v>
      </c>
      <c r="D42" s="161" t="s">
        <v>8</v>
      </c>
      <c r="E42" s="161" t="s">
        <v>126</v>
      </c>
      <c r="F42" s="222">
        <v>1900</v>
      </c>
      <c r="G42" s="222">
        <v>1891</v>
      </c>
      <c r="H42" s="222">
        <v>9</v>
      </c>
      <c r="I42" s="207">
        <f t="shared" si="8"/>
        <v>157.89473684210526</v>
      </c>
      <c r="J42" s="242">
        <f t="shared" si="9"/>
        <v>1421.0526315789473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24947.727052786577</v>
      </c>
      <c r="K52" s="153"/>
      <c r="V52" s="25">
        <f>SUM(V6:V51)</f>
        <v>21</v>
      </c>
      <c r="W52" s="25">
        <f>SUM(W6:W51)</f>
        <v>16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2605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43437</v>
      </c>
      <c r="D60" s="158" t="s">
        <v>8</v>
      </c>
      <c r="E60" s="158" t="s">
        <v>31</v>
      </c>
      <c r="F60" s="204">
        <v>1164</v>
      </c>
      <c r="G60" s="230">
        <v>1154</v>
      </c>
      <c r="H60" s="230">
        <v>10</v>
      </c>
      <c r="I60" s="204">
        <v>500</v>
      </c>
      <c r="J60" s="241">
        <f t="shared" ref="J60:J82" si="15">I60*H60</f>
        <v>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43438</v>
      </c>
      <c r="D61" s="161" t="s">
        <v>8</v>
      </c>
      <c r="E61" s="161" t="s">
        <v>31</v>
      </c>
      <c r="F61" s="207">
        <v>1156</v>
      </c>
      <c r="G61" s="222">
        <v>1148</v>
      </c>
      <c r="H61" s="222">
        <v>8</v>
      </c>
      <c r="I61" s="207">
        <v>500</v>
      </c>
      <c r="J61" s="242">
        <f t="shared" si="15"/>
        <v>4000</v>
      </c>
      <c r="K61" s="153"/>
      <c r="O61" s="25" t="s">
        <v>2008</v>
      </c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43439</v>
      </c>
      <c r="D62" s="161" t="s">
        <v>9</v>
      </c>
      <c r="E62" s="161" t="s">
        <v>31</v>
      </c>
      <c r="F62" s="222">
        <v>1155</v>
      </c>
      <c r="G62" s="222">
        <v>1164</v>
      </c>
      <c r="H62" s="222">
        <v>9</v>
      </c>
      <c r="I62" s="207">
        <v>500</v>
      </c>
      <c r="J62" s="242">
        <f t="shared" si="15"/>
        <v>4500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43440</v>
      </c>
      <c r="D63" s="161" t="s">
        <v>9</v>
      </c>
      <c r="E63" s="161" t="s">
        <v>31</v>
      </c>
      <c r="F63" s="222">
        <v>1145</v>
      </c>
      <c r="G63" s="222">
        <v>1149</v>
      </c>
      <c r="H63" s="222">
        <v>4</v>
      </c>
      <c r="I63" s="207">
        <v>500</v>
      </c>
      <c r="J63" s="242">
        <f t="shared" si="15"/>
        <v>2000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43441</v>
      </c>
      <c r="D64" s="161" t="s">
        <v>8</v>
      </c>
      <c r="E64" s="161" t="s">
        <v>31</v>
      </c>
      <c r="F64" s="222">
        <v>1130</v>
      </c>
      <c r="G64" s="222">
        <v>1116</v>
      </c>
      <c r="H64" s="222">
        <v>14</v>
      </c>
      <c r="I64" s="207">
        <v>500</v>
      </c>
      <c r="J64" s="242">
        <f t="shared" si="15"/>
        <v>7000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43444</v>
      </c>
      <c r="D65" s="161" t="s">
        <v>8</v>
      </c>
      <c r="E65" s="161" t="s">
        <v>31</v>
      </c>
      <c r="F65" s="207">
        <v>1092</v>
      </c>
      <c r="G65" s="222">
        <v>1095</v>
      </c>
      <c r="H65" s="222">
        <v>-3</v>
      </c>
      <c r="I65" s="207">
        <v>500</v>
      </c>
      <c r="J65" s="242">
        <f t="shared" si="15"/>
        <v>-1500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43446</v>
      </c>
      <c r="D66" s="161" t="s">
        <v>9</v>
      </c>
      <c r="E66" s="161" t="s">
        <v>31</v>
      </c>
      <c r="F66" s="207">
        <v>1102</v>
      </c>
      <c r="G66" s="222">
        <v>1092</v>
      </c>
      <c r="H66" s="222">
        <v>-10</v>
      </c>
      <c r="I66" s="207">
        <v>500</v>
      </c>
      <c r="J66" s="242">
        <f t="shared" si="15"/>
        <v>-5000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43447</v>
      </c>
      <c r="D67" s="161" t="s">
        <v>8</v>
      </c>
      <c r="E67" s="161" t="s">
        <v>31</v>
      </c>
      <c r="F67" s="207">
        <v>1116</v>
      </c>
      <c r="G67" s="222">
        <v>1101</v>
      </c>
      <c r="H67" s="222">
        <v>15</v>
      </c>
      <c r="I67" s="207">
        <v>500</v>
      </c>
      <c r="J67" s="242">
        <f t="shared" si="15"/>
        <v>7500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43448</v>
      </c>
      <c r="D68" s="161" t="s">
        <v>9</v>
      </c>
      <c r="E68" s="161" t="s">
        <v>31</v>
      </c>
      <c r="F68" s="222">
        <v>1109</v>
      </c>
      <c r="G68" s="222">
        <v>1116</v>
      </c>
      <c r="H68" s="222">
        <v>6</v>
      </c>
      <c r="I68" s="207">
        <v>500</v>
      </c>
      <c r="J68" s="242">
        <f t="shared" si="15"/>
        <v>3000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43451</v>
      </c>
      <c r="D69" s="161" t="s">
        <v>9</v>
      </c>
      <c r="E69" s="161" t="s">
        <v>31</v>
      </c>
      <c r="F69" s="222">
        <v>1125</v>
      </c>
      <c r="G69" s="222">
        <v>1135</v>
      </c>
      <c r="H69" s="222">
        <v>10</v>
      </c>
      <c r="I69" s="207">
        <v>500</v>
      </c>
      <c r="J69" s="242">
        <f t="shared" si="15"/>
        <v>5000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43452</v>
      </c>
      <c r="D70" s="161" t="s">
        <v>9</v>
      </c>
      <c r="E70" s="161" t="s">
        <v>31</v>
      </c>
      <c r="F70" s="161">
        <v>1129</v>
      </c>
      <c r="G70" s="222">
        <v>1139</v>
      </c>
      <c r="H70" s="222">
        <v>-10</v>
      </c>
      <c r="I70" s="207">
        <v>500</v>
      </c>
      <c r="J70" s="242">
        <f t="shared" si="15"/>
        <v>-5000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43453</v>
      </c>
      <c r="D71" s="161" t="s">
        <v>9</v>
      </c>
      <c r="E71" s="161" t="s">
        <v>51</v>
      </c>
      <c r="F71" s="222">
        <v>570</v>
      </c>
      <c r="G71" s="222">
        <v>580.5</v>
      </c>
      <c r="H71" s="222">
        <v>10.5</v>
      </c>
      <c r="I71" s="207">
        <v>1000</v>
      </c>
      <c r="J71" s="242">
        <f t="shared" si="15"/>
        <v>10500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43454</v>
      </c>
      <c r="D72" s="161" t="s">
        <v>8</v>
      </c>
      <c r="E72" s="161" t="s">
        <v>31</v>
      </c>
      <c r="F72" s="222">
        <v>1126</v>
      </c>
      <c r="G72" s="222">
        <v>1120</v>
      </c>
      <c r="H72" s="222">
        <v>6</v>
      </c>
      <c r="I72" s="207">
        <v>500</v>
      </c>
      <c r="J72" s="242">
        <f t="shared" si="15"/>
        <v>3000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43455</v>
      </c>
      <c r="D73" s="161" t="s">
        <v>8</v>
      </c>
      <c r="E73" s="161" t="s">
        <v>31</v>
      </c>
      <c r="F73" s="223">
        <v>1116</v>
      </c>
      <c r="G73" s="222">
        <v>1101</v>
      </c>
      <c r="H73" s="255">
        <v>15</v>
      </c>
      <c r="I73" s="207">
        <v>500</v>
      </c>
      <c r="J73" s="242">
        <f t="shared" si="15"/>
        <v>7500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43458</v>
      </c>
      <c r="D74" s="161" t="s">
        <v>8</v>
      </c>
      <c r="E74" s="161" t="s">
        <v>31</v>
      </c>
      <c r="F74" s="222">
        <v>1096</v>
      </c>
      <c r="G74" s="222">
        <v>1088.5</v>
      </c>
      <c r="H74" s="255">
        <v>7.5</v>
      </c>
      <c r="I74" s="207">
        <v>500</v>
      </c>
      <c r="J74" s="242">
        <f t="shared" si="15"/>
        <v>3750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43460</v>
      </c>
      <c r="D75" s="161" t="s">
        <v>8</v>
      </c>
      <c r="E75" s="161" t="s">
        <v>31</v>
      </c>
      <c r="F75" s="222">
        <v>1071</v>
      </c>
      <c r="G75" s="222">
        <v>1066.5</v>
      </c>
      <c r="H75" s="222">
        <v>4.5</v>
      </c>
      <c r="I75" s="207">
        <v>500</v>
      </c>
      <c r="J75" s="242">
        <f t="shared" si="15"/>
        <v>2250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43461</v>
      </c>
      <c r="D76" s="161" t="s">
        <v>9</v>
      </c>
      <c r="E76" s="161" t="s">
        <v>31</v>
      </c>
      <c r="F76" s="222">
        <v>1120</v>
      </c>
      <c r="G76" s="222">
        <v>1124</v>
      </c>
      <c r="H76" s="222">
        <v>4</v>
      </c>
      <c r="I76" s="207">
        <v>500</v>
      </c>
      <c r="J76" s="242">
        <f t="shared" si="15"/>
        <v>2000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43462</v>
      </c>
      <c r="D77" s="161" t="s">
        <v>9</v>
      </c>
      <c r="E77" s="161" t="s">
        <v>31</v>
      </c>
      <c r="F77" s="222">
        <v>1135</v>
      </c>
      <c r="G77" s="222">
        <v>1142</v>
      </c>
      <c r="H77" s="222">
        <v>7</v>
      </c>
      <c r="I77" s="207">
        <v>500</v>
      </c>
      <c r="J77" s="242">
        <f t="shared" si="15"/>
        <v>3500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43465</v>
      </c>
      <c r="D78" s="161" t="s">
        <v>8</v>
      </c>
      <c r="E78" s="161" t="s">
        <v>31</v>
      </c>
      <c r="F78" s="222">
        <v>1133</v>
      </c>
      <c r="G78" s="222">
        <v>1124.5</v>
      </c>
      <c r="H78" s="222">
        <v>8.5</v>
      </c>
      <c r="I78" s="207">
        <v>500</v>
      </c>
      <c r="J78" s="242">
        <f t="shared" si="15"/>
        <v>4250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63250</v>
      </c>
      <c r="K83" s="153"/>
      <c r="V83" s="25">
        <f>SUM(V60:V82)</f>
        <v>16</v>
      </c>
      <c r="W83" s="25">
        <f>SUM(W60:W82)</f>
        <v>3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2606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43437</v>
      </c>
      <c r="D91" s="185" t="s">
        <v>8</v>
      </c>
      <c r="E91" s="185" t="s">
        <v>39</v>
      </c>
      <c r="F91" s="219">
        <v>10930</v>
      </c>
      <c r="G91" s="219">
        <v>10900</v>
      </c>
      <c r="H91" s="185">
        <v>30</v>
      </c>
      <c r="I91" s="219">
        <v>150</v>
      </c>
      <c r="J91" s="246">
        <f t="shared" ref="J91:J113" si="19">I91*H91</f>
        <v>4500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43438</v>
      </c>
      <c r="D92" s="161" t="s">
        <v>8</v>
      </c>
      <c r="E92" s="161" t="s">
        <v>39</v>
      </c>
      <c r="F92" s="207">
        <v>10900</v>
      </c>
      <c r="G92" s="207">
        <v>10885</v>
      </c>
      <c r="H92" s="161">
        <v>15</v>
      </c>
      <c r="I92" s="207">
        <v>150</v>
      </c>
      <c r="J92" s="242">
        <f t="shared" si="19"/>
        <v>2250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43439</v>
      </c>
      <c r="D93" s="161" t="s">
        <v>9</v>
      </c>
      <c r="E93" s="161" t="s">
        <v>39</v>
      </c>
      <c r="F93" s="207">
        <v>10830</v>
      </c>
      <c r="G93" s="207">
        <v>10845</v>
      </c>
      <c r="H93" s="161">
        <v>15</v>
      </c>
      <c r="I93" s="207">
        <v>150</v>
      </c>
      <c r="J93" s="242">
        <f t="shared" si="19"/>
        <v>2250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43440</v>
      </c>
      <c r="D94" s="161" t="s">
        <v>8</v>
      </c>
      <c r="E94" s="161" t="s">
        <v>39</v>
      </c>
      <c r="F94" s="207">
        <v>10700</v>
      </c>
      <c r="G94" s="207">
        <v>10640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43441</v>
      </c>
      <c r="D95" s="161" t="s">
        <v>9</v>
      </c>
      <c r="E95" s="161" t="s">
        <v>39</v>
      </c>
      <c r="F95" s="207">
        <v>10670</v>
      </c>
      <c r="G95" s="207">
        <v>10690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6</v>
      </c>
      <c r="C96" s="206">
        <v>43444</v>
      </c>
      <c r="D96" s="161" t="s">
        <v>9</v>
      </c>
      <c r="E96" s="161" t="s">
        <v>39</v>
      </c>
      <c r="F96" s="207">
        <v>10535</v>
      </c>
      <c r="G96" s="207">
        <v>10595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7</v>
      </c>
      <c r="C97" s="206">
        <v>43446</v>
      </c>
      <c r="D97" s="161" t="s">
        <v>8</v>
      </c>
      <c r="E97" s="161" t="s">
        <v>39</v>
      </c>
      <c r="F97" s="207">
        <v>10700</v>
      </c>
      <c r="G97" s="207">
        <v>10670</v>
      </c>
      <c r="H97" s="161">
        <v>30</v>
      </c>
      <c r="I97" s="207">
        <v>150</v>
      </c>
      <c r="J97" s="242">
        <f t="shared" si="19"/>
        <v>4500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43447</v>
      </c>
      <c r="D98" s="161" t="s">
        <v>8</v>
      </c>
      <c r="E98" s="161" t="s">
        <v>39</v>
      </c>
      <c r="F98" s="207">
        <v>10835</v>
      </c>
      <c r="G98" s="207">
        <v>10885</v>
      </c>
      <c r="H98" s="161">
        <v>50</v>
      </c>
      <c r="I98" s="207">
        <v>150</v>
      </c>
      <c r="J98" s="242">
        <f t="shared" si="19"/>
        <v>7500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9</v>
      </c>
      <c r="C99" s="206">
        <v>43448</v>
      </c>
      <c r="D99" s="161" t="s">
        <v>9</v>
      </c>
      <c r="E99" s="161" t="s">
        <v>39</v>
      </c>
      <c r="F99" s="207">
        <v>10800</v>
      </c>
      <c r="G99" s="207">
        <v>10830</v>
      </c>
      <c r="H99" s="161">
        <v>30</v>
      </c>
      <c r="I99" s="207">
        <v>150</v>
      </c>
      <c r="J99" s="242">
        <f t="shared" si="19"/>
        <v>4500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10</v>
      </c>
      <c r="C100" s="206">
        <v>43451</v>
      </c>
      <c r="D100" s="161" t="s">
        <v>9</v>
      </c>
      <c r="E100" s="161" t="s">
        <v>39</v>
      </c>
      <c r="F100" s="207">
        <v>10890</v>
      </c>
      <c r="G100" s="207">
        <v>10920</v>
      </c>
      <c r="H100" s="161">
        <v>30</v>
      </c>
      <c r="I100" s="207">
        <v>150</v>
      </c>
      <c r="J100" s="242">
        <f t="shared" si="19"/>
        <v>4500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43452</v>
      </c>
      <c r="D101" s="161" t="s">
        <v>9</v>
      </c>
      <c r="E101" s="161" t="s">
        <v>39</v>
      </c>
      <c r="F101" s="207">
        <v>10840</v>
      </c>
      <c r="G101" s="207">
        <v>10900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43453</v>
      </c>
      <c r="D102" s="161" t="s">
        <v>9</v>
      </c>
      <c r="E102" s="161" t="s">
        <v>39</v>
      </c>
      <c r="F102" s="207">
        <v>10970</v>
      </c>
      <c r="G102" s="207">
        <v>11000</v>
      </c>
      <c r="H102" s="161">
        <v>30</v>
      </c>
      <c r="I102" s="207">
        <v>150</v>
      </c>
      <c r="J102" s="242">
        <f t="shared" si="19"/>
        <v>4500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43454</v>
      </c>
      <c r="D103" s="161" t="s">
        <v>9</v>
      </c>
      <c r="E103" s="161" t="s">
        <v>39</v>
      </c>
      <c r="F103" s="207">
        <v>10930</v>
      </c>
      <c r="G103" s="207">
        <v>10945</v>
      </c>
      <c r="H103" s="161">
        <v>15</v>
      </c>
      <c r="I103" s="207">
        <v>150</v>
      </c>
      <c r="J103" s="242">
        <f t="shared" si="19"/>
        <v>2250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14</v>
      </c>
      <c r="C104" s="206">
        <v>43455</v>
      </c>
      <c r="D104" s="161" t="s">
        <v>8</v>
      </c>
      <c r="E104" s="161" t="s">
        <v>39</v>
      </c>
      <c r="F104" s="207">
        <v>10850</v>
      </c>
      <c r="G104" s="207">
        <v>10790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15</v>
      </c>
      <c r="C105" s="206">
        <v>43458</v>
      </c>
      <c r="D105" s="161" t="s">
        <v>9</v>
      </c>
      <c r="E105" s="161" t="s">
        <v>39</v>
      </c>
      <c r="F105" s="207">
        <v>10730</v>
      </c>
      <c r="G105" s="207">
        <v>10774</v>
      </c>
      <c r="H105" s="161">
        <v>44</v>
      </c>
      <c r="I105" s="207">
        <v>150</v>
      </c>
      <c r="J105" s="242">
        <f t="shared" si="19"/>
        <v>6600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43460</v>
      </c>
      <c r="D106" s="161" t="s">
        <v>8</v>
      </c>
      <c r="E106" s="161" t="s">
        <v>39</v>
      </c>
      <c r="F106" s="207">
        <v>10555</v>
      </c>
      <c r="G106" s="207">
        <v>10585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17</v>
      </c>
      <c r="C107" s="206">
        <v>43461</v>
      </c>
      <c r="D107" s="161" t="s">
        <v>8</v>
      </c>
      <c r="E107" s="161" t="s">
        <v>39</v>
      </c>
      <c r="F107" s="207">
        <v>10800</v>
      </c>
      <c r="G107" s="207">
        <v>10770</v>
      </c>
      <c r="H107" s="161">
        <v>30</v>
      </c>
      <c r="I107" s="207">
        <v>150</v>
      </c>
      <c r="J107" s="242">
        <f t="shared" si="19"/>
        <v>4500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18</v>
      </c>
      <c r="C108" s="206">
        <v>43462</v>
      </c>
      <c r="D108" s="161" t="s">
        <v>8</v>
      </c>
      <c r="E108" s="161" t="s">
        <v>39</v>
      </c>
      <c r="F108" s="207">
        <v>10925</v>
      </c>
      <c r="G108" s="207">
        <v>10902</v>
      </c>
      <c r="H108" s="161">
        <v>23</v>
      </c>
      <c r="I108" s="207">
        <v>150</v>
      </c>
      <c r="J108" s="242">
        <f t="shared" si="19"/>
        <v>3450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43465</v>
      </c>
      <c r="D109" s="161" t="s">
        <v>8</v>
      </c>
      <c r="E109" s="161" t="s">
        <v>39</v>
      </c>
      <c r="F109" s="207">
        <v>10935</v>
      </c>
      <c r="G109" s="207">
        <v>10905</v>
      </c>
      <c r="H109" s="161">
        <v>30</v>
      </c>
      <c r="I109" s="207">
        <v>150</v>
      </c>
      <c r="J109" s="242">
        <f>I109*H109</f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19"/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90300</v>
      </c>
      <c r="K114" s="153"/>
      <c r="V114" s="25">
        <f>SUM(V91:V113)</f>
        <v>18</v>
      </c>
      <c r="W114" s="25">
        <f>SUM(W91:W113)</f>
        <v>1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2607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43437</v>
      </c>
      <c r="D122" s="185" t="s">
        <v>9</v>
      </c>
      <c r="E122" s="185" t="s">
        <v>2508</v>
      </c>
      <c r="F122" s="219">
        <v>185</v>
      </c>
      <c r="G122" s="219">
        <v>215</v>
      </c>
      <c r="H122" s="185">
        <v>30</v>
      </c>
      <c r="I122" s="219">
        <v>300</v>
      </c>
      <c r="J122" s="246">
        <f t="shared" ref="J122:J144" si="23">I122*H122</f>
        <v>9000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43438</v>
      </c>
      <c r="D123" s="161" t="s">
        <v>9</v>
      </c>
      <c r="E123" s="161" t="s">
        <v>2508</v>
      </c>
      <c r="F123" s="207">
        <v>200</v>
      </c>
      <c r="G123" s="207">
        <v>210</v>
      </c>
      <c r="H123" s="161">
        <v>10</v>
      </c>
      <c r="I123" s="207">
        <v>300</v>
      </c>
      <c r="J123" s="242">
        <f t="shared" si="23"/>
        <v>3000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43439</v>
      </c>
      <c r="D124" s="161" t="s">
        <v>9</v>
      </c>
      <c r="E124" s="161" t="s">
        <v>2434</v>
      </c>
      <c r="F124" s="207">
        <v>200</v>
      </c>
      <c r="G124" s="207">
        <v>180</v>
      </c>
      <c r="H124" s="161">
        <v>-20</v>
      </c>
      <c r="I124" s="207">
        <v>300</v>
      </c>
      <c r="J124" s="242">
        <f t="shared" si="23"/>
        <v>-6000</v>
      </c>
      <c r="K124" s="153"/>
      <c r="V124" s="25">
        <f t="shared" si="24"/>
        <v>0</v>
      </c>
      <c r="W124" s="25">
        <f t="shared" si="25"/>
        <v>1</v>
      </c>
    </row>
    <row r="125" spans="1:23" x14ac:dyDescent="0.3">
      <c r="A125" s="147"/>
      <c r="B125" s="205">
        <f t="shared" si="26"/>
        <v>4</v>
      </c>
      <c r="C125" s="206">
        <v>43440</v>
      </c>
      <c r="D125" s="161" t="s">
        <v>9</v>
      </c>
      <c r="E125" s="161" t="s">
        <v>2423</v>
      </c>
      <c r="F125" s="207">
        <v>190</v>
      </c>
      <c r="G125" s="207">
        <v>203</v>
      </c>
      <c r="H125" s="161">
        <v>13</v>
      </c>
      <c r="I125" s="207">
        <v>300</v>
      </c>
      <c r="J125" s="242">
        <f t="shared" si="23"/>
        <v>3900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43441</v>
      </c>
      <c r="D126" s="161" t="s">
        <v>9</v>
      </c>
      <c r="E126" s="161" t="s">
        <v>2486</v>
      </c>
      <c r="F126" s="207">
        <v>158</v>
      </c>
      <c r="G126" s="207">
        <v>198</v>
      </c>
      <c r="H126" s="161">
        <v>40</v>
      </c>
      <c r="I126" s="207">
        <v>300</v>
      </c>
      <c r="J126" s="242">
        <f t="shared" si="23"/>
        <v>12000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43444</v>
      </c>
      <c r="D127" s="161" t="s">
        <v>9</v>
      </c>
      <c r="E127" s="161" t="s">
        <v>2417</v>
      </c>
      <c r="F127" s="207">
        <v>210</v>
      </c>
      <c r="G127" s="222">
        <v>227.5</v>
      </c>
      <c r="H127" s="222">
        <v>17.5</v>
      </c>
      <c r="I127" s="207">
        <v>300</v>
      </c>
      <c r="J127" s="242">
        <f t="shared" si="23"/>
        <v>5250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43446</v>
      </c>
      <c r="D128" s="161" t="s">
        <v>9</v>
      </c>
      <c r="E128" s="161" t="s">
        <v>2423</v>
      </c>
      <c r="F128" s="207">
        <v>130</v>
      </c>
      <c r="G128" s="207">
        <v>140</v>
      </c>
      <c r="H128" s="161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43447</v>
      </c>
      <c r="D129" s="161" t="s">
        <v>9</v>
      </c>
      <c r="E129" s="161" t="s">
        <v>2429</v>
      </c>
      <c r="F129" s="207">
        <v>103</v>
      </c>
      <c r="G129" s="207">
        <v>113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43448</v>
      </c>
      <c r="D130" s="161" t="s">
        <v>9</v>
      </c>
      <c r="E130" s="161" t="s">
        <v>2434</v>
      </c>
      <c r="F130" s="207">
        <v>105</v>
      </c>
      <c r="G130" s="207">
        <v>125</v>
      </c>
      <c r="H130" s="161">
        <v>20</v>
      </c>
      <c r="I130" s="207">
        <v>300</v>
      </c>
      <c r="J130" s="242">
        <f t="shared" si="23"/>
        <v>6000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43451</v>
      </c>
      <c r="D131" s="161" t="s">
        <v>9</v>
      </c>
      <c r="E131" s="161" t="s">
        <v>2440</v>
      </c>
      <c r="F131" s="207">
        <v>94</v>
      </c>
      <c r="G131" s="207">
        <v>104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43452</v>
      </c>
      <c r="D132" s="161" t="s">
        <v>9</v>
      </c>
      <c r="E132" s="161" t="s">
        <v>2434</v>
      </c>
      <c r="F132" s="207">
        <v>115</v>
      </c>
      <c r="G132" s="207">
        <v>155</v>
      </c>
      <c r="H132" s="161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43453</v>
      </c>
      <c r="D133" s="161" t="s">
        <v>9</v>
      </c>
      <c r="E133" s="161" t="s">
        <v>2440</v>
      </c>
      <c r="F133" s="207">
        <v>130</v>
      </c>
      <c r="G133" s="207">
        <v>150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43454</v>
      </c>
      <c r="D134" s="161" t="s">
        <v>9</v>
      </c>
      <c r="E134" s="161" t="s">
        <v>2440</v>
      </c>
      <c r="F134" s="207">
        <v>100</v>
      </c>
      <c r="G134" s="207">
        <v>128</v>
      </c>
      <c r="H134" s="161">
        <v>28</v>
      </c>
      <c r="I134" s="207">
        <v>300</v>
      </c>
      <c r="J134" s="242">
        <f t="shared" si="23"/>
        <v>8400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14</v>
      </c>
      <c r="C135" s="206">
        <v>43455</v>
      </c>
      <c r="D135" s="161" t="s">
        <v>9</v>
      </c>
      <c r="E135" s="161" t="s">
        <v>2508</v>
      </c>
      <c r="F135" s="207">
        <v>115</v>
      </c>
      <c r="G135" s="207">
        <v>125</v>
      </c>
      <c r="H135" s="161">
        <v>10</v>
      </c>
      <c r="I135" s="207">
        <v>300</v>
      </c>
      <c r="J135" s="242">
        <f>I135*H135</f>
        <v>3000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6"/>
        <v>15</v>
      </c>
      <c r="C136" s="206">
        <v>43458</v>
      </c>
      <c r="D136" s="161" t="s">
        <v>9</v>
      </c>
      <c r="E136" s="161" t="s">
        <v>2486</v>
      </c>
      <c r="F136" s="207">
        <v>90</v>
      </c>
      <c r="G136" s="207">
        <v>110</v>
      </c>
      <c r="H136" s="161">
        <v>20</v>
      </c>
      <c r="I136" s="207">
        <v>300</v>
      </c>
      <c r="J136" s="242">
        <f t="shared" si="23"/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43460</v>
      </c>
      <c r="D137" s="161" t="s">
        <v>9</v>
      </c>
      <c r="E137" s="161" t="s">
        <v>2412</v>
      </c>
      <c r="F137" s="207">
        <v>73</v>
      </c>
      <c r="G137" s="207">
        <v>53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17</v>
      </c>
      <c r="C138" s="206">
        <v>43461</v>
      </c>
      <c r="D138" s="161" t="s">
        <v>9</v>
      </c>
      <c r="E138" s="161" t="s">
        <v>2508</v>
      </c>
      <c r="F138" s="207">
        <v>95</v>
      </c>
      <c r="G138" s="207">
        <v>125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43462</v>
      </c>
      <c r="D139" s="161" t="s">
        <v>9</v>
      </c>
      <c r="E139" s="161" t="s">
        <v>2508</v>
      </c>
      <c r="F139" s="207">
        <v>178</v>
      </c>
      <c r="G139" s="207">
        <v>183</v>
      </c>
      <c r="H139" s="161">
        <v>5</v>
      </c>
      <c r="I139" s="207">
        <v>300</v>
      </c>
      <c r="J139" s="242">
        <f t="shared" si="23"/>
        <v>1500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43465</v>
      </c>
      <c r="D140" s="161" t="s">
        <v>9</v>
      </c>
      <c r="E140" s="161" t="s">
        <v>2508</v>
      </c>
      <c r="F140" s="207">
        <v>170</v>
      </c>
      <c r="G140" s="207">
        <v>180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85050</v>
      </c>
      <c r="K145" s="153"/>
      <c r="V145" s="25">
        <f>SUM(V122:V144)</f>
        <v>17</v>
      </c>
      <c r="W145" s="25">
        <f>SUM(W122:W144)</f>
        <v>2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2605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43437</v>
      </c>
      <c r="D153" s="185" t="s">
        <v>8</v>
      </c>
      <c r="E153" s="185" t="s">
        <v>301</v>
      </c>
      <c r="F153" s="219">
        <v>26980</v>
      </c>
      <c r="G153" s="219">
        <v>26935</v>
      </c>
      <c r="H153" s="185">
        <v>45</v>
      </c>
      <c r="I153" s="219">
        <v>40</v>
      </c>
      <c r="J153" s="246">
        <f t="shared" ref="J153:J175" si="27">I153*H153</f>
        <v>1800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43438</v>
      </c>
      <c r="D154" s="161" t="s">
        <v>8</v>
      </c>
      <c r="E154" s="161" t="s">
        <v>301</v>
      </c>
      <c r="F154" s="207">
        <v>26830</v>
      </c>
      <c r="G154" s="207">
        <v>26780</v>
      </c>
      <c r="H154" s="161">
        <v>50</v>
      </c>
      <c r="I154" s="207">
        <v>40</v>
      </c>
      <c r="J154" s="242">
        <f t="shared" si="27"/>
        <v>2000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43439</v>
      </c>
      <c r="D155" s="161" t="s">
        <v>9</v>
      </c>
      <c r="E155" s="161" t="s">
        <v>301</v>
      </c>
      <c r="F155" s="207">
        <v>26650</v>
      </c>
      <c r="G155" s="207">
        <v>26710</v>
      </c>
      <c r="H155" s="161">
        <v>60</v>
      </c>
      <c r="I155" s="207">
        <v>40</v>
      </c>
      <c r="J155" s="242">
        <f t="shared" si="27"/>
        <v>2400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4</v>
      </c>
      <c r="C156" s="206">
        <v>43440</v>
      </c>
      <c r="D156" s="161" t="s">
        <v>8</v>
      </c>
      <c r="E156" s="161" t="s">
        <v>301</v>
      </c>
      <c r="F156" s="207">
        <v>26320</v>
      </c>
      <c r="G156" s="207">
        <v>26270</v>
      </c>
      <c r="H156" s="161">
        <v>50</v>
      </c>
      <c r="I156" s="207">
        <v>40</v>
      </c>
      <c r="J156" s="242">
        <f t="shared" si="27"/>
        <v>2000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5</v>
      </c>
      <c r="C157" s="206">
        <v>43441</v>
      </c>
      <c r="D157" s="161" t="s">
        <v>9</v>
      </c>
      <c r="E157" s="161" t="s">
        <v>301</v>
      </c>
      <c r="F157" s="207">
        <v>26450</v>
      </c>
      <c r="G157" s="207">
        <v>26650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43444</v>
      </c>
      <c r="D158" s="161" t="s">
        <v>9</v>
      </c>
      <c r="E158" s="161" t="s">
        <v>301</v>
      </c>
      <c r="F158" s="207">
        <v>26300</v>
      </c>
      <c r="G158" s="207">
        <v>26450</v>
      </c>
      <c r="H158" s="161">
        <v>150</v>
      </c>
      <c r="I158" s="207">
        <v>40</v>
      </c>
      <c r="J158" s="242">
        <f t="shared" si="27"/>
        <v>6000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7</v>
      </c>
      <c r="C159" s="206">
        <v>43446</v>
      </c>
      <c r="D159" s="161" t="s">
        <v>8</v>
      </c>
      <c r="E159" s="161" t="s">
        <v>301</v>
      </c>
      <c r="F159" s="207">
        <v>26540</v>
      </c>
      <c r="G159" s="207">
        <v>26640</v>
      </c>
      <c r="H159" s="161">
        <v>-100</v>
      </c>
      <c r="I159" s="207">
        <v>40</v>
      </c>
      <c r="J159" s="242">
        <f t="shared" si="27"/>
        <v>-4000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8</v>
      </c>
      <c r="C160" s="206">
        <v>43447</v>
      </c>
      <c r="D160" s="161" t="s">
        <v>8</v>
      </c>
      <c r="E160" s="161" t="s">
        <v>301</v>
      </c>
      <c r="F160" s="207">
        <v>26980</v>
      </c>
      <c r="G160" s="207">
        <v>26830</v>
      </c>
      <c r="H160" s="161">
        <v>150</v>
      </c>
      <c r="I160" s="207">
        <v>40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43448</v>
      </c>
      <c r="D161" s="161" t="s">
        <v>9</v>
      </c>
      <c r="E161" s="161" t="s">
        <v>301</v>
      </c>
      <c r="F161" s="207">
        <v>26850</v>
      </c>
      <c r="G161" s="207">
        <v>26950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10</v>
      </c>
      <c r="C162" s="206">
        <v>43451</v>
      </c>
      <c r="D162" s="161" t="s">
        <v>9</v>
      </c>
      <c r="E162" s="161" t="s">
        <v>301</v>
      </c>
      <c r="F162" s="207">
        <v>27080</v>
      </c>
      <c r="G162" s="207">
        <v>27090</v>
      </c>
      <c r="H162" s="161">
        <v>10</v>
      </c>
      <c r="I162" s="207">
        <v>40</v>
      </c>
      <c r="J162" s="242">
        <f t="shared" si="27"/>
        <v>400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43452</v>
      </c>
      <c r="D163" s="161" t="s">
        <v>9</v>
      </c>
      <c r="E163" s="161" t="s">
        <v>301</v>
      </c>
      <c r="F163" s="207">
        <v>26950</v>
      </c>
      <c r="G163" s="207">
        <v>27150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43453</v>
      </c>
      <c r="D164" s="161" t="s">
        <v>9</v>
      </c>
      <c r="E164" s="161" t="s">
        <v>301</v>
      </c>
      <c r="F164" s="207">
        <v>27370</v>
      </c>
      <c r="G164" s="207">
        <v>27420</v>
      </c>
      <c r="H164" s="161">
        <v>50</v>
      </c>
      <c r="I164" s="207">
        <v>40</v>
      </c>
      <c r="J164" s="242">
        <f t="shared" si="27"/>
        <v>2000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43454</v>
      </c>
      <c r="D165" s="161" t="s">
        <v>9</v>
      </c>
      <c r="E165" s="161" t="s">
        <v>301</v>
      </c>
      <c r="F165" s="207">
        <v>27280</v>
      </c>
      <c r="G165" s="207">
        <v>27180</v>
      </c>
      <c r="H165" s="161">
        <v>-100</v>
      </c>
      <c r="I165" s="207">
        <v>40</v>
      </c>
      <c r="J165" s="242">
        <f t="shared" si="27"/>
        <v>-4000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14</v>
      </c>
      <c r="C166" s="206">
        <v>43455</v>
      </c>
      <c r="D166" s="161" t="s">
        <v>8</v>
      </c>
      <c r="E166" s="161" t="s">
        <v>301</v>
      </c>
      <c r="F166" s="207">
        <v>27280</v>
      </c>
      <c r="G166" s="207">
        <v>27080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15</v>
      </c>
      <c r="C167" s="206">
        <v>43458</v>
      </c>
      <c r="D167" s="161" t="s">
        <v>9</v>
      </c>
      <c r="E167" s="161" t="s">
        <v>301</v>
      </c>
      <c r="F167" s="207">
        <v>26820</v>
      </c>
      <c r="G167" s="207">
        <v>26920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16</v>
      </c>
      <c r="C168" s="206">
        <v>43460</v>
      </c>
      <c r="D168" s="161" t="s">
        <v>8</v>
      </c>
      <c r="E168" s="161" t="s">
        <v>301</v>
      </c>
      <c r="F168" s="207">
        <v>26480</v>
      </c>
      <c r="G168" s="207">
        <v>26580</v>
      </c>
      <c r="H168" s="161">
        <v>-100</v>
      </c>
      <c r="I168" s="207">
        <v>40</v>
      </c>
      <c r="J168" s="242">
        <f t="shared" si="27"/>
        <v>-4000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17</v>
      </c>
      <c r="C169" s="206">
        <v>43461</v>
      </c>
      <c r="D169" s="161" t="s">
        <v>8</v>
      </c>
      <c r="E169" s="161" t="s">
        <v>301</v>
      </c>
      <c r="F169" s="207">
        <v>27000</v>
      </c>
      <c r="G169" s="207">
        <v>27100</v>
      </c>
      <c r="H169" s="161">
        <v>-100</v>
      </c>
      <c r="I169" s="207">
        <v>40</v>
      </c>
      <c r="J169" s="242">
        <f t="shared" si="27"/>
        <v>-4000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18</v>
      </c>
      <c r="C170" s="206">
        <v>43462</v>
      </c>
      <c r="D170" s="161" t="s">
        <v>8</v>
      </c>
      <c r="E170" s="161" t="s">
        <v>301</v>
      </c>
      <c r="F170" s="207">
        <v>27300</v>
      </c>
      <c r="G170" s="207">
        <v>27230</v>
      </c>
      <c r="H170" s="161">
        <v>70</v>
      </c>
      <c r="I170" s="207">
        <v>40</v>
      </c>
      <c r="J170" s="242">
        <f t="shared" si="27"/>
        <v>2800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19</v>
      </c>
      <c r="C171" s="206">
        <v>43465</v>
      </c>
      <c r="D171" s="161" t="s">
        <v>8</v>
      </c>
      <c r="E171" s="161" t="s">
        <v>301</v>
      </c>
      <c r="F171" s="207">
        <v>27330</v>
      </c>
      <c r="G171" s="207">
        <v>27260</v>
      </c>
      <c r="H171" s="161">
        <v>70</v>
      </c>
      <c r="I171" s="207">
        <v>40</v>
      </c>
      <c r="J171" s="242">
        <f t="shared" si="27"/>
        <v>2800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44200</v>
      </c>
      <c r="K176" s="153"/>
      <c r="V176" s="25">
        <f>SUM(V153:V175)</f>
        <v>15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2605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43437</v>
      </c>
      <c r="D184" s="185" t="s">
        <v>9</v>
      </c>
      <c r="E184" s="185" t="s">
        <v>2521</v>
      </c>
      <c r="F184" s="219">
        <v>240</v>
      </c>
      <c r="G184" s="219">
        <v>300</v>
      </c>
      <c r="H184" s="185">
        <v>60</v>
      </c>
      <c r="I184" s="219">
        <v>80</v>
      </c>
      <c r="J184" s="246">
        <f t="shared" ref="J184:J206" si="31">I184*H184</f>
        <v>4800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43438</v>
      </c>
      <c r="D185" s="161" t="s">
        <v>9</v>
      </c>
      <c r="E185" s="161" t="s">
        <v>2456</v>
      </c>
      <c r="F185" s="207">
        <v>200</v>
      </c>
      <c r="G185" s="207">
        <v>180</v>
      </c>
      <c r="H185" s="161">
        <v>-20</v>
      </c>
      <c r="I185" s="207">
        <v>80</v>
      </c>
      <c r="J185" s="242">
        <f t="shared" si="31"/>
        <v>-1600</v>
      </c>
      <c r="K185" s="153"/>
      <c r="V185" s="25">
        <f t="shared" ref="V185:V206" si="32">IF($J185&gt;0,1,0)</f>
        <v>0</v>
      </c>
      <c r="W185" s="25">
        <f t="shared" ref="W185:W206" si="33">IF($J185&lt;0,1,0)</f>
        <v>1</v>
      </c>
    </row>
    <row r="186" spans="1:23" x14ac:dyDescent="0.3">
      <c r="A186" s="147"/>
      <c r="B186" s="205">
        <f t="shared" ref="B186:B206" si="34">B185+1</f>
        <v>3</v>
      </c>
      <c r="C186" s="206">
        <v>43439</v>
      </c>
      <c r="D186" s="161" t="s">
        <v>9</v>
      </c>
      <c r="E186" s="161" t="s">
        <v>2507</v>
      </c>
      <c r="F186" s="207">
        <v>130</v>
      </c>
      <c r="G186" s="207">
        <v>160</v>
      </c>
      <c r="H186" s="161">
        <v>30</v>
      </c>
      <c r="I186" s="207">
        <v>80</v>
      </c>
      <c r="J186" s="242">
        <f t="shared" si="31"/>
        <v>2400</v>
      </c>
      <c r="K186" s="153"/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4</v>
      </c>
      <c r="C187" s="206">
        <v>43440</v>
      </c>
      <c r="D187" s="161" t="s">
        <v>9</v>
      </c>
      <c r="E187" s="161" t="s">
        <v>2505</v>
      </c>
      <c r="F187" s="207">
        <v>170</v>
      </c>
      <c r="G187" s="207">
        <v>200</v>
      </c>
      <c r="H187" s="161">
        <v>30</v>
      </c>
      <c r="I187" s="207">
        <v>80</v>
      </c>
      <c r="J187" s="242">
        <f t="shared" si="31"/>
        <v>2400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5</v>
      </c>
      <c r="C188" s="206">
        <v>43441</v>
      </c>
      <c r="D188" s="161" t="s">
        <v>9</v>
      </c>
      <c r="E188" s="161" t="s">
        <v>2489</v>
      </c>
      <c r="F188" s="207">
        <v>260</v>
      </c>
      <c r="G188" s="207">
        <v>380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6</v>
      </c>
      <c r="C189" s="206">
        <v>43444</v>
      </c>
      <c r="D189" s="161" t="s">
        <v>9</v>
      </c>
      <c r="E189" s="161" t="s">
        <v>2612</v>
      </c>
      <c r="F189" s="207">
        <v>260</v>
      </c>
      <c r="G189" s="207">
        <v>320</v>
      </c>
      <c r="H189" s="161">
        <v>60</v>
      </c>
      <c r="I189" s="207">
        <v>80</v>
      </c>
      <c r="J189" s="242">
        <f t="shared" si="31"/>
        <v>4800</v>
      </c>
      <c r="K189" s="153"/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7</v>
      </c>
      <c r="C190" s="206">
        <v>43446</v>
      </c>
      <c r="D190" s="161" t="s">
        <v>9</v>
      </c>
      <c r="E190" s="161" t="s">
        <v>2502</v>
      </c>
      <c r="F190" s="207">
        <v>120</v>
      </c>
      <c r="G190" s="207">
        <v>60</v>
      </c>
      <c r="H190" s="161">
        <v>-60</v>
      </c>
      <c r="I190" s="207">
        <v>80</v>
      </c>
      <c r="J190" s="242">
        <f t="shared" si="31"/>
        <v>-4800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8</v>
      </c>
      <c r="C191" s="206">
        <v>43447</v>
      </c>
      <c r="D191" s="161" t="s">
        <v>9</v>
      </c>
      <c r="E191" s="161" t="s">
        <v>2523</v>
      </c>
      <c r="F191" s="207">
        <v>60</v>
      </c>
      <c r="G191" s="207">
        <v>145</v>
      </c>
      <c r="H191" s="161">
        <v>85</v>
      </c>
      <c r="I191" s="207">
        <v>80</v>
      </c>
      <c r="J191" s="242">
        <f t="shared" si="31"/>
        <v>6800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43448</v>
      </c>
      <c r="D192" s="161" t="s">
        <v>9</v>
      </c>
      <c r="E192" s="161" t="s">
        <v>2491</v>
      </c>
      <c r="F192" s="207">
        <v>200</v>
      </c>
      <c r="G192" s="207">
        <v>230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10</v>
      </c>
      <c r="C193" s="206">
        <v>43451</v>
      </c>
      <c r="D193" s="161" t="s">
        <v>9</v>
      </c>
      <c r="E193" s="161" t="s">
        <v>2518</v>
      </c>
      <c r="F193" s="207">
        <v>140</v>
      </c>
      <c r="G193" s="207">
        <v>135</v>
      </c>
      <c r="H193" s="161">
        <v>-5</v>
      </c>
      <c r="I193" s="207">
        <v>80</v>
      </c>
      <c r="J193" s="242">
        <f t="shared" si="31"/>
        <v>-400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11</v>
      </c>
      <c r="C194" s="206">
        <v>43452</v>
      </c>
      <c r="D194" s="161" t="s">
        <v>9</v>
      </c>
      <c r="E194" s="161" t="s">
        <v>2438</v>
      </c>
      <c r="F194" s="207">
        <v>140</v>
      </c>
      <c r="G194" s="207">
        <v>260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12</v>
      </c>
      <c r="C195" s="206">
        <v>43453</v>
      </c>
      <c r="D195" s="161" t="s">
        <v>9</v>
      </c>
      <c r="E195" s="161" t="s">
        <v>2443</v>
      </c>
      <c r="F195" s="207">
        <v>130</v>
      </c>
      <c r="G195" s="207">
        <v>155</v>
      </c>
      <c r="H195" s="161">
        <v>25</v>
      </c>
      <c r="I195" s="207">
        <v>80</v>
      </c>
      <c r="J195" s="242">
        <f t="shared" si="31"/>
        <v>2000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43454</v>
      </c>
      <c r="D196" s="161" t="s">
        <v>9</v>
      </c>
      <c r="E196" s="161" t="s">
        <v>2524</v>
      </c>
      <c r="F196" s="207">
        <v>80</v>
      </c>
      <c r="G196" s="207">
        <v>20</v>
      </c>
      <c r="H196" s="161">
        <v>-60</v>
      </c>
      <c r="I196" s="207">
        <v>80</v>
      </c>
      <c r="J196" s="242">
        <f t="shared" si="31"/>
        <v>-4800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14</v>
      </c>
      <c r="C197" s="206">
        <v>43455</v>
      </c>
      <c r="D197" s="161" t="s">
        <v>9</v>
      </c>
      <c r="E197" s="161" t="s">
        <v>2617</v>
      </c>
      <c r="F197" s="207">
        <v>210</v>
      </c>
      <c r="G197" s="207">
        <v>330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15</v>
      </c>
      <c r="C198" s="206">
        <v>43458</v>
      </c>
      <c r="D198" s="161" t="s">
        <v>9</v>
      </c>
      <c r="E198" s="161" t="s">
        <v>2491</v>
      </c>
      <c r="F198" s="207">
        <v>160</v>
      </c>
      <c r="G198" s="207">
        <v>220</v>
      </c>
      <c r="H198" s="161">
        <v>60</v>
      </c>
      <c r="I198" s="207">
        <v>80</v>
      </c>
      <c r="J198" s="242">
        <f t="shared" si="31"/>
        <v>4800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16</v>
      </c>
      <c r="C199" s="206">
        <v>43460</v>
      </c>
      <c r="D199" s="161" t="s">
        <v>9</v>
      </c>
      <c r="E199" s="161" t="s">
        <v>2502</v>
      </c>
      <c r="F199" s="207">
        <v>120</v>
      </c>
      <c r="G199" s="207">
        <v>60</v>
      </c>
      <c r="H199" s="161">
        <v>-60</v>
      </c>
      <c r="I199" s="207">
        <v>80</v>
      </c>
      <c r="J199" s="242">
        <f t="shared" si="31"/>
        <v>-4800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17</v>
      </c>
      <c r="C200" s="206">
        <v>43461</v>
      </c>
      <c r="D200" s="161" t="s">
        <v>9</v>
      </c>
      <c r="E200" s="161" t="s">
        <v>2521</v>
      </c>
      <c r="F200" s="207">
        <v>90</v>
      </c>
      <c r="G200" s="207">
        <v>30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18</v>
      </c>
      <c r="C201" s="206">
        <v>43462</v>
      </c>
      <c r="D201" s="161" t="s">
        <v>9</v>
      </c>
      <c r="E201" s="161" t="s">
        <v>2617</v>
      </c>
      <c r="F201" s="207">
        <v>250</v>
      </c>
      <c r="G201" s="207">
        <v>280</v>
      </c>
      <c r="H201" s="161">
        <v>30</v>
      </c>
      <c r="I201" s="207">
        <v>80</v>
      </c>
      <c r="J201" s="242">
        <f t="shared" si="31"/>
        <v>2400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43465</v>
      </c>
      <c r="D202" s="161" t="s">
        <v>9</v>
      </c>
      <c r="E202" s="161" t="s">
        <v>2617</v>
      </c>
      <c r="F202" s="207">
        <v>200</v>
      </c>
      <c r="G202" s="207">
        <v>240</v>
      </c>
      <c r="H202" s="161">
        <v>40</v>
      </c>
      <c r="I202" s="207">
        <v>80</v>
      </c>
      <c r="J202" s="242">
        <f t="shared" si="31"/>
        <v>3200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43600</v>
      </c>
      <c r="K207" s="153"/>
      <c r="V207" s="25">
        <f>SUM(V184:V206)</f>
        <v>13</v>
      </c>
      <c r="W207" s="25">
        <f>SUM(W184:W206)</f>
        <v>6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2605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43437</v>
      </c>
      <c r="D215" s="185" t="s">
        <v>9</v>
      </c>
      <c r="E215" s="185" t="s">
        <v>2608</v>
      </c>
      <c r="F215" s="231">
        <v>33</v>
      </c>
      <c r="G215" s="231">
        <v>40</v>
      </c>
      <c r="H215" s="231">
        <v>7</v>
      </c>
      <c r="I215" s="219">
        <v>500</v>
      </c>
      <c r="J215" s="246">
        <f t="shared" ref="J215:J237" si="35">I215*H215</f>
        <v>3500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43438</v>
      </c>
      <c r="D216" s="161" t="s">
        <v>9</v>
      </c>
      <c r="E216" s="161" t="s">
        <v>2608</v>
      </c>
      <c r="F216" s="222">
        <v>36</v>
      </c>
      <c r="G216" s="222">
        <v>39</v>
      </c>
      <c r="H216" s="255">
        <v>3</v>
      </c>
      <c r="I216" s="207">
        <v>500</v>
      </c>
      <c r="J216" s="242">
        <f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43439</v>
      </c>
      <c r="D217" s="161" t="s">
        <v>9</v>
      </c>
      <c r="E217" s="161" t="s">
        <v>2609</v>
      </c>
      <c r="F217" s="222">
        <v>36</v>
      </c>
      <c r="G217" s="222">
        <v>30</v>
      </c>
      <c r="H217" s="222">
        <v>-6</v>
      </c>
      <c r="I217" s="207">
        <v>600</v>
      </c>
      <c r="J217" s="242">
        <f t="shared" si="35"/>
        <v>-3600</v>
      </c>
      <c r="K217" s="153"/>
      <c r="V217" s="25">
        <f t="shared" ref="V217:V237" si="37">IF($J217&gt;0,1,0)</f>
        <v>0</v>
      </c>
      <c r="W217" s="25">
        <f t="shared" ref="W217:W237" si="38">IF($J217&lt;0,1,0)</f>
        <v>1</v>
      </c>
    </row>
    <row r="218" spans="1:23" x14ac:dyDescent="0.3">
      <c r="A218" s="147"/>
      <c r="B218" s="205">
        <f t="shared" si="36"/>
        <v>4</v>
      </c>
      <c r="C218" s="206">
        <v>43440</v>
      </c>
      <c r="D218" s="161" t="s">
        <v>9</v>
      </c>
      <c r="E218" s="161" t="s">
        <v>2006</v>
      </c>
      <c r="F218" s="222">
        <v>8.5</v>
      </c>
      <c r="G218" s="222">
        <v>9.25</v>
      </c>
      <c r="H218" s="222">
        <v>0.75</v>
      </c>
      <c r="I218" s="207">
        <v>3000</v>
      </c>
      <c r="J218" s="242">
        <f t="shared" si="35"/>
        <v>2250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43441</v>
      </c>
      <c r="D219" s="161" t="s">
        <v>9</v>
      </c>
      <c r="E219" s="161" t="s">
        <v>2610</v>
      </c>
      <c r="F219" s="222">
        <v>49</v>
      </c>
      <c r="G219" s="222">
        <v>59</v>
      </c>
      <c r="H219" s="222">
        <v>10</v>
      </c>
      <c r="I219" s="207">
        <v>300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6</v>
      </c>
      <c r="C220" s="206">
        <v>43444</v>
      </c>
      <c r="D220" s="161" t="s">
        <v>9</v>
      </c>
      <c r="E220" s="161" t="s">
        <v>2613</v>
      </c>
      <c r="F220" s="222">
        <v>35</v>
      </c>
      <c r="G220" s="222">
        <v>28</v>
      </c>
      <c r="H220" s="222">
        <v>-8</v>
      </c>
      <c r="I220" s="207">
        <v>600</v>
      </c>
      <c r="J220" s="242">
        <f t="shared" si="35"/>
        <v>-4800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7</v>
      </c>
      <c r="C221" s="206">
        <v>43446</v>
      </c>
      <c r="D221" s="161" t="s">
        <v>9</v>
      </c>
      <c r="E221" s="161" t="s">
        <v>2307</v>
      </c>
      <c r="F221" s="222">
        <v>37</v>
      </c>
      <c r="G221" s="222">
        <v>27</v>
      </c>
      <c r="H221" s="222">
        <v>-10</v>
      </c>
      <c r="I221" s="207">
        <v>300</v>
      </c>
      <c r="J221" s="242">
        <f t="shared" si="35"/>
        <v>-3000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8</v>
      </c>
      <c r="C222" s="206">
        <v>43447</v>
      </c>
      <c r="D222" s="161" t="s">
        <v>9</v>
      </c>
      <c r="E222" s="161" t="s">
        <v>2528</v>
      </c>
      <c r="F222" s="222">
        <v>24</v>
      </c>
      <c r="G222" s="222">
        <v>36</v>
      </c>
      <c r="H222" s="222">
        <v>12</v>
      </c>
      <c r="I222" s="207">
        <v>500</v>
      </c>
      <c r="J222" s="242">
        <f t="shared" si="35"/>
        <v>6000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43449</v>
      </c>
      <c r="D223" s="161" t="s">
        <v>9</v>
      </c>
      <c r="E223" s="161" t="s">
        <v>2522</v>
      </c>
      <c r="F223" s="222">
        <v>30</v>
      </c>
      <c r="G223" s="222">
        <v>33.299999999999997</v>
      </c>
      <c r="H223" s="255">
        <v>3.3</v>
      </c>
      <c r="I223" s="207">
        <v>500</v>
      </c>
      <c r="J223" s="242">
        <f t="shared" si="35"/>
        <v>1650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43451</v>
      </c>
      <c r="D224" s="161" t="s">
        <v>9</v>
      </c>
      <c r="E224" s="161" t="s">
        <v>2527</v>
      </c>
      <c r="F224" s="222">
        <v>21</v>
      </c>
      <c r="G224" s="222">
        <v>29.5</v>
      </c>
      <c r="H224" s="255">
        <v>8.5</v>
      </c>
      <c r="I224" s="207">
        <v>500</v>
      </c>
      <c r="J224" s="242">
        <f t="shared" si="35"/>
        <v>4250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11</v>
      </c>
      <c r="C225" s="206">
        <v>43452</v>
      </c>
      <c r="D225" s="161" t="s">
        <v>9</v>
      </c>
      <c r="E225" s="161" t="s">
        <v>2614</v>
      </c>
      <c r="F225" s="222">
        <v>10</v>
      </c>
      <c r="G225" s="222">
        <v>13</v>
      </c>
      <c r="H225" s="255">
        <v>3</v>
      </c>
      <c r="I225" s="207">
        <v>500</v>
      </c>
      <c r="J225" s="242">
        <f t="shared" si="35"/>
        <v>1500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12</v>
      </c>
      <c r="C226" s="206">
        <v>43453</v>
      </c>
      <c r="D226" s="161" t="s">
        <v>9</v>
      </c>
      <c r="E226" s="161" t="s">
        <v>2615</v>
      </c>
      <c r="F226" s="222">
        <v>35</v>
      </c>
      <c r="G226" s="222">
        <v>55</v>
      </c>
      <c r="H226" s="255">
        <v>20</v>
      </c>
      <c r="I226" s="207">
        <v>400</v>
      </c>
      <c r="J226" s="242">
        <f t="shared" si="35"/>
        <v>8000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13</v>
      </c>
      <c r="C227" s="206">
        <v>43454</v>
      </c>
      <c r="D227" s="161" t="s">
        <v>9</v>
      </c>
      <c r="E227" s="161" t="s">
        <v>2616</v>
      </c>
      <c r="F227" s="222">
        <v>23</v>
      </c>
      <c r="G227" s="222">
        <v>17</v>
      </c>
      <c r="H227" s="255">
        <v>-6</v>
      </c>
      <c r="I227" s="207">
        <v>800</v>
      </c>
      <c r="J227" s="242">
        <f t="shared" si="35"/>
        <v>-4800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14</v>
      </c>
      <c r="C228" s="206">
        <v>43455</v>
      </c>
      <c r="D228" s="161" t="s">
        <v>9</v>
      </c>
      <c r="E228" s="161" t="s">
        <v>2584</v>
      </c>
      <c r="F228" s="222">
        <v>21</v>
      </c>
      <c r="G228" s="222">
        <v>33</v>
      </c>
      <c r="H228" s="255">
        <v>12</v>
      </c>
      <c r="I228" s="207">
        <v>500</v>
      </c>
      <c r="J228" s="242">
        <f>I228*H228</f>
        <v>6000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15</v>
      </c>
      <c r="C229" s="206">
        <v>43458</v>
      </c>
      <c r="D229" s="161" t="s">
        <v>9</v>
      </c>
      <c r="E229" s="161" t="s">
        <v>2582</v>
      </c>
      <c r="F229" s="222">
        <v>14</v>
      </c>
      <c r="G229" s="222">
        <v>17.5</v>
      </c>
      <c r="H229" s="255">
        <v>3.5</v>
      </c>
      <c r="I229" s="207">
        <v>500</v>
      </c>
      <c r="J229" s="242">
        <f t="shared" si="35"/>
        <v>1750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43460</v>
      </c>
      <c r="D230" s="161" t="s">
        <v>9</v>
      </c>
      <c r="E230" s="161" t="s">
        <v>2618</v>
      </c>
      <c r="F230" s="222">
        <v>5</v>
      </c>
      <c r="G230" s="222">
        <v>6.5</v>
      </c>
      <c r="H230" s="222">
        <v>1.5</v>
      </c>
      <c r="I230" s="207">
        <v>1100</v>
      </c>
      <c r="J230" s="242">
        <f t="shared" si="35"/>
        <v>1650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43461</v>
      </c>
      <c r="D231" s="161" t="s">
        <v>9</v>
      </c>
      <c r="E231" s="161" t="s">
        <v>2527</v>
      </c>
      <c r="F231" s="222">
        <v>5.5</v>
      </c>
      <c r="G231" s="222">
        <v>7.3</v>
      </c>
      <c r="H231" s="222">
        <v>1.8</v>
      </c>
      <c r="I231" s="207">
        <v>500</v>
      </c>
      <c r="J231" s="242">
        <f t="shared" si="35"/>
        <v>900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18</v>
      </c>
      <c r="C232" s="206">
        <v>43462</v>
      </c>
      <c r="D232" s="161" t="s">
        <v>9</v>
      </c>
      <c r="E232" s="161" t="s">
        <v>2619</v>
      </c>
      <c r="F232" s="222">
        <v>22</v>
      </c>
      <c r="G232" s="222">
        <v>21.5</v>
      </c>
      <c r="H232" s="222">
        <v>-0.5</v>
      </c>
      <c r="I232" s="207">
        <v>1250</v>
      </c>
      <c r="J232" s="242">
        <f t="shared" si="35"/>
        <v>-625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19</v>
      </c>
      <c r="C233" s="206">
        <v>43465</v>
      </c>
      <c r="D233" s="161" t="s">
        <v>9</v>
      </c>
      <c r="E233" s="161" t="s">
        <v>2620</v>
      </c>
      <c r="F233" s="222">
        <v>63</v>
      </c>
      <c r="G233" s="222">
        <v>68.5</v>
      </c>
      <c r="H233" s="222">
        <v>5.5</v>
      </c>
      <c r="I233" s="207">
        <v>250</v>
      </c>
      <c r="J233" s="242">
        <f t="shared" si="35"/>
        <v>1375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26500</v>
      </c>
      <c r="K238" s="153"/>
      <c r="V238" s="25">
        <f>SUM(V215:V237)</f>
        <v>14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400-000000000000}"/>
    <hyperlink ref="B83" r:id="rId2" xr:uid="{00000000-0004-0000-4400-000001000000}"/>
    <hyperlink ref="B114" r:id="rId3" xr:uid="{00000000-0004-0000-4400-000002000000}"/>
    <hyperlink ref="B145" r:id="rId4" xr:uid="{00000000-0004-0000-4400-000003000000}"/>
    <hyperlink ref="B176" r:id="rId5" xr:uid="{00000000-0004-0000-4400-000004000000}"/>
    <hyperlink ref="B207" r:id="rId6" xr:uid="{00000000-0004-0000-4400-000005000000}"/>
    <hyperlink ref="B238" r:id="rId7" xr:uid="{00000000-0004-0000-4400-000006000000}"/>
    <hyperlink ref="M1" location="'MASTER '!A1" display="Back" xr:uid="{00000000-0004-0000-4400-000007000000}"/>
    <hyperlink ref="M8:M9" location="'DEC 2018'!A108" display="NIFTY FUTURE" xr:uid="{00000000-0004-0000-4400-000008000000}"/>
    <hyperlink ref="M10:M11" location="'DEC 2018'!A139" display="NF. OPTION" xr:uid="{00000000-0004-0000-4400-000009000000}"/>
    <hyperlink ref="M12:M13" location="'DEC 2018'!A170" display="BANK NIFTY" xr:uid="{00000000-0004-0000-4400-00000A000000}"/>
    <hyperlink ref="M14:M15" location="'DEC 2018'!A201" display="B.NIFTY OPTION" xr:uid="{00000000-0004-0000-4400-00000B000000}"/>
    <hyperlink ref="M16:M17" location="'DEC 2018'!A232" display="STOCK OPTION" xr:uid="{00000000-0004-0000-4400-00000C000000}"/>
    <hyperlink ref="M6:M7" location="'DEC 2018'!A77" display="STOCK FUTURE" xr:uid="{00000000-0004-0000-4400-00000D000000}"/>
    <hyperlink ref="M4:M5" location="'DEC 2018'!A1" display="CASH" xr:uid="{00000000-0004-0000-4400-00000E000000}"/>
  </hyperlinks>
  <pageMargins left="0" right="0" top="0" bottom="0" header="0" footer="0"/>
  <pageSetup scale="95"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20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179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41548</v>
      </c>
      <c r="C6" s="3" t="s">
        <v>8</v>
      </c>
      <c r="D6" s="2" t="s">
        <v>78</v>
      </c>
      <c r="E6" s="4">
        <v>783</v>
      </c>
      <c r="F6" s="4">
        <v>776.55</v>
      </c>
      <c r="G6" s="4">
        <v>383.14176245210729</v>
      </c>
      <c r="H6" s="7">
        <v>1235.6321839080547</v>
      </c>
      <c r="K6" s="16"/>
    </row>
    <row r="7" spans="1:11" x14ac:dyDescent="0.3">
      <c r="B7" s="43">
        <v>41550</v>
      </c>
      <c r="C7" s="3" t="s">
        <v>8</v>
      </c>
      <c r="D7" s="2" t="s">
        <v>183</v>
      </c>
      <c r="E7" s="4">
        <v>610</v>
      </c>
      <c r="F7" s="4">
        <v>603.35</v>
      </c>
      <c r="G7" s="4">
        <v>491.80327868852459</v>
      </c>
      <c r="H7" s="7">
        <v>1635.2459016393386</v>
      </c>
      <c r="K7" s="16"/>
    </row>
    <row r="8" spans="1:11" x14ac:dyDescent="0.3">
      <c r="B8" s="43">
        <v>41551</v>
      </c>
      <c r="C8" s="2" t="s">
        <v>9</v>
      </c>
      <c r="D8" s="2" t="s">
        <v>28</v>
      </c>
      <c r="E8" s="4">
        <v>475</v>
      </c>
      <c r="F8" s="4">
        <v>479.7</v>
      </c>
      <c r="G8" s="4">
        <v>631.57894736842104</v>
      </c>
      <c r="H8" s="7">
        <v>1484.210526315786</v>
      </c>
      <c r="K8" s="16"/>
    </row>
    <row r="9" spans="1:11" x14ac:dyDescent="0.3">
      <c r="B9" s="43">
        <v>41554</v>
      </c>
      <c r="C9" s="2" t="s">
        <v>9</v>
      </c>
      <c r="D9" s="2" t="s">
        <v>25</v>
      </c>
      <c r="E9" s="4">
        <v>296.39999999999998</v>
      </c>
      <c r="F9" s="4">
        <v>300</v>
      </c>
      <c r="G9" s="4">
        <v>1012.1457489878543</v>
      </c>
      <c r="H9" s="7">
        <v>4908.9068825911163</v>
      </c>
      <c r="K9" s="16"/>
    </row>
    <row r="10" spans="1:11" x14ac:dyDescent="0.3">
      <c r="B10" s="43">
        <v>41555</v>
      </c>
      <c r="C10" s="2" t="s">
        <v>9</v>
      </c>
      <c r="D10" s="2" t="s">
        <v>124</v>
      </c>
      <c r="E10" s="4">
        <v>356.35</v>
      </c>
      <c r="F10" s="4">
        <v>359.4</v>
      </c>
      <c r="G10" s="4">
        <v>841.86894906692851</v>
      </c>
      <c r="H10" s="7">
        <v>1283.8501473270469</v>
      </c>
      <c r="K10" s="16"/>
    </row>
    <row r="11" spans="1:11" x14ac:dyDescent="0.3">
      <c r="B11" s="43">
        <v>41556</v>
      </c>
      <c r="C11" s="3" t="s">
        <v>9</v>
      </c>
      <c r="D11" s="2" t="s">
        <v>25</v>
      </c>
      <c r="E11" s="4">
        <v>302.05</v>
      </c>
      <c r="F11" s="7">
        <v>304.75</v>
      </c>
      <c r="G11" s="4">
        <v>993.21304419798048</v>
      </c>
      <c r="H11" s="7">
        <v>2681.675219334536</v>
      </c>
      <c r="K11" s="16"/>
    </row>
    <row r="12" spans="1:11" x14ac:dyDescent="0.3">
      <c r="B12" s="43">
        <v>41557</v>
      </c>
      <c r="C12" s="3" t="s">
        <v>9</v>
      </c>
      <c r="D12" s="2" t="s">
        <v>36</v>
      </c>
      <c r="E12" s="4">
        <v>936</v>
      </c>
      <c r="F12" s="4">
        <v>954.3</v>
      </c>
      <c r="G12" s="4">
        <v>320.5128205128205</v>
      </c>
      <c r="H12" s="7">
        <v>4855.7692307692232</v>
      </c>
      <c r="K12" s="16"/>
    </row>
    <row r="13" spans="1:11" x14ac:dyDescent="0.3">
      <c r="B13" s="43">
        <v>41558</v>
      </c>
      <c r="C13" s="3" t="s">
        <v>9</v>
      </c>
      <c r="D13" s="2" t="s">
        <v>124</v>
      </c>
      <c r="E13" s="7">
        <v>378.5</v>
      </c>
      <c r="F13" s="7">
        <v>390</v>
      </c>
      <c r="G13" s="4">
        <v>2000</v>
      </c>
      <c r="H13" s="7">
        <v>17399.999999999978</v>
      </c>
      <c r="K13" s="16"/>
    </row>
    <row r="14" spans="1:11" x14ac:dyDescent="0.3">
      <c r="B14" s="43">
        <v>41561</v>
      </c>
      <c r="C14" s="3" t="s">
        <v>9</v>
      </c>
      <c r="D14" s="2" t="s">
        <v>184</v>
      </c>
      <c r="E14" s="7">
        <v>492.5</v>
      </c>
      <c r="F14" s="7">
        <v>504.2</v>
      </c>
      <c r="G14" s="4">
        <v>609.13705583756348</v>
      </c>
      <c r="H14" s="7">
        <v>5999.9999999999964</v>
      </c>
      <c r="K14" s="16"/>
    </row>
    <row r="15" spans="1:11" x14ac:dyDescent="0.3">
      <c r="B15" s="43">
        <v>41562</v>
      </c>
      <c r="C15" s="3" t="s">
        <v>9</v>
      </c>
      <c r="D15" s="2" t="s">
        <v>25</v>
      </c>
      <c r="E15" s="4">
        <v>308</v>
      </c>
      <c r="F15" s="4">
        <v>313.10000000000002</v>
      </c>
      <c r="G15" s="4">
        <v>974.02597402597405</v>
      </c>
      <c r="H15" s="7">
        <v>4139.6103896103896</v>
      </c>
      <c r="K15" s="16"/>
    </row>
    <row r="16" spans="1:11" x14ac:dyDescent="0.3">
      <c r="B16" s="43">
        <v>41564</v>
      </c>
      <c r="C16" s="3" t="s">
        <v>9</v>
      </c>
      <c r="D16" s="2" t="s">
        <v>25</v>
      </c>
      <c r="E16" s="4">
        <v>313</v>
      </c>
      <c r="F16" s="4">
        <v>315.75</v>
      </c>
      <c r="G16" s="4">
        <v>958.46645367412145</v>
      </c>
      <c r="H16" s="7">
        <v>1317.8913738019171</v>
      </c>
      <c r="K16" s="16"/>
    </row>
    <row r="17" spans="2:11" x14ac:dyDescent="0.3">
      <c r="B17" s="43">
        <v>41565</v>
      </c>
      <c r="C17" s="3" t="s">
        <v>9</v>
      </c>
      <c r="D17" s="2" t="s">
        <v>25</v>
      </c>
      <c r="E17" s="4">
        <v>311</v>
      </c>
      <c r="F17" s="4">
        <v>324.39999999999998</v>
      </c>
      <c r="G17" s="4">
        <v>964.6302250803858</v>
      </c>
      <c r="H17" s="7">
        <v>10297.427652733102</v>
      </c>
      <c r="K17" s="16"/>
    </row>
    <row r="18" spans="2:11" x14ac:dyDescent="0.3">
      <c r="B18" s="43">
        <v>41568</v>
      </c>
      <c r="C18" s="3" t="s">
        <v>9</v>
      </c>
      <c r="D18" s="2" t="s">
        <v>185</v>
      </c>
      <c r="E18" s="4">
        <v>418</v>
      </c>
      <c r="F18" s="4">
        <v>421.85</v>
      </c>
      <c r="G18" s="4">
        <v>717.7033492822967</v>
      </c>
      <c r="H18" s="7">
        <v>1381.5789473684292</v>
      </c>
      <c r="K18" s="16"/>
    </row>
    <row r="19" spans="2:11" x14ac:dyDescent="0.3">
      <c r="B19" s="43">
        <v>41569</v>
      </c>
      <c r="C19" s="3" t="s">
        <v>9</v>
      </c>
      <c r="D19" s="2" t="s">
        <v>37</v>
      </c>
      <c r="E19" s="4">
        <v>118</v>
      </c>
      <c r="F19" s="4">
        <v>120.1</v>
      </c>
      <c r="G19" s="4">
        <v>2542.3728813559323</v>
      </c>
      <c r="H19" s="7">
        <v>5338.9830508474433</v>
      </c>
      <c r="K19" s="16"/>
    </row>
    <row r="20" spans="2:11" x14ac:dyDescent="0.3">
      <c r="B20" s="43">
        <v>41570</v>
      </c>
      <c r="C20" s="3" t="s">
        <v>9</v>
      </c>
      <c r="D20" s="2" t="s">
        <v>25</v>
      </c>
      <c r="E20" s="4">
        <v>342</v>
      </c>
      <c r="F20" s="4">
        <v>335.5</v>
      </c>
      <c r="G20" s="4">
        <v>877.19298245614038</v>
      </c>
      <c r="H20" s="7">
        <v>-5701.7543859649122</v>
      </c>
      <c r="K20" s="16"/>
    </row>
    <row r="21" spans="2:11" x14ac:dyDescent="0.3">
      <c r="B21" s="43">
        <v>41571</v>
      </c>
      <c r="C21" s="3" t="s">
        <v>9</v>
      </c>
      <c r="D21" s="2" t="s">
        <v>28</v>
      </c>
      <c r="E21" s="4">
        <v>498</v>
      </c>
      <c r="F21" s="4">
        <v>506.65</v>
      </c>
      <c r="G21" s="4">
        <v>602.40963855421683</v>
      </c>
      <c r="H21" s="7">
        <v>4382.5301204819134</v>
      </c>
      <c r="K21" s="16"/>
    </row>
    <row r="22" spans="2:11" x14ac:dyDescent="0.3">
      <c r="B22" s="43">
        <v>41572</v>
      </c>
      <c r="C22" s="3" t="s">
        <v>9</v>
      </c>
      <c r="D22" s="2" t="s">
        <v>36</v>
      </c>
      <c r="E22" s="4">
        <v>1027</v>
      </c>
      <c r="F22" s="4">
        <v>1038</v>
      </c>
      <c r="G22" s="4">
        <v>292.11295034079842</v>
      </c>
      <c r="H22" s="7">
        <v>1606.6212268743914</v>
      </c>
      <c r="K22" s="16"/>
    </row>
    <row r="23" spans="2:11" x14ac:dyDescent="0.3">
      <c r="B23" s="43">
        <v>41575</v>
      </c>
      <c r="C23" s="3" t="s">
        <v>9</v>
      </c>
      <c r="D23" s="2" t="s">
        <v>25</v>
      </c>
      <c r="E23" s="4">
        <v>326</v>
      </c>
      <c r="F23" s="4">
        <v>320</v>
      </c>
      <c r="G23" s="4">
        <v>920.24539877300617</v>
      </c>
      <c r="H23" s="7">
        <v>-5521.4723926380375</v>
      </c>
      <c r="K23" s="16"/>
    </row>
    <row r="24" spans="2:11" x14ac:dyDescent="0.3">
      <c r="B24" s="43">
        <v>41576</v>
      </c>
      <c r="C24" s="3" t="s">
        <v>9</v>
      </c>
      <c r="D24" s="2" t="s">
        <v>36</v>
      </c>
      <c r="E24" s="4">
        <v>1040</v>
      </c>
      <c r="F24" s="4">
        <v>1075.5</v>
      </c>
      <c r="G24" s="4">
        <v>288.46153846153845</v>
      </c>
      <c r="H24" s="7">
        <v>8632.2115384615245</v>
      </c>
      <c r="K24" s="16"/>
    </row>
    <row r="25" spans="2:11" x14ac:dyDescent="0.3">
      <c r="B25" s="43">
        <v>41577</v>
      </c>
      <c r="C25" s="3" t="s">
        <v>9</v>
      </c>
      <c r="D25" s="2" t="s">
        <v>48</v>
      </c>
      <c r="E25" s="4">
        <v>597.20000000000005</v>
      </c>
      <c r="F25" s="4">
        <v>602.25</v>
      </c>
      <c r="G25" s="4">
        <v>502.34427327528465</v>
      </c>
      <c r="H25" s="7">
        <v>1268.4192900200824</v>
      </c>
    </row>
    <row r="26" spans="2:11" x14ac:dyDescent="0.3">
      <c r="B26" s="43">
        <v>41578</v>
      </c>
      <c r="C26" s="3" t="s">
        <v>9</v>
      </c>
      <c r="D26" s="2" t="s">
        <v>25</v>
      </c>
      <c r="E26" s="4">
        <v>327</v>
      </c>
      <c r="F26" s="4">
        <v>332.95</v>
      </c>
      <c r="G26" s="4">
        <v>917.43119266055044</v>
      </c>
      <c r="H26" s="7">
        <v>4128.440366972477</v>
      </c>
    </row>
    <row r="27" spans="2:11" x14ac:dyDescent="0.3">
      <c r="B27" s="1"/>
      <c r="C27" s="28"/>
      <c r="D27" s="28"/>
      <c r="E27" s="28"/>
      <c r="F27" s="28"/>
      <c r="G27" s="28"/>
      <c r="H27" s="29">
        <v>72755.78</v>
      </c>
    </row>
    <row r="28" spans="2:11" ht="15.6" x14ac:dyDescent="0.3">
      <c r="C28" s="28"/>
      <c r="D28" s="28"/>
      <c r="E28" s="28"/>
      <c r="F28" s="28"/>
      <c r="G28" s="28"/>
      <c r="H28" s="34"/>
    </row>
    <row r="29" spans="2:11" x14ac:dyDescent="0.3">
      <c r="B29" s="1"/>
    </row>
    <row r="30" spans="2:11" ht="15.6" x14ac:dyDescent="0.3">
      <c r="B30" s="48" t="s">
        <v>62</v>
      </c>
      <c r="C30" s="48"/>
      <c r="D30" s="48"/>
      <c r="E30" s="48"/>
      <c r="F30" s="48"/>
      <c r="G30" s="48"/>
      <c r="H30" s="48"/>
    </row>
    <row r="31" spans="2:11" x14ac:dyDescent="0.3">
      <c r="B31" s="43">
        <v>41548</v>
      </c>
      <c r="C31" s="3" t="s">
        <v>11</v>
      </c>
      <c r="D31" s="2" t="s">
        <v>189</v>
      </c>
      <c r="E31" s="3">
        <v>140</v>
      </c>
      <c r="F31" s="4">
        <v>143</v>
      </c>
      <c r="G31" s="5">
        <v>2000</v>
      </c>
      <c r="H31" s="7">
        <v>6000</v>
      </c>
    </row>
    <row r="32" spans="2:11" x14ac:dyDescent="0.3">
      <c r="B32" s="43">
        <v>41550</v>
      </c>
      <c r="C32" s="3" t="s">
        <v>8</v>
      </c>
      <c r="D32" s="2" t="s">
        <v>129</v>
      </c>
      <c r="E32" s="3">
        <v>794</v>
      </c>
      <c r="F32" s="4">
        <v>787</v>
      </c>
      <c r="G32" s="5">
        <v>250</v>
      </c>
      <c r="H32" s="28">
        <v>1750</v>
      </c>
    </row>
    <row r="33" spans="2:8" x14ac:dyDescent="0.3">
      <c r="B33" s="43">
        <v>41554</v>
      </c>
      <c r="C33" s="3" t="s">
        <v>9</v>
      </c>
      <c r="D33" s="2" t="s">
        <v>37</v>
      </c>
      <c r="E33" s="3">
        <v>118</v>
      </c>
      <c r="F33" s="3">
        <v>120</v>
      </c>
      <c r="G33" s="5">
        <v>2000</v>
      </c>
      <c r="H33" s="28">
        <v>4000</v>
      </c>
    </row>
    <row r="34" spans="2:8" x14ac:dyDescent="0.3">
      <c r="B34" s="43">
        <v>41555</v>
      </c>
      <c r="C34" s="3" t="s">
        <v>8</v>
      </c>
      <c r="D34" s="2" t="s">
        <v>25</v>
      </c>
      <c r="E34" s="8">
        <v>308</v>
      </c>
      <c r="F34" s="2">
        <v>300</v>
      </c>
      <c r="G34" s="5">
        <v>1000</v>
      </c>
      <c r="H34" s="28">
        <v>8000</v>
      </c>
    </row>
    <row r="35" spans="2:8" x14ac:dyDescent="0.3">
      <c r="B35" s="43">
        <v>41556</v>
      </c>
      <c r="C35" s="3" t="s">
        <v>9</v>
      </c>
      <c r="D35" s="2" t="s">
        <v>36</v>
      </c>
      <c r="E35" s="8">
        <v>934</v>
      </c>
      <c r="F35" s="2">
        <v>954</v>
      </c>
      <c r="G35" s="5">
        <v>500</v>
      </c>
      <c r="H35" s="28">
        <v>5000</v>
      </c>
    </row>
    <row r="36" spans="2:8" x14ac:dyDescent="0.3">
      <c r="B36" s="43">
        <v>41557</v>
      </c>
      <c r="C36" s="3" t="s">
        <v>9</v>
      </c>
      <c r="D36" s="2" t="s">
        <v>25</v>
      </c>
      <c r="E36" s="8">
        <v>310.7</v>
      </c>
      <c r="F36" s="2">
        <v>313</v>
      </c>
      <c r="G36" s="5">
        <v>1000</v>
      </c>
      <c r="H36" s="28">
        <v>2000</v>
      </c>
    </row>
    <row r="37" spans="2:8" x14ac:dyDescent="0.3">
      <c r="B37" s="43">
        <v>41561</v>
      </c>
      <c r="C37" s="3" t="s">
        <v>9</v>
      </c>
      <c r="D37" s="2" t="s">
        <v>124</v>
      </c>
      <c r="E37" s="5">
        <v>390</v>
      </c>
      <c r="F37" s="5">
        <v>393.7</v>
      </c>
      <c r="G37" s="5">
        <v>1000</v>
      </c>
      <c r="H37" s="28">
        <v>4000</v>
      </c>
    </row>
    <row r="38" spans="2:8" x14ac:dyDescent="0.3">
      <c r="B38" s="43">
        <v>41562</v>
      </c>
      <c r="C38" s="3" t="s">
        <v>9</v>
      </c>
      <c r="D38" s="2" t="s">
        <v>19</v>
      </c>
      <c r="E38" s="7">
        <v>1645</v>
      </c>
      <c r="F38" s="2">
        <v>1615</v>
      </c>
      <c r="G38" s="5">
        <v>125</v>
      </c>
      <c r="H38" s="28">
        <v>-3750</v>
      </c>
    </row>
    <row r="39" spans="2:8" x14ac:dyDescent="0.3">
      <c r="B39" s="43">
        <v>41564</v>
      </c>
      <c r="C39" s="3" t="s">
        <v>9</v>
      </c>
      <c r="D39" s="2" t="s">
        <v>16</v>
      </c>
      <c r="E39" s="4">
        <v>237</v>
      </c>
      <c r="F39" s="4">
        <v>243</v>
      </c>
      <c r="G39" s="5">
        <v>1000</v>
      </c>
      <c r="H39" s="28">
        <v>6000</v>
      </c>
    </row>
    <row r="40" spans="2:8" x14ac:dyDescent="0.3">
      <c r="B40" s="43">
        <v>41565</v>
      </c>
      <c r="C40" s="3" t="s">
        <v>9</v>
      </c>
      <c r="D40" s="2" t="s">
        <v>26</v>
      </c>
      <c r="E40" s="4">
        <v>156</v>
      </c>
      <c r="F40" s="4">
        <v>159</v>
      </c>
      <c r="G40" s="5">
        <v>2000</v>
      </c>
      <c r="H40" s="28">
        <v>6000</v>
      </c>
    </row>
    <row r="41" spans="2:8" x14ac:dyDescent="0.3">
      <c r="B41" s="43">
        <v>41568</v>
      </c>
      <c r="C41" s="3" t="s">
        <v>9</v>
      </c>
      <c r="D41" s="2" t="s">
        <v>28</v>
      </c>
      <c r="E41" s="4">
        <v>483</v>
      </c>
      <c r="F41" s="4">
        <v>493</v>
      </c>
      <c r="G41" s="5">
        <v>500</v>
      </c>
      <c r="H41" s="28">
        <v>5000</v>
      </c>
    </row>
    <row r="42" spans="2:8" x14ac:dyDescent="0.3">
      <c r="B42" s="43">
        <v>41570</v>
      </c>
      <c r="C42" s="3" t="s">
        <v>9</v>
      </c>
      <c r="D42" s="2" t="s">
        <v>36</v>
      </c>
      <c r="E42" s="5">
        <v>1018</v>
      </c>
      <c r="F42" s="4">
        <v>1032</v>
      </c>
      <c r="G42" s="5">
        <v>500</v>
      </c>
      <c r="H42" s="28">
        <v>6000</v>
      </c>
    </row>
    <row r="43" spans="2:8" x14ac:dyDescent="0.3">
      <c r="B43" s="43">
        <v>41571</v>
      </c>
      <c r="C43" s="3" t="s">
        <v>9</v>
      </c>
      <c r="D43" s="2" t="s">
        <v>26</v>
      </c>
      <c r="E43" s="4">
        <v>160</v>
      </c>
      <c r="F43" s="4">
        <v>162</v>
      </c>
      <c r="G43" s="5">
        <v>2000</v>
      </c>
      <c r="H43" s="28">
        <v>4000</v>
      </c>
    </row>
    <row r="44" spans="2:8" x14ac:dyDescent="0.3">
      <c r="B44" s="43">
        <v>41572</v>
      </c>
      <c r="C44" s="3" t="s">
        <v>9</v>
      </c>
      <c r="D44" s="2" t="s">
        <v>19</v>
      </c>
      <c r="E44" s="5">
        <v>1710</v>
      </c>
      <c r="F44" s="4">
        <v>1740</v>
      </c>
      <c r="G44" s="5">
        <v>125</v>
      </c>
      <c r="H44" s="28">
        <v>3750</v>
      </c>
    </row>
    <row r="45" spans="2:8" x14ac:dyDescent="0.3">
      <c r="B45" s="43">
        <v>41575</v>
      </c>
      <c r="C45" s="3" t="s">
        <v>9</v>
      </c>
      <c r="D45" s="2" t="s">
        <v>79</v>
      </c>
      <c r="E45" s="5">
        <v>348</v>
      </c>
      <c r="F45" s="4">
        <v>342</v>
      </c>
      <c r="G45" s="5">
        <v>1000</v>
      </c>
      <c r="H45" s="28">
        <v>-6000</v>
      </c>
    </row>
    <row r="46" spans="2:8" x14ac:dyDescent="0.3">
      <c r="B46" s="43">
        <v>41576</v>
      </c>
      <c r="C46" s="3" t="s">
        <v>9</v>
      </c>
      <c r="D46" s="2" t="s">
        <v>111</v>
      </c>
      <c r="E46" s="5">
        <v>334</v>
      </c>
      <c r="F46" s="5">
        <v>343</v>
      </c>
      <c r="G46" s="5">
        <v>1000</v>
      </c>
      <c r="H46" s="28">
        <v>9000</v>
      </c>
    </row>
    <row r="47" spans="2:8" x14ac:dyDescent="0.3">
      <c r="B47" s="43">
        <v>41577</v>
      </c>
      <c r="C47" s="3" t="s">
        <v>9</v>
      </c>
      <c r="D47" s="2" t="s">
        <v>25</v>
      </c>
      <c r="E47" s="4">
        <v>324</v>
      </c>
      <c r="F47" s="4">
        <v>330</v>
      </c>
      <c r="G47" s="5">
        <v>1000</v>
      </c>
      <c r="H47" s="28">
        <v>6000</v>
      </c>
    </row>
    <row r="48" spans="2:8" ht="15.6" x14ac:dyDescent="0.3">
      <c r="B48" s="1"/>
      <c r="C48" s="4"/>
      <c r="D48" s="4"/>
      <c r="E48" s="4"/>
      <c r="F48" s="4"/>
      <c r="G48" s="28"/>
      <c r="H48" s="34">
        <v>66750</v>
      </c>
    </row>
    <row r="49" spans="2:10" x14ac:dyDescent="0.3">
      <c r="B49" s="39"/>
      <c r="C49" s="4"/>
      <c r="D49" s="4"/>
      <c r="E49" s="4"/>
      <c r="F49" s="4"/>
      <c r="G49" s="28"/>
      <c r="H49" s="28"/>
    </row>
    <row r="50" spans="2:10" x14ac:dyDescent="0.3">
      <c r="B50" s="1"/>
      <c r="C50" s="28"/>
      <c r="D50" s="28"/>
      <c r="E50" s="28"/>
      <c r="F50" s="28"/>
      <c r="G50" s="28"/>
      <c r="H50" s="28"/>
      <c r="J50" s="45"/>
    </row>
    <row r="51" spans="2:10" ht="15.6" x14ac:dyDescent="0.3">
      <c r="B51" s="48" t="s">
        <v>63</v>
      </c>
      <c r="C51" s="48"/>
      <c r="D51" s="48"/>
      <c r="E51" s="48"/>
      <c r="F51" s="48"/>
      <c r="G51" s="48"/>
      <c r="H51" s="48"/>
    </row>
    <row r="52" spans="2:10" x14ac:dyDescent="0.3">
      <c r="B52" s="45">
        <v>41548</v>
      </c>
      <c r="C52" s="3" t="s">
        <v>8</v>
      </c>
      <c r="D52" s="2" t="s">
        <v>39</v>
      </c>
      <c r="E52" s="5">
        <v>5790</v>
      </c>
      <c r="F52" s="4">
        <v>5755</v>
      </c>
      <c r="G52" s="5">
        <v>100</v>
      </c>
      <c r="H52" s="4">
        <v>3500</v>
      </c>
    </row>
    <row r="53" spans="2:10" x14ac:dyDescent="0.3">
      <c r="B53" s="45">
        <v>41550</v>
      </c>
      <c r="C53" s="3" t="s">
        <v>8</v>
      </c>
      <c r="D53" s="2" t="s">
        <v>39</v>
      </c>
      <c r="E53" s="3">
        <v>5904</v>
      </c>
      <c r="F53" s="4">
        <v>5940</v>
      </c>
      <c r="G53" s="5">
        <v>100</v>
      </c>
      <c r="H53" s="4">
        <v>3600</v>
      </c>
    </row>
    <row r="54" spans="2:10" x14ac:dyDescent="0.3">
      <c r="B54" s="45">
        <v>41551</v>
      </c>
      <c r="C54" s="2" t="s">
        <v>9</v>
      </c>
      <c r="D54" s="2" t="s">
        <v>39</v>
      </c>
      <c r="E54" s="2">
        <v>5980</v>
      </c>
      <c r="F54" s="2">
        <v>5999</v>
      </c>
      <c r="G54" s="8">
        <v>100</v>
      </c>
      <c r="H54" s="4">
        <v>950</v>
      </c>
    </row>
    <row r="55" spans="2:10" x14ac:dyDescent="0.3">
      <c r="B55" s="45">
        <v>41555</v>
      </c>
      <c r="C55" s="3" t="s">
        <v>8</v>
      </c>
      <c r="D55" s="2" t="s">
        <v>39</v>
      </c>
      <c r="E55" s="5">
        <v>6003</v>
      </c>
      <c r="F55" s="5">
        <v>5983</v>
      </c>
      <c r="G55" s="5">
        <v>100</v>
      </c>
      <c r="H55" s="4">
        <v>1000</v>
      </c>
    </row>
    <row r="56" spans="2:10" x14ac:dyDescent="0.3">
      <c r="B56" s="45">
        <v>41556</v>
      </c>
      <c r="C56" s="3" t="s">
        <v>8</v>
      </c>
      <c r="D56" s="2" t="s">
        <v>39</v>
      </c>
      <c r="E56" s="5">
        <v>5943</v>
      </c>
      <c r="F56" s="5">
        <v>5979</v>
      </c>
      <c r="G56" s="5">
        <v>100</v>
      </c>
      <c r="H56" s="4">
        <v>-3600</v>
      </c>
    </row>
    <row r="57" spans="2:10" x14ac:dyDescent="0.3">
      <c r="B57" s="45">
        <v>41557</v>
      </c>
      <c r="C57" s="3" t="s">
        <v>9</v>
      </c>
      <c r="D57" s="2" t="s">
        <v>39</v>
      </c>
      <c r="E57" s="5">
        <v>6032</v>
      </c>
      <c r="F57" s="5">
        <v>6048</v>
      </c>
      <c r="G57" s="5">
        <v>100</v>
      </c>
      <c r="H57" s="4">
        <v>800</v>
      </c>
    </row>
    <row r="58" spans="2:10" x14ac:dyDescent="0.3">
      <c r="B58" s="45">
        <v>41558</v>
      </c>
      <c r="C58" s="3" t="s">
        <v>9</v>
      </c>
      <c r="D58" s="2" t="s">
        <v>39</v>
      </c>
      <c r="E58" s="5">
        <v>6085</v>
      </c>
      <c r="F58" s="4">
        <v>6143</v>
      </c>
      <c r="G58" s="5">
        <v>100</v>
      </c>
      <c r="H58" s="4">
        <v>3790.0000000000091</v>
      </c>
    </row>
    <row r="59" spans="2:10" x14ac:dyDescent="0.3">
      <c r="B59" s="45">
        <v>41562</v>
      </c>
      <c r="C59" s="3" t="s">
        <v>8</v>
      </c>
      <c r="D59" s="2" t="s">
        <v>39</v>
      </c>
      <c r="E59" s="5">
        <v>6174</v>
      </c>
      <c r="F59" s="5">
        <v>6118</v>
      </c>
      <c r="G59" s="5">
        <v>100</v>
      </c>
      <c r="H59" s="4">
        <v>4600</v>
      </c>
    </row>
    <row r="60" spans="2:10" x14ac:dyDescent="0.3">
      <c r="B60" s="45">
        <v>41564</v>
      </c>
      <c r="C60" s="3" t="s">
        <v>9</v>
      </c>
      <c r="D60" s="2" t="s">
        <v>39</v>
      </c>
      <c r="E60" s="5">
        <v>6078</v>
      </c>
      <c r="F60" s="5">
        <v>6102</v>
      </c>
      <c r="G60" s="5">
        <v>100</v>
      </c>
      <c r="H60" s="4">
        <v>1200</v>
      </c>
    </row>
    <row r="61" spans="2:10" x14ac:dyDescent="0.3">
      <c r="B61" s="45">
        <v>41565</v>
      </c>
      <c r="C61" s="3" t="s">
        <v>9</v>
      </c>
      <c r="D61" s="2" t="s">
        <v>39</v>
      </c>
      <c r="E61" s="5">
        <v>6130</v>
      </c>
      <c r="F61" s="5">
        <v>6152</v>
      </c>
      <c r="G61" s="5">
        <v>100</v>
      </c>
      <c r="H61" s="4">
        <v>2200</v>
      </c>
    </row>
    <row r="62" spans="2:10" x14ac:dyDescent="0.3">
      <c r="B62" s="45">
        <v>41568</v>
      </c>
      <c r="C62" s="3" t="s">
        <v>9</v>
      </c>
      <c r="D62" s="2" t="s">
        <v>39</v>
      </c>
      <c r="E62" s="5">
        <v>6218</v>
      </c>
      <c r="F62" s="4">
        <v>6234</v>
      </c>
      <c r="G62" s="5">
        <v>100</v>
      </c>
      <c r="H62" s="4">
        <v>825</v>
      </c>
    </row>
    <row r="63" spans="2:10" x14ac:dyDescent="0.3">
      <c r="B63" s="45">
        <v>41570</v>
      </c>
      <c r="C63" s="3" t="s">
        <v>9</v>
      </c>
      <c r="D63" s="2" t="s">
        <v>39</v>
      </c>
      <c r="E63" s="4">
        <v>6181</v>
      </c>
      <c r="F63" s="4">
        <v>6196</v>
      </c>
      <c r="G63" s="5">
        <v>100</v>
      </c>
      <c r="H63" s="4">
        <v>767.50000000001819</v>
      </c>
    </row>
    <row r="64" spans="2:10" x14ac:dyDescent="0.3">
      <c r="B64" s="45">
        <v>41571</v>
      </c>
      <c r="C64" s="3" t="s">
        <v>9</v>
      </c>
      <c r="D64" s="2" t="s">
        <v>39</v>
      </c>
      <c r="E64" s="5">
        <v>6185</v>
      </c>
      <c r="F64" s="5">
        <v>6254</v>
      </c>
      <c r="G64" s="5">
        <v>100</v>
      </c>
      <c r="H64" s="4">
        <v>5275</v>
      </c>
    </row>
    <row r="65" spans="2:8" x14ac:dyDescent="0.3">
      <c r="B65" s="45">
        <v>41572</v>
      </c>
      <c r="C65" s="3" t="s">
        <v>9</v>
      </c>
      <c r="D65" s="2" t="s">
        <v>39</v>
      </c>
      <c r="E65" s="5">
        <v>6156</v>
      </c>
      <c r="F65" s="4">
        <v>6188</v>
      </c>
      <c r="G65" s="5">
        <v>100</v>
      </c>
      <c r="H65" s="4">
        <v>2392.4999999999727</v>
      </c>
    </row>
    <row r="66" spans="2:8" x14ac:dyDescent="0.3">
      <c r="B66" s="45">
        <v>41577</v>
      </c>
      <c r="C66" s="3" t="s">
        <v>9</v>
      </c>
      <c r="D66" s="2" t="s">
        <v>39</v>
      </c>
      <c r="E66" s="5">
        <v>6210</v>
      </c>
      <c r="F66" s="5">
        <v>6245</v>
      </c>
      <c r="G66" s="5">
        <v>100</v>
      </c>
      <c r="H66" s="4">
        <v>3100</v>
      </c>
    </row>
    <row r="67" spans="2:8" x14ac:dyDescent="0.3">
      <c r="B67" s="1"/>
      <c r="C67" s="3"/>
      <c r="D67" s="2"/>
      <c r="E67" s="4"/>
      <c r="F67" s="4"/>
      <c r="G67" s="4"/>
      <c r="H67" s="38">
        <v>30400</v>
      </c>
    </row>
    <row r="68" spans="2:8" x14ac:dyDescent="0.3">
      <c r="B68" s="1"/>
      <c r="C68" s="3"/>
      <c r="D68" s="2"/>
      <c r="E68" s="4"/>
      <c r="F68" s="4"/>
      <c r="G68" s="4"/>
      <c r="H68" s="4"/>
    </row>
    <row r="69" spans="2:8" x14ac:dyDescent="0.3">
      <c r="B69" s="1"/>
    </row>
    <row r="70" spans="2:8" ht="15.6" x14ac:dyDescent="0.3">
      <c r="B70" s="48" t="s">
        <v>64</v>
      </c>
      <c r="C70" s="48"/>
      <c r="D70" s="48"/>
      <c r="E70" s="48"/>
      <c r="F70" s="48"/>
      <c r="G70" s="48"/>
      <c r="H70" s="48"/>
    </row>
    <row r="71" spans="2:8" x14ac:dyDescent="0.3">
      <c r="B71" s="43">
        <v>41548</v>
      </c>
      <c r="C71" s="3" t="s">
        <v>69</v>
      </c>
      <c r="D71" s="3" t="s">
        <v>233</v>
      </c>
      <c r="E71" s="5">
        <v>100</v>
      </c>
      <c r="F71" s="40">
        <v>117</v>
      </c>
      <c r="G71" s="7">
        <v>200</v>
      </c>
      <c r="H71" s="8">
        <v>2600</v>
      </c>
    </row>
    <row r="72" spans="2:8" x14ac:dyDescent="0.3">
      <c r="B72" s="43">
        <v>41550</v>
      </c>
      <c r="C72" s="3" t="s">
        <v>65</v>
      </c>
      <c r="D72" s="3" t="s">
        <v>234</v>
      </c>
      <c r="E72" s="5">
        <v>140</v>
      </c>
      <c r="F72" s="40">
        <v>148</v>
      </c>
      <c r="G72" s="7">
        <v>200</v>
      </c>
      <c r="H72" s="8">
        <v>800</v>
      </c>
    </row>
    <row r="73" spans="2:8" x14ac:dyDescent="0.3">
      <c r="B73" s="43">
        <v>41551</v>
      </c>
      <c r="C73" s="3" t="s">
        <v>65</v>
      </c>
      <c r="D73" s="3" t="s">
        <v>235</v>
      </c>
      <c r="E73" s="5">
        <v>94</v>
      </c>
      <c r="F73" s="40">
        <v>102</v>
      </c>
      <c r="G73" s="7">
        <v>200</v>
      </c>
      <c r="H73" s="8">
        <v>1600</v>
      </c>
    </row>
    <row r="74" spans="2:8" x14ac:dyDescent="0.3">
      <c r="B74" s="43">
        <v>41554</v>
      </c>
      <c r="C74" s="3" t="s">
        <v>69</v>
      </c>
      <c r="D74" s="3" t="s">
        <v>236</v>
      </c>
      <c r="E74" s="5">
        <v>145</v>
      </c>
      <c r="F74" s="40">
        <v>170</v>
      </c>
      <c r="G74" s="7">
        <v>200</v>
      </c>
      <c r="H74" s="8">
        <v>5000</v>
      </c>
    </row>
    <row r="75" spans="2:8" x14ac:dyDescent="0.3">
      <c r="B75" s="43">
        <v>41555</v>
      </c>
      <c r="C75" s="3" t="s">
        <v>69</v>
      </c>
      <c r="D75" s="3" t="s">
        <v>236</v>
      </c>
      <c r="E75" s="5">
        <v>115</v>
      </c>
      <c r="F75" s="40">
        <v>117</v>
      </c>
      <c r="G75" s="7">
        <v>200</v>
      </c>
      <c r="H75" s="8">
        <v>400</v>
      </c>
    </row>
    <row r="76" spans="2:8" x14ac:dyDescent="0.3">
      <c r="B76" s="43">
        <v>41556</v>
      </c>
      <c r="C76" s="3" t="s">
        <v>65</v>
      </c>
      <c r="D76" s="3" t="s">
        <v>237</v>
      </c>
      <c r="E76" s="5">
        <v>122</v>
      </c>
      <c r="F76" s="40">
        <v>130</v>
      </c>
      <c r="G76" s="7">
        <v>200</v>
      </c>
      <c r="H76" s="8">
        <v>1600</v>
      </c>
    </row>
    <row r="77" spans="2:8" x14ac:dyDescent="0.3">
      <c r="B77" s="43">
        <v>41557</v>
      </c>
      <c r="C77" s="3" t="s">
        <v>65</v>
      </c>
      <c r="D77" s="3" t="s">
        <v>237</v>
      </c>
      <c r="E77" s="41">
        <v>140</v>
      </c>
      <c r="F77" s="40">
        <v>150</v>
      </c>
      <c r="G77" s="7">
        <v>200</v>
      </c>
      <c r="H77" s="8">
        <v>2000</v>
      </c>
    </row>
    <row r="78" spans="2:8" x14ac:dyDescent="0.3">
      <c r="B78" s="43">
        <v>41558</v>
      </c>
      <c r="C78" s="3" t="s">
        <v>65</v>
      </c>
      <c r="D78" s="3" t="s">
        <v>235</v>
      </c>
      <c r="E78" s="5">
        <v>123</v>
      </c>
      <c r="F78" s="40">
        <v>144</v>
      </c>
      <c r="G78" s="7">
        <v>200</v>
      </c>
      <c r="H78" s="8">
        <v>2980.0000000000009</v>
      </c>
    </row>
    <row r="79" spans="2:8" x14ac:dyDescent="0.3">
      <c r="B79" s="43">
        <v>41561</v>
      </c>
      <c r="C79" s="3" t="s">
        <v>65</v>
      </c>
      <c r="D79" s="3" t="s">
        <v>237</v>
      </c>
      <c r="E79" s="5">
        <v>152</v>
      </c>
      <c r="F79" s="40">
        <v>172</v>
      </c>
      <c r="G79" s="7">
        <v>200</v>
      </c>
      <c r="H79" s="8">
        <v>3184.9999999999995</v>
      </c>
    </row>
    <row r="80" spans="2:8" x14ac:dyDescent="0.3">
      <c r="B80" s="43">
        <v>41562</v>
      </c>
      <c r="C80" s="3" t="s">
        <v>65</v>
      </c>
      <c r="D80" s="3" t="s">
        <v>238</v>
      </c>
      <c r="E80" s="5">
        <v>116</v>
      </c>
      <c r="F80" s="40">
        <v>152</v>
      </c>
      <c r="G80" s="7">
        <v>200</v>
      </c>
      <c r="H80" s="8">
        <v>5600</v>
      </c>
    </row>
    <row r="81" spans="2:8" x14ac:dyDescent="0.3">
      <c r="B81" s="43">
        <v>41564</v>
      </c>
      <c r="C81" s="3" t="s">
        <v>65</v>
      </c>
      <c r="D81" s="3" t="s">
        <v>237</v>
      </c>
      <c r="E81" s="5">
        <v>125</v>
      </c>
      <c r="F81" s="40">
        <v>145</v>
      </c>
      <c r="G81" s="7">
        <v>200</v>
      </c>
      <c r="H81" s="8">
        <v>4000</v>
      </c>
    </row>
    <row r="82" spans="2:8" x14ac:dyDescent="0.3">
      <c r="B82" s="43">
        <v>41565</v>
      </c>
      <c r="C82" s="3" t="s">
        <v>65</v>
      </c>
      <c r="D82" s="3" t="s">
        <v>237</v>
      </c>
      <c r="E82" s="5">
        <v>120</v>
      </c>
      <c r="F82" s="40">
        <v>150</v>
      </c>
      <c r="G82" s="7">
        <v>200</v>
      </c>
      <c r="H82" s="8">
        <v>6000</v>
      </c>
    </row>
    <row r="83" spans="2:8" x14ac:dyDescent="0.3">
      <c r="B83" s="43">
        <v>41568</v>
      </c>
      <c r="C83" s="3" t="s">
        <v>65</v>
      </c>
      <c r="D83" s="3" t="s">
        <v>235</v>
      </c>
      <c r="E83" s="5">
        <v>158</v>
      </c>
      <c r="F83" s="40">
        <v>166</v>
      </c>
      <c r="G83" s="7">
        <v>200</v>
      </c>
      <c r="H83" s="8">
        <v>1600</v>
      </c>
    </row>
    <row r="84" spans="2:8" x14ac:dyDescent="0.3">
      <c r="B84" s="43">
        <v>41569</v>
      </c>
      <c r="C84" s="3" t="s">
        <v>65</v>
      </c>
      <c r="D84" s="3" t="s">
        <v>235</v>
      </c>
      <c r="E84" s="5">
        <v>155.5</v>
      </c>
      <c r="F84" s="40">
        <v>140</v>
      </c>
      <c r="G84" s="7">
        <v>200</v>
      </c>
      <c r="H84" s="8">
        <v>-3100</v>
      </c>
    </row>
    <row r="85" spans="2:8" x14ac:dyDescent="0.3">
      <c r="B85" s="43">
        <v>41570</v>
      </c>
      <c r="C85" s="3" t="s">
        <v>65</v>
      </c>
      <c r="D85" s="3" t="s">
        <v>235</v>
      </c>
      <c r="E85" s="5">
        <v>112</v>
      </c>
      <c r="F85" s="40">
        <v>134</v>
      </c>
      <c r="G85" s="7">
        <v>200</v>
      </c>
      <c r="H85" s="8">
        <v>2400</v>
      </c>
    </row>
    <row r="86" spans="2:8" x14ac:dyDescent="0.3">
      <c r="B86" s="43">
        <v>41571</v>
      </c>
      <c r="C86" s="3" t="s">
        <v>65</v>
      </c>
      <c r="D86" s="3" t="s">
        <v>239</v>
      </c>
      <c r="E86" s="5">
        <v>130</v>
      </c>
      <c r="F86" s="40">
        <v>140</v>
      </c>
      <c r="G86" s="7">
        <v>200</v>
      </c>
      <c r="H86" s="8">
        <v>1000</v>
      </c>
    </row>
    <row r="87" spans="2:8" x14ac:dyDescent="0.3">
      <c r="B87" s="43">
        <v>41572</v>
      </c>
      <c r="C87" s="3" t="s">
        <v>65</v>
      </c>
      <c r="D87" s="3" t="s">
        <v>235</v>
      </c>
      <c r="E87" s="5">
        <v>92</v>
      </c>
      <c r="F87" s="40">
        <v>112</v>
      </c>
      <c r="G87" s="7">
        <v>200</v>
      </c>
      <c r="H87" s="8">
        <v>2000</v>
      </c>
    </row>
    <row r="88" spans="2:8" x14ac:dyDescent="0.3">
      <c r="B88" s="43">
        <v>41575</v>
      </c>
      <c r="C88" s="3" t="s">
        <v>65</v>
      </c>
      <c r="D88" s="3" t="s">
        <v>237</v>
      </c>
      <c r="E88" s="5">
        <v>84</v>
      </c>
      <c r="F88" s="40">
        <v>94</v>
      </c>
      <c r="G88" s="7">
        <v>200</v>
      </c>
      <c r="H88" s="8">
        <v>2000</v>
      </c>
    </row>
    <row r="89" spans="2:8" x14ac:dyDescent="0.3">
      <c r="B89" s="43">
        <v>41576</v>
      </c>
      <c r="C89" s="3" t="s">
        <v>65</v>
      </c>
      <c r="D89" s="3" t="s">
        <v>234</v>
      </c>
      <c r="E89" s="5">
        <v>145</v>
      </c>
      <c r="F89" s="40">
        <v>185</v>
      </c>
      <c r="G89" s="7">
        <v>200</v>
      </c>
      <c r="H89" s="8">
        <v>6200</v>
      </c>
    </row>
    <row r="90" spans="2:8" x14ac:dyDescent="0.3">
      <c r="B90" s="43">
        <v>41577</v>
      </c>
      <c r="C90" s="3" t="s">
        <v>65</v>
      </c>
      <c r="D90" s="3" t="s">
        <v>235</v>
      </c>
      <c r="E90" s="5">
        <v>142</v>
      </c>
      <c r="F90" s="40" t="s">
        <v>240</v>
      </c>
      <c r="G90" s="7">
        <v>200</v>
      </c>
      <c r="H90" s="8">
        <v>4000</v>
      </c>
    </row>
    <row r="91" spans="2:8" x14ac:dyDescent="0.3">
      <c r="B91" s="43">
        <v>41578</v>
      </c>
      <c r="C91" s="3" t="s">
        <v>65</v>
      </c>
      <c r="D91" s="3" t="s">
        <v>218</v>
      </c>
      <c r="E91" s="5">
        <v>120</v>
      </c>
      <c r="F91" s="40">
        <v>128</v>
      </c>
      <c r="G91" s="7">
        <v>200</v>
      </c>
      <c r="H91" s="8">
        <v>800</v>
      </c>
    </row>
    <row r="92" spans="2:8" ht="15.6" x14ac:dyDescent="0.3">
      <c r="B92" s="1"/>
      <c r="C92" s="28"/>
      <c r="D92" s="28"/>
      <c r="E92" s="28"/>
      <c r="F92" s="28"/>
      <c r="G92" s="28"/>
      <c r="H92" s="34">
        <v>52665</v>
      </c>
    </row>
    <row r="93" spans="2:8" x14ac:dyDescent="0.3">
      <c r="B93" s="1"/>
      <c r="C93" s="28"/>
      <c r="D93" s="28"/>
      <c r="E93" s="28"/>
      <c r="F93" s="28"/>
      <c r="G93" s="28"/>
      <c r="H93" s="28"/>
    </row>
    <row r="94" spans="2:8" x14ac:dyDescent="0.3">
      <c r="B94" s="1"/>
      <c r="C94" s="28"/>
      <c r="D94" s="28"/>
      <c r="E94" s="28"/>
      <c r="F94" s="28"/>
      <c r="G94" s="28"/>
      <c r="H94" s="28"/>
    </row>
    <row r="95" spans="2:8" x14ac:dyDescent="0.3">
      <c r="B95" s="1"/>
      <c r="C95" s="28"/>
      <c r="D95" s="28"/>
      <c r="E95" s="28"/>
      <c r="F95" s="28"/>
      <c r="G95" s="28"/>
      <c r="H95" s="28"/>
    </row>
    <row r="96" spans="2:8" ht="15.6" x14ac:dyDescent="0.3">
      <c r="B96" s="44"/>
      <c r="C96" s="44"/>
      <c r="D96" s="44"/>
      <c r="E96" s="44"/>
      <c r="F96" s="44"/>
      <c r="G96" s="44"/>
      <c r="H96" s="44"/>
    </row>
    <row r="97" spans="2:8" x14ac:dyDescent="0.3">
      <c r="B97" s="1"/>
      <c r="C97" s="4"/>
      <c r="D97" s="4"/>
      <c r="E97" s="4"/>
      <c r="F97" s="4"/>
      <c r="G97" s="4"/>
      <c r="H97" s="4"/>
    </row>
    <row r="98" spans="2:8" x14ac:dyDescent="0.3">
      <c r="B98" s="1"/>
      <c r="C98" s="4"/>
      <c r="D98" s="4"/>
      <c r="E98" s="4"/>
      <c r="F98" s="4"/>
      <c r="G98" s="4"/>
      <c r="H98" s="4"/>
    </row>
    <row r="99" spans="2:8" x14ac:dyDescent="0.3">
      <c r="B99" s="1"/>
      <c r="C99" s="4"/>
      <c r="D99" s="4"/>
      <c r="E99" s="4"/>
      <c r="F99" s="4"/>
      <c r="G99" s="4"/>
      <c r="H99" s="4"/>
    </row>
    <row r="100" spans="2:8" x14ac:dyDescent="0.3">
      <c r="B100" s="1"/>
      <c r="C100" s="4"/>
      <c r="D100" s="4"/>
      <c r="E100" s="4"/>
      <c r="F100" s="4"/>
      <c r="G100" s="4"/>
      <c r="H100" s="4"/>
    </row>
    <row r="101" spans="2:8" x14ac:dyDescent="0.3">
      <c r="B101" s="1"/>
      <c r="C101" s="4"/>
      <c r="D101" s="4"/>
      <c r="E101" s="4"/>
      <c r="F101" s="4"/>
      <c r="G101" s="4"/>
      <c r="H101" s="4"/>
    </row>
    <row r="102" spans="2:8" x14ac:dyDescent="0.3">
      <c r="B102" s="1"/>
      <c r="C102" s="4"/>
      <c r="D102" s="4"/>
      <c r="E102" s="4"/>
      <c r="F102" s="4"/>
      <c r="G102" s="4"/>
      <c r="H102" s="4"/>
    </row>
    <row r="103" spans="2:8" x14ac:dyDescent="0.3">
      <c r="B103" s="1"/>
      <c r="C103" s="4"/>
      <c r="D103" s="4"/>
      <c r="E103" s="4"/>
      <c r="F103" s="4"/>
      <c r="G103" s="4"/>
      <c r="H103" s="4"/>
    </row>
    <row r="104" spans="2:8" x14ac:dyDescent="0.3">
      <c r="B104" s="1"/>
      <c r="C104" s="4"/>
      <c r="D104" s="4"/>
      <c r="E104" s="4"/>
      <c r="F104" s="4"/>
      <c r="G104" s="4"/>
      <c r="H104" s="4"/>
    </row>
    <row r="105" spans="2:8" x14ac:dyDescent="0.3">
      <c r="B105" s="1"/>
      <c r="C105" s="4"/>
      <c r="D105" s="4"/>
      <c r="E105" s="4"/>
      <c r="F105" s="4"/>
      <c r="G105" s="4"/>
      <c r="H105" s="4"/>
    </row>
    <row r="106" spans="2:8" x14ac:dyDescent="0.3">
      <c r="B106" s="1"/>
      <c r="C106" s="4"/>
      <c r="D106" s="4"/>
      <c r="E106" s="4"/>
      <c r="F106" s="4"/>
      <c r="G106" s="4"/>
      <c r="H106" s="4"/>
    </row>
    <row r="107" spans="2:8" x14ac:dyDescent="0.3">
      <c r="B107" s="1"/>
      <c r="C107" s="4"/>
      <c r="D107" s="4"/>
      <c r="E107" s="4"/>
      <c r="F107" s="4"/>
      <c r="G107" s="4"/>
      <c r="H107" s="38"/>
    </row>
    <row r="108" spans="2:8" x14ac:dyDescent="0.3">
      <c r="B108" s="1"/>
      <c r="C108" s="17"/>
      <c r="D108" s="17"/>
      <c r="E108" s="17"/>
      <c r="F108" s="17"/>
      <c r="G108" s="17"/>
      <c r="H108" s="17"/>
    </row>
    <row r="109" spans="2:8" x14ac:dyDescent="0.3">
      <c r="B109" s="1"/>
      <c r="C109" s="17"/>
      <c r="D109" s="17"/>
      <c r="E109" s="17"/>
      <c r="F109" s="17"/>
      <c r="G109" s="17"/>
      <c r="H109" s="17"/>
    </row>
    <row r="110" spans="2:8" x14ac:dyDescent="0.3">
      <c r="B110" s="1"/>
      <c r="C110" s="17"/>
      <c r="D110" s="17"/>
      <c r="E110" s="17"/>
      <c r="F110" s="17"/>
      <c r="G110" s="17"/>
      <c r="H110" s="17"/>
    </row>
    <row r="111" spans="2:8" x14ac:dyDescent="0.3">
      <c r="B111" s="1"/>
      <c r="C111" s="17"/>
      <c r="D111" s="17"/>
      <c r="E111" s="17"/>
      <c r="F111" s="17"/>
      <c r="G111" s="17"/>
      <c r="H111" s="17"/>
    </row>
    <row r="112" spans="2:8" x14ac:dyDescent="0.3">
      <c r="B112" s="1"/>
      <c r="C112" s="17"/>
      <c r="D112" s="17"/>
      <c r="E112" s="17"/>
      <c r="F112" s="17"/>
      <c r="G112" s="17"/>
      <c r="H112" s="17"/>
    </row>
    <row r="113" spans="2:8" x14ac:dyDescent="0.3">
      <c r="B113" s="1"/>
      <c r="C113" s="17"/>
      <c r="D113" s="17"/>
      <c r="E113" s="17"/>
      <c r="F113" s="17"/>
      <c r="G113" s="17"/>
      <c r="H113" s="17"/>
    </row>
    <row r="114" spans="2:8" x14ac:dyDescent="0.3">
      <c r="B114" s="1"/>
      <c r="C114" s="17"/>
      <c r="D114" s="17"/>
      <c r="E114" s="17"/>
      <c r="F114" s="17"/>
      <c r="G114" s="17"/>
      <c r="H114" s="17"/>
    </row>
    <row r="115" spans="2:8" x14ac:dyDescent="0.3">
      <c r="B115" s="1"/>
      <c r="C115" s="17"/>
      <c r="D115" s="17"/>
      <c r="E115" s="17"/>
      <c r="F115" s="17"/>
      <c r="G115" s="17"/>
      <c r="H115" s="17"/>
    </row>
    <row r="116" spans="2:8" x14ac:dyDescent="0.3">
      <c r="B116" s="39"/>
      <c r="C116" s="17"/>
      <c r="D116" s="17"/>
      <c r="E116" s="17"/>
      <c r="F116" s="17"/>
      <c r="G116" s="17"/>
      <c r="H116" s="17"/>
    </row>
    <row r="117" spans="2:8" x14ac:dyDescent="0.3">
      <c r="B117" s="1"/>
      <c r="C117" s="17"/>
      <c r="D117" s="17"/>
      <c r="E117" s="17"/>
      <c r="F117" s="17"/>
      <c r="G117" s="17"/>
      <c r="H117" s="17"/>
    </row>
    <row r="118" spans="2:8" x14ac:dyDescent="0.3">
      <c r="B118" s="1"/>
      <c r="C118" s="17"/>
      <c r="D118" s="17"/>
      <c r="E118" s="17"/>
      <c r="F118" s="17"/>
      <c r="G118" s="17"/>
      <c r="H118" s="17"/>
    </row>
    <row r="119" spans="2:8" x14ac:dyDescent="0.3">
      <c r="B119" s="1"/>
      <c r="C119" s="17"/>
      <c r="D119" s="17"/>
      <c r="E119" s="17"/>
      <c r="F119" s="17"/>
      <c r="G119" s="17"/>
      <c r="H119" s="17"/>
    </row>
    <row r="120" spans="2:8" x14ac:dyDescent="0.3">
      <c r="B120" s="17"/>
      <c r="C120" s="17"/>
      <c r="D120" s="17"/>
      <c r="E120" s="17"/>
      <c r="F120" s="17"/>
      <c r="G120" s="17"/>
      <c r="H120" s="17"/>
    </row>
  </sheetData>
  <mergeCells count="3">
    <mergeCell ref="B1:H1"/>
    <mergeCell ref="B2:H2"/>
    <mergeCell ref="B3:H3"/>
  </mergeCells>
  <hyperlinks>
    <hyperlink ref="J2" location="'MASTER '!A1" display="Back" xr:uid="{00000000-0004-0000-06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2621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31</v>
      </c>
      <c r="P4" s="354">
        <f>W52</f>
        <v>10</v>
      </c>
      <c r="Q4" s="355">
        <f>N4-O4-P4</f>
        <v>1</v>
      </c>
      <c r="R4" s="314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43466</v>
      </c>
      <c r="D6" s="158" t="s">
        <v>9</v>
      </c>
      <c r="E6" s="158" t="s">
        <v>49</v>
      </c>
      <c r="F6" s="204">
        <v>1253</v>
      </c>
      <c r="G6" s="230">
        <v>1251</v>
      </c>
      <c r="H6" s="158">
        <v>-2</v>
      </c>
      <c r="I6" s="204">
        <f>300000/F6</f>
        <v>239.42537909018355</v>
      </c>
      <c r="J6" s="241">
        <f>H6*I6</f>
        <v>-478.85075818036711</v>
      </c>
      <c r="K6" s="153"/>
      <c r="M6" s="389" t="s">
        <v>450</v>
      </c>
      <c r="N6" s="343">
        <f>COUNT(C60:C82)</f>
        <v>21</v>
      </c>
      <c r="O6" s="345">
        <f>V83</f>
        <v>15</v>
      </c>
      <c r="P6" s="345">
        <f>W83</f>
        <v>6</v>
      </c>
      <c r="Q6" s="347">
        <f>N6-O6-P6</f>
        <v>0</v>
      </c>
      <c r="R6" s="340">
        <f t="shared" ref="R6" si="0">O6/N6</f>
        <v>0.7142857142857143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43466</v>
      </c>
      <c r="D7" s="161" t="s">
        <v>8</v>
      </c>
      <c r="E7" s="161" t="s">
        <v>119</v>
      </c>
      <c r="F7" s="207">
        <v>1245</v>
      </c>
      <c r="G7" s="207">
        <v>1255</v>
      </c>
      <c r="H7" s="234">
        <v>-10</v>
      </c>
      <c r="I7" s="207">
        <f t="shared" ref="I7" si="1">300000/F7</f>
        <v>240.96385542168676</v>
      </c>
      <c r="J7" s="242">
        <f t="shared" ref="J7" si="2">H7*I7</f>
        <v>-2409.6385542168678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43467</v>
      </c>
      <c r="D8" s="161" t="s">
        <v>9</v>
      </c>
      <c r="E8" s="161" t="s">
        <v>139</v>
      </c>
      <c r="F8" s="207">
        <v>186</v>
      </c>
      <c r="G8" s="222">
        <v>184.7</v>
      </c>
      <c r="H8" s="222">
        <v>1.3</v>
      </c>
      <c r="I8" s="207">
        <f t="shared" ref="I8:I9" si="6">300000/F8</f>
        <v>1612.9032258064517</v>
      </c>
      <c r="J8" s="242">
        <f t="shared" ref="J8:J9" si="7">H8*I8</f>
        <v>2096.7741935483873</v>
      </c>
      <c r="K8" s="153"/>
      <c r="M8" s="389" t="s">
        <v>451</v>
      </c>
      <c r="N8" s="343">
        <f>COUNT(C91:C113)</f>
        <v>21</v>
      </c>
      <c r="O8" s="345">
        <f>V114</f>
        <v>17</v>
      </c>
      <c r="P8" s="345">
        <f>W114</f>
        <v>4</v>
      </c>
      <c r="Q8" s="347">
        <f>N8-O8-P8</f>
        <v>0</v>
      </c>
      <c r="R8" s="340">
        <f t="shared" ref="R8" si="8">O8/N8</f>
        <v>0.80952380952380953</v>
      </c>
      <c r="V8" s="25">
        <f t="shared" si="3"/>
        <v>1</v>
      </c>
      <c r="W8" s="25">
        <f t="shared" si="4"/>
        <v>0</v>
      </c>
    </row>
    <row r="9" spans="1:23" x14ac:dyDescent="0.3">
      <c r="A9" s="147"/>
      <c r="B9" s="205">
        <f t="shared" si="5"/>
        <v>4</v>
      </c>
      <c r="C9" s="206">
        <v>43467</v>
      </c>
      <c r="D9" s="161" t="s">
        <v>8</v>
      </c>
      <c r="E9" s="161" t="s">
        <v>31</v>
      </c>
      <c r="F9" s="222">
        <v>1122</v>
      </c>
      <c r="G9" s="222">
        <v>1102</v>
      </c>
      <c r="H9" s="222">
        <v>20</v>
      </c>
      <c r="I9" s="207">
        <f t="shared" si="6"/>
        <v>267.37967914438502</v>
      </c>
      <c r="J9" s="242">
        <f t="shared" si="7"/>
        <v>5347.5935828877009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43468</v>
      </c>
      <c r="D10" s="161" t="s">
        <v>9</v>
      </c>
      <c r="E10" s="161" t="s">
        <v>192</v>
      </c>
      <c r="F10" s="222">
        <v>275.5</v>
      </c>
      <c r="G10" s="222">
        <v>277.7</v>
      </c>
      <c r="H10" s="222">
        <v>2.2000000000000002</v>
      </c>
      <c r="I10" s="207">
        <f t="shared" ref="I10:I47" si="9">300000/F10</f>
        <v>1088.9292196007259</v>
      </c>
      <c r="J10" s="242">
        <f t="shared" ref="J10:J47" si="10">H10*I10</f>
        <v>2395.6442831215973</v>
      </c>
      <c r="K10" s="153"/>
      <c r="M10" s="389" t="s">
        <v>1176</v>
      </c>
      <c r="N10" s="343">
        <f>COUNT(C122:C144)</f>
        <v>21</v>
      </c>
      <c r="O10" s="345">
        <f>V145</f>
        <v>17</v>
      </c>
      <c r="P10" s="345">
        <f>W145</f>
        <v>4</v>
      </c>
      <c r="Q10" s="347">
        <f>N10-O10-P10</f>
        <v>0</v>
      </c>
      <c r="R10" s="340">
        <f t="shared" ref="R10:R16" si="11">O10/N10</f>
        <v>0.80952380952380953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43468</v>
      </c>
      <c r="D11" s="161" t="s">
        <v>8</v>
      </c>
      <c r="E11" s="161" t="s">
        <v>552</v>
      </c>
      <c r="F11" s="222">
        <v>1565</v>
      </c>
      <c r="G11" s="222">
        <v>1558</v>
      </c>
      <c r="H11" s="255">
        <v>7</v>
      </c>
      <c r="I11" s="207">
        <f t="shared" si="9"/>
        <v>191.69329073482427</v>
      </c>
      <c r="J11" s="242">
        <f t="shared" si="10"/>
        <v>1341.8530351437698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43469</v>
      </c>
      <c r="D12" s="161" t="s">
        <v>9</v>
      </c>
      <c r="E12" s="161" t="s">
        <v>48</v>
      </c>
      <c r="F12" s="222">
        <v>119.5</v>
      </c>
      <c r="G12" s="222">
        <v>121.5</v>
      </c>
      <c r="H12" s="222">
        <v>2</v>
      </c>
      <c r="I12" s="207">
        <f t="shared" si="9"/>
        <v>2510.460251046025</v>
      </c>
      <c r="J12" s="242">
        <f t="shared" si="10"/>
        <v>5020.9205020920499</v>
      </c>
      <c r="K12" s="153"/>
      <c r="M12" s="389" t="s">
        <v>41</v>
      </c>
      <c r="N12" s="343">
        <f>COUNT(C153:C175)</f>
        <v>21</v>
      </c>
      <c r="O12" s="345">
        <f>V176</f>
        <v>17</v>
      </c>
      <c r="P12" s="345">
        <f>W176</f>
        <v>4</v>
      </c>
      <c r="Q12" s="347">
        <f t="shared" ref="Q12" si="12">N12-O12-P12</f>
        <v>0</v>
      </c>
      <c r="R12" s="340">
        <f t="shared" si="11"/>
        <v>0.80952380952380953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43469</v>
      </c>
      <c r="D13" s="161" t="s">
        <v>8</v>
      </c>
      <c r="E13" s="161" t="s">
        <v>78</v>
      </c>
      <c r="F13" s="222">
        <v>1392</v>
      </c>
      <c r="G13" s="222">
        <v>1377</v>
      </c>
      <c r="H13" s="255">
        <v>15</v>
      </c>
      <c r="I13" s="207">
        <f t="shared" si="9"/>
        <v>215.51724137931035</v>
      </c>
      <c r="J13" s="242">
        <f t="shared" si="10"/>
        <v>3232.7586206896553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43472</v>
      </c>
      <c r="D14" s="161" t="s">
        <v>9</v>
      </c>
      <c r="E14" s="161" t="s">
        <v>48</v>
      </c>
      <c r="F14" s="222">
        <v>122.8</v>
      </c>
      <c r="G14" s="222">
        <v>122.9</v>
      </c>
      <c r="H14" s="222">
        <v>0.1</v>
      </c>
      <c r="I14" s="207">
        <f t="shared" si="9"/>
        <v>2442.99674267101</v>
      </c>
      <c r="J14" s="242">
        <f t="shared" si="10"/>
        <v>244.29967426710101</v>
      </c>
      <c r="K14" s="153"/>
      <c r="M14" s="389" t="s">
        <v>1175</v>
      </c>
      <c r="N14" s="343">
        <f>COUNT(C184:C206)</f>
        <v>21</v>
      </c>
      <c r="O14" s="345">
        <f>V207</f>
        <v>17</v>
      </c>
      <c r="P14" s="345">
        <f>W207</f>
        <v>4</v>
      </c>
      <c r="Q14" s="347">
        <f t="shared" ref="Q14" si="13">N14-O14-P14</f>
        <v>0</v>
      </c>
      <c r="R14" s="340">
        <f t="shared" si="11"/>
        <v>0.80952380952380953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43472</v>
      </c>
      <c r="D15" s="161" t="s">
        <v>8</v>
      </c>
      <c r="E15" s="161" t="s">
        <v>192</v>
      </c>
      <c r="F15" s="222">
        <v>283</v>
      </c>
      <c r="G15" s="222">
        <v>277</v>
      </c>
      <c r="H15" s="222">
        <v>6</v>
      </c>
      <c r="I15" s="207">
        <f t="shared" si="9"/>
        <v>1060.0706713780919</v>
      </c>
      <c r="J15" s="242">
        <f t="shared" si="10"/>
        <v>6360.4240282685514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43473</v>
      </c>
      <c r="D16" s="161" t="s">
        <v>9</v>
      </c>
      <c r="E16" s="161" t="s">
        <v>192</v>
      </c>
      <c r="F16" s="222">
        <v>280</v>
      </c>
      <c r="G16" s="222">
        <v>286</v>
      </c>
      <c r="H16" s="222">
        <v>6</v>
      </c>
      <c r="I16" s="207">
        <f t="shared" si="9"/>
        <v>1071.4285714285713</v>
      </c>
      <c r="J16" s="242">
        <f t="shared" si="10"/>
        <v>6428.5714285714275</v>
      </c>
      <c r="K16" s="153"/>
      <c r="L16" s="25" t="s">
        <v>2008</v>
      </c>
      <c r="M16" s="389" t="s">
        <v>1090</v>
      </c>
      <c r="N16" s="343">
        <f>COUNT(C215:C237)</f>
        <v>21</v>
      </c>
      <c r="O16" s="345">
        <f>V238</f>
        <v>13</v>
      </c>
      <c r="P16" s="345">
        <f>W238</f>
        <v>8</v>
      </c>
      <c r="Q16" s="347">
        <f t="shared" ref="Q16" si="14">N16-O16-P16</f>
        <v>0</v>
      </c>
      <c r="R16" s="340">
        <f t="shared" si="11"/>
        <v>0.61904761904761907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43473</v>
      </c>
      <c r="D17" s="161" t="s">
        <v>8</v>
      </c>
      <c r="E17" s="161" t="s">
        <v>31</v>
      </c>
      <c r="F17" s="222">
        <v>1107</v>
      </c>
      <c r="G17" s="222">
        <v>1102.5</v>
      </c>
      <c r="H17" s="222">
        <v>4.5</v>
      </c>
      <c r="I17" s="207">
        <f t="shared" si="9"/>
        <v>271.00271002710025</v>
      </c>
      <c r="J17" s="242">
        <f t="shared" si="10"/>
        <v>1219.5121951219512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43474</v>
      </c>
      <c r="D18" s="161" t="s">
        <v>9</v>
      </c>
      <c r="E18" s="161" t="s">
        <v>48</v>
      </c>
      <c r="F18" s="222">
        <v>123.8</v>
      </c>
      <c r="G18" s="222">
        <v>121.8</v>
      </c>
      <c r="H18" s="222">
        <v>-2</v>
      </c>
      <c r="I18" s="207">
        <f t="shared" si="9"/>
        <v>2423.2633279483039</v>
      </c>
      <c r="J18" s="242">
        <f t="shared" si="10"/>
        <v>-4846.5266558966077</v>
      </c>
      <c r="K18" s="153"/>
      <c r="M18" s="334" t="s">
        <v>946</v>
      </c>
      <c r="N18" s="336">
        <f>SUM(N4:N17)</f>
        <v>168</v>
      </c>
      <c r="O18" s="336">
        <f t="shared" ref="O18:Q18" si="15">SUM(O4:O17)</f>
        <v>127</v>
      </c>
      <c r="P18" s="336">
        <f t="shared" si="15"/>
        <v>40</v>
      </c>
      <c r="Q18" s="338">
        <f t="shared" si="15"/>
        <v>1</v>
      </c>
      <c r="R18" s="314">
        <f t="shared" ref="R18" si="16">O18/N18</f>
        <v>0.75595238095238093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43474</v>
      </c>
      <c r="D19" s="161" t="s">
        <v>8</v>
      </c>
      <c r="E19" s="161" t="s">
        <v>31</v>
      </c>
      <c r="F19" s="222">
        <v>1112</v>
      </c>
      <c r="G19" s="222">
        <v>1102</v>
      </c>
      <c r="H19" s="222">
        <v>10</v>
      </c>
      <c r="I19" s="207">
        <f t="shared" si="9"/>
        <v>269.78417266187051</v>
      </c>
      <c r="J19" s="242">
        <f t="shared" si="10"/>
        <v>2697.8417266187053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43475</v>
      </c>
      <c r="D20" s="161" t="s">
        <v>9</v>
      </c>
      <c r="E20" s="161" t="s">
        <v>192</v>
      </c>
      <c r="F20" s="222">
        <v>282</v>
      </c>
      <c r="G20" s="222">
        <v>281.3</v>
      </c>
      <c r="H20" s="222">
        <v>-0.7</v>
      </c>
      <c r="I20" s="207">
        <f t="shared" si="9"/>
        <v>1063.8297872340424</v>
      </c>
      <c r="J20" s="242">
        <f t="shared" si="10"/>
        <v>-744.68085106382966</v>
      </c>
      <c r="K20" s="153"/>
      <c r="M20" s="316" t="s">
        <v>2253</v>
      </c>
      <c r="N20" s="317"/>
      <c r="O20" s="318"/>
      <c r="P20" s="325">
        <f>R18</f>
        <v>0.75595238095238093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43475</v>
      </c>
      <c r="D21" s="161" t="s">
        <v>8</v>
      </c>
      <c r="E21" s="161" t="s">
        <v>31</v>
      </c>
      <c r="F21" s="222">
        <v>1106</v>
      </c>
      <c r="G21" s="222">
        <v>1106</v>
      </c>
      <c r="H21" s="222">
        <v>0</v>
      </c>
      <c r="I21" s="207">
        <f t="shared" si="9"/>
        <v>271.24773960216999</v>
      </c>
      <c r="J21" s="242">
        <f t="shared" si="10"/>
        <v>0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43476</v>
      </c>
      <c r="D22" s="161" t="s">
        <v>9</v>
      </c>
      <c r="E22" s="161" t="s">
        <v>48</v>
      </c>
      <c r="F22" s="222">
        <v>120.8</v>
      </c>
      <c r="G22" s="222">
        <v>121.3</v>
      </c>
      <c r="H22" s="222">
        <v>0.5</v>
      </c>
      <c r="I22" s="207">
        <f t="shared" si="9"/>
        <v>2483.4437086092717</v>
      </c>
      <c r="J22" s="242">
        <f t="shared" si="10"/>
        <v>1241.7218543046358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43476</v>
      </c>
      <c r="D23" s="161" t="s">
        <v>8</v>
      </c>
      <c r="E23" s="161" t="s">
        <v>192</v>
      </c>
      <c r="F23" s="222">
        <v>280</v>
      </c>
      <c r="G23" s="222">
        <v>277</v>
      </c>
      <c r="H23" s="222">
        <v>3</v>
      </c>
      <c r="I23" s="207">
        <f t="shared" si="9"/>
        <v>1071.4285714285713</v>
      </c>
      <c r="J23" s="242">
        <f t="shared" si="10"/>
        <v>3214.2857142857138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43481</v>
      </c>
      <c r="D24" s="161" t="s">
        <v>9</v>
      </c>
      <c r="E24" s="161" t="s">
        <v>139</v>
      </c>
      <c r="F24" s="222">
        <v>205.5</v>
      </c>
      <c r="G24" s="222">
        <v>208.5</v>
      </c>
      <c r="H24" s="222">
        <v>3</v>
      </c>
      <c r="I24" s="207">
        <f t="shared" si="9"/>
        <v>1459.8540145985401</v>
      </c>
      <c r="J24" s="242">
        <f t="shared" si="10"/>
        <v>4379.5620437956204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43481</v>
      </c>
      <c r="D25" s="161" t="s">
        <v>8</v>
      </c>
      <c r="E25" s="161" t="s">
        <v>119</v>
      </c>
      <c r="F25" s="222">
        <v>1205</v>
      </c>
      <c r="G25" s="222">
        <v>1199</v>
      </c>
      <c r="H25" s="222">
        <v>6</v>
      </c>
      <c r="I25" s="207">
        <f t="shared" si="9"/>
        <v>248.96265560165975</v>
      </c>
      <c r="J25" s="242">
        <f t="shared" si="10"/>
        <v>1493.7759336099584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43482</v>
      </c>
      <c r="D26" s="161" t="s">
        <v>9</v>
      </c>
      <c r="E26" s="161" t="s">
        <v>31</v>
      </c>
      <c r="F26" s="222">
        <v>1144</v>
      </c>
      <c r="G26" s="222">
        <v>1134</v>
      </c>
      <c r="H26" s="222">
        <v>-10</v>
      </c>
      <c r="I26" s="207">
        <f t="shared" si="9"/>
        <v>262.23776223776224</v>
      </c>
      <c r="J26" s="242">
        <f t="shared" si="10"/>
        <v>-2622.3776223776222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43482</v>
      </c>
      <c r="D27" s="161" t="s">
        <v>8</v>
      </c>
      <c r="E27" s="161" t="s">
        <v>192</v>
      </c>
      <c r="F27" s="222">
        <v>275</v>
      </c>
      <c r="G27" s="222">
        <v>270.7</v>
      </c>
      <c r="H27" s="222">
        <v>4.3</v>
      </c>
      <c r="I27" s="207">
        <f t="shared" si="9"/>
        <v>1090.909090909091</v>
      </c>
      <c r="J27" s="242">
        <f t="shared" si="10"/>
        <v>4690.909090909091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43483</v>
      </c>
      <c r="D28" s="161" t="s">
        <v>9</v>
      </c>
      <c r="E28" s="161" t="s">
        <v>31</v>
      </c>
      <c r="F28" s="222">
        <v>1145</v>
      </c>
      <c r="G28" s="222">
        <v>1165</v>
      </c>
      <c r="H28" s="222">
        <v>20</v>
      </c>
      <c r="I28" s="207">
        <f t="shared" si="9"/>
        <v>262.00873362445412</v>
      </c>
      <c r="J28" s="242">
        <f t="shared" si="10"/>
        <v>5240.1746724890827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43483</v>
      </c>
      <c r="D29" s="161" t="s">
        <v>8</v>
      </c>
      <c r="E29" s="161" t="s">
        <v>395</v>
      </c>
      <c r="F29" s="222">
        <v>2610</v>
      </c>
      <c r="G29" s="222">
        <v>2595</v>
      </c>
      <c r="H29" s="222">
        <v>15</v>
      </c>
      <c r="I29" s="207">
        <f t="shared" si="9"/>
        <v>114.94252873563218</v>
      </c>
      <c r="J29" s="242">
        <f t="shared" si="10"/>
        <v>1724.1379310344828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43486</v>
      </c>
      <c r="D30" s="161" t="s">
        <v>9</v>
      </c>
      <c r="E30" s="161" t="s">
        <v>31</v>
      </c>
      <c r="F30" s="222">
        <v>1217</v>
      </c>
      <c r="G30" s="222">
        <v>1237</v>
      </c>
      <c r="H30" s="222">
        <v>20</v>
      </c>
      <c r="I30" s="207">
        <f t="shared" si="9"/>
        <v>246.50780608052588</v>
      </c>
      <c r="J30" s="242">
        <f t="shared" si="10"/>
        <v>4930.1561216105174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43486</v>
      </c>
      <c r="D31" s="161" t="s">
        <v>8</v>
      </c>
      <c r="E31" s="161" t="s">
        <v>139</v>
      </c>
      <c r="F31" s="222">
        <v>198</v>
      </c>
      <c r="G31" s="222">
        <v>194</v>
      </c>
      <c r="H31" s="222">
        <v>4</v>
      </c>
      <c r="I31" s="207">
        <f t="shared" si="9"/>
        <v>1515.1515151515152</v>
      </c>
      <c r="J31" s="242">
        <f t="shared" si="10"/>
        <v>6060.606060606061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43487</v>
      </c>
      <c r="D32" s="161" t="s">
        <v>9</v>
      </c>
      <c r="E32" s="161" t="s">
        <v>1916</v>
      </c>
      <c r="F32" s="222">
        <v>1900</v>
      </c>
      <c r="G32" s="222">
        <v>1926</v>
      </c>
      <c r="H32" s="222">
        <v>26</v>
      </c>
      <c r="I32" s="207">
        <f t="shared" si="9"/>
        <v>157.89473684210526</v>
      </c>
      <c r="J32" s="242">
        <f t="shared" si="10"/>
        <v>4105.2631578947367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43487</v>
      </c>
      <c r="D33" s="161" t="s">
        <v>8</v>
      </c>
      <c r="E33" s="161" t="s">
        <v>31</v>
      </c>
      <c r="F33" s="222">
        <v>1226</v>
      </c>
      <c r="G33" s="222">
        <v>1220</v>
      </c>
      <c r="H33" s="222">
        <v>6</v>
      </c>
      <c r="I33" s="207">
        <f t="shared" si="9"/>
        <v>244.69820554649266</v>
      </c>
      <c r="J33" s="242">
        <f t="shared" si="10"/>
        <v>1468.189233278956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43488</v>
      </c>
      <c r="D34" s="161" t="s">
        <v>9</v>
      </c>
      <c r="E34" s="161" t="s">
        <v>31</v>
      </c>
      <c r="F34" s="222">
        <v>1240</v>
      </c>
      <c r="G34" s="222">
        <v>1230</v>
      </c>
      <c r="H34" s="222">
        <v>-10</v>
      </c>
      <c r="I34" s="207">
        <f t="shared" si="9"/>
        <v>241.93548387096774</v>
      </c>
      <c r="J34" s="242">
        <f t="shared" si="10"/>
        <v>-2419.3548387096776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43488</v>
      </c>
      <c r="D35" s="161" t="s">
        <v>8</v>
      </c>
      <c r="E35" s="161" t="s">
        <v>192</v>
      </c>
      <c r="F35" s="222">
        <v>262</v>
      </c>
      <c r="G35" s="222">
        <v>259.39999999999998</v>
      </c>
      <c r="H35" s="222">
        <v>2.6</v>
      </c>
      <c r="I35" s="207">
        <f t="shared" si="9"/>
        <v>1145.0381679389313</v>
      </c>
      <c r="J35" s="242">
        <f t="shared" si="10"/>
        <v>2977.0992366412215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43489</v>
      </c>
      <c r="D36" s="161" t="s">
        <v>9</v>
      </c>
      <c r="E36" s="161" t="s">
        <v>31</v>
      </c>
      <c r="F36" s="222">
        <v>1240</v>
      </c>
      <c r="G36" s="222">
        <v>1250</v>
      </c>
      <c r="H36" s="222">
        <v>10</v>
      </c>
      <c r="I36" s="207">
        <f t="shared" si="9"/>
        <v>241.93548387096774</v>
      </c>
      <c r="J36" s="242">
        <f t="shared" si="10"/>
        <v>2419.3548387096776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43489</v>
      </c>
      <c r="D37" s="161" t="s">
        <v>8</v>
      </c>
      <c r="E37" s="161" t="s">
        <v>552</v>
      </c>
      <c r="F37" s="222">
        <v>1487</v>
      </c>
      <c r="G37" s="222">
        <v>1479</v>
      </c>
      <c r="H37" s="222">
        <v>8</v>
      </c>
      <c r="I37" s="207">
        <f t="shared" si="9"/>
        <v>201.74848688634836</v>
      </c>
      <c r="J37" s="242">
        <f t="shared" si="10"/>
        <v>1613.9878950907869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43490</v>
      </c>
      <c r="D38" s="161" t="s">
        <v>9</v>
      </c>
      <c r="E38" s="161" t="s">
        <v>578</v>
      </c>
      <c r="F38" s="222">
        <v>735</v>
      </c>
      <c r="G38" s="222">
        <v>727</v>
      </c>
      <c r="H38" s="222">
        <v>-8</v>
      </c>
      <c r="I38" s="207">
        <f t="shared" si="9"/>
        <v>408.16326530612247</v>
      </c>
      <c r="J38" s="242">
        <f t="shared" si="10"/>
        <v>-3265.3061224489797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43490</v>
      </c>
      <c r="D39" s="161" t="s">
        <v>8</v>
      </c>
      <c r="E39" s="161" t="s">
        <v>371</v>
      </c>
      <c r="F39" s="222">
        <v>420</v>
      </c>
      <c r="G39" s="222">
        <v>412</v>
      </c>
      <c r="H39" s="222">
        <v>8</v>
      </c>
      <c r="I39" s="207">
        <f t="shared" si="9"/>
        <v>714.28571428571433</v>
      </c>
      <c r="J39" s="242">
        <f t="shared" si="10"/>
        <v>5714.2857142857147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43493</v>
      </c>
      <c r="D40" s="161" t="s">
        <v>9</v>
      </c>
      <c r="E40" s="161" t="s">
        <v>552</v>
      </c>
      <c r="F40" s="222">
        <v>1490</v>
      </c>
      <c r="G40" s="222">
        <v>1475</v>
      </c>
      <c r="H40" s="222">
        <v>-15</v>
      </c>
      <c r="I40" s="207">
        <f t="shared" si="9"/>
        <v>201.34228187919464</v>
      </c>
      <c r="J40" s="242">
        <f t="shared" si="10"/>
        <v>-3020.1342281879197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43493</v>
      </c>
      <c r="D41" s="161" t="s">
        <v>8</v>
      </c>
      <c r="E41" s="161" t="s">
        <v>192</v>
      </c>
      <c r="F41" s="222">
        <v>252</v>
      </c>
      <c r="G41" s="223">
        <v>249</v>
      </c>
      <c r="H41" s="222">
        <v>3</v>
      </c>
      <c r="I41" s="207">
        <f t="shared" si="9"/>
        <v>1190.4761904761904</v>
      </c>
      <c r="J41" s="242">
        <f t="shared" si="10"/>
        <v>3571.4285714285711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43494</v>
      </c>
      <c r="D42" s="161" t="s">
        <v>9</v>
      </c>
      <c r="E42" s="161" t="s">
        <v>552</v>
      </c>
      <c r="F42" s="222">
        <v>1450</v>
      </c>
      <c r="G42" s="222">
        <v>1457</v>
      </c>
      <c r="H42" s="222">
        <v>7</v>
      </c>
      <c r="I42" s="207">
        <f t="shared" si="9"/>
        <v>206.89655172413794</v>
      </c>
      <c r="J42" s="242">
        <f t="shared" si="10"/>
        <v>1448.2758620689656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43494</v>
      </c>
      <c r="D43" s="161" t="s">
        <v>8</v>
      </c>
      <c r="E43" s="161" t="s">
        <v>31</v>
      </c>
      <c r="F43" s="222">
        <v>1221</v>
      </c>
      <c r="G43" s="222">
        <v>1207</v>
      </c>
      <c r="H43" s="222">
        <v>14</v>
      </c>
      <c r="I43" s="207">
        <f t="shared" si="9"/>
        <v>245.70024570024569</v>
      </c>
      <c r="J43" s="242">
        <f t="shared" si="10"/>
        <v>3439.8034398034397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43495</v>
      </c>
      <c r="D44" s="161" t="s">
        <v>9</v>
      </c>
      <c r="E44" s="161" t="s">
        <v>552</v>
      </c>
      <c r="F44" s="222">
        <v>1470</v>
      </c>
      <c r="G44" s="222">
        <v>1490</v>
      </c>
      <c r="H44" s="222">
        <v>20</v>
      </c>
      <c r="I44" s="207">
        <f t="shared" si="9"/>
        <v>204.08163265306123</v>
      </c>
      <c r="J44" s="242">
        <f t="shared" si="10"/>
        <v>4081.6326530612246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43495</v>
      </c>
      <c r="D45" s="161" t="s">
        <v>8</v>
      </c>
      <c r="E45" s="161" t="s">
        <v>192</v>
      </c>
      <c r="F45" s="222">
        <v>246</v>
      </c>
      <c r="G45" s="222">
        <v>250</v>
      </c>
      <c r="H45" s="222">
        <v>-4</v>
      </c>
      <c r="I45" s="207">
        <f t="shared" si="9"/>
        <v>1219.5121951219512</v>
      </c>
      <c r="J45" s="242">
        <f t="shared" si="10"/>
        <v>-4878.0487804878048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43496</v>
      </c>
      <c r="D46" s="161" t="s">
        <v>9</v>
      </c>
      <c r="E46" s="161" t="s">
        <v>49</v>
      </c>
      <c r="F46" s="222">
        <v>1222</v>
      </c>
      <c r="G46" s="222">
        <v>1242</v>
      </c>
      <c r="H46" s="222">
        <v>20</v>
      </c>
      <c r="I46" s="207">
        <f t="shared" si="9"/>
        <v>245.49918166939443</v>
      </c>
      <c r="J46" s="242">
        <f t="shared" si="10"/>
        <v>4909.9836333878884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43496</v>
      </c>
      <c r="D47" s="161" t="s">
        <v>8</v>
      </c>
      <c r="E47" s="161" t="s">
        <v>31</v>
      </c>
      <c r="F47" s="222">
        <v>1213</v>
      </c>
      <c r="G47" s="222">
        <v>1223</v>
      </c>
      <c r="H47" s="222">
        <v>-10</v>
      </c>
      <c r="I47" s="207">
        <f t="shared" si="9"/>
        <v>247.32069249793901</v>
      </c>
      <c r="J47" s="242">
        <f t="shared" si="10"/>
        <v>-2473.2069249793899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77952.701592078185</v>
      </c>
      <c r="K52" s="153"/>
      <c r="V52" s="25">
        <f>SUM(V6:V51)</f>
        <v>31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2621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43466</v>
      </c>
      <c r="D60" s="158" t="s">
        <v>8</v>
      </c>
      <c r="E60" s="158" t="s">
        <v>31</v>
      </c>
      <c r="F60" s="204">
        <v>1126</v>
      </c>
      <c r="G60" s="230">
        <v>1117.5</v>
      </c>
      <c r="H60" s="230">
        <v>8.5</v>
      </c>
      <c r="I60" s="204">
        <v>500</v>
      </c>
      <c r="J60" s="241">
        <f t="shared" ref="J60:J82" si="17">I60*H60</f>
        <v>4250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43467</v>
      </c>
      <c r="D61" s="161" t="s">
        <v>8</v>
      </c>
      <c r="E61" s="161" t="s">
        <v>31</v>
      </c>
      <c r="F61" s="207">
        <v>1121</v>
      </c>
      <c r="G61" s="222">
        <v>1131</v>
      </c>
      <c r="H61" s="222">
        <v>-10</v>
      </c>
      <c r="I61" s="207">
        <v>500</v>
      </c>
      <c r="J61" s="242">
        <f t="shared" si="17"/>
        <v>-5000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43468</v>
      </c>
      <c r="D62" s="161" t="s">
        <v>8</v>
      </c>
      <c r="E62" s="161" t="s">
        <v>31</v>
      </c>
      <c r="F62" s="222">
        <v>1110</v>
      </c>
      <c r="G62" s="222">
        <v>1098</v>
      </c>
      <c r="H62" s="222">
        <v>12</v>
      </c>
      <c r="I62" s="207">
        <v>500</v>
      </c>
      <c r="J62" s="242">
        <f t="shared" si="17"/>
        <v>6000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43469</v>
      </c>
      <c r="D63" s="161" t="s">
        <v>8</v>
      </c>
      <c r="E63" s="161" t="s">
        <v>31</v>
      </c>
      <c r="F63" s="222">
        <v>1093</v>
      </c>
      <c r="G63" s="222">
        <v>1103</v>
      </c>
      <c r="H63" s="222">
        <v>-10</v>
      </c>
      <c r="I63" s="207">
        <v>500</v>
      </c>
      <c r="J63" s="242">
        <f t="shared" si="17"/>
        <v>-5000</v>
      </c>
      <c r="K63" s="153"/>
      <c r="L63" s="25" t="s">
        <v>2008</v>
      </c>
      <c r="V63" s="25">
        <f t="shared" si="18"/>
        <v>0</v>
      </c>
      <c r="W63" s="25">
        <f t="shared" si="19"/>
        <v>1</v>
      </c>
    </row>
    <row r="64" spans="1:23" x14ac:dyDescent="0.3">
      <c r="A64" s="147"/>
      <c r="B64" s="205">
        <f t="shared" si="20"/>
        <v>5</v>
      </c>
      <c r="C64" s="206">
        <v>43472</v>
      </c>
      <c r="D64" s="161" t="s">
        <v>8</v>
      </c>
      <c r="E64" s="161" t="s">
        <v>31</v>
      </c>
      <c r="F64" s="222">
        <v>1121</v>
      </c>
      <c r="G64" s="222">
        <v>1107</v>
      </c>
      <c r="H64" s="222">
        <v>14</v>
      </c>
      <c r="I64" s="207">
        <v>500</v>
      </c>
      <c r="J64" s="242">
        <f t="shared" si="17"/>
        <v>7000</v>
      </c>
      <c r="K64" s="153"/>
      <c r="V64" s="25">
        <f t="shared" si="18"/>
        <v>1</v>
      </c>
      <c r="W64" s="25">
        <f t="shared" si="19"/>
        <v>0</v>
      </c>
    </row>
    <row r="65" spans="1:23" x14ac:dyDescent="0.3">
      <c r="A65" s="147"/>
      <c r="B65" s="205">
        <f t="shared" si="20"/>
        <v>6</v>
      </c>
      <c r="C65" s="206">
        <v>43473</v>
      </c>
      <c r="D65" s="161" t="s">
        <v>8</v>
      </c>
      <c r="E65" s="161" t="s">
        <v>31</v>
      </c>
      <c r="F65" s="207">
        <v>1112</v>
      </c>
      <c r="G65" s="222">
        <v>1107.5</v>
      </c>
      <c r="H65" s="222">
        <v>4.5</v>
      </c>
      <c r="I65" s="207">
        <v>500</v>
      </c>
      <c r="J65" s="242">
        <f t="shared" si="17"/>
        <v>2250</v>
      </c>
      <c r="K65" s="153"/>
      <c r="V65" s="25">
        <f t="shared" si="18"/>
        <v>1</v>
      </c>
      <c r="W65" s="25">
        <f t="shared" si="19"/>
        <v>0</v>
      </c>
    </row>
    <row r="66" spans="1:23" x14ac:dyDescent="0.3">
      <c r="A66" s="147"/>
      <c r="B66" s="205">
        <f t="shared" si="20"/>
        <v>7</v>
      </c>
      <c r="C66" s="206">
        <v>43474</v>
      </c>
      <c r="D66" s="161" t="s">
        <v>8</v>
      </c>
      <c r="E66" s="161" t="s">
        <v>31</v>
      </c>
      <c r="F66" s="207">
        <v>1118</v>
      </c>
      <c r="G66" s="222">
        <v>1108</v>
      </c>
      <c r="H66" s="222">
        <v>10</v>
      </c>
      <c r="I66" s="207">
        <v>500</v>
      </c>
      <c r="J66" s="242">
        <f t="shared" si="17"/>
        <v>5000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43475</v>
      </c>
      <c r="D67" s="161" t="s">
        <v>8</v>
      </c>
      <c r="E67" s="161" t="s">
        <v>31</v>
      </c>
      <c r="F67" s="207">
        <v>1112</v>
      </c>
      <c r="G67" s="222">
        <v>1107.5</v>
      </c>
      <c r="H67" s="222">
        <v>4.5</v>
      </c>
      <c r="I67" s="207">
        <v>500</v>
      </c>
      <c r="J67" s="242">
        <f t="shared" si="17"/>
        <v>2250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43476</v>
      </c>
      <c r="D68" s="161" t="s">
        <v>8</v>
      </c>
      <c r="E68" s="161" t="s">
        <v>31</v>
      </c>
      <c r="F68" s="222">
        <v>1116</v>
      </c>
      <c r="G68" s="222">
        <v>1096</v>
      </c>
      <c r="H68" s="222">
        <v>20</v>
      </c>
      <c r="I68" s="207">
        <v>500</v>
      </c>
      <c r="J68" s="242">
        <f t="shared" si="17"/>
        <v>10000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43481</v>
      </c>
      <c r="D69" s="161" t="s">
        <v>9</v>
      </c>
      <c r="E69" s="161" t="s">
        <v>31</v>
      </c>
      <c r="F69" s="222">
        <v>1142</v>
      </c>
      <c r="G69" s="222">
        <v>1146.5</v>
      </c>
      <c r="H69" s="222">
        <v>4.5</v>
      </c>
      <c r="I69" s="207">
        <v>500</v>
      </c>
      <c r="J69" s="242">
        <f t="shared" si="17"/>
        <v>2250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43482</v>
      </c>
      <c r="D70" s="161" t="s">
        <v>9</v>
      </c>
      <c r="E70" s="161" t="s">
        <v>31</v>
      </c>
      <c r="F70" s="161">
        <v>1148</v>
      </c>
      <c r="G70" s="222">
        <v>1138</v>
      </c>
      <c r="H70" s="222">
        <v>-10</v>
      </c>
      <c r="I70" s="207">
        <v>500</v>
      </c>
      <c r="J70" s="242">
        <f t="shared" si="17"/>
        <v>-5000</v>
      </c>
      <c r="K70" s="153"/>
      <c r="V70" s="25">
        <f t="shared" si="18"/>
        <v>0</v>
      </c>
      <c r="W70" s="25">
        <f t="shared" si="19"/>
        <v>1</v>
      </c>
    </row>
    <row r="71" spans="1:23" x14ac:dyDescent="0.3">
      <c r="A71" s="147"/>
      <c r="B71" s="205">
        <f t="shared" si="20"/>
        <v>12</v>
      </c>
      <c r="C71" s="206">
        <v>43483</v>
      </c>
      <c r="D71" s="161" t="s">
        <v>8</v>
      </c>
      <c r="E71" s="161" t="s">
        <v>275</v>
      </c>
      <c r="F71" s="222">
        <v>352</v>
      </c>
      <c r="G71" s="222">
        <v>353.5</v>
      </c>
      <c r="H71" s="222">
        <v>-1.5</v>
      </c>
      <c r="I71" s="207">
        <v>1800</v>
      </c>
      <c r="J71" s="242">
        <f t="shared" si="17"/>
        <v>-2700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43486</v>
      </c>
      <c r="D72" s="161" t="s">
        <v>9</v>
      </c>
      <c r="E72" s="161" t="s">
        <v>31</v>
      </c>
      <c r="F72" s="222">
        <v>1220</v>
      </c>
      <c r="G72" s="222">
        <v>1240</v>
      </c>
      <c r="H72" s="222">
        <v>20</v>
      </c>
      <c r="I72" s="207">
        <v>500</v>
      </c>
      <c r="J72" s="242">
        <f t="shared" si="17"/>
        <v>10000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43487</v>
      </c>
      <c r="D73" s="161" t="s">
        <v>8</v>
      </c>
      <c r="E73" s="161" t="s">
        <v>31</v>
      </c>
      <c r="F73" s="223">
        <v>1231</v>
      </c>
      <c r="G73" s="222">
        <v>1227</v>
      </c>
      <c r="H73" s="255">
        <v>4</v>
      </c>
      <c r="I73" s="207">
        <v>500</v>
      </c>
      <c r="J73" s="242">
        <f t="shared" si="17"/>
        <v>2000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43488</v>
      </c>
      <c r="D74" s="161" t="s">
        <v>8</v>
      </c>
      <c r="E74" s="161" t="s">
        <v>16</v>
      </c>
      <c r="F74" s="222">
        <v>977</v>
      </c>
      <c r="G74" s="222">
        <v>963.8</v>
      </c>
      <c r="H74" s="255">
        <v>13.2</v>
      </c>
      <c r="I74" s="207">
        <v>750</v>
      </c>
      <c r="J74" s="242">
        <f t="shared" si="17"/>
        <v>9900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43489</v>
      </c>
      <c r="D75" s="161" t="s">
        <v>9</v>
      </c>
      <c r="E75" s="161" t="s">
        <v>31</v>
      </c>
      <c r="F75" s="222">
        <v>1250</v>
      </c>
      <c r="G75" s="222">
        <v>1254.8</v>
      </c>
      <c r="H75" s="222">
        <v>4.8</v>
      </c>
      <c r="I75" s="207">
        <v>500</v>
      </c>
      <c r="J75" s="242">
        <f t="shared" si="17"/>
        <v>2400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43490</v>
      </c>
      <c r="D76" s="161" t="s">
        <v>8</v>
      </c>
      <c r="E76" s="161" t="s">
        <v>31</v>
      </c>
      <c r="F76" s="222">
        <v>1260</v>
      </c>
      <c r="G76" s="222">
        <v>1240</v>
      </c>
      <c r="H76" s="222">
        <v>20</v>
      </c>
      <c r="I76" s="207">
        <v>500</v>
      </c>
      <c r="J76" s="242">
        <f t="shared" si="17"/>
        <v>10000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43493</v>
      </c>
      <c r="D77" s="161" t="s">
        <v>9</v>
      </c>
      <c r="E77" s="161" t="s">
        <v>31</v>
      </c>
      <c r="F77" s="222">
        <v>1250</v>
      </c>
      <c r="G77" s="222">
        <v>1240</v>
      </c>
      <c r="H77" s="222">
        <v>-10</v>
      </c>
      <c r="I77" s="207">
        <v>500</v>
      </c>
      <c r="J77" s="242">
        <f t="shared" si="17"/>
        <v>-5000</v>
      </c>
      <c r="K77" s="153"/>
      <c r="V77" s="25">
        <f t="shared" si="18"/>
        <v>0</v>
      </c>
      <c r="W77" s="25">
        <f t="shared" si="19"/>
        <v>1</v>
      </c>
    </row>
    <row r="78" spans="1:23" x14ac:dyDescent="0.3">
      <c r="A78" s="147"/>
      <c r="B78" s="205">
        <f t="shared" si="20"/>
        <v>19</v>
      </c>
      <c r="C78" s="206">
        <v>43494</v>
      </c>
      <c r="D78" s="161" t="s">
        <v>8</v>
      </c>
      <c r="E78" s="161" t="s">
        <v>31</v>
      </c>
      <c r="F78" s="222">
        <v>1220</v>
      </c>
      <c r="G78" s="222">
        <v>1206.5</v>
      </c>
      <c r="H78" s="222">
        <v>13.5</v>
      </c>
      <c r="I78" s="207">
        <v>500</v>
      </c>
      <c r="J78" s="242">
        <f t="shared" si="17"/>
        <v>6750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43495</v>
      </c>
      <c r="D79" s="161" t="s">
        <v>8</v>
      </c>
      <c r="E79" s="161" t="s">
        <v>31</v>
      </c>
      <c r="F79" s="222">
        <v>1218</v>
      </c>
      <c r="G79" s="222">
        <v>1198</v>
      </c>
      <c r="H79" s="222">
        <v>20</v>
      </c>
      <c r="I79" s="207">
        <v>500</v>
      </c>
      <c r="J79" s="242">
        <f t="shared" si="17"/>
        <v>10000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43496</v>
      </c>
      <c r="D80" s="161" t="s">
        <v>8</v>
      </c>
      <c r="E80" s="161" t="s">
        <v>31</v>
      </c>
      <c r="F80" s="222">
        <v>1213</v>
      </c>
      <c r="G80" s="222">
        <v>1223</v>
      </c>
      <c r="H80" s="222">
        <v>-10</v>
      </c>
      <c r="I80" s="207">
        <v>500</v>
      </c>
      <c r="J80" s="242">
        <f t="shared" si="17"/>
        <v>-5000</v>
      </c>
      <c r="K80" s="153"/>
      <c r="V80" s="25">
        <f t="shared" si="18"/>
        <v>0</v>
      </c>
      <c r="W80" s="25">
        <f t="shared" si="19"/>
        <v>1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62350</v>
      </c>
      <c r="K83" s="153"/>
      <c r="V83" s="25">
        <f>SUM(V60:V82)</f>
        <v>15</v>
      </c>
      <c r="W83" s="25">
        <f>SUM(W60:W82)</f>
        <v>6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2622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43466</v>
      </c>
      <c r="D91" s="185" t="s">
        <v>8</v>
      </c>
      <c r="E91" s="185" t="s">
        <v>39</v>
      </c>
      <c r="F91" s="219">
        <v>10860</v>
      </c>
      <c r="G91" s="219">
        <v>10890</v>
      </c>
      <c r="H91" s="185">
        <v>-30</v>
      </c>
      <c r="I91" s="219">
        <v>150</v>
      </c>
      <c r="J91" s="246">
        <f t="shared" ref="J91:J113" si="21">I91*H91</f>
        <v>-4500</v>
      </c>
      <c r="K91" s="153"/>
      <c r="V91" s="25">
        <f>IF($J91&gt;0,1,0)</f>
        <v>0</v>
      </c>
      <c r="W91" s="25">
        <f>IF($J91&lt;0,1,0)</f>
        <v>1</v>
      </c>
    </row>
    <row r="92" spans="1:23" x14ac:dyDescent="0.3">
      <c r="A92" s="147"/>
      <c r="B92" s="205">
        <f>B91+1</f>
        <v>2</v>
      </c>
      <c r="C92" s="206">
        <v>43467</v>
      </c>
      <c r="D92" s="161" t="s">
        <v>8</v>
      </c>
      <c r="E92" s="161" t="s">
        <v>39</v>
      </c>
      <c r="F92" s="207">
        <v>10890</v>
      </c>
      <c r="G92" s="207">
        <v>10920</v>
      </c>
      <c r="H92" s="161">
        <v>-30</v>
      </c>
      <c r="I92" s="207">
        <v>150</v>
      </c>
      <c r="J92" s="242">
        <f t="shared" si="21"/>
        <v>-4500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43468</v>
      </c>
      <c r="D93" s="161" t="s">
        <v>8</v>
      </c>
      <c r="E93" s="161" t="s">
        <v>39</v>
      </c>
      <c r="F93" s="207">
        <v>10800</v>
      </c>
      <c r="G93" s="207">
        <v>10740</v>
      </c>
      <c r="H93" s="161">
        <v>60</v>
      </c>
      <c r="I93" s="207">
        <v>150</v>
      </c>
      <c r="J93" s="242">
        <f t="shared" si="21"/>
        <v>9000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43469</v>
      </c>
      <c r="D94" s="161" t="s">
        <v>8</v>
      </c>
      <c r="E94" s="161" t="s">
        <v>39</v>
      </c>
      <c r="F94" s="207">
        <v>10720</v>
      </c>
      <c r="G94" s="207">
        <v>10680</v>
      </c>
      <c r="H94" s="161">
        <v>40</v>
      </c>
      <c r="I94" s="207">
        <v>150</v>
      </c>
      <c r="J94" s="242">
        <f t="shared" si="21"/>
        <v>6000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43472</v>
      </c>
      <c r="D95" s="161" t="s">
        <v>8</v>
      </c>
      <c r="E95" s="161" t="s">
        <v>39</v>
      </c>
      <c r="F95" s="207">
        <v>10880</v>
      </c>
      <c r="G95" s="207">
        <v>10820</v>
      </c>
      <c r="H95" s="161">
        <v>60</v>
      </c>
      <c r="I95" s="207">
        <v>150</v>
      </c>
      <c r="J95" s="242">
        <f t="shared" si="21"/>
        <v>9000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43473</v>
      </c>
      <c r="D96" s="161" t="s">
        <v>8</v>
      </c>
      <c r="E96" s="161" t="s">
        <v>39</v>
      </c>
      <c r="F96" s="207">
        <v>10810</v>
      </c>
      <c r="G96" s="207">
        <v>10840</v>
      </c>
      <c r="H96" s="161">
        <v>-30</v>
      </c>
      <c r="I96" s="207">
        <v>150</v>
      </c>
      <c r="J96" s="242">
        <f t="shared" si="21"/>
        <v>-4500</v>
      </c>
      <c r="K96" s="153"/>
      <c r="V96" s="25">
        <f t="shared" si="22"/>
        <v>0</v>
      </c>
      <c r="W96" s="25">
        <f t="shared" si="23"/>
        <v>1</v>
      </c>
    </row>
    <row r="97" spans="1:23" x14ac:dyDescent="0.3">
      <c r="A97" s="147"/>
      <c r="B97" s="205">
        <f t="shared" si="24"/>
        <v>7</v>
      </c>
      <c r="C97" s="206">
        <v>43474</v>
      </c>
      <c r="D97" s="161" t="s">
        <v>8</v>
      </c>
      <c r="E97" s="161" t="s">
        <v>39</v>
      </c>
      <c r="F97" s="207">
        <v>10880</v>
      </c>
      <c r="G97" s="207">
        <v>10820</v>
      </c>
      <c r="H97" s="161">
        <v>60</v>
      </c>
      <c r="I97" s="207">
        <v>150</v>
      </c>
      <c r="J97" s="242">
        <f t="shared" si="21"/>
        <v>9000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43475</v>
      </c>
      <c r="D98" s="161" t="s">
        <v>8</v>
      </c>
      <c r="E98" s="161" t="s">
        <v>39</v>
      </c>
      <c r="F98" s="207">
        <v>10880</v>
      </c>
      <c r="G98" s="207">
        <v>10840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43476</v>
      </c>
      <c r="D99" s="161" t="s">
        <v>8</v>
      </c>
      <c r="E99" s="161" t="s">
        <v>39</v>
      </c>
      <c r="F99" s="207">
        <v>10880</v>
      </c>
      <c r="G99" s="207">
        <v>10820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43481</v>
      </c>
      <c r="D100" s="161" t="s">
        <v>8</v>
      </c>
      <c r="E100" s="161" t="s">
        <v>39</v>
      </c>
      <c r="F100" s="207">
        <v>10950</v>
      </c>
      <c r="G100" s="207">
        <v>10910</v>
      </c>
      <c r="H100" s="161">
        <v>40</v>
      </c>
      <c r="I100" s="207">
        <v>150</v>
      </c>
      <c r="J100" s="242">
        <f t="shared" si="21"/>
        <v>6000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43482</v>
      </c>
      <c r="D101" s="161" t="s">
        <v>8</v>
      </c>
      <c r="E101" s="161" t="s">
        <v>39</v>
      </c>
      <c r="F101" s="207">
        <v>10940</v>
      </c>
      <c r="G101" s="207">
        <v>10880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43483</v>
      </c>
      <c r="D102" s="161" t="s">
        <v>8</v>
      </c>
      <c r="E102" s="161" t="s">
        <v>39</v>
      </c>
      <c r="F102" s="207">
        <v>10920</v>
      </c>
      <c r="G102" s="207">
        <v>10880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43486</v>
      </c>
      <c r="D103" s="161" t="s">
        <v>8</v>
      </c>
      <c r="E103" s="161" t="s">
        <v>39</v>
      </c>
      <c r="F103" s="207">
        <v>10995</v>
      </c>
      <c r="G103" s="207">
        <v>10965</v>
      </c>
      <c r="H103" s="161">
        <v>30</v>
      </c>
      <c r="I103" s="207">
        <v>150</v>
      </c>
      <c r="J103" s="242">
        <f t="shared" si="21"/>
        <v>4500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43487</v>
      </c>
      <c r="D104" s="161" t="s">
        <v>8</v>
      </c>
      <c r="E104" s="161" t="s">
        <v>39</v>
      </c>
      <c r="F104" s="207">
        <v>10940</v>
      </c>
      <c r="G104" s="207">
        <v>10880</v>
      </c>
      <c r="H104" s="161">
        <v>60</v>
      </c>
      <c r="I104" s="207">
        <v>150</v>
      </c>
      <c r="J104" s="242">
        <f t="shared" si="21"/>
        <v>9000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43488</v>
      </c>
      <c r="D105" s="161" t="s">
        <v>8</v>
      </c>
      <c r="E105" s="161" t="s">
        <v>39</v>
      </c>
      <c r="F105" s="207">
        <v>10940</v>
      </c>
      <c r="G105" s="207">
        <v>10870</v>
      </c>
      <c r="H105" s="161">
        <v>60</v>
      </c>
      <c r="I105" s="207">
        <v>150</v>
      </c>
      <c r="J105" s="242">
        <f t="shared" si="21"/>
        <v>9000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43489</v>
      </c>
      <c r="D106" s="161" t="s">
        <v>8</v>
      </c>
      <c r="E106" s="161" t="s">
        <v>39</v>
      </c>
      <c r="F106" s="207">
        <v>10860</v>
      </c>
      <c r="G106" s="207">
        <v>10820</v>
      </c>
      <c r="H106" s="161">
        <v>40</v>
      </c>
      <c r="I106" s="207">
        <v>150</v>
      </c>
      <c r="J106" s="242">
        <f t="shared" si="21"/>
        <v>6000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43490</v>
      </c>
      <c r="D107" s="161" t="s">
        <v>8</v>
      </c>
      <c r="E107" s="161" t="s">
        <v>39</v>
      </c>
      <c r="F107" s="207">
        <v>10950</v>
      </c>
      <c r="G107" s="207">
        <v>10890</v>
      </c>
      <c r="H107" s="161">
        <v>60</v>
      </c>
      <c r="I107" s="207">
        <v>150</v>
      </c>
      <c r="J107" s="242">
        <f t="shared" si="21"/>
        <v>9000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43493</v>
      </c>
      <c r="D108" s="161" t="s">
        <v>8</v>
      </c>
      <c r="E108" s="161" t="s">
        <v>39</v>
      </c>
      <c r="F108" s="207">
        <v>10750</v>
      </c>
      <c r="G108" s="207">
        <v>10690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43494</v>
      </c>
      <c r="D109" s="161" t="s">
        <v>8</v>
      </c>
      <c r="E109" s="161" t="s">
        <v>39</v>
      </c>
      <c r="F109" s="207">
        <v>10660</v>
      </c>
      <c r="G109" s="207">
        <v>10600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43495</v>
      </c>
      <c r="D110" s="161" t="s">
        <v>8</v>
      </c>
      <c r="E110" s="161" t="s">
        <v>39</v>
      </c>
      <c r="F110" s="207">
        <v>10700</v>
      </c>
      <c r="G110" s="207">
        <v>10640</v>
      </c>
      <c r="H110" s="161">
        <v>60</v>
      </c>
      <c r="I110" s="207">
        <v>150</v>
      </c>
      <c r="J110" s="242">
        <f t="shared" si="21"/>
        <v>9000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>
        <v>43496</v>
      </c>
      <c r="D111" s="161" t="s">
        <v>8</v>
      </c>
      <c r="E111" s="161" t="s">
        <v>39</v>
      </c>
      <c r="F111" s="207">
        <v>10690</v>
      </c>
      <c r="G111" s="207">
        <v>10720</v>
      </c>
      <c r="H111" s="161">
        <v>-30</v>
      </c>
      <c r="I111" s="207">
        <v>150</v>
      </c>
      <c r="J111" s="242">
        <f t="shared" si="21"/>
        <v>-4500</v>
      </c>
      <c r="K111" s="153"/>
      <c r="V111" s="25">
        <f t="shared" si="22"/>
        <v>0</v>
      </c>
      <c r="W111" s="25">
        <f t="shared" si="23"/>
        <v>1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115500</v>
      </c>
      <c r="K114" s="153"/>
      <c r="V114" s="25">
        <f>SUM(V91:V113)</f>
        <v>17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2623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43466</v>
      </c>
      <c r="D122" s="185" t="s">
        <v>9</v>
      </c>
      <c r="E122" s="185" t="s">
        <v>2508</v>
      </c>
      <c r="F122" s="219">
        <v>205</v>
      </c>
      <c r="G122" s="219">
        <v>185</v>
      </c>
      <c r="H122" s="185">
        <v>-20</v>
      </c>
      <c r="I122" s="219">
        <v>300</v>
      </c>
      <c r="J122" s="246">
        <f t="shared" ref="J122:J144" si="25">I122*H122</f>
        <v>-6000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06">
        <v>43467</v>
      </c>
      <c r="D123" s="161" t="s">
        <v>9</v>
      </c>
      <c r="E123" s="161" t="s">
        <v>2508</v>
      </c>
      <c r="F123" s="207">
        <v>185</v>
      </c>
      <c r="G123" s="207">
        <v>165</v>
      </c>
      <c r="H123" s="161">
        <v>-20</v>
      </c>
      <c r="I123" s="207">
        <v>300</v>
      </c>
      <c r="J123" s="242">
        <f t="shared" si="25"/>
        <v>-6000</v>
      </c>
      <c r="K123" s="153"/>
      <c r="V123" s="25">
        <f t="shared" ref="V123:V144" si="26">IF($J123&gt;0,1,0)</f>
        <v>0</v>
      </c>
      <c r="W123" s="25">
        <f t="shared" ref="W123:W144" si="27">IF($J123&lt;0,1,0)</f>
        <v>1</v>
      </c>
    </row>
    <row r="124" spans="1:23" x14ac:dyDescent="0.3">
      <c r="A124" s="147"/>
      <c r="B124" s="205">
        <f t="shared" ref="B124:B144" si="28">B123+1</f>
        <v>3</v>
      </c>
      <c r="C124" s="206">
        <v>43468</v>
      </c>
      <c r="D124" s="161" t="s">
        <v>9</v>
      </c>
      <c r="E124" s="161" t="s">
        <v>2429</v>
      </c>
      <c r="F124" s="207">
        <v>190</v>
      </c>
      <c r="G124" s="207">
        <v>230</v>
      </c>
      <c r="H124" s="161">
        <v>40</v>
      </c>
      <c r="I124" s="207">
        <v>300</v>
      </c>
      <c r="J124" s="242">
        <f t="shared" si="25"/>
        <v>12000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43469</v>
      </c>
      <c r="D125" s="161" t="s">
        <v>9</v>
      </c>
      <c r="E125" s="161" t="s">
        <v>2423</v>
      </c>
      <c r="F125" s="207">
        <v>180</v>
      </c>
      <c r="G125" s="207">
        <v>190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43472</v>
      </c>
      <c r="D126" s="161" t="s">
        <v>9</v>
      </c>
      <c r="E126" s="161" t="s">
        <v>2429</v>
      </c>
      <c r="F126" s="207">
        <v>135</v>
      </c>
      <c r="G126" s="207">
        <v>175</v>
      </c>
      <c r="H126" s="161">
        <v>40</v>
      </c>
      <c r="I126" s="207">
        <v>300</v>
      </c>
      <c r="J126" s="242">
        <f t="shared" si="25"/>
        <v>12000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43473</v>
      </c>
      <c r="D127" s="161" t="s">
        <v>9</v>
      </c>
      <c r="E127" s="161" t="s">
        <v>2429</v>
      </c>
      <c r="F127" s="207">
        <v>150</v>
      </c>
      <c r="G127" s="222">
        <v>170</v>
      </c>
      <c r="H127" s="222">
        <v>20</v>
      </c>
      <c r="I127" s="207">
        <v>300</v>
      </c>
      <c r="J127" s="242">
        <f t="shared" si="25"/>
        <v>6000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43474</v>
      </c>
      <c r="D128" s="161" t="s">
        <v>9</v>
      </c>
      <c r="E128" s="161" t="s">
        <v>2508</v>
      </c>
      <c r="F128" s="207">
        <v>150</v>
      </c>
      <c r="G128" s="207">
        <v>190</v>
      </c>
      <c r="H128" s="161">
        <v>40</v>
      </c>
      <c r="I128" s="207">
        <v>300</v>
      </c>
      <c r="J128" s="242">
        <f t="shared" si="25"/>
        <v>12000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43475</v>
      </c>
      <c r="D129" s="161" t="s">
        <v>9</v>
      </c>
      <c r="E129" s="161" t="s">
        <v>2508</v>
      </c>
      <c r="F129" s="207">
        <v>160</v>
      </c>
      <c r="G129" s="207">
        <v>180</v>
      </c>
      <c r="H129" s="161">
        <v>20</v>
      </c>
      <c r="I129" s="207">
        <v>300</v>
      </c>
      <c r="J129" s="242">
        <f t="shared" si="25"/>
        <v>6000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43476</v>
      </c>
      <c r="D130" s="161" t="s">
        <v>9</v>
      </c>
      <c r="E130" s="161" t="s">
        <v>2508</v>
      </c>
      <c r="F130" s="207">
        <v>150</v>
      </c>
      <c r="G130" s="207">
        <v>190</v>
      </c>
      <c r="H130" s="161">
        <v>40</v>
      </c>
      <c r="I130" s="207">
        <v>300</v>
      </c>
      <c r="J130" s="242">
        <f t="shared" si="25"/>
        <v>12000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43481</v>
      </c>
      <c r="D131" s="161" t="s">
        <v>9</v>
      </c>
      <c r="E131" s="161" t="s">
        <v>2437</v>
      </c>
      <c r="F131" s="207">
        <v>150</v>
      </c>
      <c r="G131" s="207">
        <v>170</v>
      </c>
      <c r="H131" s="161">
        <v>20</v>
      </c>
      <c r="I131" s="207">
        <v>300</v>
      </c>
      <c r="J131" s="242">
        <f t="shared" si="25"/>
        <v>6000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43482</v>
      </c>
      <c r="D132" s="161" t="s">
        <v>9</v>
      </c>
      <c r="E132" s="161" t="s">
        <v>2437</v>
      </c>
      <c r="F132" s="207">
        <v>155</v>
      </c>
      <c r="G132" s="207">
        <v>195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43483</v>
      </c>
      <c r="D133" s="161" t="s">
        <v>9</v>
      </c>
      <c r="E133" s="161" t="s">
        <v>2508</v>
      </c>
      <c r="F133" s="207">
        <v>100</v>
      </c>
      <c r="G133" s="207">
        <v>129</v>
      </c>
      <c r="H133" s="161">
        <v>29</v>
      </c>
      <c r="I133" s="207">
        <v>300</v>
      </c>
      <c r="J133" s="242">
        <f t="shared" si="25"/>
        <v>8700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43486</v>
      </c>
      <c r="D134" s="161" t="s">
        <v>9</v>
      </c>
      <c r="E134" s="161" t="s">
        <v>2437</v>
      </c>
      <c r="F134" s="207">
        <v>115</v>
      </c>
      <c r="G134" s="207">
        <v>125</v>
      </c>
      <c r="H134" s="161">
        <v>10</v>
      </c>
      <c r="I134" s="207">
        <v>300</v>
      </c>
      <c r="J134" s="242">
        <f t="shared" si="25"/>
        <v>3000</v>
      </c>
      <c r="K134" s="153"/>
      <c r="V134" s="25">
        <f t="shared" si="26"/>
        <v>1</v>
      </c>
      <c r="W134" s="25">
        <f t="shared" si="27"/>
        <v>0</v>
      </c>
    </row>
    <row r="135" spans="1:23" x14ac:dyDescent="0.3">
      <c r="A135" s="147"/>
      <c r="B135" s="205">
        <f t="shared" si="28"/>
        <v>14</v>
      </c>
      <c r="C135" s="206">
        <v>43487</v>
      </c>
      <c r="D135" s="161" t="s">
        <v>9</v>
      </c>
      <c r="E135" s="161" t="s">
        <v>2437</v>
      </c>
      <c r="F135" s="207">
        <v>140</v>
      </c>
      <c r="G135" s="207">
        <v>170</v>
      </c>
      <c r="H135" s="161">
        <v>30</v>
      </c>
      <c r="I135" s="207">
        <v>300</v>
      </c>
      <c r="J135" s="242">
        <f>I135*H135</f>
        <v>9000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43488</v>
      </c>
      <c r="D136" s="161" t="s">
        <v>9</v>
      </c>
      <c r="E136" s="161" t="s">
        <v>2437</v>
      </c>
      <c r="F136" s="207">
        <v>132</v>
      </c>
      <c r="G136" s="207">
        <v>172</v>
      </c>
      <c r="H136" s="161">
        <v>40</v>
      </c>
      <c r="I136" s="207">
        <v>300</v>
      </c>
      <c r="J136" s="242">
        <f t="shared" si="25"/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8"/>
        <v>16</v>
      </c>
      <c r="C137" s="206">
        <v>43489</v>
      </c>
      <c r="D137" s="161" t="s">
        <v>9</v>
      </c>
      <c r="E137" s="161" t="s">
        <v>2508</v>
      </c>
      <c r="F137" s="207">
        <v>120</v>
      </c>
      <c r="G137" s="207">
        <v>140</v>
      </c>
      <c r="H137" s="161">
        <v>20</v>
      </c>
      <c r="I137" s="207">
        <v>300</v>
      </c>
      <c r="J137" s="242">
        <f t="shared" si="25"/>
        <v>6000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43490</v>
      </c>
      <c r="D138" s="161" t="s">
        <v>9</v>
      </c>
      <c r="E138" s="161" t="s">
        <v>2437</v>
      </c>
      <c r="F138" s="207">
        <v>100</v>
      </c>
      <c r="G138" s="207">
        <v>140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43493</v>
      </c>
      <c r="D139" s="161" t="s">
        <v>9</v>
      </c>
      <c r="E139" s="161" t="s">
        <v>2429</v>
      </c>
      <c r="F139" s="207">
        <v>110</v>
      </c>
      <c r="G139" s="207">
        <v>150</v>
      </c>
      <c r="H139" s="161">
        <v>40</v>
      </c>
      <c r="I139" s="207">
        <v>300</v>
      </c>
      <c r="J139" s="242">
        <f t="shared" si="25"/>
        <v>12000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43494</v>
      </c>
      <c r="D140" s="161" t="s">
        <v>9</v>
      </c>
      <c r="E140" s="161" t="s">
        <v>2423</v>
      </c>
      <c r="F140" s="207">
        <v>95</v>
      </c>
      <c r="G140" s="207">
        <v>75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43495</v>
      </c>
      <c r="D141" s="161" t="s">
        <v>9</v>
      </c>
      <c r="E141" s="161" t="s">
        <v>2429</v>
      </c>
      <c r="F141" s="207">
        <v>115</v>
      </c>
      <c r="G141" s="207">
        <v>155</v>
      </c>
      <c r="H141" s="161">
        <v>40</v>
      </c>
      <c r="I141" s="207">
        <v>300</v>
      </c>
      <c r="J141" s="242">
        <f t="shared" si="25"/>
        <v>12000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>
        <v>43496</v>
      </c>
      <c r="D142" s="161" t="s">
        <v>9</v>
      </c>
      <c r="E142" s="161" t="s">
        <v>2429</v>
      </c>
      <c r="F142" s="207">
        <v>115</v>
      </c>
      <c r="G142" s="207">
        <v>95</v>
      </c>
      <c r="H142" s="161">
        <v>-20</v>
      </c>
      <c r="I142" s="207">
        <v>300</v>
      </c>
      <c r="J142" s="242">
        <f t="shared" si="25"/>
        <v>-6000</v>
      </c>
      <c r="K142" s="153"/>
      <c r="V142" s="25">
        <f t="shared" si="26"/>
        <v>0</v>
      </c>
      <c r="W142" s="25">
        <f t="shared" si="27"/>
        <v>1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131700</v>
      </c>
      <c r="K145" s="153"/>
      <c r="V145" s="25">
        <f>SUM(V122:V144)</f>
        <v>17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2621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43466</v>
      </c>
      <c r="D153" s="185" t="s">
        <v>8</v>
      </c>
      <c r="E153" s="185" t="s">
        <v>301</v>
      </c>
      <c r="F153" s="219">
        <v>27200</v>
      </c>
      <c r="G153" s="219">
        <v>27160</v>
      </c>
      <c r="H153" s="185">
        <v>40</v>
      </c>
      <c r="I153" s="219">
        <v>40</v>
      </c>
      <c r="J153" s="246">
        <f t="shared" ref="J153:J175" si="29">I153*H153</f>
        <v>1600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43467</v>
      </c>
      <c r="D154" s="161" t="s">
        <v>8</v>
      </c>
      <c r="E154" s="161" t="s">
        <v>301</v>
      </c>
      <c r="F154" s="207">
        <v>27420</v>
      </c>
      <c r="G154" s="207">
        <v>27520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43468</v>
      </c>
      <c r="D155" s="161" t="s">
        <v>8</v>
      </c>
      <c r="E155" s="161" t="s">
        <v>301</v>
      </c>
      <c r="F155" s="207">
        <v>27260</v>
      </c>
      <c r="G155" s="207">
        <v>27110</v>
      </c>
      <c r="H155" s="161">
        <v>150</v>
      </c>
      <c r="I155" s="207">
        <v>40</v>
      </c>
      <c r="J155" s="242">
        <f t="shared" si="29"/>
        <v>6000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43469</v>
      </c>
      <c r="D156" s="161" t="s">
        <v>8</v>
      </c>
      <c r="E156" s="161" t="s">
        <v>301</v>
      </c>
      <c r="F156" s="207">
        <v>27160</v>
      </c>
      <c r="G156" s="207">
        <v>27060</v>
      </c>
      <c r="H156" s="161">
        <v>100</v>
      </c>
      <c r="I156" s="207">
        <v>40</v>
      </c>
      <c r="J156" s="242">
        <f t="shared" si="29"/>
        <v>4000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43472</v>
      </c>
      <c r="D157" s="161" t="s">
        <v>8</v>
      </c>
      <c r="E157" s="161" t="s">
        <v>301</v>
      </c>
      <c r="F157" s="207">
        <v>27550</v>
      </c>
      <c r="G157" s="207">
        <v>27410</v>
      </c>
      <c r="H157" s="161">
        <v>140</v>
      </c>
      <c r="I157" s="207">
        <v>40</v>
      </c>
      <c r="J157" s="242">
        <f t="shared" si="29"/>
        <v>5600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43473</v>
      </c>
      <c r="D158" s="161" t="s">
        <v>8</v>
      </c>
      <c r="E158" s="161" t="s">
        <v>301</v>
      </c>
      <c r="F158" s="207">
        <v>27350</v>
      </c>
      <c r="G158" s="207">
        <v>27450</v>
      </c>
      <c r="H158" s="161">
        <v>-100</v>
      </c>
      <c r="I158" s="207">
        <v>40</v>
      </c>
      <c r="J158" s="242">
        <f t="shared" si="29"/>
        <v>-4000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43474</v>
      </c>
      <c r="D159" s="161" t="s">
        <v>8</v>
      </c>
      <c r="E159" s="161" t="s">
        <v>301</v>
      </c>
      <c r="F159" s="207">
        <v>27670</v>
      </c>
      <c r="G159" s="207">
        <v>27470</v>
      </c>
      <c r="H159" s="161">
        <v>200</v>
      </c>
      <c r="I159" s="207">
        <v>40</v>
      </c>
      <c r="J159" s="242">
        <f t="shared" si="29"/>
        <v>8000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43475</v>
      </c>
      <c r="D160" s="161" t="s">
        <v>8</v>
      </c>
      <c r="E160" s="161" t="s">
        <v>301</v>
      </c>
      <c r="F160" s="207">
        <v>27680</v>
      </c>
      <c r="G160" s="207">
        <v>27630</v>
      </c>
      <c r="H160" s="161">
        <v>50</v>
      </c>
      <c r="I160" s="207">
        <v>40</v>
      </c>
      <c r="J160" s="242">
        <f t="shared" si="29"/>
        <v>2000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43476</v>
      </c>
      <c r="D161" s="161" t="s">
        <v>8</v>
      </c>
      <c r="E161" s="161" t="s">
        <v>301</v>
      </c>
      <c r="F161" s="207">
        <v>27670</v>
      </c>
      <c r="G161" s="207">
        <v>27530</v>
      </c>
      <c r="H161" s="161">
        <v>140</v>
      </c>
      <c r="I161" s="207">
        <v>40</v>
      </c>
      <c r="J161" s="242">
        <f t="shared" si="29"/>
        <v>5600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43481</v>
      </c>
      <c r="D162" s="161" t="s">
        <v>8</v>
      </c>
      <c r="E162" s="161" t="s">
        <v>301</v>
      </c>
      <c r="F162" s="207">
        <v>27620</v>
      </c>
      <c r="G162" s="207">
        <v>27530</v>
      </c>
      <c r="H162" s="161">
        <v>90</v>
      </c>
      <c r="I162" s="207">
        <v>40</v>
      </c>
      <c r="J162" s="242">
        <f t="shared" si="29"/>
        <v>3600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43482</v>
      </c>
      <c r="D163" s="161" t="s">
        <v>8</v>
      </c>
      <c r="E163" s="161" t="s">
        <v>301</v>
      </c>
      <c r="F163" s="207">
        <v>27580</v>
      </c>
      <c r="G163" s="207">
        <v>27380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43483</v>
      </c>
      <c r="D164" s="161" t="s">
        <v>8</v>
      </c>
      <c r="E164" s="161" t="s">
        <v>301</v>
      </c>
      <c r="F164" s="207">
        <v>27570</v>
      </c>
      <c r="G164" s="207">
        <v>27520</v>
      </c>
      <c r="H164" s="161">
        <v>50</v>
      </c>
      <c r="I164" s="207">
        <v>40</v>
      </c>
      <c r="J164" s="242">
        <f t="shared" si="29"/>
        <v>2000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43486</v>
      </c>
      <c r="D165" s="161" t="s">
        <v>8</v>
      </c>
      <c r="E165" s="161" t="s">
        <v>301</v>
      </c>
      <c r="F165" s="207">
        <v>27640</v>
      </c>
      <c r="G165" s="207">
        <v>27590</v>
      </c>
      <c r="H165" s="161">
        <v>50</v>
      </c>
      <c r="I165" s="207">
        <v>40</v>
      </c>
      <c r="J165" s="242">
        <f t="shared" si="29"/>
        <v>2000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43487</v>
      </c>
      <c r="D166" s="161" t="s">
        <v>8</v>
      </c>
      <c r="E166" s="161" t="s">
        <v>301</v>
      </c>
      <c r="F166" s="207">
        <v>27510</v>
      </c>
      <c r="G166" s="207">
        <v>27460</v>
      </c>
      <c r="H166" s="161">
        <v>50</v>
      </c>
      <c r="I166" s="207">
        <v>40</v>
      </c>
      <c r="J166" s="242">
        <f t="shared" si="29"/>
        <v>2000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43488</v>
      </c>
      <c r="D167" s="161" t="s">
        <v>8</v>
      </c>
      <c r="E167" s="161" t="s">
        <v>301</v>
      </c>
      <c r="F167" s="207">
        <v>27550</v>
      </c>
      <c r="G167" s="207">
        <v>27350</v>
      </c>
      <c r="H167" s="161">
        <v>200</v>
      </c>
      <c r="I167" s="207">
        <v>40</v>
      </c>
      <c r="J167" s="242">
        <f t="shared" si="29"/>
        <v>8000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43489</v>
      </c>
      <c r="D168" s="161" t="s">
        <v>8</v>
      </c>
      <c r="E168" s="161" t="s">
        <v>301</v>
      </c>
      <c r="F168" s="207">
        <v>27300</v>
      </c>
      <c r="G168" s="207">
        <v>27200</v>
      </c>
      <c r="H168" s="161">
        <v>100</v>
      </c>
      <c r="I168" s="207">
        <v>40</v>
      </c>
      <c r="J168" s="242">
        <f t="shared" si="29"/>
        <v>4000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43490</v>
      </c>
      <c r="D169" s="161" t="s">
        <v>8</v>
      </c>
      <c r="E169" s="161" t="s">
        <v>301</v>
      </c>
      <c r="F169" s="207">
        <v>27460</v>
      </c>
      <c r="G169" s="207">
        <v>27260</v>
      </c>
      <c r="H169" s="161">
        <v>200</v>
      </c>
      <c r="I169" s="207">
        <v>40</v>
      </c>
      <c r="J169" s="242">
        <f t="shared" si="29"/>
        <v>8000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43493</v>
      </c>
      <c r="D170" s="161" t="s">
        <v>8</v>
      </c>
      <c r="E170" s="161" t="s">
        <v>301</v>
      </c>
      <c r="F170" s="207">
        <v>27000</v>
      </c>
      <c r="G170" s="207">
        <v>26800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43494</v>
      </c>
      <c r="D171" s="161" t="s">
        <v>8</v>
      </c>
      <c r="E171" s="161" t="s">
        <v>301</v>
      </c>
      <c r="F171" s="207">
        <v>26730</v>
      </c>
      <c r="G171" s="207">
        <v>26830</v>
      </c>
      <c r="H171" s="161">
        <v>-100</v>
      </c>
      <c r="I171" s="207">
        <v>40</v>
      </c>
      <c r="J171" s="242">
        <f t="shared" si="29"/>
        <v>-4000</v>
      </c>
      <c r="K171" s="153"/>
      <c r="V171" s="25">
        <f t="shared" si="30"/>
        <v>0</v>
      </c>
      <c r="W171" s="25">
        <f t="shared" si="31"/>
        <v>1</v>
      </c>
    </row>
    <row r="172" spans="1:23" x14ac:dyDescent="0.3">
      <c r="A172" s="147"/>
      <c r="B172" s="205">
        <f t="shared" si="32"/>
        <v>20</v>
      </c>
      <c r="C172" s="206">
        <v>43495</v>
      </c>
      <c r="D172" s="161" t="s">
        <v>8</v>
      </c>
      <c r="E172" s="161" t="s">
        <v>301</v>
      </c>
      <c r="F172" s="207">
        <v>26820</v>
      </c>
      <c r="G172" s="207">
        <v>26720</v>
      </c>
      <c r="H172" s="161">
        <v>100</v>
      </c>
      <c r="I172" s="207">
        <v>40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>
        <v>43496</v>
      </c>
      <c r="D173" s="161" t="s">
        <v>8</v>
      </c>
      <c r="E173" s="161" t="s">
        <v>301</v>
      </c>
      <c r="F173" s="207">
        <v>26920</v>
      </c>
      <c r="G173" s="207">
        <v>27020</v>
      </c>
      <c r="H173" s="161">
        <v>-100</v>
      </c>
      <c r="I173" s="207">
        <v>40</v>
      </c>
      <c r="J173" s="242">
        <f t="shared" si="29"/>
        <v>-4000</v>
      </c>
      <c r="K173" s="153"/>
      <c r="V173" s="25">
        <f t="shared" si="30"/>
        <v>0</v>
      </c>
      <c r="W173" s="25">
        <f t="shared" si="31"/>
        <v>1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66400</v>
      </c>
      <c r="K176" s="153"/>
      <c r="V176" s="25">
        <f>SUM(V153:V175)</f>
        <v>17</v>
      </c>
      <c r="W176" s="25">
        <f>SUM(W153:W175)</f>
        <v>4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2621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43466</v>
      </c>
      <c r="D184" s="185" t="s">
        <v>9</v>
      </c>
      <c r="E184" s="185" t="s">
        <v>2624</v>
      </c>
      <c r="F184" s="219">
        <v>210</v>
      </c>
      <c r="G184" s="219">
        <v>225</v>
      </c>
      <c r="H184" s="185">
        <v>15</v>
      </c>
      <c r="I184" s="219">
        <v>80</v>
      </c>
      <c r="J184" s="246">
        <f t="shared" ref="J184:J206" si="33">I184*H184</f>
        <v>1200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43467</v>
      </c>
      <c r="D185" s="161" t="s">
        <v>9</v>
      </c>
      <c r="E185" s="161" t="s">
        <v>2625</v>
      </c>
      <c r="F185" s="207">
        <v>180</v>
      </c>
      <c r="G185" s="207">
        <v>120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43468</v>
      </c>
      <c r="D186" s="161" t="s">
        <v>9</v>
      </c>
      <c r="E186" s="161" t="s">
        <v>2617</v>
      </c>
      <c r="F186" s="207">
        <v>200</v>
      </c>
      <c r="G186" s="207">
        <v>320</v>
      </c>
      <c r="H186" s="161">
        <v>120</v>
      </c>
      <c r="I186" s="207">
        <v>80</v>
      </c>
      <c r="J186" s="242">
        <f t="shared" si="33"/>
        <v>9600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43469</v>
      </c>
      <c r="D187" s="161" t="s">
        <v>9</v>
      </c>
      <c r="E187" s="161" t="s">
        <v>2521</v>
      </c>
      <c r="F187" s="207">
        <v>220</v>
      </c>
      <c r="G187" s="207">
        <v>160</v>
      </c>
      <c r="H187" s="161">
        <v>-60</v>
      </c>
      <c r="I187" s="207">
        <v>80</v>
      </c>
      <c r="J187" s="242">
        <f t="shared" si="33"/>
        <v>-4800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43472</v>
      </c>
      <c r="D188" s="161" t="s">
        <v>9</v>
      </c>
      <c r="E188" s="161" t="s">
        <v>2534</v>
      </c>
      <c r="F188" s="207">
        <v>200</v>
      </c>
      <c r="G188" s="207">
        <v>290</v>
      </c>
      <c r="H188" s="161">
        <v>90</v>
      </c>
      <c r="I188" s="207">
        <v>80</v>
      </c>
      <c r="J188" s="242">
        <f t="shared" si="33"/>
        <v>7200</v>
      </c>
      <c r="K188" s="153"/>
      <c r="O188" s="25" t="s">
        <v>2008</v>
      </c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43473</v>
      </c>
      <c r="D189" s="161" t="s">
        <v>9</v>
      </c>
      <c r="E189" s="161" t="s">
        <v>2617</v>
      </c>
      <c r="F189" s="207">
        <v>180</v>
      </c>
      <c r="G189" s="207">
        <v>120</v>
      </c>
      <c r="H189" s="161">
        <v>-60</v>
      </c>
      <c r="I189" s="207">
        <v>80</v>
      </c>
      <c r="J189" s="242">
        <f t="shared" si="33"/>
        <v>-4800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43474</v>
      </c>
      <c r="D190" s="161" t="s">
        <v>9</v>
      </c>
      <c r="E190" s="161" t="s">
        <v>2532</v>
      </c>
      <c r="F190" s="207">
        <v>190</v>
      </c>
      <c r="G190" s="207">
        <v>310</v>
      </c>
      <c r="H190" s="161">
        <v>120</v>
      </c>
      <c r="I190" s="207">
        <v>80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43475</v>
      </c>
      <c r="D191" s="161" t="s">
        <v>9</v>
      </c>
      <c r="E191" s="161" t="s">
        <v>2532</v>
      </c>
      <c r="F191" s="207">
        <v>130</v>
      </c>
      <c r="G191" s="207">
        <v>190</v>
      </c>
      <c r="H191" s="161">
        <v>60</v>
      </c>
      <c r="I191" s="207">
        <v>80</v>
      </c>
      <c r="J191" s="242">
        <f t="shared" si="33"/>
        <v>4800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43476</v>
      </c>
      <c r="D192" s="161" t="s">
        <v>9</v>
      </c>
      <c r="E192" s="161" t="s">
        <v>2627</v>
      </c>
      <c r="F192" s="207">
        <v>210</v>
      </c>
      <c r="G192" s="207">
        <v>270</v>
      </c>
      <c r="H192" s="161">
        <v>60</v>
      </c>
      <c r="I192" s="207">
        <v>80</v>
      </c>
      <c r="J192" s="242">
        <f t="shared" ref="J192:J203" si="37">I192*H192</f>
        <v>4800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43481</v>
      </c>
      <c r="D193" s="161" t="s">
        <v>9</v>
      </c>
      <c r="E193" s="161" t="s">
        <v>2627</v>
      </c>
      <c r="F193" s="207">
        <v>140</v>
      </c>
      <c r="G193" s="207">
        <v>142</v>
      </c>
      <c r="H193" s="161">
        <v>2</v>
      </c>
      <c r="I193" s="207">
        <v>80</v>
      </c>
      <c r="J193" s="242">
        <f t="shared" si="37"/>
        <v>160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43482</v>
      </c>
      <c r="D194" s="161" t="s">
        <v>9</v>
      </c>
      <c r="E194" s="161" t="s">
        <v>2302</v>
      </c>
      <c r="F194" s="207">
        <v>100</v>
      </c>
      <c r="G194" s="207">
        <v>220</v>
      </c>
      <c r="H194" s="161">
        <v>120</v>
      </c>
      <c r="I194" s="207">
        <v>80</v>
      </c>
      <c r="J194" s="242">
        <f t="shared" si="37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43483</v>
      </c>
      <c r="D195" s="161" t="s">
        <v>9</v>
      </c>
      <c r="E195" s="161" t="s">
        <v>2627</v>
      </c>
      <c r="F195" s="207">
        <v>200</v>
      </c>
      <c r="G195" s="207">
        <v>260</v>
      </c>
      <c r="H195" s="161">
        <v>60</v>
      </c>
      <c r="I195" s="207">
        <v>80</v>
      </c>
      <c r="J195" s="242">
        <f t="shared" si="37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43486</v>
      </c>
      <c r="D196" s="161" t="s">
        <v>9</v>
      </c>
      <c r="E196" s="161" t="s">
        <v>2627</v>
      </c>
      <c r="F196" s="207">
        <v>180</v>
      </c>
      <c r="G196" s="207">
        <v>208</v>
      </c>
      <c r="H196" s="161">
        <v>28</v>
      </c>
      <c r="I196" s="207">
        <v>80</v>
      </c>
      <c r="J196" s="242">
        <f t="shared" si="37"/>
        <v>2240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43487</v>
      </c>
      <c r="D197" s="161" t="s">
        <v>9</v>
      </c>
      <c r="E197" s="161" t="s">
        <v>2534</v>
      </c>
      <c r="F197" s="207">
        <v>160</v>
      </c>
      <c r="G197" s="207">
        <v>190</v>
      </c>
      <c r="H197" s="161">
        <v>30</v>
      </c>
      <c r="I197" s="207">
        <v>80</v>
      </c>
      <c r="J197" s="242">
        <f t="shared" si="37"/>
        <v>2400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43488</v>
      </c>
      <c r="D198" s="161" t="s">
        <v>9</v>
      </c>
      <c r="E198" s="161" t="s">
        <v>2534</v>
      </c>
      <c r="F198" s="207">
        <v>100</v>
      </c>
      <c r="G198" s="207">
        <v>220</v>
      </c>
      <c r="H198" s="161">
        <v>120</v>
      </c>
      <c r="I198" s="207">
        <v>80</v>
      </c>
      <c r="J198" s="242">
        <f t="shared" si="37"/>
        <v>9600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43489</v>
      </c>
      <c r="D199" s="161" t="s">
        <v>9</v>
      </c>
      <c r="E199" s="161" t="s">
        <v>2617</v>
      </c>
      <c r="F199" s="207">
        <v>100</v>
      </c>
      <c r="G199" s="207">
        <v>130</v>
      </c>
      <c r="H199" s="161">
        <v>30</v>
      </c>
      <c r="I199" s="207">
        <v>80</v>
      </c>
      <c r="J199" s="242">
        <f t="shared" si="37"/>
        <v>2400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43490</v>
      </c>
      <c r="D200" s="161" t="s">
        <v>9</v>
      </c>
      <c r="E200" s="161" t="s">
        <v>2534</v>
      </c>
      <c r="F200" s="207">
        <v>200</v>
      </c>
      <c r="G200" s="207">
        <v>320</v>
      </c>
      <c r="H200" s="161">
        <v>120</v>
      </c>
      <c r="I200" s="207">
        <v>80</v>
      </c>
      <c r="J200" s="242">
        <f t="shared" si="37"/>
        <v>9600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43493</v>
      </c>
      <c r="D201" s="161" t="s">
        <v>9</v>
      </c>
      <c r="E201" s="161" t="s">
        <v>2521</v>
      </c>
      <c r="F201" s="207">
        <v>190</v>
      </c>
      <c r="G201" s="207">
        <v>310</v>
      </c>
      <c r="H201" s="161">
        <v>120</v>
      </c>
      <c r="I201" s="207">
        <v>80</v>
      </c>
      <c r="J201" s="242">
        <f t="shared" si="37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43494</v>
      </c>
      <c r="D202" s="161" t="s">
        <v>9</v>
      </c>
      <c r="E202" s="161" t="s">
        <v>2433</v>
      </c>
      <c r="F202" s="207">
        <v>180</v>
      </c>
      <c r="G202" s="207">
        <v>270</v>
      </c>
      <c r="H202" s="161">
        <v>90</v>
      </c>
      <c r="I202" s="207">
        <v>80</v>
      </c>
      <c r="J202" s="242">
        <f t="shared" si="37"/>
        <v>7200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43495</v>
      </c>
      <c r="D203" s="161" t="s">
        <v>9</v>
      </c>
      <c r="E203" s="161" t="s">
        <v>2456</v>
      </c>
      <c r="F203" s="207">
        <v>140</v>
      </c>
      <c r="G203" s="207">
        <v>165</v>
      </c>
      <c r="H203" s="161">
        <v>25</v>
      </c>
      <c r="I203" s="207">
        <v>80</v>
      </c>
      <c r="J203" s="242">
        <f t="shared" si="37"/>
        <v>2000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>
        <v>43496</v>
      </c>
      <c r="D204" s="161" t="s">
        <v>9</v>
      </c>
      <c r="E204" s="161" t="s">
        <v>2521</v>
      </c>
      <c r="F204" s="207">
        <v>120</v>
      </c>
      <c r="G204" s="207">
        <v>60</v>
      </c>
      <c r="H204" s="161">
        <v>-60</v>
      </c>
      <c r="I204" s="207">
        <v>80</v>
      </c>
      <c r="J204" s="242">
        <f t="shared" si="33"/>
        <v>-4800</v>
      </c>
      <c r="K204" s="153"/>
      <c r="V204" s="25">
        <f t="shared" si="34"/>
        <v>0</v>
      </c>
      <c r="W204" s="25">
        <f t="shared" si="35"/>
        <v>1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77600</v>
      </c>
      <c r="K207" s="153"/>
      <c r="V207" s="25">
        <f>SUM(V184:V206)</f>
        <v>17</v>
      </c>
      <c r="W207" s="25">
        <f>SUM(W184:W206)</f>
        <v>4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2623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43466</v>
      </c>
      <c r="D215" s="185" t="s">
        <v>9</v>
      </c>
      <c r="E215" s="185" t="s">
        <v>2528</v>
      </c>
      <c r="F215" s="231">
        <v>32</v>
      </c>
      <c r="G215" s="231">
        <v>34</v>
      </c>
      <c r="H215" s="231">
        <v>2</v>
      </c>
      <c r="I215" s="219">
        <v>500</v>
      </c>
      <c r="J215" s="246">
        <f t="shared" ref="J215:J237" si="38">I215*H215</f>
        <v>1000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43467</v>
      </c>
      <c r="D216" s="161" t="s">
        <v>9</v>
      </c>
      <c r="E216" s="161" t="s">
        <v>2626</v>
      </c>
      <c r="F216" s="222">
        <v>14.5</v>
      </c>
      <c r="G216" s="222">
        <v>14.35</v>
      </c>
      <c r="H216" s="255">
        <v>-0.15</v>
      </c>
      <c r="I216" s="207">
        <v>1750</v>
      </c>
      <c r="J216" s="242">
        <f>I216*H216</f>
        <v>-262.5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 t="shared" ref="B217:B237" si="39">B216+1</f>
        <v>3</v>
      </c>
      <c r="C217" s="206">
        <v>43468</v>
      </c>
      <c r="D217" s="161" t="s">
        <v>9</v>
      </c>
      <c r="E217" s="161" t="s">
        <v>2582</v>
      </c>
      <c r="F217" s="222">
        <v>29</v>
      </c>
      <c r="G217" s="222">
        <v>35</v>
      </c>
      <c r="H217" s="222">
        <v>6</v>
      </c>
      <c r="I217" s="207">
        <v>500</v>
      </c>
      <c r="J217" s="242">
        <f t="shared" si="38"/>
        <v>3000</v>
      </c>
      <c r="K217" s="153"/>
      <c r="V217" s="25">
        <f t="shared" ref="V217:V237" si="40">IF($J217&gt;0,1,0)</f>
        <v>1</v>
      </c>
      <c r="W217" s="25">
        <f t="shared" ref="W217:W237" si="41">IF($J217&lt;0,1,0)</f>
        <v>0</v>
      </c>
    </row>
    <row r="218" spans="1:23" x14ac:dyDescent="0.3">
      <c r="A218" s="147"/>
      <c r="B218" s="205">
        <f t="shared" si="39"/>
        <v>4</v>
      </c>
      <c r="C218" s="206">
        <v>43469</v>
      </c>
      <c r="D218" s="161" t="s">
        <v>9</v>
      </c>
      <c r="E218" s="161" t="s">
        <v>1850</v>
      </c>
      <c r="F218" s="222">
        <v>28</v>
      </c>
      <c r="G218" s="222">
        <v>22</v>
      </c>
      <c r="H218" s="222">
        <v>-6</v>
      </c>
      <c r="I218" s="207">
        <v>500</v>
      </c>
      <c r="J218" s="242">
        <f t="shared" si="38"/>
        <v>-3000</v>
      </c>
      <c r="K218" s="153"/>
      <c r="V218" s="25">
        <f t="shared" si="40"/>
        <v>0</v>
      </c>
      <c r="W218" s="25">
        <f t="shared" si="41"/>
        <v>1</v>
      </c>
    </row>
    <row r="219" spans="1:23" x14ac:dyDescent="0.3">
      <c r="A219" s="147"/>
      <c r="B219" s="205">
        <f t="shared" si="39"/>
        <v>5</v>
      </c>
      <c r="C219" s="206">
        <v>43472</v>
      </c>
      <c r="D219" s="161" t="s">
        <v>9</v>
      </c>
      <c r="E219" s="161" t="s">
        <v>2528</v>
      </c>
      <c r="F219" s="222">
        <v>30</v>
      </c>
      <c r="G219" s="222">
        <v>39</v>
      </c>
      <c r="H219" s="222">
        <v>9</v>
      </c>
      <c r="I219" s="207">
        <v>500</v>
      </c>
      <c r="J219" s="242">
        <f t="shared" si="38"/>
        <v>4500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6</v>
      </c>
      <c r="C220" s="206">
        <v>43473</v>
      </c>
      <c r="D220" s="161" t="s">
        <v>9</v>
      </c>
      <c r="E220" s="161" t="s">
        <v>2528</v>
      </c>
      <c r="F220" s="222">
        <v>35</v>
      </c>
      <c r="G220" s="222">
        <v>40</v>
      </c>
      <c r="H220" s="222">
        <v>5</v>
      </c>
      <c r="I220" s="207">
        <v>500</v>
      </c>
      <c r="J220" s="242">
        <f t="shared" si="38"/>
        <v>2500</v>
      </c>
      <c r="K220" s="153"/>
      <c r="V220" s="25">
        <f t="shared" si="40"/>
        <v>1</v>
      </c>
      <c r="W220" s="25">
        <f t="shared" si="41"/>
        <v>0</v>
      </c>
    </row>
    <row r="221" spans="1:23" x14ac:dyDescent="0.3">
      <c r="A221" s="147"/>
      <c r="B221" s="205">
        <f t="shared" si="39"/>
        <v>7</v>
      </c>
      <c r="C221" s="206">
        <v>43474</v>
      </c>
      <c r="D221" s="161" t="s">
        <v>9</v>
      </c>
      <c r="E221" s="161" t="s">
        <v>2528</v>
      </c>
      <c r="F221" s="222">
        <v>31</v>
      </c>
      <c r="G221" s="222">
        <v>37</v>
      </c>
      <c r="H221" s="222">
        <v>6</v>
      </c>
      <c r="I221" s="207">
        <v>500</v>
      </c>
      <c r="J221" s="242">
        <f t="shared" si="38"/>
        <v>3000</v>
      </c>
      <c r="K221" s="153"/>
      <c r="V221" s="25">
        <f t="shared" si="40"/>
        <v>1</v>
      </c>
      <c r="W221" s="25">
        <f t="shared" si="41"/>
        <v>0</v>
      </c>
    </row>
    <row r="222" spans="1:23" x14ac:dyDescent="0.3">
      <c r="A222" s="147"/>
      <c r="B222" s="205">
        <f t="shared" si="39"/>
        <v>8</v>
      </c>
      <c r="C222" s="206">
        <v>43475</v>
      </c>
      <c r="D222" s="161" t="s">
        <v>9</v>
      </c>
      <c r="E222" s="161" t="s">
        <v>2528</v>
      </c>
      <c r="F222" s="222">
        <v>34</v>
      </c>
      <c r="G222" s="222">
        <v>36.799999999999997</v>
      </c>
      <c r="H222" s="222">
        <v>2.8</v>
      </c>
      <c r="I222" s="207">
        <v>500</v>
      </c>
      <c r="J222" s="242">
        <f t="shared" si="38"/>
        <v>1400</v>
      </c>
      <c r="K222" s="153"/>
      <c r="V222" s="25">
        <f t="shared" si="40"/>
        <v>1</v>
      </c>
      <c r="W222" s="25">
        <f t="shared" si="41"/>
        <v>0</v>
      </c>
    </row>
    <row r="223" spans="1:23" x14ac:dyDescent="0.3">
      <c r="A223" s="147"/>
      <c r="B223" s="205">
        <f t="shared" si="39"/>
        <v>9</v>
      </c>
      <c r="C223" s="206">
        <v>43476</v>
      </c>
      <c r="D223" s="161" t="s">
        <v>9</v>
      </c>
      <c r="E223" s="161" t="s">
        <v>2528</v>
      </c>
      <c r="F223" s="222">
        <v>31</v>
      </c>
      <c r="G223" s="222">
        <v>43</v>
      </c>
      <c r="H223" s="255">
        <v>12</v>
      </c>
      <c r="I223" s="207">
        <v>500</v>
      </c>
      <c r="J223" s="242">
        <f t="shared" si="38"/>
        <v>6000</v>
      </c>
      <c r="K223" s="153"/>
      <c r="V223" s="25">
        <f t="shared" si="40"/>
        <v>1</v>
      </c>
      <c r="W223" s="25">
        <f t="shared" si="41"/>
        <v>0</v>
      </c>
    </row>
    <row r="224" spans="1:23" x14ac:dyDescent="0.3">
      <c r="A224" s="147"/>
      <c r="B224" s="205">
        <f t="shared" si="39"/>
        <v>10</v>
      </c>
      <c r="C224" s="206">
        <v>43481</v>
      </c>
      <c r="D224" s="161" t="s">
        <v>9</v>
      </c>
      <c r="E224" s="161" t="s">
        <v>2628</v>
      </c>
      <c r="F224" s="222">
        <v>30</v>
      </c>
      <c r="G224" s="222">
        <v>26.5</v>
      </c>
      <c r="H224" s="255">
        <v>-3.5</v>
      </c>
      <c r="I224" s="207">
        <v>500</v>
      </c>
      <c r="J224" s="242">
        <f t="shared" si="38"/>
        <v>-1750</v>
      </c>
      <c r="K224" s="153"/>
      <c r="V224" s="25">
        <f t="shared" si="40"/>
        <v>0</v>
      </c>
      <c r="W224" s="25">
        <f t="shared" si="41"/>
        <v>1</v>
      </c>
    </row>
    <row r="225" spans="1:23" x14ac:dyDescent="0.3">
      <c r="A225" s="147"/>
      <c r="B225" s="205">
        <f t="shared" si="39"/>
        <v>11</v>
      </c>
      <c r="C225" s="206">
        <v>43482</v>
      </c>
      <c r="D225" s="161" t="s">
        <v>9</v>
      </c>
      <c r="E225" s="161" t="s">
        <v>2628</v>
      </c>
      <c r="F225" s="222">
        <v>29</v>
      </c>
      <c r="G225" s="222">
        <v>23</v>
      </c>
      <c r="H225" s="255">
        <v>-6</v>
      </c>
      <c r="I225" s="207">
        <v>500</v>
      </c>
      <c r="J225" s="242">
        <f t="shared" si="38"/>
        <v>-3000</v>
      </c>
      <c r="K225" s="153"/>
      <c r="V225" s="25">
        <f t="shared" si="40"/>
        <v>0</v>
      </c>
      <c r="W225" s="25">
        <f t="shared" si="41"/>
        <v>1</v>
      </c>
    </row>
    <row r="226" spans="1:23" x14ac:dyDescent="0.3">
      <c r="A226" s="147"/>
      <c r="B226" s="205">
        <f t="shared" si="39"/>
        <v>12</v>
      </c>
      <c r="C226" s="206">
        <v>43483</v>
      </c>
      <c r="D226" s="161" t="s">
        <v>9</v>
      </c>
      <c r="E226" s="161" t="s">
        <v>2629</v>
      </c>
      <c r="F226" s="222">
        <v>10.5</v>
      </c>
      <c r="G226" s="222">
        <v>11.9</v>
      </c>
      <c r="H226" s="255">
        <v>1.4</v>
      </c>
      <c r="I226" s="207">
        <v>1750</v>
      </c>
      <c r="J226" s="242">
        <f t="shared" si="38"/>
        <v>2450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13</v>
      </c>
      <c r="C227" s="206">
        <v>43486</v>
      </c>
      <c r="D227" s="161" t="s">
        <v>9</v>
      </c>
      <c r="E227" s="161" t="s">
        <v>2543</v>
      </c>
      <c r="F227" s="222">
        <v>22</v>
      </c>
      <c r="G227" s="222">
        <v>34</v>
      </c>
      <c r="H227" s="255">
        <v>12</v>
      </c>
      <c r="I227" s="207">
        <v>500</v>
      </c>
      <c r="J227" s="242">
        <f t="shared" si="38"/>
        <v>6000</v>
      </c>
      <c r="K227" s="153"/>
      <c r="V227" s="25">
        <f t="shared" si="40"/>
        <v>1</v>
      </c>
      <c r="W227" s="25">
        <f t="shared" si="41"/>
        <v>0</v>
      </c>
    </row>
    <row r="228" spans="1:23" x14ac:dyDescent="0.3">
      <c r="A228" s="147"/>
      <c r="B228" s="205">
        <f t="shared" si="39"/>
        <v>14</v>
      </c>
      <c r="C228" s="206">
        <v>43487</v>
      </c>
      <c r="D228" s="161" t="s">
        <v>9</v>
      </c>
      <c r="E228" s="161" t="s">
        <v>2630</v>
      </c>
      <c r="F228" s="222">
        <v>19</v>
      </c>
      <c r="G228" s="222">
        <v>13</v>
      </c>
      <c r="H228" s="255">
        <v>-6</v>
      </c>
      <c r="I228" s="207">
        <v>500</v>
      </c>
      <c r="J228" s="242">
        <f>I228*H228</f>
        <v>-3000</v>
      </c>
      <c r="K228" s="153"/>
      <c r="V228" s="25">
        <f t="shared" si="40"/>
        <v>0</v>
      </c>
      <c r="W228" s="25">
        <f t="shared" si="41"/>
        <v>1</v>
      </c>
    </row>
    <row r="229" spans="1:23" x14ac:dyDescent="0.3">
      <c r="A229" s="147"/>
      <c r="B229" s="205">
        <f t="shared" si="39"/>
        <v>15</v>
      </c>
      <c r="C229" s="206">
        <v>43488</v>
      </c>
      <c r="D229" s="161" t="s">
        <v>9</v>
      </c>
      <c r="E229" s="161" t="s">
        <v>2572</v>
      </c>
      <c r="F229" s="222">
        <v>22</v>
      </c>
      <c r="G229" s="222">
        <v>16</v>
      </c>
      <c r="H229" s="255">
        <v>-6</v>
      </c>
      <c r="I229" s="207">
        <v>500</v>
      </c>
      <c r="J229" s="242">
        <f t="shared" si="38"/>
        <v>-3000</v>
      </c>
      <c r="K229" s="153"/>
      <c r="V229" s="25">
        <f t="shared" si="40"/>
        <v>0</v>
      </c>
      <c r="W229" s="25">
        <f t="shared" si="41"/>
        <v>1</v>
      </c>
    </row>
    <row r="230" spans="1:23" x14ac:dyDescent="0.3">
      <c r="A230" s="147"/>
      <c r="B230" s="205">
        <f t="shared" si="39"/>
        <v>16</v>
      </c>
      <c r="C230" s="206">
        <v>43489</v>
      </c>
      <c r="D230" s="161" t="s">
        <v>9</v>
      </c>
      <c r="E230" s="161" t="s">
        <v>2572</v>
      </c>
      <c r="F230" s="222">
        <v>22</v>
      </c>
      <c r="G230" s="222">
        <v>27.5</v>
      </c>
      <c r="H230" s="222">
        <v>5.5</v>
      </c>
      <c r="I230" s="207">
        <v>500</v>
      </c>
      <c r="J230" s="242">
        <f t="shared" si="38"/>
        <v>2750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17</v>
      </c>
      <c r="C231" s="206">
        <v>43490</v>
      </c>
      <c r="D231" s="161" t="s">
        <v>9</v>
      </c>
      <c r="E231" s="161" t="s">
        <v>2631</v>
      </c>
      <c r="F231" s="222">
        <v>7.5</v>
      </c>
      <c r="G231" s="222">
        <v>4.5</v>
      </c>
      <c r="H231" s="222">
        <v>-3</v>
      </c>
      <c r="I231" s="207">
        <v>1200</v>
      </c>
      <c r="J231" s="242">
        <f t="shared" si="38"/>
        <v>-3600</v>
      </c>
      <c r="K231" s="153"/>
      <c r="V231" s="25">
        <f t="shared" si="40"/>
        <v>0</v>
      </c>
      <c r="W231" s="25">
        <f t="shared" si="41"/>
        <v>1</v>
      </c>
    </row>
    <row r="232" spans="1:23" x14ac:dyDescent="0.3">
      <c r="A232" s="147"/>
      <c r="B232" s="205">
        <f t="shared" si="39"/>
        <v>18</v>
      </c>
      <c r="C232" s="206">
        <v>43493</v>
      </c>
      <c r="D232" s="161" t="s">
        <v>9</v>
      </c>
      <c r="E232" s="161" t="s">
        <v>1686</v>
      </c>
      <c r="F232" s="222">
        <v>7.5</v>
      </c>
      <c r="G232" s="222">
        <v>13.5</v>
      </c>
      <c r="H232" s="222">
        <v>6</v>
      </c>
      <c r="I232" s="207">
        <v>2000</v>
      </c>
      <c r="J232" s="242">
        <f t="shared" si="38"/>
        <v>12000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19</v>
      </c>
      <c r="C233" s="206">
        <v>43494</v>
      </c>
      <c r="D233" s="161" t="s">
        <v>9</v>
      </c>
      <c r="E233" s="161" t="s">
        <v>2632</v>
      </c>
      <c r="F233" s="222">
        <v>3.5</v>
      </c>
      <c r="G233" s="222">
        <v>4.0999999999999996</v>
      </c>
      <c r="H233" s="222">
        <v>0.6</v>
      </c>
      <c r="I233" s="207">
        <v>3000</v>
      </c>
      <c r="J233" s="242">
        <f t="shared" si="38"/>
        <v>1800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20</v>
      </c>
      <c r="C234" s="206">
        <v>43495</v>
      </c>
      <c r="D234" s="161" t="s">
        <v>9</v>
      </c>
      <c r="E234" s="161" t="s">
        <v>2630</v>
      </c>
      <c r="F234" s="222">
        <v>10</v>
      </c>
      <c r="G234" s="222">
        <v>20</v>
      </c>
      <c r="H234" s="222">
        <v>10</v>
      </c>
      <c r="I234" s="207">
        <v>500</v>
      </c>
      <c r="J234" s="242">
        <f t="shared" si="38"/>
        <v>5000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21</v>
      </c>
      <c r="C235" s="206">
        <v>43496</v>
      </c>
      <c r="D235" s="161" t="s">
        <v>9</v>
      </c>
      <c r="E235" s="161" t="s">
        <v>2630</v>
      </c>
      <c r="F235" s="222">
        <v>10</v>
      </c>
      <c r="G235" s="222">
        <v>5</v>
      </c>
      <c r="H235" s="222">
        <v>-5</v>
      </c>
      <c r="I235" s="207">
        <v>500</v>
      </c>
      <c r="J235" s="242">
        <f t="shared" si="38"/>
        <v>-2500</v>
      </c>
      <c r="K235" s="153"/>
      <c r="V235" s="25">
        <f t="shared" si="40"/>
        <v>0</v>
      </c>
      <c r="W235" s="25">
        <f t="shared" si="41"/>
        <v>1</v>
      </c>
    </row>
    <row r="236" spans="1:23" x14ac:dyDescent="0.3">
      <c r="A236" s="147"/>
      <c r="B236" s="205">
        <f t="shared" si="39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8"/>
        <v>0</v>
      </c>
      <c r="K236" s="153"/>
      <c r="V236" s="25">
        <f t="shared" si="40"/>
        <v>0</v>
      </c>
      <c r="W236" s="25">
        <f t="shared" si="41"/>
        <v>0</v>
      </c>
    </row>
    <row r="237" spans="1:23" ht="15" thickBot="1" x14ac:dyDescent="0.35">
      <c r="A237" s="147"/>
      <c r="B237" s="208">
        <f t="shared" si="39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8"/>
        <v>0</v>
      </c>
      <c r="K237" s="153"/>
      <c r="V237" s="25">
        <f t="shared" si="40"/>
        <v>0</v>
      </c>
      <c r="W237" s="25">
        <f t="shared" si="41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31287.5</v>
      </c>
      <c r="K238" s="153"/>
      <c r="V238" s="25">
        <f>SUM(V215:V237)</f>
        <v>13</v>
      </c>
      <c r="W238" s="25">
        <f>SUM(W215:W237)</f>
        <v>8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500-000000000000}"/>
    <hyperlink ref="B83" r:id="rId2" xr:uid="{00000000-0004-0000-4500-000001000000}"/>
    <hyperlink ref="B114" r:id="rId3" xr:uid="{00000000-0004-0000-4500-000002000000}"/>
    <hyperlink ref="B145" r:id="rId4" xr:uid="{00000000-0004-0000-4500-000003000000}"/>
    <hyperlink ref="B176" r:id="rId5" xr:uid="{00000000-0004-0000-4500-000004000000}"/>
    <hyperlink ref="B207" r:id="rId6" xr:uid="{00000000-0004-0000-4500-000005000000}"/>
    <hyperlink ref="B238" r:id="rId7" xr:uid="{00000000-0004-0000-4500-000006000000}"/>
    <hyperlink ref="M1" location="'MASTER '!A1" display="Back" xr:uid="{00000000-0004-0000-4500-000007000000}"/>
    <hyperlink ref="M8:M9" location="'JAN-2019'!A108" display="NIFTY FUTURE" xr:uid="{00000000-0004-0000-4500-000008000000}"/>
    <hyperlink ref="M10:M11" location="'JAN-2019'!A139" display="NF. OPTION" xr:uid="{00000000-0004-0000-4500-000009000000}"/>
    <hyperlink ref="M12:M13" location="'JAN-2019'!A170" display="BANK NIFTY" xr:uid="{00000000-0004-0000-4500-00000A000000}"/>
    <hyperlink ref="M14:M15" location="'JAN-2019'!A201" display="B.NIFTY OPTION" xr:uid="{00000000-0004-0000-4500-00000B000000}"/>
    <hyperlink ref="M16:M17" location="'JAN-2019'!A232" display="STOCK OPTION" xr:uid="{00000000-0004-0000-4500-00000C000000}"/>
    <hyperlink ref="M6:M7" location="'JAN-2019'!A77" display="STOCK FUTURE" xr:uid="{00000000-0004-0000-4500-00000D000000}"/>
    <hyperlink ref="M4:M5" location="'JAN-2019'!A1" display="CASH" xr:uid="{00000000-0004-0000-4500-00000E000000}"/>
  </hyperlinks>
  <pageMargins left="0" right="0" top="0" bottom="0" header="0" footer="0"/>
  <pageSetup scale="95" orientation="portrait" r:id="rId8"/>
  <drawing r:id="rId9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2636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40</v>
      </c>
      <c r="O4" s="354">
        <f>V52</f>
        <v>30</v>
      </c>
      <c r="P4" s="354">
        <f>W52</f>
        <v>9</v>
      </c>
      <c r="Q4" s="355">
        <f>N4-O4-P4</f>
        <v>1</v>
      </c>
      <c r="R4" s="314">
        <f>O4/N4</f>
        <v>0.75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43497</v>
      </c>
      <c r="D6" s="158" t="s">
        <v>9</v>
      </c>
      <c r="E6" s="158" t="s">
        <v>29</v>
      </c>
      <c r="F6" s="204">
        <v>1028</v>
      </c>
      <c r="G6" s="230">
        <v>1033</v>
      </c>
      <c r="H6" s="158">
        <v>5</v>
      </c>
      <c r="I6" s="204">
        <f>300000/F6</f>
        <v>291.82879377431908</v>
      </c>
      <c r="J6" s="241">
        <f>H6*I6</f>
        <v>1459.1439688715955</v>
      </c>
      <c r="K6" s="153"/>
      <c r="M6" s="389" t="s">
        <v>450</v>
      </c>
      <c r="N6" s="343">
        <f>COUNT(C60:C82)</f>
        <v>22</v>
      </c>
      <c r="O6" s="345">
        <f>V83</f>
        <v>14</v>
      </c>
      <c r="P6" s="345">
        <f>W83</f>
        <v>8</v>
      </c>
      <c r="Q6" s="347">
        <f>N6-O6-P6</f>
        <v>0</v>
      </c>
      <c r="R6" s="340">
        <f t="shared" ref="R6" si="0">O6/N6</f>
        <v>0.63636363636363635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43497</v>
      </c>
      <c r="D7" s="161" t="s">
        <v>8</v>
      </c>
      <c r="E7" s="161" t="s">
        <v>49</v>
      </c>
      <c r="F7" s="207">
        <v>1295</v>
      </c>
      <c r="G7" s="207">
        <v>1315</v>
      </c>
      <c r="H7" s="234">
        <v>20</v>
      </c>
      <c r="I7" s="207">
        <f t="shared" ref="I7" si="1">300000/F7</f>
        <v>231.66023166023166</v>
      </c>
      <c r="J7" s="242">
        <f t="shared" ref="J7" si="2">H7*I7</f>
        <v>4633.204633204633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43500</v>
      </c>
      <c r="D8" s="161" t="s">
        <v>9</v>
      </c>
      <c r="E8" s="161" t="s">
        <v>29</v>
      </c>
      <c r="F8" s="207">
        <v>1053</v>
      </c>
      <c r="G8" s="222">
        <v>1043</v>
      </c>
      <c r="H8" s="222">
        <v>-10</v>
      </c>
      <c r="I8" s="207">
        <f t="shared" ref="I8:I9" si="6">300000/F8</f>
        <v>284.90028490028487</v>
      </c>
      <c r="J8" s="242">
        <f t="shared" ref="J8:J9" si="7">H8*I8</f>
        <v>-2849.002849002849</v>
      </c>
      <c r="K8" s="153"/>
      <c r="M8" s="389" t="s">
        <v>451</v>
      </c>
      <c r="N8" s="343">
        <f>COUNT(C91:C113)</f>
        <v>20</v>
      </c>
      <c r="O8" s="345">
        <f>V114</f>
        <v>16</v>
      </c>
      <c r="P8" s="345">
        <f>W114</f>
        <v>4</v>
      </c>
      <c r="Q8" s="347">
        <f>N8-O8-P8</f>
        <v>0</v>
      </c>
      <c r="R8" s="340">
        <f t="shared" ref="R8" si="8">O8/N8</f>
        <v>0.8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43500</v>
      </c>
      <c r="D9" s="161" t="s">
        <v>8</v>
      </c>
      <c r="E9" s="161" t="s">
        <v>552</v>
      </c>
      <c r="F9" s="222">
        <v>1480</v>
      </c>
      <c r="G9" s="222">
        <v>1473</v>
      </c>
      <c r="H9" s="222">
        <v>7</v>
      </c>
      <c r="I9" s="207">
        <f t="shared" si="6"/>
        <v>202.70270270270271</v>
      </c>
      <c r="J9" s="242">
        <f t="shared" si="7"/>
        <v>1418.918918918919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43501</v>
      </c>
      <c r="D10" s="161" t="s">
        <v>9</v>
      </c>
      <c r="E10" s="161" t="s">
        <v>1439</v>
      </c>
      <c r="F10" s="222">
        <v>1290</v>
      </c>
      <c r="G10" s="222">
        <v>1300</v>
      </c>
      <c r="H10" s="222">
        <v>10</v>
      </c>
      <c r="I10" s="207">
        <f t="shared" ref="I10:I45" si="9">300000/F10</f>
        <v>232.55813953488371</v>
      </c>
      <c r="J10" s="242">
        <f t="shared" ref="J10:J45" si="10">H10*I10</f>
        <v>2325.5813953488368</v>
      </c>
      <c r="K10" s="153"/>
      <c r="M10" s="389" t="s">
        <v>1176</v>
      </c>
      <c r="N10" s="343">
        <f>COUNT(C122:C144)</f>
        <v>20</v>
      </c>
      <c r="O10" s="345">
        <f>V145</f>
        <v>14</v>
      </c>
      <c r="P10" s="345">
        <f>W145</f>
        <v>6</v>
      </c>
      <c r="Q10" s="347">
        <f>N10-O10-P10</f>
        <v>0</v>
      </c>
      <c r="R10" s="340">
        <f t="shared" ref="R10:R16" si="11">O10/N10</f>
        <v>0.7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43501</v>
      </c>
      <c r="D11" s="161" t="s">
        <v>8</v>
      </c>
      <c r="E11" s="161" t="s">
        <v>49</v>
      </c>
      <c r="F11" s="222">
        <v>1328</v>
      </c>
      <c r="G11" s="222">
        <v>1298</v>
      </c>
      <c r="H11" s="255">
        <v>30</v>
      </c>
      <c r="I11" s="207">
        <f t="shared" si="9"/>
        <v>225.90361445783134</v>
      </c>
      <c r="J11" s="242">
        <f t="shared" si="10"/>
        <v>6777.1084337349403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43502</v>
      </c>
      <c r="D12" s="161" t="s">
        <v>9</v>
      </c>
      <c r="E12" s="161" t="s">
        <v>49</v>
      </c>
      <c r="F12" s="222">
        <v>1290</v>
      </c>
      <c r="G12" s="222">
        <v>1275</v>
      </c>
      <c r="H12" s="222">
        <v>-15</v>
      </c>
      <c r="I12" s="207">
        <f t="shared" si="9"/>
        <v>232.55813953488371</v>
      </c>
      <c r="J12" s="242">
        <f t="shared" si="10"/>
        <v>-3488.3720930232557</v>
      </c>
      <c r="K12" s="153"/>
      <c r="M12" s="389" t="s">
        <v>41</v>
      </c>
      <c r="N12" s="343">
        <f>COUNT(C153:C175)</f>
        <v>20</v>
      </c>
      <c r="O12" s="345">
        <f>V176</f>
        <v>15</v>
      </c>
      <c r="P12" s="345">
        <f>W176</f>
        <v>5</v>
      </c>
      <c r="Q12" s="347">
        <f t="shared" ref="Q12" si="12">N12-O12-P12</f>
        <v>0</v>
      </c>
      <c r="R12" s="340">
        <f t="shared" si="11"/>
        <v>0.75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43502</v>
      </c>
      <c r="D13" s="161" t="s">
        <v>8</v>
      </c>
      <c r="E13" s="161" t="s">
        <v>192</v>
      </c>
      <c r="F13" s="222">
        <v>230</v>
      </c>
      <c r="G13" s="222">
        <v>227</v>
      </c>
      <c r="H13" s="255">
        <v>3</v>
      </c>
      <c r="I13" s="207">
        <f t="shared" si="9"/>
        <v>1304.3478260869565</v>
      </c>
      <c r="J13" s="242">
        <f t="shared" si="10"/>
        <v>3913.0434782608695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43503</v>
      </c>
      <c r="D14" s="161" t="s">
        <v>9</v>
      </c>
      <c r="E14" s="161" t="s">
        <v>1439</v>
      </c>
      <c r="F14" s="222">
        <v>1313</v>
      </c>
      <c r="G14" s="222">
        <v>1303</v>
      </c>
      <c r="H14" s="222">
        <v>-10</v>
      </c>
      <c r="I14" s="207">
        <f t="shared" si="9"/>
        <v>228.48438690022849</v>
      </c>
      <c r="J14" s="242">
        <f t="shared" si="10"/>
        <v>-2284.8438690022849</v>
      </c>
      <c r="K14" s="153"/>
      <c r="M14" s="389" t="s">
        <v>1175</v>
      </c>
      <c r="N14" s="343">
        <f>COUNT(C184:C206)</f>
        <v>20</v>
      </c>
      <c r="O14" s="345">
        <f>V207</f>
        <v>13</v>
      </c>
      <c r="P14" s="345">
        <f>W207</f>
        <v>7</v>
      </c>
      <c r="Q14" s="347">
        <f t="shared" ref="Q14" si="13">N14-O14-P14</f>
        <v>0</v>
      </c>
      <c r="R14" s="340">
        <f t="shared" si="11"/>
        <v>0.65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43503</v>
      </c>
      <c r="D15" s="161" t="s">
        <v>9</v>
      </c>
      <c r="E15" s="161" t="s">
        <v>2391</v>
      </c>
      <c r="F15" s="222">
        <v>719</v>
      </c>
      <c r="G15" s="222">
        <v>712</v>
      </c>
      <c r="H15" s="222">
        <v>-7</v>
      </c>
      <c r="I15" s="207">
        <f t="shared" si="9"/>
        <v>417.24617524339362</v>
      </c>
      <c r="J15" s="242">
        <f t="shared" si="10"/>
        <v>-2920.7232267037552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43504</v>
      </c>
      <c r="D16" s="161" t="s">
        <v>9</v>
      </c>
      <c r="E16" s="161" t="s">
        <v>119</v>
      </c>
      <c r="F16" s="222">
        <v>1290</v>
      </c>
      <c r="G16" s="222">
        <v>1310</v>
      </c>
      <c r="H16" s="222">
        <v>20</v>
      </c>
      <c r="I16" s="207">
        <f t="shared" si="9"/>
        <v>232.55813953488371</v>
      </c>
      <c r="J16" s="242">
        <f t="shared" si="10"/>
        <v>4651.1627906976737</v>
      </c>
      <c r="K16" s="153"/>
      <c r="L16" s="25" t="s">
        <v>2008</v>
      </c>
      <c r="M16" s="389" t="s">
        <v>1090</v>
      </c>
      <c r="N16" s="343">
        <f>COUNT(C215:C237)</f>
        <v>20</v>
      </c>
      <c r="O16" s="345">
        <f>V238</f>
        <v>13</v>
      </c>
      <c r="P16" s="345">
        <f>W238</f>
        <v>7</v>
      </c>
      <c r="Q16" s="347">
        <f t="shared" ref="Q16" si="14">N16-O16-P16</f>
        <v>0</v>
      </c>
      <c r="R16" s="340">
        <f t="shared" si="11"/>
        <v>0.65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43504</v>
      </c>
      <c r="D17" s="161" t="s">
        <v>8</v>
      </c>
      <c r="E17" s="161" t="s">
        <v>1439</v>
      </c>
      <c r="F17" s="222">
        <v>1290</v>
      </c>
      <c r="G17" s="222">
        <v>1274</v>
      </c>
      <c r="H17" s="222">
        <v>16</v>
      </c>
      <c r="I17" s="207">
        <f t="shared" si="9"/>
        <v>232.55813953488371</v>
      </c>
      <c r="J17" s="242">
        <f t="shared" si="10"/>
        <v>3720.9302325581393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43507</v>
      </c>
      <c r="D18" s="161" t="s">
        <v>9</v>
      </c>
      <c r="E18" s="161" t="s">
        <v>126</v>
      </c>
      <c r="F18" s="222">
        <v>2070</v>
      </c>
      <c r="G18" s="222">
        <v>2090</v>
      </c>
      <c r="H18" s="222">
        <v>20</v>
      </c>
      <c r="I18" s="207">
        <f t="shared" si="9"/>
        <v>144.92753623188406</v>
      </c>
      <c r="J18" s="242">
        <f t="shared" si="10"/>
        <v>2898.550724637681</v>
      </c>
      <c r="K18" s="153"/>
      <c r="M18" s="334" t="s">
        <v>946</v>
      </c>
      <c r="N18" s="336">
        <f>SUM(N4:N17)</f>
        <v>162</v>
      </c>
      <c r="O18" s="336">
        <f t="shared" ref="O18:Q18" si="15">SUM(O4:O17)</f>
        <v>115</v>
      </c>
      <c r="P18" s="336">
        <f t="shared" si="15"/>
        <v>46</v>
      </c>
      <c r="Q18" s="338">
        <f t="shared" si="15"/>
        <v>1</v>
      </c>
      <c r="R18" s="314">
        <f t="shared" ref="R18" si="16">O18/N18</f>
        <v>0.70987654320987659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43507</v>
      </c>
      <c r="D19" s="161" t="s">
        <v>8</v>
      </c>
      <c r="E19" s="161" t="s">
        <v>1439</v>
      </c>
      <c r="F19" s="222">
        <v>1267</v>
      </c>
      <c r="G19" s="222">
        <v>1252</v>
      </c>
      <c r="H19" s="222">
        <v>15</v>
      </c>
      <c r="I19" s="207">
        <f t="shared" si="9"/>
        <v>236.77979479084451</v>
      </c>
      <c r="J19" s="242">
        <f t="shared" si="10"/>
        <v>3551.6969218626678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43508</v>
      </c>
      <c r="D20" s="161" t="s">
        <v>9</v>
      </c>
      <c r="E20" s="161" t="s">
        <v>119</v>
      </c>
      <c r="F20" s="222">
        <v>1307</v>
      </c>
      <c r="G20" s="222">
        <v>1297</v>
      </c>
      <c r="H20" s="222">
        <v>-10</v>
      </c>
      <c r="I20" s="207">
        <f t="shared" si="9"/>
        <v>229.53328232593725</v>
      </c>
      <c r="J20" s="242">
        <f t="shared" si="10"/>
        <v>-2295.3328232593726</v>
      </c>
      <c r="K20" s="153"/>
      <c r="M20" s="316" t="s">
        <v>2253</v>
      </c>
      <c r="N20" s="317"/>
      <c r="O20" s="318"/>
      <c r="P20" s="325">
        <f>R18</f>
        <v>0.70987654320987659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43508</v>
      </c>
      <c r="D21" s="161" t="s">
        <v>8</v>
      </c>
      <c r="E21" s="161" t="s">
        <v>552</v>
      </c>
      <c r="F21" s="222">
        <v>1500</v>
      </c>
      <c r="G21" s="222">
        <v>1487</v>
      </c>
      <c r="H21" s="222">
        <v>13</v>
      </c>
      <c r="I21" s="207">
        <f t="shared" si="9"/>
        <v>200</v>
      </c>
      <c r="J21" s="242">
        <f t="shared" si="10"/>
        <v>2600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43509</v>
      </c>
      <c r="D22" s="161" t="s">
        <v>9</v>
      </c>
      <c r="E22" s="161" t="s">
        <v>49</v>
      </c>
      <c r="F22" s="222">
        <v>1310</v>
      </c>
      <c r="G22" s="222">
        <v>1295</v>
      </c>
      <c r="H22" s="222">
        <v>-15</v>
      </c>
      <c r="I22" s="207">
        <f t="shared" si="9"/>
        <v>229.00763358778627</v>
      </c>
      <c r="J22" s="242">
        <f t="shared" si="10"/>
        <v>-3435.1145038167942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43509</v>
      </c>
      <c r="D23" s="161" t="s">
        <v>8</v>
      </c>
      <c r="E23" s="161" t="s">
        <v>1439</v>
      </c>
      <c r="F23" s="222">
        <v>1262</v>
      </c>
      <c r="G23" s="222">
        <v>1257</v>
      </c>
      <c r="H23" s="222">
        <v>5</v>
      </c>
      <c r="I23" s="207">
        <f t="shared" si="9"/>
        <v>237.71790808240888</v>
      </c>
      <c r="J23" s="242">
        <f t="shared" si="10"/>
        <v>1188.5895404120445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43510</v>
      </c>
      <c r="D24" s="161" t="s">
        <v>9</v>
      </c>
      <c r="E24" s="161" t="s">
        <v>552</v>
      </c>
      <c r="F24" s="222">
        <v>1505</v>
      </c>
      <c r="G24" s="222">
        <v>1526</v>
      </c>
      <c r="H24" s="222">
        <v>21</v>
      </c>
      <c r="I24" s="207">
        <f t="shared" si="9"/>
        <v>199.33554817275748</v>
      </c>
      <c r="J24" s="242">
        <f t="shared" si="10"/>
        <v>4186.0465116279074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43510</v>
      </c>
      <c r="D25" s="161" t="s">
        <v>8</v>
      </c>
      <c r="E25" s="161" t="s">
        <v>1439</v>
      </c>
      <c r="F25" s="222">
        <v>1223</v>
      </c>
      <c r="G25" s="222">
        <v>1218</v>
      </c>
      <c r="H25" s="222">
        <v>5</v>
      </c>
      <c r="I25" s="207">
        <f t="shared" si="9"/>
        <v>245.29844644317254</v>
      </c>
      <c r="J25" s="242">
        <f t="shared" si="10"/>
        <v>1226.4922322158627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43511</v>
      </c>
      <c r="D26" s="161" t="s">
        <v>9</v>
      </c>
      <c r="E26" s="161" t="s">
        <v>95</v>
      </c>
      <c r="F26" s="222">
        <v>346</v>
      </c>
      <c r="G26" s="222">
        <v>342</v>
      </c>
      <c r="H26" s="222">
        <v>-4</v>
      </c>
      <c r="I26" s="207">
        <f t="shared" si="9"/>
        <v>867.05202312138726</v>
      </c>
      <c r="J26" s="242">
        <f t="shared" si="10"/>
        <v>-3468.2080924855491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43511</v>
      </c>
      <c r="D27" s="161" t="s">
        <v>8</v>
      </c>
      <c r="E27" s="161" t="s">
        <v>371</v>
      </c>
      <c r="F27" s="222">
        <v>375</v>
      </c>
      <c r="G27" s="222">
        <v>373.2</v>
      </c>
      <c r="H27" s="222">
        <v>1.8</v>
      </c>
      <c r="I27" s="207">
        <f t="shared" si="9"/>
        <v>800</v>
      </c>
      <c r="J27" s="242">
        <f t="shared" si="10"/>
        <v>1440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43514</v>
      </c>
      <c r="D28" s="161" t="s">
        <v>9</v>
      </c>
      <c r="E28" s="161" t="s">
        <v>552</v>
      </c>
      <c r="F28" s="222">
        <v>1515</v>
      </c>
      <c r="G28" s="222">
        <v>1524.5</v>
      </c>
      <c r="H28" s="222">
        <v>9.5</v>
      </c>
      <c r="I28" s="207">
        <f t="shared" si="9"/>
        <v>198.01980198019803</v>
      </c>
      <c r="J28" s="242">
        <f t="shared" si="10"/>
        <v>1881.1881188118812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43514</v>
      </c>
      <c r="D29" s="161" t="s">
        <v>8</v>
      </c>
      <c r="E29" s="161" t="s">
        <v>1439</v>
      </c>
      <c r="F29" s="222">
        <v>1225</v>
      </c>
      <c r="G29" s="222">
        <v>1215</v>
      </c>
      <c r="H29" s="222">
        <v>10</v>
      </c>
      <c r="I29" s="207">
        <f t="shared" si="9"/>
        <v>244.89795918367346</v>
      </c>
      <c r="J29" s="242">
        <f t="shared" si="10"/>
        <v>2448.9795918367345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43515</v>
      </c>
      <c r="D30" s="161" t="s">
        <v>9</v>
      </c>
      <c r="E30" s="161" t="s">
        <v>192</v>
      </c>
      <c r="F30" s="222">
        <v>217</v>
      </c>
      <c r="G30" s="222">
        <v>221.2</v>
      </c>
      <c r="H30" s="222">
        <v>4.2</v>
      </c>
      <c r="I30" s="207">
        <f t="shared" si="9"/>
        <v>1382.4884792626729</v>
      </c>
      <c r="J30" s="242">
        <f t="shared" si="10"/>
        <v>5806.4516129032263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43515</v>
      </c>
      <c r="D31" s="161" t="s">
        <v>8</v>
      </c>
      <c r="E31" s="161" t="s">
        <v>1439</v>
      </c>
      <c r="F31" s="222">
        <v>1232</v>
      </c>
      <c r="G31" s="222">
        <v>1212</v>
      </c>
      <c r="H31" s="222">
        <v>20</v>
      </c>
      <c r="I31" s="207">
        <f t="shared" si="9"/>
        <v>243.50649350649351</v>
      </c>
      <c r="J31" s="242">
        <f t="shared" si="10"/>
        <v>4870.1298701298701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43516</v>
      </c>
      <c r="D32" s="161" t="s">
        <v>9</v>
      </c>
      <c r="E32" s="161" t="s">
        <v>341</v>
      </c>
      <c r="F32" s="222">
        <v>425</v>
      </c>
      <c r="G32" s="222">
        <v>425</v>
      </c>
      <c r="H32" s="222">
        <v>0</v>
      </c>
      <c r="I32" s="207">
        <f t="shared" si="9"/>
        <v>705.88235294117646</v>
      </c>
      <c r="J32" s="242">
        <f t="shared" si="10"/>
        <v>0</v>
      </c>
      <c r="K32" s="153"/>
      <c r="V32" s="25">
        <f t="shared" si="3"/>
        <v>0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43516</v>
      </c>
      <c r="D33" s="161" t="s">
        <v>8</v>
      </c>
      <c r="E33" s="161" t="s">
        <v>49</v>
      </c>
      <c r="F33" s="222">
        <v>1318</v>
      </c>
      <c r="G33" s="222">
        <v>1288</v>
      </c>
      <c r="H33" s="222">
        <v>20</v>
      </c>
      <c r="I33" s="207">
        <f t="shared" si="9"/>
        <v>227.6176024279211</v>
      </c>
      <c r="J33" s="242">
        <f t="shared" si="10"/>
        <v>4552.3520485584222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43517</v>
      </c>
      <c r="D34" s="161" t="s">
        <v>9</v>
      </c>
      <c r="E34" s="161" t="s">
        <v>49</v>
      </c>
      <c r="F34" s="222">
        <v>1315</v>
      </c>
      <c r="G34" s="222">
        <v>1327</v>
      </c>
      <c r="H34" s="222">
        <v>12</v>
      </c>
      <c r="I34" s="207">
        <f t="shared" si="9"/>
        <v>228.13688212927758</v>
      </c>
      <c r="J34" s="242">
        <f t="shared" si="10"/>
        <v>2737.6425855513307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43517</v>
      </c>
      <c r="D35" s="161" t="s">
        <v>8</v>
      </c>
      <c r="E35" s="161" t="s">
        <v>552</v>
      </c>
      <c r="F35" s="222">
        <v>1475</v>
      </c>
      <c r="G35" s="222">
        <v>1455</v>
      </c>
      <c r="H35" s="222">
        <v>20</v>
      </c>
      <c r="I35" s="207">
        <f t="shared" si="9"/>
        <v>203.38983050847457</v>
      </c>
      <c r="J35" s="242">
        <f t="shared" si="10"/>
        <v>4067.7966101694915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43518</v>
      </c>
      <c r="D36" s="161" t="s">
        <v>9</v>
      </c>
      <c r="E36" s="161" t="s">
        <v>552</v>
      </c>
      <c r="F36" s="222">
        <v>1483</v>
      </c>
      <c r="G36" s="222">
        <v>1468</v>
      </c>
      <c r="H36" s="222">
        <v>-15</v>
      </c>
      <c r="I36" s="207">
        <f t="shared" si="9"/>
        <v>202.29265003371543</v>
      </c>
      <c r="J36" s="242">
        <f t="shared" si="10"/>
        <v>-3034.3897505057316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43518</v>
      </c>
      <c r="D37" s="161" t="s">
        <v>8</v>
      </c>
      <c r="E37" s="161" t="s">
        <v>49</v>
      </c>
      <c r="F37" s="222">
        <v>1292</v>
      </c>
      <c r="G37" s="222">
        <v>1302</v>
      </c>
      <c r="H37" s="222">
        <v>-10</v>
      </c>
      <c r="I37" s="207">
        <f t="shared" si="9"/>
        <v>232.19814241486068</v>
      </c>
      <c r="J37" s="242">
        <f t="shared" si="10"/>
        <v>-2321.9814241486069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43521</v>
      </c>
      <c r="D38" s="161" t="s">
        <v>9</v>
      </c>
      <c r="E38" s="161" t="s">
        <v>192</v>
      </c>
      <c r="F38" s="222">
        <v>222.5</v>
      </c>
      <c r="G38" s="222">
        <v>223</v>
      </c>
      <c r="H38" s="222">
        <v>0.5</v>
      </c>
      <c r="I38" s="207">
        <f t="shared" si="9"/>
        <v>1348.314606741573</v>
      </c>
      <c r="J38" s="242">
        <f t="shared" si="10"/>
        <v>674.15730337078651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43521</v>
      </c>
      <c r="D39" s="161" t="s">
        <v>8</v>
      </c>
      <c r="E39" s="161" t="s">
        <v>49</v>
      </c>
      <c r="F39" s="222">
        <v>1290</v>
      </c>
      <c r="G39" s="222">
        <v>1268</v>
      </c>
      <c r="H39" s="222">
        <v>22</v>
      </c>
      <c r="I39" s="207">
        <f t="shared" si="9"/>
        <v>232.55813953488371</v>
      </c>
      <c r="J39" s="242">
        <f t="shared" si="10"/>
        <v>5116.2790697674418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43522</v>
      </c>
      <c r="D40" s="161" t="s">
        <v>9</v>
      </c>
      <c r="E40" s="161" t="s">
        <v>58</v>
      </c>
      <c r="F40" s="222">
        <v>698</v>
      </c>
      <c r="G40" s="222">
        <v>710</v>
      </c>
      <c r="H40" s="222">
        <v>12</v>
      </c>
      <c r="I40" s="207">
        <f t="shared" si="9"/>
        <v>429.79942693409743</v>
      </c>
      <c r="J40" s="242">
        <f t="shared" si="10"/>
        <v>5157.5931232091689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43522</v>
      </c>
      <c r="D41" s="161" t="s">
        <v>8</v>
      </c>
      <c r="E41" s="161" t="s">
        <v>124</v>
      </c>
      <c r="F41" s="222">
        <v>180.5</v>
      </c>
      <c r="G41" s="223">
        <v>182.5</v>
      </c>
      <c r="H41" s="222">
        <v>2</v>
      </c>
      <c r="I41" s="207">
        <f t="shared" si="9"/>
        <v>1662.0498614958449</v>
      </c>
      <c r="J41" s="242">
        <f t="shared" si="10"/>
        <v>3324.0997229916898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43523</v>
      </c>
      <c r="D42" s="161" t="s">
        <v>9</v>
      </c>
      <c r="E42" s="161" t="s">
        <v>58</v>
      </c>
      <c r="F42" s="222">
        <v>723</v>
      </c>
      <c r="G42" s="222">
        <v>727</v>
      </c>
      <c r="H42" s="222">
        <v>4</v>
      </c>
      <c r="I42" s="207">
        <f t="shared" si="9"/>
        <v>414.93775933609959</v>
      </c>
      <c r="J42" s="242">
        <f t="shared" si="10"/>
        <v>1659.7510373443984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43523</v>
      </c>
      <c r="D43" s="161" t="s">
        <v>8</v>
      </c>
      <c r="E43" s="161" t="s">
        <v>552</v>
      </c>
      <c r="F43" s="222">
        <v>1478</v>
      </c>
      <c r="G43" s="222">
        <v>1459</v>
      </c>
      <c r="H43" s="222">
        <v>19</v>
      </c>
      <c r="I43" s="207">
        <f t="shared" si="9"/>
        <v>202.97699594046009</v>
      </c>
      <c r="J43" s="242">
        <f t="shared" si="10"/>
        <v>3856.5629228687417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43524</v>
      </c>
      <c r="D44" s="161" t="s">
        <v>9</v>
      </c>
      <c r="E44" s="161" t="s">
        <v>192</v>
      </c>
      <c r="F44" s="222">
        <v>231</v>
      </c>
      <c r="G44" s="222">
        <v>233.9</v>
      </c>
      <c r="H44" s="222">
        <v>2.9</v>
      </c>
      <c r="I44" s="207">
        <f t="shared" si="9"/>
        <v>1298.7012987012988</v>
      </c>
      <c r="J44" s="242">
        <f t="shared" si="10"/>
        <v>3766.2337662337663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43524</v>
      </c>
      <c r="D45" s="161" t="s">
        <v>9</v>
      </c>
      <c r="E45" s="161" t="s">
        <v>49</v>
      </c>
      <c r="F45" s="222">
        <v>1290</v>
      </c>
      <c r="G45" s="222">
        <v>1297</v>
      </c>
      <c r="H45" s="222">
        <v>7</v>
      </c>
      <c r="I45" s="207">
        <f t="shared" si="9"/>
        <v>232.55813953488371</v>
      </c>
      <c r="J45" s="242">
        <f t="shared" si="10"/>
        <v>1627.9069767441861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71439.625510894723</v>
      </c>
      <c r="K52" s="153"/>
      <c r="V52" s="25">
        <f>SUM(V6:V51)</f>
        <v>30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2636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43497</v>
      </c>
      <c r="D60" s="158" t="s">
        <v>9</v>
      </c>
      <c r="E60" s="158" t="s">
        <v>31</v>
      </c>
      <c r="F60" s="204">
        <v>1245</v>
      </c>
      <c r="G60" s="230">
        <v>1235</v>
      </c>
      <c r="H60" s="230">
        <v>-10</v>
      </c>
      <c r="I60" s="204">
        <v>500</v>
      </c>
      <c r="J60" s="241">
        <f t="shared" ref="J60:J82" si="17">I60*H60</f>
        <v>-5000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43500</v>
      </c>
      <c r="D61" s="161" t="s">
        <v>8</v>
      </c>
      <c r="E61" s="161" t="s">
        <v>31</v>
      </c>
      <c r="F61" s="207">
        <v>1263</v>
      </c>
      <c r="G61" s="222">
        <v>1273</v>
      </c>
      <c r="H61" s="222">
        <v>-10</v>
      </c>
      <c r="I61" s="207">
        <v>500</v>
      </c>
      <c r="J61" s="242">
        <f t="shared" si="17"/>
        <v>-5000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43501</v>
      </c>
      <c r="D62" s="161" t="s">
        <v>9</v>
      </c>
      <c r="E62" s="161" t="s">
        <v>1617</v>
      </c>
      <c r="F62" s="222">
        <v>1335</v>
      </c>
      <c r="G62" s="222">
        <v>1320</v>
      </c>
      <c r="H62" s="222">
        <v>-15</v>
      </c>
      <c r="I62" s="207">
        <v>500</v>
      </c>
      <c r="J62" s="242">
        <f t="shared" si="17"/>
        <v>-7500</v>
      </c>
      <c r="K62" s="153"/>
      <c r="V62" s="25">
        <f t="shared" si="18"/>
        <v>0</v>
      </c>
      <c r="W62" s="25">
        <f t="shared" si="19"/>
        <v>1</v>
      </c>
    </row>
    <row r="63" spans="1:23" x14ac:dyDescent="0.3">
      <c r="A63" s="147"/>
      <c r="B63" s="205">
        <f t="shared" si="20"/>
        <v>4</v>
      </c>
      <c r="C63" s="206">
        <v>43502</v>
      </c>
      <c r="D63" s="161" t="s">
        <v>8</v>
      </c>
      <c r="E63" s="161" t="s">
        <v>19</v>
      </c>
      <c r="F63" s="222">
        <v>285</v>
      </c>
      <c r="G63" s="222">
        <v>287.5</v>
      </c>
      <c r="H63" s="222">
        <v>-2.5</v>
      </c>
      <c r="I63" s="207">
        <v>3000</v>
      </c>
      <c r="J63" s="242">
        <f t="shared" si="17"/>
        <v>-7500</v>
      </c>
      <c r="K63" s="153"/>
      <c r="L63" s="25" t="s">
        <v>2008</v>
      </c>
      <c r="V63" s="25">
        <f t="shared" si="18"/>
        <v>0</v>
      </c>
      <c r="W63" s="25">
        <f t="shared" si="19"/>
        <v>1</v>
      </c>
    </row>
    <row r="64" spans="1:23" x14ac:dyDescent="0.3">
      <c r="A64" s="147"/>
      <c r="B64" s="205">
        <f t="shared" si="20"/>
        <v>5</v>
      </c>
      <c r="C64" s="206">
        <v>43503</v>
      </c>
      <c r="D64" s="161" t="s">
        <v>9</v>
      </c>
      <c r="E64" s="161" t="s">
        <v>31</v>
      </c>
      <c r="F64" s="222">
        <v>1315</v>
      </c>
      <c r="G64" s="222">
        <v>1305</v>
      </c>
      <c r="H64" s="222">
        <v>-10</v>
      </c>
      <c r="I64" s="207">
        <v>500</v>
      </c>
      <c r="J64" s="242">
        <f t="shared" si="17"/>
        <v>-5000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43504</v>
      </c>
      <c r="D65" s="161" t="s">
        <v>8</v>
      </c>
      <c r="E65" s="161" t="s">
        <v>95</v>
      </c>
      <c r="F65" s="207">
        <v>353</v>
      </c>
      <c r="G65" s="222">
        <v>356</v>
      </c>
      <c r="H65" s="222">
        <v>-3</v>
      </c>
      <c r="I65" s="207">
        <v>2750</v>
      </c>
      <c r="J65" s="242">
        <f t="shared" si="17"/>
        <v>-8250</v>
      </c>
      <c r="K65" s="153"/>
      <c r="V65" s="25">
        <f t="shared" si="18"/>
        <v>0</v>
      </c>
      <c r="W65" s="25">
        <f t="shared" si="19"/>
        <v>1</v>
      </c>
    </row>
    <row r="66" spans="1:23" x14ac:dyDescent="0.3">
      <c r="A66" s="147"/>
      <c r="B66" s="205">
        <f t="shared" si="20"/>
        <v>7</v>
      </c>
      <c r="C66" s="206">
        <v>43507</v>
      </c>
      <c r="D66" s="161" t="s">
        <v>8</v>
      </c>
      <c r="E66" s="161" t="s">
        <v>31</v>
      </c>
      <c r="F66" s="207">
        <v>1270</v>
      </c>
      <c r="G66" s="222">
        <v>1260</v>
      </c>
      <c r="H66" s="222">
        <v>10</v>
      </c>
      <c r="I66" s="207">
        <v>50</v>
      </c>
      <c r="J66" s="242">
        <f t="shared" si="17"/>
        <v>500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43508</v>
      </c>
      <c r="D67" s="161" t="s">
        <v>8</v>
      </c>
      <c r="E67" s="161" t="s">
        <v>29</v>
      </c>
      <c r="F67" s="207">
        <v>1062</v>
      </c>
      <c r="G67" s="222">
        <v>1058.5</v>
      </c>
      <c r="H67" s="222">
        <v>3.5</v>
      </c>
      <c r="I67" s="207">
        <v>700</v>
      </c>
      <c r="J67" s="242">
        <f t="shared" si="17"/>
        <v>2450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43509</v>
      </c>
      <c r="D68" s="161" t="s">
        <v>8</v>
      </c>
      <c r="E68" s="161" t="s">
        <v>31</v>
      </c>
      <c r="F68" s="222">
        <v>1266</v>
      </c>
      <c r="G68" s="222">
        <v>1276</v>
      </c>
      <c r="H68" s="222">
        <v>-10</v>
      </c>
      <c r="I68" s="207">
        <v>500</v>
      </c>
      <c r="J68" s="242">
        <f t="shared" si="17"/>
        <v>-5000</v>
      </c>
      <c r="K68" s="153"/>
      <c r="V68" s="25">
        <f t="shared" si="18"/>
        <v>0</v>
      </c>
      <c r="W68" s="25">
        <f t="shared" si="19"/>
        <v>1</v>
      </c>
    </row>
    <row r="69" spans="1:23" x14ac:dyDescent="0.3">
      <c r="A69" s="147"/>
      <c r="B69" s="205">
        <f t="shared" si="20"/>
        <v>10</v>
      </c>
      <c r="C69" s="206">
        <v>43510</v>
      </c>
      <c r="D69" s="161" t="s">
        <v>9</v>
      </c>
      <c r="E69" s="161" t="s">
        <v>552</v>
      </c>
      <c r="F69" s="222">
        <v>1518</v>
      </c>
      <c r="G69" s="222">
        <v>1535</v>
      </c>
      <c r="H69" s="222">
        <v>17</v>
      </c>
      <c r="I69" s="207">
        <v>300</v>
      </c>
      <c r="J69" s="242">
        <f t="shared" si="17"/>
        <v>5100</v>
      </c>
      <c r="K69" s="153"/>
      <c r="V69" s="25">
        <f t="shared" si="18"/>
        <v>1</v>
      </c>
      <c r="W69" s="25">
        <f t="shared" si="19"/>
        <v>0</v>
      </c>
    </row>
    <row r="70" spans="1:23" x14ac:dyDescent="0.3">
      <c r="A70" s="147"/>
      <c r="B70" s="205">
        <f t="shared" si="20"/>
        <v>11</v>
      </c>
      <c r="C70" s="206">
        <v>43511</v>
      </c>
      <c r="D70" s="161" t="s">
        <v>9</v>
      </c>
      <c r="E70" s="161" t="s">
        <v>31</v>
      </c>
      <c r="F70" s="161">
        <v>1230</v>
      </c>
      <c r="G70" s="222">
        <v>1250</v>
      </c>
      <c r="H70" s="222">
        <v>20</v>
      </c>
      <c r="I70" s="207">
        <v>500</v>
      </c>
      <c r="J70" s="242">
        <f t="shared" si="17"/>
        <v>10000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43511</v>
      </c>
      <c r="D71" s="161" t="s">
        <v>8</v>
      </c>
      <c r="E71" s="161" t="s">
        <v>19</v>
      </c>
      <c r="F71" s="222">
        <v>264</v>
      </c>
      <c r="G71" s="222">
        <v>262.2</v>
      </c>
      <c r="H71" s="222">
        <v>1.8</v>
      </c>
      <c r="I71" s="207">
        <v>3000</v>
      </c>
      <c r="J71" s="242">
        <f t="shared" si="17"/>
        <v>5400</v>
      </c>
      <c r="K71" s="153"/>
      <c r="V71" s="25">
        <f t="shared" si="18"/>
        <v>1</v>
      </c>
      <c r="W71" s="25">
        <f t="shared" si="19"/>
        <v>0</v>
      </c>
    </row>
    <row r="72" spans="1:23" x14ac:dyDescent="0.3">
      <c r="A72" s="147"/>
      <c r="B72" s="205">
        <f t="shared" si="20"/>
        <v>13</v>
      </c>
      <c r="C72" s="206">
        <v>43514</v>
      </c>
      <c r="D72" s="161" t="s">
        <v>9</v>
      </c>
      <c r="E72" s="161" t="s">
        <v>31</v>
      </c>
      <c r="F72" s="222">
        <v>1230</v>
      </c>
      <c r="G72" s="222">
        <v>1222</v>
      </c>
      <c r="H72" s="222">
        <v>8</v>
      </c>
      <c r="I72" s="207">
        <v>500</v>
      </c>
      <c r="J72" s="242">
        <f t="shared" si="17"/>
        <v>4000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43514</v>
      </c>
      <c r="D73" s="161" t="s">
        <v>9</v>
      </c>
      <c r="E73" s="161" t="s">
        <v>49</v>
      </c>
      <c r="F73" s="223">
        <v>1335</v>
      </c>
      <c r="G73" s="222">
        <v>1344</v>
      </c>
      <c r="H73" s="255">
        <v>9</v>
      </c>
      <c r="I73" s="207">
        <v>500</v>
      </c>
      <c r="J73" s="242">
        <f t="shared" si="17"/>
        <v>4500</v>
      </c>
      <c r="K73" s="153"/>
      <c r="V73" s="25">
        <f t="shared" si="18"/>
        <v>1</v>
      </c>
      <c r="W73" s="25">
        <f t="shared" si="19"/>
        <v>0</v>
      </c>
    </row>
    <row r="74" spans="1:23" x14ac:dyDescent="0.3">
      <c r="A74" s="147"/>
      <c r="B74" s="205">
        <f t="shared" si="20"/>
        <v>15</v>
      </c>
      <c r="C74" s="206">
        <v>43515</v>
      </c>
      <c r="D74" s="161" t="s">
        <v>8</v>
      </c>
      <c r="E74" s="161" t="s">
        <v>31</v>
      </c>
      <c r="F74" s="222">
        <v>1235</v>
      </c>
      <c r="G74" s="222">
        <v>1245</v>
      </c>
      <c r="H74" s="255">
        <v>-10</v>
      </c>
      <c r="I74" s="207">
        <v>500</v>
      </c>
      <c r="J74" s="242">
        <f t="shared" si="17"/>
        <v>-5000</v>
      </c>
      <c r="K74" s="153"/>
      <c r="V74" s="25">
        <f t="shared" si="18"/>
        <v>0</v>
      </c>
      <c r="W74" s="25">
        <f t="shared" si="19"/>
        <v>1</v>
      </c>
    </row>
    <row r="75" spans="1:23" x14ac:dyDescent="0.3">
      <c r="A75" s="147"/>
      <c r="B75" s="205">
        <f t="shared" si="20"/>
        <v>16</v>
      </c>
      <c r="C75" s="206">
        <v>43516</v>
      </c>
      <c r="D75" s="161" t="s">
        <v>8</v>
      </c>
      <c r="E75" s="161" t="s">
        <v>31</v>
      </c>
      <c r="F75" s="222">
        <v>1228</v>
      </c>
      <c r="G75" s="222">
        <v>1223</v>
      </c>
      <c r="H75" s="222">
        <v>5</v>
      </c>
      <c r="I75" s="207">
        <v>500</v>
      </c>
      <c r="J75" s="242">
        <f t="shared" si="17"/>
        <v>2500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43517</v>
      </c>
      <c r="D76" s="161" t="s">
        <v>8</v>
      </c>
      <c r="E76" s="161" t="s">
        <v>119</v>
      </c>
      <c r="F76" s="222">
        <v>1293</v>
      </c>
      <c r="G76" s="222">
        <v>1288.8</v>
      </c>
      <c r="H76" s="222">
        <v>4.2</v>
      </c>
      <c r="I76" s="207">
        <v>800</v>
      </c>
      <c r="J76" s="242">
        <f t="shared" si="17"/>
        <v>3360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43518</v>
      </c>
      <c r="D77" s="161" t="s">
        <v>9</v>
      </c>
      <c r="E77" s="161" t="s">
        <v>58</v>
      </c>
      <c r="F77" s="222">
        <v>696</v>
      </c>
      <c r="G77" s="222">
        <v>705</v>
      </c>
      <c r="H77" s="222">
        <v>9</v>
      </c>
      <c r="I77" s="207">
        <v>1200</v>
      </c>
      <c r="J77" s="242">
        <f t="shared" si="17"/>
        <v>10800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43521</v>
      </c>
      <c r="D78" s="161" t="s">
        <v>9</v>
      </c>
      <c r="E78" s="161" t="s">
        <v>58</v>
      </c>
      <c r="F78" s="222">
        <v>704</v>
      </c>
      <c r="G78" s="222">
        <v>705.5</v>
      </c>
      <c r="H78" s="222">
        <v>1.5</v>
      </c>
      <c r="I78" s="207">
        <v>1200</v>
      </c>
      <c r="J78" s="242">
        <f t="shared" si="17"/>
        <v>1800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43522</v>
      </c>
      <c r="D79" s="161" t="s">
        <v>9</v>
      </c>
      <c r="E79" s="161" t="s">
        <v>58</v>
      </c>
      <c r="F79" s="222">
        <v>699</v>
      </c>
      <c r="G79" s="222">
        <v>711</v>
      </c>
      <c r="H79" s="222">
        <v>12</v>
      </c>
      <c r="I79" s="207">
        <v>1200</v>
      </c>
      <c r="J79" s="242">
        <f t="shared" si="17"/>
        <v>14400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>
        <v>43523</v>
      </c>
      <c r="D80" s="161" t="s">
        <v>9</v>
      </c>
      <c r="E80" s="161" t="s">
        <v>58</v>
      </c>
      <c r="F80" s="222">
        <v>720</v>
      </c>
      <c r="G80" s="222">
        <v>726</v>
      </c>
      <c r="H80" s="222">
        <v>6</v>
      </c>
      <c r="I80" s="207">
        <v>1200</v>
      </c>
      <c r="J80" s="242">
        <f t="shared" si="17"/>
        <v>7200</v>
      </c>
      <c r="K80" s="153"/>
      <c r="V80" s="25">
        <f t="shared" si="18"/>
        <v>1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>
        <v>43524</v>
      </c>
      <c r="D81" s="161" t="s">
        <v>8</v>
      </c>
      <c r="E81" s="161" t="s">
        <v>58</v>
      </c>
      <c r="F81" s="222">
        <v>712</v>
      </c>
      <c r="G81" s="222">
        <v>707.5</v>
      </c>
      <c r="H81" s="222">
        <v>4.5</v>
      </c>
      <c r="I81" s="207">
        <v>1200</v>
      </c>
      <c r="J81" s="242">
        <f t="shared" si="17"/>
        <v>5400</v>
      </c>
      <c r="K81" s="153"/>
      <c r="V81" s="25">
        <f t="shared" si="18"/>
        <v>1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29160</v>
      </c>
      <c r="K83" s="153"/>
      <c r="V83" s="25">
        <f>SUM(V60:V82)</f>
        <v>14</v>
      </c>
      <c r="W83" s="25">
        <f>SUM(W60:W82)</f>
        <v>8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2637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43497</v>
      </c>
      <c r="D91" s="185" t="s">
        <v>9</v>
      </c>
      <c r="E91" s="185" t="s">
        <v>39</v>
      </c>
      <c r="F91" s="219">
        <v>10900</v>
      </c>
      <c r="G91" s="219">
        <v>10960</v>
      </c>
      <c r="H91" s="185">
        <v>60</v>
      </c>
      <c r="I91" s="219">
        <v>150</v>
      </c>
      <c r="J91" s="246">
        <f t="shared" ref="J91:J113" si="21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43500</v>
      </c>
      <c r="D92" s="161" t="s">
        <v>8</v>
      </c>
      <c r="E92" s="161" t="s">
        <v>39</v>
      </c>
      <c r="F92" s="207">
        <v>10870</v>
      </c>
      <c r="G92" s="207">
        <v>10840</v>
      </c>
      <c r="H92" s="161">
        <v>30</v>
      </c>
      <c r="I92" s="207">
        <v>150</v>
      </c>
      <c r="J92" s="242">
        <f t="shared" si="21"/>
        <v>4500</v>
      </c>
      <c r="K92" s="153"/>
      <c r="V92" s="25">
        <f t="shared" ref="V92:V113" si="22">IF($J92&gt;0,1,0)</f>
        <v>1</v>
      </c>
      <c r="W92" s="25">
        <f t="shared" ref="W92:W113" si="23">IF($J92&lt;0,1,0)</f>
        <v>0</v>
      </c>
    </row>
    <row r="93" spans="1:23" x14ac:dyDescent="0.3">
      <c r="A93" s="147"/>
      <c r="B93" s="205">
        <f t="shared" ref="B93:B113" si="24">B92+1</f>
        <v>3</v>
      </c>
      <c r="C93" s="206">
        <v>43501</v>
      </c>
      <c r="D93" s="161" t="s">
        <v>8</v>
      </c>
      <c r="E93" s="161" t="s">
        <v>39</v>
      </c>
      <c r="F93" s="207">
        <v>10930</v>
      </c>
      <c r="G93" s="207">
        <v>10960</v>
      </c>
      <c r="H93" s="161">
        <v>-30</v>
      </c>
      <c r="I93" s="207">
        <v>150</v>
      </c>
      <c r="J93" s="242">
        <f t="shared" si="21"/>
        <v>-4500</v>
      </c>
      <c r="K93" s="153"/>
      <c r="V93" s="25">
        <f t="shared" si="22"/>
        <v>0</v>
      </c>
      <c r="W93" s="25">
        <f t="shared" si="23"/>
        <v>1</v>
      </c>
    </row>
    <row r="94" spans="1:23" x14ac:dyDescent="0.3">
      <c r="A94" s="147"/>
      <c r="B94" s="205">
        <f t="shared" si="24"/>
        <v>4</v>
      </c>
      <c r="C94" s="206">
        <v>43502</v>
      </c>
      <c r="D94" s="161" t="s">
        <v>8</v>
      </c>
      <c r="E94" s="161" t="s">
        <v>39</v>
      </c>
      <c r="F94" s="207">
        <v>11020</v>
      </c>
      <c r="G94" s="207">
        <v>11050</v>
      </c>
      <c r="H94" s="161">
        <v>-30</v>
      </c>
      <c r="I94" s="207">
        <v>150</v>
      </c>
      <c r="J94" s="242">
        <f t="shared" si="21"/>
        <v>-4500</v>
      </c>
      <c r="K94" s="153"/>
      <c r="V94" s="25">
        <f t="shared" si="22"/>
        <v>0</v>
      </c>
      <c r="W94" s="25">
        <f t="shared" si="23"/>
        <v>1</v>
      </c>
    </row>
    <row r="95" spans="1:23" x14ac:dyDescent="0.3">
      <c r="A95" s="147"/>
      <c r="B95" s="205">
        <f t="shared" si="24"/>
        <v>5</v>
      </c>
      <c r="C95" s="206">
        <v>43503</v>
      </c>
      <c r="D95" s="161" t="s">
        <v>9</v>
      </c>
      <c r="E95" s="161" t="s">
        <v>39</v>
      </c>
      <c r="F95" s="207">
        <v>11100</v>
      </c>
      <c r="G95" s="207">
        <v>11140</v>
      </c>
      <c r="H95" s="161">
        <v>40</v>
      </c>
      <c r="I95" s="207">
        <v>150</v>
      </c>
      <c r="J95" s="242">
        <f t="shared" si="21"/>
        <v>6000</v>
      </c>
      <c r="K95" s="153"/>
      <c r="V95" s="25">
        <f t="shared" si="22"/>
        <v>1</v>
      </c>
      <c r="W95" s="25">
        <f t="shared" si="23"/>
        <v>0</v>
      </c>
    </row>
    <row r="96" spans="1:23" x14ac:dyDescent="0.3">
      <c r="A96" s="147"/>
      <c r="B96" s="205">
        <f t="shared" si="24"/>
        <v>6</v>
      </c>
      <c r="C96" s="206">
        <v>43504</v>
      </c>
      <c r="D96" s="161" t="s">
        <v>8</v>
      </c>
      <c r="E96" s="161" t="s">
        <v>39</v>
      </c>
      <c r="F96" s="207">
        <v>11040</v>
      </c>
      <c r="G96" s="207">
        <v>10980</v>
      </c>
      <c r="H96" s="161">
        <v>60</v>
      </c>
      <c r="I96" s="207">
        <v>150</v>
      </c>
      <c r="J96" s="242">
        <f t="shared" si="21"/>
        <v>9000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43507</v>
      </c>
      <c r="D97" s="161" t="s">
        <v>8</v>
      </c>
      <c r="E97" s="161" t="s">
        <v>39</v>
      </c>
      <c r="F97" s="207">
        <v>10890</v>
      </c>
      <c r="G97" s="207">
        <v>10872</v>
      </c>
      <c r="H97" s="161">
        <v>18</v>
      </c>
      <c r="I97" s="207">
        <v>150</v>
      </c>
      <c r="J97" s="242">
        <f t="shared" si="21"/>
        <v>2700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43508</v>
      </c>
      <c r="D98" s="161" t="s">
        <v>8</v>
      </c>
      <c r="E98" s="161" t="s">
        <v>39</v>
      </c>
      <c r="F98" s="207">
        <v>10910</v>
      </c>
      <c r="G98" s="207">
        <v>10870</v>
      </c>
      <c r="H98" s="161">
        <v>40</v>
      </c>
      <c r="I98" s="207">
        <v>150</v>
      </c>
      <c r="J98" s="242">
        <f t="shared" si="21"/>
        <v>6000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43509</v>
      </c>
      <c r="D99" s="161" t="s">
        <v>8</v>
      </c>
      <c r="E99" s="161" t="s">
        <v>39</v>
      </c>
      <c r="F99" s="207">
        <v>10890</v>
      </c>
      <c r="G99" s="207">
        <v>10830</v>
      </c>
      <c r="H99" s="161">
        <v>60</v>
      </c>
      <c r="I99" s="207">
        <v>150</v>
      </c>
      <c r="J99" s="242">
        <f t="shared" si="21"/>
        <v>9000</v>
      </c>
      <c r="K99" s="153"/>
      <c r="V99" s="25">
        <f t="shared" si="22"/>
        <v>1</v>
      </c>
      <c r="W99" s="25">
        <f t="shared" si="23"/>
        <v>0</v>
      </c>
    </row>
    <row r="100" spans="1:23" x14ac:dyDescent="0.3">
      <c r="A100" s="147"/>
      <c r="B100" s="205">
        <f t="shared" si="24"/>
        <v>10</v>
      </c>
      <c r="C100" s="206">
        <v>43510</v>
      </c>
      <c r="D100" s="161" t="s">
        <v>8</v>
      </c>
      <c r="E100" s="161" t="s">
        <v>39</v>
      </c>
      <c r="F100" s="207">
        <v>10790</v>
      </c>
      <c r="G100" s="207">
        <v>10750</v>
      </c>
      <c r="H100" s="161">
        <v>40</v>
      </c>
      <c r="I100" s="207">
        <v>150</v>
      </c>
      <c r="J100" s="242">
        <f t="shared" si="21"/>
        <v>6000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43511</v>
      </c>
      <c r="D101" s="161" t="s">
        <v>8</v>
      </c>
      <c r="E101" s="161" t="s">
        <v>39</v>
      </c>
      <c r="F101" s="207">
        <v>10740</v>
      </c>
      <c r="G101" s="207">
        <v>10680</v>
      </c>
      <c r="H101" s="161">
        <v>60</v>
      </c>
      <c r="I101" s="207">
        <v>150</v>
      </c>
      <c r="J101" s="242">
        <f t="shared" si="21"/>
        <v>9000</v>
      </c>
      <c r="K101" s="153"/>
      <c r="V101" s="25">
        <f t="shared" si="22"/>
        <v>1</v>
      </c>
      <c r="W101" s="25">
        <f t="shared" si="23"/>
        <v>0</v>
      </c>
    </row>
    <row r="102" spans="1:23" x14ac:dyDescent="0.3">
      <c r="A102" s="147"/>
      <c r="B102" s="205">
        <f t="shared" si="24"/>
        <v>12</v>
      </c>
      <c r="C102" s="206">
        <v>43514</v>
      </c>
      <c r="D102" s="161" t="s">
        <v>8</v>
      </c>
      <c r="E102" s="161" t="s">
        <v>39</v>
      </c>
      <c r="F102" s="207">
        <v>10700</v>
      </c>
      <c r="G102" s="207">
        <v>10660</v>
      </c>
      <c r="H102" s="161">
        <v>40</v>
      </c>
      <c r="I102" s="207">
        <v>150</v>
      </c>
      <c r="J102" s="242">
        <f t="shared" si="21"/>
        <v>6000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43515</v>
      </c>
      <c r="D103" s="161" t="s">
        <v>8</v>
      </c>
      <c r="E103" s="161" t="s">
        <v>39</v>
      </c>
      <c r="F103" s="207">
        <v>10700</v>
      </c>
      <c r="G103" s="207">
        <v>10730</v>
      </c>
      <c r="H103" s="161">
        <v>-30</v>
      </c>
      <c r="I103" s="207">
        <v>150</v>
      </c>
      <c r="J103" s="242">
        <f t="shared" si="21"/>
        <v>-4500</v>
      </c>
      <c r="K103" s="153"/>
      <c r="V103" s="25">
        <f t="shared" si="22"/>
        <v>0</v>
      </c>
      <c r="W103" s="25">
        <f t="shared" si="23"/>
        <v>1</v>
      </c>
    </row>
    <row r="104" spans="1:23" x14ac:dyDescent="0.3">
      <c r="A104" s="147"/>
      <c r="B104" s="205">
        <f t="shared" si="24"/>
        <v>14</v>
      </c>
      <c r="C104" s="206">
        <v>43516</v>
      </c>
      <c r="D104" s="161" t="s">
        <v>8</v>
      </c>
      <c r="E104" s="161" t="s">
        <v>39</v>
      </c>
      <c r="F104" s="207">
        <v>10700</v>
      </c>
      <c r="G104" s="207">
        <v>10670</v>
      </c>
      <c r="H104" s="161">
        <v>30</v>
      </c>
      <c r="I104" s="207">
        <v>150</v>
      </c>
      <c r="J104" s="242">
        <f t="shared" si="21"/>
        <v>4500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43517</v>
      </c>
      <c r="D105" s="161" t="s">
        <v>8</v>
      </c>
      <c r="E105" s="161" t="s">
        <v>39</v>
      </c>
      <c r="F105" s="207">
        <v>10755</v>
      </c>
      <c r="G105" s="207">
        <v>10740</v>
      </c>
      <c r="H105" s="161">
        <v>15</v>
      </c>
      <c r="I105" s="207">
        <v>150</v>
      </c>
      <c r="J105" s="242">
        <f t="shared" si="21"/>
        <v>2250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43518</v>
      </c>
      <c r="D106" s="161" t="s">
        <v>8</v>
      </c>
      <c r="E106" s="161" t="s">
        <v>39</v>
      </c>
      <c r="F106" s="207">
        <v>10810</v>
      </c>
      <c r="G106" s="207">
        <v>10795</v>
      </c>
      <c r="H106" s="161">
        <v>15</v>
      </c>
      <c r="I106" s="207">
        <v>150</v>
      </c>
      <c r="J106" s="242">
        <f t="shared" si="21"/>
        <v>2250</v>
      </c>
      <c r="K106" s="153"/>
      <c r="V106" s="25">
        <f t="shared" si="22"/>
        <v>1</v>
      </c>
      <c r="W106" s="25">
        <f t="shared" si="23"/>
        <v>0</v>
      </c>
    </row>
    <row r="107" spans="1:23" x14ac:dyDescent="0.3">
      <c r="A107" s="147"/>
      <c r="B107" s="205">
        <f t="shared" si="24"/>
        <v>17</v>
      </c>
      <c r="C107" s="206">
        <v>43521</v>
      </c>
      <c r="D107" s="161" t="s">
        <v>8</v>
      </c>
      <c r="E107" s="161" t="s">
        <v>39</v>
      </c>
      <c r="F107" s="207">
        <v>10815</v>
      </c>
      <c r="G107" s="207">
        <v>10845</v>
      </c>
      <c r="H107" s="161">
        <v>-30</v>
      </c>
      <c r="I107" s="207">
        <v>150</v>
      </c>
      <c r="J107" s="242">
        <f t="shared" si="21"/>
        <v>-4500</v>
      </c>
      <c r="K107" s="153"/>
      <c r="V107" s="25">
        <f t="shared" si="22"/>
        <v>0</v>
      </c>
      <c r="W107" s="25">
        <f t="shared" si="23"/>
        <v>1</v>
      </c>
    </row>
    <row r="108" spans="1:23" x14ac:dyDescent="0.3">
      <c r="A108" s="147"/>
      <c r="B108" s="205">
        <f t="shared" si="24"/>
        <v>18</v>
      </c>
      <c r="C108" s="206">
        <v>43522</v>
      </c>
      <c r="D108" s="161" t="s">
        <v>9</v>
      </c>
      <c r="E108" s="161" t="s">
        <v>39</v>
      </c>
      <c r="F108" s="207">
        <v>10830</v>
      </c>
      <c r="G108" s="207">
        <v>10890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43523</v>
      </c>
      <c r="D109" s="161" t="s">
        <v>8</v>
      </c>
      <c r="E109" s="161" t="s">
        <v>39</v>
      </c>
      <c r="F109" s="207">
        <v>10915</v>
      </c>
      <c r="G109" s="207">
        <v>10855</v>
      </c>
      <c r="H109" s="161">
        <v>60</v>
      </c>
      <c r="I109" s="207">
        <v>150</v>
      </c>
      <c r="J109" s="242">
        <f>I109*H109</f>
        <v>9000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>
        <v>43524</v>
      </c>
      <c r="D110" s="161" t="s">
        <v>8</v>
      </c>
      <c r="E110" s="161" t="s">
        <v>39</v>
      </c>
      <c r="F110" s="207">
        <v>10830</v>
      </c>
      <c r="G110" s="207">
        <v>10787</v>
      </c>
      <c r="H110" s="161">
        <v>43</v>
      </c>
      <c r="I110" s="207">
        <v>150</v>
      </c>
      <c r="J110" s="242">
        <f t="shared" si="21"/>
        <v>6450</v>
      </c>
      <c r="K110" s="153"/>
      <c r="V110" s="25">
        <f t="shared" si="22"/>
        <v>1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82650</v>
      </c>
      <c r="K114" s="153"/>
      <c r="V114" s="25">
        <f>SUM(V91:V113)</f>
        <v>16</v>
      </c>
      <c r="W114" s="25">
        <f>SUM(W91:W113)</f>
        <v>4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2638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43497</v>
      </c>
      <c r="D122" s="185" t="s">
        <v>9</v>
      </c>
      <c r="E122" s="185" t="s">
        <v>2440</v>
      </c>
      <c r="F122" s="219">
        <v>180</v>
      </c>
      <c r="G122" s="219">
        <v>220</v>
      </c>
      <c r="H122" s="185">
        <v>40</v>
      </c>
      <c r="I122" s="219">
        <v>300</v>
      </c>
      <c r="J122" s="246">
        <f t="shared" ref="J122:J144" si="25">I122*H122</f>
        <v>12000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43500</v>
      </c>
      <c r="D123" s="161" t="s">
        <v>9</v>
      </c>
      <c r="E123" s="161" t="s">
        <v>2508</v>
      </c>
      <c r="F123" s="207">
        <v>180</v>
      </c>
      <c r="G123" s="207">
        <v>190</v>
      </c>
      <c r="H123" s="161">
        <v>10</v>
      </c>
      <c r="I123" s="207">
        <v>300</v>
      </c>
      <c r="J123" s="242">
        <f t="shared" si="25"/>
        <v>3000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43501</v>
      </c>
      <c r="D124" s="161" t="s">
        <v>9</v>
      </c>
      <c r="E124" s="161" t="s">
        <v>2508</v>
      </c>
      <c r="F124" s="207">
        <v>143</v>
      </c>
      <c r="G124" s="207">
        <v>136</v>
      </c>
      <c r="H124" s="161">
        <v>-7</v>
      </c>
      <c r="I124" s="207">
        <v>300</v>
      </c>
      <c r="J124" s="242">
        <f t="shared" si="25"/>
        <v>-2100</v>
      </c>
      <c r="K124" s="153"/>
      <c r="V124" s="25">
        <f t="shared" si="26"/>
        <v>0</v>
      </c>
      <c r="W124" s="25">
        <f t="shared" si="27"/>
        <v>1</v>
      </c>
    </row>
    <row r="125" spans="1:23" x14ac:dyDescent="0.3">
      <c r="A125" s="147"/>
      <c r="B125" s="205">
        <f t="shared" si="28"/>
        <v>4</v>
      </c>
      <c r="C125" s="206">
        <v>43502</v>
      </c>
      <c r="D125" s="161" t="s">
        <v>9</v>
      </c>
      <c r="E125" s="161" t="s">
        <v>2437</v>
      </c>
      <c r="F125" s="207">
        <v>143</v>
      </c>
      <c r="G125" s="207">
        <v>123</v>
      </c>
      <c r="H125" s="161">
        <v>-20</v>
      </c>
      <c r="I125" s="207">
        <v>300</v>
      </c>
      <c r="J125" s="242">
        <f t="shared" si="25"/>
        <v>-6000</v>
      </c>
      <c r="K125" s="153"/>
      <c r="V125" s="25">
        <f t="shared" si="26"/>
        <v>0</v>
      </c>
      <c r="W125" s="25">
        <f t="shared" si="27"/>
        <v>1</v>
      </c>
    </row>
    <row r="126" spans="1:23" x14ac:dyDescent="0.3">
      <c r="A126" s="147"/>
      <c r="B126" s="205">
        <f t="shared" si="28"/>
        <v>5</v>
      </c>
      <c r="C126" s="206">
        <v>43503</v>
      </c>
      <c r="D126" s="161" t="s">
        <v>9</v>
      </c>
      <c r="E126" s="161" t="s">
        <v>2451</v>
      </c>
      <c r="F126" s="207">
        <v>143</v>
      </c>
      <c r="G126" s="207">
        <v>163</v>
      </c>
      <c r="H126" s="161">
        <v>20</v>
      </c>
      <c r="I126" s="207">
        <v>300</v>
      </c>
      <c r="J126" s="242">
        <f t="shared" si="25"/>
        <v>6000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43504</v>
      </c>
      <c r="D127" s="161" t="s">
        <v>9</v>
      </c>
      <c r="E127" s="161" t="s">
        <v>2437</v>
      </c>
      <c r="F127" s="207">
        <v>123</v>
      </c>
      <c r="G127" s="222">
        <v>163</v>
      </c>
      <c r="H127" s="222">
        <v>40</v>
      </c>
      <c r="I127" s="207">
        <v>300</v>
      </c>
      <c r="J127" s="242">
        <f t="shared" si="25"/>
        <v>12000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43507</v>
      </c>
      <c r="D128" s="161" t="s">
        <v>9</v>
      </c>
      <c r="E128" s="161" t="s">
        <v>2508</v>
      </c>
      <c r="F128" s="207">
        <v>75</v>
      </c>
      <c r="G128" s="207">
        <v>85</v>
      </c>
      <c r="H128" s="161">
        <v>10</v>
      </c>
      <c r="I128" s="207">
        <v>300</v>
      </c>
      <c r="J128" s="242">
        <f t="shared" si="25"/>
        <v>3000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43508</v>
      </c>
      <c r="D129" s="161" t="s">
        <v>9</v>
      </c>
      <c r="E129" s="161" t="s">
        <v>2437</v>
      </c>
      <c r="F129" s="207">
        <v>110</v>
      </c>
      <c r="G129" s="207">
        <v>150</v>
      </c>
      <c r="H129" s="161">
        <v>40</v>
      </c>
      <c r="I129" s="207">
        <v>300</v>
      </c>
      <c r="J129" s="242">
        <f t="shared" si="25"/>
        <v>12000</v>
      </c>
      <c r="K129" s="153"/>
      <c r="V129" s="25">
        <f t="shared" si="26"/>
        <v>1</v>
      </c>
      <c r="W129" s="25">
        <f t="shared" si="27"/>
        <v>0</v>
      </c>
    </row>
    <row r="130" spans="1:23" x14ac:dyDescent="0.3">
      <c r="A130" s="147"/>
      <c r="B130" s="205">
        <f t="shared" si="28"/>
        <v>9</v>
      </c>
      <c r="C130" s="206">
        <v>43509</v>
      </c>
      <c r="D130" s="161" t="s">
        <v>9</v>
      </c>
      <c r="E130" s="161" t="s">
        <v>2437</v>
      </c>
      <c r="F130" s="207">
        <v>125</v>
      </c>
      <c r="G130" s="207">
        <v>165</v>
      </c>
      <c r="H130" s="161">
        <v>40</v>
      </c>
      <c r="I130" s="207">
        <v>300</v>
      </c>
      <c r="J130" s="242">
        <f t="shared" si="25"/>
        <v>12000</v>
      </c>
      <c r="K130" s="153"/>
      <c r="V130" s="25">
        <f t="shared" si="26"/>
        <v>1</v>
      </c>
      <c r="W130" s="25">
        <f t="shared" si="27"/>
        <v>0</v>
      </c>
    </row>
    <row r="131" spans="1:23" x14ac:dyDescent="0.3">
      <c r="A131" s="147"/>
      <c r="B131" s="205">
        <f t="shared" si="28"/>
        <v>10</v>
      </c>
      <c r="C131" s="206">
        <v>43510</v>
      </c>
      <c r="D131" s="161" t="s">
        <v>9</v>
      </c>
      <c r="E131" s="161" t="s">
        <v>2508</v>
      </c>
      <c r="F131" s="207">
        <v>115</v>
      </c>
      <c r="G131" s="207">
        <v>155</v>
      </c>
      <c r="H131" s="161">
        <v>40</v>
      </c>
      <c r="I131" s="207">
        <v>300</v>
      </c>
      <c r="J131" s="242">
        <f t="shared" si="25"/>
        <v>12000</v>
      </c>
      <c r="K131" s="153"/>
      <c r="V131" s="25">
        <f t="shared" si="26"/>
        <v>1</v>
      </c>
      <c r="W131" s="25">
        <f t="shared" si="27"/>
        <v>0</v>
      </c>
    </row>
    <row r="132" spans="1:23" x14ac:dyDescent="0.3">
      <c r="A132" s="147"/>
      <c r="B132" s="205">
        <f t="shared" si="28"/>
        <v>11</v>
      </c>
      <c r="C132" s="206">
        <v>43511</v>
      </c>
      <c r="D132" s="161" t="s">
        <v>9</v>
      </c>
      <c r="E132" s="161" t="s">
        <v>2429</v>
      </c>
      <c r="F132" s="207">
        <v>125</v>
      </c>
      <c r="G132" s="207">
        <v>165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43514</v>
      </c>
      <c r="D133" s="161" t="s">
        <v>9</v>
      </c>
      <c r="E133" s="161" t="s">
        <v>2429</v>
      </c>
      <c r="F133" s="207">
        <v>140</v>
      </c>
      <c r="G133" s="207">
        <v>168</v>
      </c>
      <c r="H133" s="161">
        <v>28</v>
      </c>
      <c r="I133" s="207">
        <v>300</v>
      </c>
      <c r="J133" s="242">
        <f t="shared" si="25"/>
        <v>8400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43515</v>
      </c>
      <c r="D134" s="161" t="s">
        <v>9</v>
      </c>
      <c r="E134" s="161" t="s">
        <v>2429</v>
      </c>
      <c r="F134" s="207">
        <v>130</v>
      </c>
      <c r="G134" s="207">
        <v>110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43516</v>
      </c>
      <c r="D135" s="161" t="s">
        <v>9</v>
      </c>
      <c r="E135" s="161" t="s">
        <v>2429</v>
      </c>
      <c r="F135" s="207">
        <v>120</v>
      </c>
      <c r="G135" s="207">
        <v>133</v>
      </c>
      <c r="H135" s="161">
        <v>13</v>
      </c>
      <c r="I135" s="207">
        <v>300</v>
      </c>
      <c r="J135" s="242">
        <f>I135*H135</f>
        <v>3900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43517</v>
      </c>
      <c r="D136" s="161" t="s">
        <v>9</v>
      </c>
      <c r="E136" s="161" t="s">
        <v>2429</v>
      </c>
      <c r="F136" s="207">
        <v>65</v>
      </c>
      <c r="G136" s="207">
        <v>45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43518</v>
      </c>
      <c r="D137" s="161" t="s">
        <v>9</v>
      </c>
      <c r="E137" s="161" t="s">
        <v>2508</v>
      </c>
      <c r="F137" s="207">
        <v>125</v>
      </c>
      <c r="G137" s="207">
        <v>135</v>
      </c>
      <c r="H137" s="161">
        <v>10</v>
      </c>
      <c r="I137" s="207">
        <v>300</v>
      </c>
      <c r="J137" s="242">
        <f t="shared" si="25"/>
        <v>3000</v>
      </c>
      <c r="K137" s="153"/>
      <c r="V137" s="25">
        <f t="shared" si="26"/>
        <v>1</v>
      </c>
      <c r="W137" s="25">
        <f t="shared" si="27"/>
        <v>0</v>
      </c>
    </row>
    <row r="138" spans="1:23" x14ac:dyDescent="0.3">
      <c r="A138" s="147"/>
      <c r="B138" s="205">
        <f t="shared" si="28"/>
        <v>17</v>
      </c>
      <c r="C138" s="206">
        <v>43521</v>
      </c>
      <c r="D138" s="161" t="s">
        <v>9</v>
      </c>
      <c r="E138" s="161" t="s">
        <v>2508</v>
      </c>
      <c r="F138" s="207">
        <v>108</v>
      </c>
      <c r="G138" s="207">
        <v>88</v>
      </c>
      <c r="H138" s="161">
        <v>-20</v>
      </c>
      <c r="I138" s="207">
        <v>300</v>
      </c>
      <c r="J138" s="242">
        <f t="shared" si="25"/>
        <v>-6000</v>
      </c>
      <c r="K138" s="153"/>
      <c r="V138" s="25">
        <f t="shared" si="26"/>
        <v>0</v>
      </c>
      <c r="W138" s="25">
        <f t="shared" si="27"/>
        <v>1</v>
      </c>
    </row>
    <row r="139" spans="1:23" x14ac:dyDescent="0.3">
      <c r="A139" s="147"/>
      <c r="B139" s="205">
        <f t="shared" si="28"/>
        <v>18</v>
      </c>
      <c r="C139" s="206">
        <v>43522</v>
      </c>
      <c r="D139" s="161" t="s">
        <v>9</v>
      </c>
      <c r="E139" s="161" t="s">
        <v>2434</v>
      </c>
      <c r="F139" s="207">
        <v>80</v>
      </c>
      <c r="G139" s="207">
        <v>110</v>
      </c>
      <c r="H139" s="161">
        <v>30</v>
      </c>
      <c r="I139" s="207">
        <v>300</v>
      </c>
      <c r="J139" s="242">
        <f t="shared" si="25"/>
        <v>9000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>
        <v>43523</v>
      </c>
      <c r="D140" s="161" t="s">
        <v>9</v>
      </c>
      <c r="E140" s="161" t="s">
        <v>2437</v>
      </c>
      <c r="F140" s="207">
        <v>100</v>
      </c>
      <c r="G140" s="207">
        <v>80</v>
      </c>
      <c r="H140" s="161">
        <v>-20</v>
      </c>
      <c r="I140" s="207">
        <v>300</v>
      </c>
      <c r="J140" s="242">
        <f t="shared" si="25"/>
        <v>-6000</v>
      </c>
      <c r="K140" s="153"/>
      <c r="V140" s="25">
        <f t="shared" si="26"/>
        <v>0</v>
      </c>
      <c r="W140" s="25">
        <f t="shared" si="27"/>
        <v>1</v>
      </c>
    </row>
    <row r="141" spans="1:23" x14ac:dyDescent="0.3">
      <c r="A141" s="147"/>
      <c r="B141" s="205">
        <f t="shared" si="28"/>
        <v>20</v>
      </c>
      <c r="C141" s="206">
        <v>43524</v>
      </c>
      <c r="D141" s="161" t="s">
        <v>9</v>
      </c>
      <c r="E141" s="161" t="s">
        <v>2508</v>
      </c>
      <c r="F141" s="207">
        <v>73</v>
      </c>
      <c r="G141" s="207">
        <v>101</v>
      </c>
      <c r="H141" s="161">
        <v>28</v>
      </c>
      <c r="I141" s="207">
        <v>300</v>
      </c>
      <c r="J141" s="242">
        <f t="shared" si="25"/>
        <v>8400</v>
      </c>
      <c r="K141" s="153"/>
      <c r="V141" s="25">
        <f t="shared" si="26"/>
        <v>1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84600</v>
      </c>
      <c r="K145" s="153"/>
      <c r="V145" s="25">
        <f>SUM(V122:V144)</f>
        <v>14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2636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43497</v>
      </c>
      <c r="D153" s="185" t="s">
        <v>9</v>
      </c>
      <c r="E153" s="185" t="s">
        <v>301</v>
      </c>
      <c r="F153" s="219">
        <v>27350</v>
      </c>
      <c r="G153" s="219">
        <v>27550</v>
      </c>
      <c r="H153" s="185">
        <v>200</v>
      </c>
      <c r="I153" s="219">
        <v>40</v>
      </c>
      <c r="J153" s="246">
        <f t="shared" ref="J153:J175" si="29">I153*H153</f>
        <v>8000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43500</v>
      </c>
      <c r="D154" s="161" t="s">
        <v>8</v>
      </c>
      <c r="E154" s="161" t="s">
        <v>301</v>
      </c>
      <c r="F154" s="207">
        <v>26970</v>
      </c>
      <c r="G154" s="207">
        <v>27070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43501</v>
      </c>
      <c r="D155" s="161" t="s">
        <v>8</v>
      </c>
      <c r="E155" s="161" t="s">
        <v>301</v>
      </c>
      <c r="F155" s="207">
        <v>27320</v>
      </c>
      <c r="G155" s="207">
        <v>27270</v>
      </c>
      <c r="H155" s="161">
        <v>50</v>
      </c>
      <c r="I155" s="207">
        <v>40</v>
      </c>
      <c r="J155" s="242">
        <f t="shared" si="29"/>
        <v>2000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43502</v>
      </c>
      <c r="D156" s="161" t="s">
        <v>8</v>
      </c>
      <c r="E156" s="161" t="s">
        <v>301</v>
      </c>
      <c r="F156" s="207">
        <v>27400</v>
      </c>
      <c r="G156" s="207">
        <v>27360</v>
      </c>
      <c r="H156" s="161">
        <v>40</v>
      </c>
      <c r="I156" s="207">
        <v>40</v>
      </c>
      <c r="J156" s="242">
        <f t="shared" si="29"/>
        <v>1600</v>
      </c>
      <c r="K156" s="153"/>
      <c r="V156" s="25">
        <f t="shared" si="30"/>
        <v>1</v>
      </c>
      <c r="W156" s="25">
        <f t="shared" si="31"/>
        <v>0</v>
      </c>
    </row>
    <row r="157" spans="1:23" x14ac:dyDescent="0.3">
      <c r="A157" s="147"/>
      <c r="B157" s="205">
        <f t="shared" si="32"/>
        <v>5</v>
      </c>
      <c r="C157" s="206">
        <v>43503</v>
      </c>
      <c r="D157" s="161" t="s">
        <v>9</v>
      </c>
      <c r="E157" s="161" t="s">
        <v>301</v>
      </c>
      <c r="F157" s="207">
        <v>27480</v>
      </c>
      <c r="G157" s="207">
        <v>27640</v>
      </c>
      <c r="H157" s="161">
        <v>160</v>
      </c>
      <c r="I157" s="207">
        <v>40</v>
      </c>
      <c r="J157" s="242">
        <f t="shared" si="29"/>
        <v>6400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43504</v>
      </c>
      <c r="D158" s="161" t="s">
        <v>8</v>
      </c>
      <c r="E158" s="161" t="s">
        <v>301</v>
      </c>
      <c r="F158" s="207">
        <v>27330</v>
      </c>
      <c r="G158" s="207">
        <v>27430</v>
      </c>
      <c r="H158" s="161">
        <v>-100</v>
      </c>
      <c r="I158" s="207">
        <v>40</v>
      </c>
      <c r="J158" s="242">
        <f t="shared" si="29"/>
        <v>-4000</v>
      </c>
      <c r="K158" s="153"/>
      <c r="V158" s="25">
        <f t="shared" si="30"/>
        <v>0</v>
      </c>
      <c r="W158" s="25">
        <f t="shared" si="31"/>
        <v>1</v>
      </c>
    </row>
    <row r="159" spans="1:23" x14ac:dyDescent="0.3">
      <c r="A159" s="147"/>
      <c r="B159" s="205">
        <f t="shared" si="32"/>
        <v>7</v>
      </c>
      <c r="C159" s="206">
        <v>43507</v>
      </c>
      <c r="D159" s="161" t="s">
        <v>8</v>
      </c>
      <c r="E159" s="161" t="s">
        <v>301</v>
      </c>
      <c r="F159" s="207">
        <v>27260</v>
      </c>
      <c r="G159" s="207">
        <v>27210</v>
      </c>
      <c r="H159" s="161">
        <v>50</v>
      </c>
      <c r="I159" s="207">
        <v>40</v>
      </c>
      <c r="J159" s="242">
        <f t="shared" si="29"/>
        <v>2000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43508</v>
      </c>
      <c r="D160" s="161" t="s">
        <v>9</v>
      </c>
      <c r="E160" s="161" t="s">
        <v>301</v>
      </c>
      <c r="F160" s="207">
        <v>27350</v>
      </c>
      <c r="G160" s="207">
        <v>27250</v>
      </c>
      <c r="H160" s="161">
        <v>-100</v>
      </c>
      <c r="I160" s="207">
        <v>40</v>
      </c>
      <c r="J160" s="242">
        <f t="shared" si="29"/>
        <v>-4000</v>
      </c>
      <c r="K160" s="153"/>
      <c r="V160" s="25">
        <f t="shared" si="30"/>
        <v>0</v>
      </c>
      <c r="W160" s="25">
        <f t="shared" si="31"/>
        <v>1</v>
      </c>
    </row>
    <row r="161" spans="1:23" x14ac:dyDescent="0.3">
      <c r="A161" s="147"/>
      <c r="B161" s="205">
        <f t="shared" si="32"/>
        <v>9</v>
      </c>
      <c r="C161" s="206">
        <v>43509</v>
      </c>
      <c r="D161" s="161" t="s">
        <v>8</v>
      </c>
      <c r="E161" s="161" t="s">
        <v>301</v>
      </c>
      <c r="F161" s="207">
        <v>27160</v>
      </c>
      <c r="G161" s="207">
        <v>26965</v>
      </c>
      <c r="H161" s="161">
        <v>195</v>
      </c>
      <c r="I161" s="207">
        <v>40</v>
      </c>
      <c r="J161" s="242">
        <f t="shared" si="29"/>
        <v>7800</v>
      </c>
      <c r="K161" s="153"/>
      <c r="V161" s="25">
        <f t="shared" si="30"/>
        <v>1</v>
      </c>
      <c r="W161" s="25">
        <f t="shared" si="31"/>
        <v>0</v>
      </c>
    </row>
    <row r="162" spans="1:23" x14ac:dyDescent="0.3">
      <c r="A162" s="147"/>
      <c r="B162" s="205">
        <f t="shared" si="32"/>
        <v>10</v>
      </c>
      <c r="C162" s="206">
        <v>43510</v>
      </c>
      <c r="D162" s="161" t="s">
        <v>8</v>
      </c>
      <c r="E162" s="161" t="s">
        <v>301</v>
      </c>
      <c r="F162" s="207">
        <v>26970</v>
      </c>
      <c r="G162" s="207">
        <v>27270</v>
      </c>
      <c r="H162" s="161">
        <v>-100</v>
      </c>
      <c r="I162" s="207">
        <v>40</v>
      </c>
      <c r="J162" s="242">
        <f t="shared" si="29"/>
        <v>-4000</v>
      </c>
      <c r="K162" s="153"/>
      <c r="V162" s="25">
        <f t="shared" si="30"/>
        <v>0</v>
      </c>
      <c r="W162" s="25">
        <f t="shared" si="31"/>
        <v>1</v>
      </c>
    </row>
    <row r="163" spans="1:23" x14ac:dyDescent="0.3">
      <c r="A163" s="147"/>
      <c r="B163" s="205">
        <f t="shared" si="32"/>
        <v>11</v>
      </c>
      <c r="C163" s="206">
        <v>43511</v>
      </c>
      <c r="D163" s="161" t="s">
        <v>8</v>
      </c>
      <c r="E163" s="161" t="s">
        <v>301</v>
      </c>
      <c r="F163" s="207">
        <v>26950</v>
      </c>
      <c r="G163" s="207">
        <v>26750</v>
      </c>
      <c r="H163" s="161">
        <v>200</v>
      </c>
      <c r="I163" s="207">
        <v>40</v>
      </c>
      <c r="J163" s="242">
        <f t="shared" si="29"/>
        <v>8000</v>
      </c>
      <c r="K163" s="153"/>
      <c r="V163" s="25">
        <f t="shared" si="30"/>
        <v>1</v>
      </c>
      <c r="W163" s="25">
        <f t="shared" si="31"/>
        <v>0</v>
      </c>
    </row>
    <row r="164" spans="1:23" x14ac:dyDescent="0.3">
      <c r="A164" s="147"/>
      <c r="B164" s="205">
        <f t="shared" si="32"/>
        <v>12</v>
      </c>
      <c r="C164" s="206">
        <v>43514</v>
      </c>
      <c r="D164" s="161" t="s">
        <v>8</v>
      </c>
      <c r="E164" s="161" t="s">
        <v>301</v>
      </c>
      <c r="F164" s="207">
        <v>26850</v>
      </c>
      <c r="G164" s="207">
        <v>26750</v>
      </c>
      <c r="H164" s="161">
        <v>100</v>
      </c>
      <c r="I164" s="207">
        <v>40</v>
      </c>
      <c r="J164" s="242">
        <f t="shared" si="29"/>
        <v>4000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43515</v>
      </c>
      <c r="D165" s="161" t="s">
        <v>8</v>
      </c>
      <c r="E165" s="161" t="s">
        <v>301</v>
      </c>
      <c r="F165" s="207">
        <v>26950</v>
      </c>
      <c r="G165" s="207">
        <v>26900</v>
      </c>
      <c r="H165" s="161">
        <v>50</v>
      </c>
      <c r="I165" s="207">
        <v>40</v>
      </c>
      <c r="J165" s="242">
        <f t="shared" si="29"/>
        <v>2000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43516</v>
      </c>
      <c r="D166" s="161" t="s">
        <v>8</v>
      </c>
      <c r="E166" s="161" t="s">
        <v>301</v>
      </c>
      <c r="F166" s="207">
        <v>26930</v>
      </c>
      <c r="G166" s="207">
        <v>26830</v>
      </c>
      <c r="H166" s="161">
        <v>100</v>
      </c>
      <c r="I166" s="207">
        <v>40</v>
      </c>
      <c r="J166" s="242">
        <f t="shared" si="29"/>
        <v>4000</v>
      </c>
      <c r="K166" s="153"/>
      <c r="V166" s="25">
        <f t="shared" si="30"/>
        <v>1</v>
      </c>
      <c r="W166" s="25">
        <f t="shared" si="31"/>
        <v>0</v>
      </c>
    </row>
    <row r="167" spans="1:23" x14ac:dyDescent="0.3">
      <c r="A167" s="147"/>
      <c r="B167" s="205">
        <f t="shared" si="32"/>
        <v>15</v>
      </c>
      <c r="C167" s="206">
        <v>43517</v>
      </c>
      <c r="D167" s="161" t="s">
        <v>8</v>
      </c>
      <c r="E167" s="161" t="s">
        <v>301</v>
      </c>
      <c r="F167" s="207">
        <v>27100</v>
      </c>
      <c r="G167" s="207">
        <v>27050</v>
      </c>
      <c r="H167" s="161">
        <v>50</v>
      </c>
      <c r="I167" s="207">
        <v>40</v>
      </c>
      <c r="J167" s="242">
        <f t="shared" si="29"/>
        <v>2000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43518</v>
      </c>
      <c r="D168" s="161" t="s">
        <v>8</v>
      </c>
      <c r="E168" s="161" t="s">
        <v>301</v>
      </c>
      <c r="F168" s="207">
        <v>27030</v>
      </c>
      <c r="G168" s="207">
        <v>26930</v>
      </c>
      <c r="H168" s="161">
        <v>100</v>
      </c>
      <c r="I168" s="207">
        <v>40</v>
      </c>
      <c r="J168" s="242">
        <f t="shared" si="29"/>
        <v>4000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43521</v>
      </c>
      <c r="D169" s="161" t="s">
        <v>8</v>
      </c>
      <c r="E169" s="161" t="s">
        <v>301</v>
      </c>
      <c r="F169" s="207">
        <v>27030</v>
      </c>
      <c r="G169" s="207">
        <v>27130</v>
      </c>
      <c r="H169" s="161">
        <v>-100</v>
      </c>
      <c r="I169" s="207">
        <v>40</v>
      </c>
      <c r="J169" s="242">
        <f t="shared" si="29"/>
        <v>-4000</v>
      </c>
      <c r="K169" s="153"/>
      <c r="V169" s="25">
        <f t="shared" si="30"/>
        <v>0</v>
      </c>
      <c r="W169" s="25">
        <f t="shared" si="31"/>
        <v>1</v>
      </c>
    </row>
    <row r="170" spans="1:23" x14ac:dyDescent="0.3">
      <c r="A170" s="147"/>
      <c r="B170" s="205">
        <f t="shared" si="32"/>
        <v>18</v>
      </c>
      <c r="C170" s="206">
        <v>43522</v>
      </c>
      <c r="D170" s="161" t="s">
        <v>9</v>
      </c>
      <c r="E170" s="161" t="s">
        <v>301</v>
      </c>
      <c r="F170" s="207">
        <v>26920</v>
      </c>
      <c r="G170" s="207">
        <v>27120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43523</v>
      </c>
      <c r="D171" s="161" t="s">
        <v>8</v>
      </c>
      <c r="E171" s="161" t="s">
        <v>301</v>
      </c>
      <c r="F171" s="207">
        <v>27150</v>
      </c>
      <c r="G171" s="207">
        <v>26950</v>
      </c>
      <c r="H171" s="161">
        <v>200</v>
      </c>
      <c r="I171" s="207">
        <v>40</v>
      </c>
      <c r="J171" s="242">
        <f t="shared" si="29"/>
        <v>8000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>
        <v>43524</v>
      </c>
      <c r="D172" s="161" t="s">
        <v>8</v>
      </c>
      <c r="E172" s="161" t="s">
        <v>301</v>
      </c>
      <c r="F172" s="207">
        <v>26880</v>
      </c>
      <c r="G172" s="207">
        <v>26780</v>
      </c>
      <c r="H172" s="161">
        <v>100</v>
      </c>
      <c r="I172" s="207">
        <v>40</v>
      </c>
      <c r="J172" s="242">
        <f t="shared" si="29"/>
        <v>4000</v>
      </c>
      <c r="K172" s="153"/>
      <c r="V172" s="25">
        <f t="shared" si="30"/>
        <v>1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51800</v>
      </c>
      <c r="K176" s="153"/>
      <c r="V176" s="25">
        <f>SUM(V153:V175)</f>
        <v>15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2636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43497</v>
      </c>
      <c r="D184" s="185" t="s">
        <v>9</v>
      </c>
      <c r="E184" s="185" t="s">
        <v>2448</v>
      </c>
      <c r="F184" s="219">
        <v>200</v>
      </c>
      <c r="G184" s="219">
        <v>300</v>
      </c>
      <c r="H184" s="185">
        <v>100</v>
      </c>
      <c r="I184" s="219">
        <v>80</v>
      </c>
      <c r="J184" s="246">
        <f t="shared" ref="J184:J206" si="33">I184*H184</f>
        <v>8000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43500</v>
      </c>
      <c r="D185" s="161" t="s">
        <v>9</v>
      </c>
      <c r="E185" s="161" t="s">
        <v>2521</v>
      </c>
      <c r="F185" s="207">
        <v>250</v>
      </c>
      <c r="G185" s="207">
        <v>190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43501</v>
      </c>
      <c r="D186" s="161" t="s">
        <v>9</v>
      </c>
      <c r="E186" s="161" t="s">
        <v>2617</v>
      </c>
      <c r="F186" s="207">
        <v>200</v>
      </c>
      <c r="G186" s="207">
        <v>140</v>
      </c>
      <c r="H186" s="161">
        <v>-60</v>
      </c>
      <c r="I186" s="207">
        <v>80</v>
      </c>
      <c r="J186" s="242">
        <f t="shared" si="33"/>
        <v>-4800</v>
      </c>
      <c r="K186" s="153"/>
      <c r="V186" s="25">
        <f t="shared" si="34"/>
        <v>0</v>
      </c>
      <c r="W186" s="25">
        <f t="shared" si="35"/>
        <v>1</v>
      </c>
    </row>
    <row r="187" spans="1:23" x14ac:dyDescent="0.3">
      <c r="A187" s="147"/>
      <c r="B187" s="205">
        <f t="shared" si="36"/>
        <v>4</v>
      </c>
      <c r="C187" s="206">
        <v>43502</v>
      </c>
      <c r="D187" s="161" t="s">
        <v>9</v>
      </c>
      <c r="E187" s="161" t="s">
        <v>2625</v>
      </c>
      <c r="F187" s="207">
        <v>160</v>
      </c>
      <c r="G187" s="207">
        <v>185</v>
      </c>
      <c r="H187" s="161">
        <v>25</v>
      </c>
      <c r="I187" s="207">
        <v>80</v>
      </c>
      <c r="J187" s="242">
        <f t="shared" si="33"/>
        <v>2000</v>
      </c>
      <c r="K187" s="153"/>
      <c r="V187" s="25">
        <f t="shared" si="34"/>
        <v>1</v>
      </c>
      <c r="W187" s="25">
        <f t="shared" si="35"/>
        <v>0</v>
      </c>
    </row>
    <row r="188" spans="1:23" x14ac:dyDescent="0.3">
      <c r="A188" s="147"/>
      <c r="B188" s="205">
        <f t="shared" si="36"/>
        <v>5</v>
      </c>
      <c r="C188" s="206">
        <v>43503</v>
      </c>
      <c r="D188" s="161" t="s">
        <v>9</v>
      </c>
      <c r="E188" s="161" t="s">
        <v>2448</v>
      </c>
      <c r="F188" s="207">
        <v>120</v>
      </c>
      <c r="G188" s="207">
        <v>180</v>
      </c>
      <c r="H188" s="161">
        <v>60</v>
      </c>
      <c r="I188" s="207">
        <v>80</v>
      </c>
      <c r="J188" s="242">
        <f t="shared" si="33"/>
        <v>4800</v>
      </c>
      <c r="K188" s="153"/>
      <c r="O188" s="25" t="s">
        <v>2008</v>
      </c>
      <c r="V188" s="25">
        <f t="shared" si="34"/>
        <v>1</v>
      </c>
      <c r="W188" s="25">
        <f t="shared" si="35"/>
        <v>0</v>
      </c>
    </row>
    <row r="189" spans="1:23" x14ac:dyDescent="0.3">
      <c r="A189" s="147"/>
      <c r="B189" s="205">
        <f t="shared" si="36"/>
        <v>6</v>
      </c>
      <c r="C189" s="206">
        <v>43504</v>
      </c>
      <c r="D189" s="161" t="s">
        <v>9</v>
      </c>
      <c r="E189" s="161" t="s">
        <v>2625</v>
      </c>
      <c r="F189" s="207">
        <v>260</v>
      </c>
      <c r="G189" s="207">
        <v>200</v>
      </c>
      <c r="H189" s="161">
        <v>-60</v>
      </c>
      <c r="I189" s="207">
        <v>80</v>
      </c>
      <c r="J189" s="242">
        <f t="shared" si="33"/>
        <v>-4800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43507</v>
      </c>
      <c r="D190" s="161" t="s">
        <v>9</v>
      </c>
      <c r="E190" s="161" t="s">
        <v>2617</v>
      </c>
      <c r="F190" s="207">
        <v>200</v>
      </c>
      <c r="G190" s="207">
        <v>230</v>
      </c>
      <c r="H190" s="161">
        <v>30</v>
      </c>
      <c r="I190" s="207">
        <v>80</v>
      </c>
      <c r="J190" s="242">
        <f t="shared" si="33"/>
        <v>2400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43508</v>
      </c>
      <c r="D191" s="161" t="s">
        <v>9</v>
      </c>
      <c r="E191" s="161" t="s">
        <v>2443</v>
      </c>
      <c r="F191" s="207">
        <v>130</v>
      </c>
      <c r="G191" s="207">
        <v>70</v>
      </c>
      <c r="H191" s="161">
        <v>-60</v>
      </c>
      <c r="I191" s="207">
        <v>80</v>
      </c>
      <c r="J191" s="242">
        <f t="shared" si="33"/>
        <v>-4800</v>
      </c>
      <c r="K191" s="153"/>
      <c r="V191" s="25">
        <f t="shared" si="34"/>
        <v>0</v>
      </c>
      <c r="W191" s="25">
        <f t="shared" si="35"/>
        <v>1</v>
      </c>
    </row>
    <row r="192" spans="1:23" x14ac:dyDescent="0.3">
      <c r="A192" s="147"/>
      <c r="B192" s="205">
        <f t="shared" si="36"/>
        <v>9</v>
      </c>
      <c r="C192" s="206">
        <v>43509</v>
      </c>
      <c r="D192" s="161" t="s">
        <v>9</v>
      </c>
      <c r="E192" s="161" t="s">
        <v>2641</v>
      </c>
      <c r="F192" s="207">
        <v>120</v>
      </c>
      <c r="G192" s="207">
        <v>210</v>
      </c>
      <c r="H192" s="161">
        <v>90</v>
      </c>
      <c r="I192" s="207">
        <v>80</v>
      </c>
      <c r="J192" s="242">
        <f t="shared" si="33"/>
        <v>7200</v>
      </c>
      <c r="K192" s="153"/>
      <c r="V192" s="25">
        <f t="shared" si="34"/>
        <v>1</v>
      </c>
      <c r="W192" s="25">
        <f t="shared" si="35"/>
        <v>0</v>
      </c>
    </row>
    <row r="193" spans="1:23" x14ac:dyDescent="0.3">
      <c r="A193" s="147"/>
      <c r="B193" s="205">
        <f t="shared" si="36"/>
        <v>10</v>
      </c>
      <c r="C193" s="206">
        <v>43510</v>
      </c>
      <c r="D193" s="161" t="s">
        <v>9</v>
      </c>
      <c r="E193" s="161" t="s">
        <v>2521</v>
      </c>
      <c r="F193" s="207">
        <v>120</v>
      </c>
      <c r="G193" s="207">
        <v>60</v>
      </c>
      <c r="H193" s="161">
        <v>60</v>
      </c>
      <c r="I193" s="207">
        <v>80</v>
      </c>
      <c r="J193" s="242">
        <f t="shared" si="33"/>
        <v>4800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43511</v>
      </c>
      <c r="D194" s="161" t="s">
        <v>9</v>
      </c>
      <c r="E194" s="161" t="s">
        <v>2523</v>
      </c>
      <c r="F194" s="207">
        <v>210</v>
      </c>
      <c r="G194" s="207">
        <v>330</v>
      </c>
      <c r="H194" s="161">
        <v>120</v>
      </c>
      <c r="I194" s="207">
        <v>80</v>
      </c>
      <c r="J194" s="242">
        <f t="shared" si="33"/>
        <v>9600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43514</v>
      </c>
      <c r="D195" s="161" t="s">
        <v>9</v>
      </c>
      <c r="E195" s="161" t="s">
        <v>2523</v>
      </c>
      <c r="F195" s="207">
        <v>240</v>
      </c>
      <c r="G195" s="207">
        <v>300</v>
      </c>
      <c r="H195" s="161">
        <v>60</v>
      </c>
      <c r="I195" s="207">
        <v>80</v>
      </c>
      <c r="J195" s="242">
        <f t="shared" si="33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43515</v>
      </c>
      <c r="D196" s="161" t="s">
        <v>9</v>
      </c>
      <c r="E196" s="161" t="s">
        <v>2523</v>
      </c>
      <c r="F196" s="207">
        <v>180</v>
      </c>
      <c r="G196" s="207">
        <v>120</v>
      </c>
      <c r="H196" s="161">
        <v>-60</v>
      </c>
      <c r="I196" s="207">
        <v>80</v>
      </c>
      <c r="J196" s="242">
        <f t="shared" si="33"/>
        <v>-4800</v>
      </c>
      <c r="K196" s="153"/>
      <c r="V196" s="25">
        <f t="shared" si="34"/>
        <v>0</v>
      </c>
      <c r="W196" s="25">
        <f t="shared" si="35"/>
        <v>1</v>
      </c>
    </row>
    <row r="197" spans="1:23" x14ac:dyDescent="0.3">
      <c r="A197" s="147"/>
      <c r="B197" s="205">
        <f t="shared" si="36"/>
        <v>14</v>
      </c>
      <c r="C197" s="206">
        <v>43516</v>
      </c>
      <c r="D197" s="161" t="s">
        <v>9</v>
      </c>
      <c r="E197" s="161" t="s">
        <v>2523</v>
      </c>
      <c r="F197" s="207">
        <v>130</v>
      </c>
      <c r="G197" s="207">
        <v>165</v>
      </c>
      <c r="H197" s="161">
        <v>35</v>
      </c>
      <c r="I197" s="207">
        <v>80</v>
      </c>
      <c r="J197" s="242">
        <f t="shared" si="33"/>
        <v>2800</v>
      </c>
      <c r="K197" s="153"/>
      <c r="V197" s="25">
        <f t="shared" si="34"/>
        <v>1</v>
      </c>
      <c r="W197" s="25">
        <f t="shared" si="35"/>
        <v>0</v>
      </c>
    </row>
    <row r="198" spans="1:23" x14ac:dyDescent="0.3">
      <c r="A198" s="147"/>
      <c r="B198" s="205">
        <f t="shared" si="36"/>
        <v>15</v>
      </c>
      <c r="C198" s="206">
        <v>43517</v>
      </c>
      <c r="D198" s="161" t="s">
        <v>9</v>
      </c>
      <c r="E198" s="161" t="s">
        <v>2641</v>
      </c>
      <c r="F198" s="207">
        <v>100</v>
      </c>
      <c r="G198" s="207">
        <v>40</v>
      </c>
      <c r="H198" s="161">
        <v>-60</v>
      </c>
      <c r="I198" s="207">
        <v>80</v>
      </c>
      <c r="J198" s="242">
        <f t="shared" si="33"/>
        <v>-4800</v>
      </c>
      <c r="K198" s="153"/>
      <c r="V198" s="25">
        <f t="shared" si="34"/>
        <v>0</v>
      </c>
      <c r="W198" s="25">
        <f t="shared" si="35"/>
        <v>1</v>
      </c>
    </row>
    <row r="199" spans="1:23" x14ac:dyDescent="0.3">
      <c r="A199" s="147"/>
      <c r="B199" s="205">
        <f t="shared" si="36"/>
        <v>16</v>
      </c>
      <c r="C199" s="206">
        <v>43518</v>
      </c>
      <c r="D199" s="161" t="s">
        <v>9</v>
      </c>
      <c r="E199" s="161" t="s">
        <v>2521</v>
      </c>
      <c r="F199" s="207">
        <v>170</v>
      </c>
      <c r="G199" s="207">
        <v>215</v>
      </c>
      <c r="H199" s="161">
        <v>45</v>
      </c>
      <c r="I199" s="207">
        <v>80</v>
      </c>
      <c r="J199" s="242">
        <f t="shared" si="33"/>
        <v>3600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43521</v>
      </c>
      <c r="D200" s="161" t="s">
        <v>9</v>
      </c>
      <c r="E200" s="161" t="s">
        <v>2521</v>
      </c>
      <c r="F200" s="207">
        <v>140</v>
      </c>
      <c r="G200" s="207">
        <v>80</v>
      </c>
      <c r="H200" s="161">
        <v>-60</v>
      </c>
      <c r="I200" s="207">
        <v>80</v>
      </c>
      <c r="J200" s="242">
        <f t="shared" si="33"/>
        <v>-4800</v>
      </c>
      <c r="K200" s="153"/>
      <c r="V200" s="25">
        <f t="shared" si="34"/>
        <v>0</v>
      </c>
      <c r="W200" s="25">
        <f t="shared" si="35"/>
        <v>1</v>
      </c>
    </row>
    <row r="201" spans="1:23" x14ac:dyDescent="0.3">
      <c r="A201" s="147"/>
      <c r="B201" s="205">
        <f t="shared" si="36"/>
        <v>18</v>
      </c>
      <c r="C201" s="206">
        <v>43522</v>
      </c>
      <c r="D201" s="161" t="s">
        <v>9</v>
      </c>
      <c r="E201" s="161" t="s">
        <v>2438</v>
      </c>
      <c r="F201" s="207">
        <v>170</v>
      </c>
      <c r="G201" s="207">
        <v>290</v>
      </c>
      <c r="H201" s="161">
        <v>120</v>
      </c>
      <c r="I201" s="207">
        <v>80</v>
      </c>
      <c r="J201" s="242">
        <f t="shared" si="33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43523</v>
      </c>
      <c r="D202" s="161" t="s">
        <v>9</v>
      </c>
      <c r="E202" s="161" t="s">
        <v>2624</v>
      </c>
      <c r="F202" s="207">
        <v>130</v>
      </c>
      <c r="G202" s="207">
        <v>250</v>
      </c>
      <c r="H202" s="161">
        <v>120</v>
      </c>
      <c r="I202" s="207">
        <v>80</v>
      </c>
      <c r="J202" s="242">
        <f t="shared" si="33"/>
        <v>9600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>
        <v>43524</v>
      </c>
      <c r="D203" s="161" t="s">
        <v>9</v>
      </c>
      <c r="E203" s="161" t="s">
        <v>2523</v>
      </c>
      <c r="F203" s="207">
        <v>90</v>
      </c>
      <c r="G203" s="207">
        <v>140</v>
      </c>
      <c r="H203" s="161">
        <v>50</v>
      </c>
      <c r="I203" s="207">
        <v>80</v>
      </c>
      <c r="J203" s="242">
        <f t="shared" si="33"/>
        <v>4000</v>
      </c>
      <c r="K203" s="153"/>
      <c r="V203" s="25">
        <f t="shared" si="34"/>
        <v>1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39600</v>
      </c>
      <c r="K207" s="153"/>
      <c r="V207" s="25">
        <f>SUM(V184:V206)</f>
        <v>13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2638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43497</v>
      </c>
      <c r="D215" s="185" t="s">
        <v>9</v>
      </c>
      <c r="E215" s="185" t="s">
        <v>2633</v>
      </c>
      <c r="F215" s="231">
        <v>50</v>
      </c>
      <c r="G215" s="231">
        <v>70</v>
      </c>
      <c r="H215" s="231">
        <v>20</v>
      </c>
      <c r="I215" s="219">
        <v>500</v>
      </c>
      <c r="J215" s="246">
        <f t="shared" ref="J215:J237" si="37">I215*H215</f>
        <v>10000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43500</v>
      </c>
      <c r="D216" s="161" t="s">
        <v>9</v>
      </c>
      <c r="E216" s="161" t="s">
        <v>2634</v>
      </c>
      <c r="F216" s="222">
        <v>28</v>
      </c>
      <c r="G216" s="222">
        <v>30.5</v>
      </c>
      <c r="H216" s="255">
        <v>2.5</v>
      </c>
      <c r="I216" s="207">
        <v>700</v>
      </c>
      <c r="J216" s="242">
        <f>I216*H216</f>
        <v>1750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43501</v>
      </c>
      <c r="D217" s="161" t="s">
        <v>9</v>
      </c>
      <c r="E217" s="161" t="s">
        <v>2635</v>
      </c>
      <c r="F217" s="222">
        <v>34</v>
      </c>
      <c r="G217" s="222">
        <v>30.4</v>
      </c>
      <c r="H217" s="222">
        <v>-3.6</v>
      </c>
      <c r="I217" s="207">
        <v>400</v>
      </c>
      <c r="J217" s="242">
        <f t="shared" si="37"/>
        <v>-1440</v>
      </c>
      <c r="K217" s="153"/>
      <c r="V217" s="25">
        <f t="shared" ref="V217:V237" si="39">IF($J217&gt;0,1,0)</f>
        <v>0</v>
      </c>
      <c r="W217" s="25">
        <f t="shared" ref="W217:W237" si="40">IF($J217&lt;0,1,0)</f>
        <v>1</v>
      </c>
    </row>
    <row r="218" spans="1:23" x14ac:dyDescent="0.3">
      <c r="A218" s="147"/>
      <c r="B218" s="205">
        <f t="shared" si="38"/>
        <v>4</v>
      </c>
      <c r="C218" s="206">
        <v>43502</v>
      </c>
      <c r="D218" s="161" t="s">
        <v>9</v>
      </c>
      <c r="E218" s="161" t="s">
        <v>2202</v>
      </c>
      <c r="F218" s="222">
        <v>9</v>
      </c>
      <c r="G218" s="222">
        <v>9.8000000000000007</v>
      </c>
      <c r="H218" s="222">
        <v>0.8</v>
      </c>
      <c r="I218" s="207">
        <v>3000</v>
      </c>
      <c r="J218" s="242">
        <f t="shared" si="37"/>
        <v>2400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43503</v>
      </c>
      <c r="D219" s="161" t="s">
        <v>9</v>
      </c>
      <c r="E219" s="161" t="s">
        <v>2564</v>
      </c>
      <c r="F219" s="222">
        <v>33</v>
      </c>
      <c r="G219" s="222">
        <v>28</v>
      </c>
      <c r="H219" s="222">
        <v>-5</v>
      </c>
      <c r="I219" s="207">
        <v>500</v>
      </c>
      <c r="J219" s="242">
        <f t="shared" si="37"/>
        <v>-2500</v>
      </c>
      <c r="K219" s="153"/>
      <c r="V219" s="25">
        <f t="shared" si="39"/>
        <v>0</v>
      </c>
      <c r="W219" s="25">
        <f t="shared" si="40"/>
        <v>1</v>
      </c>
    </row>
    <row r="220" spans="1:23" x14ac:dyDescent="0.3">
      <c r="A220" s="147"/>
      <c r="B220" s="205">
        <f t="shared" si="38"/>
        <v>6</v>
      </c>
      <c r="C220" s="206">
        <v>43504</v>
      </c>
      <c r="D220" s="161" t="s">
        <v>9</v>
      </c>
      <c r="E220" s="161" t="s">
        <v>2639</v>
      </c>
      <c r="F220" s="222">
        <v>30</v>
      </c>
      <c r="G220" s="222">
        <v>33.700000000000003</v>
      </c>
      <c r="H220" s="222">
        <v>3.7</v>
      </c>
      <c r="I220" s="207">
        <v>500</v>
      </c>
      <c r="J220" s="242">
        <f t="shared" si="37"/>
        <v>1850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43507</v>
      </c>
      <c r="D221" s="161" t="s">
        <v>9</v>
      </c>
      <c r="E221" s="161" t="s">
        <v>2202</v>
      </c>
      <c r="F221" s="222">
        <v>8</v>
      </c>
      <c r="G221" s="222">
        <v>9.6</v>
      </c>
      <c r="H221" s="222">
        <v>1.6</v>
      </c>
      <c r="I221" s="207">
        <v>3000</v>
      </c>
      <c r="J221" s="242">
        <f t="shared" si="37"/>
        <v>4800</v>
      </c>
      <c r="K221" s="153"/>
      <c r="V221" s="25">
        <f t="shared" si="39"/>
        <v>1</v>
      </c>
      <c r="W221" s="25">
        <f t="shared" si="40"/>
        <v>0</v>
      </c>
    </row>
    <row r="222" spans="1:23" x14ac:dyDescent="0.3">
      <c r="A222" s="147"/>
      <c r="B222" s="205">
        <f t="shared" si="38"/>
        <v>8</v>
      </c>
      <c r="C222" s="206">
        <v>43508</v>
      </c>
      <c r="D222" s="161" t="s">
        <v>9</v>
      </c>
      <c r="E222" s="161" t="s">
        <v>2640</v>
      </c>
      <c r="F222" s="222">
        <v>50</v>
      </c>
      <c r="G222" s="222">
        <v>44</v>
      </c>
      <c r="H222" s="222">
        <v>-6</v>
      </c>
      <c r="I222" s="207">
        <v>500</v>
      </c>
      <c r="J222" s="242">
        <f t="shared" si="37"/>
        <v>-3000</v>
      </c>
      <c r="K222" s="153"/>
      <c r="V222" s="25">
        <f t="shared" si="39"/>
        <v>0</v>
      </c>
      <c r="W222" s="25">
        <f t="shared" si="40"/>
        <v>1</v>
      </c>
    </row>
    <row r="223" spans="1:23" x14ac:dyDescent="0.3">
      <c r="A223" s="147"/>
      <c r="B223" s="205">
        <f t="shared" si="38"/>
        <v>9</v>
      </c>
      <c r="C223" s="206">
        <v>43509</v>
      </c>
      <c r="D223" s="161" t="s">
        <v>9</v>
      </c>
      <c r="E223" s="161" t="s">
        <v>2642</v>
      </c>
      <c r="F223" s="222">
        <v>27</v>
      </c>
      <c r="G223" s="222">
        <v>21</v>
      </c>
      <c r="H223" s="255">
        <v>-6</v>
      </c>
      <c r="I223" s="207">
        <v>500</v>
      </c>
      <c r="J223" s="242">
        <f t="shared" si="37"/>
        <v>-3000</v>
      </c>
      <c r="K223" s="153"/>
      <c r="V223" s="25">
        <f t="shared" si="39"/>
        <v>0</v>
      </c>
      <c r="W223" s="25">
        <f t="shared" si="40"/>
        <v>1</v>
      </c>
    </row>
    <row r="224" spans="1:23" x14ac:dyDescent="0.3">
      <c r="A224" s="147"/>
      <c r="B224" s="205">
        <f t="shared" si="38"/>
        <v>10</v>
      </c>
      <c r="C224" s="206">
        <v>43510</v>
      </c>
      <c r="D224" s="161" t="s">
        <v>9</v>
      </c>
      <c r="E224" s="161" t="s">
        <v>2576</v>
      </c>
      <c r="F224" s="222">
        <v>35</v>
      </c>
      <c r="G224" s="222">
        <v>33</v>
      </c>
      <c r="H224" s="255">
        <v>-2</v>
      </c>
      <c r="I224" s="207">
        <v>500</v>
      </c>
      <c r="J224" s="242">
        <f t="shared" si="37"/>
        <v>-1000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43511</v>
      </c>
      <c r="D225" s="161" t="s">
        <v>9</v>
      </c>
      <c r="E225" s="161" t="s">
        <v>2514</v>
      </c>
      <c r="F225" s="222">
        <v>6.5</v>
      </c>
      <c r="G225" s="222">
        <v>8.1</v>
      </c>
      <c r="H225" s="255">
        <v>1.6</v>
      </c>
      <c r="I225" s="207">
        <v>3000</v>
      </c>
      <c r="J225" s="242">
        <f t="shared" si="37"/>
        <v>4800</v>
      </c>
      <c r="K225" s="153"/>
      <c r="V225" s="25">
        <f t="shared" si="39"/>
        <v>1</v>
      </c>
      <c r="W225" s="25">
        <f t="shared" si="40"/>
        <v>0</v>
      </c>
    </row>
    <row r="226" spans="1:23" x14ac:dyDescent="0.3">
      <c r="A226" s="147"/>
      <c r="B226" s="205">
        <f t="shared" si="38"/>
        <v>12</v>
      </c>
      <c r="C226" s="206">
        <v>43514</v>
      </c>
      <c r="D226" s="161" t="s">
        <v>9</v>
      </c>
      <c r="E226" s="161" t="s">
        <v>2630</v>
      </c>
      <c r="F226" s="222">
        <v>24</v>
      </c>
      <c r="G226" s="222">
        <v>29</v>
      </c>
      <c r="H226" s="255">
        <v>5</v>
      </c>
      <c r="I226" s="207">
        <v>500</v>
      </c>
      <c r="J226" s="242">
        <f t="shared" si="37"/>
        <v>2500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43515</v>
      </c>
      <c r="D227" s="161" t="s">
        <v>9</v>
      </c>
      <c r="E227" s="161" t="s">
        <v>2576</v>
      </c>
      <c r="F227" s="222">
        <v>29</v>
      </c>
      <c r="G227" s="222">
        <v>23</v>
      </c>
      <c r="H227" s="255">
        <v>-6</v>
      </c>
      <c r="I227" s="207">
        <v>500</v>
      </c>
      <c r="J227" s="242">
        <f t="shared" si="37"/>
        <v>-3000</v>
      </c>
      <c r="K227" s="153"/>
      <c r="V227" s="25">
        <f t="shared" si="39"/>
        <v>0</v>
      </c>
      <c r="W227" s="25">
        <f t="shared" si="40"/>
        <v>1</v>
      </c>
    </row>
    <row r="228" spans="1:23" x14ac:dyDescent="0.3">
      <c r="A228" s="147"/>
      <c r="B228" s="205">
        <f t="shared" si="38"/>
        <v>14</v>
      </c>
      <c r="C228" s="206">
        <v>43516</v>
      </c>
      <c r="D228" s="161" t="s">
        <v>9</v>
      </c>
      <c r="E228" s="161" t="s">
        <v>2576</v>
      </c>
      <c r="F228" s="222">
        <v>28</v>
      </c>
      <c r="G228" s="222">
        <v>31</v>
      </c>
      <c r="H228" s="255">
        <v>3</v>
      </c>
      <c r="I228" s="207">
        <v>500</v>
      </c>
      <c r="J228" s="242">
        <f>I228*H228</f>
        <v>1500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43517</v>
      </c>
      <c r="D229" s="161" t="s">
        <v>9</v>
      </c>
      <c r="E229" s="161" t="s">
        <v>2576</v>
      </c>
      <c r="F229" s="222">
        <v>21</v>
      </c>
      <c r="G229" s="222">
        <v>15</v>
      </c>
      <c r="H229" s="255">
        <v>-6</v>
      </c>
      <c r="I229" s="207">
        <v>500</v>
      </c>
      <c r="J229" s="242">
        <f t="shared" si="37"/>
        <v>-3000</v>
      </c>
      <c r="K229" s="153"/>
      <c r="V229" s="25">
        <f t="shared" si="39"/>
        <v>0</v>
      </c>
      <c r="W229" s="25">
        <f t="shared" si="40"/>
        <v>1</v>
      </c>
    </row>
    <row r="230" spans="1:23" x14ac:dyDescent="0.3">
      <c r="A230" s="147"/>
      <c r="B230" s="205">
        <f t="shared" si="38"/>
        <v>16</v>
      </c>
      <c r="C230" s="206">
        <v>43518</v>
      </c>
      <c r="D230" s="161" t="s">
        <v>9</v>
      </c>
      <c r="E230" s="161" t="s">
        <v>2643</v>
      </c>
      <c r="F230" s="222">
        <v>9.5</v>
      </c>
      <c r="G230" s="222">
        <v>11.3</v>
      </c>
      <c r="H230" s="222">
        <v>1.8</v>
      </c>
      <c r="I230" s="207">
        <v>1200</v>
      </c>
      <c r="J230" s="242">
        <f t="shared" si="37"/>
        <v>2160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43521</v>
      </c>
      <c r="D231" s="161" t="s">
        <v>9</v>
      </c>
      <c r="E231" s="161" t="s">
        <v>2643</v>
      </c>
      <c r="F231" s="222">
        <v>8.3000000000000007</v>
      </c>
      <c r="G231" s="222">
        <v>11.2</v>
      </c>
      <c r="H231" s="222">
        <v>2.9</v>
      </c>
      <c r="I231" s="207">
        <v>1200</v>
      </c>
      <c r="J231" s="242">
        <f t="shared" si="37"/>
        <v>3480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>
        <v>43522</v>
      </c>
      <c r="D232" s="161" t="s">
        <v>9</v>
      </c>
      <c r="E232" s="161" t="s">
        <v>2643</v>
      </c>
      <c r="F232" s="222">
        <v>7.5</v>
      </c>
      <c r="G232" s="222">
        <v>13</v>
      </c>
      <c r="H232" s="222">
        <v>5.5</v>
      </c>
      <c r="I232" s="207">
        <v>1200</v>
      </c>
      <c r="J232" s="242">
        <f t="shared" si="37"/>
        <v>6600</v>
      </c>
      <c r="K232" s="153"/>
      <c r="V232" s="25">
        <f t="shared" si="39"/>
        <v>1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>
        <v>43523</v>
      </c>
      <c r="D233" s="161" t="s">
        <v>9</v>
      </c>
      <c r="E233" s="161" t="s">
        <v>2644</v>
      </c>
      <c r="F233" s="222">
        <v>6.7</v>
      </c>
      <c r="G233" s="222">
        <v>9.6999999999999993</v>
      </c>
      <c r="H233" s="222">
        <v>3</v>
      </c>
      <c r="I233" s="207">
        <v>1200</v>
      </c>
      <c r="J233" s="242">
        <f t="shared" si="37"/>
        <v>3600</v>
      </c>
      <c r="K233" s="153"/>
      <c r="V233" s="25">
        <f t="shared" si="39"/>
        <v>1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>
        <v>43524</v>
      </c>
      <c r="D234" s="161" t="s">
        <v>9</v>
      </c>
      <c r="E234" s="161" t="s">
        <v>2645</v>
      </c>
      <c r="F234" s="222">
        <v>3.5</v>
      </c>
      <c r="G234" s="222">
        <v>5.3</v>
      </c>
      <c r="H234" s="222">
        <v>1.8</v>
      </c>
      <c r="I234" s="207">
        <v>1200</v>
      </c>
      <c r="J234" s="242">
        <f t="shared" si="37"/>
        <v>2160</v>
      </c>
      <c r="K234" s="153"/>
      <c r="V234" s="25">
        <f t="shared" si="39"/>
        <v>1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30660</v>
      </c>
      <c r="K238" s="153"/>
      <c r="V238" s="25">
        <f>SUM(V215:V237)</f>
        <v>13</v>
      </c>
      <c r="W238" s="25">
        <f>SUM(W215:W237)</f>
        <v>7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600-000000000000}"/>
    <hyperlink ref="B83" r:id="rId2" xr:uid="{00000000-0004-0000-4600-000001000000}"/>
    <hyperlink ref="B114" r:id="rId3" xr:uid="{00000000-0004-0000-4600-000002000000}"/>
    <hyperlink ref="B145" r:id="rId4" xr:uid="{00000000-0004-0000-4600-000003000000}"/>
    <hyperlink ref="B176" r:id="rId5" xr:uid="{00000000-0004-0000-4600-000004000000}"/>
    <hyperlink ref="B207" r:id="rId6" xr:uid="{00000000-0004-0000-4600-000005000000}"/>
    <hyperlink ref="B238" r:id="rId7" xr:uid="{00000000-0004-0000-4600-000006000000}"/>
    <hyperlink ref="M1" location="'MASTER '!A1" display="Back" xr:uid="{00000000-0004-0000-4600-000007000000}"/>
    <hyperlink ref="M8:M9" location="'FEB -2019'!A108" display="NIFTY FUTURE" xr:uid="{00000000-0004-0000-4600-000008000000}"/>
    <hyperlink ref="M10:M11" location="'FEB -2019'!A139" display="NF. OPTION" xr:uid="{00000000-0004-0000-4600-000009000000}"/>
    <hyperlink ref="M12:M13" location="'FEB -2019'!A170" display="BANK NIFTY" xr:uid="{00000000-0004-0000-4600-00000A000000}"/>
    <hyperlink ref="M14:M15" location="'FEB -2019'!A201" display="B.NIFTY OPTION" xr:uid="{00000000-0004-0000-4600-00000B000000}"/>
    <hyperlink ref="M16:M17" location="'FEB -2019'!A232" display="STOCK OPTION" xr:uid="{00000000-0004-0000-4600-00000C000000}"/>
    <hyperlink ref="M6:M7" location="'FEB -2019'!A77" display="STOCK FUTURE" xr:uid="{00000000-0004-0000-4600-00000D000000}"/>
    <hyperlink ref="M4:M5" location="'FEB -2019'!A1" display="CASH" xr:uid="{00000000-0004-0000-4600-00000E000000}"/>
  </hyperlinks>
  <pageMargins left="0" right="0" top="0" bottom="0" header="0" footer="0"/>
  <pageSetup scale="95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W239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2669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38</v>
      </c>
      <c r="O4" s="354">
        <f>V52</f>
        <v>33</v>
      </c>
      <c r="P4" s="354">
        <f>W52</f>
        <v>5</v>
      </c>
      <c r="Q4" s="355">
        <f>N4-O4-P4</f>
        <v>0</v>
      </c>
      <c r="R4" s="314">
        <f>O4/N4</f>
        <v>0.86842105263157898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43525</v>
      </c>
      <c r="D6" s="158" t="s">
        <v>9</v>
      </c>
      <c r="E6" s="158" t="s">
        <v>49</v>
      </c>
      <c r="F6" s="204">
        <v>1274</v>
      </c>
      <c r="G6" s="230">
        <v>1281</v>
      </c>
      <c r="H6" s="158">
        <v>7</v>
      </c>
      <c r="I6" s="204">
        <f>300000/F6</f>
        <v>235.47880690737833</v>
      </c>
      <c r="J6" s="241">
        <f>H6*I6</f>
        <v>1648.3516483516482</v>
      </c>
      <c r="K6" s="153"/>
      <c r="M6" s="389" t="s">
        <v>450</v>
      </c>
      <c r="N6" s="343">
        <f>COUNT(C60:C82)</f>
        <v>20</v>
      </c>
      <c r="O6" s="345">
        <f>V83</f>
        <v>14</v>
      </c>
      <c r="P6" s="345">
        <f>W83</f>
        <v>6</v>
      </c>
      <c r="Q6" s="347">
        <f>N6-O6-P6</f>
        <v>0</v>
      </c>
      <c r="R6" s="340">
        <f t="shared" ref="R6" si="0">O6/N6</f>
        <v>0.7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43525</v>
      </c>
      <c r="D7" s="161" t="s">
        <v>8</v>
      </c>
      <c r="E7" s="161" t="s">
        <v>31</v>
      </c>
      <c r="F7" s="207">
        <v>1236</v>
      </c>
      <c r="G7" s="207">
        <v>1226</v>
      </c>
      <c r="H7" s="234">
        <v>10</v>
      </c>
      <c r="I7" s="207">
        <f t="shared" ref="I7" si="1">300000/F7</f>
        <v>242.71844660194174</v>
      </c>
      <c r="J7" s="242">
        <f t="shared" ref="J7" si="2">H7*I7</f>
        <v>2427.1844660194174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43529</v>
      </c>
      <c r="D8" s="161" t="s">
        <v>9</v>
      </c>
      <c r="E8" s="161" t="s">
        <v>192</v>
      </c>
      <c r="F8" s="207">
        <v>246</v>
      </c>
      <c r="G8" s="222">
        <v>253.8</v>
      </c>
      <c r="H8" s="222">
        <v>7.8</v>
      </c>
      <c r="I8" s="207">
        <f t="shared" ref="I8:I9" si="6">300000/F8</f>
        <v>1219.5121951219512</v>
      </c>
      <c r="J8" s="242">
        <f t="shared" ref="J8:J9" si="7">H8*I8</f>
        <v>9512.1951219512193</v>
      </c>
      <c r="K8" s="153"/>
      <c r="M8" s="389" t="s">
        <v>451</v>
      </c>
      <c r="N8" s="343">
        <f>COUNT(C91:C113)</f>
        <v>19</v>
      </c>
      <c r="O8" s="345">
        <f>V114</f>
        <v>14</v>
      </c>
      <c r="P8" s="345">
        <f>W114</f>
        <v>5</v>
      </c>
      <c r="Q8" s="347">
        <f>N8-O8-P8</f>
        <v>0</v>
      </c>
      <c r="R8" s="340">
        <f t="shared" ref="R8" si="8">O8/N8</f>
        <v>0.73684210526315785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43529</v>
      </c>
      <c r="D9" s="161" t="s">
        <v>8</v>
      </c>
      <c r="E9" s="161" t="s">
        <v>49</v>
      </c>
      <c r="F9" s="222">
        <v>1265</v>
      </c>
      <c r="G9" s="222">
        <v>1275</v>
      </c>
      <c r="H9" s="222">
        <v>-10</v>
      </c>
      <c r="I9" s="207">
        <f t="shared" si="6"/>
        <v>237.15415019762847</v>
      </c>
      <c r="J9" s="242">
        <f t="shared" si="7"/>
        <v>-2371.5415019762845</v>
      </c>
      <c r="K9" s="153"/>
      <c r="M9" s="389"/>
      <c r="N9" s="343"/>
      <c r="O9" s="345"/>
      <c r="P9" s="345"/>
      <c r="Q9" s="349"/>
      <c r="R9" s="340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43530</v>
      </c>
      <c r="D10" s="161" t="s">
        <v>9</v>
      </c>
      <c r="E10" s="161" t="s">
        <v>31</v>
      </c>
      <c r="F10" s="222">
        <v>1243</v>
      </c>
      <c r="G10" s="222">
        <v>1258.5</v>
      </c>
      <c r="H10" s="222">
        <v>15.5</v>
      </c>
      <c r="I10" s="207">
        <f t="shared" ref="I10:I43" si="9">300000/F10</f>
        <v>241.35156878519712</v>
      </c>
      <c r="J10" s="242">
        <f t="shared" ref="J10:J43" si="10">H10*I10</f>
        <v>3740.9493161705554</v>
      </c>
      <c r="K10" s="153"/>
      <c r="M10" s="389" t="s">
        <v>1176</v>
      </c>
      <c r="N10" s="343">
        <f>COUNT(C122:C144)</f>
        <v>18</v>
      </c>
      <c r="O10" s="345">
        <f>V145</f>
        <v>12</v>
      </c>
      <c r="P10" s="345">
        <f>W145</f>
        <v>6</v>
      </c>
      <c r="Q10" s="347">
        <f>N10-O10-P10</f>
        <v>0</v>
      </c>
      <c r="R10" s="340">
        <f t="shared" ref="R10:R16" si="11">O10/N10</f>
        <v>0.66666666666666663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43530</v>
      </c>
      <c r="D11" s="161" t="s">
        <v>8</v>
      </c>
      <c r="E11" s="161" t="s">
        <v>139</v>
      </c>
      <c r="F11" s="222">
        <v>235</v>
      </c>
      <c r="G11" s="222">
        <v>234.8</v>
      </c>
      <c r="H11" s="255">
        <v>0.2</v>
      </c>
      <c r="I11" s="207">
        <f t="shared" si="9"/>
        <v>1276.5957446808511</v>
      </c>
      <c r="J11" s="242">
        <f t="shared" si="10"/>
        <v>255.31914893617022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43531</v>
      </c>
      <c r="D12" s="161" t="s">
        <v>9</v>
      </c>
      <c r="E12" s="161" t="s">
        <v>308</v>
      </c>
      <c r="F12" s="222">
        <v>252</v>
      </c>
      <c r="G12" s="222">
        <v>253.5</v>
      </c>
      <c r="H12" s="222">
        <v>1.5</v>
      </c>
      <c r="I12" s="207">
        <f t="shared" si="9"/>
        <v>1190.4761904761904</v>
      </c>
      <c r="J12" s="242">
        <f t="shared" si="10"/>
        <v>1785.7142857142856</v>
      </c>
      <c r="K12" s="153"/>
      <c r="M12" s="389" t="s">
        <v>41</v>
      </c>
      <c r="N12" s="343">
        <f>COUNT(C153:C175)</f>
        <v>19</v>
      </c>
      <c r="O12" s="345">
        <f>V176</f>
        <v>14</v>
      </c>
      <c r="P12" s="345">
        <f>W176</f>
        <v>5</v>
      </c>
      <c r="Q12" s="347">
        <f t="shared" ref="Q12" si="12">N12-O12-P12</f>
        <v>0</v>
      </c>
      <c r="R12" s="340">
        <f t="shared" si="11"/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43531</v>
      </c>
      <c r="D13" s="161" t="s">
        <v>8</v>
      </c>
      <c r="E13" s="161" t="s">
        <v>139</v>
      </c>
      <c r="F13" s="222">
        <v>232</v>
      </c>
      <c r="G13" s="222">
        <v>229.5</v>
      </c>
      <c r="H13" s="255">
        <v>2.5</v>
      </c>
      <c r="I13" s="207">
        <f t="shared" si="9"/>
        <v>1293.1034482758621</v>
      </c>
      <c r="J13" s="242">
        <f t="shared" si="10"/>
        <v>3232.7586206896553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43532</v>
      </c>
      <c r="D14" s="161" t="s">
        <v>9</v>
      </c>
      <c r="E14" s="161" t="s">
        <v>50</v>
      </c>
      <c r="F14" s="222">
        <v>454</v>
      </c>
      <c r="G14" s="222">
        <v>456.7</v>
      </c>
      <c r="H14" s="222">
        <v>2.7</v>
      </c>
      <c r="I14" s="207">
        <f t="shared" si="9"/>
        <v>660.79295154185024</v>
      </c>
      <c r="J14" s="242">
        <f t="shared" si="10"/>
        <v>1784.1409691629958</v>
      </c>
      <c r="K14" s="153"/>
      <c r="M14" s="389" t="s">
        <v>1175</v>
      </c>
      <c r="N14" s="343">
        <f>COUNT(C184:C206)</f>
        <v>19</v>
      </c>
      <c r="O14" s="345">
        <f>V207</f>
        <v>12</v>
      </c>
      <c r="P14" s="345">
        <f>W207</f>
        <v>7</v>
      </c>
      <c r="Q14" s="347">
        <f t="shared" ref="Q14" si="13">N14-O14-P14</f>
        <v>0</v>
      </c>
      <c r="R14" s="340">
        <f t="shared" si="11"/>
        <v>0.63157894736842102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43532</v>
      </c>
      <c r="D15" s="161" t="s">
        <v>8</v>
      </c>
      <c r="E15" s="161" t="s">
        <v>95</v>
      </c>
      <c r="F15" s="222">
        <v>372</v>
      </c>
      <c r="G15" s="222">
        <v>368</v>
      </c>
      <c r="H15" s="222">
        <v>4</v>
      </c>
      <c r="I15" s="207">
        <f t="shared" si="9"/>
        <v>806.45161290322585</v>
      </c>
      <c r="J15" s="242">
        <f t="shared" si="10"/>
        <v>3225.8064516129034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43535</v>
      </c>
      <c r="D16" s="161" t="s">
        <v>9</v>
      </c>
      <c r="E16" s="161" t="s">
        <v>192</v>
      </c>
      <c r="F16" s="222">
        <v>260</v>
      </c>
      <c r="G16" s="222">
        <v>262.95</v>
      </c>
      <c r="H16" s="222">
        <v>2.98</v>
      </c>
      <c r="I16" s="207">
        <f t="shared" si="9"/>
        <v>1153.8461538461538</v>
      </c>
      <c r="J16" s="242">
        <f t="shared" si="10"/>
        <v>3438.4615384615381</v>
      </c>
      <c r="K16" s="153"/>
      <c r="L16" s="25" t="s">
        <v>2008</v>
      </c>
      <c r="M16" s="389" t="s">
        <v>1090</v>
      </c>
      <c r="N16" s="343">
        <f>COUNT(C215:C237)</f>
        <v>17</v>
      </c>
      <c r="O16" s="345">
        <f>V238</f>
        <v>12</v>
      </c>
      <c r="P16" s="345">
        <f>W238</f>
        <v>5</v>
      </c>
      <c r="Q16" s="347">
        <f t="shared" ref="Q16" si="14">N16-O16-P16</f>
        <v>0</v>
      </c>
      <c r="R16" s="340">
        <f t="shared" si="11"/>
        <v>0.70588235294117652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43535</v>
      </c>
      <c r="D17" s="161" t="s">
        <v>8</v>
      </c>
      <c r="E17" s="161" t="s">
        <v>552</v>
      </c>
      <c r="F17" s="222">
        <v>1512</v>
      </c>
      <c r="G17" s="222">
        <v>1502.5</v>
      </c>
      <c r="H17" s="222">
        <v>9.5</v>
      </c>
      <c r="I17" s="207">
        <f t="shared" si="9"/>
        <v>198.4126984126984</v>
      </c>
      <c r="J17" s="242">
        <f t="shared" si="10"/>
        <v>1884.9206349206349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43536</v>
      </c>
      <c r="D18" s="161" t="s">
        <v>9</v>
      </c>
      <c r="E18" s="161" t="s">
        <v>58</v>
      </c>
      <c r="F18" s="222">
        <v>741</v>
      </c>
      <c r="G18" s="222">
        <v>747</v>
      </c>
      <c r="H18" s="222">
        <v>6</v>
      </c>
      <c r="I18" s="207">
        <f t="shared" si="9"/>
        <v>404.85829959514172</v>
      </c>
      <c r="J18" s="242">
        <f t="shared" si="10"/>
        <v>2429.1497975708503</v>
      </c>
      <c r="K18" s="153"/>
      <c r="M18" s="334" t="s">
        <v>946</v>
      </c>
      <c r="N18" s="336">
        <f>SUM(N4:N17)</f>
        <v>150</v>
      </c>
      <c r="O18" s="336">
        <f t="shared" ref="O18:Q18" si="15">SUM(O4:O17)</f>
        <v>111</v>
      </c>
      <c r="P18" s="336">
        <f t="shared" si="15"/>
        <v>39</v>
      </c>
      <c r="Q18" s="338">
        <f t="shared" si="15"/>
        <v>0</v>
      </c>
      <c r="R18" s="314">
        <f t="shared" ref="R18" si="16">O18/N18</f>
        <v>0.74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43536</v>
      </c>
      <c r="D19" s="161" t="s">
        <v>8</v>
      </c>
      <c r="E19" s="161" t="s">
        <v>192</v>
      </c>
      <c r="F19" s="222">
        <v>259</v>
      </c>
      <c r="G19" s="222">
        <v>256</v>
      </c>
      <c r="H19" s="222">
        <v>3</v>
      </c>
      <c r="I19" s="207">
        <f t="shared" si="9"/>
        <v>1158.3011583011582</v>
      </c>
      <c r="J19" s="242">
        <f t="shared" si="10"/>
        <v>3474.9034749034745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43537</v>
      </c>
      <c r="D20" s="161" t="s">
        <v>9</v>
      </c>
      <c r="E20" s="161" t="s">
        <v>58</v>
      </c>
      <c r="F20" s="222">
        <v>745</v>
      </c>
      <c r="G20" s="222">
        <v>751</v>
      </c>
      <c r="H20" s="222">
        <v>6</v>
      </c>
      <c r="I20" s="207">
        <f t="shared" si="9"/>
        <v>402.68456375838929</v>
      </c>
      <c r="J20" s="242">
        <f t="shared" si="10"/>
        <v>2416.1073825503358</v>
      </c>
      <c r="K20" s="153"/>
      <c r="M20" s="316" t="s">
        <v>2253</v>
      </c>
      <c r="N20" s="317"/>
      <c r="O20" s="318"/>
      <c r="P20" s="325">
        <f>R18</f>
        <v>0.74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43537</v>
      </c>
      <c r="D21" s="161" t="s">
        <v>8</v>
      </c>
      <c r="E21" s="161" t="s">
        <v>139</v>
      </c>
      <c r="F21" s="222">
        <v>233</v>
      </c>
      <c r="G21" s="222">
        <v>236</v>
      </c>
      <c r="H21" s="222">
        <v>-3</v>
      </c>
      <c r="I21" s="207">
        <f t="shared" si="9"/>
        <v>1287.5536480686694</v>
      </c>
      <c r="J21" s="242">
        <f t="shared" si="10"/>
        <v>-3862.660944206008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43538</v>
      </c>
      <c r="D22" s="161" t="s">
        <v>9</v>
      </c>
      <c r="E22" s="161" t="s">
        <v>31</v>
      </c>
      <c r="F22" s="222">
        <v>1356</v>
      </c>
      <c r="G22" s="222">
        <v>1346</v>
      </c>
      <c r="H22" s="222">
        <v>-10</v>
      </c>
      <c r="I22" s="207">
        <f t="shared" si="9"/>
        <v>221.23893805309734</v>
      </c>
      <c r="J22" s="242">
        <f t="shared" si="10"/>
        <v>-2212.3893805309735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43538</v>
      </c>
      <c r="D23" s="161" t="s">
        <v>9</v>
      </c>
      <c r="E23" s="161" t="s">
        <v>552</v>
      </c>
      <c r="F23" s="222">
        <v>1665</v>
      </c>
      <c r="G23" s="222">
        <v>1695</v>
      </c>
      <c r="H23" s="222">
        <v>30</v>
      </c>
      <c r="I23" s="207">
        <f t="shared" si="9"/>
        <v>180.18018018018017</v>
      </c>
      <c r="J23" s="242">
        <f t="shared" si="10"/>
        <v>5405.405405405405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43539</v>
      </c>
      <c r="D24" s="161" t="s">
        <v>9</v>
      </c>
      <c r="E24" s="161" t="s">
        <v>31</v>
      </c>
      <c r="F24" s="222">
        <v>1353</v>
      </c>
      <c r="G24" s="222">
        <v>1343</v>
      </c>
      <c r="H24" s="222">
        <v>-10</v>
      </c>
      <c r="I24" s="207">
        <f t="shared" si="9"/>
        <v>221.72949002217294</v>
      </c>
      <c r="J24" s="242">
        <f t="shared" si="10"/>
        <v>-2217.2949002217292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43539</v>
      </c>
      <c r="D25" s="161" t="s">
        <v>8</v>
      </c>
      <c r="E25" s="161" t="s">
        <v>796</v>
      </c>
      <c r="F25" s="222">
        <v>1115</v>
      </c>
      <c r="G25" s="222">
        <v>1110</v>
      </c>
      <c r="H25" s="222">
        <v>5</v>
      </c>
      <c r="I25" s="207">
        <f t="shared" si="9"/>
        <v>269.05829596412553</v>
      </c>
      <c r="J25" s="242">
        <f t="shared" si="10"/>
        <v>1345.2914798206277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43542</v>
      </c>
      <c r="D26" s="161" t="s">
        <v>9</v>
      </c>
      <c r="E26" s="161" t="s">
        <v>552</v>
      </c>
      <c r="F26" s="222">
        <v>1715</v>
      </c>
      <c r="G26" s="222">
        <v>1726</v>
      </c>
      <c r="H26" s="222">
        <v>11</v>
      </c>
      <c r="I26" s="207">
        <f t="shared" si="9"/>
        <v>174.9271137026239</v>
      </c>
      <c r="J26" s="242">
        <f t="shared" si="10"/>
        <v>1924.1982507288628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43542</v>
      </c>
      <c r="D27" s="161" t="s">
        <v>8</v>
      </c>
      <c r="E27" s="161" t="s">
        <v>192</v>
      </c>
      <c r="F27" s="222">
        <v>265</v>
      </c>
      <c r="G27" s="222">
        <v>262</v>
      </c>
      <c r="H27" s="222">
        <v>3</v>
      </c>
      <c r="I27" s="207">
        <f t="shared" si="9"/>
        <v>1132.0754716981132</v>
      </c>
      <c r="J27" s="242">
        <f t="shared" si="10"/>
        <v>3396.2264150943397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43543</v>
      </c>
      <c r="D28" s="161" t="s">
        <v>9</v>
      </c>
      <c r="E28" s="161" t="s">
        <v>192</v>
      </c>
      <c r="F28" s="222">
        <v>275</v>
      </c>
      <c r="G28" s="222">
        <v>280.5</v>
      </c>
      <c r="H28" s="222">
        <v>5.5</v>
      </c>
      <c r="I28" s="207">
        <f t="shared" si="9"/>
        <v>1090.909090909091</v>
      </c>
      <c r="J28" s="242">
        <f t="shared" si="10"/>
        <v>6000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43543</v>
      </c>
      <c r="D29" s="161" t="s">
        <v>8</v>
      </c>
      <c r="E29" s="161" t="s">
        <v>78</v>
      </c>
      <c r="F29" s="222">
        <v>1352</v>
      </c>
      <c r="G29" s="222">
        <v>1347</v>
      </c>
      <c r="H29" s="222">
        <v>5</v>
      </c>
      <c r="I29" s="207">
        <f t="shared" si="9"/>
        <v>221.89349112426035</v>
      </c>
      <c r="J29" s="242">
        <f t="shared" si="10"/>
        <v>1109.4674556213017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43544</v>
      </c>
      <c r="D30" s="161" t="s">
        <v>9</v>
      </c>
      <c r="E30" s="161" t="s">
        <v>129</v>
      </c>
      <c r="F30" s="222">
        <v>1980</v>
      </c>
      <c r="G30" s="222">
        <v>1993.5</v>
      </c>
      <c r="H30" s="222">
        <v>13.5</v>
      </c>
      <c r="I30" s="207">
        <f t="shared" si="9"/>
        <v>151.5151515151515</v>
      </c>
      <c r="J30" s="242">
        <f t="shared" si="10"/>
        <v>2045.4545454545453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43544</v>
      </c>
      <c r="D31" s="161" t="s">
        <v>9</v>
      </c>
      <c r="E31" s="161" t="s">
        <v>31</v>
      </c>
      <c r="F31" s="222">
        <v>1378</v>
      </c>
      <c r="G31" s="222">
        <v>1383</v>
      </c>
      <c r="H31" s="222">
        <v>5</v>
      </c>
      <c r="I31" s="207">
        <f t="shared" si="9"/>
        <v>217.70682148040638</v>
      </c>
      <c r="J31" s="242">
        <f t="shared" si="10"/>
        <v>1088.5341074020319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43546</v>
      </c>
      <c r="D32" s="161" t="s">
        <v>9</v>
      </c>
      <c r="E32" s="161" t="s">
        <v>78</v>
      </c>
      <c r="F32" s="222">
        <v>1400</v>
      </c>
      <c r="G32" s="222">
        <v>1415</v>
      </c>
      <c r="H32" s="222">
        <v>15</v>
      </c>
      <c r="I32" s="207">
        <f t="shared" si="9"/>
        <v>214.28571428571428</v>
      </c>
      <c r="J32" s="242">
        <f t="shared" si="10"/>
        <v>3214.2857142857142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43546</v>
      </c>
      <c r="D33" s="161" t="s">
        <v>8</v>
      </c>
      <c r="E33" s="161" t="s">
        <v>192</v>
      </c>
      <c r="F33" s="222">
        <v>276</v>
      </c>
      <c r="G33" s="222">
        <v>271.8</v>
      </c>
      <c r="H33" s="222">
        <v>4.2</v>
      </c>
      <c r="I33" s="207">
        <f t="shared" si="9"/>
        <v>1086.9565217391305</v>
      </c>
      <c r="J33" s="242">
        <f t="shared" si="10"/>
        <v>4565.217391304348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43549</v>
      </c>
      <c r="D34" s="161" t="s">
        <v>9</v>
      </c>
      <c r="E34" s="161" t="s">
        <v>192</v>
      </c>
      <c r="F34" s="222">
        <v>269</v>
      </c>
      <c r="G34" s="222">
        <v>272</v>
      </c>
      <c r="H34" s="222">
        <v>3</v>
      </c>
      <c r="I34" s="207">
        <f t="shared" si="9"/>
        <v>1115.2416356877322</v>
      </c>
      <c r="J34" s="242">
        <f t="shared" si="10"/>
        <v>3345.724907063197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43549</v>
      </c>
      <c r="D35" s="161" t="s">
        <v>8</v>
      </c>
      <c r="E35" s="161" t="s">
        <v>78</v>
      </c>
      <c r="F35" s="222">
        <v>1380</v>
      </c>
      <c r="G35" s="222">
        <v>1375</v>
      </c>
      <c r="H35" s="222">
        <v>5</v>
      </c>
      <c r="I35" s="207">
        <f t="shared" si="9"/>
        <v>217.39130434782609</v>
      </c>
      <c r="J35" s="242">
        <f t="shared" si="10"/>
        <v>1086.9565217391305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43550</v>
      </c>
      <c r="D36" s="161" t="s">
        <v>9</v>
      </c>
      <c r="E36" s="161" t="s">
        <v>95</v>
      </c>
      <c r="F36" s="222">
        <v>388</v>
      </c>
      <c r="G36" s="222">
        <v>395.5</v>
      </c>
      <c r="H36" s="222">
        <v>7.5</v>
      </c>
      <c r="I36" s="207">
        <f t="shared" si="9"/>
        <v>773.19587628865975</v>
      </c>
      <c r="J36" s="242">
        <f t="shared" si="10"/>
        <v>5798.9690721649476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43550</v>
      </c>
      <c r="D37" s="161" t="s">
        <v>8</v>
      </c>
      <c r="E37" s="161" t="s">
        <v>129</v>
      </c>
      <c r="F37" s="222">
        <v>1940</v>
      </c>
      <c r="G37" s="222">
        <v>1934</v>
      </c>
      <c r="H37" s="222">
        <v>6</v>
      </c>
      <c r="I37" s="207">
        <f t="shared" si="9"/>
        <v>154.63917525773195</v>
      </c>
      <c r="J37" s="242">
        <f t="shared" si="10"/>
        <v>927.8350515463917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43551</v>
      </c>
      <c r="D38" s="161" t="s">
        <v>9</v>
      </c>
      <c r="E38" s="161" t="s">
        <v>58</v>
      </c>
      <c r="F38" s="222">
        <v>763</v>
      </c>
      <c r="G38" s="222">
        <v>769</v>
      </c>
      <c r="H38" s="222">
        <v>6</v>
      </c>
      <c r="I38" s="207">
        <f t="shared" si="9"/>
        <v>393.18479685452161</v>
      </c>
      <c r="J38" s="242">
        <f t="shared" si="10"/>
        <v>2359.1087811271295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43551</v>
      </c>
      <c r="D39" s="161" t="s">
        <v>8</v>
      </c>
      <c r="E39" s="161" t="s">
        <v>129</v>
      </c>
      <c r="F39" s="222">
        <v>1950</v>
      </c>
      <c r="G39" s="222">
        <v>1920</v>
      </c>
      <c r="H39" s="222">
        <v>30</v>
      </c>
      <c r="I39" s="207">
        <f t="shared" si="9"/>
        <v>153.84615384615384</v>
      </c>
      <c r="J39" s="242">
        <f t="shared" si="10"/>
        <v>4615.3846153846152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43552</v>
      </c>
      <c r="D40" s="161" t="s">
        <v>9</v>
      </c>
      <c r="E40" s="161" t="s">
        <v>192</v>
      </c>
      <c r="F40" s="222">
        <v>287</v>
      </c>
      <c r="G40" s="222">
        <v>293</v>
      </c>
      <c r="H40" s="222">
        <v>6</v>
      </c>
      <c r="I40" s="207">
        <f t="shared" si="9"/>
        <v>1045.2961672473868</v>
      </c>
      <c r="J40" s="242">
        <f t="shared" si="10"/>
        <v>6271.7770034843215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43552</v>
      </c>
      <c r="D41" s="161" t="s">
        <v>8</v>
      </c>
      <c r="E41" s="161" t="s">
        <v>129</v>
      </c>
      <c r="F41" s="222">
        <v>1940</v>
      </c>
      <c r="G41" s="223">
        <v>1933</v>
      </c>
      <c r="H41" s="222">
        <v>7</v>
      </c>
      <c r="I41" s="207">
        <f t="shared" si="9"/>
        <v>154.63917525773195</v>
      </c>
      <c r="J41" s="242">
        <f t="shared" si="10"/>
        <v>1082.4742268041236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43553</v>
      </c>
      <c r="D42" s="161" t="s">
        <v>9</v>
      </c>
      <c r="E42" s="161" t="s">
        <v>78</v>
      </c>
      <c r="F42" s="222">
        <v>1398</v>
      </c>
      <c r="G42" s="222">
        <v>1388</v>
      </c>
      <c r="H42" s="222">
        <v>-10</v>
      </c>
      <c r="I42" s="207">
        <f t="shared" si="9"/>
        <v>214.59227467811158</v>
      </c>
      <c r="J42" s="242">
        <f t="shared" si="10"/>
        <v>-2145.9227467811156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43553</v>
      </c>
      <c r="D43" s="161" t="s">
        <v>8</v>
      </c>
      <c r="E43" s="161" t="s">
        <v>58</v>
      </c>
      <c r="F43" s="222">
        <v>772</v>
      </c>
      <c r="G43" s="222">
        <v>769</v>
      </c>
      <c r="H43" s="222">
        <v>3</v>
      </c>
      <c r="I43" s="207">
        <f t="shared" si="9"/>
        <v>388.60103626943004</v>
      </c>
      <c r="J43" s="242">
        <f t="shared" si="10"/>
        <v>1165.8031088082901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85194.26743653891</v>
      </c>
      <c r="K52" s="153"/>
      <c r="V52" s="25">
        <f>SUM(V6:V51)</f>
        <v>33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2669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43525</v>
      </c>
      <c r="D60" s="158" t="s">
        <v>9</v>
      </c>
      <c r="E60" s="158" t="s">
        <v>58</v>
      </c>
      <c r="F60" s="204">
        <v>715</v>
      </c>
      <c r="G60" s="230">
        <v>706.5</v>
      </c>
      <c r="H60" s="230">
        <v>8.5</v>
      </c>
      <c r="I60" s="204">
        <v>1200</v>
      </c>
      <c r="J60" s="241">
        <f t="shared" ref="J60:J82" si="17">I60*H60</f>
        <v>10200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43529</v>
      </c>
      <c r="D61" s="161" t="s">
        <v>8</v>
      </c>
      <c r="E61" s="161" t="s">
        <v>58</v>
      </c>
      <c r="F61" s="207">
        <v>714</v>
      </c>
      <c r="G61" s="222">
        <v>720</v>
      </c>
      <c r="H61" s="222">
        <v>-6</v>
      </c>
      <c r="I61" s="207">
        <v>1200</v>
      </c>
      <c r="J61" s="242">
        <f t="shared" si="17"/>
        <v>-7200</v>
      </c>
      <c r="K61" s="153"/>
      <c r="O61" s="25" t="s">
        <v>2008</v>
      </c>
      <c r="V61" s="25">
        <f t="shared" ref="V61:V82" si="18">IF($J61&gt;0,1,0)</f>
        <v>0</v>
      </c>
      <c r="W61" s="25">
        <f t="shared" ref="W61:W82" si="19">IF($J61&lt;0,1,0)</f>
        <v>1</v>
      </c>
    </row>
    <row r="62" spans="1:23" x14ac:dyDescent="0.3">
      <c r="A62" s="147"/>
      <c r="B62" s="205">
        <f t="shared" ref="B62:B82" si="20">B61+1</f>
        <v>3</v>
      </c>
      <c r="C62" s="206">
        <v>43530</v>
      </c>
      <c r="D62" s="161" t="s">
        <v>8</v>
      </c>
      <c r="E62" s="161" t="s">
        <v>58</v>
      </c>
      <c r="F62" s="222">
        <v>727</v>
      </c>
      <c r="G62" s="222">
        <v>717</v>
      </c>
      <c r="H62" s="222">
        <v>10</v>
      </c>
      <c r="I62" s="207">
        <v>1200</v>
      </c>
      <c r="J62" s="242">
        <f t="shared" si="17"/>
        <v>12000</v>
      </c>
      <c r="K62" s="153"/>
      <c r="V62" s="25">
        <f t="shared" si="18"/>
        <v>1</v>
      </c>
      <c r="W62" s="25">
        <f t="shared" si="19"/>
        <v>0</v>
      </c>
    </row>
    <row r="63" spans="1:23" x14ac:dyDescent="0.3">
      <c r="A63" s="147"/>
      <c r="B63" s="205">
        <f t="shared" si="20"/>
        <v>4</v>
      </c>
      <c r="C63" s="206">
        <v>43531</v>
      </c>
      <c r="D63" s="161" t="s">
        <v>8</v>
      </c>
      <c r="E63" s="161" t="s">
        <v>552</v>
      </c>
      <c r="F63" s="222">
        <v>1535</v>
      </c>
      <c r="G63" s="222">
        <v>1529.5</v>
      </c>
      <c r="H63" s="222">
        <v>5.5</v>
      </c>
      <c r="I63" s="207">
        <v>300</v>
      </c>
      <c r="J63" s="242">
        <f t="shared" si="17"/>
        <v>1650</v>
      </c>
      <c r="K63" s="153"/>
      <c r="L63" s="25" t="s">
        <v>2008</v>
      </c>
      <c r="V63" s="25">
        <f t="shared" si="18"/>
        <v>1</v>
      </c>
      <c r="W63" s="25">
        <f t="shared" si="19"/>
        <v>0</v>
      </c>
    </row>
    <row r="64" spans="1:23" x14ac:dyDescent="0.3">
      <c r="A64" s="147"/>
      <c r="B64" s="205">
        <f t="shared" si="20"/>
        <v>5</v>
      </c>
      <c r="C64" s="206">
        <v>43532</v>
      </c>
      <c r="D64" s="161" t="s">
        <v>8</v>
      </c>
      <c r="E64" s="161" t="s">
        <v>31</v>
      </c>
      <c r="F64" s="222">
        <v>1271</v>
      </c>
      <c r="G64" s="222">
        <v>1274</v>
      </c>
      <c r="H64" s="222">
        <v>-4</v>
      </c>
      <c r="I64" s="207">
        <v>500</v>
      </c>
      <c r="J64" s="242">
        <f t="shared" si="17"/>
        <v>-2000</v>
      </c>
      <c r="K64" s="153"/>
      <c r="V64" s="25">
        <f t="shared" si="18"/>
        <v>0</v>
      </c>
      <c r="W64" s="25">
        <f t="shared" si="19"/>
        <v>1</v>
      </c>
    </row>
    <row r="65" spans="1:23" x14ac:dyDescent="0.3">
      <c r="A65" s="147"/>
      <c r="B65" s="205">
        <f t="shared" si="20"/>
        <v>6</v>
      </c>
      <c r="C65" s="206">
        <v>43535</v>
      </c>
      <c r="D65" s="161" t="s">
        <v>9</v>
      </c>
      <c r="E65" s="161" t="s">
        <v>58</v>
      </c>
      <c r="F65" s="207">
        <v>745</v>
      </c>
      <c r="G65" s="222">
        <v>739</v>
      </c>
      <c r="H65" s="222">
        <v>-6</v>
      </c>
      <c r="I65" s="207">
        <v>1200</v>
      </c>
      <c r="J65" s="242">
        <f t="shared" si="17"/>
        <v>-7200</v>
      </c>
      <c r="K65" s="153"/>
      <c r="V65" s="25">
        <f t="shared" si="18"/>
        <v>0</v>
      </c>
      <c r="W65" s="25">
        <f t="shared" si="19"/>
        <v>1</v>
      </c>
    </row>
    <row r="66" spans="1:23" x14ac:dyDescent="0.3">
      <c r="A66" s="147"/>
      <c r="B66" s="205">
        <f t="shared" si="20"/>
        <v>7</v>
      </c>
      <c r="C66" s="206">
        <v>43536</v>
      </c>
      <c r="D66" s="161" t="s">
        <v>9</v>
      </c>
      <c r="E66" s="161" t="s">
        <v>31</v>
      </c>
      <c r="F66" s="207">
        <v>1330</v>
      </c>
      <c r="G66" s="222">
        <v>1338</v>
      </c>
      <c r="H66" s="222">
        <v>8</v>
      </c>
      <c r="I66" s="207">
        <v>500</v>
      </c>
      <c r="J66" s="242">
        <f t="shared" si="17"/>
        <v>4000</v>
      </c>
      <c r="K66" s="153"/>
      <c r="V66" s="25">
        <f t="shared" si="18"/>
        <v>1</v>
      </c>
      <c r="W66" s="25">
        <f t="shared" si="19"/>
        <v>0</v>
      </c>
    </row>
    <row r="67" spans="1:23" x14ac:dyDescent="0.3">
      <c r="A67" s="147"/>
      <c r="B67" s="205">
        <f t="shared" si="20"/>
        <v>8</v>
      </c>
      <c r="C67" s="206">
        <v>43537</v>
      </c>
      <c r="D67" s="161" t="s">
        <v>8</v>
      </c>
      <c r="E67" s="161" t="s">
        <v>19</v>
      </c>
      <c r="F67" s="207">
        <v>287</v>
      </c>
      <c r="G67" s="222">
        <v>286</v>
      </c>
      <c r="H67" s="222">
        <v>1</v>
      </c>
      <c r="I67" s="207">
        <v>3000</v>
      </c>
      <c r="J67" s="242">
        <f t="shared" si="17"/>
        <v>3000</v>
      </c>
      <c r="K67" s="153"/>
      <c r="V67" s="25">
        <f t="shared" si="18"/>
        <v>1</v>
      </c>
      <c r="W67" s="25">
        <f t="shared" si="19"/>
        <v>0</v>
      </c>
    </row>
    <row r="68" spans="1:23" x14ac:dyDescent="0.3">
      <c r="A68" s="147"/>
      <c r="B68" s="205">
        <f t="shared" si="20"/>
        <v>9</v>
      </c>
      <c r="C68" s="206">
        <v>43538</v>
      </c>
      <c r="D68" s="161" t="s">
        <v>8</v>
      </c>
      <c r="E68" s="161" t="s">
        <v>19</v>
      </c>
      <c r="F68" s="222">
        <v>293</v>
      </c>
      <c r="G68" s="222">
        <v>291.5</v>
      </c>
      <c r="H68" s="222">
        <v>1.5</v>
      </c>
      <c r="I68" s="207">
        <v>3000</v>
      </c>
      <c r="J68" s="242">
        <f t="shared" si="17"/>
        <v>4500</v>
      </c>
      <c r="K68" s="153"/>
      <c r="V68" s="25">
        <f t="shared" si="18"/>
        <v>1</v>
      </c>
      <c r="W68" s="25">
        <f t="shared" si="19"/>
        <v>0</v>
      </c>
    </row>
    <row r="69" spans="1:23" x14ac:dyDescent="0.3">
      <c r="A69" s="147"/>
      <c r="B69" s="205">
        <f t="shared" si="20"/>
        <v>10</v>
      </c>
      <c r="C69" s="206">
        <v>43539</v>
      </c>
      <c r="D69" s="161" t="s">
        <v>9</v>
      </c>
      <c r="E69" s="161" t="s">
        <v>31</v>
      </c>
      <c r="F69" s="222">
        <v>1356</v>
      </c>
      <c r="G69" s="222">
        <v>1346</v>
      </c>
      <c r="H69" s="222">
        <v>-10</v>
      </c>
      <c r="I69" s="207">
        <v>500</v>
      </c>
      <c r="J69" s="242">
        <f t="shared" si="17"/>
        <v>-5000</v>
      </c>
      <c r="K69" s="153"/>
      <c r="V69" s="25">
        <f t="shared" si="18"/>
        <v>0</v>
      </c>
      <c r="W69" s="25">
        <f t="shared" si="19"/>
        <v>1</v>
      </c>
    </row>
    <row r="70" spans="1:23" x14ac:dyDescent="0.3">
      <c r="A70" s="147"/>
      <c r="B70" s="205">
        <f t="shared" si="20"/>
        <v>11</v>
      </c>
      <c r="C70" s="206">
        <v>43542</v>
      </c>
      <c r="D70" s="161" t="s">
        <v>8</v>
      </c>
      <c r="E70" s="161" t="s">
        <v>19</v>
      </c>
      <c r="F70" s="161">
        <v>297</v>
      </c>
      <c r="G70" s="222">
        <v>296</v>
      </c>
      <c r="H70" s="222">
        <v>1</v>
      </c>
      <c r="I70" s="207">
        <v>3000</v>
      </c>
      <c r="J70" s="242">
        <f t="shared" si="17"/>
        <v>3000</v>
      </c>
      <c r="K70" s="153"/>
      <c r="V70" s="25">
        <f t="shared" si="18"/>
        <v>1</v>
      </c>
      <c r="W70" s="25">
        <f t="shared" si="19"/>
        <v>0</v>
      </c>
    </row>
    <row r="71" spans="1:23" x14ac:dyDescent="0.3">
      <c r="A71" s="147"/>
      <c r="B71" s="205">
        <f t="shared" si="20"/>
        <v>12</v>
      </c>
      <c r="C71" s="206">
        <v>43543</v>
      </c>
      <c r="D71" s="161" t="s">
        <v>9</v>
      </c>
      <c r="E71" s="161" t="s">
        <v>552</v>
      </c>
      <c r="F71" s="222">
        <v>1730</v>
      </c>
      <c r="G71" s="222">
        <v>1727</v>
      </c>
      <c r="H71" s="222">
        <v>-3</v>
      </c>
      <c r="I71" s="207">
        <v>300</v>
      </c>
      <c r="J71" s="242">
        <f t="shared" si="17"/>
        <v>-900</v>
      </c>
      <c r="K71" s="153"/>
      <c r="V71" s="25">
        <f t="shared" si="18"/>
        <v>0</v>
      </c>
      <c r="W71" s="25">
        <f t="shared" si="19"/>
        <v>1</v>
      </c>
    </row>
    <row r="72" spans="1:23" x14ac:dyDescent="0.3">
      <c r="A72" s="147"/>
      <c r="B72" s="205">
        <f t="shared" si="20"/>
        <v>13</v>
      </c>
      <c r="C72" s="206">
        <v>43544</v>
      </c>
      <c r="D72" s="161" t="s">
        <v>8</v>
      </c>
      <c r="E72" s="161" t="s">
        <v>58</v>
      </c>
      <c r="F72" s="222">
        <v>760</v>
      </c>
      <c r="G72" s="222">
        <v>757.5</v>
      </c>
      <c r="H72" s="222">
        <v>2.5</v>
      </c>
      <c r="I72" s="207">
        <v>1200</v>
      </c>
      <c r="J72" s="242">
        <f t="shared" si="17"/>
        <v>3000</v>
      </c>
      <c r="K72" s="153"/>
      <c r="V72" s="25">
        <f t="shared" si="18"/>
        <v>1</v>
      </c>
      <c r="W72" s="25">
        <f t="shared" si="19"/>
        <v>0</v>
      </c>
    </row>
    <row r="73" spans="1:23" x14ac:dyDescent="0.3">
      <c r="A73" s="147"/>
      <c r="B73" s="205">
        <f t="shared" si="20"/>
        <v>14</v>
      </c>
      <c r="C73" s="206">
        <v>43546</v>
      </c>
      <c r="D73" s="161" t="s">
        <v>9</v>
      </c>
      <c r="E73" s="161" t="s">
        <v>58</v>
      </c>
      <c r="F73" s="223">
        <v>766</v>
      </c>
      <c r="G73" s="222">
        <v>760</v>
      </c>
      <c r="H73" s="255">
        <v>-6</v>
      </c>
      <c r="I73" s="207">
        <v>1200</v>
      </c>
      <c r="J73" s="242">
        <f t="shared" si="17"/>
        <v>-7200</v>
      </c>
      <c r="K73" s="153"/>
      <c r="V73" s="25">
        <f t="shared" si="18"/>
        <v>0</v>
      </c>
      <c r="W73" s="25">
        <f t="shared" si="19"/>
        <v>1</v>
      </c>
    </row>
    <row r="74" spans="1:23" x14ac:dyDescent="0.3">
      <c r="A74" s="147"/>
      <c r="B74" s="205">
        <f t="shared" si="20"/>
        <v>15</v>
      </c>
      <c r="C74" s="206">
        <v>43549</v>
      </c>
      <c r="D74" s="161" t="s">
        <v>8</v>
      </c>
      <c r="E74" s="161" t="s">
        <v>129</v>
      </c>
      <c r="F74" s="222">
        <v>1955</v>
      </c>
      <c r="G74" s="222">
        <v>1945</v>
      </c>
      <c r="H74" s="255">
        <v>10</v>
      </c>
      <c r="I74" s="207">
        <v>500</v>
      </c>
      <c r="J74" s="242">
        <f t="shared" si="17"/>
        <v>5000</v>
      </c>
      <c r="K74" s="153"/>
      <c r="V74" s="25">
        <f t="shared" si="18"/>
        <v>1</v>
      </c>
      <c r="W74" s="25">
        <f t="shared" si="19"/>
        <v>0</v>
      </c>
    </row>
    <row r="75" spans="1:23" x14ac:dyDescent="0.3">
      <c r="A75" s="147"/>
      <c r="B75" s="205">
        <f t="shared" si="20"/>
        <v>16</v>
      </c>
      <c r="C75" s="206">
        <v>43550</v>
      </c>
      <c r="D75" s="161" t="s">
        <v>9</v>
      </c>
      <c r="E75" s="161" t="s">
        <v>19</v>
      </c>
      <c r="F75" s="222">
        <v>298</v>
      </c>
      <c r="G75" s="222">
        <v>304</v>
      </c>
      <c r="H75" s="222">
        <v>6</v>
      </c>
      <c r="I75" s="207">
        <v>3000</v>
      </c>
      <c r="J75" s="242">
        <f t="shared" si="17"/>
        <v>18000</v>
      </c>
      <c r="K75" s="153"/>
      <c r="V75" s="25">
        <f t="shared" si="18"/>
        <v>1</v>
      </c>
      <c r="W75" s="25">
        <f t="shared" si="19"/>
        <v>0</v>
      </c>
    </row>
    <row r="76" spans="1:23" x14ac:dyDescent="0.3">
      <c r="A76" s="147"/>
      <c r="B76" s="205">
        <f t="shared" si="20"/>
        <v>17</v>
      </c>
      <c r="C76" s="206">
        <v>43551</v>
      </c>
      <c r="D76" s="161" t="s">
        <v>9</v>
      </c>
      <c r="E76" s="161" t="s">
        <v>58</v>
      </c>
      <c r="F76" s="222">
        <v>767</v>
      </c>
      <c r="G76" s="222">
        <v>769</v>
      </c>
      <c r="H76" s="222">
        <v>2</v>
      </c>
      <c r="I76" s="207">
        <v>1200</v>
      </c>
      <c r="J76" s="242">
        <f t="shared" si="17"/>
        <v>2400</v>
      </c>
      <c r="K76" s="153"/>
      <c r="V76" s="25">
        <f t="shared" si="18"/>
        <v>1</v>
      </c>
      <c r="W76" s="25">
        <f t="shared" si="19"/>
        <v>0</v>
      </c>
    </row>
    <row r="77" spans="1:23" x14ac:dyDescent="0.3">
      <c r="A77" s="147"/>
      <c r="B77" s="205">
        <f t="shared" si="20"/>
        <v>18</v>
      </c>
      <c r="C77" s="206">
        <v>43551</v>
      </c>
      <c r="D77" s="161" t="s">
        <v>8</v>
      </c>
      <c r="E77" s="161" t="s">
        <v>78</v>
      </c>
      <c r="F77" s="222">
        <v>1377</v>
      </c>
      <c r="G77" s="222">
        <v>1367</v>
      </c>
      <c r="H77" s="222">
        <v>10</v>
      </c>
      <c r="I77" s="207">
        <v>375</v>
      </c>
      <c r="J77" s="242">
        <f t="shared" si="17"/>
        <v>3750</v>
      </c>
      <c r="K77" s="153"/>
      <c r="V77" s="25">
        <f t="shared" si="18"/>
        <v>1</v>
      </c>
      <c r="W77" s="25">
        <f t="shared" si="19"/>
        <v>0</v>
      </c>
    </row>
    <row r="78" spans="1:23" x14ac:dyDescent="0.3">
      <c r="A78" s="147"/>
      <c r="B78" s="205">
        <f t="shared" si="20"/>
        <v>19</v>
      </c>
      <c r="C78" s="206">
        <v>43552</v>
      </c>
      <c r="D78" s="161" t="s">
        <v>9</v>
      </c>
      <c r="E78" s="161" t="s">
        <v>58</v>
      </c>
      <c r="F78" s="222">
        <v>764</v>
      </c>
      <c r="G78" s="222">
        <v>776</v>
      </c>
      <c r="H78" s="222">
        <v>12</v>
      </c>
      <c r="I78" s="207">
        <v>1200</v>
      </c>
      <c r="J78" s="242">
        <f t="shared" si="17"/>
        <v>14400</v>
      </c>
      <c r="K78" s="153"/>
      <c r="V78" s="25">
        <f t="shared" si="18"/>
        <v>1</v>
      </c>
      <c r="W78" s="25">
        <f t="shared" si="19"/>
        <v>0</v>
      </c>
    </row>
    <row r="79" spans="1:23" x14ac:dyDescent="0.3">
      <c r="A79" s="147"/>
      <c r="B79" s="205">
        <f t="shared" si="20"/>
        <v>20</v>
      </c>
      <c r="C79" s="206">
        <v>43553</v>
      </c>
      <c r="D79" s="161" t="s">
        <v>8</v>
      </c>
      <c r="E79" s="161" t="s">
        <v>58</v>
      </c>
      <c r="F79" s="222">
        <v>776</v>
      </c>
      <c r="G79" s="222">
        <v>773</v>
      </c>
      <c r="H79" s="222">
        <v>3</v>
      </c>
      <c r="I79" s="207">
        <v>1200</v>
      </c>
      <c r="J79" s="242">
        <f t="shared" si="17"/>
        <v>3600</v>
      </c>
      <c r="K79" s="153"/>
      <c r="V79" s="25">
        <f t="shared" si="18"/>
        <v>1</v>
      </c>
      <c r="W79" s="25">
        <f t="shared" si="19"/>
        <v>0</v>
      </c>
    </row>
    <row r="80" spans="1:23" x14ac:dyDescent="0.3">
      <c r="A80" s="147"/>
      <c r="B80" s="205">
        <f t="shared" si="20"/>
        <v>21</v>
      </c>
      <c r="C80" s="206"/>
      <c r="D80" s="161"/>
      <c r="E80" s="161"/>
      <c r="F80" s="222"/>
      <c r="G80" s="222"/>
      <c r="H80" s="222"/>
      <c r="I80" s="207"/>
      <c r="J80" s="242">
        <f t="shared" si="17"/>
        <v>0</v>
      </c>
      <c r="K80" s="153"/>
      <c r="V80" s="25">
        <f t="shared" si="18"/>
        <v>0</v>
      </c>
      <c r="W80" s="25">
        <f t="shared" si="19"/>
        <v>0</v>
      </c>
    </row>
    <row r="81" spans="1:23" x14ac:dyDescent="0.3">
      <c r="A81" s="147"/>
      <c r="B81" s="205">
        <f t="shared" si="20"/>
        <v>22</v>
      </c>
      <c r="C81" s="206"/>
      <c r="D81" s="161"/>
      <c r="E81" s="161"/>
      <c r="F81" s="222"/>
      <c r="G81" s="222"/>
      <c r="H81" s="222"/>
      <c r="I81" s="207"/>
      <c r="J81" s="242">
        <f t="shared" si="17"/>
        <v>0</v>
      </c>
      <c r="K81" s="153"/>
      <c r="V81" s="25">
        <f t="shared" si="18"/>
        <v>0</v>
      </c>
      <c r="W81" s="25">
        <f t="shared" si="19"/>
        <v>0</v>
      </c>
    </row>
    <row r="82" spans="1:23" ht="15" thickBot="1" x14ac:dyDescent="0.35">
      <c r="A82" s="147"/>
      <c r="B82" s="208">
        <f t="shared" si="20"/>
        <v>23</v>
      </c>
      <c r="C82" s="209"/>
      <c r="D82" s="166"/>
      <c r="E82" s="166"/>
      <c r="F82" s="210"/>
      <c r="G82" s="210"/>
      <c r="H82" s="166"/>
      <c r="I82" s="210"/>
      <c r="J82" s="244">
        <f t="shared" si="17"/>
        <v>0</v>
      </c>
      <c r="K82" s="153"/>
      <c r="V82" s="25">
        <f t="shared" si="18"/>
        <v>0</v>
      </c>
      <c r="W82" s="25">
        <f t="shared" si="19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59000</v>
      </c>
      <c r="K83" s="153"/>
      <c r="V83" s="25">
        <f>SUM(V60:V82)</f>
        <v>14</v>
      </c>
      <c r="W83" s="25">
        <f>SUM(W60:W82)</f>
        <v>6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2670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43525</v>
      </c>
      <c r="D91" s="185" t="s">
        <v>8</v>
      </c>
      <c r="E91" s="185" t="s">
        <v>39</v>
      </c>
      <c r="F91" s="219">
        <v>10905</v>
      </c>
      <c r="G91" s="219">
        <v>10877</v>
      </c>
      <c r="H91" s="185">
        <v>28</v>
      </c>
      <c r="I91" s="219">
        <v>150</v>
      </c>
      <c r="J91" s="246">
        <f t="shared" ref="J91:J113" si="21">I91*H91</f>
        <v>4200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43529</v>
      </c>
      <c r="D92" s="161" t="s">
        <v>8</v>
      </c>
      <c r="E92" s="161" t="s">
        <v>39</v>
      </c>
      <c r="F92" s="207">
        <v>10885</v>
      </c>
      <c r="G92" s="207">
        <v>10915</v>
      </c>
      <c r="H92" s="161">
        <v>-30</v>
      </c>
      <c r="I92" s="207">
        <v>150</v>
      </c>
      <c r="J92" s="242">
        <f t="shared" si="21"/>
        <v>-4500</v>
      </c>
      <c r="K92" s="153"/>
      <c r="V92" s="25">
        <f t="shared" ref="V92:V113" si="22">IF($J92&gt;0,1,0)</f>
        <v>0</v>
      </c>
      <c r="W92" s="25">
        <f t="shared" ref="W92:W113" si="23">IF($J92&lt;0,1,0)</f>
        <v>1</v>
      </c>
    </row>
    <row r="93" spans="1:23" x14ac:dyDescent="0.3">
      <c r="A93" s="147"/>
      <c r="B93" s="205">
        <f t="shared" ref="B93:B113" si="24">B92+1</f>
        <v>3</v>
      </c>
      <c r="C93" s="206">
        <v>43530</v>
      </c>
      <c r="D93" s="161" t="s">
        <v>8</v>
      </c>
      <c r="E93" s="161" t="s">
        <v>39</v>
      </c>
      <c r="F93" s="207">
        <v>11075</v>
      </c>
      <c r="G93" s="207">
        <v>11058</v>
      </c>
      <c r="H93" s="161">
        <v>17</v>
      </c>
      <c r="I93" s="207">
        <v>150</v>
      </c>
      <c r="J93" s="242">
        <f t="shared" si="21"/>
        <v>2550</v>
      </c>
      <c r="K93" s="153"/>
      <c r="V93" s="25">
        <f t="shared" si="22"/>
        <v>1</v>
      </c>
      <c r="W93" s="25">
        <f t="shared" si="23"/>
        <v>0</v>
      </c>
    </row>
    <row r="94" spans="1:23" x14ac:dyDescent="0.3">
      <c r="A94" s="147"/>
      <c r="B94" s="205">
        <f t="shared" si="24"/>
        <v>4</v>
      </c>
      <c r="C94" s="206">
        <v>43531</v>
      </c>
      <c r="D94" s="161" t="s">
        <v>8</v>
      </c>
      <c r="E94" s="161" t="s">
        <v>39</v>
      </c>
      <c r="F94" s="207">
        <v>11080</v>
      </c>
      <c r="G94" s="207">
        <v>11065</v>
      </c>
      <c r="H94" s="161">
        <v>15</v>
      </c>
      <c r="I94" s="207">
        <v>150</v>
      </c>
      <c r="J94" s="242">
        <f t="shared" si="21"/>
        <v>2250</v>
      </c>
      <c r="K94" s="153"/>
      <c r="V94" s="25">
        <f t="shared" si="22"/>
        <v>1</v>
      </c>
      <c r="W94" s="25">
        <f t="shared" si="23"/>
        <v>0</v>
      </c>
    </row>
    <row r="95" spans="1:23" x14ac:dyDescent="0.3">
      <c r="A95" s="147"/>
      <c r="B95" s="205">
        <f t="shared" si="24"/>
        <v>5</v>
      </c>
      <c r="C95" s="206">
        <v>43532</v>
      </c>
      <c r="D95" s="161" t="s">
        <v>8</v>
      </c>
      <c r="E95" s="161" t="s">
        <v>39</v>
      </c>
      <c r="F95" s="207">
        <v>11050</v>
      </c>
      <c r="G95" s="207">
        <v>11080</v>
      </c>
      <c r="H95" s="161">
        <v>-30</v>
      </c>
      <c r="I95" s="207">
        <v>150</v>
      </c>
      <c r="J95" s="242">
        <f t="shared" si="21"/>
        <v>-4500</v>
      </c>
      <c r="K95" s="153"/>
      <c r="V95" s="25">
        <f t="shared" si="22"/>
        <v>0</v>
      </c>
      <c r="W95" s="25">
        <f t="shared" si="23"/>
        <v>1</v>
      </c>
    </row>
    <row r="96" spans="1:23" x14ac:dyDescent="0.3">
      <c r="A96" s="147"/>
      <c r="B96" s="205">
        <f t="shared" si="24"/>
        <v>6</v>
      </c>
      <c r="C96" s="206">
        <v>43535</v>
      </c>
      <c r="D96" s="161" t="s">
        <v>9</v>
      </c>
      <c r="E96" s="161" t="s">
        <v>39</v>
      </c>
      <c r="F96" s="207">
        <v>11170</v>
      </c>
      <c r="G96" s="207">
        <v>11200</v>
      </c>
      <c r="H96" s="161">
        <v>30</v>
      </c>
      <c r="I96" s="207">
        <v>150</v>
      </c>
      <c r="J96" s="242">
        <f t="shared" si="21"/>
        <v>4500</v>
      </c>
      <c r="K96" s="153"/>
      <c r="V96" s="25">
        <f t="shared" si="22"/>
        <v>1</v>
      </c>
      <c r="W96" s="25">
        <f t="shared" si="23"/>
        <v>0</v>
      </c>
    </row>
    <row r="97" spans="1:23" x14ac:dyDescent="0.3">
      <c r="A97" s="147"/>
      <c r="B97" s="205">
        <f t="shared" si="24"/>
        <v>7</v>
      </c>
      <c r="C97" s="206">
        <v>43536</v>
      </c>
      <c r="D97" s="161" t="s">
        <v>9</v>
      </c>
      <c r="E97" s="161" t="s">
        <v>39</v>
      </c>
      <c r="F97" s="207">
        <v>11270</v>
      </c>
      <c r="G97" s="207">
        <v>11330</v>
      </c>
      <c r="H97" s="161">
        <v>60</v>
      </c>
      <c r="I97" s="207">
        <v>150</v>
      </c>
      <c r="J97" s="242">
        <f t="shared" si="21"/>
        <v>9000</v>
      </c>
      <c r="K97" s="153"/>
      <c r="V97" s="25">
        <f t="shared" si="22"/>
        <v>1</v>
      </c>
      <c r="W97" s="25">
        <f t="shared" si="23"/>
        <v>0</v>
      </c>
    </row>
    <row r="98" spans="1:23" x14ac:dyDescent="0.3">
      <c r="A98" s="147"/>
      <c r="B98" s="205">
        <f t="shared" si="24"/>
        <v>8</v>
      </c>
      <c r="C98" s="206">
        <v>43537</v>
      </c>
      <c r="D98" s="161" t="s">
        <v>9</v>
      </c>
      <c r="E98" s="161" t="s">
        <v>39</v>
      </c>
      <c r="F98" s="207">
        <v>11340</v>
      </c>
      <c r="G98" s="207">
        <v>11385</v>
      </c>
      <c r="H98" s="161">
        <v>45</v>
      </c>
      <c r="I98" s="207">
        <v>150</v>
      </c>
      <c r="J98" s="242">
        <f t="shared" si="21"/>
        <v>6750</v>
      </c>
      <c r="K98" s="153"/>
      <c r="V98" s="25">
        <f t="shared" si="22"/>
        <v>1</v>
      </c>
      <c r="W98" s="25">
        <f t="shared" si="23"/>
        <v>0</v>
      </c>
    </row>
    <row r="99" spans="1:23" x14ac:dyDescent="0.3">
      <c r="A99" s="147"/>
      <c r="B99" s="205">
        <f t="shared" si="24"/>
        <v>9</v>
      </c>
      <c r="C99" s="206">
        <v>43538</v>
      </c>
      <c r="D99" s="161" t="s">
        <v>9</v>
      </c>
      <c r="E99" s="161" t="s">
        <v>39</v>
      </c>
      <c r="F99" s="207">
        <v>11380</v>
      </c>
      <c r="G99" s="207">
        <v>11350</v>
      </c>
      <c r="H99" s="161">
        <v>-30</v>
      </c>
      <c r="I99" s="207">
        <v>150</v>
      </c>
      <c r="J99" s="242">
        <f t="shared" si="21"/>
        <v>-4500</v>
      </c>
      <c r="K99" s="153"/>
      <c r="V99" s="25">
        <f t="shared" si="22"/>
        <v>0</v>
      </c>
      <c r="W99" s="25">
        <f t="shared" si="23"/>
        <v>1</v>
      </c>
    </row>
    <row r="100" spans="1:23" x14ac:dyDescent="0.3">
      <c r="A100" s="147"/>
      <c r="B100" s="205">
        <f t="shared" si="24"/>
        <v>10</v>
      </c>
      <c r="C100" s="206">
        <v>43539</v>
      </c>
      <c r="D100" s="161" t="s">
        <v>9</v>
      </c>
      <c r="E100" s="161" t="s">
        <v>39</v>
      </c>
      <c r="F100" s="207">
        <v>11440</v>
      </c>
      <c r="G100" s="207">
        <v>11500</v>
      </c>
      <c r="H100" s="161">
        <v>60</v>
      </c>
      <c r="I100" s="207">
        <v>150</v>
      </c>
      <c r="J100" s="242">
        <f t="shared" si="21"/>
        <v>9000</v>
      </c>
      <c r="K100" s="153"/>
      <c r="V100" s="25">
        <f t="shared" si="22"/>
        <v>1</v>
      </c>
      <c r="W100" s="25">
        <f t="shared" si="23"/>
        <v>0</v>
      </c>
    </row>
    <row r="101" spans="1:23" x14ac:dyDescent="0.3">
      <c r="A101" s="147"/>
      <c r="B101" s="205">
        <f t="shared" si="24"/>
        <v>11</v>
      </c>
      <c r="C101" s="206">
        <v>43542</v>
      </c>
      <c r="D101" s="161" t="s">
        <v>9</v>
      </c>
      <c r="E101" s="161" t="s">
        <v>39</v>
      </c>
      <c r="F101" s="207">
        <v>11540</v>
      </c>
      <c r="G101" s="207">
        <v>11510</v>
      </c>
      <c r="H101" s="161">
        <v>-30</v>
      </c>
      <c r="I101" s="207">
        <v>150</v>
      </c>
      <c r="J101" s="242">
        <f t="shared" si="21"/>
        <v>-4500</v>
      </c>
      <c r="K101" s="153"/>
      <c r="V101" s="25">
        <f t="shared" si="22"/>
        <v>0</v>
      </c>
      <c r="W101" s="25">
        <f t="shared" si="23"/>
        <v>1</v>
      </c>
    </row>
    <row r="102" spans="1:23" x14ac:dyDescent="0.3">
      <c r="A102" s="147"/>
      <c r="B102" s="205">
        <f t="shared" si="24"/>
        <v>12</v>
      </c>
      <c r="C102" s="206">
        <v>43543</v>
      </c>
      <c r="D102" s="161" t="s">
        <v>9</v>
      </c>
      <c r="E102" s="161" t="s">
        <v>39</v>
      </c>
      <c r="F102" s="207">
        <v>11505</v>
      </c>
      <c r="G102" s="207">
        <v>11565</v>
      </c>
      <c r="H102" s="161">
        <v>60</v>
      </c>
      <c r="I102" s="207">
        <v>150</v>
      </c>
      <c r="J102" s="242">
        <f t="shared" si="21"/>
        <v>9000</v>
      </c>
      <c r="K102" s="153"/>
      <c r="V102" s="25">
        <f t="shared" si="22"/>
        <v>1</v>
      </c>
      <c r="W102" s="25">
        <f t="shared" si="23"/>
        <v>0</v>
      </c>
    </row>
    <row r="103" spans="1:23" x14ac:dyDescent="0.3">
      <c r="A103" s="147"/>
      <c r="B103" s="205">
        <f t="shared" si="24"/>
        <v>13</v>
      </c>
      <c r="C103" s="206">
        <v>43544</v>
      </c>
      <c r="D103" s="161" t="s">
        <v>9</v>
      </c>
      <c r="E103" s="161" t="s">
        <v>39</v>
      </c>
      <c r="F103" s="207">
        <v>11560</v>
      </c>
      <c r="G103" s="207">
        <v>11577</v>
      </c>
      <c r="H103" s="161">
        <v>17</v>
      </c>
      <c r="I103" s="207">
        <v>150</v>
      </c>
      <c r="J103" s="242">
        <f t="shared" si="21"/>
        <v>2550</v>
      </c>
      <c r="K103" s="153"/>
      <c r="V103" s="25">
        <f t="shared" si="22"/>
        <v>1</v>
      </c>
      <c r="W103" s="25">
        <f t="shared" si="23"/>
        <v>0</v>
      </c>
    </row>
    <row r="104" spans="1:23" x14ac:dyDescent="0.3">
      <c r="A104" s="147"/>
      <c r="B104" s="205">
        <f t="shared" si="24"/>
        <v>14</v>
      </c>
      <c r="C104" s="206">
        <v>43546</v>
      </c>
      <c r="D104" s="161" t="s">
        <v>8</v>
      </c>
      <c r="E104" s="161" t="s">
        <v>39</v>
      </c>
      <c r="F104" s="207">
        <v>11520</v>
      </c>
      <c r="G104" s="207">
        <v>11460</v>
      </c>
      <c r="H104" s="161">
        <v>60</v>
      </c>
      <c r="I104" s="207">
        <v>150</v>
      </c>
      <c r="J104" s="242">
        <f t="shared" si="21"/>
        <v>9000</v>
      </c>
      <c r="K104" s="153"/>
      <c r="V104" s="25">
        <f t="shared" si="22"/>
        <v>1</v>
      </c>
      <c r="W104" s="25">
        <f t="shared" si="23"/>
        <v>0</v>
      </c>
    </row>
    <row r="105" spans="1:23" x14ac:dyDescent="0.3">
      <c r="A105" s="147"/>
      <c r="B105" s="205">
        <f t="shared" si="24"/>
        <v>15</v>
      </c>
      <c r="C105" s="206">
        <v>43549</v>
      </c>
      <c r="D105" s="161" t="s">
        <v>8</v>
      </c>
      <c r="E105" s="161" t="s">
        <v>39</v>
      </c>
      <c r="F105" s="207">
        <v>11370</v>
      </c>
      <c r="G105" s="207">
        <v>11340</v>
      </c>
      <c r="H105" s="161">
        <v>30</v>
      </c>
      <c r="I105" s="207">
        <v>150</v>
      </c>
      <c r="J105" s="242">
        <f t="shared" si="21"/>
        <v>4500</v>
      </c>
      <c r="K105" s="153"/>
      <c r="V105" s="25">
        <f t="shared" si="22"/>
        <v>1</v>
      </c>
      <c r="W105" s="25">
        <f t="shared" si="23"/>
        <v>0</v>
      </c>
    </row>
    <row r="106" spans="1:23" x14ac:dyDescent="0.3">
      <c r="A106" s="147"/>
      <c r="B106" s="205">
        <f t="shared" si="24"/>
        <v>16</v>
      </c>
      <c r="C106" s="206">
        <v>43550</v>
      </c>
      <c r="D106" s="161" t="s">
        <v>9</v>
      </c>
      <c r="E106" s="161" t="s">
        <v>39</v>
      </c>
      <c r="F106" s="207">
        <v>10400</v>
      </c>
      <c r="G106" s="207">
        <v>11370</v>
      </c>
      <c r="H106" s="161">
        <v>-30</v>
      </c>
      <c r="I106" s="207">
        <v>150</v>
      </c>
      <c r="J106" s="242">
        <f t="shared" si="21"/>
        <v>-4500</v>
      </c>
      <c r="K106" s="153"/>
      <c r="V106" s="25">
        <f t="shared" si="22"/>
        <v>0</v>
      </c>
      <c r="W106" s="25">
        <f t="shared" si="23"/>
        <v>1</v>
      </c>
    </row>
    <row r="107" spans="1:23" x14ac:dyDescent="0.3">
      <c r="A107" s="147"/>
      <c r="B107" s="205">
        <f t="shared" si="24"/>
        <v>17</v>
      </c>
      <c r="C107" s="206">
        <v>43551</v>
      </c>
      <c r="D107" s="161" t="s">
        <v>9</v>
      </c>
      <c r="E107" s="161" t="s">
        <v>39</v>
      </c>
      <c r="F107" s="207">
        <v>11540</v>
      </c>
      <c r="G107" s="207">
        <v>11570</v>
      </c>
      <c r="H107" s="161">
        <v>30</v>
      </c>
      <c r="I107" s="207">
        <v>150</v>
      </c>
      <c r="J107" s="242">
        <f t="shared" si="21"/>
        <v>4500</v>
      </c>
      <c r="K107" s="153"/>
      <c r="V107" s="25">
        <f t="shared" si="22"/>
        <v>1</v>
      </c>
      <c r="W107" s="25">
        <f t="shared" si="23"/>
        <v>0</v>
      </c>
    </row>
    <row r="108" spans="1:23" x14ac:dyDescent="0.3">
      <c r="A108" s="147"/>
      <c r="B108" s="205">
        <f t="shared" si="24"/>
        <v>18</v>
      </c>
      <c r="C108" s="206">
        <v>43552</v>
      </c>
      <c r="D108" s="161" t="s">
        <v>9</v>
      </c>
      <c r="E108" s="161" t="s">
        <v>39</v>
      </c>
      <c r="F108" s="207">
        <v>11470</v>
      </c>
      <c r="G108" s="207">
        <v>11530</v>
      </c>
      <c r="H108" s="161">
        <v>60</v>
      </c>
      <c r="I108" s="207">
        <v>150</v>
      </c>
      <c r="J108" s="242">
        <f t="shared" si="21"/>
        <v>9000</v>
      </c>
      <c r="K108" s="153"/>
      <c r="V108" s="25">
        <f t="shared" si="22"/>
        <v>1</v>
      </c>
      <c r="W108" s="25">
        <f t="shared" si="23"/>
        <v>0</v>
      </c>
    </row>
    <row r="109" spans="1:23" x14ac:dyDescent="0.3">
      <c r="A109" s="147"/>
      <c r="B109" s="205">
        <f t="shared" si="24"/>
        <v>19</v>
      </c>
      <c r="C109" s="206">
        <v>43553</v>
      </c>
      <c r="D109" s="161" t="s">
        <v>9</v>
      </c>
      <c r="E109" s="161" t="s">
        <v>39</v>
      </c>
      <c r="F109" s="207">
        <v>11660</v>
      </c>
      <c r="G109" s="207">
        <v>11704</v>
      </c>
      <c r="H109" s="161">
        <v>50</v>
      </c>
      <c r="I109" s="207">
        <v>150</v>
      </c>
      <c r="J109" s="242">
        <f>I109*H109</f>
        <v>7500</v>
      </c>
      <c r="K109" s="153"/>
      <c r="V109" s="25">
        <f t="shared" si="22"/>
        <v>1</v>
      </c>
      <c r="W109" s="25">
        <f t="shared" si="23"/>
        <v>0</v>
      </c>
    </row>
    <row r="110" spans="1:23" x14ac:dyDescent="0.3">
      <c r="A110" s="147"/>
      <c r="B110" s="205">
        <f t="shared" si="24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21"/>
        <v>0</v>
      </c>
      <c r="K110" s="153"/>
      <c r="V110" s="25">
        <f t="shared" si="22"/>
        <v>0</v>
      </c>
      <c r="W110" s="25">
        <f t="shared" si="23"/>
        <v>0</v>
      </c>
    </row>
    <row r="111" spans="1:23" x14ac:dyDescent="0.3">
      <c r="A111" s="147"/>
      <c r="B111" s="205">
        <f t="shared" si="24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21"/>
        <v>0</v>
      </c>
      <c r="K111" s="153"/>
      <c r="V111" s="25">
        <f t="shared" si="22"/>
        <v>0</v>
      </c>
      <c r="W111" s="25">
        <f t="shared" si="23"/>
        <v>0</v>
      </c>
    </row>
    <row r="112" spans="1:23" x14ac:dyDescent="0.3">
      <c r="A112" s="147"/>
      <c r="B112" s="205">
        <f t="shared" si="24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21"/>
        <v>0</v>
      </c>
      <c r="K112" s="153"/>
      <c r="V112" s="25">
        <f t="shared" si="22"/>
        <v>0</v>
      </c>
      <c r="W112" s="25">
        <f t="shared" si="23"/>
        <v>0</v>
      </c>
    </row>
    <row r="113" spans="1:23" ht="15" thickBot="1" x14ac:dyDescent="0.35">
      <c r="A113" s="147"/>
      <c r="B113" s="208">
        <f t="shared" si="24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21"/>
        <v>0</v>
      </c>
      <c r="K113" s="153"/>
      <c r="V113" s="25">
        <f t="shared" si="22"/>
        <v>0</v>
      </c>
      <c r="W113" s="25">
        <f t="shared" si="23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61800</v>
      </c>
      <c r="K114" s="153"/>
      <c r="V114" s="25">
        <f>SUM(V91:V113)</f>
        <v>14</v>
      </c>
      <c r="W114" s="25">
        <f>SUM(W91:W113)</f>
        <v>5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2671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43525</v>
      </c>
      <c r="D122" s="185" t="s">
        <v>9</v>
      </c>
      <c r="E122" s="185" t="s">
        <v>2646</v>
      </c>
      <c r="F122" s="219">
        <v>93</v>
      </c>
      <c r="G122" s="219">
        <v>103</v>
      </c>
      <c r="H122" s="185">
        <v>10</v>
      </c>
      <c r="I122" s="219">
        <v>300</v>
      </c>
      <c r="J122" s="246">
        <f t="shared" ref="J122:J144" si="25">I122*H122</f>
        <v>3000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43530</v>
      </c>
      <c r="D123" s="161" t="s">
        <v>9</v>
      </c>
      <c r="E123" s="161" t="s">
        <v>2520</v>
      </c>
      <c r="F123" s="207">
        <v>78</v>
      </c>
      <c r="G123" s="207">
        <v>93</v>
      </c>
      <c r="H123" s="161">
        <v>15</v>
      </c>
      <c r="I123" s="207">
        <v>300</v>
      </c>
      <c r="J123" s="242">
        <f t="shared" si="25"/>
        <v>4500</v>
      </c>
      <c r="K123" s="153"/>
      <c r="V123" s="25">
        <f t="shared" ref="V123:V144" si="26">IF($J123&gt;0,1,0)</f>
        <v>1</v>
      </c>
      <c r="W123" s="25">
        <f t="shared" ref="W123:W144" si="27">IF($J123&lt;0,1,0)</f>
        <v>0</v>
      </c>
    </row>
    <row r="124" spans="1:23" x14ac:dyDescent="0.3">
      <c r="A124" s="147"/>
      <c r="B124" s="205">
        <f t="shared" ref="B124:B144" si="28">B123+1</f>
        <v>3</v>
      </c>
      <c r="C124" s="206">
        <v>43531</v>
      </c>
      <c r="D124" s="161" t="s">
        <v>9</v>
      </c>
      <c r="E124" s="161" t="s">
        <v>2520</v>
      </c>
      <c r="F124" s="207">
        <v>50</v>
      </c>
      <c r="G124" s="207">
        <v>70</v>
      </c>
      <c r="H124" s="161">
        <v>20</v>
      </c>
      <c r="I124" s="207">
        <v>300</v>
      </c>
      <c r="J124" s="242">
        <f t="shared" si="25"/>
        <v>6000</v>
      </c>
      <c r="K124" s="153"/>
      <c r="V124" s="25">
        <f t="shared" si="26"/>
        <v>1</v>
      </c>
      <c r="W124" s="25">
        <f t="shared" si="27"/>
        <v>0</v>
      </c>
    </row>
    <row r="125" spans="1:23" x14ac:dyDescent="0.3">
      <c r="A125" s="147"/>
      <c r="B125" s="205">
        <f t="shared" si="28"/>
        <v>4</v>
      </c>
      <c r="C125" s="206">
        <v>43532</v>
      </c>
      <c r="D125" s="161" t="s">
        <v>9</v>
      </c>
      <c r="E125" s="161" t="s">
        <v>2520</v>
      </c>
      <c r="F125" s="207">
        <v>115</v>
      </c>
      <c r="G125" s="207">
        <v>125</v>
      </c>
      <c r="H125" s="161">
        <v>10</v>
      </c>
      <c r="I125" s="207">
        <v>300</v>
      </c>
      <c r="J125" s="242">
        <f t="shared" si="25"/>
        <v>3000</v>
      </c>
      <c r="K125" s="153"/>
      <c r="V125" s="25">
        <f t="shared" si="26"/>
        <v>1</v>
      </c>
      <c r="W125" s="25">
        <f t="shared" si="27"/>
        <v>0</v>
      </c>
    </row>
    <row r="126" spans="1:23" x14ac:dyDescent="0.3">
      <c r="A126" s="147"/>
      <c r="B126" s="205">
        <f t="shared" si="28"/>
        <v>5</v>
      </c>
      <c r="C126" s="206">
        <v>43535</v>
      </c>
      <c r="D126" s="161" t="s">
        <v>9</v>
      </c>
      <c r="E126" s="161" t="s">
        <v>2442</v>
      </c>
      <c r="F126" s="207">
        <v>148</v>
      </c>
      <c r="G126" s="207">
        <v>178</v>
      </c>
      <c r="H126" s="161">
        <v>30</v>
      </c>
      <c r="I126" s="207">
        <v>300</v>
      </c>
      <c r="J126" s="242">
        <f t="shared" si="25"/>
        <v>9000</v>
      </c>
      <c r="K126" s="153"/>
      <c r="M126" s="25" t="s">
        <v>2008</v>
      </c>
      <c r="V126" s="25">
        <f t="shared" si="26"/>
        <v>1</v>
      </c>
      <c r="W126" s="25">
        <f t="shared" si="27"/>
        <v>0</v>
      </c>
    </row>
    <row r="127" spans="1:23" x14ac:dyDescent="0.3">
      <c r="A127" s="147"/>
      <c r="B127" s="205">
        <f t="shared" si="28"/>
        <v>6</v>
      </c>
      <c r="C127" s="206">
        <v>43536</v>
      </c>
      <c r="D127" s="161" t="s">
        <v>9</v>
      </c>
      <c r="E127" s="161" t="s">
        <v>2451</v>
      </c>
      <c r="F127" s="207">
        <v>145</v>
      </c>
      <c r="G127" s="222">
        <v>185</v>
      </c>
      <c r="H127" s="222">
        <v>40</v>
      </c>
      <c r="I127" s="207">
        <v>300</v>
      </c>
      <c r="J127" s="242">
        <f t="shared" si="25"/>
        <v>12000</v>
      </c>
      <c r="K127" s="153"/>
      <c r="V127" s="25">
        <f t="shared" si="26"/>
        <v>1</v>
      </c>
      <c r="W127" s="25">
        <f t="shared" si="27"/>
        <v>0</v>
      </c>
    </row>
    <row r="128" spans="1:23" x14ac:dyDescent="0.3">
      <c r="A128" s="147"/>
      <c r="B128" s="205">
        <f t="shared" si="28"/>
        <v>7</v>
      </c>
      <c r="C128" s="206">
        <v>43537</v>
      </c>
      <c r="D128" s="161" t="s">
        <v>9</v>
      </c>
      <c r="E128" s="161" t="s">
        <v>2445</v>
      </c>
      <c r="F128" s="207">
        <v>110</v>
      </c>
      <c r="G128" s="207">
        <v>150</v>
      </c>
      <c r="H128" s="161">
        <v>40</v>
      </c>
      <c r="I128" s="207">
        <v>300</v>
      </c>
      <c r="J128" s="242">
        <f t="shared" si="25"/>
        <v>12000</v>
      </c>
      <c r="K128" s="153"/>
      <c r="V128" s="25">
        <f t="shared" si="26"/>
        <v>1</v>
      </c>
      <c r="W128" s="25">
        <f t="shared" si="27"/>
        <v>0</v>
      </c>
    </row>
    <row r="129" spans="1:23" x14ac:dyDescent="0.3">
      <c r="A129" s="147"/>
      <c r="B129" s="205">
        <f t="shared" si="28"/>
        <v>8</v>
      </c>
      <c r="C129" s="206">
        <v>43538</v>
      </c>
      <c r="D129" s="161" t="s">
        <v>9</v>
      </c>
      <c r="E129" s="161" t="s">
        <v>2445</v>
      </c>
      <c r="F129" s="207">
        <v>135</v>
      </c>
      <c r="G129" s="207">
        <v>115</v>
      </c>
      <c r="H129" s="161">
        <v>-20</v>
      </c>
      <c r="I129" s="207">
        <v>300</v>
      </c>
      <c r="J129" s="242">
        <f t="shared" si="25"/>
        <v>-6000</v>
      </c>
      <c r="K129" s="153"/>
      <c r="V129" s="25">
        <f t="shared" si="26"/>
        <v>0</v>
      </c>
      <c r="W129" s="25">
        <f t="shared" si="27"/>
        <v>1</v>
      </c>
    </row>
    <row r="130" spans="1:23" x14ac:dyDescent="0.3">
      <c r="A130" s="147"/>
      <c r="B130" s="205">
        <f t="shared" si="28"/>
        <v>9</v>
      </c>
      <c r="C130" s="206">
        <v>43539</v>
      </c>
      <c r="D130" s="161" t="s">
        <v>9</v>
      </c>
      <c r="E130" s="161" t="s">
        <v>2652</v>
      </c>
      <c r="F130" s="207">
        <v>155</v>
      </c>
      <c r="G130" s="207">
        <v>135</v>
      </c>
      <c r="H130" s="161">
        <v>-20</v>
      </c>
      <c r="I130" s="207">
        <v>300</v>
      </c>
      <c r="J130" s="242">
        <f t="shared" si="25"/>
        <v>-6000</v>
      </c>
      <c r="K130" s="153"/>
      <c r="V130" s="25">
        <f t="shared" si="26"/>
        <v>0</v>
      </c>
      <c r="W130" s="25">
        <f t="shared" si="27"/>
        <v>1</v>
      </c>
    </row>
    <row r="131" spans="1:23" x14ac:dyDescent="0.3">
      <c r="A131" s="147"/>
      <c r="B131" s="205">
        <f t="shared" si="28"/>
        <v>10</v>
      </c>
      <c r="C131" s="206">
        <v>43542</v>
      </c>
      <c r="D131" s="161" t="s">
        <v>9</v>
      </c>
      <c r="E131" s="161" t="s">
        <v>2538</v>
      </c>
      <c r="F131" s="207">
        <v>142</v>
      </c>
      <c r="G131" s="207">
        <v>122</v>
      </c>
      <c r="H131" s="161">
        <v>-20</v>
      </c>
      <c r="I131" s="207">
        <v>300</v>
      </c>
      <c r="J131" s="242">
        <f t="shared" si="25"/>
        <v>-6000</v>
      </c>
      <c r="K131" s="153"/>
      <c r="V131" s="25">
        <f t="shared" si="26"/>
        <v>0</v>
      </c>
      <c r="W131" s="25">
        <f t="shared" si="27"/>
        <v>1</v>
      </c>
    </row>
    <row r="132" spans="1:23" x14ac:dyDescent="0.3">
      <c r="A132" s="147"/>
      <c r="B132" s="205">
        <f t="shared" si="28"/>
        <v>11</v>
      </c>
      <c r="C132" s="206">
        <v>43543</v>
      </c>
      <c r="D132" s="161" t="s">
        <v>9</v>
      </c>
      <c r="E132" s="161" t="s">
        <v>2538</v>
      </c>
      <c r="F132" s="207">
        <v>90</v>
      </c>
      <c r="G132" s="207">
        <v>130</v>
      </c>
      <c r="H132" s="161">
        <v>40</v>
      </c>
      <c r="I132" s="207">
        <v>300</v>
      </c>
      <c r="J132" s="242">
        <f t="shared" si="25"/>
        <v>12000</v>
      </c>
      <c r="K132" s="153"/>
      <c r="V132" s="25">
        <f t="shared" si="26"/>
        <v>1</v>
      </c>
      <c r="W132" s="25">
        <f t="shared" si="27"/>
        <v>0</v>
      </c>
    </row>
    <row r="133" spans="1:23" x14ac:dyDescent="0.3">
      <c r="A133" s="147"/>
      <c r="B133" s="205">
        <f t="shared" si="28"/>
        <v>12</v>
      </c>
      <c r="C133" s="206">
        <v>43544</v>
      </c>
      <c r="D133" s="161" t="s">
        <v>9</v>
      </c>
      <c r="E133" s="161" t="s">
        <v>2538</v>
      </c>
      <c r="F133" s="207">
        <v>125</v>
      </c>
      <c r="G133" s="207">
        <v>135</v>
      </c>
      <c r="H133" s="161">
        <v>10</v>
      </c>
      <c r="I133" s="207">
        <v>300</v>
      </c>
      <c r="J133" s="242">
        <f t="shared" si="25"/>
        <v>3000</v>
      </c>
      <c r="K133" s="153"/>
      <c r="V133" s="25">
        <f t="shared" si="26"/>
        <v>1</v>
      </c>
      <c r="W133" s="25">
        <f t="shared" si="27"/>
        <v>0</v>
      </c>
    </row>
    <row r="134" spans="1:23" x14ac:dyDescent="0.3">
      <c r="A134" s="147"/>
      <c r="B134" s="205">
        <f t="shared" si="28"/>
        <v>13</v>
      </c>
      <c r="C134" s="206">
        <v>43546</v>
      </c>
      <c r="D134" s="161" t="s">
        <v>9</v>
      </c>
      <c r="E134" s="161" t="s">
        <v>2541</v>
      </c>
      <c r="F134" s="207">
        <v>120</v>
      </c>
      <c r="G134" s="207">
        <v>100</v>
      </c>
      <c r="H134" s="161">
        <v>-20</v>
      </c>
      <c r="I134" s="207">
        <v>300</v>
      </c>
      <c r="J134" s="242">
        <f t="shared" si="25"/>
        <v>-6000</v>
      </c>
      <c r="K134" s="153"/>
      <c r="V134" s="25">
        <f t="shared" si="26"/>
        <v>0</v>
      </c>
      <c r="W134" s="25">
        <f t="shared" si="27"/>
        <v>1</v>
      </c>
    </row>
    <row r="135" spans="1:23" x14ac:dyDescent="0.3">
      <c r="A135" s="147"/>
      <c r="B135" s="205">
        <f t="shared" si="28"/>
        <v>14</v>
      </c>
      <c r="C135" s="206">
        <v>43549</v>
      </c>
      <c r="D135" s="161" t="s">
        <v>9</v>
      </c>
      <c r="E135" s="161" t="s">
        <v>2545</v>
      </c>
      <c r="F135" s="207">
        <v>145</v>
      </c>
      <c r="G135" s="207">
        <v>165</v>
      </c>
      <c r="H135" s="161">
        <v>20</v>
      </c>
      <c r="I135" s="207">
        <v>300</v>
      </c>
      <c r="J135" s="242">
        <f>I135*H135</f>
        <v>6000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8"/>
        <v>15</v>
      </c>
      <c r="C136" s="206">
        <v>43550</v>
      </c>
      <c r="D136" s="161" t="s">
        <v>9</v>
      </c>
      <c r="E136" s="161" t="s">
        <v>2536</v>
      </c>
      <c r="F136" s="207">
        <v>115</v>
      </c>
      <c r="G136" s="207">
        <v>95</v>
      </c>
      <c r="H136" s="161">
        <v>-20</v>
      </c>
      <c r="I136" s="207">
        <v>300</v>
      </c>
      <c r="J136" s="242">
        <f t="shared" si="25"/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8"/>
        <v>16</v>
      </c>
      <c r="C137" s="206">
        <v>43551</v>
      </c>
      <c r="D137" s="161" t="s">
        <v>9</v>
      </c>
      <c r="E137" s="161" t="s">
        <v>2538</v>
      </c>
      <c r="F137" s="207">
        <v>157</v>
      </c>
      <c r="G137" s="207">
        <v>137</v>
      </c>
      <c r="H137" s="161">
        <v>-20</v>
      </c>
      <c r="I137" s="207">
        <v>300</v>
      </c>
      <c r="J137" s="242">
        <f t="shared" si="25"/>
        <v>-6000</v>
      </c>
      <c r="K137" s="153"/>
      <c r="V137" s="25">
        <f t="shared" si="26"/>
        <v>0</v>
      </c>
      <c r="W137" s="25">
        <f t="shared" si="27"/>
        <v>1</v>
      </c>
    </row>
    <row r="138" spans="1:23" x14ac:dyDescent="0.3">
      <c r="A138" s="147"/>
      <c r="B138" s="205">
        <f t="shared" si="28"/>
        <v>17</v>
      </c>
      <c r="C138" s="206">
        <v>43552</v>
      </c>
      <c r="D138" s="161" t="s">
        <v>9</v>
      </c>
      <c r="E138" s="161" t="s">
        <v>2538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5"/>
        <v>12000</v>
      </c>
      <c r="K138" s="153"/>
      <c r="V138" s="25">
        <f t="shared" si="26"/>
        <v>1</v>
      </c>
      <c r="W138" s="25">
        <f t="shared" si="27"/>
        <v>0</v>
      </c>
    </row>
    <row r="139" spans="1:23" x14ac:dyDescent="0.3">
      <c r="A139" s="147"/>
      <c r="B139" s="205">
        <f t="shared" si="28"/>
        <v>18</v>
      </c>
      <c r="C139" s="206">
        <v>43553</v>
      </c>
      <c r="D139" s="161" t="s">
        <v>9</v>
      </c>
      <c r="E139" s="161" t="s">
        <v>2561</v>
      </c>
      <c r="F139" s="207">
        <v>95</v>
      </c>
      <c r="G139" s="207">
        <v>115</v>
      </c>
      <c r="H139" s="161">
        <v>20</v>
      </c>
      <c r="I139" s="207">
        <v>300</v>
      </c>
      <c r="J139" s="242">
        <f t="shared" si="25"/>
        <v>6000</v>
      </c>
      <c r="K139" s="153"/>
      <c r="V139" s="25">
        <f t="shared" si="26"/>
        <v>1</v>
      </c>
      <c r="W139" s="25">
        <f t="shared" si="27"/>
        <v>0</v>
      </c>
    </row>
    <row r="140" spans="1:23" x14ac:dyDescent="0.3">
      <c r="A140" s="147"/>
      <c r="B140" s="205">
        <f t="shared" si="28"/>
        <v>19</v>
      </c>
      <c r="C140" s="206"/>
      <c r="D140" s="161"/>
      <c r="E140" s="161"/>
      <c r="F140" s="207"/>
      <c r="G140" s="207"/>
      <c r="H140" s="161"/>
      <c r="I140" s="207"/>
      <c r="J140" s="242">
        <f t="shared" si="25"/>
        <v>0</v>
      </c>
      <c r="K140" s="153"/>
      <c r="V140" s="25">
        <f t="shared" si="26"/>
        <v>0</v>
      </c>
      <c r="W140" s="25">
        <f t="shared" si="27"/>
        <v>0</v>
      </c>
    </row>
    <row r="141" spans="1:23" x14ac:dyDescent="0.3">
      <c r="A141" s="147"/>
      <c r="B141" s="205">
        <f t="shared" si="28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5"/>
        <v>0</v>
      </c>
      <c r="K141" s="153"/>
      <c r="V141" s="25">
        <f t="shared" si="26"/>
        <v>0</v>
      </c>
      <c r="W141" s="25">
        <f t="shared" si="27"/>
        <v>0</v>
      </c>
    </row>
    <row r="142" spans="1:23" x14ac:dyDescent="0.3">
      <c r="A142" s="147"/>
      <c r="B142" s="205">
        <f t="shared" si="28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5"/>
        <v>0</v>
      </c>
      <c r="K142" s="153"/>
      <c r="V142" s="25">
        <f t="shared" si="26"/>
        <v>0</v>
      </c>
      <c r="W142" s="25">
        <f t="shared" si="27"/>
        <v>0</v>
      </c>
    </row>
    <row r="143" spans="1:23" x14ac:dyDescent="0.3">
      <c r="A143" s="147"/>
      <c r="B143" s="205">
        <f t="shared" si="28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5"/>
        <v>0</v>
      </c>
      <c r="K143" s="153"/>
      <c r="V143" s="25">
        <f t="shared" si="26"/>
        <v>0</v>
      </c>
      <c r="W143" s="25">
        <f t="shared" si="27"/>
        <v>0</v>
      </c>
    </row>
    <row r="144" spans="1:23" ht="15" thickBot="1" x14ac:dyDescent="0.35">
      <c r="A144" s="147"/>
      <c r="B144" s="208">
        <f t="shared" si="28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5"/>
        <v>0</v>
      </c>
      <c r="K144" s="153"/>
      <c r="V144" s="25">
        <f t="shared" si="26"/>
        <v>0</v>
      </c>
      <c r="W144" s="25">
        <f t="shared" si="27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52500</v>
      </c>
      <c r="K145" s="153"/>
      <c r="V145" s="25">
        <f>SUM(V122:V144)</f>
        <v>12</v>
      </c>
      <c r="W145" s="25">
        <f>SUM(W122:W144)</f>
        <v>6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2669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43525</v>
      </c>
      <c r="D153" s="185" t="s">
        <v>8</v>
      </c>
      <c r="E153" s="185" t="s">
        <v>301</v>
      </c>
      <c r="F153" s="219">
        <v>27150</v>
      </c>
      <c r="G153" s="219">
        <v>27100</v>
      </c>
      <c r="H153" s="185">
        <v>50</v>
      </c>
      <c r="I153" s="219">
        <v>40</v>
      </c>
      <c r="J153" s="246">
        <f t="shared" ref="J153:J175" si="29">I153*H153</f>
        <v>2000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43529</v>
      </c>
      <c r="D154" s="161" t="s">
        <v>8</v>
      </c>
      <c r="E154" s="161" t="s">
        <v>301</v>
      </c>
      <c r="F154" s="207">
        <v>27180</v>
      </c>
      <c r="G154" s="207">
        <v>27280</v>
      </c>
      <c r="H154" s="161">
        <v>-100</v>
      </c>
      <c r="I154" s="207">
        <v>40</v>
      </c>
      <c r="J154" s="242">
        <f t="shared" si="29"/>
        <v>-4000</v>
      </c>
      <c r="K154" s="153"/>
      <c r="V154" s="25">
        <f t="shared" ref="V154:V175" si="30">IF($J154&gt;0,1,0)</f>
        <v>0</v>
      </c>
      <c r="W154" s="25">
        <f t="shared" ref="W154:W175" si="31">IF($J154&lt;0,1,0)</f>
        <v>1</v>
      </c>
    </row>
    <row r="155" spans="1:23" x14ac:dyDescent="0.3">
      <c r="A155" s="147"/>
      <c r="B155" s="205">
        <f t="shared" ref="B155:B175" si="32">B154+1</f>
        <v>3</v>
      </c>
      <c r="C155" s="206">
        <v>43530</v>
      </c>
      <c r="D155" s="161" t="s">
        <v>8</v>
      </c>
      <c r="E155" s="161" t="s">
        <v>301</v>
      </c>
      <c r="F155" s="207">
        <v>27670</v>
      </c>
      <c r="G155" s="207">
        <v>27570</v>
      </c>
      <c r="H155" s="161">
        <v>100</v>
      </c>
      <c r="I155" s="207">
        <v>40</v>
      </c>
      <c r="J155" s="242">
        <f t="shared" si="29"/>
        <v>4000</v>
      </c>
      <c r="K155" s="153"/>
      <c r="V155" s="25">
        <f t="shared" si="30"/>
        <v>1</v>
      </c>
      <c r="W155" s="25">
        <f t="shared" si="31"/>
        <v>0</v>
      </c>
    </row>
    <row r="156" spans="1:23" x14ac:dyDescent="0.3">
      <c r="A156" s="147"/>
      <c r="B156" s="205">
        <f t="shared" si="32"/>
        <v>4</v>
      </c>
      <c r="C156" s="206">
        <v>43531</v>
      </c>
      <c r="D156" s="161" t="s">
        <v>8</v>
      </c>
      <c r="E156" s="161" t="s">
        <v>301</v>
      </c>
      <c r="F156" s="207">
        <v>27670</v>
      </c>
      <c r="G156" s="207">
        <v>27770</v>
      </c>
      <c r="H156" s="161">
        <v>-100</v>
      </c>
      <c r="I156" s="207">
        <v>40</v>
      </c>
      <c r="J156" s="242">
        <f t="shared" si="29"/>
        <v>-4000</v>
      </c>
      <c r="K156" s="153"/>
      <c r="V156" s="25">
        <f t="shared" si="30"/>
        <v>0</v>
      </c>
      <c r="W156" s="25">
        <f t="shared" si="31"/>
        <v>1</v>
      </c>
    </row>
    <row r="157" spans="1:23" x14ac:dyDescent="0.3">
      <c r="A157" s="147"/>
      <c r="B157" s="205">
        <f t="shared" si="32"/>
        <v>5</v>
      </c>
      <c r="C157" s="206">
        <v>43532</v>
      </c>
      <c r="D157" s="161" t="s">
        <v>8</v>
      </c>
      <c r="E157" s="161" t="s">
        <v>301</v>
      </c>
      <c r="F157" s="207">
        <v>27740</v>
      </c>
      <c r="G157" s="207">
        <v>27840</v>
      </c>
      <c r="H157" s="161">
        <v>100</v>
      </c>
      <c r="I157" s="207">
        <v>40</v>
      </c>
      <c r="J157" s="242">
        <f t="shared" si="29"/>
        <v>4000</v>
      </c>
      <c r="K157" s="153"/>
      <c r="V157" s="25">
        <f t="shared" si="30"/>
        <v>1</v>
      </c>
      <c r="W157" s="25">
        <f t="shared" si="31"/>
        <v>0</v>
      </c>
    </row>
    <row r="158" spans="1:23" x14ac:dyDescent="0.3">
      <c r="A158" s="147"/>
      <c r="B158" s="205">
        <f t="shared" si="32"/>
        <v>6</v>
      </c>
      <c r="C158" s="206">
        <v>43535</v>
      </c>
      <c r="D158" s="161" t="s">
        <v>9</v>
      </c>
      <c r="E158" s="161" t="s">
        <v>301</v>
      </c>
      <c r="F158" s="207">
        <v>28080</v>
      </c>
      <c r="G158" s="207">
        <v>28130</v>
      </c>
      <c r="H158" s="161">
        <v>50</v>
      </c>
      <c r="I158" s="207">
        <v>40</v>
      </c>
      <c r="J158" s="242">
        <f t="shared" si="29"/>
        <v>2000</v>
      </c>
      <c r="K158" s="153"/>
      <c r="V158" s="25">
        <f t="shared" si="30"/>
        <v>1</v>
      </c>
      <c r="W158" s="25">
        <f t="shared" si="31"/>
        <v>0</v>
      </c>
    </row>
    <row r="159" spans="1:23" x14ac:dyDescent="0.3">
      <c r="A159" s="147"/>
      <c r="B159" s="205">
        <f t="shared" si="32"/>
        <v>7</v>
      </c>
      <c r="C159" s="206">
        <v>43536</v>
      </c>
      <c r="D159" s="161" t="s">
        <v>9</v>
      </c>
      <c r="E159" s="161" t="s">
        <v>301</v>
      </c>
      <c r="F159" s="207">
        <v>28250</v>
      </c>
      <c r="G159" s="207">
        <v>28450</v>
      </c>
      <c r="H159" s="161">
        <v>200</v>
      </c>
      <c r="I159" s="207">
        <v>40</v>
      </c>
      <c r="J159" s="242">
        <f t="shared" si="29"/>
        <v>8000</v>
      </c>
      <c r="K159" s="153"/>
      <c r="V159" s="25">
        <f t="shared" si="30"/>
        <v>1</v>
      </c>
      <c r="W159" s="25">
        <f t="shared" si="31"/>
        <v>0</v>
      </c>
    </row>
    <row r="160" spans="1:23" x14ac:dyDescent="0.3">
      <c r="A160" s="147"/>
      <c r="B160" s="205">
        <f t="shared" si="32"/>
        <v>8</v>
      </c>
      <c r="C160" s="206">
        <v>43537</v>
      </c>
      <c r="D160" s="161" t="s">
        <v>9</v>
      </c>
      <c r="E160" s="161" t="s">
        <v>301</v>
      </c>
      <c r="F160" s="207">
        <v>28550</v>
      </c>
      <c r="G160" s="207">
        <v>28750</v>
      </c>
      <c r="H160" s="161">
        <v>200</v>
      </c>
      <c r="I160" s="207">
        <v>40</v>
      </c>
      <c r="J160" s="242">
        <f t="shared" si="29"/>
        <v>8000</v>
      </c>
      <c r="K160" s="153"/>
      <c r="V160" s="25">
        <f t="shared" si="30"/>
        <v>1</v>
      </c>
      <c r="W160" s="25">
        <f t="shared" si="31"/>
        <v>0</v>
      </c>
    </row>
    <row r="161" spans="1:23" x14ac:dyDescent="0.3">
      <c r="A161" s="147"/>
      <c r="B161" s="205">
        <f t="shared" si="32"/>
        <v>9</v>
      </c>
      <c r="C161" s="206">
        <v>43538</v>
      </c>
      <c r="D161" s="161" t="s">
        <v>9</v>
      </c>
      <c r="E161" s="161" t="s">
        <v>301</v>
      </c>
      <c r="F161" s="207">
        <v>29050</v>
      </c>
      <c r="G161" s="207">
        <v>28950</v>
      </c>
      <c r="H161" s="161">
        <v>-100</v>
      </c>
      <c r="I161" s="207">
        <v>40</v>
      </c>
      <c r="J161" s="242">
        <f t="shared" si="29"/>
        <v>-4000</v>
      </c>
      <c r="K161" s="153"/>
      <c r="V161" s="25">
        <f t="shared" si="30"/>
        <v>0</v>
      </c>
      <c r="W161" s="25">
        <f t="shared" si="31"/>
        <v>1</v>
      </c>
    </row>
    <row r="162" spans="1:23" x14ac:dyDescent="0.3">
      <c r="A162" s="147"/>
      <c r="B162" s="205">
        <f t="shared" si="32"/>
        <v>10</v>
      </c>
      <c r="C162" s="206">
        <v>43539</v>
      </c>
      <c r="D162" s="161" t="s">
        <v>9</v>
      </c>
      <c r="E162" s="161" t="s">
        <v>301</v>
      </c>
      <c r="F162" s="207">
        <v>29330</v>
      </c>
      <c r="G162" s="207">
        <v>29530</v>
      </c>
      <c r="H162" s="161">
        <v>200</v>
      </c>
      <c r="I162" s="207">
        <v>40</v>
      </c>
      <c r="J162" s="242">
        <f t="shared" si="29"/>
        <v>8000</v>
      </c>
      <c r="K162" s="153"/>
      <c r="V162" s="25">
        <f t="shared" si="30"/>
        <v>1</v>
      </c>
      <c r="W162" s="25">
        <f t="shared" si="31"/>
        <v>0</v>
      </c>
    </row>
    <row r="163" spans="1:23" x14ac:dyDescent="0.3">
      <c r="A163" s="147"/>
      <c r="B163" s="205">
        <f t="shared" si="32"/>
        <v>11</v>
      </c>
      <c r="C163" s="206">
        <v>43542</v>
      </c>
      <c r="D163" s="161" t="s">
        <v>9</v>
      </c>
      <c r="E163" s="161" t="s">
        <v>301</v>
      </c>
      <c r="F163" s="207">
        <v>29800</v>
      </c>
      <c r="G163" s="207">
        <v>29700</v>
      </c>
      <c r="H163" s="161">
        <v>-100</v>
      </c>
      <c r="I163" s="207">
        <v>40</v>
      </c>
      <c r="J163" s="242">
        <f t="shared" si="29"/>
        <v>-4000</v>
      </c>
      <c r="K163" s="153"/>
      <c r="V163" s="25">
        <f t="shared" si="30"/>
        <v>0</v>
      </c>
      <c r="W163" s="25">
        <f t="shared" si="31"/>
        <v>1</v>
      </c>
    </row>
    <row r="164" spans="1:23" x14ac:dyDescent="0.3">
      <c r="A164" s="147"/>
      <c r="B164" s="205">
        <f t="shared" si="32"/>
        <v>12</v>
      </c>
      <c r="C164" s="206">
        <v>43543</v>
      </c>
      <c r="D164" s="161" t="s">
        <v>9</v>
      </c>
      <c r="E164" s="161" t="s">
        <v>301</v>
      </c>
      <c r="F164" s="207">
        <v>29740</v>
      </c>
      <c r="G164" s="207">
        <v>29880</v>
      </c>
      <c r="H164" s="161">
        <v>140</v>
      </c>
      <c r="I164" s="207">
        <v>40</v>
      </c>
      <c r="J164" s="242">
        <f t="shared" si="29"/>
        <v>5600</v>
      </c>
      <c r="K164" s="153"/>
      <c r="V164" s="25">
        <f t="shared" si="30"/>
        <v>1</v>
      </c>
      <c r="W164" s="25">
        <f t="shared" si="31"/>
        <v>0</v>
      </c>
    </row>
    <row r="165" spans="1:23" x14ac:dyDescent="0.3">
      <c r="A165" s="147"/>
      <c r="B165" s="205">
        <f t="shared" si="32"/>
        <v>13</v>
      </c>
      <c r="C165" s="206">
        <v>43544</v>
      </c>
      <c r="D165" s="161" t="s">
        <v>9</v>
      </c>
      <c r="E165" s="161" t="s">
        <v>301</v>
      </c>
      <c r="F165" s="207">
        <v>29800</v>
      </c>
      <c r="G165" s="207">
        <v>29945</v>
      </c>
      <c r="H165" s="161">
        <v>145</v>
      </c>
      <c r="I165" s="207">
        <v>40</v>
      </c>
      <c r="J165" s="242">
        <f t="shared" si="29"/>
        <v>5800</v>
      </c>
      <c r="K165" s="153"/>
      <c r="V165" s="25">
        <f t="shared" si="30"/>
        <v>1</v>
      </c>
      <c r="W165" s="25">
        <f t="shared" si="31"/>
        <v>0</v>
      </c>
    </row>
    <row r="166" spans="1:23" x14ac:dyDescent="0.3">
      <c r="A166" s="147"/>
      <c r="B166" s="205">
        <f t="shared" si="32"/>
        <v>14</v>
      </c>
      <c r="C166" s="206">
        <v>43546</v>
      </c>
      <c r="D166" s="161" t="s">
        <v>9</v>
      </c>
      <c r="E166" s="161" t="s">
        <v>301</v>
      </c>
      <c r="F166" s="207">
        <v>30030</v>
      </c>
      <c r="G166" s="207">
        <v>29930</v>
      </c>
      <c r="H166" s="161">
        <v>-100</v>
      </c>
      <c r="I166" s="207">
        <v>40</v>
      </c>
      <c r="J166" s="242">
        <f t="shared" si="29"/>
        <v>-4000</v>
      </c>
      <c r="K166" s="153"/>
      <c r="V166" s="25">
        <f t="shared" si="30"/>
        <v>0</v>
      </c>
      <c r="W166" s="25">
        <f t="shared" si="31"/>
        <v>1</v>
      </c>
    </row>
    <row r="167" spans="1:23" x14ac:dyDescent="0.3">
      <c r="A167" s="147"/>
      <c r="B167" s="205">
        <f t="shared" si="32"/>
        <v>15</v>
      </c>
      <c r="C167" s="206">
        <v>43549</v>
      </c>
      <c r="D167" s="161" t="s">
        <v>8</v>
      </c>
      <c r="E167" s="161" t="s">
        <v>301</v>
      </c>
      <c r="F167" s="207">
        <v>29330</v>
      </c>
      <c r="G167" s="207">
        <v>29230</v>
      </c>
      <c r="H167" s="161">
        <v>100</v>
      </c>
      <c r="I167" s="207">
        <v>40</v>
      </c>
      <c r="J167" s="242">
        <f t="shared" si="29"/>
        <v>4000</v>
      </c>
      <c r="K167" s="153"/>
      <c r="V167" s="25">
        <f t="shared" si="30"/>
        <v>1</v>
      </c>
      <c r="W167" s="25">
        <f t="shared" si="31"/>
        <v>0</v>
      </c>
    </row>
    <row r="168" spans="1:23" x14ac:dyDescent="0.3">
      <c r="A168" s="147"/>
      <c r="B168" s="205">
        <f t="shared" si="32"/>
        <v>16</v>
      </c>
      <c r="C168" s="206">
        <v>43550</v>
      </c>
      <c r="D168" s="161" t="s">
        <v>9</v>
      </c>
      <c r="E168" s="161" t="s">
        <v>301</v>
      </c>
      <c r="F168" s="207">
        <v>29500</v>
      </c>
      <c r="G168" s="207">
        <v>29700</v>
      </c>
      <c r="H168" s="161">
        <v>200</v>
      </c>
      <c r="I168" s="207">
        <v>40</v>
      </c>
      <c r="J168" s="242">
        <f t="shared" si="29"/>
        <v>8000</v>
      </c>
      <c r="K168" s="153"/>
      <c r="V168" s="25">
        <f t="shared" si="30"/>
        <v>1</v>
      </c>
      <c r="W168" s="25">
        <f t="shared" si="31"/>
        <v>0</v>
      </c>
    </row>
    <row r="169" spans="1:23" x14ac:dyDescent="0.3">
      <c r="A169" s="147"/>
      <c r="B169" s="205">
        <f t="shared" si="32"/>
        <v>17</v>
      </c>
      <c r="C169" s="206">
        <v>43551</v>
      </c>
      <c r="D169" s="161" t="s">
        <v>9</v>
      </c>
      <c r="E169" s="161" t="s">
        <v>301</v>
      </c>
      <c r="F169" s="207">
        <v>30150</v>
      </c>
      <c r="G169" s="207">
        <v>30250</v>
      </c>
      <c r="H169" s="161">
        <v>100</v>
      </c>
      <c r="I169" s="207">
        <v>40</v>
      </c>
      <c r="J169" s="242">
        <f t="shared" si="29"/>
        <v>4000</v>
      </c>
      <c r="K169" s="153"/>
      <c r="V169" s="25">
        <f t="shared" si="30"/>
        <v>1</v>
      </c>
      <c r="W169" s="25">
        <f t="shared" si="31"/>
        <v>0</v>
      </c>
    </row>
    <row r="170" spans="1:23" x14ac:dyDescent="0.3">
      <c r="A170" s="147"/>
      <c r="B170" s="205">
        <f t="shared" si="32"/>
        <v>18</v>
      </c>
      <c r="C170" s="206">
        <v>43552</v>
      </c>
      <c r="D170" s="161" t="s">
        <v>9</v>
      </c>
      <c r="E170" s="161" t="s">
        <v>301</v>
      </c>
      <c r="F170" s="207">
        <v>30120</v>
      </c>
      <c r="G170" s="207">
        <v>30320</v>
      </c>
      <c r="H170" s="161">
        <v>200</v>
      </c>
      <c r="I170" s="207">
        <v>40</v>
      </c>
      <c r="J170" s="242">
        <f t="shared" si="29"/>
        <v>8000</v>
      </c>
      <c r="K170" s="153"/>
      <c r="V170" s="25">
        <f t="shared" si="30"/>
        <v>1</v>
      </c>
      <c r="W170" s="25">
        <f t="shared" si="31"/>
        <v>0</v>
      </c>
    </row>
    <row r="171" spans="1:23" x14ac:dyDescent="0.3">
      <c r="A171" s="147"/>
      <c r="B171" s="205">
        <f t="shared" si="32"/>
        <v>19</v>
      </c>
      <c r="C171" s="206">
        <v>43553</v>
      </c>
      <c r="D171" s="161" t="s">
        <v>9</v>
      </c>
      <c r="E171" s="161" t="s">
        <v>301</v>
      </c>
      <c r="F171" s="207">
        <v>30480</v>
      </c>
      <c r="G171" s="207">
        <v>30580</v>
      </c>
      <c r="H171" s="161">
        <v>100</v>
      </c>
      <c r="I171" s="207">
        <v>40</v>
      </c>
      <c r="J171" s="242">
        <f t="shared" si="29"/>
        <v>4000</v>
      </c>
      <c r="K171" s="153"/>
      <c r="V171" s="25">
        <f t="shared" si="30"/>
        <v>1</v>
      </c>
      <c r="W171" s="25">
        <f t="shared" si="31"/>
        <v>0</v>
      </c>
    </row>
    <row r="172" spans="1:23" x14ac:dyDescent="0.3">
      <c r="A172" s="147"/>
      <c r="B172" s="205">
        <f t="shared" si="32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9"/>
        <v>0</v>
      </c>
      <c r="K172" s="153"/>
      <c r="V172" s="25">
        <f t="shared" si="30"/>
        <v>0</v>
      </c>
      <c r="W172" s="25">
        <f t="shared" si="31"/>
        <v>0</v>
      </c>
    </row>
    <row r="173" spans="1:23" x14ac:dyDescent="0.3">
      <c r="A173" s="147"/>
      <c r="B173" s="205">
        <f t="shared" si="32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9"/>
        <v>0</v>
      </c>
      <c r="K173" s="153"/>
      <c r="V173" s="25">
        <f t="shared" si="30"/>
        <v>0</v>
      </c>
      <c r="W173" s="25">
        <f t="shared" si="31"/>
        <v>0</v>
      </c>
    </row>
    <row r="174" spans="1:23" x14ac:dyDescent="0.3">
      <c r="A174" s="147"/>
      <c r="B174" s="205">
        <f t="shared" si="32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9"/>
        <v>0</v>
      </c>
      <c r="K174" s="153"/>
      <c r="V174" s="25">
        <f t="shared" si="30"/>
        <v>0</v>
      </c>
      <c r="W174" s="25">
        <f t="shared" si="31"/>
        <v>0</v>
      </c>
    </row>
    <row r="175" spans="1:23" ht="15" thickBot="1" x14ac:dyDescent="0.35">
      <c r="A175" s="147"/>
      <c r="B175" s="208">
        <f t="shared" si="32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9"/>
        <v>0</v>
      </c>
      <c r="K175" s="153"/>
      <c r="V175" s="25">
        <f t="shared" si="30"/>
        <v>0</v>
      </c>
      <c r="W175" s="25">
        <f t="shared" si="31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55400</v>
      </c>
      <c r="K176" s="153"/>
      <c r="V176" s="25">
        <f>SUM(V153:V175)</f>
        <v>14</v>
      </c>
      <c r="W176" s="25">
        <f>SUM(W153:W175)</f>
        <v>5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2669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43525</v>
      </c>
      <c r="D184" s="185" t="s">
        <v>9</v>
      </c>
      <c r="E184" s="185" t="s">
        <v>2521</v>
      </c>
      <c r="F184" s="219">
        <v>170</v>
      </c>
      <c r="G184" s="219">
        <v>140</v>
      </c>
      <c r="H184" s="185">
        <v>-30</v>
      </c>
      <c r="I184" s="219">
        <v>80</v>
      </c>
      <c r="J184" s="246">
        <f t="shared" ref="J184:J206" si="33">I184*H184</f>
        <v>-2400</v>
      </c>
      <c r="K184" s="153"/>
      <c r="V184" s="25">
        <f>IF($J184&gt;0,1,0)</f>
        <v>0</v>
      </c>
      <c r="W184" s="25">
        <f>IF($J184&lt;0,1,0)</f>
        <v>1</v>
      </c>
    </row>
    <row r="185" spans="1:23" x14ac:dyDescent="0.3">
      <c r="A185" s="147"/>
      <c r="B185" s="205">
        <f>B184+1</f>
        <v>2</v>
      </c>
      <c r="C185" s="206">
        <v>43529</v>
      </c>
      <c r="D185" s="161" t="s">
        <v>9</v>
      </c>
      <c r="E185" s="161" t="s">
        <v>2624</v>
      </c>
      <c r="F185" s="207">
        <v>210</v>
      </c>
      <c r="G185" s="207">
        <v>150</v>
      </c>
      <c r="H185" s="161">
        <v>-60</v>
      </c>
      <c r="I185" s="207">
        <v>80</v>
      </c>
      <c r="J185" s="242">
        <f t="shared" si="33"/>
        <v>-4800</v>
      </c>
      <c r="K185" s="153"/>
      <c r="V185" s="25">
        <f t="shared" ref="V185:V206" si="34">IF($J185&gt;0,1,0)</f>
        <v>0</v>
      </c>
      <c r="W185" s="25">
        <f t="shared" ref="W185:W206" si="35">IF($J185&lt;0,1,0)</f>
        <v>1</v>
      </c>
    </row>
    <row r="186" spans="1:23" x14ac:dyDescent="0.3">
      <c r="A186" s="147"/>
      <c r="B186" s="205">
        <f t="shared" ref="B186:B206" si="36">B185+1</f>
        <v>3</v>
      </c>
      <c r="C186" s="206">
        <v>43530</v>
      </c>
      <c r="D186" s="161" t="s">
        <v>9</v>
      </c>
      <c r="E186" s="161" t="s">
        <v>2532</v>
      </c>
      <c r="F186" s="207">
        <v>180</v>
      </c>
      <c r="G186" s="207">
        <v>240</v>
      </c>
      <c r="H186" s="161">
        <v>60</v>
      </c>
      <c r="I186" s="207">
        <v>80</v>
      </c>
      <c r="J186" s="242">
        <f t="shared" si="33"/>
        <v>4800</v>
      </c>
      <c r="K186" s="153"/>
      <c r="V186" s="25">
        <f t="shared" si="34"/>
        <v>1</v>
      </c>
      <c r="W186" s="25">
        <f t="shared" si="35"/>
        <v>0</v>
      </c>
    </row>
    <row r="187" spans="1:23" x14ac:dyDescent="0.3">
      <c r="A187" s="147"/>
      <c r="B187" s="205">
        <f t="shared" si="36"/>
        <v>4</v>
      </c>
      <c r="C187" s="206">
        <v>43531</v>
      </c>
      <c r="D187" s="161" t="s">
        <v>9</v>
      </c>
      <c r="E187" s="161" t="s">
        <v>2532</v>
      </c>
      <c r="F187" s="207">
        <v>120</v>
      </c>
      <c r="G187" s="207">
        <v>60</v>
      </c>
      <c r="H187" s="161">
        <v>-60</v>
      </c>
      <c r="I187" s="207">
        <v>80</v>
      </c>
      <c r="J187" s="242">
        <f t="shared" si="33"/>
        <v>-4800</v>
      </c>
      <c r="K187" s="153"/>
      <c r="V187" s="25">
        <f t="shared" si="34"/>
        <v>0</v>
      </c>
      <c r="W187" s="25">
        <f t="shared" si="35"/>
        <v>1</v>
      </c>
    </row>
    <row r="188" spans="1:23" x14ac:dyDescent="0.3">
      <c r="A188" s="147"/>
      <c r="B188" s="205">
        <f t="shared" si="36"/>
        <v>5</v>
      </c>
      <c r="C188" s="206">
        <v>43532</v>
      </c>
      <c r="D188" s="161" t="s">
        <v>9</v>
      </c>
      <c r="E188" s="161" t="s">
        <v>2532</v>
      </c>
      <c r="F188" s="207">
        <v>190</v>
      </c>
      <c r="G188" s="207">
        <v>130</v>
      </c>
      <c r="H188" s="161">
        <v>-60</v>
      </c>
      <c r="I188" s="207">
        <v>80</v>
      </c>
      <c r="J188" s="242">
        <f t="shared" si="33"/>
        <v>-4800</v>
      </c>
      <c r="K188" s="153"/>
      <c r="O188" s="25" t="s">
        <v>2008</v>
      </c>
      <c r="V188" s="25">
        <f t="shared" si="34"/>
        <v>0</v>
      </c>
      <c r="W188" s="25">
        <f t="shared" si="35"/>
        <v>1</v>
      </c>
    </row>
    <row r="189" spans="1:23" x14ac:dyDescent="0.3">
      <c r="A189" s="147"/>
      <c r="B189" s="205">
        <f t="shared" si="36"/>
        <v>6</v>
      </c>
      <c r="C189" s="206">
        <v>43535</v>
      </c>
      <c r="D189" s="161" t="s">
        <v>9</v>
      </c>
      <c r="E189" s="161" t="s">
        <v>2539</v>
      </c>
      <c r="F189" s="207">
        <v>160</v>
      </c>
      <c r="G189" s="207">
        <v>145</v>
      </c>
      <c r="H189" s="161">
        <v>-15</v>
      </c>
      <c r="I189" s="207">
        <v>80</v>
      </c>
      <c r="J189" s="242">
        <f t="shared" si="33"/>
        <v>-1200</v>
      </c>
      <c r="K189" s="153"/>
      <c r="V189" s="25">
        <f t="shared" si="34"/>
        <v>0</v>
      </c>
      <c r="W189" s="25">
        <f t="shared" si="35"/>
        <v>1</v>
      </c>
    </row>
    <row r="190" spans="1:23" x14ac:dyDescent="0.3">
      <c r="A190" s="147"/>
      <c r="B190" s="205">
        <f t="shared" si="36"/>
        <v>7</v>
      </c>
      <c r="C190" s="206">
        <v>43536</v>
      </c>
      <c r="D190" s="161" t="s">
        <v>9</v>
      </c>
      <c r="E190" s="161" t="s">
        <v>2542</v>
      </c>
      <c r="F190" s="207">
        <v>120</v>
      </c>
      <c r="G190" s="207">
        <v>240</v>
      </c>
      <c r="H190" s="161">
        <v>120</v>
      </c>
      <c r="I190" s="207">
        <v>80</v>
      </c>
      <c r="J190" s="242">
        <f t="shared" si="33"/>
        <v>9600</v>
      </c>
      <c r="K190" s="153"/>
      <c r="V190" s="25">
        <f t="shared" si="34"/>
        <v>1</v>
      </c>
      <c r="W190" s="25">
        <f t="shared" si="35"/>
        <v>0</v>
      </c>
    </row>
    <row r="191" spans="1:23" x14ac:dyDescent="0.3">
      <c r="A191" s="147"/>
      <c r="B191" s="205">
        <f t="shared" si="36"/>
        <v>8</v>
      </c>
      <c r="C191" s="206">
        <v>43537</v>
      </c>
      <c r="D191" s="161" t="s">
        <v>9</v>
      </c>
      <c r="E191" s="161" t="s">
        <v>2650</v>
      </c>
      <c r="F191" s="207">
        <v>110</v>
      </c>
      <c r="G191" s="207">
        <v>230</v>
      </c>
      <c r="H191" s="161">
        <v>120</v>
      </c>
      <c r="I191" s="207">
        <v>80</v>
      </c>
      <c r="J191" s="242">
        <f t="shared" si="33"/>
        <v>9600</v>
      </c>
      <c r="K191" s="153"/>
      <c r="V191" s="25">
        <f t="shared" si="34"/>
        <v>1</v>
      </c>
      <c r="W191" s="25">
        <f t="shared" si="35"/>
        <v>0</v>
      </c>
    </row>
    <row r="192" spans="1:23" x14ac:dyDescent="0.3">
      <c r="A192" s="147"/>
      <c r="B192" s="205">
        <f t="shared" si="36"/>
        <v>9</v>
      </c>
      <c r="C192" s="206">
        <v>43538</v>
      </c>
      <c r="D192" s="161" t="s">
        <v>9</v>
      </c>
      <c r="E192" s="161" t="s">
        <v>2653</v>
      </c>
      <c r="F192" s="207">
        <v>100</v>
      </c>
      <c r="G192" s="207">
        <v>40</v>
      </c>
      <c r="H192" s="161">
        <v>-60</v>
      </c>
      <c r="I192" s="207">
        <v>80</v>
      </c>
      <c r="J192" s="242">
        <f t="shared" si="33"/>
        <v>-4800</v>
      </c>
      <c r="K192" s="153"/>
      <c r="V192" s="25">
        <f t="shared" si="34"/>
        <v>0</v>
      </c>
      <c r="W192" s="25">
        <f t="shared" si="35"/>
        <v>1</v>
      </c>
    </row>
    <row r="193" spans="1:23" x14ac:dyDescent="0.3">
      <c r="A193" s="147"/>
      <c r="B193" s="205">
        <f t="shared" si="36"/>
        <v>10</v>
      </c>
      <c r="C193" s="206">
        <v>43539</v>
      </c>
      <c r="D193" s="161" t="s">
        <v>9</v>
      </c>
      <c r="E193" s="161" t="s">
        <v>2654</v>
      </c>
      <c r="F193" s="207">
        <v>190</v>
      </c>
      <c r="G193" s="207">
        <v>310</v>
      </c>
      <c r="H193" s="161">
        <v>120</v>
      </c>
      <c r="I193" s="207">
        <v>80</v>
      </c>
      <c r="J193" s="242">
        <f t="shared" si="33"/>
        <v>9600</v>
      </c>
      <c r="K193" s="153"/>
      <c r="V193" s="25">
        <f t="shared" si="34"/>
        <v>1</v>
      </c>
      <c r="W193" s="25">
        <f t="shared" si="35"/>
        <v>0</v>
      </c>
    </row>
    <row r="194" spans="1:23" x14ac:dyDescent="0.3">
      <c r="A194" s="147"/>
      <c r="B194" s="205">
        <f t="shared" si="36"/>
        <v>11</v>
      </c>
      <c r="C194" s="206">
        <v>43542</v>
      </c>
      <c r="D194" s="161" t="s">
        <v>9</v>
      </c>
      <c r="E194" s="161" t="s">
        <v>2656</v>
      </c>
      <c r="F194" s="207">
        <v>180</v>
      </c>
      <c r="G194" s="207">
        <v>240</v>
      </c>
      <c r="H194" s="161">
        <v>60</v>
      </c>
      <c r="I194" s="207">
        <v>80</v>
      </c>
      <c r="J194" s="242">
        <f t="shared" si="33"/>
        <v>4800</v>
      </c>
      <c r="K194" s="153"/>
      <c r="V194" s="25">
        <f t="shared" si="34"/>
        <v>1</v>
      </c>
      <c r="W194" s="25">
        <f t="shared" si="35"/>
        <v>0</v>
      </c>
    </row>
    <row r="195" spans="1:23" x14ac:dyDescent="0.3">
      <c r="A195" s="147"/>
      <c r="B195" s="205">
        <f t="shared" si="36"/>
        <v>12</v>
      </c>
      <c r="C195" s="206">
        <v>43543</v>
      </c>
      <c r="D195" s="161" t="s">
        <v>9</v>
      </c>
      <c r="E195" s="161" t="s">
        <v>2658</v>
      </c>
      <c r="F195" s="207">
        <v>160</v>
      </c>
      <c r="G195" s="207">
        <v>220</v>
      </c>
      <c r="H195" s="161">
        <v>60</v>
      </c>
      <c r="I195" s="207">
        <v>80</v>
      </c>
      <c r="J195" s="242">
        <f t="shared" si="33"/>
        <v>4800</v>
      </c>
      <c r="K195" s="153"/>
      <c r="V195" s="25">
        <f t="shared" si="34"/>
        <v>1</v>
      </c>
      <c r="W195" s="25">
        <f t="shared" si="35"/>
        <v>0</v>
      </c>
    </row>
    <row r="196" spans="1:23" x14ac:dyDescent="0.3">
      <c r="A196" s="147"/>
      <c r="B196" s="205">
        <f t="shared" si="36"/>
        <v>13</v>
      </c>
      <c r="C196" s="206">
        <v>43544</v>
      </c>
      <c r="D196" s="161" t="s">
        <v>9</v>
      </c>
      <c r="E196" s="161" t="s">
        <v>2658</v>
      </c>
      <c r="F196" s="207">
        <v>60</v>
      </c>
      <c r="G196" s="207">
        <v>160</v>
      </c>
      <c r="H196" s="161">
        <v>100</v>
      </c>
      <c r="I196" s="207">
        <v>80</v>
      </c>
      <c r="J196" s="242">
        <f t="shared" si="33"/>
        <v>8000</v>
      </c>
      <c r="K196" s="153"/>
      <c r="V196" s="25">
        <f t="shared" si="34"/>
        <v>1</v>
      </c>
      <c r="W196" s="25">
        <f t="shared" si="35"/>
        <v>0</v>
      </c>
    </row>
    <row r="197" spans="1:23" x14ac:dyDescent="0.3">
      <c r="A197" s="147"/>
      <c r="B197" s="205">
        <f t="shared" si="36"/>
        <v>14</v>
      </c>
      <c r="C197" s="206">
        <v>43546</v>
      </c>
      <c r="D197" s="161" t="s">
        <v>9</v>
      </c>
      <c r="E197" s="161" t="s">
        <v>2660</v>
      </c>
      <c r="F197" s="207">
        <v>250</v>
      </c>
      <c r="G197" s="207">
        <v>190</v>
      </c>
      <c r="H197" s="161">
        <v>-60</v>
      </c>
      <c r="I197" s="207">
        <v>80</v>
      </c>
      <c r="J197" s="242">
        <f t="shared" si="33"/>
        <v>-4800</v>
      </c>
      <c r="K197" s="153"/>
      <c r="V197" s="25">
        <f t="shared" si="34"/>
        <v>0</v>
      </c>
      <c r="W197" s="25">
        <f t="shared" si="35"/>
        <v>1</v>
      </c>
    </row>
    <row r="198" spans="1:23" x14ac:dyDescent="0.3">
      <c r="A198" s="147"/>
      <c r="B198" s="205">
        <f t="shared" si="36"/>
        <v>15</v>
      </c>
      <c r="C198" s="206">
        <v>43549</v>
      </c>
      <c r="D198" s="161" t="s">
        <v>9</v>
      </c>
      <c r="E198" s="161" t="s">
        <v>2661</v>
      </c>
      <c r="F198" s="207">
        <v>180</v>
      </c>
      <c r="G198" s="207">
        <v>230</v>
      </c>
      <c r="H198" s="161">
        <v>50</v>
      </c>
      <c r="I198" s="207">
        <v>80</v>
      </c>
      <c r="J198" s="242">
        <f t="shared" si="33"/>
        <v>4000</v>
      </c>
      <c r="K198" s="153"/>
      <c r="V198" s="25">
        <f t="shared" si="34"/>
        <v>1</v>
      </c>
      <c r="W198" s="25">
        <f t="shared" si="35"/>
        <v>0</v>
      </c>
    </row>
    <row r="199" spans="1:23" x14ac:dyDescent="0.3">
      <c r="A199" s="147"/>
      <c r="B199" s="205">
        <f t="shared" si="36"/>
        <v>16</v>
      </c>
      <c r="C199" s="206">
        <v>43550</v>
      </c>
      <c r="D199" s="161" t="s">
        <v>9</v>
      </c>
      <c r="E199" s="161" t="s">
        <v>2654</v>
      </c>
      <c r="F199" s="207">
        <v>200</v>
      </c>
      <c r="G199" s="207">
        <v>320</v>
      </c>
      <c r="H199" s="161">
        <v>120</v>
      </c>
      <c r="I199" s="207">
        <v>80</v>
      </c>
      <c r="J199" s="242">
        <f t="shared" si="33"/>
        <v>9600</v>
      </c>
      <c r="K199" s="153"/>
      <c r="V199" s="25">
        <f t="shared" si="34"/>
        <v>1</v>
      </c>
      <c r="W199" s="25">
        <f t="shared" si="35"/>
        <v>0</v>
      </c>
    </row>
    <row r="200" spans="1:23" x14ac:dyDescent="0.3">
      <c r="A200" s="147"/>
      <c r="B200" s="205">
        <f t="shared" si="36"/>
        <v>17</v>
      </c>
      <c r="C200" s="206">
        <v>43551</v>
      </c>
      <c r="D200" s="161" t="s">
        <v>9</v>
      </c>
      <c r="E200" s="161" t="s">
        <v>2664</v>
      </c>
      <c r="F200" s="207">
        <v>160</v>
      </c>
      <c r="G200" s="207">
        <v>190</v>
      </c>
      <c r="H200" s="161">
        <v>30</v>
      </c>
      <c r="I200" s="207">
        <v>80</v>
      </c>
      <c r="J200" s="242">
        <f t="shared" si="33"/>
        <v>2400</v>
      </c>
      <c r="K200" s="153"/>
      <c r="V200" s="25">
        <f t="shared" si="34"/>
        <v>1</v>
      </c>
      <c r="W200" s="25">
        <f t="shared" si="35"/>
        <v>0</v>
      </c>
    </row>
    <row r="201" spans="1:23" x14ac:dyDescent="0.3">
      <c r="A201" s="147"/>
      <c r="B201" s="205">
        <f t="shared" si="36"/>
        <v>18</v>
      </c>
      <c r="C201" s="206">
        <v>43552</v>
      </c>
      <c r="D201" s="161" t="s">
        <v>9</v>
      </c>
      <c r="E201" s="161" t="s">
        <v>2666</v>
      </c>
      <c r="F201" s="207">
        <v>80</v>
      </c>
      <c r="G201" s="207">
        <v>200</v>
      </c>
      <c r="H201" s="161">
        <v>120</v>
      </c>
      <c r="I201" s="207">
        <v>80</v>
      </c>
      <c r="J201" s="242">
        <f t="shared" si="33"/>
        <v>9600</v>
      </c>
      <c r="K201" s="153"/>
      <c r="V201" s="25">
        <f t="shared" si="34"/>
        <v>1</v>
      </c>
      <c r="W201" s="25">
        <f t="shared" si="35"/>
        <v>0</v>
      </c>
    </row>
    <row r="202" spans="1:23" x14ac:dyDescent="0.3">
      <c r="A202" s="147"/>
      <c r="B202" s="205">
        <f t="shared" si="36"/>
        <v>19</v>
      </c>
      <c r="C202" s="206">
        <v>43553</v>
      </c>
      <c r="D202" s="161" t="s">
        <v>9</v>
      </c>
      <c r="E202" s="161" t="s">
        <v>2668</v>
      </c>
      <c r="F202" s="207">
        <v>300</v>
      </c>
      <c r="G202" s="207">
        <v>337</v>
      </c>
      <c r="H202" s="161">
        <v>37</v>
      </c>
      <c r="I202" s="207">
        <v>80</v>
      </c>
      <c r="J202" s="242">
        <f t="shared" si="33"/>
        <v>2960</v>
      </c>
      <c r="K202" s="153"/>
      <c r="V202" s="25">
        <f t="shared" si="34"/>
        <v>1</v>
      </c>
      <c r="W202" s="25">
        <f t="shared" si="35"/>
        <v>0</v>
      </c>
    </row>
    <row r="203" spans="1:23" x14ac:dyDescent="0.3">
      <c r="A203" s="147"/>
      <c r="B203" s="205">
        <f t="shared" si="36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3"/>
        <v>0</v>
      </c>
      <c r="K203" s="153"/>
      <c r="V203" s="25">
        <f t="shared" si="34"/>
        <v>0</v>
      </c>
      <c r="W203" s="25">
        <f t="shared" si="35"/>
        <v>0</v>
      </c>
    </row>
    <row r="204" spans="1:23" x14ac:dyDescent="0.3">
      <c r="A204" s="147"/>
      <c r="B204" s="205">
        <f t="shared" si="36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3"/>
        <v>0</v>
      </c>
      <c r="K204" s="153"/>
      <c r="V204" s="25">
        <f t="shared" si="34"/>
        <v>0</v>
      </c>
      <c r="W204" s="25">
        <f t="shared" si="35"/>
        <v>0</v>
      </c>
    </row>
    <row r="205" spans="1:23" x14ac:dyDescent="0.3">
      <c r="A205" s="147"/>
      <c r="B205" s="205">
        <f t="shared" si="36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3"/>
        <v>0</v>
      </c>
      <c r="K205" s="153"/>
      <c r="V205" s="25">
        <f t="shared" si="34"/>
        <v>0</v>
      </c>
      <c r="W205" s="25">
        <f t="shared" si="35"/>
        <v>0</v>
      </c>
    </row>
    <row r="206" spans="1:23" ht="15" thickBot="1" x14ac:dyDescent="0.35">
      <c r="A206" s="147"/>
      <c r="B206" s="208">
        <f t="shared" si="36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3"/>
        <v>0</v>
      </c>
      <c r="K206" s="153"/>
      <c r="V206" s="25">
        <f t="shared" si="34"/>
        <v>0</v>
      </c>
      <c r="W206" s="25">
        <f t="shared" si="35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52160</v>
      </c>
      <c r="K207" s="153"/>
      <c r="V207" s="25">
        <f>SUM(V184:V206)</f>
        <v>12</v>
      </c>
      <c r="W207" s="25">
        <f>SUM(W184:W206)</f>
        <v>7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2671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43525</v>
      </c>
      <c r="D215" s="185" t="s">
        <v>9</v>
      </c>
      <c r="E215" s="185" t="s">
        <v>2576</v>
      </c>
      <c r="F215" s="231">
        <v>35</v>
      </c>
      <c r="G215" s="231">
        <v>39.5</v>
      </c>
      <c r="H215" s="231">
        <v>4.5</v>
      </c>
      <c r="I215" s="219">
        <v>500</v>
      </c>
      <c r="J215" s="246">
        <f t="shared" ref="J215:J237" si="37">I215*H215</f>
        <v>2250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43530</v>
      </c>
      <c r="D216" s="161" t="s">
        <v>9</v>
      </c>
      <c r="E216" s="161" t="s">
        <v>2647</v>
      </c>
      <c r="F216" s="222">
        <v>10</v>
      </c>
      <c r="G216" s="222">
        <v>11</v>
      </c>
      <c r="H216" s="255">
        <v>1</v>
      </c>
      <c r="I216" s="207">
        <v>2750</v>
      </c>
      <c r="J216" s="242">
        <f>I216*H216</f>
        <v>2750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8">B216+1</f>
        <v>3</v>
      </c>
      <c r="C217" s="206">
        <v>43531</v>
      </c>
      <c r="D217" s="161" t="s">
        <v>9</v>
      </c>
      <c r="E217" s="161" t="s">
        <v>2648</v>
      </c>
      <c r="F217" s="222">
        <v>55</v>
      </c>
      <c r="G217" s="222">
        <v>45</v>
      </c>
      <c r="H217" s="222">
        <v>-10</v>
      </c>
      <c r="I217" s="207">
        <v>500</v>
      </c>
      <c r="J217" s="242">
        <f t="shared" si="37"/>
        <v>-5000</v>
      </c>
      <c r="K217" s="153"/>
      <c r="V217" s="25">
        <f t="shared" ref="V217:V237" si="39">IF($J217&gt;0,1,0)</f>
        <v>0</v>
      </c>
      <c r="W217" s="25">
        <f t="shared" ref="W217:W237" si="40">IF($J217&lt;0,1,0)</f>
        <v>1</v>
      </c>
    </row>
    <row r="218" spans="1:23" x14ac:dyDescent="0.3">
      <c r="A218" s="147"/>
      <c r="B218" s="205">
        <f t="shared" si="38"/>
        <v>4</v>
      </c>
      <c r="C218" s="206">
        <v>43535</v>
      </c>
      <c r="D218" s="161" t="s">
        <v>9</v>
      </c>
      <c r="E218" s="161" t="s">
        <v>2649</v>
      </c>
      <c r="F218" s="222">
        <v>19</v>
      </c>
      <c r="G218" s="222">
        <v>20.8</v>
      </c>
      <c r="H218" s="222">
        <v>1.8</v>
      </c>
      <c r="I218" s="207">
        <v>1200</v>
      </c>
      <c r="J218" s="242">
        <f t="shared" si="37"/>
        <v>2160</v>
      </c>
      <c r="K218" s="153"/>
      <c r="V218" s="25">
        <f t="shared" si="39"/>
        <v>1</v>
      </c>
      <c r="W218" s="25">
        <f t="shared" si="40"/>
        <v>0</v>
      </c>
    </row>
    <row r="219" spans="1:23" x14ac:dyDescent="0.3">
      <c r="A219" s="147"/>
      <c r="B219" s="205">
        <f t="shared" si="38"/>
        <v>5</v>
      </c>
      <c r="C219" s="206">
        <v>43536</v>
      </c>
      <c r="D219" s="161" t="s">
        <v>9</v>
      </c>
      <c r="E219" s="161" t="s">
        <v>2564</v>
      </c>
      <c r="F219" s="222">
        <v>32</v>
      </c>
      <c r="G219" s="222">
        <v>39.5</v>
      </c>
      <c r="H219" s="222">
        <v>7.5</v>
      </c>
      <c r="I219" s="207">
        <v>500</v>
      </c>
      <c r="J219" s="242">
        <f t="shared" si="37"/>
        <v>3750</v>
      </c>
      <c r="K219" s="153"/>
      <c r="V219" s="25">
        <f t="shared" si="39"/>
        <v>1</v>
      </c>
      <c r="W219" s="25">
        <f t="shared" si="40"/>
        <v>0</v>
      </c>
    </row>
    <row r="220" spans="1:23" x14ac:dyDescent="0.3">
      <c r="A220" s="147"/>
      <c r="B220" s="205">
        <f t="shared" si="38"/>
        <v>6</v>
      </c>
      <c r="C220" s="206">
        <v>43537</v>
      </c>
      <c r="D220" s="161" t="s">
        <v>9</v>
      </c>
      <c r="E220" s="161" t="s">
        <v>2651</v>
      </c>
      <c r="F220" s="222">
        <v>30</v>
      </c>
      <c r="G220" s="222">
        <v>34</v>
      </c>
      <c r="H220" s="222">
        <v>4</v>
      </c>
      <c r="I220" s="207">
        <v>500</v>
      </c>
      <c r="J220" s="242">
        <f t="shared" si="37"/>
        <v>2000</v>
      </c>
      <c r="K220" s="153"/>
      <c r="V220" s="25">
        <f t="shared" si="39"/>
        <v>1</v>
      </c>
      <c r="W220" s="25">
        <f t="shared" si="40"/>
        <v>0</v>
      </c>
    </row>
    <row r="221" spans="1:23" x14ac:dyDescent="0.3">
      <c r="A221" s="147"/>
      <c r="B221" s="205">
        <f t="shared" si="38"/>
        <v>7</v>
      </c>
      <c r="C221" s="206">
        <v>43538</v>
      </c>
      <c r="D221" s="161" t="s">
        <v>9</v>
      </c>
      <c r="E221" s="161" t="s">
        <v>2306</v>
      </c>
      <c r="F221" s="222">
        <v>7.8</v>
      </c>
      <c r="G221" s="222">
        <v>7.5</v>
      </c>
      <c r="H221" s="222">
        <v>-0.3</v>
      </c>
      <c r="I221" s="207">
        <v>3000</v>
      </c>
      <c r="J221" s="242">
        <f t="shared" si="37"/>
        <v>-900</v>
      </c>
      <c r="K221" s="153"/>
      <c r="V221" s="25">
        <f t="shared" si="39"/>
        <v>0</v>
      </c>
      <c r="W221" s="25">
        <f t="shared" si="40"/>
        <v>1</v>
      </c>
    </row>
    <row r="222" spans="1:23" x14ac:dyDescent="0.3">
      <c r="A222" s="147"/>
      <c r="B222" s="205">
        <f t="shared" si="38"/>
        <v>8</v>
      </c>
      <c r="C222" s="206">
        <v>43539</v>
      </c>
      <c r="D222" s="161" t="s">
        <v>9</v>
      </c>
      <c r="E222" s="161" t="s">
        <v>2655</v>
      </c>
      <c r="F222" s="222">
        <v>25</v>
      </c>
      <c r="G222" s="222">
        <v>28</v>
      </c>
      <c r="H222" s="222">
        <v>3</v>
      </c>
      <c r="I222" s="207">
        <v>500</v>
      </c>
      <c r="J222" s="242">
        <f t="shared" si="37"/>
        <v>1500</v>
      </c>
      <c r="K222" s="153"/>
      <c r="V222" s="25">
        <f t="shared" si="39"/>
        <v>1</v>
      </c>
      <c r="W222" s="25">
        <f t="shared" si="40"/>
        <v>0</v>
      </c>
    </row>
    <row r="223" spans="1:23" x14ac:dyDescent="0.3">
      <c r="A223" s="147"/>
      <c r="B223" s="205">
        <f t="shared" si="38"/>
        <v>9</v>
      </c>
      <c r="C223" s="206">
        <v>43542</v>
      </c>
      <c r="D223" s="161" t="s">
        <v>9</v>
      </c>
      <c r="E223" s="161" t="s">
        <v>2657</v>
      </c>
      <c r="F223" s="222">
        <v>24</v>
      </c>
      <c r="G223" s="222">
        <v>18</v>
      </c>
      <c r="H223" s="255">
        <v>-6</v>
      </c>
      <c r="I223" s="207">
        <v>500</v>
      </c>
      <c r="J223" s="242">
        <f t="shared" si="37"/>
        <v>-3000</v>
      </c>
      <c r="K223" s="153"/>
      <c r="V223" s="25">
        <f t="shared" si="39"/>
        <v>0</v>
      </c>
      <c r="W223" s="25">
        <f t="shared" si="40"/>
        <v>1</v>
      </c>
    </row>
    <row r="224" spans="1:23" x14ac:dyDescent="0.3">
      <c r="A224" s="147"/>
      <c r="B224" s="205">
        <f t="shared" si="38"/>
        <v>10</v>
      </c>
      <c r="C224" s="206">
        <v>43543</v>
      </c>
      <c r="D224" s="161" t="s">
        <v>9</v>
      </c>
      <c r="E224" s="161" t="s">
        <v>2659</v>
      </c>
      <c r="F224" s="222">
        <v>20</v>
      </c>
      <c r="G224" s="222">
        <v>17</v>
      </c>
      <c r="H224" s="255">
        <v>-3</v>
      </c>
      <c r="I224" s="207">
        <v>500</v>
      </c>
      <c r="J224" s="242">
        <f t="shared" si="37"/>
        <v>-1500</v>
      </c>
      <c r="K224" s="153"/>
      <c r="V224" s="25">
        <f t="shared" si="39"/>
        <v>0</v>
      </c>
      <c r="W224" s="25">
        <f t="shared" si="40"/>
        <v>1</v>
      </c>
    </row>
    <row r="225" spans="1:23" x14ac:dyDescent="0.3">
      <c r="A225" s="147"/>
      <c r="B225" s="205">
        <f t="shared" si="38"/>
        <v>11</v>
      </c>
      <c r="C225" s="206">
        <v>43544</v>
      </c>
      <c r="D225" s="161" t="s">
        <v>9</v>
      </c>
      <c r="E225" s="161" t="s">
        <v>2478</v>
      </c>
      <c r="F225" s="222">
        <v>6.5</v>
      </c>
      <c r="G225" s="222">
        <v>5.5</v>
      </c>
      <c r="H225" s="255">
        <v>-1</v>
      </c>
      <c r="I225" s="207">
        <v>2000</v>
      </c>
      <c r="J225" s="242">
        <f t="shared" si="37"/>
        <v>-2000</v>
      </c>
      <c r="K225" s="153"/>
      <c r="V225" s="25">
        <f t="shared" si="39"/>
        <v>0</v>
      </c>
      <c r="W225" s="25">
        <f t="shared" si="40"/>
        <v>1</v>
      </c>
    </row>
    <row r="226" spans="1:23" x14ac:dyDescent="0.3">
      <c r="A226" s="147"/>
      <c r="B226" s="205">
        <f t="shared" si="38"/>
        <v>12</v>
      </c>
      <c r="C226" s="206">
        <v>43546</v>
      </c>
      <c r="D226" s="161" t="s">
        <v>9</v>
      </c>
      <c r="E226" s="161" t="s">
        <v>1877</v>
      </c>
      <c r="F226" s="222">
        <v>22</v>
      </c>
      <c r="G226" s="222">
        <v>30.5</v>
      </c>
      <c r="H226" s="255">
        <v>8.5</v>
      </c>
      <c r="I226" s="207">
        <v>375</v>
      </c>
      <c r="J226" s="242">
        <f t="shared" si="37"/>
        <v>3187.5</v>
      </c>
      <c r="K226" s="153"/>
      <c r="V226" s="25">
        <f t="shared" si="39"/>
        <v>1</v>
      </c>
      <c r="W226" s="25">
        <f t="shared" si="40"/>
        <v>0</v>
      </c>
    </row>
    <row r="227" spans="1:23" x14ac:dyDescent="0.3">
      <c r="A227" s="147"/>
      <c r="B227" s="205">
        <f t="shared" si="38"/>
        <v>13</v>
      </c>
      <c r="C227" s="206">
        <v>43549</v>
      </c>
      <c r="D227" s="161" t="s">
        <v>9</v>
      </c>
      <c r="E227" s="161" t="s">
        <v>2662</v>
      </c>
      <c r="F227" s="222">
        <v>2</v>
      </c>
      <c r="G227" s="222">
        <v>4</v>
      </c>
      <c r="H227" s="255">
        <v>2</v>
      </c>
      <c r="I227" s="207">
        <v>6200</v>
      </c>
      <c r="J227" s="242">
        <f t="shared" si="37"/>
        <v>12400</v>
      </c>
      <c r="K227" s="153"/>
      <c r="V227" s="25">
        <f t="shared" si="39"/>
        <v>1</v>
      </c>
      <c r="W227" s="25">
        <f t="shared" si="40"/>
        <v>0</v>
      </c>
    </row>
    <row r="228" spans="1:23" x14ac:dyDescent="0.3">
      <c r="A228" s="147"/>
      <c r="B228" s="205">
        <f t="shared" si="38"/>
        <v>14</v>
      </c>
      <c r="C228" s="206">
        <v>43550</v>
      </c>
      <c r="D228" s="161" t="s">
        <v>9</v>
      </c>
      <c r="E228" s="161" t="s">
        <v>2663</v>
      </c>
      <c r="F228" s="222">
        <v>4</v>
      </c>
      <c r="G228" s="222">
        <v>7</v>
      </c>
      <c r="H228" s="255">
        <v>3</v>
      </c>
      <c r="I228" s="207">
        <v>2600</v>
      </c>
      <c r="J228" s="242">
        <f>I228*H228</f>
        <v>7800</v>
      </c>
      <c r="K228" s="153"/>
      <c r="V228" s="25">
        <f t="shared" si="39"/>
        <v>1</v>
      </c>
      <c r="W228" s="25">
        <f t="shared" si="40"/>
        <v>0</v>
      </c>
    </row>
    <row r="229" spans="1:23" x14ac:dyDescent="0.3">
      <c r="A229" s="147"/>
      <c r="B229" s="205">
        <f t="shared" si="38"/>
        <v>15</v>
      </c>
      <c r="C229" s="206">
        <v>43551</v>
      </c>
      <c r="D229" s="161" t="s">
        <v>9</v>
      </c>
      <c r="E229" s="161" t="s">
        <v>2665</v>
      </c>
      <c r="F229" s="222">
        <v>5</v>
      </c>
      <c r="G229" s="222">
        <v>7</v>
      </c>
      <c r="H229" s="255">
        <v>2</v>
      </c>
      <c r="I229" s="207">
        <v>3000</v>
      </c>
      <c r="J229" s="242">
        <f t="shared" si="37"/>
        <v>6000</v>
      </c>
      <c r="K229" s="153"/>
      <c r="V229" s="25">
        <f t="shared" si="39"/>
        <v>1</v>
      </c>
      <c r="W229" s="25">
        <f t="shared" si="40"/>
        <v>0</v>
      </c>
    </row>
    <row r="230" spans="1:23" x14ac:dyDescent="0.3">
      <c r="A230" s="147"/>
      <c r="B230" s="205">
        <f t="shared" si="38"/>
        <v>16</v>
      </c>
      <c r="C230" s="206">
        <v>43552</v>
      </c>
      <c r="D230" s="161" t="s">
        <v>9</v>
      </c>
      <c r="E230" s="161" t="s">
        <v>2667</v>
      </c>
      <c r="F230" s="222">
        <v>4.5</v>
      </c>
      <c r="G230" s="222">
        <v>5.9</v>
      </c>
      <c r="H230" s="222">
        <v>1.4</v>
      </c>
      <c r="I230" s="207">
        <v>1750</v>
      </c>
      <c r="J230" s="242">
        <f t="shared" si="37"/>
        <v>2450</v>
      </c>
      <c r="K230" s="153"/>
      <c r="V230" s="25">
        <f t="shared" si="39"/>
        <v>1</v>
      </c>
      <c r="W230" s="25">
        <f t="shared" si="40"/>
        <v>0</v>
      </c>
    </row>
    <row r="231" spans="1:23" x14ac:dyDescent="0.3">
      <c r="A231" s="147"/>
      <c r="B231" s="205">
        <f t="shared" si="38"/>
        <v>17</v>
      </c>
      <c r="C231" s="206">
        <v>43553</v>
      </c>
      <c r="D231" s="161" t="s">
        <v>9</v>
      </c>
      <c r="E231" s="161" t="s">
        <v>2535</v>
      </c>
      <c r="F231" s="222">
        <v>16</v>
      </c>
      <c r="G231" s="222">
        <v>18</v>
      </c>
      <c r="H231" s="222">
        <v>2</v>
      </c>
      <c r="I231" s="207">
        <v>2000</v>
      </c>
      <c r="J231" s="242">
        <f t="shared" si="37"/>
        <v>4000</v>
      </c>
      <c r="K231" s="153"/>
      <c r="V231" s="25">
        <f t="shared" si="39"/>
        <v>1</v>
      </c>
      <c r="W231" s="25">
        <f t="shared" si="40"/>
        <v>0</v>
      </c>
    </row>
    <row r="232" spans="1:23" x14ac:dyDescent="0.3">
      <c r="A232" s="147"/>
      <c r="B232" s="205">
        <f t="shared" si="38"/>
        <v>18</v>
      </c>
      <c r="C232" s="206"/>
      <c r="D232" s="161"/>
      <c r="E232" s="161"/>
      <c r="F232" s="222"/>
      <c r="G232" s="222"/>
      <c r="H232" s="222"/>
      <c r="I232" s="207"/>
      <c r="J232" s="242">
        <f t="shared" si="37"/>
        <v>0</v>
      </c>
      <c r="K232" s="153"/>
      <c r="V232" s="25">
        <f t="shared" si="39"/>
        <v>0</v>
      </c>
      <c r="W232" s="25">
        <f t="shared" si="40"/>
        <v>0</v>
      </c>
    </row>
    <row r="233" spans="1:23" x14ac:dyDescent="0.3">
      <c r="A233" s="147"/>
      <c r="B233" s="205">
        <f t="shared" si="38"/>
        <v>19</v>
      </c>
      <c r="C233" s="206"/>
      <c r="D233" s="161"/>
      <c r="E233" s="161"/>
      <c r="F233" s="222"/>
      <c r="G233" s="222"/>
      <c r="H233" s="222"/>
      <c r="I233" s="207"/>
      <c r="J233" s="242">
        <f t="shared" si="37"/>
        <v>0</v>
      </c>
      <c r="K233" s="153"/>
      <c r="V233" s="25">
        <f t="shared" si="39"/>
        <v>0</v>
      </c>
      <c r="W233" s="25">
        <f t="shared" si="40"/>
        <v>0</v>
      </c>
    </row>
    <row r="234" spans="1:23" x14ac:dyDescent="0.3">
      <c r="A234" s="147"/>
      <c r="B234" s="205">
        <f t="shared" si="38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7"/>
        <v>0</v>
      </c>
      <c r="K234" s="153"/>
      <c r="V234" s="25">
        <f t="shared" si="39"/>
        <v>0</v>
      </c>
      <c r="W234" s="25">
        <f t="shared" si="40"/>
        <v>0</v>
      </c>
    </row>
    <row r="235" spans="1:23" x14ac:dyDescent="0.3">
      <c r="A235" s="147"/>
      <c r="B235" s="205">
        <f t="shared" si="38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7"/>
        <v>0</v>
      </c>
      <c r="K235" s="153"/>
      <c r="V235" s="25">
        <f t="shared" si="39"/>
        <v>0</v>
      </c>
      <c r="W235" s="25">
        <f t="shared" si="40"/>
        <v>0</v>
      </c>
    </row>
    <row r="236" spans="1:23" x14ac:dyDescent="0.3">
      <c r="A236" s="147"/>
      <c r="B236" s="205">
        <f t="shared" si="38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7"/>
        <v>0</v>
      </c>
      <c r="K236" s="153"/>
      <c r="V236" s="25">
        <f t="shared" si="39"/>
        <v>0</v>
      </c>
      <c r="W236" s="25">
        <f t="shared" si="40"/>
        <v>0</v>
      </c>
    </row>
    <row r="237" spans="1:23" ht="15" thickBot="1" x14ac:dyDescent="0.35">
      <c r="A237" s="147"/>
      <c r="B237" s="208">
        <f t="shared" si="38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7"/>
        <v>0</v>
      </c>
      <c r="K237" s="153"/>
      <c r="V237" s="25">
        <f t="shared" si="39"/>
        <v>0</v>
      </c>
      <c r="W237" s="25">
        <f t="shared" si="40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37847.5</v>
      </c>
      <c r="K238" s="153"/>
      <c r="V238" s="25">
        <f>SUM(V215:V237)</f>
        <v>12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700-000000000000}"/>
    <hyperlink ref="B83" r:id="rId2" xr:uid="{00000000-0004-0000-4700-000001000000}"/>
    <hyperlink ref="B114" r:id="rId3" xr:uid="{00000000-0004-0000-4700-000002000000}"/>
    <hyperlink ref="B145" r:id="rId4" xr:uid="{00000000-0004-0000-4700-000003000000}"/>
    <hyperlink ref="B176" r:id="rId5" xr:uid="{00000000-0004-0000-4700-000004000000}"/>
    <hyperlink ref="B207" r:id="rId6" xr:uid="{00000000-0004-0000-4700-000005000000}"/>
    <hyperlink ref="B238" r:id="rId7" xr:uid="{00000000-0004-0000-4700-000006000000}"/>
    <hyperlink ref="M1" location="'MASTER '!A1" display="Back" xr:uid="{00000000-0004-0000-4700-000007000000}"/>
    <hyperlink ref="M8:M9" location="'MARCH-2019'!A108" display="NIFTY FUTURE" xr:uid="{00000000-0004-0000-4700-000008000000}"/>
    <hyperlink ref="M10:M11" location="'MARCH-2019'!A139" display="NF. OPTION" xr:uid="{00000000-0004-0000-4700-000009000000}"/>
    <hyperlink ref="M12:M13" location="'MARCH-2019'!A170" display="BANK NIFTY" xr:uid="{00000000-0004-0000-4700-00000A000000}"/>
    <hyperlink ref="M14:M15" location="'MARCH-2019'!A201" display="B.NIFTY OPTION" xr:uid="{00000000-0004-0000-4700-00000B000000}"/>
    <hyperlink ref="M16:M17" location="'MARCH-2019'!A232" display="STOCK OPTION" xr:uid="{00000000-0004-0000-4700-00000C000000}"/>
    <hyperlink ref="M6:M7" location="'MARCH-2019'!A77" display="STOCK FUTURE" xr:uid="{00000000-0004-0000-4700-00000D000000}"/>
    <hyperlink ref="M4:M5" location="'MARCH-2019'!A1" display="CASH" xr:uid="{00000000-0004-0000-4700-00000E000000}"/>
  </hyperlinks>
  <pageMargins left="0" right="0" top="0" bottom="0" header="0" footer="0"/>
  <pageSetup scale="95" orientation="portrait" r:id="rId8"/>
  <drawing r:id="rId9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239"/>
  <sheetViews>
    <sheetView workbookViewId="0">
      <selection activeCell="M1" sqref="M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1.33203125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2672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37</v>
      </c>
      <c r="O4" s="354">
        <f>V52</f>
        <v>30</v>
      </c>
      <c r="P4" s="354">
        <f>W52</f>
        <v>7</v>
      </c>
      <c r="Q4" s="355">
        <f>N4-O4-P4</f>
        <v>0</v>
      </c>
      <c r="R4" s="314">
        <f>O4/N4</f>
        <v>0.81081081081081086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43556</v>
      </c>
      <c r="D6" s="158" t="s">
        <v>9</v>
      </c>
      <c r="E6" s="158" t="s">
        <v>192</v>
      </c>
      <c r="F6" s="204">
        <v>294</v>
      </c>
      <c r="G6" s="230">
        <v>300</v>
      </c>
      <c r="H6" s="158">
        <v>6</v>
      </c>
      <c r="I6" s="204">
        <f>300000/F6</f>
        <v>1020.4081632653061</v>
      </c>
      <c r="J6" s="241">
        <f>H6*I6</f>
        <v>6122.4489795918371</v>
      </c>
      <c r="K6" s="153"/>
      <c r="M6" s="389" t="s">
        <v>450</v>
      </c>
      <c r="N6" s="343">
        <f>COUNT(C60:C82)</f>
        <v>19</v>
      </c>
      <c r="O6" s="345">
        <f>V83</f>
        <v>15</v>
      </c>
      <c r="P6" s="345">
        <f>W83</f>
        <v>4</v>
      </c>
      <c r="Q6" s="347">
        <f>N6-O6-P6</f>
        <v>0</v>
      </c>
      <c r="R6" s="340">
        <f t="shared" ref="R6" si="0">O6/N6</f>
        <v>0.78947368421052633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43556</v>
      </c>
      <c r="D7" s="161" t="s">
        <v>8</v>
      </c>
      <c r="E7" s="161" t="s">
        <v>129</v>
      </c>
      <c r="F7" s="207">
        <v>1965</v>
      </c>
      <c r="G7" s="207">
        <v>1950</v>
      </c>
      <c r="H7" s="234">
        <v>15</v>
      </c>
      <c r="I7" s="207">
        <f t="shared" ref="I7" si="1">300000/F7</f>
        <v>152.67175572519085</v>
      </c>
      <c r="J7" s="242">
        <f t="shared" ref="J7" si="2">H7*I7</f>
        <v>2290.0763358778627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43557</v>
      </c>
      <c r="D8" s="161" t="s">
        <v>9</v>
      </c>
      <c r="E8" s="161" t="s">
        <v>192</v>
      </c>
      <c r="F8" s="207">
        <v>294</v>
      </c>
      <c r="G8" s="222">
        <v>298</v>
      </c>
      <c r="H8" s="222">
        <v>4</v>
      </c>
      <c r="I8" s="207">
        <f t="shared" ref="I8:I42" si="6">300000/F8</f>
        <v>1020.4081632653061</v>
      </c>
      <c r="J8" s="242">
        <f t="shared" ref="J8:J42" si="7">H8*I8</f>
        <v>4081.6326530612246</v>
      </c>
      <c r="K8" s="153"/>
      <c r="M8" s="389" t="s">
        <v>451</v>
      </c>
      <c r="N8" s="343">
        <f>COUNT(C91:C113)</f>
        <v>19</v>
      </c>
      <c r="O8" s="345">
        <f>V114</f>
        <v>12</v>
      </c>
      <c r="P8" s="345">
        <f>W114</f>
        <v>7</v>
      </c>
      <c r="Q8" s="347">
        <f>N8-O8-P8</f>
        <v>0</v>
      </c>
      <c r="R8" s="340">
        <f t="shared" ref="R8" si="8">O8/N8</f>
        <v>0.63157894736842102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43557</v>
      </c>
      <c r="D9" s="161" t="s">
        <v>8</v>
      </c>
      <c r="E9" s="161" t="s">
        <v>95</v>
      </c>
      <c r="F9" s="222">
        <v>396</v>
      </c>
      <c r="G9" s="222">
        <v>393.8</v>
      </c>
      <c r="H9" s="222">
        <v>2.2000000000000002</v>
      </c>
      <c r="I9" s="207">
        <f t="shared" si="6"/>
        <v>757.57575757575762</v>
      </c>
      <c r="J9" s="242">
        <f t="shared" si="7"/>
        <v>1666.666666666667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43558</v>
      </c>
      <c r="D10" s="161" t="s">
        <v>9</v>
      </c>
      <c r="E10" s="161" t="s">
        <v>192</v>
      </c>
      <c r="F10" s="222">
        <v>229</v>
      </c>
      <c r="G10" s="222">
        <v>296</v>
      </c>
      <c r="H10" s="222">
        <v>-3</v>
      </c>
      <c r="I10" s="207">
        <f t="shared" si="6"/>
        <v>1310.0436681222707</v>
      </c>
      <c r="J10" s="242">
        <f t="shared" si="7"/>
        <v>-3930.1310043668118</v>
      </c>
      <c r="K10" s="153"/>
      <c r="M10" s="389" t="s">
        <v>1176</v>
      </c>
      <c r="N10" s="343">
        <f>COUNT(C122:C144)</f>
        <v>19</v>
      </c>
      <c r="O10" s="345">
        <f>V145</f>
        <v>15</v>
      </c>
      <c r="P10" s="345">
        <f>W145</f>
        <v>4</v>
      </c>
      <c r="Q10" s="347">
        <f>N10-O10-P10</f>
        <v>0</v>
      </c>
      <c r="R10" s="340">
        <f t="shared" ref="R10:R16" si="9">O10/N10</f>
        <v>0.78947368421052633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43558</v>
      </c>
      <c r="D11" s="161" t="s">
        <v>9</v>
      </c>
      <c r="E11" s="161" t="s">
        <v>129</v>
      </c>
      <c r="F11" s="222">
        <v>2028</v>
      </c>
      <c r="G11" s="222">
        <v>2008</v>
      </c>
      <c r="H11" s="255">
        <v>-20</v>
      </c>
      <c r="I11" s="207">
        <f t="shared" si="6"/>
        <v>147.92899408284023</v>
      </c>
      <c r="J11" s="242">
        <f t="shared" si="7"/>
        <v>-2958.5798816568049</v>
      </c>
      <c r="K11" s="153"/>
      <c r="M11" s="389"/>
      <c r="N11" s="343"/>
      <c r="O11" s="345"/>
      <c r="P11" s="345"/>
      <c r="Q11" s="349"/>
      <c r="R11" s="340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43559</v>
      </c>
      <c r="D12" s="161" t="s">
        <v>9</v>
      </c>
      <c r="E12" s="161" t="s">
        <v>192</v>
      </c>
      <c r="F12" s="222">
        <v>286</v>
      </c>
      <c r="G12" s="222">
        <v>287.5</v>
      </c>
      <c r="H12" s="222">
        <v>1.5</v>
      </c>
      <c r="I12" s="207">
        <f t="shared" si="6"/>
        <v>1048.951048951049</v>
      </c>
      <c r="J12" s="242">
        <f t="shared" si="7"/>
        <v>1573.4265734265734</v>
      </c>
      <c r="K12" s="153"/>
      <c r="M12" s="389" t="s">
        <v>41</v>
      </c>
      <c r="N12" s="343">
        <f>COUNT(C153:C175)</f>
        <v>19</v>
      </c>
      <c r="O12" s="345">
        <f>V176</f>
        <v>16</v>
      </c>
      <c r="P12" s="345">
        <f>W176</f>
        <v>3</v>
      </c>
      <c r="Q12" s="347">
        <f t="shared" ref="Q12" si="10">N12-O12-P12</f>
        <v>0</v>
      </c>
      <c r="R12" s="340">
        <f t="shared" si="9"/>
        <v>0.84210526315789469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43559</v>
      </c>
      <c r="D13" s="161" t="s">
        <v>8</v>
      </c>
      <c r="E13" s="161" t="s">
        <v>31</v>
      </c>
      <c r="F13" s="222">
        <v>1370</v>
      </c>
      <c r="G13" s="222">
        <v>1350</v>
      </c>
      <c r="H13" s="255">
        <v>20</v>
      </c>
      <c r="I13" s="207">
        <f t="shared" si="6"/>
        <v>218.97810218978103</v>
      </c>
      <c r="J13" s="242">
        <f t="shared" si="7"/>
        <v>4379.5620437956204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43560</v>
      </c>
      <c r="D14" s="161" t="s">
        <v>9</v>
      </c>
      <c r="E14" s="161" t="s">
        <v>800</v>
      </c>
      <c r="F14" s="222">
        <v>1430</v>
      </c>
      <c r="G14" s="222">
        <v>1425</v>
      </c>
      <c r="H14" s="222">
        <v>-5</v>
      </c>
      <c r="I14" s="207">
        <f t="shared" si="6"/>
        <v>209.79020979020979</v>
      </c>
      <c r="J14" s="242">
        <f t="shared" si="7"/>
        <v>-1048.951048951049</v>
      </c>
      <c r="K14" s="153"/>
      <c r="M14" s="389" t="s">
        <v>1175</v>
      </c>
      <c r="N14" s="343">
        <f>COUNT(C184:C206)</f>
        <v>19</v>
      </c>
      <c r="O14" s="345">
        <f>V207</f>
        <v>14</v>
      </c>
      <c r="P14" s="345">
        <f>W207</f>
        <v>5</v>
      </c>
      <c r="Q14" s="347">
        <f t="shared" ref="Q14" si="11">N14-O14-P14</f>
        <v>0</v>
      </c>
      <c r="R14" s="340">
        <f t="shared" si="9"/>
        <v>0.73684210526315785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43560</v>
      </c>
      <c r="D15" s="161" t="s">
        <v>8</v>
      </c>
      <c r="E15" s="161" t="s">
        <v>31</v>
      </c>
      <c r="F15" s="222">
        <v>1355</v>
      </c>
      <c r="G15" s="222">
        <v>1345</v>
      </c>
      <c r="H15" s="222">
        <v>10</v>
      </c>
      <c r="I15" s="207">
        <f t="shared" si="6"/>
        <v>221.40221402214021</v>
      </c>
      <c r="J15" s="242">
        <f t="shared" si="7"/>
        <v>2214.022140221402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43563</v>
      </c>
      <c r="D16" s="161" t="s">
        <v>9</v>
      </c>
      <c r="E16" s="161" t="s">
        <v>192</v>
      </c>
      <c r="F16" s="222">
        <v>283</v>
      </c>
      <c r="G16" s="222">
        <v>280</v>
      </c>
      <c r="H16" s="222">
        <v>-3</v>
      </c>
      <c r="I16" s="207">
        <f t="shared" si="6"/>
        <v>1060.0706713780919</v>
      </c>
      <c r="J16" s="242">
        <f t="shared" si="7"/>
        <v>-3180.2120141342757</v>
      </c>
      <c r="K16" s="153"/>
      <c r="L16" s="25" t="s">
        <v>2008</v>
      </c>
      <c r="M16" s="389" t="s">
        <v>1090</v>
      </c>
      <c r="N16" s="343">
        <f>COUNT(C215:C237)</f>
        <v>19</v>
      </c>
      <c r="O16" s="345">
        <f>V238</f>
        <v>14</v>
      </c>
      <c r="P16" s="345">
        <f>W238</f>
        <v>5</v>
      </c>
      <c r="Q16" s="347">
        <f t="shared" ref="Q16" si="12">N16-O16-P16</f>
        <v>0</v>
      </c>
      <c r="R16" s="340">
        <f t="shared" si="9"/>
        <v>0.73684210526315785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43563</v>
      </c>
      <c r="D17" s="161" t="s">
        <v>8</v>
      </c>
      <c r="E17" s="161" t="s">
        <v>31</v>
      </c>
      <c r="F17" s="222">
        <v>1346</v>
      </c>
      <c r="G17" s="222">
        <v>1326</v>
      </c>
      <c r="H17" s="222">
        <v>20</v>
      </c>
      <c r="I17" s="207">
        <f t="shared" si="6"/>
        <v>222.88261515601783</v>
      </c>
      <c r="J17" s="242">
        <f t="shared" si="7"/>
        <v>4457.6523031203569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43564</v>
      </c>
      <c r="D18" s="161" t="s">
        <v>9</v>
      </c>
      <c r="E18" s="161" t="s">
        <v>192</v>
      </c>
      <c r="F18" s="222">
        <v>276</v>
      </c>
      <c r="G18" s="222">
        <v>284</v>
      </c>
      <c r="H18" s="222">
        <v>8</v>
      </c>
      <c r="I18" s="207">
        <f t="shared" si="6"/>
        <v>1086.9565217391305</v>
      </c>
      <c r="J18" s="242">
        <f t="shared" si="7"/>
        <v>8695.652173913044</v>
      </c>
      <c r="K18" s="153"/>
      <c r="M18" s="334" t="s">
        <v>946</v>
      </c>
      <c r="N18" s="336">
        <f>SUM(N4:N17)</f>
        <v>151</v>
      </c>
      <c r="O18" s="336">
        <f t="shared" ref="O18:Q18" si="13">SUM(O4:O17)</f>
        <v>116</v>
      </c>
      <c r="P18" s="336">
        <f t="shared" si="13"/>
        <v>35</v>
      </c>
      <c r="Q18" s="338">
        <f t="shared" si="13"/>
        <v>0</v>
      </c>
      <c r="R18" s="314">
        <f t="shared" ref="R18" si="14">O18/N18</f>
        <v>0.76821192052980136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43564</v>
      </c>
      <c r="D19" s="161" t="s">
        <v>8</v>
      </c>
      <c r="E19" s="161" t="s">
        <v>31</v>
      </c>
      <c r="F19" s="222">
        <v>1328</v>
      </c>
      <c r="G19" s="222">
        <v>1324</v>
      </c>
      <c r="H19" s="222">
        <v>4</v>
      </c>
      <c r="I19" s="207">
        <f t="shared" si="6"/>
        <v>225.90361445783134</v>
      </c>
      <c r="J19" s="242">
        <f t="shared" si="7"/>
        <v>903.61445783132535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43565</v>
      </c>
      <c r="D20" s="161" t="s">
        <v>9</v>
      </c>
      <c r="E20" s="161" t="s">
        <v>192</v>
      </c>
      <c r="F20" s="222">
        <v>285</v>
      </c>
      <c r="G20" s="222">
        <v>286.8</v>
      </c>
      <c r="H20" s="222">
        <v>1.8</v>
      </c>
      <c r="I20" s="207">
        <f t="shared" si="6"/>
        <v>1052.6315789473683</v>
      </c>
      <c r="J20" s="242">
        <f t="shared" si="7"/>
        <v>1894.7368421052631</v>
      </c>
      <c r="K20" s="153"/>
      <c r="M20" s="316" t="s">
        <v>2253</v>
      </c>
      <c r="N20" s="317"/>
      <c r="O20" s="318"/>
      <c r="P20" s="325">
        <f>R18</f>
        <v>0.76821192052980136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43565</v>
      </c>
      <c r="D21" s="161" t="s">
        <v>8</v>
      </c>
      <c r="E21" s="161" t="s">
        <v>31</v>
      </c>
      <c r="F21" s="222">
        <v>1343</v>
      </c>
      <c r="G21" s="222">
        <v>1329</v>
      </c>
      <c r="H21" s="222">
        <v>14</v>
      </c>
      <c r="I21" s="207">
        <f t="shared" si="6"/>
        <v>223.38049143708116</v>
      </c>
      <c r="J21" s="242">
        <f t="shared" si="7"/>
        <v>3127.3268801191361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43566</v>
      </c>
      <c r="D22" s="161" t="s">
        <v>9</v>
      </c>
      <c r="E22" s="161" t="s">
        <v>31</v>
      </c>
      <c r="F22" s="222">
        <v>1334</v>
      </c>
      <c r="G22" s="222">
        <v>1350</v>
      </c>
      <c r="H22" s="222">
        <v>16</v>
      </c>
      <c r="I22" s="207">
        <f t="shared" si="6"/>
        <v>224.88755622188904</v>
      </c>
      <c r="J22" s="242">
        <f t="shared" si="7"/>
        <v>3598.2008995502247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43566</v>
      </c>
      <c r="D23" s="161" t="s">
        <v>8</v>
      </c>
      <c r="E23" s="161" t="s">
        <v>95</v>
      </c>
      <c r="F23" s="222">
        <v>391</v>
      </c>
      <c r="G23" s="222">
        <v>388.5</v>
      </c>
      <c r="H23" s="222">
        <v>2.5</v>
      </c>
      <c r="I23" s="207">
        <f t="shared" si="6"/>
        <v>767.26342710997437</v>
      </c>
      <c r="J23" s="242">
        <f t="shared" si="7"/>
        <v>1918.1585677749358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43567</v>
      </c>
      <c r="D24" s="161" t="s">
        <v>9</v>
      </c>
      <c r="E24" s="161" t="s">
        <v>95</v>
      </c>
      <c r="F24" s="222">
        <v>392</v>
      </c>
      <c r="G24" s="222">
        <v>394.3</v>
      </c>
      <c r="H24" s="222">
        <v>2.2999999999999998</v>
      </c>
      <c r="I24" s="207">
        <f t="shared" si="6"/>
        <v>765.30612244897964</v>
      </c>
      <c r="J24" s="242">
        <f t="shared" si="7"/>
        <v>1760.204081632653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43567</v>
      </c>
      <c r="D25" s="161" t="s">
        <v>8</v>
      </c>
      <c r="E25" s="161" t="s">
        <v>78</v>
      </c>
      <c r="F25" s="222">
        <v>1370</v>
      </c>
      <c r="G25" s="222">
        <v>1360</v>
      </c>
      <c r="H25" s="222">
        <v>10</v>
      </c>
      <c r="I25" s="207">
        <f t="shared" si="6"/>
        <v>218.97810218978103</v>
      </c>
      <c r="J25" s="242">
        <f t="shared" si="7"/>
        <v>2189.7810218978102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43570</v>
      </c>
      <c r="D26" s="161" t="s">
        <v>9</v>
      </c>
      <c r="E26" s="161" t="s">
        <v>31</v>
      </c>
      <c r="F26" s="222">
        <v>1343</v>
      </c>
      <c r="G26" s="222">
        <v>1342</v>
      </c>
      <c r="H26" s="222">
        <v>-1</v>
      </c>
      <c r="I26" s="207">
        <f t="shared" si="6"/>
        <v>223.38049143708116</v>
      </c>
      <c r="J26" s="242">
        <f t="shared" si="7"/>
        <v>-223.38049143708116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43570</v>
      </c>
      <c r="D27" s="161" t="s">
        <v>8</v>
      </c>
      <c r="E27" s="161" t="s">
        <v>132</v>
      </c>
      <c r="F27" s="222">
        <v>598</v>
      </c>
      <c r="G27" s="222">
        <v>592</v>
      </c>
      <c r="H27" s="222">
        <v>6</v>
      </c>
      <c r="I27" s="207">
        <f t="shared" si="6"/>
        <v>501.67224080267556</v>
      </c>
      <c r="J27" s="242">
        <f t="shared" si="7"/>
        <v>3010.0334448160534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43571</v>
      </c>
      <c r="D28" s="161" t="s">
        <v>9</v>
      </c>
      <c r="E28" s="161" t="s">
        <v>2687</v>
      </c>
      <c r="F28" s="222">
        <v>927</v>
      </c>
      <c r="G28" s="222">
        <v>933</v>
      </c>
      <c r="H28" s="222">
        <v>6</v>
      </c>
      <c r="I28" s="207">
        <f t="shared" si="6"/>
        <v>323.62459546925567</v>
      </c>
      <c r="J28" s="242">
        <f t="shared" si="7"/>
        <v>1941.7475728155341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43573</v>
      </c>
      <c r="D29" s="161" t="s">
        <v>9</v>
      </c>
      <c r="E29" s="161" t="s">
        <v>58</v>
      </c>
      <c r="F29" s="222">
        <v>774</v>
      </c>
      <c r="G29" s="222">
        <v>776.5</v>
      </c>
      <c r="H29" s="222">
        <v>2.5</v>
      </c>
      <c r="I29" s="207">
        <f t="shared" si="6"/>
        <v>387.59689922480618</v>
      </c>
      <c r="J29" s="242">
        <f t="shared" si="7"/>
        <v>968.99224806201551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43573</v>
      </c>
      <c r="D30" s="161" t="s">
        <v>8</v>
      </c>
      <c r="E30" s="161" t="s">
        <v>78</v>
      </c>
      <c r="F30" s="222">
        <v>1372</v>
      </c>
      <c r="G30" s="222">
        <v>1359</v>
      </c>
      <c r="H30" s="222">
        <v>13</v>
      </c>
      <c r="I30" s="207">
        <f t="shared" si="6"/>
        <v>218.65889212827989</v>
      </c>
      <c r="J30" s="242">
        <f t="shared" si="7"/>
        <v>2842.5655976676385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43577</v>
      </c>
      <c r="D31" s="161" t="s">
        <v>9</v>
      </c>
      <c r="E31" s="161" t="s">
        <v>31</v>
      </c>
      <c r="F31" s="222">
        <v>1360</v>
      </c>
      <c r="G31" s="222">
        <v>1366</v>
      </c>
      <c r="H31" s="222">
        <v>6</v>
      </c>
      <c r="I31" s="207">
        <f t="shared" si="6"/>
        <v>220.58823529411765</v>
      </c>
      <c r="J31" s="242">
        <f t="shared" si="7"/>
        <v>1323.5294117647059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43577</v>
      </c>
      <c r="D32" s="161" t="s">
        <v>8</v>
      </c>
      <c r="E32" s="161" t="s">
        <v>78</v>
      </c>
      <c r="F32" s="222">
        <v>1355</v>
      </c>
      <c r="G32" s="222">
        <v>1365</v>
      </c>
      <c r="H32" s="222">
        <v>-10</v>
      </c>
      <c r="I32" s="207">
        <f t="shared" si="6"/>
        <v>221.40221402214021</v>
      </c>
      <c r="J32" s="242">
        <f t="shared" si="7"/>
        <v>-2214.022140221402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43578</v>
      </c>
      <c r="D33" s="161" t="s">
        <v>9</v>
      </c>
      <c r="E33" s="161" t="s">
        <v>192</v>
      </c>
      <c r="F33" s="222">
        <v>269.5</v>
      </c>
      <c r="G33" s="222">
        <v>274</v>
      </c>
      <c r="H33" s="222">
        <v>4.5</v>
      </c>
      <c r="I33" s="207">
        <f t="shared" si="6"/>
        <v>1113.1725417439702</v>
      </c>
      <c r="J33" s="242">
        <f t="shared" si="7"/>
        <v>5009.276437847866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43578</v>
      </c>
      <c r="D34" s="161" t="s">
        <v>8</v>
      </c>
      <c r="E34" s="161" t="s">
        <v>1109</v>
      </c>
      <c r="F34" s="222">
        <v>895</v>
      </c>
      <c r="G34" s="222">
        <v>861</v>
      </c>
      <c r="H34" s="222">
        <v>34</v>
      </c>
      <c r="I34" s="207">
        <f t="shared" si="6"/>
        <v>335.195530726257</v>
      </c>
      <c r="J34" s="242">
        <f t="shared" si="7"/>
        <v>11396.648044692738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43579</v>
      </c>
      <c r="D35" s="161" t="s">
        <v>9</v>
      </c>
      <c r="E35" s="161" t="s">
        <v>31</v>
      </c>
      <c r="F35" s="222">
        <v>1370</v>
      </c>
      <c r="G35" s="222">
        <v>1390</v>
      </c>
      <c r="H35" s="222">
        <v>20</v>
      </c>
      <c r="I35" s="207">
        <f t="shared" si="6"/>
        <v>218.97810218978103</v>
      </c>
      <c r="J35" s="242">
        <f t="shared" si="7"/>
        <v>4379.5620437956204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43579</v>
      </c>
      <c r="D36" s="161" t="s">
        <v>8</v>
      </c>
      <c r="E36" s="161" t="s">
        <v>58</v>
      </c>
      <c r="F36" s="222">
        <v>745</v>
      </c>
      <c r="G36" s="222">
        <v>739</v>
      </c>
      <c r="H36" s="222">
        <v>6</v>
      </c>
      <c r="I36" s="207">
        <f t="shared" si="6"/>
        <v>402.68456375838929</v>
      </c>
      <c r="J36" s="242">
        <f t="shared" si="7"/>
        <v>2416.1073825503358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43580</v>
      </c>
      <c r="D37" s="161" t="s">
        <v>9</v>
      </c>
      <c r="E37" s="161" t="s">
        <v>95</v>
      </c>
      <c r="F37" s="222">
        <v>400</v>
      </c>
      <c r="G37" s="222">
        <v>402</v>
      </c>
      <c r="H37" s="222">
        <v>2</v>
      </c>
      <c r="I37" s="207">
        <f t="shared" si="6"/>
        <v>750</v>
      </c>
      <c r="J37" s="242">
        <f t="shared" si="7"/>
        <v>1500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43580</v>
      </c>
      <c r="D38" s="161" t="s">
        <v>8</v>
      </c>
      <c r="E38" s="161" t="s">
        <v>58</v>
      </c>
      <c r="F38" s="222">
        <v>750</v>
      </c>
      <c r="G38" s="222">
        <v>739</v>
      </c>
      <c r="H38" s="222">
        <v>11</v>
      </c>
      <c r="I38" s="207">
        <f t="shared" si="6"/>
        <v>400</v>
      </c>
      <c r="J38" s="242">
        <f t="shared" si="7"/>
        <v>4400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43581</v>
      </c>
      <c r="D39" s="161" t="s">
        <v>9</v>
      </c>
      <c r="E39" s="161" t="s">
        <v>192</v>
      </c>
      <c r="F39" s="222">
        <v>272</v>
      </c>
      <c r="G39" s="222">
        <v>274</v>
      </c>
      <c r="H39" s="222">
        <v>2</v>
      </c>
      <c r="I39" s="207">
        <f t="shared" si="6"/>
        <v>1102.9411764705883</v>
      </c>
      <c r="J39" s="242">
        <f t="shared" si="7"/>
        <v>2205.8823529411766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43581</v>
      </c>
      <c r="D40" s="161" t="s">
        <v>8</v>
      </c>
      <c r="E40" s="161" t="s">
        <v>58</v>
      </c>
      <c r="F40" s="222">
        <v>750</v>
      </c>
      <c r="G40" s="222">
        <v>756</v>
      </c>
      <c r="H40" s="222">
        <v>-6</v>
      </c>
      <c r="I40" s="207">
        <f t="shared" si="6"/>
        <v>400</v>
      </c>
      <c r="J40" s="242">
        <f t="shared" si="7"/>
        <v>-2400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43585</v>
      </c>
      <c r="D41" s="161" t="s">
        <v>9</v>
      </c>
      <c r="E41" s="161" t="s">
        <v>58</v>
      </c>
      <c r="F41" s="222">
        <v>763</v>
      </c>
      <c r="G41" s="223">
        <v>769</v>
      </c>
      <c r="H41" s="222">
        <v>6</v>
      </c>
      <c r="I41" s="207">
        <f t="shared" si="6"/>
        <v>393.18479685452161</v>
      </c>
      <c r="J41" s="242">
        <f t="shared" si="7"/>
        <v>2359.1087811271295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43585</v>
      </c>
      <c r="D42" s="161" t="s">
        <v>8</v>
      </c>
      <c r="E42" s="161" t="s">
        <v>192</v>
      </c>
      <c r="F42" s="222">
        <v>261</v>
      </c>
      <c r="G42" s="222">
        <v>255</v>
      </c>
      <c r="H42" s="222">
        <v>6</v>
      </c>
      <c r="I42" s="207">
        <f t="shared" si="6"/>
        <v>1149.4252873563219</v>
      </c>
      <c r="J42" s="242">
        <f t="shared" si="7"/>
        <v>6896.5517241379312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85567.891082037255</v>
      </c>
      <c r="K52" s="153"/>
      <c r="V52" s="25">
        <f>SUM(V6:V51)</f>
        <v>30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2672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43556</v>
      </c>
      <c r="D60" s="158" t="s">
        <v>9</v>
      </c>
      <c r="E60" s="158" t="s">
        <v>19</v>
      </c>
      <c r="F60" s="204">
        <v>326</v>
      </c>
      <c r="G60" s="230">
        <v>329</v>
      </c>
      <c r="H60" s="230">
        <v>3</v>
      </c>
      <c r="I60" s="204">
        <v>3000</v>
      </c>
      <c r="J60" s="241">
        <f t="shared" ref="J60:J82" si="15">I60*H60</f>
        <v>9000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43557</v>
      </c>
      <c r="D61" s="161" t="s">
        <v>9</v>
      </c>
      <c r="E61" s="161" t="s">
        <v>19</v>
      </c>
      <c r="F61" s="207">
        <v>329</v>
      </c>
      <c r="G61" s="222">
        <v>332</v>
      </c>
      <c r="H61" s="222">
        <v>3</v>
      </c>
      <c r="I61" s="207">
        <v>3000</v>
      </c>
      <c r="J61" s="242">
        <f t="shared" si="15"/>
        <v>9000</v>
      </c>
      <c r="K61" s="153"/>
      <c r="O61" s="25" t="s">
        <v>2008</v>
      </c>
      <c r="V61" s="25">
        <f t="shared" ref="V61:V82" si="16">IF($J61&gt;0,1,0)</f>
        <v>1</v>
      </c>
      <c r="W61" s="25">
        <f t="shared" ref="W61:W82" si="17">IF($J61&lt;0,1,0)</f>
        <v>0</v>
      </c>
    </row>
    <row r="62" spans="1:23" x14ac:dyDescent="0.3">
      <c r="A62" s="147"/>
      <c r="B62" s="205">
        <f t="shared" ref="B62:B82" si="18">B61+1</f>
        <v>3</v>
      </c>
      <c r="C62" s="206">
        <v>43558</v>
      </c>
      <c r="D62" s="161" t="s">
        <v>9</v>
      </c>
      <c r="E62" s="161" t="s">
        <v>19</v>
      </c>
      <c r="F62" s="222">
        <v>331.5</v>
      </c>
      <c r="G62" s="222">
        <v>328.5</v>
      </c>
      <c r="H62" s="222">
        <v>-3</v>
      </c>
      <c r="I62" s="207">
        <v>3000</v>
      </c>
      <c r="J62" s="242">
        <f t="shared" si="15"/>
        <v>-9000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43559</v>
      </c>
      <c r="D63" s="161" t="s">
        <v>8</v>
      </c>
      <c r="E63" s="161" t="s">
        <v>31</v>
      </c>
      <c r="F63" s="222">
        <v>1372</v>
      </c>
      <c r="G63" s="222">
        <v>1357.5</v>
      </c>
      <c r="H63" s="222">
        <v>14.5</v>
      </c>
      <c r="I63" s="207">
        <v>500</v>
      </c>
      <c r="J63" s="242">
        <f t="shared" si="15"/>
        <v>7250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43560</v>
      </c>
      <c r="D64" s="161" t="s">
        <v>8</v>
      </c>
      <c r="E64" s="161" t="s">
        <v>58</v>
      </c>
      <c r="F64" s="222">
        <v>768</v>
      </c>
      <c r="G64" s="222">
        <v>762</v>
      </c>
      <c r="H64" s="222">
        <v>6</v>
      </c>
      <c r="I64" s="207">
        <v>1200</v>
      </c>
      <c r="J64" s="242">
        <f t="shared" si="15"/>
        <v>7200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43563</v>
      </c>
      <c r="D65" s="161" t="s">
        <v>8</v>
      </c>
      <c r="E65" s="161" t="s">
        <v>58</v>
      </c>
      <c r="F65" s="207">
        <v>764</v>
      </c>
      <c r="G65" s="222">
        <v>753</v>
      </c>
      <c r="H65" s="222">
        <v>11</v>
      </c>
      <c r="I65" s="207">
        <v>1200</v>
      </c>
      <c r="J65" s="242">
        <f t="shared" si="15"/>
        <v>13200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43564</v>
      </c>
      <c r="D66" s="161" t="s">
        <v>9</v>
      </c>
      <c r="E66" s="161" t="s">
        <v>58</v>
      </c>
      <c r="F66" s="207">
        <v>758</v>
      </c>
      <c r="G66" s="222">
        <v>770</v>
      </c>
      <c r="H66" s="222">
        <v>12</v>
      </c>
      <c r="I66" s="207">
        <v>1200</v>
      </c>
      <c r="J66" s="242">
        <f t="shared" si="15"/>
        <v>14400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43565</v>
      </c>
      <c r="D67" s="161" t="s">
        <v>9</v>
      </c>
      <c r="E67" s="161" t="s">
        <v>58</v>
      </c>
      <c r="F67" s="207">
        <v>769</v>
      </c>
      <c r="G67" s="222">
        <v>773.4</v>
      </c>
      <c r="H67" s="222">
        <v>4.4000000000000004</v>
      </c>
      <c r="I67" s="207">
        <v>1200</v>
      </c>
      <c r="J67" s="242">
        <f t="shared" si="15"/>
        <v>5280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43566</v>
      </c>
      <c r="D68" s="161" t="s">
        <v>9</v>
      </c>
      <c r="E68" s="161" t="s">
        <v>58</v>
      </c>
      <c r="F68" s="222">
        <v>762</v>
      </c>
      <c r="G68" s="222">
        <v>756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43567</v>
      </c>
      <c r="D69" s="161" t="s">
        <v>9</v>
      </c>
      <c r="E69" s="161" t="s">
        <v>58</v>
      </c>
      <c r="F69" s="222">
        <v>759</v>
      </c>
      <c r="G69" s="222">
        <v>770</v>
      </c>
      <c r="H69" s="222">
        <v>11</v>
      </c>
      <c r="I69" s="207">
        <v>1200</v>
      </c>
      <c r="J69" s="242">
        <f t="shared" si="15"/>
        <v>13200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43570</v>
      </c>
      <c r="D70" s="161" t="s">
        <v>9</v>
      </c>
      <c r="E70" s="161" t="s">
        <v>58</v>
      </c>
      <c r="F70" s="161">
        <v>769</v>
      </c>
      <c r="G70" s="222">
        <v>763</v>
      </c>
      <c r="H70" s="222">
        <v>-6</v>
      </c>
      <c r="I70" s="207">
        <v>1200</v>
      </c>
      <c r="J70" s="242">
        <f t="shared" si="15"/>
        <v>-7200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43571</v>
      </c>
      <c r="D71" s="161" t="s">
        <v>9</v>
      </c>
      <c r="E71" s="161" t="s">
        <v>58</v>
      </c>
      <c r="F71" s="222">
        <v>773</v>
      </c>
      <c r="G71" s="222">
        <v>777.5</v>
      </c>
      <c r="H71" s="222">
        <v>4.5</v>
      </c>
      <c r="I71" s="207">
        <v>1200</v>
      </c>
      <c r="J71" s="242">
        <f t="shared" si="15"/>
        <v>5400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43573</v>
      </c>
      <c r="D72" s="161" t="s">
        <v>8</v>
      </c>
      <c r="E72" s="161" t="s">
        <v>95</v>
      </c>
      <c r="F72" s="222">
        <v>405</v>
      </c>
      <c r="G72" s="222">
        <v>409</v>
      </c>
      <c r="H72" s="222">
        <v>-4</v>
      </c>
      <c r="I72" s="207">
        <v>1375</v>
      </c>
      <c r="J72" s="242">
        <f t="shared" si="15"/>
        <v>-5500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43577</v>
      </c>
      <c r="D73" s="161" t="s">
        <v>8</v>
      </c>
      <c r="E73" s="161" t="s">
        <v>58</v>
      </c>
      <c r="F73" s="223">
        <v>759</v>
      </c>
      <c r="G73" s="222">
        <v>753</v>
      </c>
      <c r="H73" s="255">
        <v>6</v>
      </c>
      <c r="I73" s="207">
        <v>1200</v>
      </c>
      <c r="J73" s="242">
        <f t="shared" si="15"/>
        <v>7200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43578</v>
      </c>
      <c r="D74" s="161" t="s">
        <v>9</v>
      </c>
      <c r="E74" s="161" t="s">
        <v>58</v>
      </c>
      <c r="F74" s="222">
        <v>753</v>
      </c>
      <c r="G74" s="222">
        <v>759</v>
      </c>
      <c r="H74" s="255">
        <v>6</v>
      </c>
      <c r="I74" s="207">
        <v>1200</v>
      </c>
      <c r="J74" s="242">
        <f t="shared" si="15"/>
        <v>7200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43579</v>
      </c>
      <c r="D75" s="161" t="s">
        <v>8</v>
      </c>
      <c r="E75" s="161" t="s">
        <v>58</v>
      </c>
      <c r="F75" s="222">
        <v>747</v>
      </c>
      <c r="G75" s="222">
        <v>738</v>
      </c>
      <c r="H75" s="222">
        <v>9</v>
      </c>
      <c r="I75" s="207">
        <v>1200</v>
      </c>
      <c r="J75" s="242">
        <f t="shared" si="15"/>
        <v>10800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43580</v>
      </c>
      <c r="D76" s="161" t="s">
        <v>8</v>
      </c>
      <c r="E76" s="161" t="s">
        <v>58</v>
      </c>
      <c r="F76" s="222">
        <v>750</v>
      </c>
      <c r="G76" s="222">
        <v>739</v>
      </c>
      <c r="H76" s="222">
        <v>11</v>
      </c>
      <c r="I76" s="207">
        <v>1200</v>
      </c>
      <c r="J76" s="242">
        <f t="shared" si="15"/>
        <v>13200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43581</v>
      </c>
      <c r="D77" s="161" t="s">
        <v>8</v>
      </c>
      <c r="E77" s="161" t="s">
        <v>58</v>
      </c>
      <c r="F77" s="222">
        <v>756</v>
      </c>
      <c r="G77" s="222">
        <v>753</v>
      </c>
      <c r="H77" s="222">
        <v>3</v>
      </c>
      <c r="I77" s="207">
        <v>1200</v>
      </c>
      <c r="J77" s="242">
        <f t="shared" si="15"/>
        <v>3600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43585</v>
      </c>
      <c r="D78" s="161" t="s">
        <v>9</v>
      </c>
      <c r="E78" s="161" t="s">
        <v>58</v>
      </c>
      <c r="F78" s="222">
        <v>770</v>
      </c>
      <c r="G78" s="222">
        <v>774.5</v>
      </c>
      <c r="H78" s="222">
        <v>4.5</v>
      </c>
      <c r="I78" s="207">
        <v>1200</v>
      </c>
      <c r="J78" s="242">
        <f t="shared" si="15"/>
        <v>5400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  <c r="V81" s="25">
        <f t="shared" si="16"/>
        <v>0</v>
      </c>
      <c r="W81" s="25">
        <f t="shared" si="17"/>
        <v>0</v>
      </c>
    </row>
    <row r="82" spans="1:23" ht="15" thickBot="1" x14ac:dyDescent="0.35">
      <c r="A82" s="147"/>
      <c r="B82" s="208">
        <f t="shared" si="18"/>
        <v>23</v>
      </c>
      <c r="C82" s="209"/>
      <c r="D82" s="166"/>
      <c r="E82" s="166"/>
      <c r="F82" s="210"/>
      <c r="G82" s="210"/>
      <c r="H82" s="166"/>
      <c r="I82" s="210"/>
      <c r="J82" s="244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24" thickBot="1" x14ac:dyDescent="0.5">
      <c r="A83" s="147"/>
      <c r="B83" s="370" t="s">
        <v>2254</v>
      </c>
      <c r="C83" s="371"/>
      <c r="D83" s="371"/>
      <c r="E83" s="371"/>
      <c r="F83" s="371"/>
      <c r="G83" s="371"/>
      <c r="H83" s="372"/>
      <c r="I83" s="211" t="s">
        <v>2255</v>
      </c>
      <c r="J83" s="212">
        <f>SUM(J60:J82)</f>
        <v>102430</v>
      </c>
      <c r="K83" s="153"/>
      <c r="V83" s="25">
        <f>SUM(V60:V82)</f>
        <v>15</v>
      </c>
      <c r="W83" s="25">
        <f>SUM(W60:W82)</f>
        <v>4</v>
      </c>
    </row>
    <row r="84" spans="1:23" ht="30" customHeight="1" thickBot="1" x14ac:dyDescent="0.35">
      <c r="A84" s="213"/>
      <c r="B84" s="172"/>
      <c r="C84" s="172"/>
      <c r="D84" s="172"/>
      <c r="E84" s="172"/>
      <c r="F84" s="172"/>
      <c r="G84" s="172"/>
      <c r="H84" s="235"/>
      <c r="I84" s="172"/>
      <c r="J84" s="235"/>
      <c r="K84" s="214"/>
    </row>
    <row r="85" spans="1:23" ht="15" thickBot="1" x14ac:dyDescent="0.35"/>
    <row r="86" spans="1:23" ht="30" customHeight="1" thickBot="1" x14ac:dyDescent="0.35">
      <c r="A86" s="198"/>
      <c r="B86" s="143"/>
      <c r="C86" s="143"/>
      <c r="D86" s="143"/>
      <c r="E86" s="143"/>
      <c r="F86" s="143"/>
      <c r="G86" s="143"/>
      <c r="H86" s="232"/>
      <c r="I86" s="143"/>
      <c r="J86" s="232"/>
      <c r="K86" s="199"/>
    </row>
    <row r="87" spans="1:23" ht="25.2" thickBot="1" x14ac:dyDescent="0.35">
      <c r="A87" s="147" t="s">
        <v>0</v>
      </c>
      <c r="B87" s="361" t="s">
        <v>2244</v>
      </c>
      <c r="C87" s="362"/>
      <c r="D87" s="362"/>
      <c r="E87" s="362"/>
      <c r="F87" s="362"/>
      <c r="G87" s="362"/>
      <c r="H87" s="362"/>
      <c r="I87" s="362"/>
      <c r="J87" s="363"/>
      <c r="K87" s="153"/>
    </row>
    <row r="88" spans="1:23" ht="16.2" thickBot="1" x14ac:dyDescent="0.35">
      <c r="A88" s="147"/>
      <c r="B88" s="364" t="s">
        <v>2673</v>
      </c>
      <c r="C88" s="365"/>
      <c r="D88" s="365"/>
      <c r="E88" s="365"/>
      <c r="F88" s="365"/>
      <c r="G88" s="365"/>
      <c r="H88" s="365"/>
      <c r="I88" s="365"/>
      <c r="J88" s="366"/>
      <c r="K88" s="153"/>
    </row>
    <row r="89" spans="1:23" ht="16.2" thickBot="1" x14ac:dyDescent="0.35">
      <c r="A89" s="147"/>
      <c r="B89" s="367" t="s">
        <v>2258</v>
      </c>
      <c r="C89" s="368"/>
      <c r="D89" s="368"/>
      <c r="E89" s="368"/>
      <c r="F89" s="368"/>
      <c r="G89" s="368"/>
      <c r="H89" s="368"/>
      <c r="I89" s="368"/>
      <c r="J89" s="369"/>
      <c r="K89" s="153"/>
    </row>
    <row r="90" spans="1:23" ht="15" thickBot="1" x14ac:dyDescent="0.35">
      <c r="A90" s="175"/>
      <c r="B90" s="178" t="s">
        <v>2248</v>
      </c>
      <c r="C90" s="179" t="s">
        <v>1</v>
      </c>
      <c r="D90" s="180" t="s">
        <v>5</v>
      </c>
      <c r="E90" s="180" t="s">
        <v>6</v>
      </c>
      <c r="F90" s="181" t="s">
        <v>2249</v>
      </c>
      <c r="G90" s="181" t="s">
        <v>2250</v>
      </c>
      <c r="H90" s="239" t="s">
        <v>2251</v>
      </c>
      <c r="I90" s="181" t="s">
        <v>2257</v>
      </c>
      <c r="J90" s="245" t="s">
        <v>4</v>
      </c>
      <c r="K90" s="176"/>
      <c r="L90" s="215"/>
      <c r="V90" s="201" t="s">
        <v>454</v>
      </c>
      <c r="W90" s="201" t="s">
        <v>455</v>
      </c>
    </row>
    <row r="91" spans="1:23" x14ac:dyDescent="0.3">
      <c r="A91" s="147"/>
      <c r="B91" s="217">
        <v>1</v>
      </c>
      <c r="C91" s="218">
        <v>43556</v>
      </c>
      <c r="D91" s="185" t="s">
        <v>9</v>
      </c>
      <c r="E91" s="185" t="s">
        <v>39</v>
      </c>
      <c r="F91" s="219">
        <v>11740</v>
      </c>
      <c r="G91" s="219">
        <v>11800</v>
      </c>
      <c r="H91" s="185">
        <v>60</v>
      </c>
      <c r="I91" s="219">
        <v>150</v>
      </c>
      <c r="J91" s="246">
        <f t="shared" ref="J91:J113" si="19">I91*H91</f>
        <v>9000</v>
      </c>
      <c r="K91" s="153"/>
      <c r="V91" s="25">
        <f>IF($J91&gt;0,1,0)</f>
        <v>1</v>
      </c>
      <c r="W91" s="25">
        <f>IF($J91&lt;0,1,0)</f>
        <v>0</v>
      </c>
    </row>
    <row r="92" spans="1:23" x14ac:dyDescent="0.3">
      <c r="A92" s="147"/>
      <c r="B92" s="205">
        <f>B91+1</f>
        <v>2</v>
      </c>
      <c r="C92" s="206">
        <v>43557</v>
      </c>
      <c r="D92" s="161" t="s">
        <v>9</v>
      </c>
      <c r="E92" s="161" t="s">
        <v>39</v>
      </c>
      <c r="F92" s="207">
        <v>11720</v>
      </c>
      <c r="G92" s="207">
        <v>11780</v>
      </c>
      <c r="H92" s="161">
        <v>60</v>
      </c>
      <c r="I92" s="207">
        <v>150</v>
      </c>
      <c r="J92" s="242">
        <f t="shared" si="19"/>
        <v>9000</v>
      </c>
      <c r="K92" s="153"/>
      <c r="V92" s="25">
        <f t="shared" ref="V92:V113" si="20">IF($J92&gt;0,1,0)</f>
        <v>1</v>
      </c>
      <c r="W92" s="25">
        <f t="shared" ref="W92:W113" si="21">IF($J92&lt;0,1,0)</f>
        <v>0</v>
      </c>
    </row>
    <row r="93" spans="1:23" x14ac:dyDescent="0.3">
      <c r="A93" s="147"/>
      <c r="B93" s="205">
        <f t="shared" ref="B93:B113" si="22">B92+1</f>
        <v>3</v>
      </c>
      <c r="C93" s="206">
        <v>43558</v>
      </c>
      <c r="D93" s="161" t="s">
        <v>9</v>
      </c>
      <c r="E93" s="161" t="s">
        <v>39</v>
      </c>
      <c r="F93" s="207">
        <v>11810</v>
      </c>
      <c r="G93" s="207">
        <v>11827</v>
      </c>
      <c r="H93" s="161">
        <v>17</v>
      </c>
      <c r="I93" s="207">
        <v>150</v>
      </c>
      <c r="J93" s="242">
        <f t="shared" si="19"/>
        <v>2550</v>
      </c>
      <c r="K93" s="153"/>
      <c r="V93" s="25">
        <f t="shared" si="20"/>
        <v>1</v>
      </c>
      <c r="W93" s="25">
        <f t="shared" si="21"/>
        <v>0</v>
      </c>
    </row>
    <row r="94" spans="1:23" x14ac:dyDescent="0.3">
      <c r="A94" s="147"/>
      <c r="B94" s="205">
        <f t="shared" si="22"/>
        <v>4</v>
      </c>
      <c r="C94" s="206">
        <v>43559</v>
      </c>
      <c r="D94" s="161" t="s">
        <v>9</v>
      </c>
      <c r="E94" s="161" t="s">
        <v>39</v>
      </c>
      <c r="F94" s="207">
        <v>11710</v>
      </c>
      <c r="G94" s="207">
        <v>11750</v>
      </c>
      <c r="H94" s="161">
        <v>40</v>
      </c>
      <c r="I94" s="207">
        <v>150</v>
      </c>
      <c r="J94" s="242">
        <f t="shared" si="19"/>
        <v>6000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5</v>
      </c>
      <c r="C95" s="206">
        <v>43560</v>
      </c>
      <c r="D95" s="161" t="s">
        <v>9</v>
      </c>
      <c r="E95" s="161" t="s">
        <v>39</v>
      </c>
      <c r="F95" s="207">
        <v>11730</v>
      </c>
      <c r="G95" s="207">
        <v>11700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6</v>
      </c>
      <c r="C96" s="206">
        <v>43563</v>
      </c>
      <c r="D96" s="161" t="s">
        <v>9</v>
      </c>
      <c r="E96" s="161" t="s">
        <v>39</v>
      </c>
      <c r="F96" s="207">
        <v>11730</v>
      </c>
      <c r="G96" s="207">
        <v>11700</v>
      </c>
      <c r="H96" s="161">
        <v>-30</v>
      </c>
      <c r="I96" s="207">
        <v>150</v>
      </c>
      <c r="J96" s="242">
        <f t="shared" si="19"/>
        <v>-4500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7</v>
      </c>
      <c r="C97" s="206">
        <v>43564</v>
      </c>
      <c r="D97" s="161" t="s">
        <v>9</v>
      </c>
      <c r="E97" s="161" t="s">
        <v>39</v>
      </c>
      <c r="F97" s="207">
        <v>11660</v>
      </c>
      <c r="G97" s="207">
        <v>11720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8</v>
      </c>
      <c r="C98" s="206">
        <v>43565</v>
      </c>
      <c r="D98" s="161" t="s">
        <v>9</v>
      </c>
      <c r="E98" s="161" t="s">
        <v>39</v>
      </c>
      <c r="F98" s="207">
        <v>11730</v>
      </c>
      <c r="G98" s="207">
        <v>11700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9</v>
      </c>
      <c r="C99" s="206">
        <v>43566</v>
      </c>
      <c r="D99" s="161" t="s">
        <v>9</v>
      </c>
      <c r="E99" s="161" t="s">
        <v>39</v>
      </c>
      <c r="F99" s="207">
        <v>11650</v>
      </c>
      <c r="G99" s="207">
        <v>11620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10</v>
      </c>
      <c r="C100" s="206">
        <v>43567</v>
      </c>
      <c r="D100" s="161" t="s">
        <v>8</v>
      </c>
      <c r="E100" s="161" t="s">
        <v>39</v>
      </c>
      <c r="F100" s="207">
        <v>11660</v>
      </c>
      <c r="G100" s="207">
        <v>11630</v>
      </c>
      <c r="H100" s="161">
        <v>30</v>
      </c>
      <c r="I100" s="207">
        <v>150</v>
      </c>
      <c r="J100" s="242">
        <f t="shared" si="19"/>
        <v>4500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11</v>
      </c>
      <c r="C101" s="206">
        <v>43570</v>
      </c>
      <c r="D101" s="161" t="s">
        <v>9</v>
      </c>
      <c r="E101" s="161" t="s">
        <v>39</v>
      </c>
      <c r="F101" s="207">
        <v>11700</v>
      </c>
      <c r="G101" s="207">
        <v>11730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12</v>
      </c>
      <c r="C102" s="206">
        <v>43571</v>
      </c>
      <c r="D102" s="161" t="s">
        <v>9</v>
      </c>
      <c r="E102" s="161" t="s">
        <v>39</v>
      </c>
      <c r="F102" s="207">
        <v>11800</v>
      </c>
      <c r="G102" s="207">
        <v>11840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13</v>
      </c>
      <c r="C103" s="206">
        <v>43573</v>
      </c>
      <c r="D103" s="161" t="s">
        <v>8</v>
      </c>
      <c r="E103" s="161" t="s">
        <v>39</v>
      </c>
      <c r="F103" s="207">
        <v>11760</v>
      </c>
      <c r="G103" s="207">
        <v>11790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14</v>
      </c>
      <c r="C104" s="206">
        <v>43577</v>
      </c>
      <c r="D104" s="161" t="s">
        <v>8</v>
      </c>
      <c r="E104" s="161" t="s">
        <v>39</v>
      </c>
      <c r="F104" s="207">
        <v>11675</v>
      </c>
      <c r="G104" s="207">
        <v>11615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15</v>
      </c>
      <c r="C105" s="206">
        <v>43578</v>
      </c>
      <c r="D105" s="161" t="s">
        <v>9</v>
      </c>
      <c r="E105" s="161" t="s">
        <v>39</v>
      </c>
      <c r="F105" s="207">
        <v>11620</v>
      </c>
      <c r="G105" s="207">
        <v>11660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16</v>
      </c>
      <c r="C106" s="206">
        <v>43579</v>
      </c>
      <c r="D106" s="161" t="s">
        <v>8</v>
      </c>
      <c r="E106" s="161" t="s">
        <v>39</v>
      </c>
      <c r="F106" s="207">
        <v>11600</v>
      </c>
      <c r="G106" s="207">
        <v>11608</v>
      </c>
      <c r="H106" s="161">
        <v>-8</v>
      </c>
      <c r="I106" s="207">
        <v>150</v>
      </c>
      <c r="J106" s="242">
        <f t="shared" si="19"/>
        <v>-1200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17</v>
      </c>
      <c r="C107" s="206">
        <v>43580</v>
      </c>
      <c r="D107" s="161" t="s">
        <v>8</v>
      </c>
      <c r="E107" s="161" t="s">
        <v>39</v>
      </c>
      <c r="F107" s="207">
        <v>11790</v>
      </c>
      <c r="G107" s="207">
        <v>11730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18</v>
      </c>
      <c r="C108" s="206">
        <v>43581</v>
      </c>
      <c r="D108" s="161" t="s">
        <v>9</v>
      </c>
      <c r="E108" s="161" t="s">
        <v>39</v>
      </c>
      <c r="F108" s="207">
        <v>11750</v>
      </c>
      <c r="G108" s="207">
        <v>11810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19</v>
      </c>
      <c r="C109" s="206">
        <v>43585</v>
      </c>
      <c r="D109" s="161" t="s">
        <v>8</v>
      </c>
      <c r="E109" s="161" t="s">
        <v>39</v>
      </c>
      <c r="F109" s="207">
        <v>11730</v>
      </c>
      <c r="G109" s="207">
        <v>11760</v>
      </c>
      <c r="H109" s="161">
        <v>-30</v>
      </c>
      <c r="I109" s="207">
        <v>150</v>
      </c>
      <c r="J109" s="242">
        <f>I109*H109</f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20</v>
      </c>
      <c r="C110" s="206"/>
      <c r="D110" s="161"/>
      <c r="E110" s="161"/>
      <c r="F110" s="207"/>
      <c r="G110" s="207"/>
      <c r="H110" s="161"/>
      <c r="I110" s="207"/>
      <c r="J110" s="242">
        <f t="shared" si="19"/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21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22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23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SUM(J91:J113)</f>
        <v>55350</v>
      </c>
      <c r="K114" s="153"/>
      <c r="V114" s="25">
        <f>SUM(V91:V113)</f>
        <v>12</v>
      </c>
      <c r="W114" s="25">
        <f>SUM(W91:W113)</f>
        <v>7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2674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43556</v>
      </c>
      <c r="D122" s="185" t="s">
        <v>9</v>
      </c>
      <c r="E122" s="185" t="s">
        <v>2561</v>
      </c>
      <c r="F122" s="219">
        <v>135</v>
      </c>
      <c r="G122" s="219">
        <v>175</v>
      </c>
      <c r="H122" s="185">
        <v>40</v>
      </c>
      <c r="I122" s="219">
        <v>300</v>
      </c>
      <c r="J122" s="246">
        <f t="shared" ref="J122:J144" si="23">I122*H122</f>
        <v>12000</v>
      </c>
      <c r="K122" s="153"/>
      <c r="V122" s="25">
        <f>IF($J122&gt;0,1,0)</f>
        <v>1</v>
      </c>
      <c r="W122" s="25">
        <f>IF($J122&lt;0,1,0)</f>
        <v>0</v>
      </c>
    </row>
    <row r="123" spans="1:23" x14ac:dyDescent="0.3">
      <c r="A123" s="147"/>
      <c r="B123" s="205">
        <f>B122+1</f>
        <v>2</v>
      </c>
      <c r="C123" s="206">
        <v>43557</v>
      </c>
      <c r="D123" s="161" t="s">
        <v>9</v>
      </c>
      <c r="E123" s="161" t="s">
        <v>2561</v>
      </c>
      <c r="F123" s="207">
        <v>100</v>
      </c>
      <c r="G123" s="207">
        <v>140</v>
      </c>
      <c r="H123" s="161">
        <v>40</v>
      </c>
      <c r="I123" s="207">
        <v>300</v>
      </c>
      <c r="J123" s="242">
        <f t="shared" si="23"/>
        <v>12000</v>
      </c>
      <c r="K123" s="153"/>
      <c r="V123" s="25">
        <f t="shared" ref="V123:V144" si="24">IF($J123&gt;0,1,0)</f>
        <v>1</v>
      </c>
      <c r="W123" s="25">
        <f t="shared" ref="W123:W144" si="25">IF($J123&lt;0,1,0)</f>
        <v>0</v>
      </c>
    </row>
    <row r="124" spans="1:23" x14ac:dyDescent="0.3">
      <c r="A124" s="147"/>
      <c r="B124" s="205">
        <f t="shared" ref="B124:B144" si="26">B123+1</f>
        <v>3</v>
      </c>
      <c r="C124" s="206">
        <v>43558</v>
      </c>
      <c r="D124" s="161" t="s">
        <v>9</v>
      </c>
      <c r="E124" s="161" t="s">
        <v>2561</v>
      </c>
      <c r="F124" s="207">
        <v>150</v>
      </c>
      <c r="G124" s="207">
        <v>170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43559</v>
      </c>
      <c r="D125" s="161" t="s">
        <v>9</v>
      </c>
      <c r="E125" s="161" t="s">
        <v>2561</v>
      </c>
      <c r="F125" s="207">
        <v>55</v>
      </c>
      <c r="G125" s="207">
        <v>35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5</v>
      </c>
      <c r="C126" s="206">
        <v>43560</v>
      </c>
      <c r="D126" s="161" t="s">
        <v>9</v>
      </c>
      <c r="E126" s="161" t="s">
        <v>2561</v>
      </c>
      <c r="F126" s="207">
        <v>93</v>
      </c>
      <c r="G126" s="207">
        <v>133</v>
      </c>
      <c r="H126" s="161">
        <v>40</v>
      </c>
      <c r="I126" s="207">
        <v>300</v>
      </c>
      <c r="J126" s="242">
        <f t="shared" si="23"/>
        <v>12000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43563</v>
      </c>
      <c r="D127" s="161" t="s">
        <v>9</v>
      </c>
      <c r="E127" s="161" t="s">
        <v>2561</v>
      </c>
      <c r="F127" s="207">
        <v>100</v>
      </c>
      <c r="G127" s="222">
        <v>80</v>
      </c>
      <c r="H127" s="222">
        <v>-20</v>
      </c>
      <c r="I127" s="207">
        <v>300</v>
      </c>
      <c r="J127" s="242">
        <f t="shared" si="23"/>
        <v>-6000</v>
      </c>
      <c r="K127" s="153"/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7</v>
      </c>
      <c r="C128" s="206">
        <v>43564</v>
      </c>
      <c r="D128" s="161" t="s">
        <v>9</v>
      </c>
      <c r="E128" s="161" t="s">
        <v>2541</v>
      </c>
      <c r="F128" s="207">
        <v>153</v>
      </c>
      <c r="G128" s="207">
        <v>193</v>
      </c>
      <c r="H128" s="161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43565</v>
      </c>
      <c r="D129" s="161" t="s">
        <v>9</v>
      </c>
      <c r="E129" s="161" t="s">
        <v>2561</v>
      </c>
      <c r="F129" s="207">
        <v>88</v>
      </c>
      <c r="G129" s="207">
        <v>98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43566</v>
      </c>
      <c r="D130" s="161" t="s">
        <v>9</v>
      </c>
      <c r="E130" s="161" t="s">
        <v>2541</v>
      </c>
      <c r="F130" s="207">
        <v>78</v>
      </c>
      <c r="G130" s="207">
        <v>93</v>
      </c>
      <c r="H130" s="161">
        <v>15</v>
      </c>
      <c r="I130" s="207">
        <v>300</v>
      </c>
      <c r="J130" s="242">
        <f t="shared" si="23"/>
        <v>4500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43567</v>
      </c>
      <c r="D131" s="161" t="s">
        <v>9</v>
      </c>
      <c r="E131" s="161" t="s">
        <v>2555</v>
      </c>
      <c r="F131" s="207">
        <v>105</v>
      </c>
      <c r="G131" s="222">
        <v>124.5</v>
      </c>
      <c r="H131" s="222">
        <v>19.5</v>
      </c>
      <c r="I131" s="207">
        <v>300</v>
      </c>
      <c r="J131" s="242">
        <f t="shared" si="23"/>
        <v>5850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43570</v>
      </c>
      <c r="D132" s="161" t="s">
        <v>9</v>
      </c>
      <c r="E132" s="161" t="s">
        <v>2561</v>
      </c>
      <c r="F132" s="207">
        <v>100</v>
      </c>
      <c r="G132" s="207">
        <v>120</v>
      </c>
      <c r="H132" s="161">
        <v>20</v>
      </c>
      <c r="I132" s="207">
        <v>300</v>
      </c>
      <c r="J132" s="242">
        <f t="shared" si="23"/>
        <v>6000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43571</v>
      </c>
      <c r="D133" s="161" t="s">
        <v>9</v>
      </c>
      <c r="E133" s="161" t="s">
        <v>2570</v>
      </c>
      <c r="F133" s="207">
        <v>90</v>
      </c>
      <c r="G133" s="207">
        <v>120</v>
      </c>
      <c r="H133" s="161">
        <v>30</v>
      </c>
      <c r="I133" s="207">
        <v>300</v>
      </c>
      <c r="J133" s="242">
        <f t="shared" si="23"/>
        <v>9000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43573</v>
      </c>
      <c r="D134" s="161" t="s">
        <v>9</v>
      </c>
      <c r="E134" s="161" t="s">
        <v>2455</v>
      </c>
      <c r="F134" s="207">
        <v>130</v>
      </c>
      <c r="G134" s="207">
        <v>140</v>
      </c>
      <c r="H134" s="161">
        <v>10</v>
      </c>
      <c r="I134" s="207">
        <v>300</v>
      </c>
      <c r="J134" s="242">
        <f t="shared" si="23"/>
        <v>3000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14</v>
      </c>
      <c r="C135" s="206">
        <v>43577</v>
      </c>
      <c r="D135" s="161" t="s">
        <v>9</v>
      </c>
      <c r="E135" s="161" t="s">
        <v>2566</v>
      </c>
      <c r="F135" s="207">
        <v>140</v>
      </c>
      <c r="G135" s="207">
        <v>180</v>
      </c>
      <c r="H135" s="161">
        <v>40</v>
      </c>
      <c r="I135" s="207">
        <v>300</v>
      </c>
      <c r="J135" s="242">
        <f>I135*H135</f>
        <v>12000</v>
      </c>
      <c r="K135" s="153"/>
      <c r="V135" s="25">
        <f>IF($J135&gt;0,1,0)</f>
        <v>1</v>
      </c>
      <c r="W135" s="25">
        <f>IF($J135&lt;0,1,0)</f>
        <v>0</v>
      </c>
    </row>
    <row r="136" spans="1:23" x14ac:dyDescent="0.3">
      <c r="A136" s="147"/>
      <c r="B136" s="205">
        <f t="shared" si="26"/>
        <v>15</v>
      </c>
      <c r="C136" s="206">
        <v>43578</v>
      </c>
      <c r="D136" s="161" t="s">
        <v>9</v>
      </c>
      <c r="E136" s="161" t="s">
        <v>2541</v>
      </c>
      <c r="F136" s="207">
        <v>130</v>
      </c>
      <c r="G136" s="207">
        <v>157</v>
      </c>
      <c r="H136" s="161">
        <v>27</v>
      </c>
      <c r="I136" s="207">
        <v>300</v>
      </c>
      <c r="J136" s="242">
        <f t="shared" si="23"/>
        <v>8100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16</v>
      </c>
      <c r="C137" s="206">
        <v>43579</v>
      </c>
      <c r="D137" s="161" t="s">
        <v>9</v>
      </c>
      <c r="E137" s="161" t="s">
        <v>2555</v>
      </c>
      <c r="F137" s="207">
        <v>118</v>
      </c>
      <c r="G137" s="207">
        <v>98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 t="shared" si="24"/>
        <v>0</v>
      </c>
      <c r="W137" s="25">
        <f t="shared" si="25"/>
        <v>1</v>
      </c>
    </row>
    <row r="138" spans="1:23" x14ac:dyDescent="0.3">
      <c r="A138" s="147"/>
      <c r="B138" s="205">
        <f t="shared" si="26"/>
        <v>17</v>
      </c>
      <c r="C138" s="206">
        <v>43580</v>
      </c>
      <c r="D138" s="161" t="s">
        <v>9</v>
      </c>
      <c r="E138" s="161" t="s">
        <v>2455</v>
      </c>
      <c r="F138" s="207">
        <v>110</v>
      </c>
      <c r="G138" s="207">
        <v>150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43581</v>
      </c>
      <c r="D139" s="161" t="s">
        <v>9</v>
      </c>
      <c r="E139" s="161" t="s">
        <v>2561</v>
      </c>
      <c r="F139" s="207">
        <v>98</v>
      </c>
      <c r="G139" s="207">
        <v>138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43585</v>
      </c>
      <c r="D140" s="161" t="s">
        <v>9</v>
      </c>
      <c r="E140" s="161" t="s">
        <v>2566</v>
      </c>
      <c r="F140" s="207">
        <v>125</v>
      </c>
      <c r="G140" s="207">
        <v>105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20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22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15" thickBot="1" x14ac:dyDescent="0.35">
      <c r="A144" s="147"/>
      <c r="B144" s="208">
        <f t="shared" si="26"/>
        <v>23</v>
      </c>
      <c r="C144" s="209"/>
      <c r="D144" s="166"/>
      <c r="E144" s="166"/>
      <c r="F144" s="210"/>
      <c r="G144" s="210"/>
      <c r="H144" s="166"/>
      <c r="I144" s="210"/>
      <c r="J144" s="244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24" thickBot="1" x14ac:dyDescent="0.5">
      <c r="A145" s="147"/>
      <c r="B145" s="370" t="s">
        <v>2254</v>
      </c>
      <c r="C145" s="371"/>
      <c r="D145" s="371"/>
      <c r="E145" s="371"/>
      <c r="F145" s="371"/>
      <c r="G145" s="371"/>
      <c r="H145" s="372"/>
      <c r="I145" s="211" t="s">
        <v>2255</v>
      </c>
      <c r="J145" s="212">
        <f>SUM(J122:J144)</f>
        <v>105450</v>
      </c>
      <c r="K145" s="153"/>
      <c r="V145" s="25">
        <f>SUM(V122:V144)</f>
        <v>15</v>
      </c>
      <c r="W145" s="25">
        <f>SUM(W122:W144)</f>
        <v>4</v>
      </c>
    </row>
    <row r="146" spans="1:23" ht="30" customHeight="1" thickBot="1" x14ac:dyDescent="0.35">
      <c r="A146" s="213"/>
      <c r="B146" s="172"/>
      <c r="C146" s="172"/>
      <c r="D146" s="172"/>
      <c r="E146" s="172"/>
      <c r="F146" s="172"/>
      <c r="G146" s="172"/>
      <c r="H146" s="235"/>
      <c r="I146" s="172"/>
      <c r="J146" s="235"/>
      <c r="K146" s="214"/>
    </row>
    <row r="147" spans="1:23" ht="15" thickBot="1" x14ac:dyDescent="0.35"/>
    <row r="148" spans="1:23" ht="30" customHeight="1" thickBot="1" x14ac:dyDescent="0.35">
      <c r="A148" s="198"/>
      <c r="B148" s="143"/>
      <c r="C148" s="143"/>
      <c r="D148" s="143"/>
      <c r="E148" s="143"/>
      <c r="F148" s="143"/>
      <c r="G148" s="143"/>
      <c r="H148" s="232"/>
      <c r="I148" s="143"/>
      <c r="J148" s="232"/>
      <c r="K148" s="199"/>
    </row>
    <row r="149" spans="1:23" ht="25.2" thickBot="1" x14ac:dyDescent="0.35">
      <c r="A149" s="147" t="s">
        <v>0</v>
      </c>
      <c r="B149" s="361" t="s">
        <v>2244</v>
      </c>
      <c r="C149" s="362"/>
      <c r="D149" s="362"/>
      <c r="E149" s="362"/>
      <c r="F149" s="362"/>
      <c r="G149" s="362"/>
      <c r="H149" s="362"/>
      <c r="I149" s="362"/>
      <c r="J149" s="363"/>
      <c r="K149" s="153"/>
    </row>
    <row r="150" spans="1:23" ht="16.2" thickBot="1" x14ac:dyDescent="0.35">
      <c r="A150" s="147"/>
      <c r="B150" s="364" t="s">
        <v>2672</v>
      </c>
      <c r="C150" s="365"/>
      <c r="D150" s="365"/>
      <c r="E150" s="365"/>
      <c r="F150" s="365"/>
      <c r="G150" s="365"/>
      <c r="H150" s="365"/>
      <c r="I150" s="365"/>
      <c r="J150" s="366"/>
      <c r="K150" s="153"/>
    </row>
    <row r="151" spans="1:23" ht="16.2" thickBot="1" x14ac:dyDescent="0.35">
      <c r="A151" s="147"/>
      <c r="B151" s="367" t="s">
        <v>2367</v>
      </c>
      <c r="C151" s="368"/>
      <c r="D151" s="368"/>
      <c r="E151" s="368"/>
      <c r="F151" s="368"/>
      <c r="G151" s="368"/>
      <c r="H151" s="368"/>
      <c r="I151" s="368"/>
      <c r="J151" s="369"/>
      <c r="K151" s="153"/>
    </row>
    <row r="152" spans="1:23" ht="15" thickBot="1" x14ac:dyDescent="0.35">
      <c r="A152" s="175"/>
      <c r="B152" s="178" t="s">
        <v>2248</v>
      </c>
      <c r="C152" s="179" t="s">
        <v>1</v>
      </c>
      <c r="D152" s="180" t="s">
        <v>5</v>
      </c>
      <c r="E152" s="180" t="s">
        <v>6</v>
      </c>
      <c r="F152" s="181" t="s">
        <v>2249</v>
      </c>
      <c r="G152" s="181" t="s">
        <v>2250</v>
      </c>
      <c r="H152" s="239" t="s">
        <v>2251</v>
      </c>
      <c r="I152" s="181" t="s">
        <v>2257</v>
      </c>
      <c r="J152" s="245" t="s">
        <v>4</v>
      </c>
      <c r="K152" s="176"/>
      <c r="L152" s="215"/>
      <c r="V152" s="201" t="s">
        <v>454</v>
      </c>
      <c r="W152" s="201" t="s">
        <v>455</v>
      </c>
    </row>
    <row r="153" spans="1:23" x14ac:dyDescent="0.3">
      <c r="A153" s="147"/>
      <c r="B153" s="217">
        <v>1</v>
      </c>
      <c r="C153" s="218">
        <v>43556</v>
      </c>
      <c r="D153" s="185" t="s">
        <v>9</v>
      </c>
      <c r="E153" s="185" t="s">
        <v>301</v>
      </c>
      <c r="F153" s="219">
        <v>30700</v>
      </c>
      <c r="G153" s="219">
        <v>30800</v>
      </c>
      <c r="H153" s="185">
        <v>100</v>
      </c>
      <c r="I153" s="219">
        <v>40</v>
      </c>
      <c r="J153" s="246">
        <f t="shared" ref="J153:J175" si="27">I153*H153</f>
        <v>4000</v>
      </c>
      <c r="K153" s="153"/>
      <c r="V153" s="25">
        <f>IF($J153&gt;0,1,0)</f>
        <v>1</v>
      </c>
      <c r="W153" s="25">
        <f>IF($J153&lt;0,1,0)</f>
        <v>0</v>
      </c>
    </row>
    <row r="154" spans="1:23" x14ac:dyDescent="0.3">
      <c r="A154" s="147"/>
      <c r="B154" s="205">
        <f>B153+1</f>
        <v>2</v>
      </c>
      <c r="C154" s="206">
        <v>43557</v>
      </c>
      <c r="D154" s="161" t="s">
        <v>9</v>
      </c>
      <c r="E154" s="161" t="s">
        <v>301</v>
      </c>
      <c r="F154" s="207">
        <v>30400</v>
      </c>
      <c r="G154" s="207">
        <v>30600</v>
      </c>
      <c r="H154" s="161">
        <v>200</v>
      </c>
      <c r="I154" s="207">
        <v>40</v>
      </c>
      <c r="J154" s="242">
        <f t="shared" si="27"/>
        <v>8000</v>
      </c>
      <c r="K154" s="153"/>
      <c r="V154" s="25">
        <f t="shared" ref="V154:V175" si="28">IF($J154&gt;0,1,0)</f>
        <v>1</v>
      </c>
      <c r="W154" s="25">
        <f t="shared" ref="W154:W175" si="29">IF($J154&lt;0,1,0)</f>
        <v>0</v>
      </c>
    </row>
    <row r="155" spans="1:23" x14ac:dyDescent="0.3">
      <c r="A155" s="147"/>
      <c r="B155" s="205">
        <f t="shared" ref="B155:B175" si="30">B154+1</f>
        <v>3</v>
      </c>
      <c r="C155" s="206">
        <v>43558</v>
      </c>
      <c r="D155" s="161" t="s">
        <v>9</v>
      </c>
      <c r="E155" s="161" t="s">
        <v>301</v>
      </c>
      <c r="F155" s="207">
        <v>30680</v>
      </c>
      <c r="G155" s="207">
        <v>30580</v>
      </c>
      <c r="H155" s="161">
        <v>-100</v>
      </c>
      <c r="I155" s="207">
        <v>40</v>
      </c>
      <c r="J155" s="242">
        <f t="shared" si="27"/>
        <v>-4000</v>
      </c>
      <c r="K155" s="153"/>
      <c r="V155" s="25">
        <f t="shared" si="28"/>
        <v>0</v>
      </c>
      <c r="W155" s="25">
        <f t="shared" si="29"/>
        <v>1</v>
      </c>
    </row>
    <row r="156" spans="1:23" x14ac:dyDescent="0.3">
      <c r="A156" s="147"/>
      <c r="B156" s="205">
        <f t="shared" si="30"/>
        <v>4</v>
      </c>
      <c r="C156" s="206">
        <v>43559</v>
      </c>
      <c r="D156" s="161" t="s">
        <v>9</v>
      </c>
      <c r="E156" s="161" t="s">
        <v>301</v>
      </c>
      <c r="F156" s="207">
        <v>30330</v>
      </c>
      <c r="G156" s="207">
        <v>30230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5</v>
      </c>
      <c r="C157" s="206">
        <v>43560</v>
      </c>
      <c r="D157" s="161" t="s">
        <v>9</v>
      </c>
      <c r="E157" s="161" t="s">
        <v>301</v>
      </c>
      <c r="F157" s="207">
        <v>30150</v>
      </c>
      <c r="G157" s="207">
        <v>30350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6</v>
      </c>
      <c r="C158" s="206">
        <v>43563</v>
      </c>
      <c r="D158" s="161" t="s">
        <v>9</v>
      </c>
      <c r="E158" s="161" t="s">
        <v>301</v>
      </c>
      <c r="F158" s="207">
        <v>30300</v>
      </c>
      <c r="G158" s="207">
        <v>30200</v>
      </c>
      <c r="H158" s="161">
        <v>-100</v>
      </c>
      <c r="I158" s="207">
        <v>40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7</v>
      </c>
      <c r="C159" s="206">
        <v>43564</v>
      </c>
      <c r="D159" s="161" t="s">
        <v>9</v>
      </c>
      <c r="E159" s="161" t="s">
        <v>301</v>
      </c>
      <c r="F159" s="207">
        <v>30030</v>
      </c>
      <c r="G159" s="207">
        <v>30230</v>
      </c>
      <c r="H159" s="161">
        <v>200</v>
      </c>
      <c r="I159" s="207">
        <v>40</v>
      </c>
      <c r="J159" s="242">
        <f t="shared" si="27"/>
        <v>8000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8</v>
      </c>
      <c r="C160" s="206">
        <v>43565</v>
      </c>
      <c r="D160" s="161" t="s">
        <v>9</v>
      </c>
      <c r="E160" s="161" t="s">
        <v>301</v>
      </c>
      <c r="F160" s="207">
        <v>30280</v>
      </c>
      <c r="G160" s="207">
        <v>30330</v>
      </c>
      <c r="H160" s="161">
        <v>50</v>
      </c>
      <c r="I160" s="207">
        <v>40</v>
      </c>
      <c r="J160" s="242">
        <f t="shared" si="27"/>
        <v>2000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9</v>
      </c>
      <c r="C161" s="206">
        <v>43566</v>
      </c>
      <c r="D161" s="161" t="s">
        <v>9</v>
      </c>
      <c r="E161" s="161" t="s">
        <v>301</v>
      </c>
      <c r="F161" s="207">
        <v>29900</v>
      </c>
      <c r="G161" s="207">
        <v>30000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10</v>
      </c>
      <c r="C162" s="206">
        <v>43567</v>
      </c>
      <c r="D162" s="161" t="s">
        <v>9</v>
      </c>
      <c r="E162" s="161" t="s">
        <v>301</v>
      </c>
      <c r="F162" s="207">
        <v>29920</v>
      </c>
      <c r="G162" s="207">
        <v>29870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11</v>
      </c>
      <c r="C163" s="206">
        <v>43570</v>
      </c>
      <c r="D163" s="161" t="s">
        <v>9</v>
      </c>
      <c r="E163" s="161" t="s">
        <v>301</v>
      </c>
      <c r="F163" s="207">
        <v>30150</v>
      </c>
      <c r="G163" s="207">
        <v>30249</v>
      </c>
      <c r="H163" s="161">
        <v>99</v>
      </c>
      <c r="I163" s="207">
        <v>40</v>
      </c>
      <c r="J163" s="242">
        <f t="shared" si="27"/>
        <v>3960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12</v>
      </c>
      <c r="C164" s="206">
        <v>43571</v>
      </c>
      <c r="D164" s="161" t="s">
        <v>9</v>
      </c>
      <c r="E164" s="161" t="s">
        <v>301</v>
      </c>
      <c r="F164" s="207">
        <v>30440</v>
      </c>
      <c r="G164" s="207">
        <v>30640</v>
      </c>
      <c r="H164" s="161">
        <v>200</v>
      </c>
      <c r="I164" s="207">
        <v>40</v>
      </c>
      <c r="J164" s="242">
        <f t="shared" si="27"/>
        <v>8000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13</v>
      </c>
      <c r="C165" s="206">
        <v>43573</v>
      </c>
      <c r="D165" s="161" t="s">
        <v>8</v>
      </c>
      <c r="E165" s="161" t="s">
        <v>301</v>
      </c>
      <c r="F165" s="207">
        <v>30380</v>
      </c>
      <c r="G165" s="207">
        <v>30330</v>
      </c>
      <c r="H165" s="161">
        <v>50</v>
      </c>
      <c r="I165" s="207">
        <v>40</v>
      </c>
      <c r="J165" s="242">
        <f t="shared" si="27"/>
        <v>2000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14</v>
      </c>
      <c r="C166" s="206">
        <v>43577</v>
      </c>
      <c r="D166" s="161" t="s">
        <v>8</v>
      </c>
      <c r="E166" s="161" t="s">
        <v>301</v>
      </c>
      <c r="F166" s="207">
        <v>30000</v>
      </c>
      <c r="G166" s="207">
        <v>29800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15</v>
      </c>
      <c r="C167" s="206">
        <v>43578</v>
      </c>
      <c r="D167" s="161" t="s">
        <v>9</v>
      </c>
      <c r="E167" s="161" t="s">
        <v>301</v>
      </c>
      <c r="F167" s="207">
        <v>29780</v>
      </c>
      <c r="G167" s="207">
        <v>29880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16</v>
      </c>
      <c r="C168" s="206">
        <v>43579</v>
      </c>
      <c r="D168" s="161" t="s">
        <v>8</v>
      </c>
      <c r="E168" s="161" t="s">
        <v>301</v>
      </c>
      <c r="F168" s="207">
        <v>29550</v>
      </c>
      <c r="G168" s="207">
        <v>29450</v>
      </c>
      <c r="H168" s="161">
        <v>100</v>
      </c>
      <c r="I168" s="207">
        <v>40</v>
      </c>
      <c r="J168" s="242">
        <f t="shared" si="27"/>
        <v>4000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17</v>
      </c>
      <c r="C169" s="206">
        <v>43580</v>
      </c>
      <c r="D169" s="161" t="s">
        <v>8</v>
      </c>
      <c r="E169" s="161" t="s">
        <v>301</v>
      </c>
      <c r="F169" s="207">
        <v>30030</v>
      </c>
      <c r="G169" s="207">
        <v>29830</v>
      </c>
      <c r="H169" s="161">
        <v>200</v>
      </c>
      <c r="I169" s="207">
        <v>40</v>
      </c>
      <c r="J169" s="242">
        <f t="shared" si="27"/>
        <v>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18</v>
      </c>
      <c r="C170" s="206">
        <v>43581</v>
      </c>
      <c r="D170" s="161" t="s">
        <v>9</v>
      </c>
      <c r="E170" s="161" t="s">
        <v>301</v>
      </c>
      <c r="F170" s="207">
        <v>29790</v>
      </c>
      <c r="G170" s="207">
        <v>29990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19</v>
      </c>
      <c r="C171" s="206">
        <v>43585</v>
      </c>
      <c r="D171" s="161" t="s">
        <v>8</v>
      </c>
      <c r="E171" s="161" t="s">
        <v>301</v>
      </c>
      <c r="F171" s="207">
        <v>29800</v>
      </c>
      <c r="G171" s="207">
        <v>29700</v>
      </c>
      <c r="H171" s="161">
        <v>100</v>
      </c>
      <c r="I171" s="207">
        <v>40</v>
      </c>
      <c r="J171" s="242">
        <f t="shared" si="27"/>
        <v>4000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20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21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22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ht="15" thickBot="1" x14ac:dyDescent="0.35">
      <c r="A175" s="147"/>
      <c r="B175" s="208">
        <f t="shared" si="30"/>
        <v>23</v>
      </c>
      <c r="C175" s="209"/>
      <c r="D175" s="166"/>
      <c r="E175" s="166"/>
      <c r="F175" s="210"/>
      <c r="G175" s="210"/>
      <c r="H175" s="166"/>
      <c r="I175" s="210"/>
      <c r="J175" s="244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24" thickBot="1" x14ac:dyDescent="0.5">
      <c r="A176" s="147"/>
      <c r="B176" s="370" t="s">
        <v>2254</v>
      </c>
      <c r="C176" s="371"/>
      <c r="D176" s="371"/>
      <c r="E176" s="371"/>
      <c r="F176" s="371"/>
      <c r="G176" s="371"/>
      <c r="H176" s="372"/>
      <c r="I176" s="211" t="s">
        <v>2255</v>
      </c>
      <c r="J176" s="212">
        <f>SUM(J153:J175)</f>
        <v>73960</v>
      </c>
      <c r="K176" s="153"/>
      <c r="V176" s="25">
        <f>SUM(V153:V175)</f>
        <v>16</v>
      </c>
      <c r="W176" s="25">
        <f>SUM(W153:W175)</f>
        <v>3</v>
      </c>
    </row>
    <row r="177" spans="1:23" ht="30" customHeight="1" thickBot="1" x14ac:dyDescent="0.35">
      <c r="A177" s="213"/>
      <c r="B177" s="172"/>
      <c r="C177" s="172"/>
      <c r="D177" s="172"/>
      <c r="E177" s="172"/>
      <c r="F177" s="172"/>
      <c r="G177" s="172"/>
      <c r="H177" s="235"/>
      <c r="I177" s="172"/>
      <c r="J177" s="235"/>
      <c r="K177" s="214"/>
    </row>
    <row r="178" spans="1:23" ht="15" thickBot="1" x14ac:dyDescent="0.35"/>
    <row r="179" spans="1:23" ht="30" customHeight="1" thickBot="1" x14ac:dyDescent="0.35">
      <c r="A179" s="198"/>
      <c r="B179" s="143"/>
      <c r="C179" s="143"/>
      <c r="D179" s="143"/>
      <c r="E179" s="143"/>
      <c r="F179" s="143"/>
      <c r="G179" s="143"/>
      <c r="H179" s="232"/>
      <c r="I179" s="143"/>
      <c r="J179" s="232"/>
      <c r="K179" s="199"/>
    </row>
    <row r="180" spans="1:23" ht="25.2" thickBot="1" x14ac:dyDescent="0.35">
      <c r="A180" s="147" t="s">
        <v>0</v>
      </c>
      <c r="B180" s="361" t="s">
        <v>2244</v>
      </c>
      <c r="C180" s="362"/>
      <c r="D180" s="362"/>
      <c r="E180" s="362"/>
      <c r="F180" s="362"/>
      <c r="G180" s="362"/>
      <c r="H180" s="362"/>
      <c r="I180" s="362"/>
      <c r="J180" s="363"/>
      <c r="K180" s="153"/>
    </row>
    <row r="181" spans="1:23" ht="16.2" thickBot="1" x14ac:dyDescent="0.35">
      <c r="A181" s="147"/>
      <c r="B181" s="364" t="s">
        <v>2672</v>
      </c>
      <c r="C181" s="365"/>
      <c r="D181" s="365"/>
      <c r="E181" s="365"/>
      <c r="F181" s="365"/>
      <c r="G181" s="365"/>
      <c r="H181" s="365"/>
      <c r="I181" s="365"/>
      <c r="J181" s="366"/>
      <c r="K181" s="153"/>
    </row>
    <row r="182" spans="1:23" ht="16.2" thickBot="1" x14ac:dyDescent="0.35">
      <c r="A182" s="147"/>
      <c r="B182" s="367" t="s">
        <v>1152</v>
      </c>
      <c r="C182" s="368"/>
      <c r="D182" s="368"/>
      <c r="E182" s="368"/>
      <c r="F182" s="368"/>
      <c r="G182" s="368"/>
      <c r="H182" s="368"/>
      <c r="I182" s="368"/>
      <c r="J182" s="369"/>
      <c r="K182" s="153"/>
    </row>
    <row r="183" spans="1:23" ht="15" thickBot="1" x14ac:dyDescent="0.35">
      <c r="A183" s="175"/>
      <c r="B183" s="178" t="s">
        <v>2248</v>
      </c>
      <c r="C183" s="179" t="s">
        <v>1</v>
      </c>
      <c r="D183" s="180" t="s">
        <v>5</v>
      </c>
      <c r="E183" s="180" t="s">
        <v>6</v>
      </c>
      <c r="F183" s="181" t="s">
        <v>2249</v>
      </c>
      <c r="G183" s="181" t="s">
        <v>2250</v>
      </c>
      <c r="H183" s="239" t="s">
        <v>2251</v>
      </c>
      <c r="I183" s="181" t="s">
        <v>2257</v>
      </c>
      <c r="J183" s="245" t="s">
        <v>4</v>
      </c>
      <c r="K183" s="176"/>
      <c r="L183" s="215"/>
      <c r="V183" s="201" t="s">
        <v>454</v>
      </c>
      <c r="W183" s="201" t="s">
        <v>455</v>
      </c>
    </row>
    <row r="184" spans="1:23" x14ac:dyDescent="0.3">
      <c r="A184" s="147"/>
      <c r="B184" s="217">
        <v>1</v>
      </c>
      <c r="C184" s="218">
        <v>43556</v>
      </c>
      <c r="D184" s="185" t="s">
        <v>9</v>
      </c>
      <c r="E184" s="185" t="s">
        <v>2675</v>
      </c>
      <c r="F184" s="219">
        <v>250</v>
      </c>
      <c r="G184" s="219">
        <v>275</v>
      </c>
      <c r="H184" s="185">
        <v>25</v>
      </c>
      <c r="I184" s="219">
        <v>80</v>
      </c>
      <c r="J184" s="246">
        <f t="shared" ref="J184:J206" si="31">I184*H184</f>
        <v>2000</v>
      </c>
      <c r="K184" s="153"/>
      <c r="V184" s="25">
        <f>IF($J184&gt;0,1,0)</f>
        <v>1</v>
      </c>
      <c r="W184" s="25">
        <f>IF($J184&lt;0,1,0)</f>
        <v>0</v>
      </c>
    </row>
    <row r="185" spans="1:23" x14ac:dyDescent="0.3">
      <c r="A185" s="147"/>
      <c r="B185" s="205">
        <f>B184+1</f>
        <v>2</v>
      </c>
      <c r="C185" s="206">
        <v>43557</v>
      </c>
      <c r="D185" s="161" t="s">
        <v>9</v>
      </c>
      <c r="E185" s="161" t="s">
        <v>2677</v>
      </c>
      <c r="F185" s="207">
        <v>200</v>
      </c>
      <c r="G185" s="207">
        <v>260</v>
      </c>
      <c r="H185" s="161">
        <v>60</v>
      </c>
      <c r="I185" s="207">
        <v>80</v>
      </c>
      <c r="J185" s="242">
        <f t="shared" si="31"/>
        <v>4800</v>
      </c>
      <c r="K185" s="153"/>
      <c r="V185" s="25">
        <f t="shared" ref="V185:V206" si="32">IF($J185&gt;0,1,0)</f>
        <v>1</v>
      </c>
      <c r="W185" s="25">
        <f t="shared" ref="W185:W206" si="33">IF($J185&lt;0,1,0)</f>
        <v>0</v>
      </c>
    </row>
    <row r="186" spans="1:23" x14ac:dyDescent="0.3">
      <c r="A186" s="147"/>
      <c r="B186" s="205">
        <f t="shared" ref="B186:B206" si="34">B185+1</f>
        <v>3</v>
      </c>
      <c r="C186" s="206">
        <v>43558</v>
      </c>
      <c r="D186" s="161" t="s">
        <v>9</v>
      </c>
      <c r="E186" s="161" t="s">
        <v>2679</v>
      </c>
      <c r="F186" s="207">
        <v>160</v>
      </c>
      <c r="G186" s="207">
        <v>100</v>
      </c>
      <c r="H186" s="161">
        <v>-60</v>
      </c>
      <c r="I186" s="207">
        <v>80</v>
      </c>
      <c r="J186" s="242">
        <f t="shared" si="31"/>
        <v>-4800</v>
      </c>
      <c r="K186" s="153"/>
      <c r="V186" s="25">
        <f t="shared" si="32"/>
        <v>0</v>
      </c>
      <c r="W186" s="25">
        <f t="shared" si="33"/>
        <v>1</v>
      </c>
    </row>
    <row r="187" spans="1:23" x14ac:dyDescent="0.3">
      <c r="A187" s="147"/>
      <c r="B187" s="205">
        <f t="shared" si="34"/>
        <v>4</v>
      </c>
      <c r="C187" s="206">
        <v>43559</v>
      </c>
      <c r="D187" s="161" t="s">
        <v>9</v>
      </c>
      <c r="E187" s="161" t="s">
        <v>2664</v>
      </c>
      <c r="F187" s="207">
        <v>100</v>
      </c>
      <c r="G187" s="207">
        <v>40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5</v>
      </c>
      <c r="C188" s="206">
        <v>43560</v>
      </c>
      <c r="D188" s="161" t="s">
        <v>9</v>
      </c>
      <c r="E188" s="161" t="s">
        <v>2664</v>
      </c>
      <c r="F188" s="207">
        <v>170</v>
      </c>
      <c r="G188" s="207">
        <v>230</v>
      </c>
      <c r="H188" s="161">
        <v>60</v>
      </c>
      <c r="I188" s="207">
        <v>80</v>
      </c>
      <c r="J188" s="242">
        <f t="shared" si="31"/>
        <v>4800</v>
      </c>
      <c r="K188" s="153"/>
      <c r="O188" s="25" t="s">
        <v>2008</v>
      </c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6</v>
      </c>
      <c r="C189" s="206">
        <v>43563</v>
      </c>
      <c r="D189" s="161" t="s">
        <v>9</v>
      </c>
      <c r="E189" s="161" t="s">
        <v>2664</v>
      </c>
      <c r="F189" s="207">
        <v>200</v>
      </c>
      <c r="G189" s="207">
        <v>140</v>
      </c>
      <c r="H189" s="161">
        <v>-60</v>
      </c>
      <c r="I189" s="207">
        <v>80</v>
      </c>
      <c r="J189" s="242">
        <f t="shared" si="31"/>
        <v>-4800</v>
      </c>
      <c r="K189" s="153"/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7</v>
      </c>
      <c r="C190" s="206">
        <v>43564</v>
      </c>
      <c r="D190" s="161" t="s">
        <v>9</v>
      </c>
      <c r="E190" s="161" t="s">
        <v>2666</v>
      </c>
      <c r="F190" s="207">
        <v>140</v>
      </c>
      <c r="G190" s="207">
        <v>225</v>
      </c>
      <c r="H190" s="161">
        <v>85</v>
      </c>
      <c r="I190" s="207">
        <v>80</v>
      </c>
      <c r="J190" s="242">
        <f t="shared" si="31"/>
        <v>6800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8</v>
      </c>
      <c r="C191" s="206">
        <v>43565</v>
      </c>
      <c r="D191" s="161" t="s">
        <v>9</v>
      </c>
      <c r="E191" s="161" t="s">
        <v>2664</v>
      </c>
      <c r="F191" s="207">
        <v>110</v>
      </c>
      <c r="G191" s="207">
        <v>140</v>
      </c>
      <c r="H191" s="161">
        <v>30</v>
      </c>
      <c r="I191" s="207">
        <v>80</v>
      </c>
      <c r="J191" s="242">
        <f t="shared" si="31"/>
        <v>2400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9</v>
      </c>
      <c r="C192" s="206">
        <v>43566</v>
      </c>
      <c r="D192" s="161" t="s">
        <v>9</v>
      </c>
      <c r="E192" s="161" t="s">
        <v>2684</v>
      </c>
      <c r="F192" s="207">
        <v>50</v>
      </c>
      <c r="G192" s="207">
        <v>70</v>
      </c>
      <c r="H192" s="161">
        <v>20</v>
      </c>
      <c r="I192" s="207">
        <v>80</v>
      </c>
      <c r="J192" s="242">
        <f t="shared" si="31"/>
        <v>1600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10</v>
      </c>
      <c r="C193" s="206">
        <v>43567</v>
      </c>
      <c r="D193" s="161" t="s">
        <v>9</v>
      </c>
      <c r="E193" s="161" t="s">
        <v>2685</v>
      </c>
      <c r="F193" s="207">
        <v>250</v>
      </c>
      <c r="G193" s="207">
        <v>290</v>
      </c>
      <c r="H193" s="161">
        <v>40</v>
      </c>
      <c r="I193" s="207">
        <v>80</v>
      </c>
      <c r="J193" s="242">
        <f t="shared" si="31"/>
        <v>3200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11</v>
      </c>
      <c r="C194" s="206">
        <v>43570</v>
      </c>
      <c r="D194" s="161" t="s">
        <v>9</v>
      </c>
      <c r="E194" s="161" t="s">
        <v>2666</v>
      </c>
      <c r="F194" s="207">
        <v>190</v>
      </c>
      <c r="G194" s="207">
        <v>175</v>
      </c>
      <c r="H194" s="161">
        <v>-15</v>
      </c>
      <c r="I194" s="207">
        <v>80</v>
      </c>
      <c r="J194" s="242">
        <f t="shared" si="31"/>
        <v>-1200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12</v>
      </c>
      <c r="C195" s="206">
        <v>43571</v>
      </c>
      <c r="D195" s="161" t="s">
        <v>9</v>
      </c>
      <c r="E195" s="161" t="s">
        <v>2688</v>
      </c>
      <c r="F195" s="207">
        <v>180</v>
      </c>
      <c r="G195" s="207">
        <v>300</v>
      </c>
      <c r="H195" s="161">
        <v>120</v>
      </c>
      <c r="I195" s="207">
        <v>80</v>
      </c>
      <c r="J195" s="242">
        <f t="shared" si="31"/>
        <v>9600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13</v>
      </c>
      <c r="C196" s="206">
        <v>43573</v>
      </c>
      <c r="D196" s="161" t="s">
        <v>9</v>
      </c>
      <c r="E196" s="161" t="s">
        <v>2689</v>
      </c>
      <c r="F196" s="207">
        <v>140</v>
      </c>
      <c r="G196" s="207">
        <v>175</v>
      </c>
      <c r="H196" s="161">
        <v>35</v>
      </c>
      <c r="I196" s="207">
        <v>80</v>
      </c>
      <c r="J196" s="242">
        <f t="shared" si="31"/>
        <v>2800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14</v>
      </c>
      <c r="C197" s="206">
        <v>43577</v>
      </c>
      <c r="D197" s="161" t="s">
        <v>9</v>
      </c>
      <c r="E197" s="161" t="s">
        <v>2690</v>
      </c>
      <c r="F197" s="207">
        <v>200</v>
      </c>
      <c r="G197" s="207">
        <v>320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15</v>
      </c>
      <c r="C198" s="206">
        <v>43578</v>
      </c>
      <c r="D198" s="161" t="s">
        <v>9</v>
      </c>
      <c r="E198" s="161" t="s">
        <v>2684</v>
      </c>
      <c r="F198" s="207">
        <v>180</v>
      </c>
      <c r="G198" s="207">
        <v>208</v>
      </c>
      <c r="H198" s="161">
        <v>28</v>
      </c>
      <c r="I198" s="207">
        <v>80</v>
      </c>
      <c r="J198" s="242">
        <f t="shared" si="31"/>
        <v>2240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16</v>
      </c>
      <c r="C199" s="206">
        <v>43579</v>
      </c>
      <c r="D199" s="161" t="s">
        <v>9</v>
      </c>
      <c r="E199" s="161" t="s">
        <v>2691</v>
      </c>
      <c r="F199" s="207">
        <v>170</v>
      </c>
      <c r="G199" s="207">
        <v>230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17</v>
      </c>
      <c r="C200" s="206">
        <v>43580</v>
      </c>
      <c r="D200" s="161" t="s">
        <v>9</v>
      </c>
      <c r="E200" s="161" t="s">
        <v>2690</v>
      </c>
      <c r="F200" s="207">
        <v>80</v>
      </c>
      <c r="G200" s="207">
        <v>200</v>
      </c>
      <c r="H200" s="161">
        <v>120</v>
      </c>
      <c r="I200" s="207">
        <v>80</v>
      </c>
      <c r="J200" s="242">
        <f t="shared" si="31"/>
        <v>9600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18</v>
      </c>
      <c r="C201" s="206">
        <v>43581</v>
      </c>
      <c r="D201" s="161" t="s">
        <v>9</v>
      </c>
      <c r="E201" s="161" t="s">
        <v>2684</v>
      </c>
      <c r="F201" s="207">
        <v>150</v>
      </c>
      <c r="G201" s="207">
        <v>270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19</v>
      </c>
      <c r="C202" s="206">
        <v>43585</v>
      </c>
      <c r="D202" s="161" t="s">
        <v>9</v>
      </c>
      <c r="E202" s="161" t="s">
        <v>2696</v>
      </c>
      <c r="F202" s="207">
        <v>250</v>
      </c>
      <c r="G202" s="207">
        <v>190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20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21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22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ht="15" thickBot="1" x14ac:dyDescent="0.35">
      <c r="A206" s="147"/>
      <c r="B206" s="208">
        <f t="shared" si="34"/>
        <v>23</v>
      </c>
      <c r="C206" s="209"/>
      <c r="D206" s="166"/>
      <c r="E206" s="166"/>
      <c r="F206" s="210"/>
      <c r="G206" s="210"/>
      <c r="H206" s="166"/>
      <c r="I206" s="210"/>
      <c r="J206" s="244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24" thickBot="1" x14ac:dyDescent="0.5">
      <c r="A207" s="147"/>
      <c r="B207" s="370" t="s">
        <v>2254</v>
      </c>
      <c r="C207" s="371"/>
      <c r="D207" s="371"/>
      <c r="E207" s="371"/>
      <c r="F207" s="371"/>
      <c r="G207" s="371"/>
      <c r="H207" s="372"/>
      <c r="I207" s="211" t="s">
        <v>2255</v>
      </c>
      <c r="J207" s="212">
        <f>SUM(J184:J206)</f>
        <v>53440</v>
      </c>
      <c r="K207" s="153"/>
      <c r="V207" s="25">
        <f>SUM(V184:V206)</f>
        <v>14</v>
      </c>
      <c r="W207" s="25">
        <f>SUM(W184:W206)</f>
        <v>5</v>
      </c>
    </row>
    <row r="208" spans="1:23" ht="30" customHeight="1" thickBot="1" x14ac:dyDescent="0.35">
      <c r="A208" s="213"/>
      <c r="B208" s="172"/>
      <c r="C208" s="172"/>
      <c r="D208" s="172"/>
      <c r="E208" s="172"/>
      <c r="F208" s="172"/>
      <c r="G208" s="172"/>
      <c r="H208" s="235"/>
      <c r="I208" s="172"/>
      <c r="J208" s="235"/>
      <c r="K208" s="214"/>
    </row>
    <row r="209" spans="1:23" ht="15" thickBot="1" x14ac:dyDescent="0.35"/>
    <row r="210" spans="1:23" ht="30" customHeight="1" thickBot="1" x14ac:dyDescent="0.35">
      <c r="A210" s="198"/>
      <c r="B210" s="143"/>
      <c r="C210" s="143"/>
      <c r="D210" s="143"/>
      <c r="E210" s="143"/>
      <c r="F210" s="143"/>
      <c r="G210" s="143"/>
      <c r="H210" s="232"/>
      <c r="I210" s="143"/>
      <c r="J210" s="232"/>
      <c r="K210" s="199"/>
    </row>
    <row r="211" spans="1:23" ht="25.2" thickBot="1" x14ac:dyDescent="0.35">
      <c r="A211" s="147" t="s">
        <v>0</v>
      </c>
      <c r="B211" s="361" t="s">
        <v>2244</v>
      </c>
      <c r="C211" s="362"/>
      <c r="D211" s="362"/>
      <c r="E211" s="362"/>
      <c r="F211" s="362"/>
      <c r="G211" s="362"/>
      <c r="H211" s="362"/>
      <c r="I211" s="362"/>
      <c r="J211" s="363"/>
      <c r="K211" s="153"/>
    </row>
    <row r="212" spans="1:23" ht="16.2" thickBot="1" x14ac:dyDescent="0.35">
      <c r="A212" s="147"/>
      <c r="B212" s="364" t="s">
        <v>2674</v>
      </c>
      <c r="C212" s="365"/>
      <c r="D212" s="365"/>
      <c r="E212" s="365"/>
      <c r="F212" s="365"/>
      <c r="G212" s="365"/>
      <c r="H212" s="365"/>
      <c r="I212" s="365"/>
      <c r="J212" s="366"/>
      <c r="K212" s="153"/>
    </row>
    <row r="213" spans="1:23" ht="16.2" thickBot="1" x14ac:dyDescent="0.35">
      <c r="A213" s="147"/>
      <c r="B213" s="367" t="s">
        <v>1076</v>
      </c>
      <c r="C213" s="368"/>
      <c r="D213" s="368"/>
      <c r="E213" s="368"/>
      <c r="F213" s="368"/>
      <c r="G213" s="368"/>
      <c r="H213" s="368"/>
      <c r="I213" s="368"/>
      <c r="J213" s="369"/>
      <c r="K213" s="153"/>
    </row>
    <row r="214" spans="1:23" ht="15" thickBot="1" x14ac:dyDescent="0.35">
      <c r="A214" s="175"/>
      <c r="B214" s="178" t="s">
        <v>2248</v>
      </c>
      <c r="C214" s="179" t="s">
        <v>1</v>
      </c>
      <c r="D214" s="180" t="s">
        <v>5</v>
      </c>
      <c r="E214" s="180" t="s">
        <v>6</v>
      </c>
      <c r="F214" s="181" t="s">
        <v>2249</v>
      </c>
      <c r="G214" s="181" t="s">
        <v>2250</v>
      </c>
      <c r="H214" s="239" t="s">
        <v>2251</v>
      </c>
      <c r="I214" s="181" t="s">
        <v>2257</v>
      </c>
      <c r="J214" s="245" t="s">
        <v>4</v>
      </c>
      <c r="K214" s="176"/>
      <c r="L214" s="215"/>
      <c r="V214" s="201" t="s">
        <v>454</v>
      </c>
      <c r="W214" s="201" t="s">
        <v>455</v>
      </c>
    </row>
    <row r="215" spans="1:23" x14ac:dyDescent="0.3">
      <c r="A215" s="147"/>
      <c r="B215" s="217">
        <v>1</v>
      </c>
      <c r="C215" s="218">
        <v>43556</v>
      </c>
      <c r="D215" s="185" t="s">
        <v>9</v>
      </c>
      <c r="E215" s="185" t="s">
        <v>2676</v>
      </c>
      <c r="F215" s="231">
        <v>15</v>
      </c>
      <c r="G215" s="231">
        <v>17</v>
      </c>
      <c r="H215" s="231">
        <v>2</v>
      </c>
      <c r="I215" s="219">
        <v>2000</v>
      </c>
      <c r="J215" s="246">
        <f t="shared" ref="J215:J237" si="35">I215*H215</f>
        <v>4000</v>
      </c>
      <c r="K215" s="153"/>
      <c r="V215" s="25">
        <f>IF($J215&gt;0,1,0)</f>
        <v>1</v>
      </c>
      <c r="W215" s="25">
        <f>IF($J215&lt;0,1,0)</f>
        <v>0</v>
      </c>
    </row>
    <row r="216" spans="1:23" x14ac:dyDescent="0.3">
      <c r="A216" s="147"/>
      <c r="B216" s="205">
        <f>B215+1</f>
        <v>2</v>
      </c>
      <c r="C216" s="206">
        <v>43557</v>
      </c>
      <c r="D216" s="161" t="s">
        <v>9</v>
      </c>
      <c r="E216" s="161" t="s">
        <v>2678</v>
      </c>
      <c r="F216" s="222">
        <v>9.5</v>
      </c>
      <c r="G216" s="222">
        <v>11.5</v>
      </c>
      <c r="H216" s="255">
        <v>2</v>
      </c>
      <c r="I216" s="207">
        <v>3000</v>
      </c>
      <c r="J216" s="242">
        <f>I216*H216</f>
        <v>6000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 t="shared" ref="B217:B237" si="36">B216+1</f>
        <v>3</v>
      </c>
      <c r="C217" s="206">
        <v>43558</v>
      </c>
      <c r="D217" s="161" t="s">
        <v>9</v>
      </c>
      <c r="E217" s="161" t="s">
        <v>2680</v>
      </c>
      <c r="F217" s="222">
        <v>9</v>
      </c>
      <c r="G217" s="222">
        <v>11</v>
      </c>
      <c r="H217" s="222">
        <v>2</v>
      </c>
      <c r="I217" s="207">
        <v>2750</v>
      </c>
      <c r="J217" s="242">
        <f t="shared" si="35"/>
        <v>5500</v>
      </c>
      <c r="K217" s="153"/>
      <c r="V217" s="25">
        <f t="shared" ref="V217:V237" si="37">IF($J217&gt;0,1,0)</f>
        <v>1</v>
      </c>
      <c r="W217" s="25">
        <f t="shared" ref="W217:W237" si="38">IF($J217&lt;0,1,0)</f>
        <v>0</v>
      </c>
    </row>
    <row r="218" spans="1:23" x14ac:dyDescent="0.3">
      <c r="A218" s="147"/>
      <c r="B218" s="205">
        <f t="shared" si="36"/>
        <v>4</v>
      </c>
      <c r="C218" s="206">
        <v>43559</v>
      </c>
      <c r="D218" s="161" t="s">
        <v>9</v>
      </c>
      <c r="E218" s="161" t="s">
        <v>2681</v>
      </c>
      <c r="F218" s="222">
        <v>40</v>
      </c>
      <c r="G218" s="222">
        <v>48.2</v>
      </c>
      <c r="H218" s="222">
        <v>8.1999999999999993</v>
      </c>
      <c r="I218" s="207">
        <v>500</v>
      </c>
      <c r="J218" s="242">
        <f t="shared" si="35"/>
        <v>4100</v>
      </c>
      <c r="K218" s="153"/>
      <c r="V218" s="25">
        <f t="shared" si="37"/>
        <v>1</v>
      </c>
      <c r="W218" s="25">
        <f t="shared" si="38"/>
        <v>0</v>
      </c>
    </row>
    <row r="219" spans="1:23" x14ac:dyDescent="0.3">
      <c r="A219" s="147"/>
      <c r="B219" s="205">
        <f t="shared" si="36"/>
        <v>5</v>
      </c>
      <c r="C219" s="206">
        <v>43560</v>
      </c>
      <c r="D219" s="161" t="s">
        <v>9</v>
      </c>
      <c r="E219" s="161" t="s">
        <v>2414</v>
      </c>
      <c r="F219" s="222">
        <v>9</v>
      </c>
      <c r="G219" s="222">
        <v>10.3</v>
      </c>
      <c r="H219" s="222">
        <v>1.3</v>
      </c>
      <c r="I219" s="207">
        <v>3000</v>
      </c>
      <c r="J219" s="242">
        <f t="shared" si="35"/>
        <v>3900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6</v>
      </c>
      <c r="C220" s="206">
        <v>43563</v>
      </c>
      <c r="D220" s="161" t="s">
        <v>9</v>
      </c>
      <c r="E220" s="161" t="s">
        <v>2382</v>
      </c>
      <c r="F220" s="222">
        <v>9</v>
      </c>
      <c r="G220" s="222">
        <v>7</v>
      </c>
      <c r="H220" s="222">
        <v>-2</v>
      </c>
      <c r="I220" s="207">
        <v>3000</v>
      </c>
      <c r="J220" s="242">
        <f t="shared" si="35"/>
        <v>-6000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7</v>
      </c>
      <c r="C221" s="206">
        <v>43564</v>
      </c>
      <c r="D221" s="161" t="s">
        <v>9</v>
      </c>
      <c r="E221" s="161" t="s">
        <v>2682</v>
      </c>
      <c r="F221" s="222">
        <v>17</v>
      </c>
      <c r="G221" s="222">
        <v>23</v>
      </c>
      <c r="H221" s="222">
        <v>6</v>
      </c>
      <c r="I221" s="207">
        <v>1200</v>
      </c>
      <c r="J221" s="242">
        <f t="shared" si="35"/>
        <v>7200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8</v>
      </c>
      <c r="C222" s="206">
        <v>43565</v>
      </c>
      <c r="D222" s="161" t="s">
        <v>9</v>
      </c>
      <c r="E222" s="161" t="s">
        <v>2683</v>
      </c>
      <c r="F222" s="222">
        <v>7.5</v>
      </c>
      <c r="G222" s="222">
        <v>9</v>
      </c>
      <c r="H222" s="222">
        <v>1.5</v>
      </c>
      <c r="I222" s="207">
        <v>3000</v>
      </c>
      <c r="J222" s="242">
        <f t="shared" si="35"/>
        <v>4500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9</v>
      </c>
      <c r="C223" s="206">
        <v>43566</v>
      </c>
      <c r="D223" s="161" t="s">
        <v>9</v>
      </c>
      <c r="E223" s="161" t="s">
        <v>2651</v>
      </c>
      <c r="F223" s="222">
        <v>34</v>
      </c>
      <c r="G223" s="222">
        <v>40</v>
      </c>
      <c r="H223" s="255">
        <v>6</v>
      </c>
      <c r="I223" s="207">
        <v>500</v>
      </c>
      <c r="J223" s="242">
        <f t="shared" si="35"/>
        <v>3000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10</v>
      </c>
      <c r="C224" s="206">
        <v>43567</v>
      </c>
      <c r="D224" s="161" t="s">
        <v>9</v>
      </c>
      <c r="E224" s="161" t="s">
        <v>2682</v>
      </c>
      <c r="F224" s="222">
        <v>14</v>
      </c>
      <c r="G224" s="222">
        <v>19</v>
      </c>
      <c r="H224" s="255">
        <v>5</v>
      </c>
      <c r="I224" s="207">
        <v>1200</v>
      </c>
      <c r="J224" s="242">
        <f t="shared" si="35"/>
        <v>6000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11</v>
      </c>
      <c r="C225" s="206">
        <v>43570</v>
      </c>
      <c r="D225" s="161" t="s">
        <v>9</v>
      </c>
      <c r="E225" s="161" t="s">
        <v>2686</v>
      </c>
      <c r="F225" s="222">
        <v>8</v>
      </c>
      <c r="G225" s="222">
        <v>6.3</v>
      </c>
      <c r="H225" s="255">
        <v>-1.7</v>
      </c>
      <c r="I225" s="207">
        <v>2750</v>
      </c>
      <c r="J225" s="242">
        <f t="shared" si="35"/>
        <v>-4675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12</v>
      </c>
      <c r="C226" s="206">
        <v>43571</v>
      </c>
      <c r="D226" s="161" t="s">
        <v>9</v>
      </c>
      <c r="E226" s="161" t="s">
        <v>2655</v>
      </c>
      <c r="F226" s="222">
        <v>31</v>
      </c>
      <c r="G226" s="222">
        <v>26</v>
      </c>
      <c r="H226" s="255">
        <v>-5</v>
      </c>
      <c r="I226" s="207">
        <v>500</v>
      </c>
      <c r="J226" s="242">
        <f t="shared" si="35"/>
        <v>-2500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13</v>
      </c>
      <c r="C227" s="206">
        <v>43573</v>
      </c>
      <c r="D227" s="161" t="s">
        <v>9</v>
      </c>
      <c r="E227" s="161" t="s">
        <v>1881</v>
      </c>
      <c r="F227" s="222">
        <v>24</v>
      </c>
      <c r="G227" s="222">
        <v>27.4</v>
      </c>
      <c r="H227" s="255">
        <v>3.4</v>
      </c>
      <c r="I227" s="207">
        <v>375</v>
      </c>
      <c r="J227" s="242">
        <f t="shared" si="35"/>
        <v>1275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14</v>
      </c>
      <c r="C228" s="206">
        <v>43577</v>
      </c>
      <c r="D228" s="161" t="s">
        <v>9</v>
      </c>
      <c r="E228" s="161" t="s">
        <v>2692</v>
      </c>
      <c r="F228" s="222">
        <v>9</v>
      </c>
      <c r="G228" s="222">
        <v>13.3</v>
      </c>
      <c r="H228" s="255">
        <v>4.3</v>
      </c>
      <c r="I228" s="207">
        <v>1200</v>
      </c>
      <c r="J228" s="242">
        <f>I228*H228</f>
        <v>5160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15</v>
      </c>
      <c r="C229" s="206">
        <v>43578</v>
      </c>
      <c r="D229" s="161" t="s">
        <v>9</v>
      </c>
      <c r="E229" s="161" t="s">
        <v>2682</v>
      </c>
      <c r="F229" s="222">
        <v>6</v>
      </c>
      <c r="G229" s="222">
        <v>8</v>
      </c>
      <c r="H229" s="255">
        <v>2</v>
      </c>
      <c r="I229" s="207">
        <v>1200</v>
      </c>
      <c r="J229" s="242">
        <f t="shared" si="35"/>
        <v>2400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16</v>
      </c>
      <c r="C230" s="206">
        <v>43579</v>
      </c>
      <c r="D230" s="161" t="s">
        <v>9</v>
      </c>
      <c r="E230" s="161" t="s">
        <v>2693</v>
      </c>
      <c r="F230" s="222">
        <v>18</v>
      </c>
      <c r="G230" s="222">
        <v>30</v>
      </c>
      <c r="H230" s="222">
        <v>12</v>
      </c>
      <c r="I230" s="207">
        <v>500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17</v>
      </c>
      <c r="C231" s="206">
        <v>43580</v>
      </c>
      <c r="D231" s="161" t="s">
        <v>9</v>
      </c>
      <c r="E231" s="161" t="s">
        <v>2694</v>
      </c>
      <c r="F231" s="222">
        <v>4.5</v>
      </c>
      <c r="G231" s="222">
        <v>2.5</v>
      </c>
      <c r="H231" s="222">
        <v>-2</v>
      </c>
      <c r="I231" s="207">
        <v>1200</v>
      </c>
      <c r="J231" s="242">
        <f t="shared" si="35"/>
        <v>-2400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18</v>
      </c>
      <c r="C232" s="206">
        <v>43581</v>
      </c>
      <c r="D232" s="161" t="s">
        <v>9</v>
      </c>
      <c r="E232" s="161" t="s">
        <v>2695</v>
      </c>
      <c r="F232" s="222">
        <v>41</v>
      </c>
      <c r="G232" s="222">
        <v>47</v>
      </c>
      <c r="H232" s="222">
        <v>6</v>
      </c>
      <c r="I232" s="207">
        <v>500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19</v>
      </c>
      <c r="C233" s="206">
        <v>43585</v>
      </c>
      <c r="D233" s="161" t="s">
        <v>9</v>
      </c>
      <c r="E233" s="161" t="s">
        <v>2655</v>
      </c>
      <c r="F233" s="222">
        <v>35</v>
      </c>
      <c r="G233" s="222">
        <v>29</v>
      </c>
      <c r="H233" s="222">
        <v>-6</v>
      </c>
      <c r="I233" s="207">
        <v>500</v>
      </c>
      <c r="J233" s="242">
        <f t="shared" si="35"/>
        <v>-3000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20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21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22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ht="15" thickBot="1" x14ac:dyDescent="0.35">
      <c r="A237" s="147"/>
      <c r="B237" s="208">
        <f t="shared" si="36"/>
        <v>23</v>
      </c>
      <c r="C237" s="209"/>
      <c r="D237" s="166"/>
      <c r="E237" s="166"/>
      <c r="F237" s="210"/>
      <c r="G237" s="210"/>
      <c r="H237" s="166"/>
      <c r="I237" s="210"/>
      <c r="J237" s="244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24" thickBot="1" x14ac:dyDescent="0.5">
      <c r="A238" s="147"/>
      <c r="B238" s="370" t="s">
        <v>2254</v>
      </c>
      <c r="C238" s="371"/>
      <c r="D238" s="371"/>
      <c r="E238" s="371"/>
      <c r="F238" s="371"/>
      <c r="G238" s="371"/>
      <c r="H238" s="372"/>
      <c r="I238" s="211" t="s">
        <v>2255</v>
      </c>
      <c r="J238" s="212">
        <f>SUM(J215:J237)</f>
        <v>43460</v>
      </c>
      <c r="K238" s="153"/>
      <c r="V238" s="25">
        <f>SUM(V215:V237)</f>
        <v>14</v>
      </c>
      <c r="W238" s="25">
        <f>SUM(W215:W237)</f>
        <v>5</v>
      </c>
    </row>
    <row r="239" spans="1:23" ht="30" customHeight="1" thickBot="1" x14ac:dyDescent="0.35">
      <c r="A239" s="213"/>
      <c r="B239" s="172"/>
      <c r="C239" s="172"/>
      <c r="D239" s="172"/>
      <c r="E239" s="172"/>
      <c r="F239" s="172"/>
      <c r="G239" s="172"/>
      <c r="H239" s="235"/>
      <c r="I239" s="172"/>
      <c r="J239" s="235"/>
      <c r="K239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1:J151"/>
    <mergeCell ref="B83:H83"/>
    <mergeCell ref="B87:J87"/>
    <mergeCell ref="B88:J88"/>
    <mergeCell ref="B89:J89"/>
    <mergeCell ref="B114:H114"/>
    <mergeCell ref="B118:J118"/>
    <mergeCell ref="B119:J119"/>
    <mergeCell ref="B120:J120"/>
    <mergeCell ref="B145:H145"/>
    <mergeCell ref="B149:J149"/>
    <mergeCell ref="B150:J150"/>
    <mergeCell ref="B212:J212"/>
    <mergeCell ref="B213:J213"/>
    <mergeCell ref="B238:H238"/>
    <mergeCell ref="B176:H176"/>
    <mergeCell ref="B180:J180"/>
    <mergeCell ref="B181:J181"/>
    <mergeCell ref="B182:J182"/>
    <mergeCell ref="B207:H207"/>
    <mergeCell ref="B211:J211"/>
  </mergeCells>
  <hyperlinks>
    <hyperlink ref="B52" r:id="rId1" xr:uid="{00000000-0004-0000-4800-000000000000}"/>
    <hyperlink ref="B83" r:id="rId2" xr:uid="{00000000-0004-0000-4800-000001000000}"/>
    <hyperlink ref="B114" r:id="rId3" xr:uid="{00000000-0004-0000-4800-000002000000}"/>
    <hyperlink ref="B145" r:id="rId4" xr:uid="{00000000-0004-0000-4800-000003000000}"/>
    <hyperlink ref="B176" r:id="rId5" xr:uid="{00000000-0004-0000-4800-000004000000}"/>
    <hyperlink ref="B207" r:id="rId6" xr:uid="{00000000-0004-0000-4800-000005000000}"/>
    <hyperlink ref="B238" r:id="rId7" xr:uid="{00000000-0004-0000-4800-000006000000}"/>
    <hyperlink ref="M1" location="'MASTER '!A1" display="Back" xr:uid="{00000000-0004-0000-4800-000007000000}"/>
    <hyperlink ref="M8:M9" location="'APRIL -2019'!A108" display="NIFTY FUTURE" xr:uid="{00000000-0004-0000-4800-000008000000}"/>
    <hyperlink ref="M10:M11" location="'APRIL -2019'!A139" display="NF. OPTION" xr:uid="{00000000-0004-0000-4800-000009000000}"/>
    <hyperlink ref="M12:M13" location="'APRIL -2019'!A170" display="BANK NIFTY" xr:uid="{00000000-0004-0000-4800-00000A000000}"/>
    <hyperlink ref="M14:M15" location="'APRIL -2019'!A201" display="B.NIFTY OPTION" xr:uid="{00000000-0004-0000-4800-00000B000000}"/>
    <hyperlink ref="M16:M17" location="'APRIL -2019'!A232" display="STOCK OPTION" xr:uid="{00000000-0004-0000-4800-00000C000000}"/>
    <hyperlink ref="M6:M7" location="'APRIL -2019'!A77" display="STOCK FUTURE" xr:uid="{00000000-0004-0000-4800-00000D000000}"/>
    <hyperlink ref="M4:M5" location="'APRIL -2019'!A1" display="CASH" xr:uid="{00000000-0004-0000-4800-00000E000000}"/>
  </hyperlinks>
  <pageMargins left="0" right="0" top="0" bottom="0" header="0" footer="0"/>
  <pageSetup scale="95" orientation="portrait" r:id="rId8"/>
  <drawing r:id="rId9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2698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43</v>
      </c>
      <c r="O4" s="354">
        <f>V52</f>
        <v>31</v>
      </c>
      <c r="P4" s="354">
        <f>W52</f>
        <v>12</v>
      </c>
      <c r="Q4" s="355">
        <f>N4-O4-P4</f>
        <v>0</v>
      </c>
      <c r="R4" s="314">
        <f>O4/N4</f>
        <v>0.72093023255813948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43587</v>
      </c>
      <c r="D6" s="158" t="s">
        <v>9</v>
      </c>
      <c r="E6" s="158" t="s">
        <v>192</v>
      </c>
      <c r="F6" s="204">
        <v>263</v>
      </c>
      <c r="G6" s="230">
        <v>266.5</v>
      </c>
      <c r="H6" s="222">
        <v>3.5</v>
      </c>
      <c r="I6" s="204">
        <f>300000/F6</f>
        <v>1140.6844106463877</v>
      </c>
      <c r="J6" s="241">
        <f>H6*I6</f>
        <v>3992.3954372623571</v>
      </c>
      <c r="K6" s="153"/>
      <c r="M6" s="389" t="s">
        <v>450</v>
      </c>
      <c r="N6" s="343">
        <f>COUNT(C60:C83)</f>
        <v>23</v>
      </c>
      <c r="O6" s="345">
        <f>V84</f>
        <v>17</v>
      </c>
      <c r="P6" s="345">
        <f>W84</f>
        <v>5</v>
      </c>
      <c r="Q6" s="347">
        <f>N6-O6-P6</f>
        <v>1</v>
      </c>
      <c r="R6" s="340">
        <f t="shared" ref="R6" si="0">O6/N6</f>
        <v>0.73913043478260865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43587</v>
      </c>
      <c r="D7" s="161" t="s">
        <v>8</v>
      </c>
      <c r="E7" s="161" t="s">
        <v>95</v>
      </c>
      <c r="F7" s="207">
        <v>402</v>
      </c>
      <c r="G7" s="207">
        <v>398</v>
      </c>
      <c r="H7" s="234">
        <v>4</v>
      </c>
      <c r="I7" s="207">
        <f t="shared" ref="I7" si="1">300000/F7</f>
        <v>746.26865671641792</v>
      </c>
      <c r="J7" s="242">
        <f t="shared" ref="J7" si="2">H7*I7</f>
        <v>2985.0746268656717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43588</v>
      </c>
      <c r="D8" s="161" t="s">
        <v>9</v>
      </c>
      <c r="E8" s="161" t="s">
        <v>2701</v>
      </c>
      <c r="F8" s="207">
        <v>1055</v>
      </c>
      <c r="G8" s="222">
        <v>1045</v>
      </c>
      <c r="H8" s="222">
        <v>-10</v>
      </c>
      <c r="I8" s="207">
        <f t="shared" ref="I8:I48" si="6">300000/F8</f>
        <v>284.36018957345971</v>
      </c>
      <c r="J8" s="242">
        <f t="shared" ref="J8:J48" si="7">H8*I8</f>
        <v>-2843.6018957345968</v>
      </c>
      <c r="K8" s="153"/>
      <c r="M8" s="389" t="s">
        <v>451</v>
      </c>
      <c r="N8" s="343">
        <f>COUNT(C92:C114)</f>
        <v>21</v>
      </c>
      <c r="O8" s="345">
        <f>V115</f>
        <v>17</v>
      </c>
      <c r="P8" s="345">
        <f>W115</f>
        <v>4</v>
      </c>
      <c r="Q8" s="347">
        <f>N8-O8-P8</f>
        <v>0</v>
      </c>
      <c r="R8" s="340">
        <f t="shared" ref="R8" si="8">O8/N8</f>
        <v>0.80952380952380953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43588</v>
      </c>
      <c r="D9" s="161" t="s">
        <v>8</v>
      </c>
      <c r="E9" s="161" t="s">
        <v>95</v>
      </c>
      <c r="F9" s="222">
        <v>397</v>
      </c>
      <c r="G9" s="222">
        <v>395</v>
      </c>
      <c r="H9" s="222">
        <v>2</v>
      </c>
      <c r="I9" s="207">
        <f t="shared" si="6"/>
        <v>755.66750629722924</v>
      </c>
      <c r="J9" s="242">
        <f t="shared" si="7"/>
        <v>1511.3350125944585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43591</v>
      </c>
      <c r="D10" s="161" t="s">
        <v>9</v>
      </c>
      <c r="E10" s="161" t="s">
        <v>192</v>
      </c>
      <c r="F10" s="222">
        <v>264</v>
      </c>
      <c r="G10" s="222">
        <v>267.5</v>
      </c>
      <c r="H10" s="222">
        <v>3.5</v>
      </c>
      <c r="I10" s="207">
        <f t="shared" si="6"/>
        <v>1136.3636363636363</v>
      </c>
      <c r="J10" s="242">
        <f t="shared" si="7"/>
        <v>3977.272727272727</v>
      </c>
      <c r="K10" s="153"/>
      <c r="M10" s="389" t="s">
        <v>1176</v>
      </c>
      <c r="N10" s="343">
        <f>COUNT(C123:C145)</f>
        <v>21</v>
      </c>
      <c r="O10" s="345">
        <f>V146</f>
        <v>15</v>
      </c>
      <c r="P10" s="345">
        <f>W146</f>
        <v>6</v>
      </c>
      <c r="Q10" s="347">
        <f>N10-O10-P10</f>
        <v>0</v>
      </c>
      <c r="R10" s="340">
        <f t="shared" ref="R10:R16" si="9">O10/N10</f>
        <v>0.7142857142857143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43591</v>
      </c>
      <c r="D11" s="161" t="s">
        <v>8</v>
      </c>
      <c r="E11" s="161" t="s">
        <v>31</v>
      </c>
      <c r="F11" s="222">
        <v>1395</v>
      </c>
      <c r="G11" s="222">
        <v>1380</v>
      </c>
      <c r="H11" s="255">
        <v>15</v>
      </c>
      <c r="I11" s="207">
        <f t="shared" si="6"/>
        <v>215.05376344086022</v>
      </c>
      <c r="J11" s="242">
        <f t="shared" si="7"/>
        <v>3225.8064516129034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43592</v>
      </c>
      <c r="D12" s="161" t="s">
        <v>9</v>
      </c>
      <c r="E12" s="161" t="s">
        <v>341</v>
      </c>
      <c r="F12" s="222">
        <v>382</v>
      </c>
      <c r="G12" s="222">
        <v>378</v>
      </c>
      <c r="H12" s="222">
        <v>-4</v>
      </c>
      <c r="I12" s="207">
        <f t="shared" si="6"/>
        <v>785.3403141361257</v>
      </c>
      <c r="J12" s="242">
        <f t="shared" si="7"/>
        <v>-3141.3612565445028</v>
      </c>
      <c r="K12" s="153"/>
      <c r="M12" s="389" t="s">
        <v>41</v>
      </c>
      <c r="N12" s="343">
        <f>COUNT(C154:C176)</f>
        <v>22</v>
      </c>
      <c r="O12" s="345">
        <f>V177</f>
        <v>15</v>
      </c>
      <c r="P12" s="345">
        <f>W177</f>
        <v>7</v>
      </c>
      <c r="Q12" s="347">
        <f t="shared" ref="Q12" si="10">N12-O12-P12</f>
        <v>0</v>
      </c>
      <c r="R12" s="340">
        <f t="shared" si="9"/>
        <v>0.68181818181818177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43592</v>
      </c>
      <c r="D13" s="161" t="s">
        <v>8</v>
      </c>
      <c r="E13" s="161" t="s">
        <v>31</v>
      </c>
      <c r="F13" s="222">
        <v>1372</v>
      </c>
      <c r="G13" s="222">
        <v>1252</v>
      </c>
      <c r="H13" s="255">
        <v>20</v>
      </c>
      <c r="I13" s="207">
        <f t="shared" si="6"/>
        <v>218.65889212827989</v>
      </c>
      <c r="J13" s="242">
        <f t="shared" si="7"/>
        <v>4373.1778425655975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43593</v>
      </c>
      <c r="D14" s="161" t="s">
        <v>9</v>
      </c>
      <c r="E14" s="161" t="s">
        <v>192</v>
      </c>
      <c r="F14" s="222">
        <v>258</v>
      </c>
      <c r="G14" s="222">
        <v>255</v>
      </c>
      <c r="H14" s="222">
        <v>-3</v>
      </c>
      <c r="I14" s="207">
        <f t="shared" si="6"/>
        <v>1162.7906976744187</v>
      </c>
      <c r="J14" s="242">
        <f t="shared" si="7"/>
        <v>-3488.3720930232557</v>
      </c>
      <c r="K14" s="153"/>
      <c r="M14" s="389" t="s">
        <v>1175</v>
      </c>
      <c r="N14" s="343">
        <f>COUNT(C185:C207)</f>
        <v>21</v>
      </c>
      <c r="O14" s="345">
        <f>V208</f>
        <v>15</v>
      </c>
      <c r="P14" s="345">
        <f>W208</f>
        <v>6</v>
      </c>
      <c r="Q14" s="347">
        <f t="shared" ref="Q14" si="11">N14-O14-P14</f>
        <v>0</v>
      </c>
      <c r="R14" s="340">
        <f t="shared" si="9"/>
        <v>0.7142857142857143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43593</v>
      </c>
      <c r="D15" s="161" t="s">
        <v>8</v>
      </c>
      <c r="E15" s="161" t="s">
        <v>31</v>
      </c>
      <c r="F15" s="222">
        <v>1322</v>
      </c>
      <c r="G15" s="222">
        <v>1302</v>
      </c>
      <c r="H15" s="222">
        <v>20</v>
      </c>
      <c r="I15" s="207">
        <f t="shared" si="6"/>
        <v>226.928895612708</v>
      </c>
      <c r="J15" s="242">
        <f t="shared" si="7"/>
        <v>4538.5779122541599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43594</v>
      </c>
      <c r="D16" s="161" t="s">
        <v>9</v>
      </c>
      <c r="E16" s="161" t="s">
        <v>192</v>
      </c>
      <c r="F16" s="222">
        <v>257.5</v>
      </c>
      <c r="G16" s="222">
        <v>259</v>
      </c>
      <c r="H16" s="222">
        <v>1.5</v>
      </c>
      <c r="I16" s="207">
        <f t="shared" si="6"/>
        <v>1165.0485436893205</v>
      </c>
      <c r="J16" s="242">
        <f t="shared" si="7"/>
        <v>1747.5728155339807</v>
      </c>
      <c r="K16" s="153"/>
      <c r="L16" s="25" t="s">
        <v>2008</v>
      </c>
      <c r="M16" s="389" t="s">
        <v>1090</v>
      </c>
      <c r="N16" s="343">
        <f>COUNT(C216:C238)</f>
        <v>21</v>
      </c>
      <c r="O16" s="345">
        <f>V239</f>
        <v>16</v>
      </c>
      <c r="P16" s="345">
        <f>W239</f>
        <v>5</v>
      </c>
      <c r="Q16" s="347">
        <f t="shared" ref="Q16" si="12">N16-O16-P16</f>
        <v>0</v>
      </c>
      <c r="R16" s="340">
        <f t="shared" si="9"/>
        <v>0.76190476190476186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43594</v>
      </c>
      <c r="D17" s="161" t="s">
        <v>8</v>
      </c>
      <c r="E17" s="161" t="s">
        <v>31</v>
      </c>
      <c r="F17" s="222">
        <v>1267</v>
      </c>
      <c r="G17" s="222">
        <v>1252</v>
      </c>
      <c r="H17" s="222">
        <v>15</v>
      </c>
      <c r="I17" s="207">
        <f t="shared" si="6"/>
        <v>236.77979479084451</v>
      </c>
      <c r="J17" s="242">
        <f t="shared" si="7"/>
        <v>3551.6969218626678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43595</v>
      </c>
      <c r="D18" s="161" t="s">
        <v>9</v>
      </c>
      <c r="E18" s="161" t="s">
        <v>126</v>
      </c>
      <c r="F18" s="222">
        <v>2175</v>
      </c>
      <c r="G18" s="222">
        <v>2155</v>
      </c>
      <c r="H18" s="222">
        <v>-20</v>
      </c>
      <c r="I18" s="207">
        <f t="shared" si="6"/>
        <v>137.93103448275863</v>
      </c>
      <c r="J18" s="242">
        <f t="shared" si="7"/>
        <v>-2758.6206896551726</v>
      </c>
      <c r="K18" s="153"/>
      <c r="M18" s="334" t="s">
        <v>946</v>
      </c>
      <c r="N18" s="336">
        <f>SUM(N4:N17)</f>
        <v>172</v>
      </c>
      <c r="O18" s="336">
        <f t="shared" ref="O18:Q18" si="13">SUM(O4:O17)</f>
        <v>126</v>
      </c>
      <c r="P18" s="336">
        <f t="shared" si="13"/>
        <v>45</v>
      </c>
      <c r="Q18" s="338">
        <f t="shared" si="13"/>
        <v>1</v>
      </c>
      <c r="R18" s="314">
        <f t="shared" ref="R18" si="14">O18/N18</f>
        <v>0.73255813953488369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43595</v>
      </c>
      <c r="D19" s="161" t="s">
        <v>8</v>
      </c>
      <c r="E19" s="161" t="s">
        <v>31</v>
      </c>
      <c r="F19" s="222">
        <v>1268</v>
      </c>
      <c r="G19" s="222">
        <v>1248</v>
      </c>
      <c r="H19" s="222">
        <v>20</v>
      </c>
      <c r="I19" s="207">
        <f t="shared" si="6"/>
        <v>236.59305993690853</v>
      </c>
      <c r="J19" s="242">
        <f t="shared" si="7"/>
        <v>4731.861198738171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43598</v>
      </c>
      <c r="D20" s="161" t="s">
        <v>9</v>
      </c>
      <c r="E20" s="161" t="s">
        <v>94</v>
      </c>
      <c r="F20" s="222">
        <v>2298</v>
      </c>
      <c r="G20" s="222">
        <v>2311</v>
      </c>
      <c r="H20" s="222">
        <v>13</v>
      </c>
      <c r="I20" s="207">
        <f t="shared" si="6"/>
        <v>130.54830287206266</v>
      </c>
      <c r="J20" s="242">
        <f t="shared" si="7"/>
        <v>1697.1279373368147</v>
      </c>
      <c r="K20" s="153"/>
      <c r="M20" s="316" t="s">
        <v>2253</v>
      </c>
      <c r="N20" s="317"/>
      <c r="O20" s="318"/>
      <c r="P20" s="325">
        <f>R18</f>
        <v>0.73255813953488369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43598</v>
      </c>
      <c r="D21" s="161" t="s">
        <v>8</v>
      </c>
      <c r="E21" s="161" t="s">
        <v>192</v>
      </c>
      <c r="F21" s="222">
        <v>256</v>
      </c>
      <c r="G21" s="222">
        <v>250</v>
      </c>
      <c r="H21" s="222">
        <v>6</v>
      </c>
      <c r="I21" s="207">
        <f t="shared" si="6"/>
        <v>1171.875</v>
      </c>
      <c r="J21" s="242">
        <f t="shared" si="7"/>
        <v>7031.25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43599</v>
      </c>
      <c r="D22" s="161" t="s">
        <v>9</v>
      </c>
      <c r="E22" s="161" t="s">
        <v>94</v>
      </c>
      <c r="F22" s="222">
        <v>2285</v>
      </c>
      <c r="G22" s="222">
        <v>2305</v>
      </c>
      <c r="H22" s="222">
        <v>20</v>
      </c>
      <c r="I22" s="207">
        <f t="shared" si="6"/>
        <v>131.2910284463895</v>
      </c>
      <c r="J22" s="242">
        <f t="shared" si="7"/>
        <v>2625.8205689277902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43599</v>
      </c>
      <c r="D23" s="161" t="s">
        <v>8</v>
      </c>
      <c r="E23" s="161" t="s">
        <v>31</v>
      </c>
      <c r="F23" s="222">
        <v>1242</v>
      </c>
      <c r="G23" s="222">
        <v>1252</v>
      </c>
      <c r="H23" s="222">
        <v>-10</v>
      </c>
      <c r="I23" s="207">
        <f t="shared" si="6"/>
        <v>241.54589371980677</v>
      </c>
      <c r="J23" s="242">
        <f t="shared" si="7"/>
        <v>-2415.4589371980678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43600</v>
      </c>
      <c r="D24" s="161" t="s">
        <v>9</v>
      </c>
      <c r="E24" s="161" t="s">
        <v>94</v>
      </c>
      <c r="F24" s="222">
        <v>2300</v>
      </c>
      <c r="G24" s="222">
        <v>2286</v>
      </c>
      <c r="H24" s="222">
        <v>-14</v>
      </c>
      <c r="I24" s="207">
        <f t="shared" si="6"/>
        <v>130.43478260869566</v>
      </c>
      <c r="J24" s="242">
        <f t="shared" si="7"/>
        <v>-1826.0869565217392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43600</v>
      </c>
      <c r="D25" s="161" t="s">
        <v>8</v>
      </c>
      <c r="E25" s="161" t="s">
        <v>192</v>
      </c>
      <c r="F25" s="222">
        <v>246</v>
      </c>
      <c r="G25" s="222">
        <v>243</v>
      </c>
      <c r="H25" s="222">
        <v>3</v>
      </c>
      <c r="I25" s="207">
        <f t="shared" si="6"/>
        <v>1219.5121951219512</v>
      </c>
      <c r="J25" s="242">
        <f t="shared" si="7"/>
        <v>3658.5365853658536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43601</v>
      </c>
      <c r="D26" s="161" t="s">
        <v>9</v>
      </c>
      <c r="E26" s="161" t="s">
        <v>16</v>
      </c>
      <c r="F26" s="222">
        <v>1174</v>
      </c>
      <c r="G26" s="222">
        <v>1181</v>
      </c>
      <c r="H26" s="222">
        <v>7</v>
      </c>
      <c r="I26" s="207">
        <f t="shared" si="6"/>
        <v>255.53662691652471</v>
      </c>
      <c r="J26" s="242">
        <f t="shared" si="7"/>
        <v>1788.756388415673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43601</v>
      </c>
      <c r="D27" s="161" t="s">
        <v>8</v>
      </c>
      <c r="E27" s="161" t="s">
        <v>192</v>
      </c>
      <c r="F27" s="222">
        <v>241</v>
      </c>
      <c r="G27" s="222">
        <v>245</v>
      </c>
      <c r="H27" s="222">
        <v>-4</v>
      </c>
      <c r="I27" s="207">
        <f t="shared" si="6"/>
        <v>1244.8132780082988</v>
      </c>
      <c r="J27" s="242">
        <f t="shared" si="7"/>
        <v>-4979.2531120331951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43602</v>
      </c>
      <c r="D28" s="161" t="s">
        <v>9</v>
      </c>
      <c r="E28" s="161" t="s">
        <v>16</v>
      </c>
      <c r="F28" s="222">
        <v>1190</v>
      </c>
      <c r="G28" s="222">
        <v>1200</v>
      </c>
      <c r="H28" s="222">
        <v>10</v>
      </c>
      <c r="I28" s="207">
        <f t="shared" si="6"/>
        <v>252.10084033613447</v>
      </c>
      <c r="J28" s="242">
        <f t="shared" si="7"/>
        <v>2521.0084033613448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43602</v>
      </c>
      <c r="D29" s="161" t="s">
        <v>9</v>
      </c>
      <c r="E29" s="161" t="s">
        <v>78</v>
      </c>
      <c r="F29" s="222">
        <v>1350</v>
      </c>
      <c r="G29" s="222">
        <v>1370</v>
      </c>
      <c r="H29" s="222">
        <v>20</v>
      </c>
      <c r="I29" s="207">
        <f t="shared" si="6"/>
        <v>222.22222222222223</v>
      </c>
      <c r="J29" s="242">
        <f t="shared" si="7"/>
        <v>4444.4444444444443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43605</v>
      </c>
      <c r="D30" s="161" t="s">
        <v>9</v>
      </c>
      <c r="E30" s="161" t="s">
        <v>78</v>
      </c>
      <c r="F30" s="222">
        <v>1430</v>
      </c>
      <c r="G30" s="222">
        <v>1450</v>
      </c>
      <c r="H30" s="222">
        <v>20</v>
      </c>
      <c r="I30" s="207">
        <f t="shared" si="6"/>
        <v>209.79020979020979</v>
      </c>
      <c r="J30" s="242">
        <f t="shared" si="7"/>
        <v>4195.8041958041958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43605</v>
      </c>
      <c r="D31" s="161" t="s">
        <v>8</v>
      </c>
      <c r="E31" s="161" t="s">
        <v>395</v>
      </c>
      <c r="F31" s="222">
        <v>2625</v>
      </c>
      <c r="G31" s="222">
        <v>2585</v>
      </c>
      <c r="H31" s="222">
        <v>40</v>
      </c>
      <c r="I31" s="207">
        <f t="shared" si="6"/>
        <v>114.28571428571429</v>
      </c>
      <c r="J31" s="242">
        <f t="shared" si="7"/>
        <v>4571.4285714285716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43606</v>
      </c>
      <c r="D32" s="161" t="s">
        <v>9</v>
      </c>
      <c r="E32" s="161" t="s">
        <v>31</v>
      </c>
      <c r="F32" s="222">
        <v>1355</v>
      </c>
      <c r="G32" s="222">
        <v>1365</v>
      </c>
      <c r="H32" s="222">
        <v>10</v>
      </c>
      <c r="I32" s="207">
        <f t="shared" si="6"/>
        <v>221.40221402214021</v>
      </c>
      <c r="J32" s="242">
        <f t="shared" si="7"/>
        <v>2214.022140221402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43606</v>
      </c>
      <c r="D33" s="161" t="s">
        <v>9</v>
      </c>
      <c r="E33" s="161" t="s">
        <v>78</v>
      </c>
      <c r="F33" s="222">
        <v>1450</v>
      </c>
      <c r="G33" s="222">
        <v>1458</v>
      </c>
      <c r="H33" s="222">
        <v>8</v>
      </c>
      <c r="I33" s="207">
        <f t="shared" si="6"/>
        <v>206.89655172413794</v>
      </c>
      <c r="J33" s="242">
        <f t="shared" si="7"/>
        <v>1655.1724137931035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43607</v>
      </c>
      <c r="D34" s="161" t="s">
        <v>9</v>
      </c>
      <c r="E34" s="161" t="s">
        <v>31</v>
      </c>
      <c r="F34" s="222">
        <v>1358</v>
      </c>
      <c r="G34" s="222">
        <v>1348</v>
      </c>
      <c r="H34" s="222">
        <v>-10</v>
      </c>
      <c r="I34" s="207">
        <f t="shared" si="6"/>
        <v>220.91310751104567</v>
      </c>
      <c r="J34" s="242">
        <f t="shared" si="7"/>
        <v>-2209.1310751104565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43607</v>
      </c>
      <c r="D35" s="161" t="s">
        <v>8</v>
      </c>
      <c r="E35" s="161" t="s">
        <v>395</v>
      </c>
      <c r="F35" s="222">
        <v>2635</v>
      </c>
      <c r="G35" s="222">
        <v>2625</v>
      </c>
      <c r="H35" s="222">
        <v>10</v>
      </c>
      <c r="I35" s="207">
        <f t="shared" si="6"/>
        <v>113.85199240986718</v>
      </c>
      <c r="J35" s="242">
        <f t="shared" si="7"/>
        <v>1138.5199240986717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43608</v>
      </c>
      <c r="D36" s="161" t="s">
        <v>9</v>
      </c>
      <c r="E36" s="161" t="s">
        <v>31</v>
      </c>
      <c r="F36" s="222">
        <v>1386</v>
      </c>
      <c r="G36" s="222">
        <v>1392</v>
      </c>
      <c r="H36" s="222">
        <v>6</v>
      </c>
      <c r="I36" s="207">
        <f t="shared" si="6"/>
        <v>216.45021645021646</v>
      </c>
      <c r="J36" s="242">
        <f t="shared" si="7"/>
        <v>1298.7012987012988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43609</v>
      </c>
      <c r="D37" s="161" t="s">
        <v>9</v>
      </c>
      <c r="E37" s="161" t="s">
        <v>78</v>
      </c>
      <c r="F37" s="222">
        <v>1517</v>
      </c>
      <c r="G37" s="222">
        <v>1537</v>
      </c>
      <c r="H37" s="222">
        <v>20</v>
      </c>
      <c r="I37" s="207">
        <f t="shared" si="6"/>
        <v>197.75873434410019</v>
      </c>
      <c r="J37" s="242">
        <f t="shared" si="7"/>
        <v>3955.1746868820037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43609</v>
      </c>
      <c r="D38" s="161" t="s">
        <v>8</v>
      </c>
      <c r="E38" s="161" t="s">
        <v>395</v>
      </c>
      <c r="F38" s="222">
        <v>2630</v>
      </c>
      <c r="G38" s="222">
        <v>2650</v>
      </c>
      <c r="H38" s="222">
        <v>-20</v>
      </c>
      <c r="I38" s="207">
        <f t="shared" si="6"/>
        <v>114.06844106463879</v>
      </c>
      <c r="J38" s="242">
        <f t="shared" si="7"/>
        <v>-2281.3688212927759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43612</v>
      </c>
      <c r="D39" s="161" t="s">
        <v>9</v>
      </c>
      <c r="E39" s="161" t="s">
        <v>78</v>
      </c>
      <c r="F39" s="222">
        <v>1563</v>
      </c>
      <c r="G39" s="222">
        <v>1583</v>
      </c>
      <c r="H39" s="222">
        <v>20</v>
      </c>
      <c r="I39" s="207">
        <f t="shared" si="6"/>
        <v>191.93857965451056</v>
      </c>
      <c r="J39" s="242">
        <f t="shared" si="7"/>
        <v>3838.7715930902114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43612</v>
      </c>
      <c r="D40" s="161" t="s">
        <v>8</v>
      </c>
      <c r="E40" s="161" t="s">
        <v>192</v>
      </c>
      <c r="F40" s="222">
        <v>277</v>
      </c>
      <c r="G40" s="222">
        <v>280</v>
      </c>
      <c r="H40" s="222">
        <v>-3</v>
      </c>
      <c r="I40" s="207">
        <f t="shared" si="6"/>
        <v>1083.0324909747292</v>
      </c>
      <c r="J40" s="242">
        <f t="shared" si="7"/>
        <v>-3249.0974729241875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43613</v>
      </c>
      <c r="D41" s="161" t="s">
        <v>9</v>
      </c>
      <c r="E41" s="161" t="s">
        <v>139</v>
      </c>
      <c r="F41" s="222">
        <v>152</v>
      </c>
      <c r="G41" s="223">
        <v>153.80000000000001</v>
      </c>
      <c r="H41" s="222">
        <v>1.8</v>
      </c>
      <c r="I41" s="207">
        <f t="shared" si="6"/>
        <v>1973.6842105263158</v>
      </c>
      <c r="J41" s="242">
        <f t="shared" si="7"/>
        <v>3552.6315789473688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43613</v>
      </c>
      <c r="D42" s="161" t="s">
        <v>8</v>
      </c>
      <c r="E42" s="161" t="s">
        <v>78</v>
      </c>
      <c r="F42" s="222">
        <v>1570</v>
      </c>
      <c r="G42" s="222">
        <v>1580</v>
      </c>
      <c r="H42" s="222">
        <v>-10</v>
      </c>
      <c r="I42" s="207">
        <f t="shared" si="6"/>
        <v>191.08280254777071</v>
      </c>
      <c r="J42" s="242">
        <f t="shared" si="7"/>
        <v>-1910.8280254777071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43614</v>
      </c>
      <c r="D43" s="161" t="s">
        <v>9</v>
      </c>
      <c r="E43" s="161" t="s">
        <v>139</v>
      </c>
      <c r="F43" s="222">
        <v>153.5</v>
      </c>
      <c r="G43" s="222">
        <v>155</v>
      </c>
      <c r="H43" s="222">
        <v>1.5</v>
      </c>
      <c r="I43" s="207">
        <f t="shared" si="6"/>
        <v>1954.3973941368079</v>
      </c>
      <c r="J43" s="242">
        <f t="shared" si="7"/>
        <v>2931.5960912052119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43614</v>
      </c>
      <c r="D44" s="161" t="s">
        <v>8</v>
      </c>
      <c r="E44" s="161" t="s">
        <v>549</v>
      </c>
      <c r="F44" s="222">
        <v>490</v>
      </c>
      <c r="G44" s="222">
        <v>486</v>
      </c>
      <c r="H44" s="222">
        <v>4</v>
      </c>
      <c r="I44" s="207">
        <f t="shared" si="6"/>
        <v>612.24489795918362</v>
      </c>
      <c r="J44" s="242">
        <f t="shared" si="7"/>
        <v>2448.9795918367345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43615</v>
      </c>
      <c r="D45" s="161" t="s">
        <v>9</v>
      </c>
      <c r="E45" s="161" t="s">
        <v>31</v>
      </c>
      <c r="F45" s="222">
        <v>1324</v>
      </c>
      <c r="G45" s="222">
        <v>1338</v>
      </c>
      <c r="H45" s="222">
        <v>14</v>
      </c>
      <c r="I45" s="207">
        <f t="shared" si="6"/>
        <v>226.58610271903322</v>
      </c>
      <c r="J45" s="242">
        <f t="shared" si="7"/>
        <v>3172.2054380664649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43615</v>
      </c>
      <c r="D46" s="161" t="s">
        <v>8</v>
      </c>
      <c r="E46" s="161" t="s">
        <v>365</v>
      </c>
      <c r="F46" s="222">
        <v>282</v>
      </c>
      <c r="G46" s="222">
        <v>276</v>
      </c>
      <c r="H46" s="222">
        <v>6</v>
      </c>
      <c r="I46" s="207">
        <f t="shared" si="6"/>
        <v>1063.8297872340424</v>
      </c>
      <c r="J46" s="242">
        <f t="shared" si="7"/>
        <v>6382.9787234042542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43616</v>
      </c>
      <c r="D47" s="161" t="s">
        <v>9</v>
      </c>
      <c r="E47" s="161" t="s">
        <v>129</v>
      </c>
      <c r="F47" s="222">
        <v>2190</v>
      </c>
      <c r="G47" s="222">
        <v>2170</v>
      </c>
      <c r="H47" s="222">
        <v>-20</v>
      </c>
      <c r="I47" s="207">
        <f t="shared" si="6"/>
        <v>136.98630136986301</v>
      </c>
      <c r="J47" s="242">
        <f t="shared" si="7"/>
        <v>-2739.7260273972602</v>
      </c>
      <c r="K47" s="153"/>
      <c r="V47" s="25">
        <f t="shared" si="3"/>
        <v>0</v>
      </c>
      <c r="W47" s="25">
        <f t="shared" si="4"/>
        <v>1</v>
      </c>
    </row>
    <row r="48" spans="1:23" x14ac:dyDescent="0.3">
      <c r="A48" s="147"/>
      <c r="B48" s="205">
        <f t="shared" si="5"/>
        <v>43</v>
      </c>
      <c r="C48" s="206">
        <v>43616</v>
      </c>
      <c r="D48" s="161" t="s">
        <v>8</v>
      </c>
      <c r="E48" s="161" t="s">
        <v>31</v>
      </c>
      <c r="F48" s="222">
        <v>1332</v>
      </c>
      <c r="G48" s="222">
        <v>1322</v>
      </c>
      <c r="H48" s="222">
        <v>10</v>
      </c>
      <c r="I48" s="207">
        <f t="shared" si="6"/>
        <v>225.22522522522522</v>
      </c>
      <c r="J48" s="242">
        <f t="shared" si="7"/>
        <v>2252.2522522522522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68167.047411233434</v>
      </c>
      <c r="K52" s="153"/>
      <c r="V52" s="25">
        <f>SUM(V6:V51)</f>
        <v>31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2699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43587</v>
      </c>
      <c r="D60" s="158" t="s">
        <v>9</v>
      </c>
      <c r="E60" s="158" t="s">
        <v>58</v>
      </c>
      <c r="F60" s="204">
        <v>770</v>
      </c>
      <c r="G60" s="230">
        <v>772.5</v>
      </c>
      <c r="H60" s="230">
        <v>2.5</v>
      </c>
      <c r="I60" s="204">
        <v>1200</v>
      </c>
      <c r="J60" s="241">
        <f t="shared" ref="J60:J83" si="15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43588</v>
      </c>
      <c r="D61" s="161" t="s">
        <v>9</v>
      </c>
      <c r="E61" s="161" t="s">
        <v>58</v>
      </c>
      <c r="F61" s="207">
        <v>760</v>
      </c>
      <c r="G61" s="222">
        <v>764.5</v>
      </c>
      <c r="H61" s="222">
        <v>4.5</v>
      </c>
      <c r="I61" s="207">
        <v>1200</v>
      </c>
      <c r="J61" s="242">
        <f t="shared" si="15"/>
        <v>5400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43591</v>
      </c>
      <c r="D62" s="161" t="s">
        <v>9</v>
      </c>
      <c r="E62" s="161" t="s">
        <v>58</v>
      </c>
      <c r="F62" s="222">
        <v>755</v>
      </c>
      <c r="G62" s="222">
        <v>758</v>
      </c>
      <c r="H62" s="222">
        <v>3</v>
      </c>
      <c r="I62" s="207">
        <v>1200</v>
      </c>
      <c r="J62" s="242">
        <f t="shared" si="15"/>
        <v>3600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43592</v>
      </c>
      <c r="D63" s="161" t="s">
        <v>9</v>
      </c>
      <c r="E63" s="161" t="s">
        <v>58</v>
      </c>
      <c r="F63" s="222">
        <v>756</v>
      </c>
      <c r="G63" s="222">
        <v>748</v>
      </c>
      <c r="H63" s="222">
        <v>8</v>
      </c>
      <c r="I63" s="207">
        <v>1200</v>
      </c>
      <c r="J63" s="242">
        <f t="shared" si="15"/>
        <v>9600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43593</v>
      </c>
      <c r="D64" s="161" t="s">
        <v>8</v>
      </c>
      <c r="E64" s="161" t="s">
        <v>58</v>
      </c>
      <c r="F64" s="222">
        <v>743</v>
      </c>
      <c r="G64" s="222">
        <v>749</v>
      </c>
      <c r="H64" s="222">
        <v>-6</v>
      </c>
      <c r="I64" s="207">
        <v>1200</v>
      </c>
      <c r="J64" s="242">
        <f t="shared" si="15"/>
        <v>-7200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43594</v>
      </c>
      <c r="D65" s="161" t="s">
        <v>8</v>
      </c>
      <c r="E65" s="161" t="s">
        <v>31</v>
      </c>
      <c r="F65" s="207">
        <v>1280</v>
      </c>
      <c r="G65" s="222">
        <v>1260</v>
      </c>
      <c r="H65" s="222">
        <v>20</v>
      </c>
      <c r="I65" s="207">
        <v>500</v>
      </c>
      <c r="J65" s="242">
        <f t="shared" si="15"/>
        <v>10000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43595</v>
      </c>
      <c r="D66" s="161" t="s">
        <v>9</v>
      </c>
      <c r="E66" s="161" t="s">
        <v>2707</v>
      </c>
      <c r="F66" s="207">
        <v>706</v>
      </c>
      <c r="G66" s="222">
        <v>710</v>
      </c>
      <c r="H66" s="222">
        <v>4</v>
      </c>
      <c r="I66" s="207">
        <v>500</v>
      </c>
      <c r="J66" s="242">
        <f t="shared" si="15"/>
        <v>2000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43598</v>
      </c>
      <c r="D67" s="161" t="s">
        <v>8</v>
      </c>
      <c r="E67" s="161" t="s">
        <v>58</v>
      </c>
      <c r="F67" s="207">
        <v>744</v>
      </c>
      <c r="G67" s="222">
        <v>732</v>
      </c>
      <c r="H67" s="222">
        <v>12</v>
      </c>
      <c r="I67" s="207">
        <v>1200</v>
      </c>
      <c r="J67" s="242">
        <f t="shared" si="15"/>
        <v>14400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43599</v>
      </c>
      <c r="D68" s="161" t="s">
        <v>8</v>
      </c>
      <c r="E68" s="161" t="s">
        <v>58</v>
      </c>
      <c r="F68" s="222">
        <v>734</v>
      </c>
      <c r="G68" s="222">
        <v>725.5</v>
      </c>
      <c r="H68" s="222">
        <v>8.5</v>
      </c>
      <c r="I68" s="207">
        <v>1200</v>
      </c>
      <c r="J68" s="242">
        <f t="shared" si="15"/>
        <v>10200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43600</v>
      </c>
      <c r="D69" s="161" t="s">
        <v>8</v>
      </c>
      <c r="E69" s="161" t="s">
        <v>58</v>
      </c>
      <c r="F69" s="222">
        <v>737</v>
      </c>
      <c r="G69" s="222">
        <v>725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43601</v>
      </c>
      <c r="D70" s="161" t="s">
        <v>8</v>
      </c>
      <c r="E70" s="161" t="s">
        <v>58</v>
      </c>
      <c r="F70" s="161">
        <v>724</v>
      </c>
      <c r="G70" s="222">
        <v>730</v>
      </c>
      <c r="H70" s="222">
        <v>-6</v>
      </c>
      <c r="I70" s="207">
        <v>1200</v>
      </c>
      <c r="J70" s="242">
        <f t="shared" si="15"/>
        <v>-7200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43602</v>
      </c>
      <c r="D71" s="161" t="s">
        <v>8</v>
      </c>
      <c r="E71" s="161" t="s">
        <v>58</v>
      </c>
      <c r="F71" s="222">
        <v>732</v>
      </c>
      <c r="G71" s="222">
        <v>730</v>
      </c>
      <c r="H71" s="222">
        <v>2</v>
      </c>
      <c r="I71" s="207">
        <v>1200</v>
      </c>
      <c r="J71" s="242">
        <f t="shared" si="15"/>
        <v>2400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43605</v>
      </c>
      <c r="D72" s="161" t="s">
        <v>8</v>
      </c>
      <c r="E72" s="161" t="s">
        <v>31</v>
      </c>
      <c r="F72" s="222">
        <v>1316</v>
      </c>
      <c r="G72" s="222">
        <v>1326</v>
      </c>
      <c r="H72" s="222">
        <v>-10</v>
      </c>
      <c r="I72" s="207">
        <v>1200</v>
      </c>
      <c r="J72" s="242">
        <f t="shared" si="15"/>
        <v>-12000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43606</v>
      </c>
      <c r="D73" s="161" t="s">
        <v>9</v>
      </c>
      <c r="E73" s="161" t="s">
        <v>58</v>
      </c>
      <c r="F73" s="223">
        <v>786</v>
      </c>
      <c r="G73" s="222">
        <v>780</v>
      </c>
      <c r="H73" s="255">
        <v>-6</v>
      </c>
      <c r="I73" s="207">
        <v>1200</v>
      </c>
      <c r="J73" s="242">
        <f t="shared" si="15"/>
        <v>-7200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43607</v>
      </c>
      <c r="D74" s="161" t="s">
        <v>9</v>
      </c>
      <c r="E74" s="161" t="s">
        <v>78</v>
      </c>
      <c r="F74" s="222">
        <v>1452</v>
      </c>
      <c r="G74" s="222">
        <v>1472</v>
      </c>
      <c r="H74" s="255">
        <v>20</v>
      </c>
      <c r="I74" s="207">
        <v>375</v>
      </c>
      <c r="J74" s="242">
        <f t="shared" si="15"/>
        <v>7500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43608</v>
      </c>
      <c r="D75" s="161" t="s">
        <v>9</v>
      </c>
      <c r="E75" s="161" t="s">
        <v>78</v>
      </c>
      <c r="F75" s="222">
        <v>1550</v>
      </c>
      <c r="G75" s="222">
        <v>1560</v>
      </c>
      <c r="H75" s="222">
        <v>10</v>
      </c>
      <c r="I75" s="207">
        <v>375</v>
      </c>
      <c r="J75" s="242">
        <f t="shared" si="15"/>
        <v>3750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43609</v>
      </c>
      <c r="D76" s="161" t="s">
        <v>9</v>
      </c>
      <c r="E76" s="161" t="s">
        <v>78</v>
      </c>
      <c r="F76" s="222">
        <v>1550</v>
      </c>
      <c r="G76" s="222">
        <v>1560</v>
      </c>
      <c r="H76" s="222">
        <v>10</v>
      </c>
      <c r="I76" s="207">
        <v>375</v>
      </c>
      <c r="J76" s="242">
        <f t="shared" si="15"/>
        <v>3750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43609</v>
      </c>
      <c r="D77" s="161" t="s">
        <v>9</v>
      </c>
      <c r="E77" s="161" t="s">
        <v>78</v>
      </c>
      <c r="F77" s="222">
        <v>1513</v>
      </c>
      <c r="G77" s="222">
        <v>1533</v>
      </c>
      <c r="H77" s="222">
        <v>20</v>
      </c>
      <c r="I77" s="207">
        <v>375</v>
      </c>
      <c r="J77" s="242">
        <f t="shared" si="15"/>
        <v>7500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43612</v>
      </c>
      <c r="D78" s="161" t="s">
        <v>9</v>
      </c>
      <c r="E78" s="161" t="s">
        <v>78</v>
      </c>
      <c r="F78" s="222">
        <v>1565</v>
      </c>
      <c r="G78" s="222">
        <v>1585</v>
      </c>
      <c r="H78" s="222">
        <v>20</v>
      </c>
      <c r="I78" s="207">
        <v>375</v>
      </c>
      <c r="J78" s="242">
        <f t="shared" si="15"/>
        <v>7500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43613</v>
      </c>
      <c r="D79" s="161" t="s">
        <v>8</v>
      </c>
      <c r="E79" s="161" t="s">
        <v>78</v>
      </c>
      <c r="F79" s="222">
        <v>1570</v>
      </c>
      <c r="G79" s="222">
        <v>1580</v>
      </c>
      <c r="H79" s="222">
        <v>-10</v>
      </c>
      <c r="I79" s="207">
        <v>375</v>
      </c>
      <c r="J79" s="242">
        <f t="shared" si="15"/>
        <v>-3750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43614</v>
      </c>
      <c r="D80" s="161" t="s">
        <v>9</v>
      </c>
      <c r="E80" s="161" t="s">
        <v>31</v>
      </c>
      <c r="F80" s="222">
        <v>1330</v>
      </c>
      <c r="G80" s="222">
        <v>1334.5</v>
      </c>
      <c r="H80" s="222">
        <v>4.5</v>
      </c>
      <c r="I80" s="207">
        <v>500</v>
      </c>
      <c r="J80" s="242">
        <f t="shared" si="15"/>
        <v>2250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43615</v>
      </c>
      <c r="D81" s="161" t="s">
        <v>9</v>
      </c>
      <c r="E81" s="161" t="s">
        <v>58</v>
      </c>
      <c r="F81" s="222">
        <v>805</v>
      </c>
      <c r="G81" s="222">
        <v>812</v>
      </c>
      <c r="H81" s="222">
        <v>7</v>
      </c>
      <c r="I81" s="207">
        <v>1200</v>
      </c>
      <c r="J81" s="242">
        <f t="shared" si="15"/>
        <v>8400</v>
      </c>
      <c r="K81" s="153"/>
    </row>
    <row r="82" spans="1:23" x14ac:dyDescent="0.3">
      <c r="A82" s="147"/>
      <c r="B82" s="205">
        <f t="shared" si="18"/>
        <v>23</v>
      </c>
      <c r="C82" s="206">
        <v>43616</v>
      </c>
      <c r="D82" s="161" t="s">
        <v>8</v>
      </c>
      <c r="E82" s="161" t="s">
        <v>31</v>
      </c>
      <c r="F82" s="222">
        <v>1334</v>
      </c>
      <c r="G82" s="222">
        <v>1320</v>
      </c>
      <c r="H82" s="222">
        <v>14</v>
      </c>
      <c r="I82" s="207">
        <v>500</v>
      </c>
      <c r="J82" s="242">
        <f t="shared" si="15"/>
        <v>7000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85300</v>
      </c>
      <c r="K84" s="153"/>
      <c r="V84" s="25">
        <f>SUM(V60:V83)</f>
        <v>17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2697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43587</v>
      </c>
      <c r="D92" s="185" t="s">
        <v>8</v>
      </c>
      <c r="E92" s="185" t="s">
        <v>39</v>
      </c>
      <c r="F92" s="219">
        <v>11820</v>
      </c>
      <c r="G92" s="219">
        <v>11760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43588</v>
      </c>
      <c r="D93" s="161" t="s">
        <v>9</v>
      </c>
      <c r="E93" s="161" t="s">
        <v>39</v>
      </c>
      <c r="F93" s="207">
        <v>11780</v>
      </c>
      <c r="G93" s="207">
        <v>11822</v>
      </c>
      <c r="H93" s="161">
        <v>42</v>
      </c>
      <c r="I93" s="207">
        <v>150</v>
      </c>
      <c r="J93" s="242">
        <f t="shared" si="19"/>
        <v>6300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43591</v>
      </c>
      <c r="D94" s="161" t="s">
        <v>8</v>
      </c>
      <c r="E94" s="161" t="s">
        <v>39</v>
      </c>
      <c r="F94" s="207">
        <v>11680</v>
      </c>
      <c r="G94" s="207">
        <v>11635</v>
      </c>
      <c r="H94" s="161">
        <v>45</v>
      </c>
      <c r="I94" s="207">
        <v>150</v>
      </c>
      <c r="J94" s="242">
        <f t="shared" si="19"/>
        <v>6750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43592</v>
      </c>
      <c r="D95" s="161" t="s">
        <v>8</v>
      </c>
      <c r="E95" s="161" t="s">
        <v>39</v>
      </c>
      <c r="F95" s="207">
        <v>11670</v>
      </c>
      <c r="G95" s="207">
        <v>11610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43593</v>
      </c>
      <c r="D96" s="161" t="s">
        <v>8</v>
      </c>
      <c r="E96" s="161" t="s">
        <v>39</v>
      </c>
      <c r="F96" s="207">
        <v>11480</v>
      </c>
      <c r="G96" s="207">
        <v>11480</v>
      </c>
      <c r="H96" s="161">
        <v>30</v>
      </c>
      <c r="I96" s="207">
        <v>150</v>
      </c>
      <c r="J96" s="242">
        <f t="shared" si="19"/>
        <v>4500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43594</v>
      </c>
      <c r="D97" s="161" t="s">
        <v>8</v>
      </c>
      <c r="E97" s="161" t="s">
        <v>39</v>
      </c>
      <c r="F97" s="207">
        <v>11370</v>
      </c>
      <c r="G97" s="207">
        <v>11310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43595</v>
      </c>
      <c r="D98" s="161" t="s">
        <v>8</v>
      </c>
      <c r="E98" s="161" t="s">
        <v>39</v>
      </c>
      <c r="F98" s="207">
        <v>11340</v>
      </c>
      <c r="G98" s="207">
        <v>11370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43598</v>
      </c>
      <c r="D99" s="161" t="s">
        <v>8</v>
      </c>
      <c r="E99" s="161" t="s">
        <v>39</v>
      </c>
      <c r="F99" s="207">
        <v>11310</v>
      </c>
      <c r="G99" s="207">
        <v>11250</v>
      </c>
      <c r="H99" s="161">
        <v>60</v>
      </c>
      <c r="I99" s="207">
        <v>150</v>
      </c>
      <c r="J99" s="242">
        <f t="shared" si="19"/>
        <v>9000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43599</v>
      </c>
      <c r="D100" s="161" t="s">
        <v>8</v>
      </c>
      <c r="E100" s="161" t="s">
        <v>39</v>
      </c>
      <c r="F100" s="207">
        <v>11170</v>
      </c>
      <c r="G100" s="207">
        <v>11150</v>
      </c>
      <c r="H100" s="161">
        <v>20</v>
      </c>
      <c r="I100" s="207">
        <v>150</v>
      </c>
      <c r="J100" s="242">
        <f t="shared" si="19"/>
        <v>3000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43600</v>
      </c>
      <c r="D101" s="161" t="s">
        <v>8</v>
      </c>
      <c r="E101" s="161" t="s">
        <v>39</v>
      </c>
      <c r="F101" s="207">
        <v>11260</v>
      </c>
      <c r="G101" s="207">
        <v>11290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43601</v>
      </c>
      <c r="D102" s="161" t="s">
        <v>8</v>
      </c>
      <c r="E102" s="161" t="s">
        <v>39</v>
      </c>
      <c r="F102" s="207">
        <v>11175</v>
      </c>
      <c r="G102" s="207">
        <v>11160</v>
      </c>
      <c r="H102" s="161">
        <v>15</v>
      </c>
      <c r="I102" s="207">
        <v>150</v>
      </c>
      <c r="J102" s="242">
        <f t="shared" si="19"/>
        <v>2250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43602</v>
      </c>
      <c r="D103" s="161" t="s">
        <v>8</v>
      </c>
      <c r="E103" s="161" t="s">
        <v>39</v>
      </c>
      <c r="F103" s="207">
        <v>11315</v>
      </c>
      <c r="G103" s="207">
        <v>11375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43605</v>
      </c>
      <c r="D104" s="161" t="s">
        <v>9</v>
      </c>
      <c r="E104" s="161" t="s">
        <v>39</v>
      </c>
      <c r="F104" s="207">
        <v>11690</v>
      </c>
      <c r="G104" s="207">
        <v>11750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43606</v>
      </c>
      <c r="D105" s="161" t="s">
        <v>9</v>
      </c>
      <c r="E105" s="161" t="s">
        <v>39</v>
      </c>
      <c r="F105" s="207">
        <v>11855</v>
      </c>
      <c r="G105" s="207">
        <v>11825</v>
      </c>
      <c r="H105" s="161">
        <v>-30</v>
      </c>
      <c r="I105" s="207">
        <v>150</v>
      </c>
      <c r="J105" s="242">
        <f t="shared" si="19"/>
        <v>-4500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43607</v>
      </c>
      <c r="D106" s="161" t="s">
        <v>9</v>
      </c>
      <c r="E106" s="161" t="s">
        <v>39</v>
      </c>
      <c r="F106" s="207">
        <v>11755</v>
      </c>
      <c r="G106" s="207">
        <v>11815</v>
      </c>
      <c r="H106" s="161">
        <v>60</v>
      </c>
      <c r="I106" s="207">
        <v>150</v>
      </c>
      <c r="J106" s="242">
        <f t="shared" si="19"/>
        <v>9000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43609</v>
      </c>
      <c r="D107" s="161" t="s">
        <v>9</v>
      </c>
      <c r="E107" s="161" t="s">
        <v>39</v>
      </c>
      <c r="F107" s="207">
        <v>11820</v>
      </c>
      <c r="G107" s="207">
        <v>11860</v>
      </c>
      <c r="H107" s="161">
        <v>40</v>
      </c>
      <c r="I107" s="207">
        <v>150</v>
      </c>
      <c r="J107" s="242">
        <f t="shared" si="19"/>
        <v>6000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43612</v>
      </c>
      <c r="D108" s="161" t="s">
        <v>9</v>
      </c>
      <c r="E108" s="161" t="s">
        <v>39</v>
      </c>
      <c r="F108" s="207">
        <v>11930</v>
      </c>
      <c r="G108" s="207">
        <v>11960</v>
      </c>
      <c r="H108" s="161">
        <v>30</v>
      </c>
      <c r="I108" s="207">
        <v>150</v>
      </c>
      <c r="J108" s="242">
        <f t="shared" si="19"/>
        <v>4500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43613</v>
      </c>
      <c r="D109" s="161" t="s">
        <v>9</v>
      </c>
      <c r="E109" s="161" t="s">
        <v>39</v>
      </c>
      <c r="F109" s="207">
        <v>11930</v>
      </c>
      <c r="G109" s="207">
        <v>11900</v>
      </c>
      <c r="H109" s="161">
        <v>-30</v>
      </c>
      <c r="I109" s="207">
        <v>150</v>
      </c>
      <c r="J109" s="242">
        <f t="shared" si="19"/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43614</v>
      </c>
      <c r="D110" s="161" t="s">
        <v>9</v>
      </c>
      <c r="E110" s="161" t="s">
        <v>39</v>
      </c>
      <c r="F110" s="207">
        <v>11900</v>
      </c>
      <c r="G110" s="207">
        <v>11930</v>
      </c>
      <c r="H110" s="161">
        <v>30</v>
      </c>
      <c r="I110" s="207">
        <v>150</v>
      </c>
      <c r="J110" s="242">
        <f>I110*H110</f>
        <v>4500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43615</v>
      </c>
      <c r="D111" s="161" t="s">
        <v>9</v>
      </c>
      <c r="E111" s="161" t="s">
        <v>39</v>
      </c>
      <c r="F111" s="207">
        <v>11900</v>
      </c>
      <c r="G111" s="207">
        <v>11960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43616</v>
      </c>
      <c r="D112" s="161" t="s">
        <v>8</v>
      </c>
      <c r="E112" s="161" t="s">
        <v>39</v>
      </c>
      <c r="F112" s="207">
        <v>12030</v>
      </c>
      <c r="G112" s="207">
        <v>11970</v>
      </c>
      <c r="H112" s="161">
        <v>60</v>
      </c>
      <c r="I112" s="207">
        <v>150</v>
      </c>
      <c r="J112" s="242">
        <f t="shared" si="19"/>
        <v>9000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100800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2698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43587</v>
      </c>
      <c r="D123" s="185" t="s">
        <v>9</v>
      </c>
      <c r="E123" s="185" t="s">
        <v>2455</v>
      </c>
      <c r="F123" s="219">
        <v>124</v>
      </c>
      <c r="G123" s="219">
        <v>164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43588</v>
      </c>
      <c r="D124" s="161" t="s">
        <v>9</v>
      </c>
      <c r="E124" s="161" t="s">
        <v>2570</v>
      </c>
      <c r="F124" s="207">
        <v>95</v>
      </c>
      <c r="G124" s="207">
        <v>115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43591</v>
      </c>
      <c r="D125" s="161" t="s">
        <v>9</v>
      </c>
      <c r="E125" s="161" t="s">
        <v>2555</v>
      </c>
      <c r="F125" s="207">
        <v>93</v>
      </c>
      <c r="G125" s="207">
        <v>123</v>
      </c>
      <c r="H125" s="161">
        <v>30</v>
      </c>
      <c r="I125" s="207">
        <v>300</v>
      </c>
      <c r="J125" s="242">
        <f t="shared" si="23"/>
        <v>9000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43592</v>
      </c>
      <c r="D126" s="161" t="s">
        <v>9</v>
      </c>
      <c r="E126" s="161" t="s">
        <v>2555</v>
      </c>
      <c r="F126" s="207">
        <v>95</v>
      </c>
      <c r="G126" s="207">
        <v>105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43593</v>
      </c>
      <c r="D127" s="161" t="s">
        <v>9</v>
      </c>
      <c r="E127" s="161" t="s">
        <v>2571</v>
      </c>
      <c r="F127" s="207">
        <v>160</v>
      </c>
      <c r="G127" s="207">
        <v>190</v>
      </c>
      <c r="H127" s="161">
        <v>30</v>
      </c>
      <c r="I127" s="207">
        <v>300</v>
      </c>
      <c r="J127" s="242">
        <f t="shared" si="23"/>
        <v>9000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43594</v>
      </c>
      <c r="D128" s="161" t="s">
        <v>9</v>
      </c>
      <c r="E128" s="161" t="s">
        <v>2545</v>
      </c>
      <c r="F128" s="207">
        <v>170</v>
      </c>
      <c r="G128" s="222">
        <v>150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43595</v>
      </c>
      <c r="D129" s="161" t="s">
        <v>9</v>
      </c>
      <c r="E129" s="161" t="s">
        <v>2548</v>
      </c>
      <c r="F129" s="207">
        <v>125</v>
      </c>
      <c r="G129" s="207">
        <v>165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43598</v>
      </c>
      <c r="D130" s="161" t="s">
        <v>9</v>
      </c>
      <c r="E130" s="161" t="s">
        <v>2548</v>
      </c>
      <c r="F130" s="207">
        <v>145</v>
      </c>
      <c r="G130" s="207">
        <v>185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43599</v>
      </c>
      <c r="D131" s="161" t="s">
        <v>9</v>
      </c>
      <c r="E131" s="161" t="s">
        <v>2529</v>
      </c>
      <c r="F131" s="207">
        <v>105</v>
      </c>
      <c r="G131" s="207">
        <v>115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43600</v>
      </c>
      <c r="D132" s="161" t="s">
        <v>9</v>
      </c>
      <c r="E132" s="161" t="s">
        <v>2531</v>
      </c>
      <c r="F132" s="207">
        <v>85</v>
      </c>
      <c r="G132" s="222">
        <v>65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43601</v>
      </c>
      <c r="D133" s="161" t="s">
        <v>9</v>
      </c>
      <c r="E133" s="161" t="s">
        <v>2531</v>
      </c>
      <c r="F133" s="207">
        <v>150</v>
      </c>
      <c r="G133" s="207">
        <v>130</v>
      </c>
      <c r="H133" s="161">
        <v>-20</v>
      </c>
      <c r="I133" s="207">
        <v>300</v>
      </c>
      <c r="J133" s="242">
        <f t="shared" si="23"/>
        <v>-6000</v>
      </c>
      <c r="K133" s="153"/>
      <c r="V133" s="25">
        <f t="shared" si="24"/>
        <v>0</v>
      </c>
      <c r="W133" s="25">
        <f t="shared" si="25"/>
        <v>1</v>
      </c>
    </row>
    <row r="134" spans="1:23" x14ac:dyDescent="0.3">
      <c r="A134" s="147"/>
      <c r="B134" s="205">
        <f t="shared" si="26"/>
        <v>12</v>
      </c>
      <c r="C134" s="206">
        <v>43602</v>
      </c>
      <c r="D134" s="161" t="s">
        <v>9</v>
      </c>
      <c r="E134" s="161" t="s">
        <v>2536</v>
      </c>
      <c r="F134" s="207">
        <v>250</v>
      </c>
      <c r="G134" s="207">
        <v>290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43605</v>
      </c>
      <c r="D135" s="161" t="s">
        <v>9</v>
      </c>
      <c r="E135" s="161" t="s">
        <v>2570</v>
      </c>
      <c r="F135" s="207">
        <v>180</v>
      </c>
      <c r="G135" s="207">
        <v>220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43606</v>
      </c>
      <c r="D136" s="161" t="s">
        <v>9</v>
      </c>
      <c r="E136" s="161" t="s">
        <v>2714</v>
      </c>
      <c r="F136" s="207">
        <v>175</v>
      </c>
      <c r="G136" s="207">
        <v>155</v>
      </c>
      <c r="H136" s="161">
        <v>-20</v>
      </c>
      <c r="I136" s="207">
        <v>300</v>
      </c>
      <c r="J136" s="242">
        <f>I136*H136</f>
        <v>-6000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43607</v>
      </c>
      <c r="D137" s="161" t="s">
        <v>9</v>
      </c>
      <c r="E137" s="161" t="s">
        <v>2716</v>
      </c>
      <c r="F137" s="207">
        <v>190</v>
      </c>
      <c r="G137" s="207">
        <v>210</v>
      </c>
      <c r="H137" s="161">
        <v>20</v>
      </c>
      <c r="I137" s="207">
        <v>300</v>
      </c>
      <c r="J137" s="242">
        <f t="shared" si="23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43609</v>
      </c>
      <c r="D138" s="161" t="s">
        <v>9</v>
      </c>
      <c r="E138" s="161" t="s">
        <v>2716</v>
      </c>
      <c r="F138" s="207">
        <v>105</v>
      </c>
      <c r="G138" s="207">
        <v>125</v>
      </c>
      <c r="H138" s="161">
        <v>20</v>
      </c>
      <c r="I138" s="207">
        <v>300</v>
      </c>
      <c r="J138" s="242">
        <f t="shared" si="23"/>
        <v>6000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43612</v>
      </c>
      <c r="D139" s="161" t="s">
        <v>9</v>
      </c>
      <c r="E139" s="161" t="s">
        <v>2714</v>
      </c>
      <c r="F139" s="207">
        <v>95</v>
      </c>
      <c r="G139" s="207">
        <v>115</v>
      </c>
      <c r="H139" s="161">
        <v>20</v>
      </c>
      <c r="I139" s="207">
        <v>300</v>
      </c>
      <c r="J139" s="242">
        <f t="shared" si="23"/>
        <v>6000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43613</v>
      </c>
      <c r="D140" s="161" t="s">
        <v>9</v>
      </c>
      <c r="E140" s="161" t="s">
        <v>2716</v>
      </c>
      <c r="F140" s="207">
        <v>145</v>
      </c>
      <c r="G140" s="207">
        <v>125</v>
      </c>
      <c r="H140" s="161">
        <v>-20</v>
      </c>
      <c r="I140" s="207">
        <v>300</v>
      </c>
      <c r="J140" s="242">
        <f t="shared" si="23"/>
        <v>-6000</v>
      </c>
      <c r="K140" s="153"/>
      <c r="V140" s="25">
        <f t="shared" si="24"/>
        <v>0</v>
      </c>
      <c r="W140" s="25">
        <f t="shared" si="25"/>
        <v>1</v>
      </c>
    </row>
    <row r="141" spans="1:23" x14ac:dyDescent="0.3">
      <c r="A141" s="147"/>
      <c r="B141" s="205">
        <f t="shared" si="26"/>
        <v>19</v>
      </c>
      <c r="C141" s="206">
        <v>43614</v>
      </c>
      <c r="D141" s="161" t="s">
        <v>9</v>
      </c>
      <c r="E141" s="161" t="s">
        <v>2716</v>
      </c>
      <c r="F141" s="207">
        <v>127</v>
      </c>
      <c r="G141" s="207">
        <v>107</v>
      </c>
      <c r="H141" s="161">
        <v>-20</v>
      </c>
      <c r="I141" s="207">
        <v>300</v>
      </c>
      <c r="J141" s="242">
        <f t="shared" si="23"/>
        <v>-6000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43615</v>
      </c>
      <c r="D142" s="161" t="s">
        <v>9</v>
      </c>
      <c r="E142" s="161" t="s">
        <v>2716</v>
      </c>
      <c r="F142" s="207">
        <v>130</v>
      </c>
      <c r="G142" s="207">
        <v>158</v>
      </c>
      <c r="H142" s="161">
        <v>28</v>
      </c>
      <c r="I142" s="207">
        <v>300</v>
      </c>
      <c r="J142" s="242">
        <f t="shared" si="23"/>
        <v>8400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43616</v>
      </c>
      <c r="D143" s="161" t="s">
        <v>9</v>
      </c>
      <c r="E143" s="161" t="s">
        <v>2725</v>
      </c>
      <c r="F143" s="207">
        <v>140</v>
      </c>
      <c r="G143" s="207">
        <v>180</v>
      </c>
      <c r="H143" s="161">
        <v>40</v>
      </c>
      <c r="I143" s="207">
        <v>300</v>
      </c>
      <c r="J143" s="242">
        <f t="shared" si="23"/>
        <v>12000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92400</v>
      </c>
      <c r="K146" s="153"/>
      <c r="V146" s="25">
        <f>SUM(V123:V145)</f>
        <v>15</v>
      </c>
      <c r="W146" s="25">
        <f>SUM(W123:W145)</f>
        <v>6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2698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43587</v>
      </c>
      <c r="D154" s="185" t="s">
        <v>8</v>
      </c>
      <c r="E154" s="185" t="s">
        <v>301</v>
      </c>
      <c r="F154" s="219">
        <v>30000</v>
      </c>
      <c r="G154" s="219">
        <v>29800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43588</v>
      </c>
      <c r="D155" s="161" t="s">
        <v>9</v>
      </c>
      <c r="E155" s="161" t="s">
        <v>301</v>
      </c>
      <c r="F155" s="207">
        <v>29950</v>
      </c>
      <c r="G155" s="207">
        <v>30150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43591</v>
      </c>
      <c r="D156" s="161" t="s">
        <v>8</v>
      </c>
      <c r="E156" s="161" t="s">
        <v>301</v>
      </c>
      <c r="F156" s="207">
        <v>29820</v>
      </c>
      <c r="G156" s="207">
        <v>29770</v>
      </c>
      <c r="H156" s="161">
        <v>50</v>
      </c>
      <c r="I156" s="207">
        <v>40</v>
      </c>
      <c r="J156" s="242">
        <f t="shared" si="27"/>
        <v>2000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43592</v>
      </c>
      <c r="D157" s="161" t="s">
        <v>8</v>
      </c>
      <c r="E157" s="161" t="s">
        <v>301</v>
      </c>
      <c r="F157" s="207">
        <v>29900</v>
      </c>
      <c r="G157" s="207">
        <v>29700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43593</v>
      </c>
      <c r="D158" s="161" t="s">
        <v>8</v>
      </c>
      <c r="E158" s="161" t="s">
        <v>301</v>
      </c>
      <c r="F158" s="207">
        <v>29300</v>
      </c>
      <c r="G158" s="207">
        <v>29200</v>
      </c>
      <c r="H158" s="161">
        <v>100</v>
      </c>
      <c r="I158" s="207">
        <v>40</v>
      </c>
      <c r="J158" s="242">
        <f t="shared" si="27"/>
        <v>4000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43594</v>
      </c>
      <c r="D159" s="161" t="s">
        <v>8</v>
      </c>
      <c r="E159" s="161" t="s">
        <v>301</v>
      </c>
      <c r="F159" s="207">
        <v>29050</v>
      </c>
      <c r="G159" s="207">
        <v>29150</v>
      </c>
      <c r="H159" s="161">
        <v>-100</v>
      </c>
      <c r="I159" s="207">
        <v>40</v>
      </c>
      <c r="J159" s="242">
        <f t="shared" si="27"/>
        <v>-4000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43595</v>
      </c>
      <c r="D160" s="161" t="s">
        <v>8</v>
      </c>
      <c r="E160" s="161" t="s">
        <v>301</v>
      </c>
      <c r="F160" s="207">
        <v>29060</v>
      </c>
      <c r="G160" s="207">
        <v>29160</v>
      </c>
      <c r="H160" s="161">
        <v>-100</v>
      </c>
      <c r="I160" s="207">
        <v>40</v>
      </c>
      <c r="J160" s="242">
        <f t="shared" si="27"/>
        <v>-4000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43598</v>
      </c>
      <c r="D161" s="161" t="s">
        <v>8</v>
      </c>
      <c r="E161" s="161" t="s">
        <v>301</v>
      </c>
      <c r="F161" s="207">
        <v>29050</v>
      </c>
      <c r="G161" s="207">
        <v>28850</v>
      </c>
      <c r="H161" s="161">
        <v>200</v>
      </c>
      <c r="I161" s="207">
        <v>40</v>
      </c>
      <c r="J161" s="242">
        <f t="shared" si="27"/>
        <v>8000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43599</v>
      </c>
      <c r="D162" s="161" t="s">
        <v>8</v>
      </c>
      <c r="E162" s="161" t="s">
        <v>301</v>
      </c>
      <c r="F162" s="207">
        <v>28800</v>
      </c>
      <c r="G162" s="207">
        <v>28752</v>
      </c>
      <c r="H162" s="161">
        <v>48</v>
      </c>
      <c r="I162" s="207">
        <v>40</v>
      </c>
      <c r="J162" s="242">
        <f t="shared" si="27"/>
        <v>1920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43600</v>
      </c>
      <c r="D163" s="161" t="s">
        <v>8</v>
      </c>
      <c r="E163" s="161" t="s">
        <v>301</v>
      </c>
      <c r="F163" s="207">
        <v>29000</v>
      </c>
      <c r="G163" s="207">
        <v>28800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43601</v>
      </c>
      <c r="D164" s="161" t="s">
        <v>8</v>
      </c>
      <c r="E164" s="161" t="s">
        <v>301</v>
      </c>
      <c r="F164" s="207">
        <v>28620</v>
      </c>
      <c r="G164" s="207">
        <v>28720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43602</v>
      </c>
      <c r="D165" s="161" t="s">
        <v>9</v>
      </c>
      <c r="E165" s="161" t="s">
        <v>301</v>
      </c>
      <c r="F165" s="207">
        <v>29050</v>
      </c>
      <c r="G165" s="207">
        <v>29250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43605</v>
      </c>
      <c r="D166" s="161" t="s">
        <v>9</v>
      </c>
      <c r="E166" s="161" t="s">
        <v>301</v>
      </c>
      <c r="F166" s="207">
        <v>30450</v>
      </c>
      <c r="G166" s="207">
        <v>30350</v>
      </c>
      <c r="H166" s="161">
        <v>-100</v>
      </c>
      <c r="I166" s="207">
        <v>40</v>
      </c>
      <c r="J166" s="242">
        <f t="shared" si="27"/>
        <v>-4000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43606</v>
      </c>
      <c r="D167" s="161" t="s">
        <v>9</v>
      </c>
      <c r="E167" s="161" t="s">
        <v>301</v>
      </c>
      <c r="F167" s="207">
        <v>30800</v>
      </c>
      <c r="G167" s="207">
        <v>30700</v>
      </c>
      <c r="H167" s="161">
        <v>-100</v>
      </c>
      <c r="I167" s="207">
        <v>40</v>
      </c>
      <c r="J167" s="242">
        <f t="shared" si="27"/>
        <v>-4000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43607</v>
      </c>
      <c r="D168" s="161" t="s">
        <v>9</v>
      </c>
      <c r="E168" s="161" t="s">
        <v>301</v>
      </c>
      <c r="F168" s="207">
        <v>30500</v>
      </c>
      <c r="G168" s="207">
        <v>30700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43608</v>
      </c>
      <c r="D169" s="161" t="s">
        <v>9</v>
      </c>
      <c r="E169" s="161" t="s">
        <v>301</v>
      </c>
      <c r="F169" s="207">
        <v>31700</v>
      </c>
      <c r="G169" s="207">
        <v>31775</v>
      </c>
      <c r="H169" s="161">
        <v>75</v>
      </c>
      <c r="I169" s="207">
        <v>40</v>
      </c>
      <c r="J169" s="242">
        <f t="shared" si="27"/>
        <v>3000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43609</v>
      </c>
      <c r="D170" s="161" t="s">
        <v>8</v>
      </c>
      <c r="E170" s="161" t="s">
        <v>301</v>
      </c>
      <c r="F170" s="207">
        <v>30720</v>
      </c>
      <c r="G170" s="207">
        <v>30820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43612</v>
      </c>
      <c r="D171" s="161" t="s">
        <v>9</v>
      </c>
      <c r="E171" s="161" t="s">
        <v>301</v>
      </c>
      <c r="F171" s="207">
        <v>31500</v>
      </c>
      <c r="G171" s="207">
        <v>31550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43613</v>
      </c>
      <c r="D172" s="161" t="s">
        <v>9</v>
      </c>
      <c r="E172" s="161" t="s">
        <v>301</v>
      </c>
      <c r="F172" s="207">
        <v>31500</v>
      </c>
      <c r="G172" s="207">
        <v>31400</v>
      </c>
      <c r="H172" s="161">
        <v>-100</v>
      </c>
      <c r="I172" s="207">
        <v>40</v>
      </c>
      <c r="J172" s="242">
        <f t="shared" si="27"/>
        <v>-4000</v>
      </c>
      <c r="K172" s="153"/>
      <c r="V172" s="25">
        <f t="shared" si="28"/>
        <v>0</v>
      </c>
      <c r="W172" s="25">
        <f t="shared" si="29"/>
        <v>1</v>
      </c>
    </row>
    <row r="173" spans="1:23" x14ac:dyDescent="0.3">
      <c r="A173" s="147"/>
      <c r="B173" s="205">
        <f t="shared" si="30"/>
        <v>20</v>
      </c>
      <c r="C173" s="206">
        <v>43614</v>
      </c>
      <c r="D173" s="161" t="s">
        <v>9</v>
      </c>
      <c r="E173" s="161" t="s">
        <v>301</v>
      </c>
      <c r="F173" s="207">
        <v>21450</v>
      </c>
      <c r="G173" s="207">
        <v>21500</v>
      </c>
      <c r="H173" s="161">
        <v>50</v>
      </c>
      <c r="I173" s="207">
        <v>40</v>
      </c>
      <c r="J173" s="242">
        <f t="shared" si="27"/>
        <v>2000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43615</v>
      </c>
      <c r="D174" s="161" t="s">
        <v>9</v>
      </c>
      <c r="E174" s="161" t="s">
        <v>301</v>
      </c>
      <c r="F174" s="207">
        <v>31350</v>
      </c>
      <c r="G174" s="207">
        <v>31550</v>
      </c>
      <c r="H174" s="161">
        <v>200</v>
      </c>
      <c r="I174" s="207">
        <v>40</v>
      </c>
      <c r="J174" s="242">
        <f t="shared" si="27"/>
        <v>8000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43616</v>
      </c>
      <c r="D175" s="161" t="s">
        <v>9</v>
      </c>
      <c r="E175" s="161" t="s">
        <v>301</v>
      </c>
      <c r="F175" s="207">
        <v>31750</v>
      </c>
      <c r="G175" s="207">
        <v>31550</v>
      </c>
      <c r="H175" s="161">
        <v>200</v>
      </c>
      <c r="I175" s="207">
        <v>40</v>
      </c>
      <c r="J175" s="242">
        <f t="shared" si="27"/>
        <v>8000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58920</v>
      </c>
      <c r="K177" s="153"/>
      <c r="V177" s="25">
        <f>SUM(V154:V176)</f>
        <v>15</v>
      </c>
      <c r="W177" s="25">
        <f>SUM(W154:W176)</f>
        <v>7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2698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43587</v>
      </c>
      <c r="D185" s="185" t="s">
        <v>9</v>
      </c>
      <c r="E185" s="185" t="s">
        <v>2690</v>
      </c>
      <c r="F185" s="219">
        <v>150</v>
      </c>
      <c r="G185" s="219">
        <v>270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43588</v>
      </c>
      <c r="D186" s="161" t="s">
        <v>9</v>
      </c>
      <c r="E186" s="161" t="s">
        <v>2702</v>
      </c>
      <c r="F186" s="207">
        <v>230</v>
      </c>
      <c r="G186" s="207">
        <v>350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43591</v>
      </c>
      <c r="D187" s="161" t="s">
        <v>9</v>
      </c>
      <c r="E187" s="161" t="s">
        <v>2696</v>
      </c>
      <c r="F187" s="207">
        <v>260</v>
      </c>
      <c r="G187" s="207">
        <v>290</v>
      </c>
      <c r="H187" s="161">
        <v>30</v>
      </c>
      <c r="I187" s="207">
        <v>80</v>
      </c>
      <c r="J187" s="242">
        <f t="shared" si="31"/>
        <v>2400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43592</v>
      </c>
      <c r="D188" s="161" t="s">
        <v>9</v>
      </c>
      <c r="E188" s="161" t="s">
        <v>2696</v>
      </c>
      <c r="F188" s="207">
        <v>190</v>
      </c>
      <c r="G188" s="207">
        <v>310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43593</v>
      </c>
      <c r="D189" s="161" t="s">
        <v>9</v>
      </c>
      <c r="E189" s="161" t="s">
        <v>2704</v>
      </c>
      <c r="F189" s="207">
        <v>210</v>
      </c>
      <c r="G189" s="207">
        <v>240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43594</v>
      </c>
      <c r="D190" s="161" t="s">
        <v>9</v>
      </c>
      <c r="E190" s="161" t="s">
        <v>2706</v>
      </c>
      <c r="F190" s="207">
        <v>120</v>
      </c>
      <c r="G190" s="207">
        <v>180</v>
      </c>
      <c r="H190" s="161">
        <v>60</v>
      </c>
      <c r="I190" s="207">
        <v>80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43595</v>
      </c>
      <c r="D191" s="161" t="s">
        <v>9</v>
      </c>
      <c r="E191" s="161" t="s">
        <v>2706</v>
      </c>
      <c r="F191" s="207">
        <v>240</v>
      </c>
      <c r="G191" s="207">
        <v>280</v>
      </c>
      <c r="H191" s="161">
        <v>40</v>
      </c>
      <c r="I191" s="207">
        <v>80</v>
      </c>
      <c r="J191" s="242">
        <f t="shared" si="31"/>
        <v>3200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43598</v>
      </c>
      <c r="D192" s="161" t="s">
        <v>9</v>
      </c>
      <c r="E192" s="161" t="s">
        <v>2706</v>
      </c>
      <c r="F192" s="207">
        <v>250</v>
      </c>
      <c r="G192" s="207">
        <v>370</v>
      </c>
      <c r="H192" s="161">
        <v>120</v>
      </c>
      <c r="I192" s="207">
        <v>80</v>
      </c>
      <c r="J192" s="242">
        <f t="shared" si="31"/>
        <v>9600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43599</v>
      </c>
      <c r="D193" s="161" t="s">
        <v>9</v>
      </c>
      <c r="E193" s="161" t="s">
        <v>2709</v>
      </c>
      <c r="F193" s="207">
        <v>250</v>
      </c>
      <c r="G193" s="207">
        <v>190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43600</v>
      </c>
      <c r="D194" s="161" t="s">
        <v>9</v>
      </c>
      <c r="E194" s="161" t="s">
        <v>2706</v>
      </c>
      <c r="F194" s="207">
        <v>190</v>
      </c>
      <c r="G194" s="207">
        <v>310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43601</v>
      </c>
      <c r="D195" s="161" t="s">
        <v>9</v>
      </c>
      <c r="E195" s="161" t="s">
        <v>2711</v>
      </c>
      <c r="F195" s="207">
        <v>160</v>
      </c>
      <c r="G195" s="207">
        <v>190</v>
      </c>
      <c r="H195" s="161">
        <v>-30</v>
      </c>
      <c r="I195" s="207">
        <v>80</v>
      </c>
      <c r="J195" s="242">
        <f t="shared" si="31"/>
        <v>-2400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43602</v>
      </c>
      <c r="D196" s="161" t="s">
        <v>9</v>
      </c>
      <c r="E196" s="161" t="s">
        <v>2712</v>
      </c>
      <c r="F196" s="207">
        <v>660</v>
      </c>
      <c r="G196" s="207">
        <v>780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43605</v>
      </c>
      <c r="D197" s="161" t="s">
        <v>9</v>
      </c>
      <c r="E197" s="161" t="s">
        <v>2677</v>
      </c>
      <c r="F197" s="207">
        <v>620</v>
      </c>
      <c r="G197" s="207">
        <v>740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43606</v>
      </c>
      <c r="D198" s="161" t="s">
        <v>9</v>
      </c>
      <c r="E198" s="161" t="s">
        <v>2715</v>
      </c>
      <c r="F198" s="207">
        <v>600</v>
      </c>
      <c r="G198" s="207">
        <v>540</v>
      </c>
      <c r="H198" s="161">
        <v>-60</v>
      </c>
      <c r="I198" s="207">
        <v>80</v>
      </c>
      <c r="J198" s="242">
        <f t="shared" si="31"/>
        <v>-4800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43607</v>
      </c>
      <c r="D199" s="161" t="s">
        <v>9</v>
      </c>
      <c r="E199" s="161" t="s">
        <v>2679</v>
      </c>
      <c r="F199" s="207">
        <v>640</v>
      </c>
      <c r="G199" s="207">
        <v>700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43609</v>
      </c>
      <c r="D200" s="161" t="s">
        <v>9</v>
      </c>
      <c r="E200" s="161" t="s">
        <v>2717</v>
      </c>
      <c r="F200" s="207">
        <v>240</v>
      </c>
      <c r="G200" s="207">
        <v>190</v>
      </c>
      <c r="H200" s="161">
        <v>-50</v>
      </c>
      <c r="I200" s="207">
        <v>80</v>
      </c>
      <c r="J200" s="242">
        <f t="shared" si="31"/>
        <v>-4000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43612</v>
      </c>
      <c r="D201" s="161" t="s">
        <v>9</v>
      </c>
      <c r="E201" s="161" t="s">
        <v>2720</v>
      </c>
      <c r="F201" s="207">
        <v>250</v>
      </c>
      <c r="G201" s="207">
        <v>310</v>
      </c>
      <c r="H201" s="161">
        <v>60</v>
      </c>
      <c r="I201" s="207">
        <v>80</v>
      </c>
      <c r="J201" s="242">
        <f t="shared" si="31"/>
        <v>4800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43613</v>
      </c>
      <c r="D202" s="161" t="s">
        <v>9</v>
      </c>
      <c r="E202" s="161" t="s">
        <v>2720</v>
      </c>
      <c r="F202" s="207">
        <v>220</v>
      </c>
      <c r="G202" s="207">
        <v>160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43614</v>
      </c>
      <c r="D203" s="161" t="s">
        <v>9</v>
      </c>
      <c r="E203" s="161" t="s">
        <v>2720</v>
      </c>
      <c r="F203" s="207">
        <v>130</v>
      </c>
      <c r="G203" s="207">
        <v>70</v>
      </c>
      <c r="H203" s="161">
        <v>-60</v>
      </c>
      <c r="I203" s="207">
        <v>80</v>
      </c>
      <c r="J203" s="242">
        <f t="shared" si="31"/>
        <v>-4800</v>
      </c>
      <c r="K203" s="153"/>
      <c r="V203" s="25">
        <f t="shared" si="32"/>
        <v>0</v>
      </c>
      <c r="W203" s="25">
        <f t="shared" si="33"/>
        <v>1</v>
      </c>
    </row>
    <row r="204" spans="1:23" x14ac:dyDescent="0.3">
      <c r="A204" s="147"/>
      <c r="B204" s="205">
        <f t="shared" si="34"/>
        <v>20</v>
      </c>
      <c r="C204" s="206">
        <v>43615</v>
      </c>
      <c r="D204" s="161" t="s">
        <v>9</v>
      </c>
      <c r="E204" s="161" t="s">
        <v>2723</v>
      </c>
      <c r="F204" s="207">
        <v>110</v>
      </c>
      <c r="G204" s="207">
        <v>230</v>
      </c>
      <c r="H204" s="161">
        <v>120</v>
      </c>
      <c r="I204" s="207">
        <v>80</v>
      </c>
      <c r="J204" s="242">
        <f t="shared" si="31"/>
        <v>9600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43616</v>
      </c>
      <c r="D205" s="161" t="s">
        <v>9</v>
      </c>
      <c r="E205" s="161" t="s">
        <v>2726</v>
      </c>
      <c r="F205" s="207">
        <v>280</v>
      </c>
      <c r="G205" s="207">
        <v>400</v>
      </c>
      <c r="H205" s="161">
        <v>120</v>
      </c>
      <c r="I205" s="207">
        <v>80</v>
      </c>
      <c r="J205" s="242">
        <f t="shared" si="31"/>
        <v>9600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83200</v>
      </c>
      <c r="K208" s="153"/>
      <c r="V208" s="25">
        <f>SUM(V185:V207)</f>
        <v>15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2698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43587</v>
      </c>
      <c r="D216" s="185" t="s">
        <v>9</v>
      </c>
      <c r="E216" s="185" t="s">
        <v>2700</v>
      </c>
      <c r="F216" s="231">
        <v>16</v>
      </c>
      <c r="G216" s="231">
        <v>17.100000000000001</v>
      </c>
      <c r="H216" s="231">
        <v>1.1000000000000001</v>
      </c>
      <c r="I216" s="219">
        <v>2750</v>
      </c>
      <c r="J216" s="246">
        <f t="shared" ref="J216:J238" si="35">I216*H216</f>
        <v>3025.0000000000005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43588</v>
      </c>
      <c r="D217" s="161" t="s">
        <v>9</v>
      </c>
      <c r="E217" s="161" t="s">
        <v>2700</v>
      </c>
      <c r="F217" s="222">
        <v>16.5</v>
      </c>
      <c r="G217" s="222">
        <v>17.8</v>
      </c>
      <c r="H217" s="255">
        <v>1.3</v>
      </c>
      <c r="I217" s="207">
        <v>2750</v>
      </c>
      <c r="J217" s="242">
        <f>I217*H217</f>
        <v>3575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43591</v>
      </c>
      <c r="D218" s="161" t="s">
        <v>9</v>
      </c>
      <c r="E218" s="161" t="s">
        <v>2703</v>
      </c>
      <c r="F218" s="222">
        <v>13</v>
      </c>
      <c r="G218" s="222">
        <v>15</v>
      </c>
      <c r="H218" s="222">
        <v>2</v>
      </c>
      <c r="I218" s="207">
        <v>3000</v>
      </c>
      <c r="J218" s="242">
        <f t="shared" si="35"/>
        <v>6000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43592</v>
      </c>
      <c r="D219" s="161" t="s">
        <v>9</v>
      </c>
      <c r="E219" s="161" t="s">
        <v>2100</v>
      </c>
      <c r="F219" s="222">
        <v>42</v>
      </c>
      <c r="G219" s="222">
        <v>54</v>
      </c>
      <c r="H219" s="222">
        <v>12</v>
      </c>
      <c r="I219" s="207">
        <v>500</v>
      </c>
      <c r="J219" s="242">
        <f t="shared" si="35"/>
        <v>6000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43593</v>
      </c>
      <c r="D220" s="161" t="s">
        <v>9</v>
      </c>
      <c r="E220" s="161" t="s">
        <v>2705</v>
      </c>
      <c r="F220" s="222">
        <v>46</v>
      </c>
      <c r="G220" s="222">
        <v>58</v>
      </c>
      <c r="H220" s="222">
        <v>12</v>
      </c>
      <c r="I220" s="207">
        <v>500</v>
      </c>
      <c r="J220" s="242">
        <f t="shared" si="35"/>
        <v>6000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43594</v>
      </c>
      <c r="D221" s="161" t="s">
        <v>9</v>
      </c>
      <c r="E221" s="161" t="s">
        <v>2642</v>
      </c>
      <c r="F221" s="222">
        <v>43</v>
      </c>
      <c r="G221" s="222">
        <v>49</v>
      </c>
      <c r="H221" s="222">
        <v>6</v>
      </c>
      <c r="I221" s="207">
        <v>500</v>
      </c>
      <c r="J221" s="242">
        <f t="shared" si="35"/>
        <v>3000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43595</v>
      </c>
      <c r="D222" s="161" t="s">
        <v>9</v>
      </c>
      <c r="E222" s="161" t="s">
        <v>2708</v>
      </c>
      <c r="F222" s="222">
        <v>42</v>
      </c>
      <c r="G222" s="222">
        <v>54</v>
      </c>
      <c r="H222" s="222">
        <v>12</v>
      </c>
      <c r="I222" s="207">
        <v>500</v>
      </c>
      <c r="J222" s="242">
        <f t="shared" si="35"/>
        <v>6000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43598</v>
      </c>
      <c r="D223" s="161" t="s">
        <v>9</v>
      </c>
      <c r="E223" s="161" t="s">
        <v>2642</v>
      </c>
      <c r="F223" s="222">
        <v>50</v>
      </c>
      <c r="G223" s="222">
        <v>52</v>
      </c>
      <c r="H223" s="222">
        <v>12</v>
      </c>
      <c r="I223" s="207">
        <v>500</v>
      </c>
      <c r="J223" s="242">
        <f t="shared" si="35"/>
        <v>6000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43599</v>
      </c>
      <c r="D224" s="161" t="s">
        <v>9</v>
      </c>
      <c r="E224" s="161" t="s">
        <v>2576</v>
      </c>
      <c r="F224" s="222">
        <v>45</v>
      </c>
      <c r="G224" s="222">
        <v>39</v>
      </c>
      <c r="H224" s="255">
        <v>-6</v>
      </c>
      <c r="I224" s="207">
        <v>500</v>
      </c>
      <c r="J224" s="242">
        <f t="shared" si="35"/>
        <v>-3000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43600</v>
      </c>
      <c r="D225" s="161" t="s">
        <v>9</v>
      </c>
      <c r="E225" s="161" t="s">
        <v>2710</v>
      </c>
      <c r="F225" s="222">
        <v>25</v>
      </c>
      <c r="G225" s="222">
        <v>30.5</v>
      </c>
      <c r="H225" s="255">
        <v>5.5</v>
      </c>
      <c r="I225" s="207">
        <v>1200</v>
      </c>
      <c r="J225" s="242">
        <f t="shared" si="35"/>
        <v>6600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43601</v>
      </c>
      <c r="D226" s="161" t="s">
        <v>9</v>
      </c>
      <c r="E226" s="161" t="s">
        <v>2713</v>
      </c>
      <c r="F226" s="222">
        <v>12.5</v>
      </c>
      <c r="G226" s="222">
        <v>15</v>
      </c>
      <c r="H226" s="255">
        <v>3.5</v>
      </c>
      <c r="I226" s="207">
        <v>1750</v>
      </c>
      <c r="J226" s="242">
        <f t="shared" si="35"/>
        <v>6125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43602</v>
      </c>
      <c r="D227" s="161" t="s">
        <v>9</v>
      </c>
      <c r="E227" s="161" t="s">
        <v>2713</v>
      </c>
      <c r="F227" s="222">
        <v>12</v>
      </c>
      <c r="G227" s="222">
        <v>16</v>
      </c>
      <c r="H227" s="255">
        <v>4</v>
      </c>
      <c r="I227" s="207">
        <v>1750</v>
      </c>
      <c r="J227" s="242">
        <f t="shared" si="35"/>
        <v>7000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43605</v>
      </c>
      <c r="D228" s="161" t="s">
        <v>9</v>
      </c>
      <c r="E228" s="161" t="s">
        <v>2713</v>
      </c>
      <c r="F228" s="222">
        <v>11.5</v>
      </c>
      <c r="G228" s="222">
        <v>9.5</v>
      </c>
      <c r="H228" s="255">
        <v>-2</v>
      </c>
      <c r="I228" s="207">
        <v>1750</v>
      </c>
      <c r="J228" s="242">
        <f t="shared" si="35"/>
        <v>-3500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43607</v>
      </c>
      <c r="D229" s="161" t="s">
        <v>9</v>
      </c>
      <c r="E229" s="161" t="s">
        <v>366</v>
      </c>
      <c r="F229" s="222">
        <v>75</v>
      </c>
      <c r="G229" s="222">
        <v>67</v>
      </c>
      <c r="H229" s="255">
        <v>-8</v>
      </c>
      <c r="I229" s="207">
        <v>250</v>
      </c>
      <c r="J229" s="242">
        <f>I229*H229</f>
        <v>-2000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43608</v>
      </c>
      <c r="D230" s="161" t="s">
        <v>9</v>
      </c>
      <c r="E230" s="161" t="s">
        <v>2718</v>
      </c>
      <c r="F230" s="222">
        <v>17</v>
      </c>
      <c r="G230" s="222">
        <v>25</v>
      </c>
      <c r="H230" s="255">
        <v>8</v>
      </c>
      <c r="I230" s="207">
        <v>1200</v>
      </c>
      <c r="J230" s="242">
        <f t="shared" si="35"/>
        <v>9600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43609</v>
      </c>
      <c r="D231" s="161" t="s">
        <v>9</v>
      </c>
      <c r="E231" s="161" t="s">
        <v>2719</v>
      </c>
      <c r="F231" s="222">
        <v>18</v>
      </c>
      <c r="G231" s="222">
        <v>34</v>
      </c>
      <c r="H231" s="222">
        <v>16</v>
      </c>
      <c r="I231" s="207">
        <v>375</v>
      </c>
      <c r="J231" s="242">
        <f t="shared" si="35"/>
        <v>6000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43612</v>
      </c>
      <c r="D232" s="161" t="s">
        <v>9</v>
      </c>
      <c r="E232" s="161" t="s">
        <v>2705</v>
      </c>
      <c r="F232" s="222">
        <v>16</v>
      </c>
      <c r="G232" s="222">
        <v>12</v>
      </c>
      <c r="H232" s="222">
        <v>-4</v>
      </c>
      <c r="I232" s="207">
        <v>500</v>
      </c>
      <c r="J232" s="242">
        <f t="shared" si="35"/>
        <v>-2000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18</v>
      </c>
      <c r="C233" s="206">
        <v>43613</v>
      </c>
      <c r="D233" s="161" t="s">
        <v>9</v>
      </c>
      <c r="E233" s="161" t="s">
        <v>2721</v>
      </c>
      <c r="F233" s="222">
        <v>5</v>
      </c>
      <c r="G233" s="222">
        <v>6.2</v>
      </c>
      <c r="H233" s="222">
        <v>1.2</v>
      </c>
      <c r="I233" s="207">
        <v>1750</v>
      </c>
      <c r="J233" s="242">
        <f t="shared" si="35"/>
        <v>2100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43614</v>
      </c>
      <c r="D234" s="161" t="s">
        <v>9</v>
      </c>
      <c r="E234" s="161" t="s">
        <v>2722</v>
      </c>
      <c r="F234" s="222">
        <v>4</v>
      </c>
      <c r="G234" s="222">
        <v>4.8</v>
      </c>
      <c r="H234" s="222">
        <v>0.8</v>
      </c>
      <c r="I234" s="207">
        <v>1750</v>
      </c>
      <c r="J234" s="242">
        <f t="shared" si="35"/>
        <v>1400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43615</v>
      </c>
      <c r="D235" s="161" t="s">
        <v>9</v>
      </c>
      <c r="E235" s="161" t="s">
        <v>2724</v>
      </c>
      <c r="F235" s="222">
        <v>35</v>
      </c>
      <c r="G235" s="222">
        <v>15</v>
      </c>
      <c r="H235" s="222">
        <v>-20</v>
      </c>
      <c r="I235" s="207">
        <v>75</v>
      </c>
      <c r="J235" s="242">
        <f t="shared" si="35"/>
        <v>-1500</v>
      </c>
      <c r="K235" s="153"/>
      <c r="V235" s="25">
        <f t="shared" si="37"/>
        <v>0</v>
      </c>
      <c r="W235" s="25">
        <f t="shared" si="38"/>
        <v>1</v>
      </c>
    </row>
    <row r="236" spans="1:23" x14ac:dyDescent="0.3">
      <c r="A236" s="147"/>
      <c r="B236" s="205">
        <f t="shared" si="36"/>
        <v>21</v>
      </c>
      <c r="C236" s="206">
        <v>43616</v>
      </c>
      <c r="D236" s="161" t="s">
        <v>9</v>
      </c>
      <c r="E236" s="161" t="s">
        <v>2727</v>
      </c>
      <c r="F236" s="222">
        <v>13</v>
      </c>
      <c r="G236" s="222">
        <v>15.3</v>
      </c>
      <c r="H236" s="222">
        <v>2.2999999999999998</v>
      </c>
      <c r="I236" s="207">
        <v>2000</v>
      </c>
      <c r="J236" s="242">
        <f t="shared" si="35"/>
        <v>4600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10"/>
      <c r="G238" s="210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71025</v>
      </c>
      <c r="K239" s="153"/>
      <c r="V239" s="25">
        <f>SUM(V216:V238)</f>
        <v>16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900-000000000000}"/>
    <hyperlink ref="B84" r:id="rId2" xr:uid="{00000000-0004-0000-4900-000001000000}"/>
    <hyperlink ref="B115" r:id="rId3" xr:uid="{00000000-0004-0000-4900-000002000000}"/>
    <hyperlink ref="B146" r:id="rId4" xr:uid="{00000000-0004-0000-4900-000003000000}"/>
    <hyperlink ref="B177" r:id="rId5" xr:uid="{00000000-0004-0000-4900-000004000000}"/>
    <hyperlink ref="B208" r:id="rId6" xr:uid="{00000000-0004-0000-4900-000005000000}"/>
    <hyperlink ref="B239" r:id="rId7" xr:uid="{00000000-0004-0000-4900-000006000000}"/>
    <hyperlink ref="M1" location="'MASTER '!A1" display="Back" xr:uid="{00000000-0004-0000-4900-000007000000}"/>
    <hyperlink ref="M8:M9" location="'MAY -2019'!A108" display="NIFTY FUTURE" xr:uid="{00000000-0004-0000-4900-000008000000}"/>
    <hyperlink ref="M10:M11" location="'MAY -2019'!A139" display="NF. OPTION" xr:uid="{00000000-0004-0000-4900-000009000000}"/>
    <hyperlink ref="M12:M13" location="'MAY -2019'!A170" display="BANK NIFTY" xr:uid="{00000000-0004-0000-4900-00000A000000}"/>
    <hyperlink ref="M14:M15" location="'MAY -2019'!A201" display="B.NIFTY OPTION" xr:uid="{00000000-0004-0000-4900-00000B000000}"/>
    <hyperlink ref="M16:M17" location="'MAY -2019'!A232" display="STOCK OPTION" xr:uid="{00000000-0004-0000-4900-00000C000000}"/>
    <hyperlink ref="M6:M7" location="'MAY -2019'!A77" display="STOCK FUTURE" xr:uid="{00000000-0004-0000-4900-00000D000000}"/>
    <hyperlink ref="M4:M5" location="'MAY -2019'!A1" display="CASH" xr:uid="{00000000-0004-0000-4900-00000E000000}"/>
  </hyperlinks>
  <pageMargins left="0" right="0" top="0" bottom="0" header="0" footer="0"/>
  <pageSetup scale="95" orientation="portrait" r:id="rId8"/>
  <drawing r:id="rId9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2728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38</v>
      </c>
      <c r="O4" s="354">
        <f>V52</f>
        <v>27</v>
      </c>
      <c r="P4" s="354">
        <f>W52</f>
        <v>11</v>
      </c>
      <c r="Q4" s="355">
        <f>N4-O4-P4</f>
        <v>0</v>
      </c>
      <c r="R4" s="314">
        <f>O4/N4</f>
        <v>0.71052631578947367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43619</v>
      </c>
      <c r="D6" s="158" t="s">
        <v>9</v>
      </c>
      <c r="E6" s="158" t="s">
        <v>476</v>
      </c>
      <c r="F6" s="204">
        <v>640</v>
      </c>
      <c r="G6" s="230">
        <v>634</v>
      </c>
      <c r="H6" s="222">
        <v>-6</v>
      </c>
      <c r="I6" s="204">
        <f>300000/F6</f>
        <v>468.75</v>
      </c>
      <c r="J6" s="241">
        <f>H6*I6</f>
        <v>-2812.5</v>
      </c>
      <c r="K6" s="153"/>
      <c r="M6" s="389" t="s">
        <v>450</v>
      </c>
      <c r="N6" s="343">
        <f>COUNT(C60:C83)</f>
        <v>19</v>
      </c>
      <c r="O6" s="345">
        <f>V84</f>
        <v>17</v>
      </c>
      <c r="P6" s="345">
        <f>W84</f>
        <v>2</v>
      </c>
      <c r="Q6" s="347">
        <f>N6-O6-P6</f>
        <v>0</v>
      </c>
      <c r="R6" s="340">
        <f t="shared" ref="R6" si="0">O6/N6</f>
        <v>0.89473684210526316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43619</v>
      </c>
      <c r="D7" s="161" t="s">
        <v>8</v>
      </c>
      <c r="E7" s="161" t="s">
        <v>78</v>
      </c>
      <c r="F7" s="207">
        <v>1557</v>
      </c>
      <c r="G7" s="207">
        <v>1547</v>
      </c>
      <c r="H7" s="234">
        <v>10</v>
      </c>
      <c r="I7" s="207">
        <f t="shared" ref="I7" si="1">300000/F7</f>
        <v>192.67822736030828</v>
      </c>
      <c r="J7" s="242">
        <f t="shared" ref="J7" si="2">H7*I7</f>
        <v>1926.7822736030828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43620</v>
      </c>
      <c r="D8" s="161" t="s">
        <v>9</v>
      </c>
      <c r="E8" s="161" t="s">
        <v>137</v>
      </c>
      <c r="F8" s="207">
        <v>1820</v>
      </c>
      <c r="G8" s="222">
        <v>1813</v>
      </c>
      <c r="H8" s="222">
        <v>-7</v>
      </c>
      <c r="I8" s="207">
        <f t="shared" ref="I8:I43" si="6">300000/F8</f>
        <v>164.83516483516485</v>
      </c>
      <c r="J8" s="242">
        <f t="shared" ref="J8:J43" si="7">H8*I8</f>
        <v>-1153.8461538461538</v>
      </c>
      <c r="K8" s="153"/>
      <c r="M8" s="389" t="s">
        <v>451</v>
      </c>
      <c r="N8" s="343">
        <f>COUNT(C92:C114)</f>
        <v>19</v>
      </c>
      <c r="O8" s="345">
        <f>V115</f>
        <v>15</v>
      </c>
      <c r="P8" s="345">
        <f>W115</f>
        <v>4</v>
      </c>
      <c r="Q8" s="347">
        <f>N8-O8-P8</f>
        <v>0</v>
      </c>
      <c r="R8" s="340">
        <f t="shared" ref="R8" si="8">O8/N8</f>
        <v>0.78947368421052633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43620</v>
      </c>
      <c r="D9" s="161" t="s">
        <v>8</v>
      </c>
      <c r="E9" s="161" t="s">
        <v>132</v>
      </c>
      <c r="F9" s="222">
        <v>536</v>
      </c>
      <c r="G9" s="222">
        <v>531</v>
      </c>
      <c r="H9" s="222">
        <v>5</v>
      </c>
      <c r="I9" s="207">
        <f t="shared" si="6"/>
        <v>559.70149253731347</v>
      </c>
      <c r="J9" s="242">
        <f t="shared" si="7"/>
        <v>2798.5074626865671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43622</v>
      </c>
      <c r="D10" s="161" t="s">
        <v>9</v>
      </c>
      <c r="E10" s="161" t="s">
        <v>16</v>
      </c>
      <c r="F10" s="222">
        <v>1260</v>
      </c>
      <c r="G10" s="222">
        <v>1270</v>
      </c>
      <c r="H10" s="222">
        <v>10</v>
      </c>
      <c r="I10" s="207">
        <f t="shared" si="6"/>
        <v>238.0952380952381</v>
      </c>
      <c r="J10" s="242">
        <f t="shared" si="7"/>
        <v>2380.9523809523812</v>
      </c>
      <c r="K10" s="153"/>
      <c r="M10" s="389" t="s">
        <v>1176</v>
      </c>
      <c r="N10" s="343">
        <f>COUNT(C123:C145)</f>
        <v>19</v>
      </c>
      <c r="O10" s="345">
        <f>V146</f>
        <v>16</v>
      </c>
      <c r="P10" s="345">
        <f>W146</f>
        <v>3</v>
      </c>
      <c r="Q10" s="347">
        <f>N10-O10-P10</f>
        <v>0</v>
      </c>
      <c r="R10" s="340">
        <f t="shared" ref="R10:R16" si="9">O10/N10</f>
        <v>0.84210526315789469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43622</v>
      </c>
      <c r="D11" s="161" t="s">
        <v>8</v>
      </c>
      <c r="E11" s="161" t="s">
        <v>31</v>
      </c>
      <c r="F11" s="222">
        <v>1343</v>
      </c>
      <c r="G11" s="222">
        <v>1323</v>
      </c>
      <c r="H11" s="255">
        <v>20</v>
      </c>
      <c r="I11" s="207">
        <f t="shared" si="6"/>
        <v>223.38049143708116</v>
      </c>
      <c r="J11" s="242">
        <f t="shared" si="7"/>
        <v>4467.6098287416235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43623</v>
      </c>
      <c r="D12" s="161" t="s">
        <v>9</v>
      </c>
      <c r="E12" s="161" t="s">
        <v>250</v>
      </c>
      <c r="F12" s="222">
        <v>1610</v>
      </c>
      <c r="G12" s="222">
        <v>1618</v>
      </c>
      <c r="H12" s="222">
        <v>8</v>
      </c>
      <c r="I12" s="207">
        <f t="shared" si="6"/>
        <v>186.33540372670808</v>
      </c>
      <c r="J12" s="242">
        <f t="shared" si="7"/>
        <v>1490.6832298136646</v>
      </c>
      <c r="K12" s="153"/>
      <c r="M12" s="389" t="s">
        <v>41</v>
      </c>
      <c r="N12" s="343">
        <f>COUNT(C154:C176)</f>
        <v>19</v>
      </c>
      <c r="O12" s="345">
        <f>V177</f>
        <v>14</v>
      </c>
      <c r="P12" s="345">
        <f>W177</f>
        <v>5</v>
      </c>
      <c r="Q12" s="347">
        <f t="shared" ref="Q12" si="10">N12-O12-P12</f>
        <v>0</v>
      </c>
      <c r="R12" s="340">
        <f t="shared" si="9"/>
        <v>0.73684210526315785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43623</v>
      </c>
      <c r="D13" s="161" t="s">
        <v>8</v>
      </c>
      <c r="E13" s="161" t="s">
        <v>31</v>
      </c>
      <c r="F13" s="222">
        <v>1318</v>
      </c>
      <c r="G13" s="222">
        <v>1308</v>
      </c>
      <c r="H13" s="255">
        <v>10</v>
      </c>
      <c r="I13" s="207">
        <f t="shared" si="6"/>
        <v>227.6176024279211</v>
      </c>
      <c r="J13" s="242">
        <f t="shared" si="7"/>
        <v>2276.1760242792111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43626</v>
      </c>
      <c r="D14" s="161" t="s">
        <v>9</v>
      </c>
      <c r="E14" s="161" t="s">
        <v>78</v>
      </c>
      <c r="F14" s="222">
        <v>1538</v>
      </c>
      <c r="G14" s="222">
        <v>1528</v>
      </c>
      <c r="H14" s="222">
        <v>-10</v>
      </c>
      <c r="I14" s="207">
        <f t="shared" si="6"/>
        <v>195.05851755526658</v>
      </c>
      <c r="J14" s="242">
        <f t="shared" si="7"/>
        <v>-1950.5851755526658</v>
      </c>
      <c r="K14" s="153"/>
      <c r="M14" s="389" t="s">
        <v>1175</v>
      </c>
      <c r="N14" s="343">
        <f>COUNT(C185:C207)</f>
        <v>19</v>
      </c>
      <c r="O14" s="345">
        <f>V208</f>
        <v>15</v>
      </c>
      <c r="P14" s="345">
        <f>W208</f>
        <v>4</v>
      </c>
      <c r="Q14" s="347">
        <f t="shared" ref="Q14" si="11">N14-O14-P14</f>
        <v>0</v>
      </c>
      <c r="R14" s="340">
        <f t="shared" si="9"/>
        <v>0.78947368421052633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43626</v>
      </c>
      <c r="D15" s="161" t="s">
        <v>8</v>
      </c>
      <c r="E15" s="161" t="s">
        <v>192</v>
      </c>
      <c r="F15" s="222">
        <v>264</v>
      </c>
      <c r="G15" s="222">
        <v>258</v>
      </c>
      <c r="H15" s="222">
        <v>6</v>
      </c>
      <c r="I15" s="207">
        <f t="shared" si="6"/>
        <v>1136.3636363636363</v>
      </c>
      <c r="J15" s="242">
        <f t="shared" si="7"/>
        <v>6818.181818181818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43627</v>
      </c>
      <c r="D16" s="161" t="s">
        <v>9</v>
      </c>
      <c r="E16" s="161" t="s">
        <v>31</v>
      </c>
      <c r="F16" s="222">
        <v>1326</v>
      </c>
      <c r="G16" s="222">
        <v>1334.5</v>
      </c>
      <c r="H16" s="222">
        <v>8.5</v>
      </c>
      <c r="I16" s="207">
        <f t="shared" si="6"/>
        <v>226.24434389140271</v>
      </c>
      <c r="J16" s="242">
        <f t="shared" si="7"/>
        <v>1923.0769230769231</v>
      </c>
      <c r="K16" s="153"/>
      <c r="L16" s="25" t="s">
        <v>2008</v>
      </c>
      <c r="M16" s="389" t="s">
        <v>1090</v>
      </c>
      <c r="N16" s="343">
        <f>COUNT(C216:C238)</f>
        <v>17</v>
      </c>
      <c r="O16" s="345">
        <f>V239</f>
        <v>11</v>
      </c>
      <c r="P16" s="345">
        <f>W239</f>
        <v>6</v>
      </c>
      <c r="Q16" s="347">
        <f t="shared" ref="Q16" si="12">N16-O16-P16</f>
        <v>0</v>
      </c>
      <c r="R16" s="340">
        <f t="shared" si="9"/>
        <v>0.6470588235294118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43627</v>
      </c>
      <c r="D17" s="161" t="s">
        <v>8</v>
      </c>
      <c r="E17" s="161" t="s">
        <v>19</v>
      </c>
      <c r="F17" s="222">
        <v>344</v>
      </c>
      <c r="G17" s="222">
        <v>347</v>
      </c>
      <c r="H17" s="222">
        <v>-3</v>
      </c>
      <c r="I17" s="207">
        <f t="shared" si="6"/>
        <v>872.09302325581393</v>
      </c>
      <c r="J17" s="242">
        <f t="shared" si="7"/>
        <v>-2616.2790697674418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43628</v>
      </c>
      <c r="D18" s="161" t="s">
        <v>9</v>
      </c>
      <c r="E18" s="161" t="s">
        <v>31</v>
      </c>
      <c r="F18" s="222">
        <v>1334</v>
      </c>
      <c r="G18" s="222">
        <v>1331</v>
      </c>
      <c r="H18" s="222">
        <v>-3</v>
      </c>
      <c r="I18" s="207">
        <f t="shared" si="6"/>
        <v>224.88755622188904</v>
      </c>
      <c r="J18" s="242">
        <f t="shared" si="7"/>
        <v>-674.66266866566707</v>
      </c>
      <c r="K18" s="153"/>
      <c r="M18" s="334" t="s">
        <v>946</v>
      </c>
      <c r="N18" s="336">
        <f>SUM(N4:N17)</f>
        <v>150</v>
      </c>
      <c r="O18" s="336">
        <f t="shared" ref="O18:Q18" si="13">SUM(O4:O17)</f>
        <v>115</v>
      </c>
      <c r="P18" s="336">
        <f t="shared" si="13"/>
        <v>35</v>
      </c>
      <c r="Q18" s="338">
        <f t="shared" si="13"/>
        <v>0</v>
      </c>
      <c r="R18" s="314">
        <f t="shared" ref="R18" si="14">O18/N18</f>
        <v>0.76666666666666672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43628</v>
      </c>
      <c r="D19" s="161" t="s">
        <v>8</v>
      </c>
      <c r="E19" s="161" t="s">
        <v>95</v>
      </c>
      <c r="F19" s="222">
        <v>416</v>
      </c>
      <c r="G19" s="222">
        <v>417.5</v>
      </c>
      <c r="H19" s="222">
        <v>-1.5</v>
      </c>
      <c r="I19" s="207">
        <f t="shared" si="6"/>
        <v>721.15384615384619</v>
      </c>
      <c r="J19" s="242">
        <f t="shared" si="7"/>
        <v>-1081.7307692307693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43629</v>
      </c>
      <c r="D20" s="161" t="s">
        <v>8</v>
      </c>
      <c r="E20" s="161" t="s">
        <v>192</v>
      </c>
      <c r="F20" s="222">
        <v>260</v>
      </c>
      <c r="G20" s="222">
        <v>254</v>
      </c>
      <c r="H20" s="222">
        <v>6</v>
      </c>
      <c r="I20" s="207">
        <f t="shared" si="6"/>
        <v>1153.8461538461538</v>
      </c>
      <c r="J20" s="242">
        <f t="shared" si="7"/>
        <v>6923.0769230769229</v>
      </c>
      <c r="K20" s="153"/>
      <c r="M20" s="316" t="s">
        <v>2253</v>
      </c>
      <c r="N20" s="317"/>
      <c r="O20" s="318"/>
      <c r="P20" s="325">
        <f>R18</f>
        <v>0.76666666666666672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43630</v>
      </c>
      <c r="D21" s="161" t="s">
        <v>9</v>
      </c>
      <c r="E21" s="161" t="s">
        <v>78</v>
      </c>
      <c r="F21" s="222">
        <v>1530</v>
      </c>
      <c r="G21" s="222">
        <v>1539.9</v>
      </c>
      <c r="H21" s="222">
        <v>9.9</v>
      </c>
      <c r="I21" s="207">
        <f t="shared" si="6"/>
        <v>196.07843137254903</v>
      </c>
      <c r="J21" s="242">
        <f t="shared" si="7"/>
        <v>1941.1764705882356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43630</v>
      </c>
      <c r="D22" s="161" t="s">
        <v>8</v>
      </c>
      <c r="E22" s="161" t="s">
        <v>31</v>
      </c>
      <c r="F22" s="222">
        <v>1312</v>
      </c>
      <c r="G22" s="222">
        <v>1322</v>
      </c>
      <c r="H22" s="222">
        <v>-10</v>
      </c>
      <c r="I22" s="207">
        <f t="shared" si="6"/>
        <v>228.65853658536585</v>
      </c>
      <c r="J22" s="242">
        <f t="shared" si="7"/>
        <v>-2286.5853658536585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43633</v>
      </c>
      <c r="D23" s="161" t="s">
        <v>9</v>
      </c>
      <c r="E23" s="161" t="s">
        <v>192</v>
      </c>
      <c r="F23" s="222">
        <v>265</v>
      </c>
      <c r="G23" s="222">
        <v>262</v>
      </c>
      <c r="H23" s="222">
        <v>-3</v>
      </c>
      <c r="I23" s="207">
        <f t="shared" si="6"/>
        <v>1132.0754716981132</v>
      </c>
      <c r="J23" s="242">
        <f t="shared" si="7"/>
        <v>-3396.2264150943397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43633</v>
      </c>
      <c r="D24" s="161" t="s">
        <v>8</v>
      </c>
      <c r="E24" s="161" t="s">
        <v>78</v>
      </c>
      <c r="F24" s="222">
        <v>1515</v>
      </c>
      <c r="G24" s="222">
        <v>1499</v>
      </c>
      <c r="H24" s="222">
        <v>16</v>
      </c>
      <c r="I24" s="207">
        <f t="shared" si="6"/>
        <v>198.01980198019803</v>
      </c>
      <c r="J24" s="242">
        <f t="shared" si="7"/>
        <v>3168.3168316831684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43634</v>
      </c>
      <c r="D25" s="161" t="s">
        <v>9</v>
      </c>
      <c r="E25" s="161" t="s">
        <v>78</v>
      </c>
      <c r="F25" s="222">
        <v>1503</v>
      </c>
      <c r="G25" s="222">
        <v>1518</v>
      </c>
      <c r="H25" s="222">
        <v>15</v>
      </c>
      <c r="I25" s="207">
        <f t="shared" si="6"/>
        <v>199.60079840319361</v>
      </c>
      <c r="J25" s="242">
        <f t="shared" si="7"/>
        <v>2994.0119760479042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43634</v>
      </c>
      <c r="D26" s="161" t="s">
        <v>8</v>
      </c>
      <c r="E26" s="161" t="s">
        <v>103</v>
      </c>
      <c r="F26" s="222">
        <v>131.4</v>
      </c>
      <c r="G26" s="222">
        <v>132.19999999999999</v>
      </c>
      <c r="H26" s="222">
        <v>0.8</v>
      </c>
      <c r="I26" s="207">
        <f t="shared" si="6"/>
        <v>2283.1050228310501</v>
      </c>
      <c r="J26" s="242">
        <f t="shared" si="7"/>
        <v>1826.4840182648402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43635</v>
      </c>
      <c r="D27" s="161" t="s">
        <v>11</v>
      </c>
      <c r="E27" s="161" t="s">
        <v>95</v>
      </c>
      <c r="F27" s="222">
        <v>424</v>
      </c>
      <c r="G27" s="222">
        <v>425.7</v>
      </c>
      <c r="H27" s="222">
        <v>1.7</v>
      </c>
      <c r="I27" s="207">
        <f t="shared" si="6"/>
        <v>707.54716981132071</v>
      </c>
      <c r="J27" s="242">
        <f t="shared" si="7"/>
        <v>1202.8301886792451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43635</v>
      </c>
      <c r="D28" s="161" t="s">
        <v>8</v>
      </c>
      <c r="E28" s="161" t="s">
        <v>552</v>
      </c>
      <c r="F28" s="222">
        <v>1417</v>
      </c>
      <c r="G28" s="222">
        <v>1427</v>
      </c>
      <c r="H28" s="222">
        <v>-10</v>
      </c>
      <c r="I28" s="207">
        <f t="shared" si="6"/>
        <v>211.71489061397318</v>
      </c>
      <c r="J28" s="242">
        <f t="shared" si="7"/>
        <v>-2117.1489061397319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43636</v>
      </c>
      <c r="D29" s="161" t="s">
        <v>9</v>
      </c>
      <c r="E29" s="161" t="s">
        <v>552</v>
      </c>
      <c r="F29" s="222">
        <v>1385</v>
      </c>
      <c r="G29" s="222">
        <v>1415</v>
      </c>
      <c r="H29" s="222">
        <v>30</v>
      </c>
      <c r="I29" s="207">
        <f t="shared" si="6"/>
        <v>216.60649819494586</v>
      </c>
      <c r="J29" s="242">
        <f t="shared" si="7"/>
        <v>6498.1949458483759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43636</v>
      </c>
      <c r="D30" s="161" t="s">
        <v>8</v>
      </c>
      <c r="E30" s="161" t="s">
        <v>58</v>
      </c>
      <c r="F30" s="222">
        <v>765</v>
      </c>
      <c r="G30" s="222">
        <v>760</v>
      </c>
      <c r="H30" s="222">
        <v>5</v>
      </c>
      <c r="I30" s="207">
        <f t="shared" si="6"/>
        <v>392.15686274509807</v>
      </c>
      <c r="J30" s="242">
        <f t="shared" si="7"/>
        <v>1960.7843137254904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43637</v>
      </c>
      <c r="D31" s="161" t="s">
        <v>9</v>
      </c>
      <c r="E31" s="161" t="s">
        <v>552</v>
      </c>
      <c r="F31" s="222">
        <v>1440</v>
      </c>
      <c r="G31" s="222">
        <v>1461</v>
      </c>
      <c r="H31" s="222">
        <v>21</v>
      </c>
      <c r="I31" s="207">
        <f t="shared" si="6"/>
        <v>208.33333333333334</v>
      </c>
      <c r="J31" s="242">
        <f t="shared" si="7"/>
        <v>4375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43637</v>
      </c>
      <c r="D32" s="161" t="s">
        <v>8</v>
      </c>
      <c r="E32" s="161" t="s">
        <v>31</v>
      </c>
      <c r="F32" s="222">
        <v>1285</v>
      </c>
      <c r="G32" s="222">
        <v>1278</v>
      </c>
      <c r="H32" s="222">
        <v>7</v>
      </c>
      <c r="I32" s="207">
        <f t="shared" si="6"/>
        <v>233.46303501945525</v>
      </c>
      <c r="J32" s="242">
        <f t="shared" si="7"/>
        <v>1634.2412451361868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43640</v>
      </c>
      <c r="D33" s="161" t="s">
        <v>9</v>
      </c>
      <c r="E33" s="161" t="s">
        <v>192</v>
      </c>
      <c r="F33" s="222">
        <v>272</v>
      </c>
      <c r="G33" s="222">
        <v>273.45</v>
      </c>
      <c r="H33" s="222">
        <v>1.45</v>
      </c>
      <c r="I33" s="207">
        <f t="shared" si="6"/>
        <v>1102.9411764705883</v>
      </c>
      <c r="J33" s="242">
        <f t="shared" si="7"/>
        <v>1599.2647058823529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43640</v>
      </c>
      <c r="D34" s="161" t="s">
        <v>8</v>
      </c>
      <c r="E34" s="161" t="s">
        <v>31</v>
      </c>
      <c r="F34" s="222">
        <v>1268</v>
      </c>
      <c r="G34" s="222">
        <v>1258</v>
      </c>
      <c r="H34" s="222">
        <v>10</v>
      </c>
      <c r="I34" s="207">
        <f t="shared" si="6"/>
        <v>236.59305993690853</v>
      </c>
      <c r="J34" s="242">
        <f t="shared" si="7"/>
        <v>2365.9305993690855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43641</v>
      </c>
      <c r="D35" s="161" t="s">
        <v>9</v>
      </c>
      <c r="E35" s="161" t="s">
        <v>2701</v>
      </c>
      <c r="F35" s="222">
        <v>930</v>
      </c>
      <c r="G35" s="222">
        <v>945</v>
      </c>
      <c r="H35" s="222">
        <v>15</v>
      </c>
      <c r="I35" s="207">
        <f t="shared" si="6"/>
        <v>322.58064516129031</v>
      </c>
      <c r="J35" s="242">
        <f t="shared" si="7"/>
        <v>4838.7096774193542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43641</v>
      </c>
      <c r="D36" s="161" t="s">
        <v>8</v>
      </c>
      <c r="E36" s="161" t="s">
        <v>95</v>
      </c>
      <c r="F36" s="222">
        <v>427</v>
      </c>
      <c r="G36" s="222">
        <v>424.8</v>
      </c>
      <c r="H36" s="222">
        <v>2.2000000000000002</v>
      </c>
      <c r="I36" s="207">
        <f t="shared" si="6"/>
        <v>702.57611241217796</v>
      </c>
      <c r="J36" s="242">
        <f t="shared" si="7"/>
        <v>1545.6674473067917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43642</v>
      </c>
      <c r="D37" s="161" t="s">
        <v>9</v>
      </c>
      <c r="E37" s="161" t="s">
        <v>78</v>
      </c>
      <c r="F37" s="222">
        <v>1552</v>
      </c>
      <c r="G37" s="222">
        <v>1562</v>
      </c>
      <c r="H37" s="222">
        <v>10</v>
      </c>
      <c r="I37" s="207">
        <f t="shared" si="6"/>
        <v>193.29896907216494</v>
      </c>
      <c r="J37" s="242">
        <f t="shared" si="7"/>
        <v>1932.9896907216494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43642</v>
      </c>
      <c r="D38" s="161" t="s">
        <v>8</v>
      </c>
      <c r="E38" s="161" t="s">
        <v>192</v>
      </c>
      <c r="F38" s="222">
        <v>273</v>
      </c>
      <c r="G38" s="222">
        <v>276</v>
      </c>
      <c r="H38" s="222">
        <v>-3</v>
      </c>
      <c r="I38" s="207">
        <f t="shared" si="6"/>
        <v>1098.901098901099</v>
      </c>
      <c r="J38" s="242">
        <f t="shared" si="7"/>
        <v>-3296.7032967032969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43643</v>
      </c>
      <c r="D39" s="161" t="s">
        <v>9</v>
      </c>
      <c r="E39" s="161" t="s">
        <v>78</v>
      </c>
      <c r="F39" s="222">
        <v>1562</v>
      </c>
      <c r="G39" s="222">
        <v>1552</v>
      </c>
      <c r="H39" s="222">
        <v>-10</v>
      </c>
      <c r="I39" s="207">
        <f t="shared" si="6"/>
        <v>192.06145966709346</v>
      </c>
      <c r="J39" s="242">
        <f t="shared" si="7"/>
        <v>-1920.6145966709346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43643</v>
      </c>
      <c r="D40" s="161" t="s">
        <v>8</v>
      </c>
      <c r="E40" s="161" t="s">
        <v>31</v>
      </c>
      <c r="F40" s="222">
        <v>1288</v>
      </c>
      <c r="G40" s="222">
        <v>1274</v>
      </c>
      <c r="H40" s="222">
        <v>14</v>
      </c>
      <c r="I40" s="207">
        <f t="shared" si="6"/>
        <v>232.91925465838509</v>
      </c>
      <c r="J40" s="242">
        <f t="shared" si="7"/>
        <v>3260.869565217391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43644</v>
      </c>
      <c r="D41" s="161" t="s">
        <v>9</v>
      </c>
      <c r="E41" s="161" t="s">
        <v>90</v>
      </c>
      <c r="F41" s="222">
        <v>711</v>
      </c>
      <c r="G41" s="223">
        <v>714.3</v>
      </c>
      <c r="H41" s="222">
        <v>3.3</v>
      </c>
      <c r="I41" s="207">
        <f t="shared" si="6"/>
        <v>421.94092827004221</v>
      </c>
      <c r="J41" s="242">
        <f t="shared" si="7"/>
        <v>1392.4050632911392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43644</v>
      </c>
      <c r="D42" s="161" t="s">
        <v>8</v>
      </c>
      <c r="E42" s="161" t="s">
        <v>31</v>
      </c>
      <c r="F42" s="222">
        <v>1271</v>
      </c>
      <c r="G42" s="222">
        <v>1251</v>
      </c>
      <c r="H42" s="222">
        <v>20</v>
      </c>
      <c r="I42" s="207">
        <f t="shared" si="6"/>
        <v>236.03461841070023</v>
      </c>
      <c r="J42" s="242">
        <f t="shared" si="7"/>
        <v>4720.692368214005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43645</v>
      </c>
      <c r="D43" s="161" t="s">
        <v>2755</v>
      </c>
      <c r="E43" s="161" t="s">
        <v>2756</v>
      </c>
      <c r="F43" s="222">
        <v>1010</v>
      </c>
      <c r="G43" s="222">
        <v>1030</v>
      </c>
      <c r="H43" s="222">
        <v>20</v>
      </c>
      <c r="I43" s="207">
        <f t="shared" si="6"/>
        <v>297.02970297029702</v>
      </c>
      <c r="J43" s="242">
        <f t="shared" si="7"/>
        <v>5940.5940594059402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60896.327613688685</v>
      </c>
      <c r="K52" s="153"/>
      <c r="V52" s="25">
        <f>SUM(V6:V51)</f>
        <v>27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2729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43619</v>
      </c>
      <c r="D60" s="158" t="s">
        <v>9</v>
      </c>
      <c r="E60" s="158" t="s">
        <v>126</v>
      </c>
      <c r="F60" s="204">
        <v>2200</v>
      </c>
      <c r="G60" s="230">
        <v>2228</v>
      </c>
      <c r="H60" s="230">
        <v>28</v>
      </c>
      <c r="I60" s="204">
        <v>250</v>
      </c>
      <c r="J60" s="241">
        <f t="shared" ref="J60:J83" si="15">I60*H60</f>
        <v>7000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43620</v>
      </c>
      <c r="D61" s="161" t="s">
        <v>9</v>
      </c>
      <c r="E61" s="161" t="s">
        <v>58</v>
      </c>
      <c r="F61" s="207">
        <v>812</v>
      </c>
      <c r="G61" s="222">
        <v>824</v>
      </c>
      <c r="H61" s="222">
        <v>12</v>
      </c>
      <c r="I61" s="207">
        <v>1200</v>
      </c>
      <c r="J61" s="242">
        <f t="shared" si="15"/>
        <v>14400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43622</v>
      </c>
      <c r="D62" s="161" t="s">
        <v>9</v>
      </c>
      <c r="E62" s="161" t="s">
        <v>58</v>
      </c>
      <c r="F62" s="222">
        <v>825</v>
      </c>
      <c r="G62" s="222">
        <v>827.2</v>
      </c>
      <c r="H62" s="222">
        <v>2.2000000000000002</v>
      </c>
      <c r="I62" s="207">
        <v>1200</v>
      </c>
      <c r="J62" s="242">
        <f t="shared" si="15"/>
        <v>2640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43623</v>
      </c>
      <c r="D63" s="161" t="s">
        <v>8</v>
      </c>
      <c r="E63" s="161" t="s">
        <v>126</v>
      </c>
      <c r="F63" s="222">
        <v>2165</v>
      </c>
      <c r="G63" s="222">
        <v>2157</v>
      </c>
      <c r="H63" s="222">
        <v>8</v>
      </c>
      <c r="I63" s="207">
        <v>250</v>
      </c>
      <c r="J63" s="242">
        <f t="shared" si="15"/>
        <v>2000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43626</v>
      </c>
      <c r="D64" s="161" t="s">
        <v>8</v>
      </c>
      <c r="E64" s="161" t="s">
        <v>31</v>
      </c>
      <c r="F64" s="222">
        <v>1327</v>
      </c>
      <c r="G64" s="222">
        <v>1313</v>
      </c>
      <c r="H64" s="222">
        <v>14</v>
      </c>
      <c r="I64" s="207">
        <v>500</v>
      </c>
      <c r="J64" s="242">
        <f t="shared" si="15"/>
        <v>7000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43627</v>
      </c>
      <c r="D65" s="161" t="s">
        <v>9</v>
      </c>
      <c r="E65" s="161" t="s">
        <v>31</v>
      </c>
      <c r="F65" s="207">
        <v>1328</v>
      </c>
      <c r="G65" s="222">
        <v>1337.95</v>
      </c>
      <c r="H65" s="222">
        <v>9.9499999999999993</v>
      </c>
      <c r="I65" s="207">
        <v>500</v>
      </c>
      <c r="J65" s="242">
        <f t="shared" si="15"/>
        <v>4975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43628</v>
      </c>
      <c r="D66" s="161" t="s">
        <v>9</v>
      </c>
      <c r="E66" s="161" t="s">
        <v>552</v>
      </c>
      <c r="F66" s="207">
        <v>1590</v>
      </c>
      <c r="G66" s="222">
        <v>1575</v>
      </c>
      <c r="H66" s="222">
        <v>-15</v>
      </c>
      <c r="I66" s="207">
        <v>300</v>
      </c>
      <c r="J66" s="242">
        <f t="shared" si="15"/>
        <v>-4500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43629</v>
      </c>
      <c r="D67" s="161" t="s">
        <v>8</v>
      </c>
      <c r="E67" s="161" t="s">
        <v>192</v>
      </c>
      <c r="F67" s="222">
        <v>258.5</v>
      </c>
      <c r="G67" s="222">
        <v>254.5</v>
      </c>
      <c r="H67" s="222">
        <v>4</v>
      </c>
      <c r="I67" s="207">
        <v>2000</v>
      </c>
      <c r="J67" s="242">
        <f t="shared" si="15"/>
        <v>8000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43630</v>
      </c>
      <c r="D68" s="161" t="s">
        <v>9</v>
      </c>
      <c r="E68" s="161" t="s">
        <v>58</v>
      </c>
      <c r="F68" s="222">
        <v>819</v>
      </c>
      <c r="G68" s="222">
        <v>813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43633</v>
      </c>
      <c r="D69" s="161" t="s">
        <v>8</v>
      </c>
      <c r="E69" s="161" t="s">
        <v>58</v>
      </c>
      <c r="F69" s="222">
        <v>792</v>
      </c>
      <c r="G69" s="222">
        <v>779</v>
      </c>
      <c r="H69" s="222">
        <v>13</v>
      </c>
      <c r="I69" s="207">
        <v>1200</v>
      </c>
      <c r="J69" s="242">
        <f t="shared" si="15"/>
        <v>15600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43634</v>
      </c>
      <c r="D70" s="161" t="s">
        <v>170</v>
      </c>
      <c r="E70" s="161" t="s">
        <v>552</v>
      </c>
      <c r="F70" s="161">
        <v>1425</v>
      </c>
      <c r="G70" s="222">
        <v>1447</v>
      </c>
      <c r="H70" s="222">
        <v>22</v>
      </c>
      <c r="I70" s="207">
        <v>300</v>
      </c>
      <c r="J70" s="242">
        <f t="shared" si="15"/>
        <v>6600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43635</v>
      </c>
      <c r="D71" s="161" t="s">
        <v>8</v>
      </c>
      <c r="E71" s="161" t="s">
        <v>19</v>
      </c>
      <c r="F71" s="222">
        <v>342</v>
      </c>
      <c r="G71" s="222">
        <v>338</v>
      </c>
      <c r="H71" s="222">
        <v>4</v>
      </c>
      <c r="I71" s="207">
        <v>3000</v>
      </c>
      <c r="J71" s="242">
        <f t="shared" si="15"/>
        <v>12000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43636</v>
      </c>
      <c r="D72" s="161" t="s">
        <v>8</v>
      </c>
      <c r="E72" s="161" t="s">
        <v>19</v>
      </c>
      <c r="F72" s="222">
        <v>340</v>
      </c>
      <c r="G72" s="222">
        <v>338.2</v>
      </c>
      <c r="H72" s="222">
        <v>1.8</v>
      </c>
      <c r="I72" s="207">
        <v>3000</v>
      </c>
      <c r="J72" s="242">
        <f t="shared" si="15"/>
        <v>5400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43637</v>
      </c>
      <c r="D73" s="161" t="s">
        <v>9</v>
      </c>
      <c r="E73" s="161" t="s">
        <v>25</v>
      </c>
      <c r="F73" s="223">
        <v>497</v>
      </c>
      <c r="G73" s="222">
        <v>502</v>
      </c>
      <c r="H73" s="255">
        <v>5</v>
      </c>
      <c r="I73" s="207">
        <v>1061</v>
      </c>
      <c r="J73" s="242">
        <f t="shared" si="15"/>
        <v>5305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43640</v>
      </c>
      <c r="D74" s="161" t="s">
        <v>8</v>
      </c>
      <c r="E74" s="161" t="s">
        <v>31</v>
      </c>
      <c r="F74" s="222">
        <v>1270</v>
      </c>
      <c r="G74" s="222">
        <v>1260.0999999999999</v>
      </c>
      <c r="H74" s="255">
        <v>9.9</v>
      </c>
      <c r="I74" s="207">
        <v>500</v>
      </c>
      <c r="J74" s="242">
        <f t="shared" si="15"/>
        <v>4950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43641</v>
      </c>
      <c r="D75" s="161" t="s">
        <v>8</v>
      </c>
      <c r="E75" s="161" t="s">
        <v>78</v>
      </c>
      <c r="F75" s="222">
        <v>1533</v>
      </c>
      <c r="G75" s="222">
        <v>1523</v>
      </c>
      <c r="H75" s="222">
        <v>10</v>
      </c>
      <c r="I75" s="207">
        <v>375</v>
      </c>
      <c r="J75" s="242">
        <f t="shared" si="15"/>
        <v>3750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43642</v>
      </c>
      <c r="D76" s="161" t="s">
        <v>8</v>
      </c>
      <c r="E76" s="161" t="s">
        <v>552</v>
      </c>
      <c r="F76" s="222">
        <v>1443</v>
      </c>
      <c r="G76" s="222">
        <v>1433</v>
      </c>
      <c r="H76" s="222">
        <v>10</v>
      </c>
      <c r="I76" s="207">
        <v>300</v>
      </c>
      <c r="J76" s="242">
        <f t="shared" si="15"/>
        <v>3000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43643</v>
      </c>
      <c r="D77" s="161" t="s">
        <v>9</v>
      </c>
      <c r="E77" s="161" t="s">
        <v>95</v>
      </c>
      <c r="F77" s="222">
        <v>440</v>
      </c>
      <c r="G77" s="222">
        <v>443</v>
      </c>
      <c r="H77" s="222">
        <v>3</v>
      </c>
      <c r="I77" s="207">
        <v>1375</v>
      </c>
      <c r="J77" s="242">
        <f t="shared" si="15"/>
        <v>4125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43644</v>
      </c>
      <c r="D78" s="161" t="s">
        <v>8</v>
      </c>
      <c r="E78" s="161" t="s">
        <v>552</v>
      </c>
      <c r="F78" s="222">
        <v>1438</v>
      </c>
      <c r="G78" s="222">
        <v>1410</v>
      </c>
      <c r="H78" s="222">
        <v>28</v>
      </c>
      <c r="I78" s="207">
        <v>300</v>
      </c>
      <c r="J78" s="242">
        <f t="shared" si="15"/>
        <v>8400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103445</v>
      </c>
      <c r="K84" s="153"/>
      <c r="V84" s="25">
        <f>SUM(V60:V83)</f>
        <v>17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2730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43619</v>
      </c>
      <c r="D92" s="185" t="s">
        <v>9</v>
      </c>
      <c r="E92" s="185" t="s">
        <v>39</v>
      </c>
      <c r="F92" s="219">
        <v>11970</v>
      </c>
      <c r="G92" s="219">
        <v>12030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43620</v>
      </c>
      <c r="D93" s="161" t="s">
        <v>9</v>
      </c>
      <c r="E93" s="161" t="s">
        <v>39</v>
      </c>
      <c r="F93" s="207">
        <v>12080</v>
      </c>
      <c r="G93" s="207">
        <v>12050</v>
      </c>
      <c r="H93" s="161">
        <v>-30</v>
      </c>
      <c r="I93" s="207">
        <v>150</v>
      </c>
      <c r="J93" s="242">
        <f t="shared" si="19"/>
        <v>-4500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43622</v>
      </c>
      <c r="D94" s="161" t="s">
        <v>8</v>
      </c>
      <c r="E94" s="161" t="s">
        <v>39</v>
      </c>
      <c r="F94" s="207">
        <v>12010</v>
      </c>
      <c r="G94" s="207">
        <v>11950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43623</v>
      </c>
      <c r="D95" s="161" t="s">
        <v>8</v>
      </c>
      <c r="E95" s="161" t="s">
        <v>39</v>
      </c>
      <c r="F95" s="207">
        <v>11855</v>
      </c>
      <c r="G95" s="207">
        <v>11885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43626</v>
      </c>
      <c r="D96" s="161" t="s">
        <v>8</v>
      </c>
      <c r="E96" s="161" t="s">
        <v>39</v>
      </c>
      <c r="F96" s="207">
        <v>11970</v>
      </c>
      <c r="G96" s="207">
        <v>11910</v>
      </c>
      <c r="H96" s="161">
        <v>60</v>
      </c>
      <c r="I96" s="207">
        <v>150</v>
      </c>
      <c r="J96" s="242">
        <f t="shared" si="19"/>
        <v>9000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43627</v>
      </c>
      <c r="D97" s="161" t="s">
        <v>8</v>
      </c>
      <c r="E97" s="161" t="s">
        <v>39</v>
      </c>
      <c r="F97" s="207">
        <v>11960</v>
      </c>
      <c r="G97" s="207">
        <v>11945</v>
      </c>
      <c r="H97" s="161">
        <v>15</v>
      </c>
      <c r="I97" s="207">
        <v>150</v>
      </c>
      <c r="J97" s="242">
        <f t="shared" si="19"/>
        <v>2250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43628</v>
      </c>
      <c r="D98" s="161" t="s">
        <v>8</v>
      </c>
      <c r="E98" s="161" t="s">
        <v>39</v>
      </c>
      <c r="F98" s="207">
        <v>11935</v>
      </c>
      <c r="G98" s="207">
        <v>11890</v>
      </c>
      <c r="H98" s="161">
        <v>45</v>
      </c>
      <c r="I98" s="207">
        <v>150</v>
      </c>
      <c r="J98" s="242">
        <f t="shared" si="19"/>
        <v>6750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43629</v>
      </c>
      <c r="D99" s="161" t="s">
        <v>8</v>
      </c>
      <c r="E99" s="161" t="s">
        <v>39</v>
      </c>
      <c r="F99" s="207">
        <v>11870</v>
      </c>
      <c r="G99" s="207">
        <v>11840</v>
      </c>
      <c r="H99" s="161">
        <v>30</v>
      </c>
      <c r="I99" s="207">
        <v>150</v>
      </c>
      <c r="J99" s="242">
        <f t="shared" si="19"/>
        <v>4500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43630</v>
      </c>
      <c r="D100" s="161" t="s">
        <v>8</v>
      </c>
      <c r="E100" s="161" t="s">
        <v>39</v>
      </c>
      <c r="F100" s="207">
        <v>11890</v>
      </c>
      <c r="G100" s="207">
        <v>11830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43633</v>
      </c>
      <c r="D101" s="161" t="s">
        <v>8</v>
      </c>
      <c r="E101" s="161" t="s">
        <v>39</v>
      </c>
      <c r="F101" s="207">
        <v>11775</v>
      </c>
      <c r="G101" s="207">
        <v>11715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43634</v>
      </c>
      <c r="D102" s="161" t="s">
        <v>8</v>
      </c>
      <c r="E102" s="161" t="s">
        <v>39</v>
      </c>
      <c r="F102" s="207">
        <v>11690</v>
      </c>
      <c r="G102" s="207">
        <v>11720</v>
      </c>
      <c r="H102" s="161">
        <v>-30</v>
      </c>
      <c r="I102" s="207">
        <v>150</v>
      </c>
      <c r="J102" s="242">
        <f t="shared" si="19"/>
        <v>-4500</v>
      </c>
      <c r="K102" s="153"/>
      <c r="V102" s="25">
        <f t="shared" si="20"/>
        <v>0</v>
      </c>
      <c r="W102" s="25">
        <f t="shared" si="21"/>
        <v>1</v>
      </c>
    </row>
    <row r="103" spans="1:23" x14ac:dyDescent="0.3">
      <c r="A103" s="147"/>
      <c r="B103" s="205">
        <f t="shared" si="22"/>
        <v>12</v>
      </c>
      <c r="C103" s="206">
        <v>43635</v>
      </c>
      <c r="D103" s="161" t="s">
        <v>8</v>
      </c>
      <c r="E103" s="161" t="s">
        <v>39</v>
      </c>
      <c r="F103" s="207">
        <v>11720</v>
      </c>
      <c r="G103" s="207">
        <v>11660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43636</v>
      </c>
      <c r="D104" s="161" t="s">
        <v>9</v>
      </c>
      <c r="E104" s="161" t="s">
        <v>39</v>
      </c>
      <c r="F104" s="207">
        <v>11750</v>
      </c>
      <c r="G104" s="207">
        <v>11810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43637</v>
      </c>
      <c r="D105" s="161" t="s">
        <v>8</v>
      </c>
      <c r="E105" s="161" t="s">
        <v>39</v>
      </c>
      <c r="F105" s="207">
        <v>11800</v>
      </c>
      <c r="G105" s="207">
        <v>11760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43640</v>
      </c>
      <c r="D106" s="161" t="s">
        <v>8</v>
      </c>
      <c r="E106" s="161" t="s">
        <v>39</v>
      </c>
      <c r="F106" s="207">
        <v>11705</v>
      </c>
      <c r="G106" s="207">
        <v>11735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43641</v>
      </c>
      <c r="D107" s="161" t="s">
        <v>9</v>
      </c>
      <c r="E107" s="161" t="s">
        <v>39</v>
      </c>
      <c r="F107" s="207">
        <v>11710</v>
      </c>
      <c r="G107" s="207">
        <v>11770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43642</v>
      </c>
      <c r="D108" s="161" t="s">
        <v>9</v>
      </c>
      <c r="E108" s="161" t="s">
        <v>39</v>
      </c>
      <c r="F108" s="207">
        <v>11815</v>
      </c>
      <c r="G108" s="207">
        <v>11875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43643</v>
      </c>
      <c r="D109" s="161" t="s">
        <v>9</v>
      </c>
      <c r="E109" s="161" t="s">
        <v>39</v>
      </c>
      <c r="F109" s="207">
        <v>11880</v>
      </c>
      <c r="G109" s="207">
        <v>11910</v>
      </c>
      <c r="H109" s="161">
        <v>30</v>
      </c>
      <c r="I109" s="207">
        <v>150</v>
      </c>
      <c r="J109" s="242">
        <f t="shared" si="19"/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43644</v>
      </c>
      <c r="D110" s="161" t="s">
        <v>8</v>
      </c>
      <c r="E110" s="161" t="s">
        <v>39</v>
      </c>
      <c r="F110" s="207">
        <v>11890</v>
      </c>
      <c r="G110" s="207">
        <v>11830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96000</v>
      </c>
      <c r="K115" s="153"/>
      <c r="V115" s="25">
        <f>SUM(V92:V114)</f>
        <v>15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2728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43619</v>
      </c>
      <c r="D123" s="185" t="s">
        <v>9</v>
      </c>
      <c r="E123" s="185" t="s">
        <v>2714</v>
      </c>
      <c r="F123" s="219">
        <v>90</v>
      </c>
      <c r="G123" s="219">
        <v>130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43620</v>
      </c>
      <c r="D124" s="161" t="s">
        <v>9</v>
      </c>
      <c r="E124" s="161" t="s">
        <v>2732</v>
      </c>
      <c r="F124" s="207">
        <v>80</v>
      </c>
      <c r="G124" s="207">
        <v>94</v>
      </c>
      <c r="H124" s="161">
        <v>14</v>
      </c>
      <c r="I124" s="207">
        <v>300</v>
      </c>
      <c r="J124" s="242">
        <f t="shared" si="23"/>
        <v>4200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43622</v>
      </c>
      <c r="D125" s="161" t="s">
        <v>9</v>
      </c>
      <c r="E125" s="161" t="s">
        <v>2725</v>
      </c>
      <c r="F125" s="207">
        <v>115</v>
      </c>
      <c r="G125" s="207">
        <v>155</v>
      </c>
      <c r="H125" s="161">
        <v>40</v>
      </c>
      <c r="I125" s="207">
        <v>300</v>
      </c>
      <c r="J125" s="242">
        <f t="shared" si="23"/>
        <v>12000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43623</v>
      </c>
      <c r="D126" s="161" t="s">
        <v>9</v>
      </c>
      <c r="E126" s="161" t="s">
        <v>2455</v>
      </c>
      <c r="F126" s="207">
        <v>110</v>
      </c>
      <c r="G126" s="207">
        <v>90</v>
      </c>
      <c r="H126" s="161">
        <v>-20</v>
      </c>
      <c r="I126" s="207">
        <v>300</v>
      </c>
      <c r="J126" s="242">
        <f t="shared" si="23"/>
        <v>-6000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43626</v>
      </c>
      <c r="D127" s="161" t="s">
        <v>9</v>
      </c>
      <c r="E127" s="161" t="s">
        <v>2739</v>
      </c>
      <c r="F127" s="207">
        <v>85</v>
      </c>
      <c r="G127" s="207">
        <v>125</v>
      </c>
      <c r="H127" s="161">
        <v>40</v>
      </c>
      <c r="I127" s="207">
        <v>300</v>
      </c>
      <c r="J127" s="242">
        <f t="shared" si="23"/>
        <v>12000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43627</v>
      </c>
      <c r="D128" s="161" t="s">
        <v>9</v>
      </c>
      <c r="E128" s="161" t="s">
        <v>2739</v>
      </c>
      <c r="F128" s="207">
        <v>85</v>
      </c>
      <c r="G128" s="222">
        <v>95</v>
      </c>
      <c r="H128" s="222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43628</v>
      </c>
      <c r="D129" s="161" t="s">
        <v>9</v>
      </c>
      <c r="E129" s="161" t="s">
        <v>2739</v>
      </c>
      <c r="F129" s="207">
        <v>105</v>
      </c>
      <c r="G129" s="207">
        <v>135</v>
      </c>
      <c r="H129" s="161">
        <v>30</v>
      </c>
      <c r="I129" s="207">
        <v>300</v>
      </c>
      <c r="J129" s="242">
        <f t="shared" si="23"/>
        <v>9000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43629</v>
      </c>
      <c r="D130" s="161" t="s">
        <v>9</v>
      </c>
      <c r="E130" s="161" t="s">
        <v>2455</v>
      </c>
      <c r="F130" s="207">
        <v>55</v>
      </c>
      <c r="G130" s="207">
        <v>65</v>
      </c>
      <c r="H130" s="161">
        <v>10</v>
      </c>
      <c r="I130" s="207">
        <v>300</v>
      </c>
      <c r="J130" s="242">
        <f t="shared" si="23"/>
        <v>3000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43630</v>
      </c>
      <c r="D131" s="161" t="s">
        <v>9</v>
      </c>
      <c r="E131" s="161" t="s">
        <v>2455</v>
      </c>
      <c r="F131" s="207">
        <v>80</v>
      </c>
      <c r="G131" s="207">
        <v>120</v>
      </c>
      <c r="H131" s="161">
        <v>40</v>
      </c>
      <c r="I131" s="207">
        <v>300</v>
      </c>
      <c r="J131" s="242">
        <f t="shared" si="23"/>
        <v>12000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43633</v>
      </c>
      <c r="D132" s="161" t="s">
        <v>9</v>
      </c>
      <c r="E132" s="161" t="s">
        <v>2566</v>
      </c>
      <c r="F132" s="207">
        <v>85</v>
      </c>
      <c r="G132" s="222">
        <v>125</v>
      </c>
      <c r="H132" s="222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43634</v>
      </c>
      <c r="D133" s="161" t="s">
        <v>9</v>
      </c>
      <c r="E133" s="161" t="s">
        <v>2561</v>
      </c>
      <c r="F133" s="207">
        <v>118</v>
      </c>
      <c r="G133" s="207">
        <v>138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43635</v>
      </c>
      <c r="D134" s="161" t="s">
        <v>9</v>
      </c>
      <c r="E134" s="161" t="s">
        <v>2570</v>
      </c>
      <c r="F134" s="207">
        <v>92</v>
      </c>
      <c r="G134" s="207">
        <v>72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43636</v>
      </c>
      <c r="D135" s="161" t="s">
        <v>9</v>
      </c>
      <c r="E135" s="161" t="s">
        <v>2570</v>
      </c>
      <c r="F135" s="207">
        <v>44</v>
      </c>
      <c r="G135" s="207">
        <v>84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43637</v>
      </c>
      <c r="D136" s="161" t="s">
        <v>9</v>
      </c>
      <c r="E136" s="161" t="s">
        <v>2455</v>
      </c>
      <c r="F136" s="207">
        <v>130</v>
      </c>
      <c r="G136" s="207">
        <v>170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43640</v>
      </c>
      <c r="D137" s="161" t="s">
        <v>9</v>
      </c>
      <c r="E137" s="161" t="s">
        <v>2566</v>
      </c>
      <c r="F137" s="207">
        <v>115</v>
      </c>
      <c r="G137" s="207">
        <v>125</v>
      </c>
      <c r="H137" s="161">
        <v>-10</v>
      </c>
      <c r="I137" s="207">
        <v>300</v>
      </c>
      <c r="J137" s="242">
        <f t="shared" si="23"/>
        <v>-3000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6"/>
        <v>16</v>
      </c>
      <c r="C138" s="206">
        <v>43641</v>
      </c>
      <c r="D138" s="161" t="s">
        <v>9</v>
      </c>
      <c r="E138" s="161" t="s">
        <v>2561</v>
      </c>
      <c r="F138" s="207">
        <v>140</v>
      </c>
      <c r="G138" s="207">
        <v>180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43642</v>
      </c>
      <c r="D139" s="161" t="s">
        <v>9</v>
      </c>
      <c r="E139" s="161" t="s">
        <v>2570</v>
      </c>
      <c r="F139" s="207">
        <v>128</v>
      </c>
      <c r="G139" s="207">
        <v>168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43643</v>
      </c>
      <c r="D140" s="161" t="s">
        <v>9</v>
      </c>
      <c r="E140" s="161" t="s">
        <v>2716</v>
      </c>
      <c r="F140" s="207">
        <v>85</v>
      </c>
      <c r="G140" s="207">
        <v>105</v>
      </c>
      <c r="H140" s="161">
        <v>20</v>
      </c>
      <c r="I140" s="207">
        <v>300</v>
      </c>
      <c r="J140" s="242">
        <f t="shared" si="23"/>
        <v>6000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43644</v>
      </c>
      <c r="D141" s="161" t="s">
        <v>9</v>
      </c>
      <c r="E141" s="161" t="s">
        <v>2714</v>
      </c>
      <c r="F141" s="207">
        <v>100</v>
      </c>
      <c r="G141" s="207">
        <v>130</v>
      </c>
      <c r="H141" s="161">
        <v>30</v>
      </c>
      <c r="I141" s="207">
        <v>300</v>
      </c>
      <c r="J141" s="242">
        <f t="shared" si="23"/>
        <v>9000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133200</v>
      </c>
      <c r="K146" s="153"/>
      <c r="V146" s="25">
        <f>SUM(V123:V145)</f>
        <v>16</v>
      </c>
      <c r="W146" s="25">
        <f>SUM(W123:W145)</f>
        <v>3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2728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43619</v>
      </c>
      <c r="D154" s="185" t="s">
        <v>9</v>
      </c>
      <c r="E154" s="185" t="s">
        <v>301</v>
      </c>
      <c r="F154" s="219">
        <v>31400</v>
      </c>
      <c r="G154" s="219">
        <v>31600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43620</v>
      </c>
      <c r="D155" s="161" t="s">
        <v>9</v>
      </c>
      <c r="E155" s="161" t="s">
        <v>301</v>
      </c>
      <c r="F155" s="207">
        <v>31700</v>
      </c>
      <c r="G155" s="207">
        <v>31600</v>
      </c>
      <c r="H155" s="161">
        <v>-100</v>
      </c>
      <c r="I155" s="207">
        <v>40</v>
      </c>
      <c r="J155" s="242">
        <f t="shared" si="27"/>
        <v>-4000</v>
      </c>
      <c r="K155" s="153"/>
      <c r="V155" s="25">
        <f t="shared" ref="V155:V176" si="28">IF($J155&gt;0,1,0)</f>
        <v>0</v>
      </c>
      <c r="W155" s="25">
        <f t="shared" ref="W155:W176" si="29">IF($J155&lt;0,1,0)</f>
        <v>1</v>
      </c>
    </row>
    <row r="156" spans="1:23" x14ac:dyDescent="0.3">
      <c r="A156" s="147"/>
      <c r="B156" s="205">
        <f t="shared" ref="B156:B176" si="30">B155+1</f>
        <v>3</v>
      </c>
      <c r="C156" s="206">
        <v>43622</v>
      </c>
      <c r="D156" s="161" t="s">
        <v>8</v>
      </c>
      <c r="E156" s="161" t="s">
        <v>301</v>
      </c>
      <c r="F156" s="207">
        <v>31500</v>
      </c>
      <c r="G156" s="207">
        <v>31300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43623</v>
      </c>
      <c r="D157" s="161" t="s">
        <v>8</v>
      </c>
      <c r="E157" s="161" t="s">
        <v>301</v>
      </c>
      <c r="F157" s="207">
        <v>30960</v>
      </c>
      <c r="G157" s="207">
        <v>30910</v>
      </c>
      <c r="H157" s="161">
        <v>50</v>
      </c>
      <c r="I157" s="207">
        <v>40</v>
      </c>
      <c r="J157" s="242">
        <f t="shared" si="27"/>
        <v>2000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43626</v>
      </c>
      <c r="D158" s="161" t="s">
        <v>8</v>
      </c>
      <c r="E158" s="161" t="s">
        <v>301</v>
      </c>
      <c r="F158" s="207">
        <v>31160</v>
      </c>
      <c r="G158" s="207">
        <v>30960</v>
      </c>
      <c r="H158" s="161">
        <v>200</v>
      </c>
      <c r="I158" s="207">
        <v>40</v>
      </c>
      <c r="J158" s="242">
        <f t="shared" si="27"/>
        <v>8000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43627</v>
      </c>
      <c r="D159" s="161" t="s">
        <v>8</v>
      </c>
      <c r="E159" s="161" t="s">
        <v>301</v>
      </c>
      <c r="F159" s="207">
        <v>31150</v>
      </c>
      <c r="G159" s="207">
        <v>31100</v>
      </c>
      <c r="H159" s="161">
        <v>50</v>
      </c>
      <c r="I159" s="207">
        <v>40</v>
      </c>
      <c r="J159" s="242">
        <f t="shared" si="27"/>
        <v>2000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43628</v>
      </c>
      <c r="D160" s="161" t="s">
        <v>8</v>
      </c>
      <c r="E160" s="161" t="s">
        <v>301</v>
      </c>
      <c r="F160" s="207">
        <v>31060</v>
      </c>
      <c r="G160" s="207">
        <v>30960</v>
      </c>
      <c r="H160" s="161">
        <v>150</v>
      </c>
      <c r="I160" s="207">
        <v>40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43629</v>
      </c>
      <c r="D161" s="161" t="s">
        <v>8</v>
      </c>
      <c r="E161" s="161" t="s">
        <v>301</v>
      </c>
      <c r="F161" s="207">
        <v>30750</v>
      </c>
      <c r="G161" s="207">
        <v>30700</v>
      </c>
      <c r="H161" s="161">
        <v>50</v>
      </c>
      <c r="I161" s="207">
        <v>40</v>
      </c>
      <c r="J161" s="242">
        <f t="shared" si="27"/>
        <v>2000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43630</v>
      </c>
      <c r="D162" s="161" t="s">
        <v>8</v>
      </c>
      <c r="E162" s="161" t="s">
        <v>301</v>
      </c>
      <c r="F162" s="207">
        <v>30850</v>
      </c>
      <c r="G162" s="207">
        <v>30650</v>
      </c>
      <c r="H162" s="161">
        <v>200</v>
      </c>
      <c r="I162" s="207">
        <v>40</v>
      </c>
      <c r="J162" s="242">
        <f t="shared" si="27"/>
        <v>8000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43633</v>
      </c>
      <c r="D163" s="161" t="s">
        <v>8</v>
      </c>
      <c r="E163" s="161" t="s">
        <v>301</v>
      </c>
      <c r="F163" s="207">
        <v>30480</v>
      </c>
      <c r="G163" s="207">
        <v>30310</v>
      </c>
      <c r="H163" s="161">
        <v>170</v>
      </c>
      <c r="I163" s="207">
        <v>40</v>
      </c>
      <c r="J163" s="242">
        <f t="shared" si="27"/>
        <v>6800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43634</v>
      </c>
      <c r="D164" s="161" t="s">
        <v>8</v>
      </c>
      <c r="E164" s="161" t="s">
        <v>301</v>
      </c>
      <c r="F164" s="207">
        <v>30300</v>
      </c>
      <c r="G164" s="207">
        <v>30400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43635</v>
      </c>
      <c r="D165" s="161" t="s">
        <v>9</v>
      </c>
      <c r="E165" s="161" t="s">
        <v>301</v>
      </c>
      <c r="F165" s="207">
        <v>30600</v>
      </c>
      <c r="G165" s="207">
        <v>30500</v>
      </c>
      <c r="H165" s="161">
        <v>-100</v>
      </c>
      <c r="I165" s="207">
        <v>40</v>
      </c>
      <c r="J165" s="242">
        <f t="shared" si="27"/>
        <v>-4000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43636</v>
      </c>
      <c r="D166" s="161" t="s">
        <v>9</v>
      </c>
      <c r="E166" s="161" t="s">
        <v>301</v>
      </c>
      <c r="F166" s="207">
        <v>30540</v>
      </c>
      <c r="G166" s="207">
        <v>30740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43637</v>
      </c>
      <c r="D167" s="161" t="s">
        <v>9</v>
      </c>
      <c r="E167" s="161" t="s">
        <v>301</v>
      </c>
      <c r="F167" s="207">
        <v>30600</v>
      </c>
      <c r="G167" s="207">
        <v>30700</v>
      </c>
      <c r="H167" s="161">
        <v>-100</v>
      </c>
      <c r="I167" s="207">
        <v>40</v>
      </c>
      <c r="J167" s="242">
        <f t="shared" si="27"/>
        <v>-4000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43640</v>
      </c>
      <c r="D168" s="161" t="s">
        <v>9</v>
      </c>
      <c r="E168" s="161" t="s">
        <v>301</v>
      </c>
      <c r="F168" s="207">
        <v>30610</v>
      </c>
      <c r="G168" s="207">
        <v>30710</v>
      </c>
      <c r="H168" s="161">
        <v>-100</v>
      </c>
      <c r="I168" s="207">
        <v>40</v>
      </c>
      <c r="J168" s="242">
        <f t="shared" si="27"/>
        <v>-4000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16</v>
      </c>
      <c r="C169" s="206">
        <v>43641</v>
      </c>
      <c r="D169" s="161" t="s">
        <v>9</v>
      </c>
      <c r="E169" s="161" t="s">
        <v>301</v>
      </c>
      <c r="F169" s="207">
        <v>30560</v>
      </c>
      <c r="G169" s="207">
        <v>30760</v>
      </c>
      <c r="H169" s="161">
        <v>200</v>
      </c>
      <c r="I169" s="207">
        <v>40</v>
      </c>
      <c r="J169" s="242">
        <f t="shared" si="27"/>
        <v>8000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43642</v>
      </c>
      <c r="D170" s="161" t="s">
        <v>9</v>
      </c>
      <c r="E170" s="161" t="s">
        <v>301</v>
      </c>
      <c r="F170" s="207">
        <v>30940</v>
      </c>
      <c r="G170" s="207">
        <v>31140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43643</v>
      </c>
      <c r="D171" s="161" t="s">
        <v>9</v>
      </c>
      <c r="E171" s="161" t="s">
        <v>301</v>
      </c>
      <c r="F171" s="207">
        <v>31300</v>
      </c>
      <c r="G171" s="207">
        <v>31450</v>
      </c>
      <c r="H171" s="161">
        <v>150</v>
      </c>
      <c r="I171" s="207">
        <v>40</v>
      </c>
      <c r="J171" s="242">
        <f t="shared" si="27"/>
        <v>6000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43644</v>
      </c>
      <c r="D172" s="161" t="s">
        <v>9</v>
      </c>
      <c r="E172" s="161" t="s">
        <v>301</v>
      </c>
      <c r="F172" s="207">
        <v>31350</v>
      </c>
      <c r="G172" s="207">
        <v>31250</v>
      </c>
      <c r="H172" s="161">
        <v>100</v>
      </c>
      <c r="I172" s="207">
        <v>40</v>
      </c>
      <c r="J172" s="242">
        <f t="shared" si="27"/>
        <v>4000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64800</v>
      </c>
      <c r="K177" s="153"/>
      <c r="V177" s="25">
        <f>SUM(V154:V176)</f>
        <v>14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2728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43619</v>
      </c>
      <c r="D185" s="185" t="s">
        <v>9</v>
      </c>
      <c r="E185" s="185" t="s">
        <v>2723</v>
      </c>
      <c r="F185" s="219">
        <v>210</v>
      </c>
      <c r="G185" s="219">
        <v>330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43620</v>
      </c>
      <c r="D186" s="161" t="s">
        <v>9</v>
      </c>
      <c r="E186" s="161" t="s">
        <v>2733</v>
      </c>
      <c r="F186" s="207">
        <v>150</v>
      </c>
      <c r="G186" s="207">
        <v>180</v>
      </c>
      <c r="H186" s="161">
        <v>30</v>
      </c>
      <c r="I186" s="207">
        <v>80</v>
      </c>
      <c r="J186" s="242">
        <f t="shared" si="31"/>
        <v>2400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43622</v>
      </c>
      <c r="D187" s="161" t="s">
        <v>9</v>
      </c>
      <c r="E187" s="161" t="s">
        <v>2735</v>
      </c>
      <c r="F187" s="207">
        <v>140</v>
      </c>
      <c r="G187" s="207">
        <v>260</v>
      </c>
      <c r="H187" s="161">
        <v>120</v>
      </c>
      <c r="I187" s="207">
        <v>80</v>
      </c>
      <c r="J187" s="242">
        <f t="shared" si="31"/>
        <v>9600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43623</v>
      </c>
      <c r="D188" s="161" t="s">
        <v>9</v>
      </c>
      <c r="E188" s="161" t="s">
        <v>2737</v>
      </c>
      <c r="F188" s="207">
        <v>250</v>
      </c>
      <c r="G188" s="207">
        <v>190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43626</v>
      </c>
      <c r="D189" s="161" t="s">
        <v>9</v>
      </c>
      <c r="E189" s="161" t="s">
        <v>2738</v>
      </c>
      <c r="F189" s="207">
        <v>240</v>
      </c>
      <c r="G189" s="207">
        <v>360</v>
      </c>
      <c r="H189" s="161">
        <v>120</v>
      </c>
      <c r="I189" s="207">
        <v>80</v>
      </c>
      <c r="J189" s="242">
        <f t="shared" si="31"/>
        <v>9600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43627</v>
      </c>
      <c r="D190" s="161" t="s">
        <v>9</v>
      </c>
      <c r="E190" s="161" t="s">
        <v>2740</v>
      </c>
      <c r="F190" s="207">
        <v>180</v>
      </c>
      <c r="G190" s="207">
        <v>213</v>
      </c>
      <c r="H190" s="161">
        <v>33</v>
      </c>
      <c r="I190" s="207">
        <v>80</v>
      </c>
      <c r="J190" s="242">
        <f t="shared" si="31"/>
        <v>2640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43628</v>
      </c>
      <c r="D191" s="161" t="s">
        <v>9</v>
      </c>
      <c r="E191" s="161" t="s">
        <v>2740</v>
      </c>
      <c r="F191" s="207">
        <v>170</v>
      </c>
      <c r="G191" s="207">
        <v>230</v>
      </c>
      <c r="H191" s="161">
        <v>60</v>
      </c>
      <c r="I191" s="207">
        <v>80</v>
      </c>
      <c r="J191" s="242">
        <f t="shared" si="31"/>
        <v>4800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43629</v>
      </c>
      <c r="D192" s="161" t="s">
        <v>9</v>
      </c>
      <c r="E192" s="161" t="s">
        <v>2741</v>
      </c>
      <c r="F192" s="207">
        <v>110</v>
      </c>
      <c r="G192" s="207">
        <v>140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43630</v>
      </c>
      <c r="D193" s="161" t="s">
        <v>9</v>
      </c>
      <c r="E193" s="161" t="s">
        <v>2741</v>
      </c>
      <c r="F193" s="207">
        <v>240</v>
      </c>
      <c r="G193" s="207">
        <v>360</v>
      </c>
      <c r="H193" s="161">
        <v>120</v>
      </c>
      <c r="I193" s="207">
        <v>80</v>
      </c>
      <c r="J193" s="242">
        <f t="shared" si="31"/>
        <v>9600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43633</v>
      </c>
      <c r="D194" s="161" t="s">
        <v>9</v>
      </c>
      <c r="E194" s="161" t="s">
        <v>2689</v>
      </c>
      <c r="F194" s="207">
        <v>270</v>
      </c>
      <c r="G194" s="207">
        <v>210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43634</v>
      </c>
      <c r="D195" s="161" t="s">
        <v>9</v>
      </c>
      <c r="E195" s="161" t="s">
        <v>2677</v>
      </c>
      <c r="F195" s="207">
        <v>190</v>
      </c>
      <c r="G195" s="207">
        <v>220</v>
      </c>
      <c r="H195" s="161">
        <v>30</v>
      </c>
      <c r="I195" s="207">
        <v>80</v>
      </c>
      <c r="J195" s="242">
        <f t="shared" si="31"/>
        <v>2400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43635</v>
      </c>
      <c r="D196" s="161" t="s">
        <v>9</v>
      </c>
      <c r="E196" s="161" t="s">
        <v>2679</v>
      </c>
      <c r="F196" s="207">
        <v>120</v>
      </c>
      <c r="G196" s="207">
        <v>100</v>
      </c>
      <c r="H196" s="161">
        <v>-20</v>
      </c>
      <c r="I196" s="207">
        <v>80</v>
      </c>
      <c r="J196" s="242">
        <f t="shared" si="31"/>
        <v>-1600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43636</v>
      </c>
      <c r="D197" s="161" t="s">
        <v>9</v>
      </c>
      <c r="E197" s="161" t="s">
        <v>2668</v>
      </c>
      <c r="F197" s="207">
        <v>80</v>
      </c>
      <c r="G197" s="207">
        <v>200</v>
      </c>
      <c r="H197" s="161">
        <v>160</v>
      </c>
      <c r="I197" s="207">
        <v>80</v>
      </c>
      <c r="J197" s="242">
        <f t="shared" si="31"/>
        <v>12800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43637</v>
      </c>
      <c r="D198" s="161" t="s">
        <v>9</v>
      </c>
      <c r="E198" s="161" t="s">
        <v>2746</v>
      </c>
      <c r="F198" s="207">
        <v>260</v>
      </c>
      <c r="G198" s="207">
        <v>200</v>
      </c>
      <c r="H198" s="161">
        <v>-60</v>
      </c>
      <c r="I198" s="207">
        <v>80</v>
      </c>
      <c r="J198" s="242">
        <f t="shared" si="31"/>
        <v>-4800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43640</v>
      </c>
      <c r="D199" s="161" t="s">
        <v>9</v>
      </c>
      <c r="E199" s="161" t="s">
        <v>2746</v>
      </c>
      <c r="F199" s="207">
        <v>210</v>
      </c>
      <c r="G199" s="207">
        <v>240</v>
      </c>
      <c r="H199" s="161">
        <v>30</v>
      </c>
      <c r="I199" s="207">
        <v>80</v>
      </c>
      <c r="J199" s="242">
        <f t="shared" si="31"/>
        <v>2400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43641</v>
      </c>
      <c r="D200" s="161" t="s">
        <v>9</v>
      </c>
      <c r="E200" s="161" t="s">
        <v>2668</v>
      </c>
      <c r="F200" s="207">
        <v>230</v>
      </c>
      <c r="G200" s="207">
        <v>350</v>
      </c>
      <c r="H200" s="161">
        <v>120</v>
      </c>
      <c r="I200" s="207">
        <v>80</v>
      </c>
      <c r="J200" s="242">
        <f t="shared" si="31"/>
        <v>9600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43642</v>
      </c>
      <c r="D201" s="161" t="s">
        <v>9</v>
      </c>
      <c r="E201" s="161" t="s">
        <v>2750</v>
      </c>
      <c r="F201" s="207">
        <v>160</v>
      </c>
      <c r="G201" s="207">
        <v>280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43643</v>
      </c>
      <c r="D202" s="161" t="s">
        <v>9</v>
      </c>
      <c r="E202" s="161" t="s">
        <v>2752</v>
      </c>
      <c r="F202" s="207">
        <v>100</v>
      </c>
      <c r="G202" s="207">
        <v>160</v>
      </c>
      <c r="H202" s="161">
        <v>60</v>
      </c>
      <c r="I202" s="207">
        <v>80</v>
      </c>
      <c r="J202" s="242">
        <f t="shared" si="31"/>
        <v>4800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43644</v>
      </c>
      <c r="D203" s="161" t="s">
        <v>9</v>
      </c>
      <c r="E203" s="161" t="s">
        <v>2754</v>
      </c>
      <c r="F203" s="207">
        <v>290</v>
      </c>
      <c r="G203" s="207">
        <v>350</v>
      </c>
      <c r="H203" s="161">
        <v>60</v>
      </c>
      <c r="I203" s="207">
        <v>80</v>
      </c>
      <c r="J203" s="242">
        <f t="shared" si="31"/>
        <v>4800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81040</v>
      </c>
      <c r="K208" s="153"/>
      <c r="V208" s="25">
        <f>SUM(V185:V207)</f>
        <v>15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2728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43619</v>
      </c>
      <c r="D216" s="185" t="s">
        <v>9</v>
      </c>
      <c r="E216" s="185" t="s">
        <v>2731</v>
      </c>
      <c r="F216" s="231">
        <v>49</v>
      </c>
      <c r="G216" s="231">
        <v>62.5</v>
      </c>
      <c r="H216" s="231">
        <v>13.5</v>
      </c>
      <c r="I216" s="219">
        <v>250</v>
      </c>
      <c r="J216" s="246">
        <f t="shared" ref="J216:J238" si="35">I216*H216</f>
        <v>3375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43620</v>
      </c>
      <c r="D217" s="161" t="s">
        <v>9</v>
      </c>
      <c r="E217" s="161" t="s">
        <v>2734</v>
      </c>
      <c r="F217" s="222">
        <v>18</v>
      </c>
      <c r="G217" s="222">
        <v>26</v>
      </c>
      <c r="H217" s="255">
        <v>8</v>
      </c>
      <c r="I217" s="207">
        <v>1200</v>
      </c>
      <c r="J217" s="242">
        <f>I217*H217</f>
        <v>9600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43622</v>
      </c>
      <c r="D218" s="161" t="s">
        <v>9</v>
      </c>
      <c r="E218" s="161" t="s">
        <v>2736</v>
      </c>
      <c r="F218" s="222">
        <v>18</v>
      </c>
      <c r="G218" s="222">
        <v>14</v>
      </c>
      <c r="H218" s="222">
        <v>-4</v>
      </c>
      <c r="I218" s="207">
        <v>1200</v>
      </c>
      <c r="J218" s="242">
        <f t="shared" si="35"/>
        <v>-4800</v>
      </c>
      <c r="K218" s="153"/>
      <c r="V218" s="25">
        <f t="shared" ref="V218:V238" si="37">IF($J218&gt;0,1,0)</f>
        <v>0</v>
      </c>
      <c r="W218" s="25">
        <f t="shared" ref="W218:W238" si="38">IF($J218&lt;0,1,0)</f>
        <v>1</v>
      </c>
    </row>
    <row r="219" spans="1:23" x14ac:dyDescent="0.3">
      <c r="A219" s="147"/>
      <c r="B219" s="205">
        <f t="shared" si="36"/>
        <v>4</v>
      </c>
      <c r="C219" s="206">
        <v>43623</v>
      </c>
      <c r="D219" s="161" t="s">
        <v>9</v>
      </c>
      <c r="E219" s="161" t="s">
        <v>2705</v>
      </c>
      <c r="F219" s="222">
        <v>28</v>
      </c>
      <c r="G219" s="222">
        <v>34</v>
      </c>
      <c r="H219" s="222">
        <v>6</v>
      </c>
      <c r="I219" s="207">
        <v>500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43626</v>
      </c>
      <c r="D220" s="161" t="s">
        <v>9</v>
      </c>
      <c r="E220" s="161" t="s">
        <v>2705</v>
      </c>
      <c r="F220" s="222">
        <v>26</v>
      </c>
      <c r="G220" s="222">
        <v>32</v>
      </c>
      <c r="H220" s="222">
        <v>6</v>
      </c>
      <c r="I220" s="207">
        <v>500</v>
      </c>
      <c r="J220" s="242">
        <f t="shared" si="35"/>
        <v>3000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43627</v>
      </c>
      <c r="D221" s="161" t="s">
        <v>9</v>
      </c>
      <c r="E221" s="161" t="s">
        <v>2564</v>
      </c>
      <c r="F221" s="222">
        <v>33</v>
      </c>
      <c r="G221" s="222">
        <v>37.5</v>
      </c>
      <c r="H221" s="222">
        <v>4.5</v>
      </c>
      <c r="I221" s="207">
        <v>500</v>
      </c>
      <c r="J221" s="242">
        <f t="shared" si="35"/>
        <v>2250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43628</v>
      </c>
      <c r="D222" s="161" t="s">
        <v>9</v>
      </c>
      <c r="E222" s="161" t="s">
        <v>2564</v>
      </c>
      <c r="F222" s="222">
        <v>36</v>
      </c>
      <c r="G222" s="222">
        <v>32.5</v>
      </c>
      <c r="H222" s="222">
        <v>-3.5</v>
      </c>
      <c r="I222" s="207">
        <v>500</v>
      </c>
      <c r="J222" s="242">
        <f t="shared" si="35"/>
        <v>-1750</v>
      </c>
      <c r="K222" s="153"/>
      <c r="V222" s="25">
        <f t="shared" si="37"/>
        <v>0</v>
      </c>
      <c r="W222" s="25">
        <f t="shared" si="38"/>
        <v>1</v>
      </c>
    </row>
    <row r="223" spans="1:23" x14ac:dyDescent="0.3">
      <c r="A223" s="147"/>
      <c r="B223" s="205">
        <f t="shared" si="36"/>
        <v>8</v>
      </c>
      <c r="C223" s="206">
        <v>43629</v>
      </c>
      <c r="D223" s="161" t="s">
        <v>9</v>
      </c>
      <c r="E223" s="161" t="s">
        <v>2742</v>
      </c>
      <c r="F223" s="222">
        <v>7</v>
      </c>
      <c r="G223" s="222">
        <v>9</v>
      </c>
      <c r="H223" s="222">
        <v>2</v>
      </c>
      <c r="I223" s="207">
        <v>1750</v>
      </c>
      <c r="J223" s="242">
        <f t="shared" si="35"/>
        <v>3500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43630</v>
      </c>
      <c r="D224" s="161" t="s">
        <v>9</v>
      </c>
      <c r="E224" s="161" t="s">
        <v>2742</v>
      </c>
      <c r="F224" s="222">
        <v>12</v>
      </c>
      <c r="G224" s="222">
        <v>10</v>
      </c>
      <c r="H224" s="255">
        <v>-2</v>
      </c>
      <c r="I224" s="207">
        <v>1750</v>
      </c>
      <c r="J224" s="242">
        <f t="shared" si="35"/>
        <v>-3500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43634</v>
      </c>
      <c r="D225" s="161" t="s">
        <v>9</v>
      </c>
      <c r="E225" s="161" t="s">
        <v>2743</v>
      </c>
      <c r="F225" s="222">
        <v>28</v>
      </c>
      <c r="G225" s="222">
        <v>36</v>
      </c>
      <c r="H225" s="255">
        <v>8</v>
      </c>
      <c r="I225" s="207">
        <v>375</v>
      </c>
      <c r="J225" s="242">
        <f t="shared" si="35"/>
        <v>3000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43635</v>
      </c>
      <c r="D226" s="161" t="s">
        <v>9</v>
      </c>
      <c r="E226" s="161" t="s">
        <v>2744</v>
      </c>
      <c r="F226" s="222">
        <v>7</v>
      </c>
      <c r="G226" s="222">
        <v>11</v>
      </c>
      <c r="H226" s="255">
        <v>4</v>
      </c>
      <c r="I226" s="207">
        <v>1750</v>
      </c>
      <c r="J226" s="242">
        <f t="shared" si="35"/>
        <v>7000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43636</v>
      </c>
      <c r="D227" s="161" t="s">
        <v>9</v>
      </c>
      <c r="E227" s="161" t="s">
        <v>2745</v>
      </c>
      <c r="F227" s="222">
        <v>35</v>
      </c>
      <c r="G227" s="222">
        <v>50</v>
      </c>
      <c r="H227" s="255">
        <v>15</v>
      </c>
      <c r="I227" s="207">
        <v>300</v>
      </c>
      <c r="J227" s="242">
        <f t="shared" si="35"/>
        <v>4500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43637</v>
      </c>
      <c r="D228" s="161" t="s">
        <v>9</v>
      </c>
      <c r="E228" s="161" t="s">
        <v>2747</v>
      </c>
      <c r="F228" s="222">
        <v>31</v>
      </c>
      <c r="G228" s="222">
        <v>25</v>
      </c>
      <c r="H228" s="255">
        <v>-6</v>
      </c>
      <c r="I228" s="207">
        <v>600</v>
      </c>
      <c r="J228" s="242">
        <f t="shared" si="35"/>
        <v>-3600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43640</v>
      </c>
      <c r="D229" s="161" t="s">
        <v>9</v>
      </c>
      <c r="E229" s="161" t="s">
        <v>2748</v>
      </c>
      <c r="F229" s="222">
        <v>15</v>
      </c>
      <c r="G229" s="222">
        <v>13</v>
      </c>
      <c r="H229" s="255">
        <v>-2</v>
      </c>
      <c r="I229" s="207">
        <v>375</v>
      </c>
      <c r="J229" s="242">
        <f>I229*H229</f>
        <v>-750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43641</v>
      </c>
      <c r="D230" s="161" t="s">
        <v>9</v>
      </c>
      <c r="E230" s="161" t="s">
        <v>2749</v>
      </c>
      <c r="F230" s="222">
        <v>4.8</v>
      </c>
      <c r="G230" s="222">
        <v>5.3</v>
      </c>
      <c r="H230" s="255">
        <v>0.5</v>
      </c>
      <c r="I230" s="207">
        <v>3000</v>
      </c>
      <c r="J230" s="242">
        <f t="shared" si="35"/>
        <v>1500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43642</v>
      </c>
      <c r="D231" s="161" t="s">
        <v>9</v>
      </c>
      <c r="E231" s="161" t="s">
        <v>2751</v>
      </c>
      <c r="F231" s="222">
        <v>14</v>
      </c>
      <c r="G231" s="222">
        <v>8</v>
      </c>
      <c r="H231" s="222">
        <v>-6</v>
      </c>
      <c r="I231" s="207">
        <v>375</v>
      </c>
      <c r="J231" s="242">
        <f t="shared" si="35"/>
        <v>-2250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>
        <v>43643</v>
      </c>
      <c r="D232" s="161" t="s">
        <v>9</v>
      </c>
      <c r="E232" s="161" t="s">
        <v>2753</v>
      </c>
      <c r="F232" s="222">
        <v>2.4</v>
      </c>
      <c r="G232" s="222">
        <v>4</v>
      </c>
      <c r="H232" s="222">
        <v>1.6</v>
      </c>
      <c r="I232" s="207">
        <v>1375</v>
      </c>
      <c r="J232" s="242">
        <f t="shared" si="35"/>
        <v>2200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10"/>
      <c r="G238" s="210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26275</v>
      </c>
      <c r="K239" s="153"/>
      <c r="V239" s="25">
        <f>SUM(V216:V238)</f>
        <v>11</v>
      </c>
      <c r="W239" s="25">
        <f>SUM(W216:W238)</f>
        <v>6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A00-000000000000}"/>
    <hyperlink ref="B84" r:id="rId2" xr:uid="{00000000-0004-0000-4A00-000001000000}"/>
    <hyperlink ref="B115" r:id="rId3" xr:uid="{00000000-0004-0000-4A00-000002000000}"/>
    <hyperlink ref="B146" r:id="rId4" xr:uid="{00000000-0004-0000-4A00-000003000000}"/>
    <hyperlink ref="B177" r:id="rId5" xr:uid="{00000000-0004-0000-4A00-000004000000}"/>
    <hyperlink ref="B208" r:id="rId6" xr:uid="{00000000-0004-0000-4A00-000005000000}"/>
    <hyperlink ref="B239" r:id="rId7" xr:uid="{00000000-0004-0000-4A00-000006000000}"/>
    <hyperlink ref="M1" location="'MASTER '!A1" display="Back" xr:uid="{00000000-0004-0000-4A00-000007000000}"/>
    <hyperlink ref="M8:M9" location="'JUN-2019'!A108" display="NIFTY FUTURE" xr:uid="{00000000-0004-0000-4A00-000008000000}"/>
    <hyperlink ref="M10:M11" location="'JUN-2019'!A139" display="NF. OPTION" xr:uid="{00000000-0004-0000-4A00-000009000000}"/>
    <hyperlink ref="M12:M13" location="'JUN-2019'!A170" display="BANK NIFTY" xr:uid="{00000000-0004-0000-4A00-00000A000000}"/>
    <hyperlink ref="M14:M15" location="'JUN-2019'!A201" display="B.NIFTY OPTION" xr:uid="{00000000-0004-0000-4A00-00000B000000}"/>
    <hyperlink ref="M16:M17" location="'JUN-2019'!A232" display="STOCK OPTION" xr:uid="{00000000-0004-0000-4A00-00000C000000}"/>
    <hyperlink ref="M6:M7" location="'JUN-2019'!A77" display="STOCK FUTURE" xr:uid="{00000000-0004-0000-4A00-00000D000000}"/>
    <hyperlink ref="M4:M5" location="'JUN-2019'!A1" display="CASH" xr:uid="{00000000-0004-0000-4A00-00000E000000}"/>
  </hyperlinks>
  <pageMargins left="0" right="0" top="0" bottom="0" header="0" footer="0"/>
  <pageSetup scale="95" orientation="portrait" r:id="rId8"/>
  <drawing r:id="rId9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W240"/>
  <sheetViews>
    <sheetView topLeftCell="A29" workbookViewId="0">
      <selection activeCell="F51" sqref="F51"/>
    </sheetView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2757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45</v>
      </c>
      <c r="O4" s="354">
        <f>V52</f>
        <v>36</v>
      </c>
      <c r="P4" s="354">
        <f>W52</f>
        <v>9</v>
      </c>
      <c r="Q4" s="355">
        <f>N4-O4-P4</f>
        <v>0</v>
      </c>
      <c r="R4" s="314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43647</v>
      </c>
      <c r="D6" s="158" t="s">
        <v>9</v>
      </c>
      <c r="E6" s="158" t="s">
        <v>95</v>
      </c>
      <c r="F6" s="204">
        <v>440</v>
      </c>
      <c r="G6" s="230">
        <v>441.7</v>
      </c>
      <c r="H6" s="222">
        <v>1.7</v>
      </c>
      <c r="I6" s="204">
        <f>300000/F6</f>
        <v>681.81818181818187</v>
      </c>
      <c r="J6" s="241">
        <f>H6*I6</f>
        <v>1159.0909090909092</v>
      </c>
      <c r="K6" s="153"/>
      <c r="M6" s="389" t="s">
        <v>450</v>
      </c>
      <c r="N6" s="343">
        <f>COUNT(C60:C83)</f>
        <v>23</v>
      </c>
      <c r="O6" s="345">
        <v>17</v>
      </c>
      <c r="P6" s="345">
        <f>W84</f>
        <v>5</v>
      </c>
      <c r="Q6" s="347">
        <v>0</v>
      </c>
      <c r="R6" s="340">
        <f t="shared" ref="R6" si="0">O6/N6</f>
        <v>0.73913043478260865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43647</v>
      </c>
      <c r="D7" s="161" t="s">
        <v>8</v>
      </c>
      <c r="E7" s="161" t="s">
        <v>552</v>
      </c>
      <c r="F7" s="207">
        <v>1422</v>
      </c>
      <c r="G7" s="207">
        <v>1417</v>
      </c>
      <c r="H7" s="234">
        <v>5</v>
      </c>
      <c r="I7" s="207">
        <f t="shared" ref="I7" si="1">300000/F7</f>
        <v>210.9704641350211</v>
      </c>
      <c r="J7" s="242">
        <f t="shared" ref="J7" si="2">H7*I7</f>
        <v>1054.8523206751056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43648</v>
      </c>
      <c r="D8" s="161" t="s">
        <v>9</v>
      </c>
      <c r="E8" s="161" t="s">
        <v>78</v>
      </c>
      <c r="F8" s="207">
        <v>1562</v>
      </c>
      <c r="G8" s="222">
        <v>1564</v>
      </c>
      <c r="H8" s="222">
        <v>2</v>
      </c>
      <c r="I8" s="207">
        <f t="shared" ref="I8:I50" si="6">300000/F8</f>
        <v>192.06145966709346</v>
      </c>
      <c r="J8" s="242">
        <f t="shared" ref="J8:J51" si="7">H8*I8</f>
        <v>384.12291933418692</v>
      </c>
      <c r="K8" s="153"/>
      <c r="M8" s="389" t="s">
        <v>451</v>
      </c>
      <c r="N8" s="343">
        <f>COUNT(C92:C114)</f>
        <v>23</v>
      </c>
      <c r="O8" s="345">
        <f>V115</f>
        <v>17</v>
      </c>
      <c r="P8" s="345">
        <f>W115</f>
        <v>6</v>
      </c>
      <c r="Q8" s="347">
        <f>N8-O8-P8</f>
        <v>0</v>
      </c>
      <c r="R8" s="340">
        <f t="shared" ref="R8" si="8">O8/N8</f>
        <v>0.73913043478260865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43648</v>
      </c>
      <c r="D9" s="161" t="s">
        <v>8</v>
      </c>
      <c r="E9" s="161" t="s">
        <v>2761</v>
      </c>
      <c r="F9" s="222">
        <v>1440</v>
      </c>
      <c r="G9" s="222">
        <v>1420</v>
      </c>
      <c r="H9" s="222">
        <v>20</v>
      </c>
      <c r="I9" s="207">
        <f t="shared" si="6"/>
        <v>208.33333333333334</v>
      </c>
      <c r="J9" s="242">
        <f t="shared" si="7"/>
        <v>4166.666666666667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43649</v>
      </c>
      <c r="D10" s="161" t="s">
        <v>9</v>
      </c>
      <c r="E10" s="161" t="s">
        <v>78</v>
      </c>
      <c r="F10" s="222">
        <v>1572</v>
      </c>
      <c r="G10" s="222">
        <v>1582</v>
      </c>
      <c r="H10" s="222">
        <v>10</v>
      </c>
      <c r="I10" s="207">
        <f t="shared" si="6"/>
        <v>190.83969465648855</v>
      </c>
      <c r="J10" s="242">
        <f t="shared" si="7"/>
        <v>1908.3969465648854</v>
      </c>
      <c r="K10" s="153"/>
      <c r="M10" s="389" t="s">
        <v>1176</v>
      </c>
      <c r="N10" s="343">
        <f>COUNT(C123:C145)</f>
        <v>23</v>
      </c>
      <c r="O10" s="345">
        <f>V146</f>
        <v>19</v>
      </c>
      <c r="P10" s="345">
        <f>W146</f>
        <v>4</v>
      </c>
      <c r="Q10" s="347">
        <f>N10-O10-P10</f>
        <v>0</v>
      </c>
      <c r="R10" s="340">
        <f t="shared" ref="R10:R16" si="9">O10/N10</f>
        <v>0.82608695652173914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43649</v>
      </c>
      <c r="D11" s="161" t="s">
        <v>8</v>
      </c>
      <c r="E11" s="161" t="s">
        <v>95</v>
      </c>
      <c r="F11" s="222">
        <v>436</v>
      </c>
      <c r="G11" s="222">
        <v>434.5</v>
      </c>
      <c r="H11" s="255">
        <v>1.5</v>
      </c>
      <c r="I11" s="207">
        <f t="shared" si="6"/>
        <v>688.0733944954128</v>
      </c>
      <c r="J11" s="242">
        <f t="shared" si="7"/>
        <v>1032.1100917431193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43650</v>
      </c>
      <c r="D12" s="161" t="s">
        <v>9</v>
      </c>
      <c r="E12" s="161" t="s">
        <v>1109</v>
      </c>
      <c r="F12" s="222">
        <v>918</v>
      </c>
      <c r="G12" s="222">
        <v>922</v>
      </c>
      <c r="H12" s="222">
        <v>4</v>
      </c>
      <c r="I12" s="207">
        <f t="shared" si="6"/>
        <v>326.79738562091501</v>
      </c>
      <c r="J12" s="242">
        <f t="shared" si="7"/>
        <v>1307.18954248366</v>
      </c>
      <c r="K12" s="153"/>
      <c r="M12" s="389" t="s">
        <v>41</v>
      </c>
      <c r="N12" s="343">
        <f>COUNT(C154:C176)</f>
        <v>23</v>
      </c>
      <c r="O12" s="345">
        <f>V177</f>
        <v>19</v>
      </c>
      <c r="P12" s="345">
        <f>W177</f>
        <v>4</v>
      </c>
      <c r="Q12" s="347">
        <f t="shared" ref="Q12" si="10">N12-O12-P12</f>
        <v>0</v>
      </c>
      <c r="R12" s="340">
        <f t="shared" si="9"/>
        <v>0.82608695652173914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43650</v>
      </c>
      <c r="D13" s="161" t="s">
        <v>8</v>
      </c>
      <c r="E13" s="161" t="s">
        <v>94</v>
      </c>
      <c r="F13" s="222">
        <v>2488</v>
      </c>
      <c r="G13" s="222">
        <v>2473</v>
      </c>
      <c r="H13" s="255">
        <v>15</v>
      </c>
      <c r="I13" s="207">
        <f t="shared" si="6"/>
        <v>120.57877813504822</v>
      </c>
      <c r="J13" s="242">
        <f t="shared" si="7"/>
        <v>1808.6816720257234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43651</v>
      </c>
      <c r="D14" s="161" t="s">
        <v>9</v>
      </c>
      <c r="E14" s="161" t="s">
        <v>137</v>
      </c>
      <c r="F14" s="222">
        <v>1810</v>
      </c>
      <c r="G14" s="222">
        <v>1816</v>
      </c>
      <c r="H14" s="222">
        <v>6</v>
      </c>
      <c r="I14" s="207">
        <f t="shared" si="6"/>
        <v>165.74585635359117</v>
      </c>
      <c r="J14" s="242">
        <f t="shared" si="7"/>
        <v>994.47513812154693</v>
      </c>
      <c r="K14" s="153"/>
      <c r="M14" s="389" t="s">
        <v>1175</v>
      </c>
      <c r="N14" s="343">
        <f>COUNT(C185:C207)</f>
        <v>23</v>
      </c>
      <c r="O14" s="345">
        <f>V208</f>
        <v>17</v>
      </c>
      <c r="P14" s="345">
        <f>W208</f>
        <v>6</v>
      </c>
      <c r="Q14" s="347">
        <f t="shared" ref="Q14" si="11">N14-O14-P14</f>
        <v>0</v>
      </c>
      <c r="R14" s="340">
        <f t="shared" si="9"/>
        <v>0.73913043478260865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43651</v>
      </c>
      <c r="D15" s="161" t="s">
        <v>8</v>
      </c>
      <c r="E15" s="161" t="s">
        <v>78</v>
      </c>
      <c r="F15" s="222">
        <v>1580</v>
      </c>
      <c r="G15" s="222">
        <v>1560</v>
      </c>
      <c r="H15" s="222">
        <v>20</v>
      </c>
      <c r="I15" s="207">
        <f t="shared" si="6"/>
        <v>189.87341772151899</v>
      </c>
      <c r="J15" s="242">
        <f t="shared" si="7"/>
        <v>3797.4683544303798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43654</v>
      </c>
      <c r="D16" s="161" t="s">
        <v>9</v>
      </c>
      <c r="E16" s="161" t="s">
        <v>31</v>
      </c>
      <c r="F16" s="222">
        <v>1264</v>
      </c>
      <c r="G16" s="222">
        <v>1268</v>
      </c>
      <c r="H16" s="222">
        <v>4</v>
      </c>
      <c r="I16" s="207">
        <f t="shared" si="6"/>
        <v>237.34177215189874</v>
      </c>
      <c r="J16" s="242">
        <f t="shared" si="7"/>
        <v>949.36708860759495</v>
      </c>
      <c r="K16" s="153"/>
      <c r="L16" s="25" t="s">
        <v>2008</v>
      </c>
      <c r="M16" s="389" t="s">
        <v>1090</v>
      </c>
      <c r="N16" s="343">
        <f>COUNT(C216:C238)</f>
        <v>23</v>
      </c>
      <c r="O16" s="345">
        <f>V239</f>
        <v>18</v>
      </c>
      <c r="P16" s="345">
        <f>W239</f>
        <v>5</v>
      </c>
      <c r="Q16" s="347">
        <f t="shared" ref="Q16" si="12">N16-O16-P16</f>
        <v>0</v>
      </c>
      <c r="R16" s="340">
        <f t="shared" si="9"/>
        <v>0.78260869565217395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43654</v>
      </c>
      <c r="D17" s="161" t="s">
        <v>8</v>
      </c>
      <c r="E17" s="161" t="s">
        <v>19</v>
      </c>
      <c r="F17" s="222">
        <v>362</v>
      </c>
      <c r="G17" s="222">
        <v>356</v>
      </c>
      <c r="H17" s="222">
        <v>6</v>
      </c>
      <c r="I17" s="207">
        <f t="shared" si="6"/>
        <v>828.72928176795585</v>
      </c>
      <c r="J17" s="242">
        <f t="shared" si="7"/>
        <v>4972.3756906077351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43655</v>
      </c>
      <c r="D18" s="161" t="s">
        <v>9</v>
      </c>
      <c r="E18" s="161" t="s">
        <v>78</v>
      </c>
      <c r="F18" s="222">
        <v>1505</v>
      </c>
      <c r="G18" s="222">
        <v>1535</v>
      </c>
      <c r="H18" s="222">
        <v>30</v>
      </c>
      <c r="I18" s="207">
        <f t="shared" si="6"/>
        <v>199.33554817275748</v>
      </c>
      <c r="J18" s="242">
        <f t="shared" si="7"/>
        <v>5980.0664451827242</v>
      </c>
      <c r="K18" s="153"/>
      <c r="M18" s="334" t="s">
        <v>946</v>
      </c>
      <c r="N18" s="336">
        <f>SUM(N4:N17)</f>
        <v>183</v>
      </c>
      <c r="O18" s="336">
        <f t="shared" ref="O18:Q18" si="13">SUM(O4:O17)</f>
        <v>143</v>
      </c>
      <c r="P18" s="336">
        <f t="shared" si="13"/>
        <v>39</v>
      </c>
      <c r="Q18" s="338">
        <f t="shared" si="13"/>
        <v>0</v>
      </c>
      <c r="R18" s="314">
        <f t="shared" ref="R18" si="14">O18/N18</f>
        <v>0.78142076502732238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43655</v>
      </c>
      <c r="D19" s="161" t="s">
        <v>8</v>
      </c>
      <c r="E19" s="161" t="s">
        <v>173</v>
      </c>
      <c r="F19" s="222">
        <v>1295</v>
      </c>
      <c r="G19" s="222">
        <v>1305</v>
      </c>
      <c r="H19" s="222">
        <v>-10</v>
      </c>
      <c r="I19" s="207">
        <f t="shared" si="6"/>
        <v>231.66023166023166</v>
      </c>
      <c r="J19" s="242">
        <f t="shared" si="7"/>
        <v>-2316.6023166023165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43656</v>
      </c>
      <c r="D20" s="161" t="s">
        <v>9</v>
      </c>
      <c r="E20" s="161" t="s">
        <v>95</v>
      </c>
      <c r="F20" s="222">
        <v>430</v>
      </c>
      <c r="G20" s="222">
        <v>432</v>
      </c>
      <c r="H20" s="222">
        <v>2</v>
      </c>
      <c r="I20" s="207">
        <f t="shared" si="6"/>
        <v>697.67441860465112</v>
      </c>
      <c r="J20" s="242">
        <f t="shared" si="7"/>
        <v>1395.3488372093022</v>
      </c>
      <c r="K20" s="153"/>
      <c r="M20" s="316" t="s">
        <v>2253</v>
      </c>
      <c r="N20" s="317"/>
      <c r="O20" s="318"/>
      <c r="P20" s="325">
        <f>R18</f>
        <v>0.78142076502732238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43656</v>
      </c>
      <c r="D21" s="161" t="s">
        <v>8</v>
      </c>
      <c r="E21" s="161" t="s">
        <v>19</v>
      </c>
      <c r="F21" s="222">
        <v>358</v>
      </c>
      <c r="G21" s="222">
        <v>352</v>
      </c>
      <c r="H21" s="222">
        <v>6</v>
      </c>
      <c r="I21" s="207">
        <f t="shared" si="6"/>
        <v>837.98882681564248</v>
      </c>
      <c r="J21" s="242">
        <f t="shared" si="7"/>
        <v>5027.9329608938551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43657</v>
      </c>
      <c r="D22" s="161" t="s">
        <v>9</v>
      </c>
      <c r="E22" s="161" t="s">
        <v>31</v>
      </c>
      <c r="F22" s="222">
        <v>1286</v>
      </c>
      <c r="G22" s="222">
        <v>1285.5</v>
      </c>
      <c r="H22" s="222">
        <v>-0.5</v>
      </c>
      <c r="I22" s="207">
        <f t="shared" si="6"/>
        <v>233.28149300155522</v>
      </c>
      <c r="J22" s="242">
        <f t="shared" si="7"/>
        <v>-116.64074650077761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43657</v>
      </c>
      <c r="D23" s="161" t="s">
        <v>8</v>
      </c>
      <c r="E23" s="161" t="s">
        <v>95</v>
      </c>
      <c r="F23" s="222">
        <v>427</v>
      </c>
      <c r="G23" s="222">
        <v>425.4</v>
      </c>
      <c r="H23" s="222">
        <v>1.6</v>
      </c>
      <c r="I23" s="207">
        <f t="shared" si="6"/>
        <v>702.57611241217796</v>
      </c>
      <c r="J23" s="242">
        <f t="shared" si="7"/>
        <v>1124.1217798594848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43658</v>
      </c>
      <c r="D24" s="161" t="s">
        <v>9</v>
      </c>
      <c r="E24" s="161" t="s">
        <v>19</v>
      </c>
      <c r="F24" s="222">
        <v>364</v>
      </c>
      <c r="G24" s="222">
        <v>366.5</v>
      </c>
      <c r="H24" s="222">
        <v>2.5</v>
      </c>
      <c r="I24" s="207">
        <f t="shared" si="6"/>
        <v>824.17582417582423</v>
      </c>
      <c r="J24" s="242">
        <f t="shared" si="7"/>
        <v>2060.4395604395604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43658</v>
      </c>
      <c r="D25" s="161" t="s">
        <v>8</v>
      </c>
      <c r="E25" s="161" t="s">
        <v>78</v>
      </c>
      <c r="F25" s="222">
        <v>1478</v>
      </c>
      <c r="G25" s="222">
        <v>1462</v>
      </c>
      <c r="H25" s="222">
        <v>16</v>
      </c>
      <c r="I25" s="207">
        <f t="shared" si="6"/>
        <v>202.97699594046009</v>
      </c>
      <c r="J25" s="242">
        <f t="shared" si="7"/>
        <v>3247.6319350473614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43661</v>
      </c>
      <c r="D26" s="161" t="s">
        <v>9</v>
      </c>
      <c r="E26" s="161" t="s">
        <v>552</v>
      </c>
      <c r="F26" s="222">
        <v>1515</v>
      </c>
      <c r="G26" s="222">
        <v>1500</v>
      </c>
      <c r="H26" s="222">
        <v>-15</v>
      </c>
      <c r="I26" s="207">
        <f t="shared" si="6"/>
        <v>198.01980198019803</v>
      </c>
      <c r="J26" s="242">
        <f t="shared" si="7"/>
        <v>-2970.2970297029706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43661</v>
      </c>
      <c r="D27" s="161" t="s">
        <v>8</v>
      </c>
      <c r="E27" s="161" t="s">
        <v>31</v>
      </c>
      <c r="F27" s="222">
        <v>1276</v>
      </c>
      <c r="G27" s="222">
        <v>1271</v>
      </c>
      <c r="H27" s="222">
        <v>5</v>
      </c>
      <c r="I27" s="207">
        <f t="shared" si="6"/>
        <v>235.10971786833855</v>
      </c>
      <c r="J27" s="242">
        <f t="shared" si="7"/>
        <v>1175.5485893416928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43662</v>
      </c>
      <c r="D28" s="161" t="s">
        <v>9</v>
      </c>
      <c r="E28" s="161" t="s">
        <v>78</v>
      </c>
      <c r="F28" s="222">
        <v>1446</v>
      </c>
      <c r="G28" s="222">
        <v>1461</v>
      </c>
      <c r="H28" s="222">
        <v>15</v>
      </c>
      <c r="I28" s="207">
        <f t="shared" si="6"/>
        <v>207.46887966804979</v>
      </c>
      <c r="J28" s="242">
        <f t="shared" si="7"/>
        <v>3112.0331950207469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43662</v>
      </c>
      <c r="D29" s="161" t="s">
        <v>8</v>
      </c>
      <c r="E29" s="161" t="s">
        <v>119</v>
      </c>
      <c r="F29" s="222">
        <v>1492</v>
      </c>
      <c r="G29" s="222">
        <v>1502</v>
      </c>
      <c r="H29" s="222">
        <v>-10</v>
      </c>
      <c r="I29" s="207">
        <f t="shared" si="6"/>
        <v>201.07238605898124</v>
      </c>
      <c r="J29" s="242">
        <f t="shared" si="7"/>
        <v>-2010.7238605898124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43663</v>
      </c>
      <c r="D30" s="161" t="s">
        <v>9</v>
      </c>
      <c r="E30" s="161" t="s">
        <v>78</v>
      </c>
      <c r="F30" s="222">
        <v>1465</v>
      </c>
      <c r="G30" s="222">
        <v>1469.5</v>
      </c>
      <c r="H30" s="222">
        <v>4.5</v>
      </c>
      <c r="I30" s="207">
        <f t="shared" si="6"/>
        <v>204.77815699658703</v>
      </c>
      <c r="J30" s="242">
        <f t="shared" si="7"/>
        <v>921.50170648464166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43663</v>
      </c>
      <c r="D31" s="161" t="s">
        <v>8</v>
      </c>
      <c r="E31" s="161" t="s">
        <v>31</v>
      </c>
      <c r="F31" s="222">
        <v>1290</v>
      </c>
      <c r="G31" s="222">
        <v>1280</v>
      </c>
      <c r="H31" s="222">
        <v>10</v>
      </c>
      <c r="I31" s="207">
        <f t="shared" si="6"/>
        <v>232.55813953488371</v>
      </c>
      <c r="J31" s="242">
        <f t="shared" si="7"/>
        <v>2325.5813953488368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43664</v>
      </c>
      <c r="D32" s="161" t="s">
        <v>9</v>
      </c>
      <c r="E32" s="161" t="s">
        <v>78</v>
      </c>
      <c r="F32" s="222">
        <v>1444</v>
      </c>
      <c r="G32" s="222">
        <v>1454</v>
      </c>
      <c r="H32" s="222">
        <v>10</v>
      </c>
      <c r="I32" s="207">
        <f t="shared" si="6"/>
        <v>207.75623268698061</v>
      </c>
      <c r="J32" s="242">
        <f t="shared" si="7"/>
        <v>2077.5623268698059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43664</v>
      </c>
      <c r="D33" s="161" t="s">
        <v>8</v>
      </c>
      <c r="E33" s="161" t="s">
        <v>31</v>
      </c>
      <c r="F33" s="222">
        <v>1273</v>
      </c>
      <c r="G33" s="222">
        <v>1258.5</v>
      </c>
      <c r="H33" s="222">
        <v>14.5</v>
      </c>
      <c r="I33" s="207">
        <f t="shared" si="6"/>
        <v>235.6637863315004</v>
      </c>
      <c r="J33" s="242">
        <f t="shared" si="7"/>
        <v>3417.124901806756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43665</v>
      </c>
      <c r="D34" s="161" t="s">
        <v>9</v>
      </c>
      <c r="E34" s="161" t="s">
        <v>31</v>
      </c>
      <c r="F34" s="222">
        <v>1260</v>
      </c>
      <c r="G34" s="222">
        <v>1264.5</v>
      </c>
      <c r="H34" s="222">
        <v>4.5</v>
      </c>
      <c r="I34" s="207">
        <f t="shared" si="6"/>
        <v>238.0952380952381</v>
      </c>
      <c r="J34" s="242">
        <f t="shared" si="7"/>
        <v>1071.4285714285716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43665</v>
      </c>
      <c r="D35" s="161" t="s">
        <v>8</v>
      </c>
      <c r="E35" s="161" t="s">
        <v>78</v>
      </c>
      <c r="F35" s="222">
        <v>1427</v>
      </c>
      <c r="G35" s="222">
        <v>1407</v>
      </c>
      <c r="H35" s="222">
        <v>20</v>
      </c>
      <c r="I35" s="207">
        <f t="shared" si="6"/>
        <v>210.23125437981781</v>
      </c>
      <c r="J35" s="242">
        <f t="shared" si="7"/>
        <v>4204.625087596356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43668</v>
      </c>
      <c r="D36" s="161" t="s">
        <v>9</v>
      </c>
      <c r="E36" s="161" t="s">
        <v>78</v>
      </c>
      <c r="F36" s="222">
        <v>1412</v>
      </c>
      <c r="G36" s="222">
        <v>1416.2</v>
      </c>
      <c r="H36" s="222">
        <v>4.2</v>
      </c>
      <c r="I36" s="207">
        <f t="shared" si="6"/>
        <v>212.46458923512748</v>
      </c>
      <c r="J36" s="242">
        <f t="shared" si="7"/>
        <v>892.35127478753543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43668</v>
      </c>
      <c r="D37" s="161" t="s">
        <v>8</v>
      </c>
      <c r="E37" s="161" t="s">
        <v>19</v>
      </c>
      <c r="F37" s="222">
        <v>352</v>
      </c>
      <c r="G37" s="222">
        <v>349</v>
      </c>
      <c r="H37" s="222">
        <v>3</v>
      </c>
      <c r="I37" s="207">
        <f t="shared" si="6"/>
        <v>852.27272727272725</v>
      </c>
      <c r="J37" s="242">
        <f t="shared" si="7"/>
        <v>2556.818181818182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43669</v>
      </c>
      <c r="D38" s="161" t="s">
        <v>9</v>
      </c>
      <c r="E38" s="161" t="s">
        <v>31</v>
      </c>
      <c r="F38" s="222">
        <v>1287</v>
      </c>
      <c r="G38" s="222">
        <v>1291</v>
      </c>
      <c r="H38" s="222">
        <v>4</v>
      </c>
      <c r="I38" s="207">
        <f t="shared" si="6"/>
        <v>233.10023310023311</v>
      </c>
      <c r="J38" s="242">
        <f t="shared" si="7"/>
        <v>932.40093240093245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43669</v>
      </c>
      <c r="D39" s="161" t="s">
        <v>8</v>
      </c>
      <c r="E39" s="161" t="s">
        <v>78</v>
      </c>
      <c r="F39" s="222">
        <v>1390</v>
      </c>
      <c r="G39" s="222">
        <v>1405</v>
      </c>
      <c r="H39" s="222">
        <v>-15</v>
      </c>
      <c r="I39" s="207">
        <f t="shared" si="6"/>
        <v>215.82733812949641</v>
      </c>
      <c r="J39" s="242">
        <f t="shared" si="7"/>
        <v>-3237.4100719424459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43670</v>
      </c>
      <c r="D40" s="161" t="s">
        <v>9</v>
      </c>
      <c r="E40" s="161" t="s">
        <v>139</v>
      </c>
      <c r="F40" s="222">
        <v>91.3</v>
      </c>
      <c r="G40" s="222">
        <v>90</v>
      </c>
      <c r="H40" s="222">
        <v>-1.3</v>
      </c>
      <c r="I40" s="207">
        <f t="shared" si="6"/>
        <v>3285.8707557502739</v>
      </c>
      <c r="J40" s="242">
        <f t="shared" si="7"/>
        <v>-4271.6319824753564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43670</v>
      </c>
      <c r="D41" s="161" t="s">
        <v>8</v>
      </c>
      <c r="E41" s="161" t="s">
        <v>192</v>
      </c>
      <c r="F41" s="222">
        <v>252.5</v>
      </c>
      <c r="G41" s="223">
        <v>246.5</v>
      </c>
      <c r="H41" s="222">
        <v>6</v>
      </c>
      <c r="I41" s="207">
        <f t="shared" si="6"/>
        <v>1188.1188118811881</v>
      </c>
      <c r="J41" s="242">
        <f t="shared" si="7"/>
        <v>7128.712871287129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43671</v>
      </c>
      <c r="D42" s="161" t="s">
        <v>8</v>
      </c>
      <c r="E42" s="161" t="s">
        <v>192</v>
      </c>
      <c r="F42" s="222">
        <v>242</v>
      </c>
      <c r="G42" s="222">
        <v>236</v>
      </c>
      <c r="H42" s="222">
        <v>6</v>
      </c>
      <c r="I42" s="207">
        <f t="shared" si="6"/>
        <v>1239.6694214876034</v>
      </c>
      <c r="J42" s="242">
        <f t="shared" si="7"/>
        <v>7438.0165289256202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43672</v>
      </c>
      <c r="D43" s="161" t="s">
        <v>9</v>
      </c>
      <c r="E43" s="161" t="s">
        <v>78</v>
      </c>
      <c r="F43" s="222">
        <v>1376</v>
      </c>
      <c r="G43" s="222">
        <v>1396</v>
      </c>
      <c r="H43" s="222">
        <v>20</v>
      </c>
      <c r="I43" s="207">
        <f t="shared" si="6"/>
        <v>218.02325581395348</v>
      </c>
      <c r="J43" s="242">
        <f t="shared" si="7"/>
        <v>4360.4651162790697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43672</v>
      </c>
      <c r="D44" s="161" t="s">
        <v>8</v>
      </c>
      <c r="E44" s="161" t="s">
        <v>31</v>
      </c>
      <c r="F44" s="222">
        <v>1220</v>
      </c>
      <c r="G44" s="222">
        <v>1230</v>
      </c>
      <c r="H44" s="222">
        <v>-10</v>
      </c>
      <c r="I44" s="207">
        <f t="shared" si="6"/>
        <v>245.90163934426229</v>
      </c>
      <c r="J44" s="242">
        <f t="shared" si="7"/>
        <v>-2459.0163934426228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43675</v>
      </c>
      <c r="D45" s="161" t="s">
        <v>9</v>
      </c>
      <c r="E45" s="161" t="s">
        <v>95</v>
      </c>
      <c r="F45" s="222">
        <v>433</v>
      </c>
      <c r="G45" s="222">
        <v>429</v>
      </c>
      <c r="H45" s="222">
        <v>-4</v>
      </c>
      <c r="I45" s="207">
        <f t="shared" si="6"/>
        <v>692.84064665127016</v>
      </c>
      <c r="J45" s="242">
        <f t="shared" si="7"/>
        <v>-2771.3625866050807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43675</v>
      </c>
      <c r="D46" s="161" t="s">
        <v>8</v>
      </c>
      <c r="E46" s="161" t="s">
        <v>78</v>
      </c>
      <c r="F46" s="222">
        <v>1386</v>
      </c>
      <c r="G46" s="222">
        <v>1366</v>
      </c>
      <c r="H46" s="222">
        <v>20</v>
      </c>
      <c r="I46" s="207">
        <f t="shared" si="6"/>
        <v>216.45021645021646</v>
      </c>
      <c r="J46" s="242">
        <f t="shared" si="7"/>
        <v>4329.0043290043295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43676</v>
      </c>
      <c r="D47" s="161" t="s">
        <v>9</v>
      </c>
      <c r="E47" s="161" t="s">
        <v>78</v>
      </c>
      <c r="F47" s="222">
        <v>1387</v>
      </c>
      <c r="G47" s="222">
        <v>1391.2</v>
      </c>
      <c r="H47" s="222">
        <v>4.2</v>
      </c>
      <c r="I47" s="207">
        <f t="shared" si="6"/>
        <v>216.29416005767845</v>
      </c>
      <c r="J47" s="242">
        <f t="shared" si="7"/>
        <v>908.43547224224949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43676</v>
      </c>
      <c r="D48" s="161" t="s">
        <v>8</v>
      </c>
      <c r="E48" s="161" t="s">
        <v>31</v>
      </c>
      <c r="F48" s="222">
        <v>1213</v>
      </c>
      <c r="G48" s="222">
        <v>1193</v>
      </c>
      <c r="H48" s="222">
        <v>20</v>
      </c>
      <c r="I48" s="207">
        <f t="shared" si="6"/>
        <v>247.32069249793901</v>
      </c>
      <c r="J48" s="242">
        <f t="shared" si="7"/>
        <v>4946.4138499587798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43677</v>
      </c>
      <c r="D49" s="161" t="s">
        <v>9</v>
      </c>
      <c r="E49" s="161" t="s">
        <v>78</v>
      </c>
      <c r="F49" s="222">
        <v>1388</v>
      </c>
      <c r="G49" s="222">
        <v>1378</v>
      </c>
      <c r="H49" s="222">
        <v>-10</v>
      </c>
      <c r="I49" s="207">
        <f t="shared" si="6"/>
        <v>216.13832853025937</v>
      </c>
      <c r="J49" s="242">
        <f t="shared" si="7"/>
        <v>-2161.3832853025938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>
        <v>43677</v>
      </c>
      <c r="D50" s="161" t="s">
        <v>8</v>
      </c>
      <c r="E50" s="161" t="s">
        <v>95</v>
      </c>
      <c r="F50" s="222">
        <v>427</v>
      </c>
      <c r="G50" s="222">
        <v>421.5</v>
      </c>
      <c r="H50" s="222">
        <v>5.5</v>
      </c>
      <c r="I50" s="207">
        <f t="shared" si="6"/>
        <v>702.57611241217796</v>
      </c>
      <c r="J50" s="242">
        <f t="shared" si="7"/>
        <v>3864.1686182669787</v>
      </c>
      <c r="K50" s="153"/>
      <c r="V50" s="25">
        <f t="shared" si="3"/>
        <v>1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>
        <f t="shared" si="7"/>
        <v>0</v>
      </c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75717.463534688053</v>
      </c>
      <c r="K52" s="153"/>
      <c r="V52" s="25">
        <f>SUM(V6:V51)</f>
        <v>36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2758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43647</v>
      </c>
      <c r="D60" s="158" t="s">
        <v>8</v>
      </c>
      <c r="E60" s="158" t="s">
        <v>19</v>
      </c>
      <c r="F60" s="230">
        <v>360.5</v>
      </c>
      <c r="G60" s="230">
        <v>359.6</v>
      </c>
      <c r="H60" s="230">
        <v>0.9</v>
      </c>
      <c r="I60" s="204">
        <v>3000</v>
      </c>
      <c r="J60" s="241">
        <f t="shared" ref="J60:J83" si="15">I60*H60</f>
        <v>2700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43648</v>
      </c>
      <c r="D61" s="161" t="s">
        <v>8</v>
      </c>
      <c r="E61" s="161" t="s">
        <v>19</v>
      </c>
      <c r="F61" s="207">
        <v>363</v>
      </c>
      <c r="G61" s="222">
        <v>361.8</v>
      </c>
      <c r="H61" s="222">
        <v>1.2</v>
      </c>
      <c r="I61" s="207">
        <v>3000</v>
      </c>
      <c r="J61" s="242">
        <f t="shared" si="15"/>
        <v>3600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43649</v>
      </c>
      <c r="D62" s="161" t="s">
        <v>8</v>
      </c>
      <c r="E62" s="161" t="s">
        <v>19</v>
      </c>
      <c r="F62" s="222">
        <v>365</v>
      </c>
      <c r="G62" s="222">
        <v>367.2</v>
      </c>
      <c r="H62" s="222">
        <v>-2.2000000000000002</v>
      </c>
      <c r="I62" s="207">
        <v>3000</v>
      </c>
      <c r="J62" s="242">
        <f t="shared" si="15"/>
        <v>-6600.0000000000009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43650</v>
      </c>
      <c r="D63" s="161" t="s">
        <v>8</v>
      </c>
      <c r="E63" s="161" t="s">
        <v>58</v>
      </c>
      <c r="F63" s="222">
        <v>812</v>
      </c>
      <c r="G63" s="222">
        <v>809.3</v>
      </c>
      <c r="H63" s="222">
        <v>2.7</v>
      </c>
      <c r="I63" s="207">
        <v>1200</v>
      </c>
      <c r="J63" s="242">
        <f t="shared" si="15"/>
        <v>3240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43651</v>
      </c>
      <c r="D64" s="161" t="s">
        <v>9</v>
      </c>
      <c r="E64" s="161" t="s">
        <v>58</v>
      </c>
      <c r="F64" s="222">
        <v>813</v>
      </c>
      <c r="G64" s="222">
        <v>806</v>
      </c>
      <c r="H64" s="222">
        <v>-6</v>
      </c>
      <c r="I64" s="207">
        <v>1200</v>
      </c>
      <c r="J64" s="242">
        <f t="shared" si="15"/>
        <v>-7200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43654</v>
      </c>
      <c r="D65" s="161" t="s">
        <v>8</v>
      </c>
      <c r="E65" s="161" t="s">
        <v>78</v>
      </c>
      <c r="F65" s="207">
        <v>1485</v>
      </c>
      <c r="G65" s="222">
        <v>1455</v>
      </c>
      <c r="H65" s="222">
        <v>30</v>
      </c>
      <c r="I65" s="207">
        <v>375</v>
      </c>
      <c r="J65" s="242">
        <f t="shared" si="15"/>
        <v>11250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43655</v>
      </c>
      <c r="D66" s="161" t="s">
        <v>8</v>
      </c>
      <c r="E66" s="161" t="s">
        <v>126</v>
      </c>
      <c r="F66" s="207">
        <v>2115</v>
      </c>
      <c r="G66" s="222">
        <v>2105</v>
      </c>
      <c r="H66" s="222">
        <v>10</v>
      </c>
      <c r="I66" s="207">
        <v>250</v>
      </c>
      <c r="J66" s="242">
        <f t="shared" si="15"/>
        <v>2500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43656</v>
      </c>
      <c r="D67" s="161" t="s">
        <v>8</v>
      </c>
      <c r="E67" s="161" t="s">
        <v>58</v>
      </c>
      <c r="F67" s="222">
        <v>789</v>
      </c>
      <c r="G67" s="222">
        <v>777</v>
      </c>
      <c r="H67" s="222">
        <v>12</v>
      </c>
      <c r="I67" s="207">
        <v>1200</v>
      </c>
      <c r="J67" s="242">
        <f t="shared" si="15"/>
        <v>14400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43657</v>
      </c>
      <c r="D68" s="161" t="s">
        <v>9</v>
      </c>
      <c r="E68" s="161" t="s">
        <v>31</v>
      </c>
      <c r="F68" s="222">
        <v>1290</v>
      </c>
      <c r="G68" s="222">
        <v>1287</v>
      </c>
      <c r="H68" s="222">
        <v>-3</v>
      </c>
      <c r="I68" s="207">
        <v>500</v>
      </c>
      <c r="J68" s="242">
        <f t="shared" si="15"/>
        <v>-1500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43658</v>
      </c>
      <c r="D69" s="161" t="s">
        <v>8</v>
      </c>
      <c r="E69" s="161" t="s">
        <v>58</v>
      </c>
      <c r="F69" s="222">
        <v>762</v>
      </c>
      <c r="G69" s="222">
        <v>754</v>
      </c>
      <c r="H69" s="222">
        <v>8</v>
      </c>
      <c r="I69" s="207">
        <v>1200</v>
      </c>
      <c r="J69" s="242">
        <f t="shared" si="15"/>
        <v>9600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43661</v>
      </c>
      <c r="D70" s="161" t="s">
        <v>8</v>
      </c>
      <c r="E70" s="161" t="s">
        <v>58</v>
      </c>
      <c r="F70" s="161">
        <v>750</v>
      </c>
      <c r="G70" s="222">
        <v>746.8</v>
      </c>
      <c r="H70" s="222">
        <v>3.2</v>
      </c>
      <c r="I70" s="207">
        <v>1200</v>
      </c>
      <c r="J70" s="242">
        <f t="shared" si="15"/>
        <v>3840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43662</v>
      </c>
      <c r="D71" s="161" t="s">
        <v>9</v>
      </c>
      <c r="E71" s="161" t="s">
        <v>58</v>
      </c>
      <c r="F71" s="222">
        <v>759</v>
      </c>
      <c r="G71" s="222">
        <v>764</v>
      </c>
      <c r="H71" s="222">
        <v>5</v>
      </c>
      <c r="I71" s="207">
        <v>1200</v>
      </c>
      <c r="J71" s="242">
        <f t="shared" si="15"/>
        <v>6000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43663</v>
      </c>
      <c r="D72" s="161" t="s">
        <v>8</v>
      </c>
      <c r="E72" s="161" t="s">
        <v>58</v>
      </c>
      <c r="F72" s="222">
        <v>761</v>
      </c>
      <c r="G72" s="222">
        <v>752.5</v>
      </c>
      <c r="H72" s="222">
        <v>8.5</v>
      </c>
      <c r="I72" s="207">
        <v>1200</v>
      </c>
      <c r="J72" s="242">
        <f t="shared" si="15"/>
        <v>10200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43664</v>
      </c>
      <c r="D73" s="161" t="s">
        <v>8</v>
      </c>
      <c r="E73" s="161" t="s">
        <v>58</v>
      </c>
      <c r="F73" s="223">
        <v>750</v>
      </c>
      <c r="G73" s="222">
        <v>738</v>
      </c>
      <c r="H73" s="255">
        <v>12</v>
      </c>
      <c r="I73" s="207">
        <v>1200</v>
      </c>
      <c r="J73" s="242">
        <f t="shared" si="15"/>
        <v>14400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43665</v>
      </c>
      <c r="D74" s="161" t="s">
        <v>8</v>
      </c>
      <c r="E74" s="161" t="s">
        <v>58</v>
      </c>
      <c r="F74" s="222">
        <v>738</v>
      </c>
      <c r="G74" s="222">
        <v>726</v>
      </c>
      <c r="H74" s="255">
        <v>12</v>
      </c>
      <c r="I74" s="207">
        <v>1200</v>
      </c>
      <c r="J74" s="242">
        <f t="shared" si="15"/>
        <v>14400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43668</v>
      </c>
      <c r="D75" s="161" t="s">
        <v>9</v>
      </c>
      <c r="E75" s="161" t="s">
        <v>58</v>
      </c>
      <c r="F75" s="222">
        <v>733</v>
      </c>
      <c r="G75" s="222">
        <v>727</v>
      </c>
      <c r="H75" s="222">
        <v>-6</v>
      </c>
      <c r="I75" s="207">
        <v>1200</v>
      </c>
      <c r="J75" s="242">
        <f t="shared" si="15"/>
        <v>-7200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43669</v>
      </c>
      <c r="D76" s="161" t="s">
        <v>8</v>
      </c>
      <c r="E76" s="161" t="s">
        <v>58</v>
      </c>
      <c r="F76" s="222">
        <v>735</v>
      </c>
      <c r="G76" s="222">
        <v>729</v>
      </c>
      <c r="H76" s="222">
        <v>6</v>
      </c>
      <c r="I76" s="207">
        <v>1200</v>
      </c>
      <c r="J76" s="242">
        <f t="shared" si="15"/>
        <v>7200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43670</v>
      </c>
      <c r="D77" s="161" t="s">
        <v>8</v>
      </c>
      <c r="E77" s="161" t="s">
        <v>58</v>
      </c>
      <c r="F77" s="222">
        <v>720</v>
      </c>
      <c r="G77" s="222">
        <v>710.8</v>
      </c>
      <c r="H77" s="222">
        <v>9.1999999999999993</v>
      </c>
      <c r="I77" s="207">
        <v>1200</v>
      </c>
      <c r="J77" s="242">
        <f t="shared" si="15"/>
        <v>11040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43671</v>
      </c>
      <c r="D78" s="161" t="s">
        <v>8</v>
      </c>
      <c r="E78" s="161" t="s">
        <v>58</v>
      </c>
      <c r="F78" s="222">
        <v>719</v>
      </c>
      <c r="G78" s="222">
        <v>713</v>
      </c>
      <c r="H78" s="222">
        <v>6</v>
      </c>
      <c r="I78" s="207">
        <v>1200</v>
      </c>
      <c r="J78" s="242">
        <f t="shared" si="15"/>
        <v>7200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43672</v>
      </c>
      <c r="D79" s="161" t="s">
        <v>8</v>
      </c>
      <c r="E79" s="161" t="s">
        <v>58</v>
      </c>
      <c r="F79" s="222">
        <v>728</v>
      </c>
      <c r="G79" s="222">
        <v>734</v>
      </c>
      <c r="H79" s="222">
        <v>-6</v>
      </c>
      <c r="I79" s="207">
        <v>1200</v>
      </c>
      <c r="J79" s="242">
        <f t="shared" si="15"/>
        <v>-7200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43675</v>
      </c>
      <c r="D80" s="161" t="s">
        <v>8</v>
      </c>
      <c r="E80" s="161" t="s">
        <v>58</v>
      </c>
      <c r="F80" s="222">
        <v>720.5</v>
      </c>
      <c r="G80" s="222">
        <v>714.5</v>
      </c>
      <c r="H80" s="222">
        <v>6</v>
      </c>
      <c r="I80" s="207">
        <v>1200</v>
      </c>
      <c r="J80" s="242">
        <f t="shared" si="15"/>
        <v>7200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43676</v>
      </c>
      <c r="D81" s="161" t="s">
        <v>8</v>
      </c>
      <c r="E81" s="161" t="s">
        <v>58</v>
      </c>
      <c r="F81" s="222">
        <v>720</v>
      </c>
      <c r="G81" s="222">
        <v>708</v>
      </c>
      <c r="H81" s="222">
        <v>12</v>
      </c>
      <c r="I81" s="207">
        <v>1200</v>
      </c>
      <c r="J81" s="242">
        <f t="shared" si="15"/>
        <v>14400</v>
      </c>
      <c r="K81" s="153"/>
    </row>
    <row r="82" spans="1:23" x14ac:dyDescent="0.3">
      <c r="A82" s="147"/>
      <c r="B82" s="205">
        <f t="shared" si="18"/>
        <v>23</v>
      </c>
      <c r="C82" s="206">
        <v>43677</v>
      </c>
      <c r="D82" s="161" t="s">
        <v>8</v>
      </c>
      <c r="E82" s="161" t="s">
        <v>58</v>
      </c>
      <c r="F82" s="222">
        <v>678</v>
      </c>
      <c r="G82" s="222">
        <v>684</v>
      </c>
      <c r="H82" s="222">
        <v>6</v>
      </c>
      <c r="I82" s="207">
        <v>1200</v>
      </c>
      <c r="J82" s="242">
        <f t="shared" si="15"/>
        <v>7200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120670</v>
      </c>
      <c r="K84" s="153"/>
      <c r="V84" s="25">
        <f>SUM(V60:V83)</f>
        <v>17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2759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43647</v>
      </c>
      <c r="D92" s="185" t="s">
        <v>9</v>
      </c>
      <c r="E92" s="185" t="s">
        <v>39</v>
      </c>
      <c r="F92" s="219">
        <v>11880</v>
      </c>
      <c r="G92" s="219">
        <v>11920</v>
      </c>
      <c r="H92" s="185"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43648</v>
      </c>
      <c r="D93" s="161" t="s">
        <v>8</v>
      </c>
      <c r="E93" s="161" t="s">
        <v>39</v>
      </c>
      <c r="F93" s="207">
        <v>11880</v>
      </c>
      <c r="G93" s="207">
        <v>11850</v>
      </c>
      <c r="H93" s="161">
        <v>30</v>
      </c>
      <c r="I93" s="207">
        <v>150</v>
      </c>
      <c r="J93" s="242">
        <f t="shared" si="19"/>
        <v>4500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43649</v>
      </c>
      <c r="D94" s="161" t="s">
        <v>8</v>
      </c>
      <c r="E94" s="161" t="s">
        <v>39</v>
      </c>
      <c r="F94" s="207">
        <v>11940</v>
      </c>
      <c r="G94" s="207">
        <v>11970</v>
      </c>
      <c r="H94" s="161">
        <v>-30</v>
      </c>
      <c r="I94" s="207">
        <v>150</v>
      </c>
      <c r="J94" s="242">
        <f t="shared" si="19"/>
        <v>-4500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43650</v>
      </c>
      <c r="D95" s="161" t="s">
        <v>8</v>
      </c>
      <c r="E95" s="161" t="s">
        <v>39</v>
      </c>
      <c r="F95" s="207">
        <v>11980</v>
      </c>
      <c r="G95" s="207">
        <v>11965</v>
      </c>
      <c r="H95" s="161">
        <v>15</v>
      </c>
      <c r="I95" s="207">
        <v>150</v>
      </c>
      <c r="J95" s="242">
        <f t="shared" si="19"/>
        <v>2250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43651</v>
      </c>
      <c r="D96" s="161" t="s">
        <v>8</v>
      </c>
      <c r="E96" s="161" t="s">
        <v>39</v>
      </c>
      <c r="F96" s="207">
        <v>11960</v>
      </c>
      <c r="G96" s="207">
        <v>11920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43654</v>
      </c>
      <c r="D97" s="161" t="s">
        <v>8</v>
      </c>
      <c r="E97" s="161" t="s">
        <v>39</v>
      </c>
      <c r="F97" s="207">
        <v>11705</v>
      </c>
      <c r="G97" s="207">
        <v>11645</v>
      </c>
      <c r="H97" s="161">
        <v>60</v>
      </c>
      <c r="I97" s="207">
        <v>150</v>
      </c>
      <c r="J97" s="242">
        <f t="shared" si="19"/>
        <v>9000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43655</v>
      </c>
      <c r="D98" s="161" t="s">
        <v>8</v>
      </c>
      <c r="E98" s="161" t="s">
        <v>39</v>
      </c>
      <c r="F98" s="207">
        <v>11515</v>
      </c>
      <c r="G98" s="207">
        <v>11500</v>
      </c>
      <c r="H98" s="161">
        <v>15</v>
      </c>
      <c r="I98" s="207">
        <v>150</v>
      </c>
      <c r="J98" s="242">
        <f t="shared" si="19"/>
        <v>2250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43656</v>
      </c>
      <c r="D99" s="161" t="s">
        <v>8</v>
      </c>
      <c r="E99" s="161" t="s">
        <v>39</v>
      </c>
      <c r="F99" s="207">
        <v>11570</v>
      </c>
      <c r="G99" s="207">
        <v>11510</v>
      </c>
      <c r="H99" s="161">
        <v>60</v>
      </c>
      <c r="I99" s="207">
        <v>150</v>
      </c>
      <c r="J99" s="242">
        <f t="shared" si="19"/>
        <v>9000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43657</v>
      </c>
      <c r="D100" s="161" t="s">
        <v>8</v>
      </c>
      <c r="E100" s="161" t="s">
        <v>39</v>
      </c>
      <c r="F100" s="207">
        <v>11560</v>
      </c>
      <c r="G100" s="207">
        <v>11590</v>
      </c>
      <c r="H100" s="161">
        <v>-30</v>
      </c>
      <c r="I100" s="207">
        <v>150</v>
      </c>
      <c r="J100" s="242">
        <f t="shared" si="19"/>
        <v>-4500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43658</v>
      </c>
      <c r="D101" s="161" t="s">
        <v>8</v>
      </c>
      <c r="E101" s="161" t="s">
        <v>39</v>
      </c>
      <c r="F101" s="207">
        <v>11550</v>
      </c>
      <c r="G101" s="207">
        <v>11580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43661</v>
      </c>
      <c r="D102" s="161" t="s">
        <v>8</v>
      </c>
      <c r="E102" s="161" t="s">
        <v>39</v>
      </c>
      <c r="F102" s="207">
        <v>11565</v>
      </c>
      <c r="G102" s="207">
        <v>11520</v>
      </c>
      <c r="H102" s="161">
        <v>45</v>
      </c>
      <c r="I102" s="207">
        <v>150</v>
      </c>
      <c r="J102" s="242">
        <f t="shared" si="19"/>
        <v>6750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43662</v>
      </c>
      <c r="D103" s="161" t="s">
        <v>8</v>
      </c>
      <c r="E103" s="161" t="s">
        <v>39</v>
      </c>
      <c r="F103" s="207">
        <v>11625</v>
      </c>
      <c r="G103" s="207">
        <v>11655</v>
      </c>
      <c r="H103" s="161">
        <v>-30</v>
      </c>
      <c r="I103" s="207">
        <v>150</v>
      </c>
      <c r="J103" s="242">
        <f t="shared" si="19"/>
        <v>-4500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43663</v>
      </c>
      <c r="D104" s="161" t="s">
        <v>8</v>
      </c>
      <c r="E104" s="161" t="s">
        <v>39</v>
      </c>
      <c r="F104" s="207">
        <v>11680</v>
      </c>
      <c r="G104" s="207">
        <v>11650</v>
      </c>
      <c r="H104" s="161">
        <v>30</v>
      </c>
      <c r="I104" s="207">
        <v>150</v>
      </c>
      <c r="J104" s="242">
        <f t="shared" si="19"/>
        <v>4500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43664</v>
      </c>
      <c r="D105" s="161" t="s">
        <v>8</v>
      </c>
      <c r="E105" s="161" t="s">
        <v>39</v>
      </c>
      <c r="F105" s="207">
        <v>11660</v>
      </c>
      <c r="G105" s="207">
        <v>11600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43665</v>
      </c>
      <c r="D106" s="161" t="s">
        <v>8</v>
      </c>
      <c r="E106" s="161" t="s">
        <v>39</v>
      </c>
      <c r="F106" s="207">
        <v>1152</v>
      </c>
      <c r="G106" s="207">
        <v>11460</v>
      </c>
      <c r="H106" s="161">
        <v>60</v>
      </c>
      <c r="I106" s="207">
        <v>150</v>
      </c>
      <c r="J106" s="242">
        <f t="shared" si="19"/>
        <v>9000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43668</v>
      </c>
      <c r="D107" s="161" t="s">
        <v>8</v>
      </c>
      <c r="E107" s="161" t="s">
        <v>39</v>
      </c>
      <c r="F107" s="207">
        <v>11360</v>
      </c>
      <c r="G107" s="207">
        <v>11320</v>
      </c>
      <c r="H107" s="161">
        <v>40</v>
      </c>
      <c r="I107" s="207">
        <v>150</v>
      </c>
      <c r="J107" s="242">
        <f t="shared" si="19"/>
        <v>6000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43669</v>
      </c>
      <c r="D108" s="161" t="s">
        <v>8</v>
      </c>
      <c r="E108" s="161" t="s">
        <v>39</v>
      </c>
      <c r="F108" s="207">
        <v>11340</v>
      </c>
      <c r="G108" s="207">
        <v>11370</v>
      </c>
      <c r="H108" s="161">
        <v>-30</v>
      </c>
      <c r="I108" s="207">
        <v>150</v>
      </c>
      <c r="J108" s="242">
        <f t="shared" si="19"/>
        <v>-4500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43670</v>
      </c>
      <c r="D109" s="161" t="s">
        <v>8</v>
      </c>
      <c r="E109" s="161" t="s">
        <v>39</v>
      </c>
      <c r="F109" s="207">
        <v>11260</v>
      </c>
      <c r="G109" s="207">
        <v>11230</v>
      </c>
      <c r="H109" s="161">
        <v>30</v>
      </c>
      <c r="I109" s="207">
        <v>150</v>
      </c>
      <c r="J109" s="242">
        <f t="shared" si="19"/>
        <v>4500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43671</v>
      </c>
      <c r="D110" s="161" t="s">
        <v>8</v>
      </c>
      <c r="E110" s="161" t="s">
        <v>39</v>
      </c>
      <c r="F110" s="207">
        <v>11325</v>
      </c>
      <c r="G110" s="207">
        <v>11265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43672</v>
      </c>
      <c r="D111" s="161" t="s">
        <v>8</v>
      </c>
      <c r="E111" s="161" t="s">
        <v>39</v>
      </c>
      <c r="F111" s="207">
        <v>11275</v>
      </c>
      <c r="G111" s="207">
        <v>11305</v>
      </c>
      <c r="H111" s="161">
        <v>-30</v>
      </c>
      <c r="I111" s="207">
        <v>150</v>
      </c>
      <c r="J111" s="242">
        <f t="shared" si="19"/>
        <v>-4500</v>
      </c>
      <c r="K111" s="153"/>
      <c r="V111" s="25">
        <f t="shared" si="20"/>
        <v>0</v>
      </c>
      <c r="W111" s="25">
        <f t="shared" si="21"/>
        <v>1</v>
      </c>
    </row>
    <row r="112" spans="1:23" x14ac:dyDescent="0.3">
      <c r="A112" s="147"/>
      <c r="B112" s="205">
        <f t="shared" si="22"/>
        <v>21</v>
      </c>
      <c r="C112" s="206">
        <v>43675</v>
      </c>
      <c r="D112" s="161" t="s">
        <v>8</v>
      </c>
      <c r="E112" s="161" t="s">
        <v>39</v>
      </c>
      <c r="F112" s="207">
        <v>11280</v>
      </c>
      <c r="G112" s="207">
        <v>11220</v>
      </c>
      <c r="H112" s="161">
        <v>60</v>
      </c>
      <c r="I112" s="207">
        <v>150</v>
      </c>
      <c r="J112" s="242">
        <f t="shared" si="19"/>
        <v>9000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43676</v>
      </c>
      <c r="D113" s="161" t="s">
        <v>8</v>
      </c>
      <c r="E113" s="161" t="s">
        <v>39</v>
      </c>
      <c r="F113" s="207">
        <v>11260</v>
      </c>
      <c r="G113" s="207">
        <v>11200</v>
      </c>
      <c r="H113" s="161">
        <v>60</v>
      </c>
      <c r="I113" s="207">
        <v>150</v>
      </c>
      <c r="J113" s="242">
        <f t="shared" si="19"/>
        <v>9000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>
        <v>43677</v>
      </c>
      <c r="D114" s="166" t="s">
        <v>8</v>
      </c>
      <c r="E114" s="166" t="s">
        <v>39</v>
      </c>
      <c r="F114" s="210">
        <v>11070</v>
      </c>
      <c r="G114" s="210">
        <v>11040</v>
      </c>
      <c r="H114" s="166">
        <v>30</v>
      </c>
      <c r="I114" s="210">
        <v>150</v>
      </c>
      <c r="J114" s="244">
        <f t="shared" si="19"/>
        <v>4500</v>
      </c>
      <c r="K114" s="153"/>
      <c r="V114" s="25">
        <f t="shared" si="20"/>
        <v>1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83250</v>
      </c>
      <c r="K115" s="153"/>
      <c r="V115" s="25">
        <f>SUM(V92:V114)</f>
        <v>17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2757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43647</v>
      </c>
      <c r="D123" s="185" t="s">
        <v>9</v>
      </c>
      <c r="E123" s="185" t="s">
        <v>2716</v>
      </c>
      <c r="F123" s="219">
        <v>100</v>
      </c>
      <c r="G123" s="219">
        <v>120</v>
      </c>
      <c r="H123" s="185">
        <v>20</v>
      </c>
      <c r="I123" s="219">
        <v>300</v>
      </c>
      <c r="J123" s="246">
        <f t="shared" ref="J123:J145" si="23">I123*H123</f>
        <v>6000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43648</v>
      </c>
      <c r="D124" s="161" t="s">
        <v>9</v>
      </c>
      <c r="E124" s="161" t="s">
        <v>2455</v>
      </c>
      <c r="F124" s="207">
        <v>90</v>
      </c>
      <c r="G124" s="207">
        <v>100</v>
      </c>
      <c r="H124" s="161">
        <v>10</v>
      </c>
      <c r="I124" s="207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43649</v>
      </c>
      <c r="D125" s="161" t="s">
        <v>9</v>
      </c>
      <c r="E125" s="161" t="s">
        <v>2739</v>
      </c>
      <c r="F125" s="207">
        <v>95</v>
      </c>
      <c r="G125" s="207">
        <v>75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43650</v>
      </c>
      <c r="D126" s="161" t="s">
        <v>9</v>
      </c>
      <c r="E126" s="161" t="s">
        <v>2764</v>
      </c>
      <c r="F126" s="207">
        <v>100</v>
      </c>
      <c r="G126" s="207">
        <v>110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43651</v>
      </c>
      <c r="D127" s="161" t="s">
        <v>9</v>
      </c>
      <c r="E127" s="161" t="s">
        <v>2455</v>
      </c>
      <c r="F127" s="207">
        <v>90</v>
      </c>
      <c r="G127" s="207">
        <v>70</v>
      </c>
      <c r="H127" s="161">
        <v>-20</v>
      </c>
      <c r="I127" s="207">
        <v>300</v>
      </c>
      <c r="J127" s="242">
        <f t="shared" si="23"/>
        <v>-6000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43654</v>
      </c>
      <c r="D128" s="161" t="s">
        <v>9</v>
      </c>
      <c r="E128" s="161" t="s">
        <v>2566</v>
      </c>
      <c r="F128" s="207">
        <v>140</v>
      </c>
      <c r="G128" s="222">
        <v>180</v>
      </c>
      <c r="H128" s="222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43655</v>
      </c>
      <c r="D129" s="161" t="s">
        <v>9</v>
      </c>
      <c r="E129" s="161" t="s">
        <v>2571</v>
      </c>
      <c r="F129" s="207">
        <v>115</v>
      </c>
      <c r="G129" s="207">
        <v>135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43656</v>
      </c>
      <c r="D130" s="161" t="s">
        <v>9</v>
      </c>
      <c r="E130" s="161" t="s">
        <v>2555</v>
      </c>
      <c r="F130" s="207">
        <v>140</v>
      </c>
      <c r="G130" s="207">
        <v>260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43657</v>
      </c>
      <c r="D131" s="161" t="s">
        <v>9</v>
      </c>
      <c r="E131" s="161" t="s">
        <v>2555</v>
      </c>
      <c r="F131" s="207">
        <v>135</v>
      </c>
      <c r="G131" s="207">
        <v>145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43658</v>
      </c>
      <c r="D132" s="161" t="s">
        <v>9</v>
      </c>
      <c r="E132" s="161" t="s">
        <v>2770</v>
      </c>
      <c r="F132" s="207">
        <v>100</v>
      </c>
      <c r="G132" s="222">
        <v>110</v>
      </c>
      <c r="H132" s="222">
        <v>10</v>
      </c>
      <c r="I132" s="207">
        <v>300</v>
      </c>
      <c r="J132" s="242">
        <f t="shared" si="23"/>
        <v>3000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43661</v>
      </c>
      <c r="D133" s="161" t="s">
        <v>9</v>
      </c>
      <c r="E133" s="161" t="s">
        <v>2770</v>
      </c>
      <c r="F133" s="207">
        <v>120</v>
      </c>
      <c r="G133" s="207">
        <v>140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43662</v>
      </c>
      <c r="D134" s="161" t="s">
        <v>9</v>
      </c>
      <c r="E134" s="161" t="s">
        <v>2555</v>
      </c>
      <c r="F134" s="207">
        <v>90</v>
      </c>
      <c r="G134" s="207">
        <v>70</v>
      </c>
      <c r="H134" s="161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43663</v>
      </c>
      <c r="D135" s="161" t="s">
        <v>9</v>
      </c>
      <c r="E135" s="161" t="s">
        <v>2566</v>
      </c>
      <c r="F135" s="207">
        <v>113</v>
      </c>
      <c r="G135" s="207">
        <v>141</v>
      </c>
      <c r="H135" s="161">
        <v>28</v>
      </c>
      <c r="I135" s="207">
        <v>300</v>
      </c>
      <c r="J135" s="242">
        <f t="shared" si="23"/>
        <v>8400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43664</v>
      </c>
      <c r="D136" s="161" t="s">
        <v>9</v>
      </c>
      <c r="E136" s="161" t="s">
        <v>2566</v>
      </c>
      <c r="F136" s="207">
        <v>130</v>
      </c>
      <c r="G136" s="207">
        <v>170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43665</v>
      </c>
      <c r="D137" s="161" t="s">
        <v>9</v>
      </c>
      <c r="E137" s="161" t="s">
        <v>2571</v>
      </c>
      <c r="F137" s="207">
        <v>115</v>
      </c>
      <c r="G137" s="207">
        <v>155</v>
      </c>
      <c r="H137" s="161">
        <v>40</v>
      </c>
      <c r="I137" s="207">
        <v>300</v>
      </c>
      <c r="J137" s="242">
        <f t="shared" si="23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43668</v>
      </c>
      <c r="D138" s="161" t="s">
        <v>9</v>
      </c>
      <c r="E138" s="161" t="s">
        <v>2776</v>
      </c>
      <c r="F138" s="207">
        <v>110</v>
      </c>
      <c r="G138" s="207">
        <v>140</v>
      </c>
      <c r="H138" s="161">
        <v>30</v>
      </c>
      <c r="I138" s="207">
        <v>300</v>
      </c>
      <c r="J138" s="242">
        <f t="shared" si="23"/>
        <v>9000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43669</v>
      </c>
      <c r="D139" s="161" t="s">
        <v>9</v>
      </c>
      <c r="E139" s="161" t="s">
        <v>2776</v>
      </c>
      <c r="F139" s="207">
        <v>105</v>
      </c>
      <c r="G139" s="207">
        <v>115</v>
      </c>
      <c r="H139" s="161">
        <v>10</v>
      </c>
      <c r="I139" s="207">
        <v>300</v>
      </c>
      <c r="J139" s="242">
        <f t="shared" si="23"/>
        <v>3000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43670</v>
      </c>
      <c r="D140" s="161" t="s">
        <v>9</v>
      </c>
      <c r="E140" s="161" t="s">
        <v>2780</v>
      </c>
      <c r="F140" s="207">
        <v>112</v>
      </c>
      <c r="G140" s="207">
        <v>123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43671</v>
      </c>
      <c r="D141" s="161" t="s">
        <v>9</v>
      </c>
      <c r="E141" s="161" t="s">
        <v>2548</v>
      </c>
      <c r="F141" s="207">
        <v>83</v>
      </c>
      <c r="G141" s="207">
        <v>123</v>
      </c>
      <c r="H141" s="161">
        <v>40</v>
      </c>
      <c r="I141" s="207">
        <v>300</v>
      </c>
      <c r="J141" s="242">
        <f t="shared" si="23"/>
        <v>12000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43672</v>
      </c>
      <c r="D142" s="161" t="s">
        <v>9</v>
      </c>
      <c r="E142" s="161" t="s">
        <v>2531</v>
      </c>
      <c r="F142" s="207">
        <v>100</v>
      </c>
      <c r="G142" s="207">
        <v>80</v>
      </c>
      <c r="H142" s="161">
        <v>-20</v>
      </c>
      <c r="I142" s="207">
        <v>300</v>
      </c>
      <c r="J142" s="242">
        <f t="shared" si="23"/>
        <v>-6000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>
        <v>43675</v>
      </c>
      <c r="D143" s="161" t="s">
        <v>9</v>
      </c>
      <c r="E143" s="161" t="s">
        <v>2780</v>
      </c>
      <c r="F143" s="207">
        <v>115</v>
      </c>
      <c r="G143" s="207">
        <v>155</v>
      </c>
      <c r="H143" s="161">
        <v>40</v>
      </c>
      <c r="I143" s="207">
        <v>300</v>
      </c>
      <c r="J143" s="242">
        <f t="shared" si="23"/>
        <v>12000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43676</v>
      </c>
      <c r="D144" s="161" t="s">
        <v>9</v>
      </c>
      <c r="E144" s="161" t="s">
        <v>2531</v>
      </c>
      <c r="F144" s="207">
        <v>100</v>
      </c>
      <c r="G144" s="207">
        <v>140</v>
      </c>
      <c r="H144" s="161">
        <v>40</v>
      </c>
      <c r="I144" s="207">
        <v>300</v>
      </c>
      <c r="J144" s="242">
        <f t="shared" si="23"/>
        <v>12000</v>
      </c>
      <c r="K144" s="153"/>
      <c r="V144" s="25">
        <f t="shared" si="24"/>
        <v>1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>
        <v>43677</v>
      </c>
      <c r="D145" s="166" t="s">
        <v>9</v>
      </c>
      <c r="E145" s="166" t="s">
        <v>2785</v>
      </c>
      <c r="F145" s="210">
        <v>120</v>
      </c>
      <c r="G145" s="210">
        <v>140</v>
      </c>
      <c r="H145" s="166">
        <v>20</v>
      </c>
      <c r="I145" s="210">
        <v>300</v>
      </c>
      <c r="J145" s="244">
        <f t="shared" si="23"/>
        <v>6000</v>
      </c>
      <c r="K145" s="153"/>
      <c r="V145" s="25">
        <f t="shared" si="24"/>
        <v>1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119400</v>
      </c>
      <c r="K146" s="153"/>
      <c r="V146" s="25">
        <f>SUM(V123:V145)</f>
        <v>19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2757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43647</v>
      </c>
      <c r="D154" s="185" t="s">
        <v>9</v>
      </c>
      <c r="E154" s="185" t="s">
        <v>2403</v>
      </c>
      <c r="F154" s="219">
        <v>31450</v>
      </c>
      <c r="G154" s="219">
        <v>31550</v>
      </c>
      <c r="H154" s="185">
        <v>100</v>
      </c>
      <c r="I154" s="219">
        <v>40</v>
      </c>
      <c r="J154" s="246">
        <f t="shared" ref="J154:J176" si="27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43648</v>
      </c>
      <c r="D155" s="161" t="s">
        <v>8</v>
      </c>
      <c r="E155" s="161" t="s">
        <v>2403</v>
      </c>
      <c r="F155" s="207">
        <v>31400</v>
      </c>
      <c r="G155" s="207">
        <v>31200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43649</v>
      </c>
      <c r="D156" s="161" t="s">
        <v>8</v>
      </c>
      <c r="E156" s="161" t="s">
        <v>2403</v>
      </c>
      <c r="F156" s="207">
        <v>31450</v>
      </c>
      <c r="G156" s="207">
        <v>31550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43650</v>
      </c>
      <c r="D157" s="161" t="s">
        <v>8</v>
      </c>
      <c r="E157" s="161" t="s">
        <v>2403</v>
      </c>
      <c r="F157" s="207">
        <v>31660</v>
      </c>
      <c r="G157" s="207">
        <v>31560</v>
      </c>
      <c r="H157" s="161">
        <v>100</v>
      </c>
      <c r="I157" s="207">
        <v>40</v>
      </c>
      <c r="J157" s="242">
        <f t="shared" si="27"/>
        <v>4000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43651</v>
      </c>
      <c r="D158" s="161" t="s">
        <v>8</v>
      </c>
      <c r="E158" s="161" t="s">
        <v>2403</v>
      </c>
      <c r="F158" s="207">
        <v>31530</v>
      </c>
      <c r="G158" s="207">
        <v>31380</v>
      </c>
      <c r="H158" s="161">
        <v>150</v>
      </c>
      <c r="I158" s="207">
        <v>40</v>
      </c>
      <c r="J158" s="242">
        <f t="shared" si="27"/>
        <v>6000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43654</v>
      </c>
      <c r="D159" s="161" t="s">
        <v>8</v>
      </c>
      <c r="E159" s="161" t="s">
        <v>2403</v>
      </c>
      <c r="F159" s="207">
        <v>31150</v>
      </c>
      <c r="G159" s="207">
        <v>30950</v>
      </c>
      <c r="H159" s="161">
        <v>200</v>
      </c>
      <c r="I159" s="207">
        <v>40</v>
      </c>
      <c r="J159" s="242">
        <f t="shared" si="27"/>
        <v>8000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43655</v>
      </c>
      <c r="D160" s="161" t="s">
        <v>8</v>
      </c>
      <c r="E160" s="161" t="s">
        <v>2403</v>
      </c>
      <c r="F160" s="207">
        <v>30570</v>
      </c>
      <c r="G160" s="207">
        <v>30470</v>
      </c>
      <c r="H160" s="161">
        <v>100</v>
      </c>
      <c r="I160" s="207">
        <v>40</v>
      </c>
      <c r="J160" s="242">
        <f t="shared" si="27"/>
        <v>4000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43656</v>
      </c>
      <c r="D161" s="161" t="s">
        <v>8</v>
      </c>
      <c r="E161" s="161" t="s">
        <v>2403</v>
      </c>
      <c r="F161" s="207">
        <v>30730</v>
      </c>
      <c r="G161" s="207">
        <v>30530</v>
      </c>
      <c r="H161" s="161">
        <v>200</v>
      </c>
      <c r="I161" s="207">
        <v>40</v>
      </c>
      <c r="J161" s="242">
        <f t="shared" si="27"/>
        <v>8000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43657</v>
      </c>
      <c r="D162" s="161" t="s">
        <v>8</v>
      </c>
      <c r="E162" s="161" t="s">
        <v>2403</v>
      </c>
      <c r="F162" s="207">
        <v>30670</v>
      </c>
      <c r="G162" s="207">
        <v>30620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43658</v>
      </c>
      <c r="D163" s="161" t="s">
        <v>8</v>
      </c>
      <c r="E163" s="161" t="s">
        <v>2403</v>
      </c>
      <c r="F163" s="207">
        <v>30580</v>
      </c>
      <c r="G163" s="207">
        <v>30680</v>
      </c>
      <c r="H163" s="161">
        <v>-100</v>
      </c>
      <c r="I163" s="207">
        <v>40</v>
      </c>
      <c r="J163" s="242">
        <f t="shared" si="27"/>
        <v>-4000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43661</v>
      </c>
      <c r="D164" s="161" t="s">
        <v>8</v>
      </c>
      <c r="E164" s="161" t="s">
        <v>2403</v>
      </c>
      <c r="F164" s="207">
        <v>30470</v>
      </c>
      <c r="G164" s="207">
        <v>30330</v>
      </c>
      <c r="H164" s="161">
        <v>140</v>
      </c>
      <c r="I164" s="207">
        <v>40</v>
      </c>
      <c r="J164" s="242">
        <f t="shared" si="27"/>
        <v>5600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43662</v>
      </c>
      <c r="D165" s="161" t="s">
        <v>8</v>
      </c>
      <c r="E165" s="161" t="s">
        <v>2403</v>
      </c>
      <c r="F165" s="207">
        <v>30600</v>
      </c>
      <c r="G165" s="207">
        <v>30500</v>
      </c>
      <c r="H165" s="161">
        <v>100</v>
      </c>
      <c r="I165" s="207">
        <v>40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43663</v>
      </c>
      <c r="D166" s="161" t="s">
        <v>8</v>
      </c>
      <c r="E166" s="161" t="s">
        <v>2403</v>
      </c>
      <c r="F166" s="207">
        <v>30740</v>
      </c>
      <c r="G166" s="207">
        <v>30690</v>
      </c>
      <c r="H166" s="161">
        <v>50</v>
      </c>
      <c r="I166" s="207">
        <v>40</v>
      </c>
      <c r="J166" s="242">
        <f t="shared" si="27"/>
        <v>2000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43664</v>
      </c>
      <c r="D167" s="161" t="s">
        <v>8</v>
      </c>
      <c r="E167" s="161" t="s">
        <v>2403</v>
      </c>
      <c r="F167" s="207">
        <v>30660</v>
      </c>
      <c r="G167" s="207">
        <v>30460</v>
      </c>
      <c r="H167" s="161">
        <v>200</v>
      </c>
      <c r="I167" s="207">
        <v>40</v>
      </c>
      <c r="J167" s="242">
        <f t="shared" si="27"/>
        <v>8000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43665</v>
      </c>
      <c r="D168" s="161" t="s">
        <v>8</v>
      </c>
      <c r="E168" s="161" t="s">
        <v>2403</v>
      </c>
      <c r="F168" s="207">
        <v>30250</v>
      </c>
      <c r="G168" s="207">
        <v>30050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43668</v>
      </c>
      <c r="D169" s="161" t="s">
        <v>8</v>
      </c>
      <c r="E169" s="161" t="s">
        <v>2403</v>
      </c>
      <c r="F169" s="207">
        <v>29400</v>
      </c>
      <c r="G169" s="207">
        <v>29300</v>
      </c>
      <c r="H169" s="161">
        <v>100</v>
      </c>
      <c r="I169" s="207">
        <v>40</v>
      </c>
      <c r="J169" s="242">
        <f t="shared" si="27"/>
        <v>4000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43669</v>
      </c>
      <c r="D170" s="161" t="s">
        <v>8</v>
      </c>
      <c r="E170" s="161" t="s">
        <v>2403</v>
      </c>
      <c r="F170" s="207">
        <v>29230</v>
      </c>
      <c r="G170" s="207">
        <v>29330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43670</v>
      </c>
      <c r="D171" s="161" t="s">
        <v>8</v>
      </c>
      <c r="E171" s="161" t="s">
        <v>2403</v>
      </c>
      <c r="F171" s="207">
        <v>29000</v>
      </c>
      <c r="G171" s="207">
        <v>28950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43671</v>
      </c>
      <c r="D172" s="161" t="s">
        <v>8</v>
      </c>
      <c r="E172" s="161" t="s">
        <v>2403</v>
      </c>
      <c r="F172" s="207">
        <v>29150</v>
      </c>
      <c r="G172" s="207">
        <v>28950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43672</v>
      </c>
      <c r="D173" s="161" t="s">
        <v>8</v>
      </c>
      <c r="E173" s="161" t="s">
        <v>2403</v>
      </c>
      <c r="F173" s="207">
        <v>29250</v>
      </c>
      <c r="G173" s="207">
        <v>29350</v>
      </c>
      <c r="H173" s="161">
        <v>-100</v>
      </c>
      <c r="I173" s="207">
        <v>40</v>
      </c>
      <c r="J173" s="242">
        <f t="shared" si="27"/>
        <v>-4000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>
        <v>43675</v>
      </c>
      <c r="D174" s="161" t="s">
        <v>8</v>
      </c>
      <c r="E174" s="161" t="s">
        <v>2403</v>
      </c>
      <c r="F174" s="207">
        <v>29450</v>
      </c>
      <c r="G174" s="207">
        <v>29250</v>
      </c>
      <c r="H174" s="161">
        <v>200</v>
      </c>
      <c r="I174" s="207">
        <v>40</v>
      </c>
      <c r="J174" s="242">
        <f t="shared" si="27"/>
        <v>8000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43676</v>
      </c>
      <c r="D175" s="161" t="s">
        <v>8</v>
      </c>
      <c r="E175" s="161" t="s">
        <v>2403</v>
      </c>
      <c r="F175" s="207">
        <v>29500</v>
      </c>
      <c r="G175" s="207">
        <v>29300</v>
      </c>
      <c r="H175" s="161">
        <v>200</v>
      </c>
      <c r="I175" s="207">
        <v>40</v>
      </c>
      <c r="J175" s="242">
        <f t="shared" si="27"/>
        <v>8000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>
        <v>43677</v>
      </c>
      <c r="D176" s="166" t="s">
        <v>8</v>
      </c>
      <c r="E176" s="166" t="s">
        <v>2403</v>
      </c>
      <c r="F176" s="210">
        <v>28770</v>
      </c>
      <c r="G176" s="210">
        <v>28720</v>
      </c>
      <c r="H176" s="166">
        <v>50</v>
      </c>
      <c r="I176" s="210">
        <v>40</v>
      </c>
      <c r="J176" s="244">
        <f t="shared" si="27"/>
        <v>2000</v>
      </c>
      <c r="K176" s="153"/>
      <c r="V176" s="25">
        <f t="shared" si="28"/>
        <v>1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87600</v>
      </c>
      <c r="K177" s="153"/>
      <c r="V177" s="25">
        <f>SUM(V154:V176)</f>
        <v>19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2757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43647</v>
      </c>
      <c r="D185" s="185" t="s">
        <v>9</v>
      </c>
      <c r="E185" s="185" t="s">
        <v>2723</v>
      </c>
      <c r="F185" s="219">
        <v>190</v>
      </c>
      <c r="G185" s="219">
        <v>220</v>
      </c>
      <c r="H185" s="185">
        <v>30</v>
      </c>
      <c r="I185" s="219">
        <v>80</v>
      </c>
      <c r="J185" s="246">
        <f t="shared" ref="J185:J207" si="31">I185*H185</f>
        <v>2400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43648</v>
      </c>
      <c r="D186" s="161" t="s">
        <v>9</v>
      </c>
      <c r="E186" s="161" t="s">
        <v>2762</v>
      </c>
      <c r="F186" s="207">
        <v>220</v>
      </c>
      <c r="G186" s="207">
        <v>340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43649</v>
      </c>
      <c r="D187" s="161" t="s">
        <v>9</v>
      </c>
      <c r="E187" s="161" t="s">
        <v>2762</v>
      </c>
      <c r="F187" s="207">
        <v>160</v>
      </c>
      <c r="G187" s="207">
        <v>100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43650</v>
      </c>
      <c r="D188" s="161" t="s">
        <v>9</v>
      </c>
      <c r="E188" s="161" t="s">
        <v>2765</v>
      </c>
      <c r="F188" s="207">
        <v>100</v>
      </c>
      <c r="G188" s="207">
        <v>125</v>
      </c>
      <c r="H188" s="161">
        <v>25</v>
      </c>
      <c r="I188" s="207">
        <v>80</v>
      </c>
      <c r="J188" s="242">
        <f t="shared" si="31"/>
        <v>2000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43651</v>
      </c>
      <c r="D189" s="161" t="s">
        <v>9</v>
      </c>
      <c r="E189" s="161" t="s">
        <v>2762</v>
      </c>
      <c r="F189" s="207">
        <v>270</v>
      </c>
      <c r="G189" s="207">
        <v>210</v>
      </c>
      <c r="H189" s="161">
        <v>-60</v>
      </c>
      <c r="I189" s="207">
        <v>80</v>
      </c>
      <c r="J189" s="242">
        <f t="shared" si="31"/>
        <v>-4800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43654</v>
      </c>
      <c r="D190" s="161" t="s">
        <v>9</v>
      </c>
      <c r="E190" s="161" t="s">
        <v>2768</v>
      </c>
      <c r="F190" s="207">
        <v>190</v>
      </c>
      <c r="G190" s="207">
        <v>310</v>
      </c>
      <c r="H190" s="161">
        <v>120</v>
      </c>
      <c r="I190" s="207">
        <v>80</v>
      </c>
      <c r="J190" s="242">
        <f t="shared" si="31"/>
        <v>9600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43655</v>
      </c>
      <c r="D191" s="161" t="s">
        <v>9</v>
      </c>
      <c r="E191" s="161" t="s">
        <v>2689</v>
      </c>
      <c r="F191" s="207">
        <v>190</v>
      </c>
      <c r="G191" s="207">
        <v>220</v>
      </c>
      <c r="H191" s="161">
        <v>30</v>
      </c>
      <c r="I191" s="207">
        <v>80</v>
      </c>
      <c r="J191" s="242">
        <f t="shared" si="31"/>
        <v>2400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43656</v>
      </c>
      <c r="D192" s="161" t="s">
        <v>9</v>
      </c>
      <c r="E192" s="161" t="s">
        <v>2717</v>
      </c>
      <c r="F192" s="207">
        <v>140</v>
      </c>
      <c r="G192" s="207">
        <v>260</v>
      </c>
      <c r="H192" s="161">
        <v>120</v>
      </c>
      <c r="I192" s="207">
        <v>80</v>
      </c>
      <c r="J192" s="242">
        <f t="shared" si="31"/>
        <v>9600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43657</v>
      </c>
      <c r="D193" s="161" t="s">
        <v>9</v>
      </c>
      <c r="E193" s="161" t="s">
        <v>2717</v>
      </c>
      <c r="F193" s="207">
        <v>90</v>
      </c>
      <c r="G193" s="207">
        <v>125</v>
      </c>
      <c r="H193" s="161">
        <v>35</v>
      </c>
      <c r="I193" s="207">
        <v>80</v>
      </c>
      <c r="J193" s="242">
        <f t="shared" si="31"/>
        <v>2800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43658</v>
      </c>
      <c r="D194" s="161" t="s">
        <v>9</v>
      </c>
      <c r="E194" s="161" t="s">
        <v>2746</v>
      </c>
      <c r="F194" s="207">
        <v>200</v>
      </c>
      <c r="G194" s="207">
        <v>140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43661</v>
      </c>
      <c r="D195" s="161" t="s">
        <v>9</v>
      </c>
      <c r="E195" s="161" t="s">
        <v>2772</v>
      </c>
      <c r="F195" s="207">
        <v>180</v>
      </c>
      <c r="G195" s="207">
        <v>210</v>
      </c>
      <c r="H195" s="161">
        <v>30</v>
      </c>
      <c r="I195" s="207">
        <v>80</v>
      </c>
      <c r="J195" s="242">
        <f t="shared" si="31"/>
        <v>2400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43662</v>
      </c>
      <c r="D196" s="161" t="s">
        <v>9</v>
      </c>
      <c r="E196" s="161" t="s">
        <v>2746</v>
      </c>
      <c r="F196" s="207">
        <v>140</v>
      </c>
      <c r="G196" s="207">
        <v>200</v>
      </c>
      <c r="H196" s="161">
        <v>60</v>
      </c>
      <c r="I196" s="207">
        <v>80</v>
      </c>
      <c r="J196" s="242">
        <f t="shared" si="31"/>
        <v>4800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43663</v>
      </c>
      <c r="D197" s="161" t="s">
        <v>9</v>
      </c>
      <c r="E197" s="161" t="s">
        <v>2717</v>
      </c>
      <c r="F197" s="207">
        <v>90</v>
      </c>
      <c r="G197" s="207">
        <v>120</v>
      </c>
      <c r="H197" s="161">
        <v>30</v>
      </c>
      <c r="I197" s="207">
        <v>80</v>
      </c>
      <c r="J197" s="242">
        <f t="shared" si="31"/>
        <v>2400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43664</v>
      </c>
      <c r="D198" s="161" t="s">
        <v>9</v>
      </c>
      <c r="E198" s="161" t="s">
        <v>2717</v>
      </c>
      <c r="F198" s="207">
        <v>70</v>
      </c>
      <c r="G198" s="207">
        <v>180</v>
      </c>
      <c r="H198" s="161">
        <v>120</v>
      </c>
      <c r="I198" s="207">
        <v>80</v>
      </c>
      <c r="J198" s="242">
        <f t="shared" si="31"/>
        <v>9600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43665</v>
      </c>
      <c r="D199" s="161" t="s">
        <v>9</v>
      </c>
      <c r="E199" s="161" t="s">
        <v>2775</v>
      </c>
      <c r="F199" s="207">
        <v>220</v>
      </c>
      <c r="G199" s="207">
        <v>340</v>
      </c>
      <c r="H199" s="161">
        <v>120</v>
      </c>
      <c r="I199" s="207">
        <v>80</v>
      </c>
      <c r="J199" s="242">
        <f t="shared" si="31"/>
        <v>9600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43668</v>
      </c>
      <c r="D200" s="161" t="s">
        <v>9</v>
      </c>
      <c r="E200" s="161" t="s">
        <v>2777</v>
      </c>
      <c r="F200" s="207">
        <v>210</v>
      </c>
      <c r="G200" s="207">
        <v>270</v>
      </c>
      <c r="H200" s="161">
        <v>60</v>
      </c>
      <c r="I200" s="207">
        <v>80</v>
      </c>
      <c r="J200" s="242">
        <f t="shared" si="31"/>
        <v>4800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43669</v>
      </c>
      <c r="D201" s="161" t="s">
        <v>9</v>
      </c>
      <c r="E201" s="161" t="s">
        <v>2777</v>
      </c>
      <c r="F201" s="207">
        <v>180</v>
      </c>
      <c r="G201" s="207">
        <v>300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43670</v>
      </c>
      <c r="D202" s="161" t="s">
        <v>9</v>
      </c>
      <c r="E202" s="161" t="s">
        <v>2706</v>
      </c>
      <c r="F202" s="207">
        <v>140</v>
      </c>
      <c r="G202" s="207">
        <v>80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43671</v>
      </c>
      <c r="D203" s="161" t="s">
        <v>9</v>
      </c>
      <c r="E203" s="161" t="s">
        <v>2781</v>
      </c>
      <c r="F203" s="207">
        <v>90</v>
      </c>
      <c r="G203" s="207">
        <v>210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43672</v>
      </c>
      <c r="D204" s="161" t="s">
        <v>9</v>
      </c>
      <c r="E204" s="161" t="s">
        <v>2781</v>
      </c>
      <c r="F204" s="207">
        <v>240</v>
      </c>
      <c r="G204" s="207">
        <v>180</v>
      </c>
      <c r="H204" s="161">
        <v>-60</v>
      </c>
      <c r="I204" s="207">
        <v>80</v>
      </c>
      <c r="J204" s="242">
        <f t="shared" si="31"/>
        <v>-4800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>
        <v>43675</v>
      </c>
      <c r="D205" s="161" t="s">
        <v>9</v>
      </c>
      <c r="E205" s="161" t="s">
        <v>2783</v>
      </c>
      <c r="F205" s="207">
        <v>270</v>
      </c>
      <c r="G205" s="207">
        <v>390</v>
      </c>
      <c r="H205" s="161">
        <v>120</v>
      </c>
      <c r="I205" s="207">
        <v>80</v>
      </c>
      <c r="J205" s="242">
        <f t="shared" si="31"/>
        <v>9600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43676</v>
      </c>
      <c r="D206" s="161" t="s">
        <v>9</v>
      </c>
      <c r="E206" s="161" t="s">
        <v>2783</v>
      </c>
      <c r="F206" s="207">
        <v>190</v>
      </c>
      <c r="G206" s="207">
        <v>310</v>
      </c>
      <c r="H206" s="161">
        <v>120</v>
      </c>
      <c r="I206" s="207">
        <v>80</v>
      </c>
      <c r="J206" s="242">
        <f t="shared" si="31"/>
        <v>9600</v>
      </c>
      <c r="K206" s="153"/>
      <c r="V206" s="25">
        <f t="shared" si="32"/>
        <v>1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>
        <v>43677</v>
      </c>
      <c r="D207" s="166" t="s">
        <v>9</v>
      </c>
      <c r="E207" s="166" t="s">
        <v>2711</v>
      </c>
      <c r="F207" s="210">
        <v>180</v>
      </c>
      <c r="G207" s="210">
        <v>120</v>
      </c>
      <c r="H207" s="166">
        <v>-60</v>
      </c>
      <c r="I207" s="210">
        <v>80</v>
      </c>
      <c r="J207" s="244">
        <f t="shared" si="31"/>
        <v>-4800</v>
      </c>
      <c r="K207" s="153"/>
      <c r="V207" s="25">
        <f t="shared" si="32"/>
        <v>0</v>
      </c>
      <c r="W207" s="25">
        <f t="shared" si="33"/>
        <v>1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81600</v>
      </c>
      <c r="K208" s="153"/>
      <c r="V208" s="25">
        <f>SUM(V185:V207)</f>
        <v>17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2757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43647</v>
      </c>
      <c r="D216" s="185" t="s">
        <v>9</v>
      </c>
      <c r="E216" s="185" t="s">
        <v>2760</v>
      </c>
      <c r="F216" s="231">
        <v>57</v>
      </c>
      <c r="G216" s="231">
        <v>49</v>
      </c>
      <c r="H216" s="231">
        <v>-8</v>
      </c>
      <c r="I216" s="219">
        <v>300</v>
      </c>
      <c r="J216" s="246">
        <f t="shared" ref="J216:J238" si="35">I216*H216</f>
        <v>-2400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43648</v>
      </c>
      <c r="D217" s="161" t="s">
        <v>9</v>
      </c>
      <c r="E217" s="161" t="s">
        <v>2573</v>
      </c>
      <c r="F217" s="222">
        <v>31</v>
      </c>
      <c r="G217" s="222">
        <v>36</v>
      </c>
      <c r="H217" s="255">
        <v>5</v>
      </c>
      <c r="I217" s="207">
        <v>500</v>
      </c>
      <c r="J217" s="242">
        <f>I217*H217</f>
        <v>2500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43649</v>
      </c>
      <c r="D218" s="161" t="s">
        <v>9</v>
      </c>
      <c r="E218" s="161" t="s">
        <v>2763</v>
      </c>
      <c r="F218" s="222">
        <v>13</v>
      </c>
      <c r="G218" s="222">
        <v>14</v>
      </c>
      <c r="H218" s="222">
        <v>1</v>
      </c>
      <c r="I218" s="207">
        <v>1100</v>
      </c>
      <c r="J218" s="242">
        <f t="shared" si="35"/>
        <v>1100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43650</v>
      </c>
      <c r="D219" s="161" t="s">
        <v>9</v>
      </c>
      <c r="E219" s="161" t="s">
        <v>2766</v>
      </c>
      <c r="F219" s="222">
        <v>30</v>
      </c>
      <c r="G219" s="222">
        <v>36</v>
      </c>
      <c r="H219" s="222">
        <v>6</v>
      </c>
      <c r="I219" s="207">
        <v>800</v>
      </c>
      <c r="J219" s="242">
        <f t="shared" si="35"/>
        <v>4800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43651</v>
      </c>
      <c r="D220" s="161" t="s">
        <v>9</v>
      </c>
      <c r="E220" s="161" t="s">
        <v>2767</v>
      </c>
      <c r="F220" s="222">
        <v>9</v>
      </c>
      <c r="G220" s="222">
        <v>11</v>
      </c>
      <c r="H220" s="222">
        <v>2</v>
      </c>
      <c r="I220" s="207">
        <v>2200</v>
      </c>
      <c r="J220" s="242">
        <f t="shared" si="35"/>
        <v>4400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43654</v>
      </c>
      <c r="D221" s="161" t="s">
        <v>9</v>
      </c>
      <c r="E221" s="161" t="s">
        <v>2769</v>
      </c>
      <c r="F221" s="222">
        <v>32</v>
      </c>
      <c r="G221" s="222">
        <v>26</v>
      </c>
      <c r="H221" s="222">
        <v>-6</v>
      </c>
      <c r="I221" s="207">
        <v>500</v>
      </c>
      <c r="J221" s="242">
        <f t="shared" si="35"/>
        <v>-3000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43655</v>
      </c>
      <c r="D222" s="161" t="s">
        <v>9</v>
      </c>
      <c r="E222" s="161" t="s">
        <v>397</v>
      </c>
      <c r="F222" s="222">
        <v>45</v>
      </c>
      <c r="G222" s="222">
        <v>49</v>
      </c>
      <c r="H222" s="222">
        <v>4</v>
      </c>
      <c r="I222" s="207">
        <v>250</v>
      </c>
      <c r="J222" s="242">
        <f t="shared" si="35"/>
        <v>1000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43656</v>
      </c>
      <c r="D223" s="161" t="s">
        <v>9</v>
      </c>
      <c r="E223" s="161" t="s">
        <v>2573</v>
      </c>
      <c r="F223" s="222">
        <v>27</v>
      </c>
      <c r="G223" s="222">
        <v>29</v>
      </c>
      <c r="H223" s="222">
        <v>2</v>
      </c>
      <c r="I223" s="207">
        <v>500</v>
      </c>
      <c r="J223" s="242">
        <f t="shared" si="35"/>
        <v>1000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43657</v>
      </c>
      <c r="D224" s="161" t="s">
        <v>9</v>
      </c>
      <c r="E224" s="161" t="s">
        <v>2573</v>
      </c>
      <c r="F224" s="222">
        <v>32</v>
      </c>
      <c r="G224" s="222">
        <v>30</v>
      </c>
      <c r="H224" s="255">
        <v>-2</v>
      </c>
      <c r="I224" s="207">
        <v>500</v>
      </c>
      <c r="J224" s="242">
        <f t="shared" si="35"/>
        <v>-1000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43658</v>
      </c>
      <c r="D225" s="161" t="s">
        <v>9</v>
      </c>
      <c r="E225" s="161" t="s">
        <v>2771</v>
      </c>
      <c r="F225" s="222">
        <v>45</v>
      </c>
      <c r="G225" s="222">
        <v>49.5</v>
      </c>
      <c r="H225" s="255">
        <v>4.5</v>
      </c>
      <c r="I225" s="207">
        <v>375</v>
      </c>
      <c r="J225" s="242">
        <f t="shared" si="35"/>
        <v>1687.5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43661</v>
      </c>
      <c r="D226" s="161" t="s">
        <v>9</v>
      </c>
      <c r="E226" s="161" t="s">
        <v>2773</v>
      </c>
      <c r="F226" s="222">
        <v>6</v>
      </c>
      <c r="G226" s="222">
        <v>7</v>
      </c>
      <c r="H226" s="255">
        <v>1</v>
      </c>
      <c r="I226" s="207">
        <v>3000</v>
      </c>
      <c r="J226" s="242">
        <f t="shared" si="35"/>
        <v>3000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43662</v>
      </c>
      <c r="D227" s="161" t="s">
        <v>9</v>
      </c>
      <c r="E227" s="161" t="s">
        <v>1961</v>
      </c>
      <c r="F227" s="222">
        <v>26</v>
      </c>
      <c r="G227" s="222">
        <v>32</v>
      </c>
      <c r="H227" s="255">
        <v>6</v>
      </c>
      <c r="I227" s="207">
        <v>375</v>
      </c>
      <c r="J227" s="242">
        <f t="shared" si="35"/>
        <v>2250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43663</v>
      </c>
      <c r="D228" s="161" t="s">
        <v>9</v>
      </c>
      <c r="E228" s="161" t="s">
        <v>2774</v>
      </c>
      <c r="F228" s="222">
        <v>22</v>
      </c>
      <c r="G228" s="222">
        <v>17.8</v>
      </c>
      <c r="H228" s="255">
        <v>-4.2</v>
      </c>
      <c r="I228" s="207">
        <v>375</v>
      </c>
      <c r="J228" s="242">
        <f t="shared" si="35"/>
        <v>-1575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43664</v>
      </c>
      <c r="D229" s="161" t="s">
        <v>9</v>
      </c>
      <c r="E229" s="161" t="s">
        <v>2694</v>
      </c>
      <c r="F229" s="222">
        <v>11</v>
      </c>
      <c r="G229" s="222">
        <v>17</v>
      </c>
      <c r="H229" s="255">
        <v>6</v>
      </c>
      <c r="I229" s="207">
        <v>1200</v>
      </c>
      <c r="J229" s="242">
        <f>I229*H229</f>
        <v>7200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43665</v>
      </c>
      <c r="D230" s="161" t="s">
        <v>9</v>
      </c>
      <c r="E230" s="161" t="s">
        <v>2773</v>
      </c>
      <c r="F230" s="222">
        <v>4.5</v>
      </c>
      <c r="G230" s="222">
        <v>6.5</v>
      </c>
      <c r="H230" s="255">
        <v>2</v>
      </c>
      <c r="I230" s="207">
        <v>3000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43668</v>
      </c>
      <c r="D231" s="161" t="s">
        <v>9</v>
      </c>
      <c r="E231" s="161" t="s">
        <v>2778</v>
      </c>
      <c r="F231" s="222">
        <v>5.5</v>
      </c>
      <c r="G231" s="222">
        <v>6.5</v>
      </c>
      <c r="H231" s="222">
        <v>1</v>
      </c>
      <c r="I231" s="207">
        <v>2200</v>
      </c>
      <c r="J231" s="242">
        <f t="shared" si="35"/>
        <v>2200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43669</v>
      </c>
      <c r="D232" s="161" t="s">
        <v>9</v>
      </c>
      <c r="E232" s="161" t="s">
        <v>2779</v>
      </c>
      <c r="F232" s="222">
        <v>3.2</v>
      </c>
      <c r="G232" s="222">
        <v>4.8</v>
      </c>
      <c r="H232" s="222">
        <v>1.6</v>
      </c>
      <c r="I232" s="207">
        <v>1375</v>
      </c>
      <c r="J232" s="242">
        <f t="shared" si="35"/>
        <v>2200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43670</v>
      </c>
      <c r="D233" s="161" t="s">
        <v>9</v>
      </c>
      <c r="E233" s="161" t="s">
        <v>1686</v>
      </c>
      <c r="F233" s="222">
        <v>4.7</v>
      </c>
      <c r="G233" s="222">
        <v>6.7</v>
      </c>
      <c r="H233" s="222">
        <v>2</v>
      </c>
      <c r="I233" s="207">
        <v>2000</v>
      </c>
      <c r="J233" s="242">
        <f t="shared" si="35"/>
        <v>4000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43671</v>
      </c>
      <c r="D234" s="161" t="s">
        <v>9</v>
      </c>
      <c r="E234" s="161" t="s">
        <v>2782</v>
      </c>
      <c r="F234" s="222">
        <v>1.7</v>
      </c>
      <c r="G234" s="222">
        <v>2.7</v>
      </c>
      <c r="H234" s="222">
        <v>1</v>
      </c>
      <c r="I234" s="207">
        <v>3000</v>
      </c>
      <c r="J234" s="242">
        <f t="shared" si="35"/>
        <v>3000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43672</v>
      </c>
      <c r="D235" s="161" t="s">
        <v>9</v>
      </c>
      <c r="E235" s="161" t="s">
        <v>1955</v>
      </c>
      <c r="F235" s="222">
        <v>42</v>
      </c>
      <c r="G235" s="222">
        <v>50.5</v>
      </c>
      <c r="H235" s="222">
        <v>8.5</v>
      </c>
      <c r="I235" s="207">
        <v>375</v>
      </c>
      <c r="J235" s="242">
        <f t="shared" si="35"/>
        <v>3187.5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43675</v>
      </c>
      <c r="D236" s="161" t="s">
        <v>9</v>
      </c>
      <c r="E236" s="161" t="s">
        <v>1881</v>
      </c>
      <c r="F236" s="222">
        <v>35.5</v>
      </c>
      <c r="G236" s="222">
        <v>41.5</v>
      </c>
      <c r="H236" s="222">
        <v>6.5</v>
      </c>
      <c r="I236" s="207">
        <v>375</v>
      </c>
      <c r="J236" s="242">
        <f t="shared" si="35"/>
        <v>2437.5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43676</v>
      </c>
      <c r="D237" s="161" t="s">
        <v>9</v>
      </c>
      <c r="E237" s="161" t="s">
        <v>2784</v>
      </c>
      <c r="F237" s="222">
        <v>10.5</v>
      </c>
      <c r="G237" s="222">
        <v>13.2</v>
      </c>
      <c r="H237" s="222">
        <v>2.7</v>
      </c>
      <c r="I237" s="207">
        <v>2000</v>
      </c>
      <c r="J237" s="242">
        <f t="shared" si="35"/>
        <v>5400</v>
      </c>
      <c r="K237" s="153"/>
      <c r="V237" s="25">
        <f t="shared" si="37"/>
        <v>1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>
        <v>43677</v>
      </c>
      <c r="D238" s="166" t="s">
        <v>9</v>
      </c>
      <c r="E238" s="166" t="s">
        <v>2786</v>
      </c>
      <c r="F238" s="222">
        <v>9.5</v>
      </c>
      <c r="G238" s="222">
        <v>7.5</v>
      </c>
      <c r="H238" s="166">
        <v>-2</v>
      </c>
      <c r="I238" s="210">
        <v>2000</v>
      </c>
      <c r="J238" s="244">
        <f t="shared" si="35"/>
        <v>-4000</v>
      </c>
      <c r="K238" s="153"/>
      <c r="V238" s="25">
        <f t="shared" si="37"/>
        <v>0</v>
      </c>
      <c r="W238" s="25">
        <f t="shared" si="38"/>
        <v>1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45387.5</v>
      </c>
      <c r="K239" s="153"/>
      <c r="V239" s="25">
        <f>SUM(V216:V238)</f>
        <v>18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B00-000000000000}"/>
    <hyperlink ref="B84" r:id="rId2" xr:uid="{00000000-0004-0000-4B00-000001000000}"/>
    <hyperlink ref="B115" r:id="rId3" xr:uid="{00000000-0004-0000-4B00-000002000000}"/>
    <hyperlink ref="B146" r:id="rId4" xr:uid="{00000000-0004-0000-4B00-000003000000}"/>
    <hyperlink ref="B177" r:id="rId5" xr:uid="{00000000-0004-0000-4B00-000004000000}"/>
    <hyperlink ref="B208" r:id="rId6" xr:uid="{00000000-0004-0000-4B00-000005000000}"/>
    <hyperlink ref="B239" r:id="rId7" xr:uid="{00000000-0004-0000-4B00-000006000000}"/>
    <hyperlink ref="M1" location="'MASTER '!A1" display="Back" xr:uid="{00000000-0004-0000-4B00-000007000000}"/>
    <hyperlink ref="M8:M9" location="'JULY 2019'!A108" display="NIFTY FUTURE" xr:uid="{00000000-0004-0000-4B00-000008000000}"/>
    <hyperlink ref="M10:M11" location="'JULY 2019'!A139" display="NF. OPTION" xr:uid="{00000000-0004-0000-4B00-000009000000}"/>
    <hyperlink ref="M12:M13" location="'JULY 2019'!A170" display="BANK NIFTY" xr:uid="{00000000-0004-0000-4B00-00000A000000}"/>
    <hyperlink ref="M14:M15" location="'JULY 2019'!A201" display="B.NIFTY OPTION" xr:uid="{00000000-0004-0000-4B00-00000B000000}"/>
    <hyperlink ref="M16:M17" location="'JULY 2019'!A232" display="STOCK OPTION" xr:uid="{00000000-0004-0000-4B00-00000C000000}"/>
    <hyperlink ref="M6:M7" location="'JULY 2019'!A77" display="STOCK FUTURE" xr:uid="{00000000-0004-0000-4B00-00000D000000}"/>
    <hyperlink ref="M4:M5" location="'JULY 2019'!A1" display="CASH" xr:uid="{00000000-0004-0000-4B00-00000E000000}"/>
  </hyperlinks>
  <pageMargins left="0" right="0" top="0" bottom="0" header="0" footer="0"/>
  <pageSetup scale="95" orientation="portrait" r:id="rId8"/>
  <drawing r:id="rId9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5.109375" style="25" customWidth="1"/>
    <col min="13" max="13" width="15.554687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2787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38</v>
      </c>
      <c r="O4" s="354">
        <f>V52</f>
        <v>31</v>
      </c>
      <c r="P4" s="354">
        <f>W52</f>
        <v>7</v>
      </c>
      <c r="Q4" s="355">
        <f>N4-O4-P4</f>
        <v>0</v>
      </c>
      <c r="R4" s="314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43679</v>
      </c>
      <c r="D6" s="158" t="s">
        <v>9</v>
      </c>
      <c r="E6" s="158" t="s">
        <v>78</v>
      </c>
      <c r="F6" s="204">
        <v>1355</v>
      </c>
      <c r="G6" s="222">
        <v>1345</v>
      </c>
      <c r="H6" s="222">
        <v>-10</v>
      </c>
      <c r="I6" s="204">
        <f>300000/F6</f>
        <v>221.40221402214021</v>
      </c>
      <c r="J6" s="241">
        <f>H6*I6</f>
        <v>-2214.022140221402</v>
      </c>
      <c r="K6" s="153"/>
      <c r="M6" s="389" t="s">
        <v>450</v>
      </c>
      <c r="N6" s="343">
        <f>COUNT(C60:C83)</f>
        <v>21</v>
      </c>
      <c r="O6" s="345">
        <f>V84</f>
        <v>17</v>
      </c>
      <c r="P6" s="345">
        <f>W84</f>
        <v>4</v>
      </c>
      <c r="Q6" s="347">
        <f>N6-O6-P6</f>
        <v>0</v>
      </c>
      <c r="R6" s="340">
        <f t="shared" ref="R6" si="0">O6/N6</f>
        <v>0.80952380952380953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43679</v>
      </c>
      <c r="D7" s="161" t="s">
        <v>8</v>
      </c>
      <c r="E7" s="161" t="s">
        <v>31</v>
      </c>
      <c r="F7" s="207">
        <v>1167</v>
      </c>
      <c r="G7" s="231">
        <v>1162.5</v>
      </c>
      <c r="H7" s="234">
        <v>4.5</v>
      </c>
      <c r="I7" s="207">
        <f t="shared" ref="I7" si="1">300000/F7</f>
        <v>257.0694087403599</v>
      </c>
      <c r="J7" s="242">
        <f t="shared" ref="J7" si="2">H7*I7</f>
        <v>1156.8123393316196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43682</v>
      </c>
      <c r="D8" s="161" t="s">
        <v>9</v>
      </c>
      <c r="E8" s="161" t="s">
        <v>129</v>
      </c>
      <c r="F8" s="207">
        <v>2125</v>
      </c>
      <c r="G8" s="222">
        <v>2152</v>
      </c>
      <c r="H8" s="222">
        <v>27</v>
      </c>
      <c r="I8" s="207">
        <f t="shared" ref="I8:I43" si="6">300000/F8</f>
        <v>141.1764705882353</v>
      </c>
      <c r="J8" s="242">
        <f t="shared" ref="J8:J43" si="7">H8*I8</f>
        <v>3811.7647058823532</v>
      </c>
      <c r="K8" s="153"/>
      <c r="M8" s="389" t="s">
        <v>451</v>
      </c>
      <c r="N8" s="343">
        <f>COUNT(C92:C114)</f>
        <v>19</v>
      </c>
      <c r="O8" s="345">
        <f>V115</f>
        <v>16</v>
      </c>
      <c r="P8" s="345">
        <f>W115</f>
        <v>3</v>
      </c>
      <c r="Q8" s="347">
        <f>N8-O8-P8</f>
        <v>0</v>
      </c>
      <c r="R8" s="340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43682</v>
      </c>
      <c r="D9" s="161" t="s">
        <v>8</v>
      </c>
      <c r="E9" s="161" t="s">
        <v>58</v>
      </c>
      <c r="F9" s="222">
        <v>653</v>
      </c>
      <c r="G9" s="222">
        <v>659</v>
      </c>
      <c r="H9" s="222">
        <v>-6</v>
      </c>
      <c r="I9" s="207">
        <f t="shared" si="6"/>
        <v>459.41807044410416</v>
      </c>
      <c r="J9" s="242">
        <f t="shared" si="7"/>
        <v>-2756.508422664625</v>
      </c>
      <c r="K9" s="153"/>
      <c r="M9" s="389"/>
      <c r="N9" s="343"/>
      <c r="O9" s="345"/>
      <c r="P9" s="345"/>
      <c r="Q9" s="349"/>
      <c r="R9" s="340"/>
      <c r="V9" s="25">
        <f t="shared" si="3"/>
        <v>0</v>
      </c>
      <c r="W9" s="25">
        <f t="shared" si="4"/>
        <v>1</v>
      </c>
    </row>
    <row r="10" spans="1:23" x14ac:dyDescent="0.3">
      <c r="A10" s="147"/>
      <c r="B10" s="205">
        <f t="shared" si="5"/>
        <v>5</v>
      </c>
      <c r="C10" s="206">
        <v>43683</v>
      </c>
      <c r="D10" s="161" t="s">
        <v>9</v>
      </c>
      <c r="E10" s="161" t="s">
        <v>78</v>
      </c>
      <c r="F10" s="222">
        <v>1368</v>
      </c>
      <c r="G10" s="222">
        <v>1388</v>
      </c>
      <c r="H10" s="222">
        <v>20</v>
      </c>
      <c r="I10" s="207">
        <f t="shared" si="6"/>
        <v>219.2982456140351</v>
      </c>
      <c r="J10" s="242">
        <f t="shared" si="7"/>
        <v>4385.9649122807023</v>
      </c>
      <c r="K10" s="153"/>
      <c r="M10" s="389" t="s">
        <v>1176</v>
      </c>
      <c r="N10" s="343">
        <f>COUNT(C123:C145)</f>
        <v>19</v>
      </c>
      <c r="O10" s="345">
        <f>V146</f>
        <v>17</v>
      </c>
      <c r="P10" s="345">
        <f>W146</f>
        <v>2</v>
      </c>
      <c r="Q10" s="347">
        <f>N10-O10-P10</f>
        <v>0</v>
      </c>
      <c r="R10" s="340">
        <f t="shared" ref="R10:R16" si="9">O10/N10</f>
        <v>0.89473684210526316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43683</v>
      </c>
      <c r="D11" s="161" t="s">
        <v>8</v>
      </c>
      <c r="E11" s="161" t="s">
        <v>192</v>
      </c>
      <c r="F11" s="222">
        <v>232</v>
      </c>
      <c r="G11" s="222">
        <v>229</v>
      </c>
      <c r="H11" s="255">
        <v>3</v>
      </c>
      <c r="I11" s="207">
        <f t="shared" si="6"/>
        <v>1293.1034482758621</v>
      </c>
      <c r="J11" s="242">
        <f t="shared" si="7"/>
        <v>3879.3103448275861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43684</v>
      </c>
      <c r="D12" s="161" t="s">
        <v>9</v>
      </c>
      <c r="E12" s="161" t="s">
        <v>129</v>
      </c>
      <c r="F12" s="222">
        <v>2170</v>
      </c>
      <c r="G12" s="222">
        <v>2198</v>
      </c>
      <c r="H12" s="222">
        <v>28</v>
      </c>
      <c r="I12" s="207">
        <f t="shared" si="6"/>
        <v>138.24884792626727</v>
      </c>
      <c r="J12" s="242">
        <f t="shared" si="7"/>
        <v>3870.9677419354839</v>
      </c>
      <c r="K12" s="153"/>
      <c r="M12" s="389" t="s">
        <v>41</v>
      </c>
      <c r="N12" s="343">
        <f>COUNT(C154:C176)</f>
        <v>19</v>
      </c>
      <c r="O12" s="345">
        <f>V177</f>
        <v>16</v>
      </c>
      <c r="P12" s="345">
        <f>W177</f>
        <v>3</v>
      </c>
      <c r="Q12" s="347">
        <f t="shared" ref="Q12" si="10">N12-O12-P12</f>
        <v>0</v>
      </c>
      <c r="R12" s="340">
        <f t="shared" si="9"/>
        <v>0.84210526315789469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43684</v>
      </c>
      <c r="D13" s="161" t="s">
        <v>8</v>
      </c>
      <c r="E13" s="161" t="s">
        <v>31</v>
      </c>
      <c r="F13" s="222">
        <v>1122</v>
      </c>
      <c r="G13" s="222">
        <v>1108</v>
      </c>
      <c r="H13" s="255">
        <v>14</v>
      </c>
      <c r="I13" s="207">
        <f t="shared" si="6"/>
        <v>267.37967914438502</v>
      </c>
      <c r="J13" s="242">
        <f t="shared" si="7"/>
        <v>3743.3155080213901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43685</v>
      </c>
      <c r="D14" s="161" t="s">
        <v>9</v>
      </c>
      <c r="E14" s="161" t="s">
        <v>192</v>
      </c>
      <c r="F14" s="222">
        <v>228</v>
      </c>
      <c r="G14" s="222">
        <v>229.1</v>
      </c>
      <c r="H14" s="222">
        <v>1.1000000000000001</v>
      </c>
      <c r="I14" s="207">
        <f t="shared" si="6"/>
        <v>1315.7894736842106</v>
      </c>
      <c r="J14" s="242">
        <f t="shared" si="7"/>
        <v>1447.3684210526319</v>
      </c>
      <c r="K14" s="153"/>
      <c r="M14" s="389" t="s">
        <v>1175</v>
      </c>
      <c r="N14" s="343">
        <f>COUNT(C185:C207)</f>
        <v>19</v>
      </c>
      <c r="O14" s="345">
        <f>V208</f>
        <v>16</v>
      </c>
      <c r="P14" s="345">
        <f>W208</f>
        <v>3</v>
      </c>
      <c r="Q14" s="347">
        <f t="shared" ref="Q14" si="11">N14-O14-P14</f>
        <v>0</v>
      </c>
      <c r="R14" s="340">
        <f t="shared" si="9"/>
        <v>0.84210526315789469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43685</v>
      </c>
      <c r="D15" s="161" t="s">
        <v>8</v>
      </c>
      <c r="E15" s="161" t="s">
        <v>78</v>
      </c>
      <c r="F15" s="222">
        <v>1362</v>
      </c>
      <c r="G15" s="222">
        <v>1342</v>
      </c>
      <c r="H15" s="222">
        <v>20</v>
      </c>
      <c r="I15" s="207">
        <f t="shared" si="6"/>
        <v>220.26431718061673</v>
      </c>
      <c r="J15" s="242">
        <f t="shared" si="7"/>
        <v>4405.2863436123343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43686</v>
      </c>
      <c r="D16" s="161" t="s">
        <v>9</v>
      </c>
      <c r="E16" s="161" t="s">
        <v>31</v>
      </c>
      <c r="F16" s="222">
        <v>1167</v>
      </c>
      <c r="G16" s="222">
        <v>1175</v>
      </c>
      <c r="H16" s="222">
        <v>8</v>
      </c>
      <c r="I16" s="207">
        <f t="shared" si="6"/>
        <v>257.0694087403599</v>
      </c>
      <c r="J16" s="242">
        <f t="shared" si="7"/>
        <v>2056.5552699228792</v>
      </c>
      <c r="K16" s="153"/>
      <c r="L16" s="25" t="s">
        <v>2008</v>
      </c>
      <c r="M16" s="389" t="s">
        <v>1090</v>
      </c>
      <c r="N16" s="343">
        <f>COUNT(C216:C238)</f>
        <v>18</v>
      </c>
      <c r="O16" s="345">
        <f>V239</f>
        <v>13</v>
      </c>
      <c r="P16" s="345">
        <f>W239</f>
        <v>5</v>
      </c>
      <c r="Q16" s="347">
        <f t="shared" ref="Q16" si="12">N16-O16-P16</f>
        <v>0</v>
      </c>
      <c r="R16" s="340">
        <f t="shared" si="9"/>
        <v>0.72222222222222221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43686</v>
      </c>
      <c r="D17" s="161" t="s">
        <v>8</v>
      </c>
      <c r="E17" s="161" t="s">
        <v>552</v>
      </c>
      <c r="F17" s="222">
        <v>1414</v>
      </c>
      <c r="G17" s="222">
        <v>1408</v>
      </c>
      <c r="H17" s="222">
        <v>6</v>
      </c>
      <c r="I17" s="207">
        <f t="shared" si="6"/>
        <v>212.16407355021215</v>
      </c>
      <c r="J17" s="242">
        <f t="shared" si="7"/>
        <v>1272.9844413012729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43690</v>
      </c>
      <c r="D18" s="161" t="s">
        <v>9</v>
      </c>
      <c r="E18" s="161" t="s">
        <v>31</v>
      </c>
      <c r="F18" s="222">
        <v>1280</v>
      </c>
      <c r="G18" s="222">
        <v>1300</v>
      </c>
      <c r="H18" s="222">
        <v>20</v>
      </c>
      <c r="I18" s="207">
        <f t="shared" si="6"/>
        <v>234.375</v>
      </c>
      <c r="J18" s="242">
        <f t="shared" si="7"/>
        <v>4687.5</v>
      </c>
      <c r="K18" s="153"/>
      <c r="M18" s="334" t="s">
        <v>946</v>
      </c>
      <c r="N18" s="336">
        <f>SUM(N4:N17)</f>
        <v>153</v>
      </c>
      <c r="O18" s="336">
        <f t="shared" ref="O18:Q18" si="13">SUM(O4:O17)</f>
        <v>126</v>
      </c>
      <c r="P18" s="336">
        <f t="shared" si="13"/>
        <v>27</v>
      </c>
      <c r="Q18" s="338">
        <f t="shared" si="13"/>
        <v>0</v>
      </c>
      <c r="R18" s="314">
        <f t="shared" ref="R18" si="14">O18/N18</f>
        <v>0.82352941176470584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43690</v>
      </c>
      <c r="D19" s="161" t="s">
        <v>8</v>
      </c>
      <c r="E19" s="161" t="s">
        <v>95</v>
      </c>
      <c r="F19" s="222">
        <v>415.5</v>
      </c>
      <c r="G19" s="222">
        <v>418.5</v>
      </c>
      <c r="H19" s="222">
        <v>-3</v>
      </c>
      <c r="I19" s="207">
        <f t="shared" si="6"/>
        <v>722.02166064981952</v>
      </c>
      <c r="J19" s="242">
        <f t="shared" si="7"/>
        <v>-2166.0649819494583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43691</v>
      </c>
      <c r="D20" s="161" t="s">
        <v>9</v>
      </c>
      <c r="E20" s="161" t="s">
        <v>78</v>
      </c>
      <c r="F20" s="222">
        <v>1323</v>
      </c>
      <c r="G20" s="222">
        <v>1337</v>
      </c>
      <c r="H20" s="222">
        <v>14</v>
      </c>
      <c r="I20" s="207">
        <f t="shared" si="6"/>
        <v>226.75736961451247</v>
      </c>
      <c r="J20" s="242">
        <f t="shared" si="7"/>
        <v>3174.6031746031745</v>
      </c>
      <c r="K20" s="153"/>
      <c r="M20" s="316" t="s">
        <v>2253</v>
      </c>
      <c r="N20" s="317"/>
      <c r="O20" s="318"/>
      <c r="P20" s="325">
        <f>R18</f>
        <v>0.82352941176470584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43691</v>
      </c>
      <c r="D21" s="161" t="s">
        <v>8</v>
      </c>
      <c r="E21" s="161" t="s">
        <v>31</v>
      </c>
      <c r="F21" s="222">
        <v>1289</v>
      </c>
      <c r="G21" s="222">
        <v>1287</v>
      </c>
      <c r="H21" s="222">
        <v>2</v>
      </c>
      <c r="I21" s="207">
        <f t="shared" si="6"/>
        <v>232.73855702094647</v>
      </c>
      <c r="J21" s="242">
        <f t="shared" si="7"/>
        <v>465.47711404189295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43693</v>
      </c>
      <c r="D22" s="161" t="s">
        <v>9</v>
      </c>
      <c r="E22" s="161" t="s">
        <v>552</v>
      </c>
      <c r="F22" s="222">
        <v>1396</v>
      </c>
      <c r="G22" s="222">
        <v>1425</v>
      </c>
      <c r="H22" s="222">
        <v>29</v>
      </c>
      <c r="I22" s="207">
        <f t="shared" si="6"/>
        <v>214.89971346704871</v>
      </c>
      <c r="J22" s="242">
        <f t="shared" si="7"/>
        <v>6232.0916905444128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43693</v>
      </c>
      <c r="D23" s="161" t="s">
        <v>8</v>
      </c>
      <c r="E23" s="161" t="s">
        <v>129</v>
      </c>
      <c r="F23" s="222">
        <v>2105</v>
      </c>
      <c r="G23" s="222">
        <v>2125</v>
      </c>
      <c r="H23" s="222">
        <v>-20</v>
      </c>
      <c r="I23" s="207">
        <f t="shared" si="6"/>
        <v>142.51781472684087</v>
      </c>
      <c r="J23" s="242">
        <f t="shared" si="7"/>
        <v>-2850.3562945368176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43696</v>
      </c>
      <c r="D24" s="161" t="s">
        <v>9</v>
      </c>
      <c r="E24" s="161" t="s">
        <v>129</v>
      </c>
      <c r="F24" s="222">
        <v>2113</v>
      </c>
      <c r="G24" s="222">
        <v>2131</v>
      </c>
      <c r="H24" s="222">
        <v>18</v>
      </c>
      <c r="I24" s="207">
        <f t="shared" si="6"/>
        <v>141.97823000473261</v>
      </c>
      <c r="J24" s="242">
        <f t="shared" si="7"/>
        <v>2555.6081400851872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43696</v>
      </c>
      <c r="D25" s="161" t="s">
        <v>8</v>
      </c>
      <c r="E25" s="161" t="s">
        <v>19</v>
      </c>
      <c r="F25" s="222">
        <v>290</v>
      </c>
      <c r="G25" s="222">
        <v>287</v>
      </c>
      <c r="H25" s="222">
        <v>3</v>
      </c>
      <c r="I25" s="207">
        <f t="shared" si="6"/>
        <v>1034.4827586206898</v>
      </c>
      <c r="J25" s="242">
        <f t="shared" si="7"/>
        <v>3103.4482758620693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43697</v>
      </c>
      <c r="D26" s="161" t="s">
        <v>9</v>
      </c>
      <c r="E26" s="161" t="s">
        <v>129</v>
      </c>
      <c r="F26" s="222">
        <v>2105</v>
      </c>
      <c r="G26" s="222">
        <v>2111.5</v>
      </c>
      <c r="H26" s="222">
        <v>6.5</v>
      </c>
      <c r="I26" s="207">
        <f t="shared" si="6"/>
        <v>142.51781472684087</v>
      </c>
      <c r="J26" s="242">
        <f t="shared" si="7"/>
        <v>926.36579572446567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43697</v>
      </c>
      <c r="D27" s="161" t="s">
        <v>8</v>
      </c>
      <c r="E27" s="161" t="s">
        <v>78</v>
      </c>
      <c r="F27" s="222">
        <v>1344</v>
      </c>
      <c r="G27" s="222">
        <v>1334</v>
      </c>
      <c r="H27" s="222">
        <v>10</v>
      </c>
      <c r="I27" s="207">
        <f t="shared" si="6"/>
        <v>223.21428571428572</v>
      </c>
      <c r="J27" s="242">
        <f t="shared" si="7"/>
        <v>2232.1428571428573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43698</v>
      </c>
      <c r="D28" s="161" t="s">
        <v>9</v>
      </c>
      <c r="E28" s="161" t="s">
        <v>552</v>
      </c>
      <c r="F28" s="222">
        <v>1406</v>
      </c>
      <c r="G28" s="222">
        <v>1392</v>
      </c>
      <c r="H28" s="222">
        <v>-14</v>
      </c>
      <c r="I28" s="207">
        <f t="shared" si="6"/>
        <v>213.37126600284495</v>
      </c>
      <c r="J28" s="242">
        <f t="shared" si="7"/>
        <v>-2987.1977240398292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43698</v>
      </c>
      <c r="D29" s="161" t="s">
        <v>8</v>
      </c>
      <c r="E29" s="161" t="s">
        <v>19</v>
      </c>
      <c r="F29" s="222">
        <v>284</v>
      </c>
      <c r="G29" s="222">
        <v>278</v>
      </c>
      <c r="H29" s="222">
        <v>6</v>
      </c>
      <c r="I29" s="207">
        <f t="shared" si="6"/>
        <v>1056.338028169014</v>
      </c>
      <c r="J29" s="242">
        <f t="shared" si="7"/>
        <v>6338.0281690140837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43699</v>
      </c>
      <c r="D30" s="161" t="s">
        <v>9</v>
      </c>
      <c r="E30" s="161" t="s">
        <v>95</v>
      </c>
      <c r="F30" s="222">
        <v>412</v>
      </c>
      <c r="G30" s="222">
        <v>408</v>
      </c>
      <c r="H30" s="222">
        <v>-4</v>
      </c>
      <c r="I30" s="207">
        <f t="shared" si="6"/>
        <v>728.15533980582529</v>
      </c>
      <c r="J30" s="242">
        <f t="shared" si="7"/>
        <v>-2912.6213592233012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43699</v>
      </c>
      <c r="D31" s="161" t="s">
        <v>8</v>
      </c>
      <c r="E31" s="161" t="s">
        <v>31</v>
      </c>
      <c r="F31" s="222">
        <v>1261</v>
      </c>
      <c r="G31" s="222">
        <v>1241</v>
      </c>
      <c r="H31" s="222">
        <v>20</v>
      </c>
      <c r="I31" s="207">
        <f t="shared" si="6"/>
        <v>237.90642347343379</v>
      </c>
      <c r="J31" s="242">
        <f t="shared" si="7"/>
        <v>4758.1284694686756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43700</v>
      </c>
      <c r="D32" s="161" t="s">
        <v>9</v>
      </c>
      <c r="E32" s="161" t="s">
        <v>310</v>
      </c>
      <c r="F32" s="222">
        <v>578</v>
      </c>
      <c r="G32" s="222">
        <v>584</v>
      </c>
      <c r="H32" s="222">
        <v>6</v>
      </c>
      <c r="I32" s="207">
        <f t="shared" si="6"/>
        <v>519.03114186851212</v>
      </c>
      <c r="J32" s="242">
        <f t="shared" si="7"/>
        <v>3114.1868512110727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43700</v>
      </c>
      <c r="D33" s="161" t="s">
        <v>8</v>
      </c>
      <c r="E33" s="161" t="s">
        <v>31</v>
      </c>
      <c r="F33" s="222">
        <v>1255</v>
      </c>
      <c r="G33" s="222">
        <v>1247</v>
      </c>
      <c r="H33" s="222">
        <v>8</v>
      </c>
      <c r="I33" s="207">
        <f t="shared" si="6"/>
        <v>239.04382470119521</v>
      </c>
      <c r="J33" s="242">
        <f t="shared" si="7"/>
        <v>1912.3505976095616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43703</v>
      </c>
      <c r="D34" s="161" t="s">
        <v>9</v>
      </c>
      <c r="E34" s="161" t="s">
        <v>129</v>
      </c>
      <c r="F34" s="222">
        <v>2090</v>
      </c>
      <c r="G34" s="222">
        <v>2130</v>
      </c>
      <c r="H34" s="222">
        <v>40</v>
      </c>
      <c r="I34" s="207">
        <f t="shared" si="6"/>
        <v>143.54066985645932</v>
      </c>
      <c r="J34" s="242">
        <f t="shared" si="7"/>
        <v>5741.6267942583727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43703</v>
      </c>
      <c r="D35" s="161" t="s">
        <v>8</v>
      </c>
      <c r="E35" s="161" t="s">
        <v>19</v>
      </c>
      <c r="F35" s="222">
        <v>274</v>
      </c>
      <c r="G35" s="222">
        <v>270</v>
      </c>
      <c r="H35" s="222">
        <v>4</v>
      </c>
      <c r="I35" s="207">
        <f t="shared" si="6"/>
        <v>1094.8905109489051</v>
      </c>
      <c r="J35" s="242">
        <f t="shared" si="7"/>
        <v>4379.5620437956204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43704</v>
      </c>
      <c r="D36" s="161" t="s">
        <v>9</v>
      </c>
      <c r="E36" s="161" t="s">
        <v>78</v>
      </c>
      <c r="F36" s="222">
        <v>1370</v>
      </c>
      <c r="G36" s="222">
        <v>1377.5</v>
      </c>
      <c r="H36" s="222">
        <v>7.5</v>
      </c>
      <c r="I36" s="207">
        <f t="shared" si="6"/>
        <v>218.97810218978103</v>
      </c>
      <c r="J36" s="242">
        <f t="shared" si="7"/>
        <v>1642.3357664233577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43704</v>
      </c>
      <c r="D37" s="161" t="s">
        <v>9</v>
      </c>
      <c r="E37" s="161" t="s">
        <v>129</v>
      </c>
      <c r="F37" s="222">
        <v>2185</v>
      </c>
      <c r="G37" s="222">
        <v>2165</v>
      </c>
      <c r="H37" s="222">
        <v>-20</v>
      </c>
      <c r="I37" s="207">
        <f t="shared" si="6"/>
        <v>137.29977116704805</v>
      </c>
      <c r="J37" s="242">
        <f t="shared" si="7"/>
        <v>-2745.9954233409608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43705</v>
      </c>
      <c r="D38" s="161" t="s">
        <v>9</v>
      </c>
      <c r="E38" s="161" t="s">
        <v>552</v>
      </c>
      <c r="F38" s="222">
        <v>1380</v>
      </c>
      <c r="G38" s="222">
        <v>1405</v>
      </c>
      <c r="H38" s="222">
        <v>25</v>
      </c>
      <c r="I38" s="207">
        <f t="shared" si="6"/>
        <v>217.39130434782609</v>
      </c>
      <c r="J38" s="242">
        <f t="shared" si="7"/>
        <v>5434.782608695652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43705</v>
      </c>
      <c r="D39" s="161" t="s">
        <v>8</v>
      </c>
      <c r="E39" s="161" t="s">
        <v>19</v>
      </c>
      <c r="F39" s="222">
        <v>285</v>
      </c>
      <c r="G39" s="222">
        <v>283</v>
      </c>
      <c r="H39" s="222">
        <v>2</v>
      </c>
      <c r="I39" s="207">
        <f t="shared" si="6"/>
        <v>1052.6315789473683</v>
      </c>
      <c r="J39" s="242">
        <f t="shared" si="7"/>
        <v>2105.2631578947367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43706</v>
      </c>
      <c r="D40" s="161" t="s">
        <v>9</v>
      </c>
      <c r="E40" s="161" t="s">
        <v>2362</v>
      </c>
      <c r="F40" s="222">
        <v>291</v>
      </c>
      <c r="G40" s="222">
        <v>295</v>
      </c>
      <c r="H40" s="222">
        <v>4</v>
      </c>
      <c r="I40" s="207">
        <f t="shared" si="6"/>
        <v>1030.9278350515465</v>
      </c>
      <c r="J40" s="242">
        <f t="shared" si="7"/>
        <v>4123.7113402061859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43706</v>
      </c>
      <c r="D41" s="161" t="s">
        <v>8</v>
      </c>
      <c r="E41" s="161" t="s">
        <v>95</v>
      </c>
      <c r="F41" s="222">
        <v>406</v>
      </c>
      <c r="G41" s="223">
        <v>400.5</v>
      </c>
      <c r="H41" s="222">
        <v>5.5</v>
      </c>
      <c r="I41" s="207">
        <f t="shared" si="6"/>
        <v>738.91625615763542</v>
      </c>
      <c r="J41" s="242">
        <f t="shared" si="7"/>
        <v>4064.0394088669946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43707</v>
      </c>
      <c r="D42" s="161" t="s">
        <v>9</v>
      </c>
      <c r="E42" s="161" t="s">
        <v>163</v>
      </c>
      <c r="F42" s="222">
        <v>264.5</v>
      </c>
      <c r="G42" s="222">
        <v>267</v>
      </c>
      <c r="H42" s="222">
        <v>2.5</v>
      </c>
      <c r="I42" s="207">
        <f t="shared" si="6"/>
        <v>1134.2155009451797</v>
      </c>
      <c r="J42" s="242">
        <f t="shared" si="7"/>
        <v>2835.5387523629493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43707</v>
      </c>
      <c r="D43" s="161" t="s">
        <v>8</v>
      </c>
      <c r="E43" s="161" t="s">
        <v>31</v>
      </c>
      <c r="F43" s="222">
        <v>1238</v>
      </c>
      <c r="G43" s="222">
        <v>1223</v>
      </c>
      <c r="H43" s="222">
        <v>15</v>
      </c>
      <c r="I43" s="207">
        <f t="shared" si="6"/>
        <v>242.32633279483036</v>
      </c>
      <c r="J43" s="242">
        <f t="shared" si="7"/>
        <v>3634.8949919224556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84859.249681925634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2788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43679</v>
      </c>
      <c r="D60" s="158" t="s">
        <v>8</v>
      </c>
      <c r="E60" s="158" t="s">
        <v>58</v>
      </c>
      <c r="F60" s="230">
        <v>680</v>
      </c>
      <c r="G60" s="230">
        <v>675.5</v>
      </c>
      <c r="H60" s="230">
        <v>4.5</v>
      </c>
      <c r="I60" s="204">
        <v>1200</v>
      </c>
      <c r="J60" s="241">
        <f t="shared" ref="J60:J83" si="15">I60*H60</f>
        <v>5400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43682</v>
      </c>
      <c r="D61" s="161" t="s">
        <v>8</v>
      </c>
      <c r="E61" s="161" t="s">
        <v>31</v>
      </c>
      <c r="F61" s="207">
        <v>1138</v>
      </c>
      <c r="G61" s="222">
        <v>1148</v>
      </c>
      <c r="H61" s="222">
        <v>-10</v>
      </c>
      <c r="I61" s="207">
        <v>500</v>
      </c>
      <c r="J61" s="242">
        <f t="shared" si="15"/>
        <v>-5000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43683</v>
      </c>
      <c r="D62" s="161" t="s">
        <v>8</v>
      </c>
      <c r="E62" s="161" t="s">
        <v>58</v>
      </c>
      <c r="F62" s="222">
        <v>672</v>
      </c>
      <c r="G62" s="222">
        <v>671</v>
      </c>
      <c r="H62" s="222">
        <v>1</v>
      </c>
      <c r="I62" s="207">
        <v>1200</v>
      </c>
      <c r="J62" s="242">
        <f t="shared" si="15"/>
        <v>1200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43684</v>
      </c>
      <c r="D63" s="161" t="s">
        <v>8</v>
      </c>
      <c r="E63" s="161" t="s">
        <v>58</v>
      </c>
      <c r="F63" s="222">
        <v>672</v>
      </c>
      <c r="G63" s="222">
        <v>660</v>
      </c>
      <c r="H63" s="222">
        <v>12</v>
      </c>
      <c r="I63" s="207">
        <v>1200</v>
      </c>
      <c r="J63" s="242">
        <f t="shared" si="15"/>
        <v>14400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43684</v>
      </c>
      <c r="D64" s="161" t="s">
        <v>9</v>
      </c>
      <c r="E64" s="161" t="s">
        <v>129</v>
      </c>
      <c r="F64" s="222">
        <v>2180</v>
      </c>
      <c r="G64" s="222">
        <v>2198</v>
      </c>
      <c r="H64" s="222">
        <v>18</v>
      </c>
      <c r="I64" s="207">
        <v>500</v>
      </c>
      <c r="J64" s="242">
        <f t="shared" si="15"/>
        <v>9000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43685</v>
      </c>
      <c r="D65" s="161" t="s">
        <v>8</v>
      </c>
      <c r="E65" s="161" t="s">
        <v>31</v>
      </c>
      <c r="F65" s="207">
        <v>1121</v>
      </c>
      <c r="G65" s="222">
        <v>1116</v>
      </c>
      <c r="H65" s="222">
        <v>5</v>
      </c>
      <c r="I65" s="207">
        <v>500</v>
      </c>
      <c r="J65" s="242">
        <f t="shared" si="15"/>
        <v>2500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43685</v>
      </c>
      <c r="D66" s="161" t="s">
        <v>8</v>
      </c>
      <c r="E66" s="161" t="s">
        <v>58</v>
      </c>
      <c r="F66" s="207">
        <v>649</v>
      </c>
      <c r="G66" s="222">
        <v>646</v>
      </c>
      <c r="H66" s="222">
        <v>3</v>
      </c>
      <c r="I66" s="207">
        <v>1200</v>
      </c>
      <c r="J66" s="242">
        <f t="shared" si="15"/>
        <v>3600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43686</v>
      </c>
      <c r="D67" s="161" t="s">
        <v>8</v>
      </c>
      <c r="E67" s="161" t="s">
        <v>78</v>
      </c>
      <c r="F67" s="222">
        <v>1390</v>
      </c>
      <c r="G67" s="222">
        <v>1394.5</v>
      </c>
      <c r="H67" s="222">
        <v>4.5</v>
      </c>
      <c r="I67" s="207">
        <v>375</v>
      </c>
      <c r="J67" s="242">
        <f t="shared" si="15"/>
        <v>1687.5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43690</v>
      </c>
      <c r="D68" s="161" t="s">
        <v>8</v>
      </c>
      <c r="E68" s="161" t="s">
        <v>78</v>
      </c>
      <c r="F68" s="222">
        <v>1337</v>
      </c>
      <c r="G68" s="222">
        <v>1317</v>
      </c>
      <c r="H68" s="222">
        <v>20</v>
      </c>
      <c r="I68" s="207">
        <v>375</v>
      </c>
      <c r="J68" s="242">
        <f t="shared" si="15"/>
        <v>7500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43691</v>
      </c>
      <c r="D69" s="161" t="s">
        <v>8</v>
      </c>
      <c r="E69" s="161" t="s">
        <v>129</v>
      </c>
      <c r="F69" s="222">
        <v>2130</v>
      </c>
      <c r="G69" s="222">
        <v>2115</v>
      </c>
      <c r="H69" s="222">
        <v>15</v>
      </c>
      <c r="I69" s="207">
        <v>500</v>
      </c>
      <c r="J69" s="242">
        <f t="shared" si="15"/>
        <v>7500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43693</v>
      </c>
      <c r="D70" s="161" t="s">
        <v>8</v>
      </c>
      <c r="E70" s="161" t="s">
        <v>31</v>
      </c>
      <c r="F70" s="161">
        <v>1280</v>
      </c>
      <c r="G70" s="222">
        <v>1283</v>
      </c>
      <c r="H70" s="222">
        <v>-3</v>
      </c>
      <c r="I70" s="207">
        <v>500</v>
      </c>
      <c r="J70" s="242">
        <f t="shared" si="15"/>
        <v>-1500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43696</v>
      </c>
      <c r="D71" s="161" t="s">
        <v>8</v>
      </c>
      <c r="E71" s="161" t="s">
        <v>58</v>
      </c>
      <c r="F71" s="222">
        <v>683</v>
      </c>
      <c r="G71" s="222">
        <v>680.8</v>
      </c>
      <c r="H71" s="222">
        <v>2.2000000000000002</v>
      </c>
      <c r="I71" s="207">
        <v>1200</v>
      </c>
      <c r="J71" s="242">
        <f t="shared" si="15"/>
        <v>2640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43697</v>
      </c>
      <c r="D72" s="161" t="s">
        <v>8</v>
      </c>
      <c r="E72" s="161" t="s">
        <v>58</v>
      </c>
      <c r="F72" s="222">
        <v>676</v>
      </c>
      <c r="G72" s="222">
        <v>672</v>
      </c>
      <c r="H72" s="222">
        <v>4</v>
      </c>
      <c r="I72" s="207">
        <v>1200</v>
      </c>
      <c r="J72" s="242">
        <f t="shared" si="15"/>
        <v>4800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43698</v>
      </c>
      <c r="D73" s="161" t="s">
        <v>8</v>
      </c>
      <c r="E73" s="161" t="s">
        <v>58</v>
      </c>
      <c r="F73" s="223">
        <v>668</v>
      </c>
      <c r="G73" s="222">
        <v>659.5</v>
      </c>
      <c r="H73" s="255">
        <v>8.5</v>
      </c>
      <c r="I73" s="207">
        <v>1200</v>
      </c>
      <c r="J73" s="242">
        <f t="shared" si="15"/>
        <v>10200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43699</v>
      </c>
      <c r="D74" s="161" t="s">
        <v>8</v>
      </c>
      <c r="E74" s="161" t="s">
        <v>58</v>
      </c>
      <c r="F74" s="222">
        <v>662</v>
      </c>
      <c r="G74" s="222">
        <v>668</v>
      </c>
      <c r="H74" s="255">
        <v>-6</v>
      </c>
      <c r="I74" s="207">
        <v>1200</v>
      </c>
      <c r="J74" s="242">
        <f t="shared" si="15"/>
        <v>-7200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43700</v>
      </c>
      <c r="D75" s="161" t="s">
        <v>8</v>
      </c>
      <c r="E75" s="161" t="s">
        <v>31</v>
      </c>
      <c r="F75" s="222">
        <v>1252</v>
      </c>
      <c r="G75" s="222">
        <v>1262</v>
      </c>
      <c r="H75" s="222">
        <v>-10</v>
      </c>
      <c r="I75" s="207">
        <v>500</v>
      </c>
      <c r="J75" s="242">
        <f t="shared" si="15"/>
        <v>-5000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43703</v>
      </c>
      <c r="D76" s="161" t="s">
        <v>9</v>
      </c>
      <c r="E76" s="161" t="s">
        <v>552</v>
      </c>
      <c r="F76" s="222">
        <v>1298</v>
      </c>
      <c r="G76" s="222">
        <v>1315</v>
      </c>
      <c r="H76" s="222">
        <v>17</v>
      </c>
      <c r="I76" s="207">
        <v>400</v>
      </c>
      <c r="J76" s="242">
        <f t="shared" si="15"/>
        <v>6800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43704</v>
      </c>
      <c r="D77" s="161" t="s">
        <v>9</v>
      </c>
      <c r="E77" s="161" t="s">
        <v>2203</v>
      </c>
      <c r="F77" s="222">
        <v>838</v>
      </c>
      <c r="G77" s="222">
        <v>854.9</v>
      </c>
      <c r="H77" s="222">
        <v>16.899999999999999</v>
      </c>
      <c r="I77" s="207">
        <v>600</v>
      </c>
      <c r="J77" s="242">
        <f t="shared" si="15"/>
        <v>10140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43705</v>
      </c>
      <c r="D78" s="161" t="s">
        <v>8</v>
      </c>
      <c r="E78" s="161" t="s">
        <v>58</v>
      </c>
      <c r="F78" s="222">
        <v>683</v>
      </c>
      <c r="G78" s="222">
        <v>674.8</v>
      </c>
      <c r="H78" s="222">
        <v>8.1999999999999993</v>
      </c>
      <c r="I78" s="207">
        <v>1200</v>
      </c>
      <c r="J78" s="242">
        <f t="shared" si="15"/>
        <v>9840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43706</v>
      </c>
      <c r="D79" s="161" t="s">
        <v>8</v>
      </c>
      <c r="E79" s="161" t="s">
        <v>58</v>
      </c>
      <c r="F79" s="222">
        <v>674</v>
      </c>
      <c r="G79" s="222">
        <v>662</v>
      </c>
      <c r="H79" s="222">
        <v>12</v>
      </c>
      <c r="I79" s="207">
        <v>1200</v>
      </c>
      <c r="J79" s="242">
        <f t="shared" si="15"/>
        <v>14400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43707</v>
      </c>
      <c r="D80" s="161" t="s">
        <v>8</v>
      </c>
      <c r="E80" s="161" t="s">
        <v>58</v>
      </c>
      <c r="F80" s="222">
        <v>666</v>
      </c>
      <c r="G80" s="222">
        <v>654</v>
      </c>
      <c r="H80" s="222">
        <v>12</v>
      </c>
      <c r="I80" s="207">
        <v>1200</v>
      </c>
      <c r="J80" s="242">
        <f t="shared" si="15"/>
        <v>14400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107307.5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2789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43679</v>
      </c>
      <c r="D92" s="185" t="s">
        <v>8</v>
      </c>
      <c r="E92" s="185" t="s">
        <v>39</v>
      </c>
      <c r="F92" s="219">
        <v>10930</v>
      </c>
      <c r="G92" s="219">
        <v>10900</v>
      </c>
      <c r="H92" s="185">
        <v>30</v>
      </c>
      <c r="I92" s="219">
        <v>150</v>
      </c>
      <c r="J92" s="246">
        <f t="shared" ref="J92:J114" si="19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43682</v>
      </c>
      <c r="D93" s="161" t="s">
        <v>8</v>
      </c>
      <c r="E93" s="161" t="s">
        <v>39</v>
      </c>
      <c r="F93" s="207">
        <v>10850</v>
      </c>
      <c r="G93" s="207">
        <v>10810</v>
      </c>
      <c r="H93" s="161">
        <v>40</v>
      </c>
      <c r="I93" s="207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43683</v>
      </c>
      <c r="D94" s="161" t="s">
        <v>8</v>
      </c>
      <c r="E94" s="161" t="s">
        <v>39</v>
      </c>
      <c r="F94" s="207">
        <v>10920</v>
      </c>
      <c r="G94" s="207">
        <v>10950</v>
      </c>
      <c r="H94" s="161">
        <v>-30</v>
      </c>
      <c r="I94" s="207">
        <v>150</v>
      </c>
      <c r="J94" s="242">
        <f t="shared" si="19"/>
        <v>-4500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43684</v>
      </c>
      <c r="D95" s="161" t="s">
        <v>8</v>
      </c>
      <c r="E95" s="161" t="s">
        <v>39</v>
      </c>
      <c r="F95" s="207">
        <v>10945</v>
      </c>
      <c r="G95" s="207">
        <v>10885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43685</v>
      </c>
      <c r="D96" s="161" t="s">
        <v>8</v>
      </c>
      <c r="E96" s="161" t="s">
        <v>39</v>
      </c>
      <c r="F96" s="207">
        <v>10920</v>
      </c>
      <c r="G96" s="207">
        <v>10890</v>
      </c>
      <c r="H96" s="161">
        <v>30</v>
      </c>
      <c r="I96" s="207">
        <v>150</v>
      </c>
      <c r="J96" s="242">
        <f t="shared" si="19"/>
        <v>4500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43686</v>
      </c>
      <c r="D97" s="161" t="s">
        <v>8</v>
      </c>
      <c r="E97" s="161" t="s">
        <v>39</v>
      </c>
      <c r="F97" s="207">
        <v>11140</v>
      </c>
      <c r="G97" s="207">
        <v>11180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43690</v>
      </c>
      <c r="D98" s="161" t="s">
        <v>8</v>
      </c>
      <c r="E98" s="161" t="s">
        <v>39</v>
      </c>
      <c r="F98" s="207">
        <v>11065</v>
      </c>
      <c r="G98" s="207">
        <v>11095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43691</v>
      </c>
      <c r="D99" s="161" t="s">
        <v>8</v>
      </c>
      <c r="E99" s="161" t="s">
        <v>39</v>
      </c>
      <c r="F99" s="207">
        <v>11060</v>
      </c>
      <c r="G99" s="207">
        <v>11020</v>
      </c>
      <c r="H99" s="161">
        <v>40</v>
      </c>
      <c r="I99" s="207">
        <v>150</v>
      </c>
      <c r="J99" s="242">
        <f t="shared" si="19"/>
        <v>6000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43693</v>
      </c>
      <c r="D100" s="161" t="s">
        <v>8</v>
      </c>
      <c r="E100" s="161" t="s">
        <v>39</v>
      </c>
      <c r="F100" s="207">
        <v>11065</v>
      </c>
      <c r="G100" s="207">
        <v>11055</v>
      </c>
      <c r="H100" s="161">
        <v>10</v>
      </c>
      <c r="I100" s="207">
        <v>150</v>
      </c>
      <c r="J100" s="242">
        <f t="shared" si="19"/>
        <v>1500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43696</v>
      </c>
      <c r="D101" s="161" t="s">
        <v>8</v>
      </c>
      <c r="E101" s="161" t="s">
        <v>39</v>
      </c>
      <c r="F101" s="207">
        <v>11130</v>
      </c>
      <c r="G101" s="207">
        <v>11145</v>
      </c>
      <c r="H101" s="161">
        <v>30</v>
      </c>
      <c r="I101" s="207">
        <v>150</v>
      </c>
      <c r="J101" s="242">
        <f t="shared" si="19"/>
        <v>4500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43697</v>
      </c>
      <c r="D102" s="161" t="s">
        <v>8</v>
      </c>
      <c r="E102" s="161" t="s">
        <v>39</v>
      </c>
      <c r="F102" s="207">
        <v>11010</v>
      </c>
      <c r="G102" s="207">
        <v>10980</v>
      </c>
      <c r="H102" s="161">
        <v>30</v>
      </c>
      <c r="I102" s="207">
        <v>150</v>
      </c>
      <c r="J102" s="242">
        <f t="shared" si="19"/>
        <v>4500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43698</v>
      </c>
      <c r="D103" s="161" t="s">
        <v>8</v>
      </c>
      <c r="E103" s="161" t="s">
        <v>39</v>
      </c>
      <c r="F103" s="207">
        <v>10980</v>
      </c>
      <c r="G103" s="207">
        <v>10920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43699</v>
      </c>
      <c r="D104" s="161" t="s">
        <v>8</v>
      </c>
      <c r="E104" s="161" t="s">
        <v>39</v>
      </c>
      <c r="F104" s="207">
        <v>10855</v>
      </c>
      <c r="G104" s="207">
        <v>10795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43700</v>
      </c>
      <c r="D105" s="161" t="s">
        <v>8</v>
      </c>
      <c r="E105" s="161" t="s">
        <v>39</v>
      </c>
      <c r="F105" s="207">
        <v>10770</v>
      </c>
      <c r="G105" s="207">
        <v>10755</v>
      </c>
      <c r="H105" s="161">
        <v>15</v>
      </c>
      <c r="I105" s="207">
        <v>150</v>
      </c>
      <c r="J105" s="242">
        <f t="shared" si="19"/>
        <v>2250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43703</v>
      </c>
      <c r="D106" s="161" t="s">
        <v>8</v>
      </c>
      <c r="E106" s="161" t="s">
        <v>39</v>
      </c>
      <c r="F106" s="207">
        <v>10860</v>
      </c>
      <c r="G106" s="207">
        <v>10890</v>
      </c>
      <c r="H106" s="161">
        <v>-30</v>
      </c>
      <c r="I106" s="207">
        <v>150</v>
      </c>
      <c r="J106" s="242">
        <f t="shared" si="19"/>
        <v>-4500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43704</v>
      </c>
      <c r="D107" s="161" t="s">
        <v>9</v>
      </c>
      <c r="E107" s="161" t="s">
        <v>39</v>
      </c>
      <c r="F107" s="207">
        <v>11110</v>
      </c>
      <c r="G107" s="207">
        <v>11125</v>
      </c>
      <c r="H107" s="161">
        <v>15</v>
      </c>
      <c r="I107" s="207">
        <v>150</v>
      </c>
      <c r="J107" s="242">
        <f t="shared" si="19"/>
        <v>2250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43705</v>
      </c>
      <c r="D108" s="161" t="s">
        <v>8</v>
      </c>
      <c r="E108" s="161" t="s">
        <v>39</v>
      </c>
      <c r="F108" s="207">
        <v>11070</v>
      </c>
      <c r="G108" s="207">
        <v>11010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43706</v>
      </c>
      <c r="D109" s="161" t="s">
        <v>8</v>
      </c>
      <c r="E109" s="161" t="s">
        <v>39</v>
      </c>
      <c r="F109" s="207">
        <v>10990</v>
      </c>
      <c r="G109" s="207">
        <v>10930</v>
      </c>
      <c r="H109" s="161">
        <v>60</v>
      </c>
      <c r="I109" s="207">
        <v>150</v>
      </c>
      <c r="J109" s="242">
        <f t="shared" si="19"/>
        <v>9000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43707</v>
      </c>
      <c r="D110" s="161" t="s">
        <v>8</v>
      </c>
      <c r="E110" s="161" t="s">
        <v>39</v>
      </c>
      <c r="F110" s="207">
        <v>10980</v>
      </c>
      <c r="G110" s="207">
        <v>10920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82500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2787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43679</v>
      </c>
      <c r="D123" s="185" t="s">
        <v>9</v>
      </c>
      <c r="E123" s="185" t="s">
        <v>2790</v>
      </c>
      <c r="F123" s="219">
        <v>120</v>
      </c>
      <c r="G123" s="219">
        <v>130</v>
      </c>
      <c r="H123" s="185">
        <v>10</v>
      </c>
      <c r="I123" s="219">
        <v>300</v>
      </c>
      <c r="J123" s="246">
        <f t="shared" ref="J123:J145" si="23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43682</v>
      </c>
      <c r="D124" s="161" t="s">
        <v>9</v>
      </c>
      <c r="E124" s="161" t="s">
        <v>2791</v>
      </c>
      <c r="F124" s="207">
        <v>115</v>
      </c>
      <c r="G124" s="207">
        <v>135</v>
      </c>
      <c r="H124" s="161">
        <v>20</v>
      </c>
      <c r="I124" s="207">
        <v>300</v>
      </c>
      <c r="J124" s="242">
        <f t="shared" si="23"/>
        <v>6000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43683</v>
      </c>
      <c r="D125" s="161" t="s">
        <v>9</v>
      </c>
      <c r="E125" s="161" t="s">
        <v>2790</v>
      </c>
      <c r="F125" s="207">
        <v>100</v>
      </c>
      <c r="G125" s="207">
        <v>80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43684</v>
      </c>
      <c r="D126" s="161" t="s">
        <v>9</v>
      </c>
      <c r="E126" s="161" t="s">
        <v>2437</v>
      </c>
      <c r="F126" s="207">
        <v>86</v>
      </c>
      <c r="G126" s="207">
        <v>126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43685</v>
      </c>
      <c r="D127" s="161" t="s">
        <v>9</v>
      </c>
      <c r="E127" s="161" t="s">
        <v>2437</v>
      </c>
      <c r="F127" s="207">
        <v>105</v>
      </c>
      <c r="G127" s="207">
        <v>135</v>
      </c>
      <c r="H127" s="161">
        <v>30</v>
      </c>
      <c r="I127" s="207">
        <v>300</v>
      </c>
      <c r="J127" s="242">
        <f t="shared" si="23"/>
        <v>9000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43686</v>
      </c>
      <c r="D128" s="161" t="s">
        <v>9</v>
      </c>
      <c r="E128" s="161" t="s">
        <v>2795</v>
      </c>
      <c r="F128" s="207">
        <v>120</v>
      </c>
      <c r="G128" s="222">
        <v>150</v>
      </c>
      <c r="H128" s="222">
        <v>30</v>
      </c>
      <c r="I128" s="207">
        <v>300</v>
      </c>
      <c r="J128" s="242">
        <f t="shared" si="23"/>
        <v>9000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43690</v>
      </c>
      <c r="D129" s="161" t="s">
        <v>9</v>
      </c>
      <c r="E129" s="161" t="s">
        <v>2529</v>
      </c>
      <c r="F129" s="207">
        <v>125</v>
      </c>
      <c r="G129" s="207">
        <v>165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43691</v>
      </c>
      <c r="D130" s="161" t="s">
        <v>9</v>
      </c>
      <c r="E130" s="161" t="s">
        <v>2520</v>
      </c>
      <c r="F130" s="207">
        <v>65</v>
      </c>
      <c r="G130" s="207">
        <v>94</v>
      </c>
      <c r="H130" s="161">
        <v>29</v>
      </c>
      <c r="I130" s="207">
        <v>300</v>
      </c>
      <c r="J130" s="242">
        <f t="shared" si="23"/>
        <v>8700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43693</v>
      </c>
      <c r="D131" s="161" t="s">
        <v>9</v>
      </c>
      <c r="E131" s="161" t="s">
        <v>2437</v>
      </c>
      <c r="F131" s="207">
        <v>65</v>
      </c>
      <c r="G131" s="207">
        <v>75</v>
      </c>
      <c r="H131" s="161">
        <v>10</v>
      </c>
      <c r="I131" s="207">
        <v>300</v>
      </c>
      <c r="J131" s="242">
        <f t="shared" si="23"/>
        <v>3000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43696</v>
      </c>
      <c r="D132" s="161" t="s">
        <v>9</v>
      </c>
      <c r="E132" s="161" t="s">
        <v>2451</v>
      </c>
      <c r="F132" s="207">
        <v>83</v>
      </c>
      <c r="G132" s="222">
        <v>63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43697</v>
      </c>
      <c r="D133" s="161" t="s">
        <v>9</v>
      </c>
      <c r="E133" s="161" t="s">
        <v>2520</v>
      </c>
      <c r="F133" s="207">
        <v>125</v>
      </c>
      <c r="G133" s="207">
        <v>145</v>
      </c>
      <c r="H133" s="161">
        <v>20</v>
      </c>
      <c r="I133" s="207">
        <v>300</v>
      </c>
      <c r="J133" s="242">
        <f t="shared" si="23"/>
        <v>6000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43698</v>
      </c>
      <c r="D134" s="161" t="s">
        <v>9</v>
      </c>
      <c r="E134" s="161" t="s">
        <v>2520</v>
      </c>
      <c r="F134" s="207">
        <v>110</v>
      </c>
      <c r="G134" s="207">
        <v>150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43699</v>
      </c>
      <c r="D135" s="161" t="s">
        <v>9</v>
      </c>
      <c r="E135" s="161" t="s">
        <v>2790</v>
      </c>
      <c r="F135" s="207">
        <v>100</v>
      </c>
      <c r="G135" s="207">
        <v>140</v>
      </c>
      <c r="H135" s="161">
        <v>40</v>
      </c>
      <c r="I135" s="207">
        <v>300</v>
      </c>
      <c r="J135" s="242">
        <f t="shared" si="23"/>
        <v>12000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43700</v>
      </c>
      <c r="D136" s="161" t="s">
        <v>9</v>
      </c>
      <c r="E136" s="161" t="s">
        <v>2429</v>
      </c>
      <c r="F136" s="207">
        <v>115</v>
      </c>
      <c r="G136" s="207">
        <v>125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43703</v>
      </c>
      <c r="D137" s="161" t="s">
        <v>9</v>
      </c>
      <c r="E137" s="161" t="s">
        <v>2440</v>
      </c>
      <c r="F137" s="207">
        <v>130</v>
      </c>
      <c r="G137" s="207">
        <v>170</v>
      </c>
      <c r="H137" s="161">
        <v>40</v>
      </c>
      <c r="I137" s="207">
        <v>300</v>
      </c>
      <c r="J137" s="242">
        <f t="shared" si="23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43704</v>
      </c>
      <c r="D138" s="161" t="s">
        <v>9</v>
      </c>
      <c r="E138" s="161" t="s">
        <v>2442</v>
      </c>
      <c r="F138" s="207">
        <v>140</v>
      </c>
      <c r="G138" s="207">
        <v>150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43705</v>
      </c>
      <c r="D139" s="161" t="s">
        <v>9</v>
      </c>
      <c r="E139" s="161" t="s">
        <v>2785</v>
      </c>
      <c r="F139" s="207">
        <v>105</v>
      </c>
      <c r="G139" s="207">
        <v>145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43706</v>
      </c>
      <c r="D140" s="161" t="s">
        <v>9</v>
      </c>
      <c r="E140" s="161" t="s">
        <v>2520</v>
      </c>
      <c r="F140" s="207">
        <v>115</v>
      </c>
      <c r="G140" s="207">
        <v>155</v>
      </c>
      <c r="H140" s="161">
        <v>40</v>
      </c>
      <c r="I140" s="207">
        <v>300</v>
      </c>
      <c r="J140" s="242">
        <f t="shared" si="23"/>
        <v>12000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43707</v>
      </c>
      <c r="D141" s="161" t="s">
        <v>9</v>
      </c>
      <c r="E141" s="161" t="s">
        <v>2437</v>
      </c>
      <c r="F141" s="207">
        <v>115</v>
      </c>
      <c r="G141" s="207">
        <v>155</v>
      </c>
      <c r="H141" s="161">
        <v>40</v>
      </c>
      <c r="I141" s="207">
        <v>300</v>
      </c>
      <c r="J141" s="242">
        <f t="shared" si="23"/>
        <v>12000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134700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2787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43679</v>
      </c>
      <c r="D154" s="185" t="s">
        <v>8</v>
      </c>
      <c r="E154" s="185" t="s">
        <v>301</v>
      </c>
      <c r="F154" s="219">
        <v>28180</v>
      </c>
      <c r="G154" s="219">
        <v>28080</v>
      </c>
      <c r="H154" s="185">
        <v>100</v>
      </c>
      <c r="I154" s="219">
        <v>40</v>
      </c>
      <c r="J154" s="246">
        <f t="shared" ref="J154:J176" si="27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43682</v>
      </c>
      <c r="D155" s="161" t="s">
        <v>8</v>
      </c>
      <c r="E155" s="161" t="s">
        <v>301</v>
      </c>
      <c r="F155" s="207">
        <v>27620</v>
      </c>
      <c r="G155" s="207">
        <v>27565</v>
      </c>
      <c r="H155" s="161">
        <v>55</v>
      </c>
      <c r="I155" s="207">
        <v>40</v>
      </c>
      <c r="J155" s="242">
        <f t="shared" si="27"/>
        <v>2200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43683</v>
      </c>
      <c r="D156" s="161" t="s">
        <v>8</v>
      </c>
      <c r="E156" s="161" t="s">
        <v>301</v>
      </c>
      <c r="F156" s="207">
        <v>27920</v>
      </c>
      <c r="G156" s="207">
        <v>28020</v>
      </c>
      <c r="H156" s="161">
        <v>-100</v>
      </c>
      <c r="I156" s="207">
        <v>40</v>
      </c>
      <c r="J156" s="242">
        <f t="shared" si="27"/>
        <v>-4000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43684</v>
      </c>
      <c r="D157" s="161" t="s">
        <v>8</v>
      </c>
      <c r="E157" s="161" t="s">
        <v>301</v>
      </c>
      <c r="F157" s="207">
        <v>28160</v>
      </c>
      <c r="G157" s="207">
        <v>27960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43685</v>
      </c>
      <c r="D158" s="161" t="s">
        <v>8</v>
      </c>
      <c r="E158" s="161" t="s">
        <v>301</v>
      </c>
      <c r="F158" s="207">
        <v>27760</v>
      </c>
      <c r="G158" s="207">
        <v>27700</v>
      </c>
      <c r="H158" s="161">
        <v>60</v>
      </c>
      <c r="I158" s="207">
        <v>40</v>
      </c>
      <c r="J158" s="242">
        <f t="shared" si="27"/>
        <v>2400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43686</v>
      </c>
      <c r="D159" s="161" t="s">
        <v>8</v>
      </c>
      <c r="E159" s="161" t="s">
        <v>301</v>
      </c>
      <c r="F159" s="207">
        <v>28500</v>
      </c>
      <c r="G159" s="207">
        <v>28600</v>
      </c>
      <c r="H159" s="161">
        <v>100</v>
      </c>
      <c r="I159" s="207">
        <v>40</v>
      </c>
      <c r="J159" s="242">
        <f t="shared" si="27"/>
        <v>4000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43690</v>
      </c>
      <c r="D160" s="161" t="s">
        <v>8</v>
      </c>
      <c r="E160" s="161" t="s">
        <v>301</v>
      </c>
      <c r="F160" s="207">
        <v>28160</v>
      </c>
      <c r="G160" s="207">
        <v>28260</v>
      </c>
      <c r="H160" s="161">
        <v>-100</v>
      </c>
      <c r="I160" s="207">
        <v>40</v>
      </c>
      <c r="J160" s="242">
        <f t="shared" si="27"/>
        <v>-4000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43691</v>
      </c>
      <c r="D161" s="161" t="s">
        <v>8</v>
      </c>
      <c r="E161" s="161" t="s">
        <v>301</v>
      </c>
      <c r="F161" s="207">
        <v>28070</v>
      </c>
      <c r="G161" s="207">
        <v>27970</v>
      </c>
      <c r="H161" s="161">
        <v>100</v>
      </c>
      <c r="I161" s="207">
        <v>40</v>
      </c>
      <c r="J161" s="242">
        <f t="shared" si="27"/>
        <v>4000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43693</v>
      </c>
      <c r="D162" s="161" t="s">
        <v>8</v>
      </c>
      <c r="E162" s="161" t="s">
        <v>301</v>
      </c>
      <c r="F162" s="207">
        <v>28210</v>
      </c>
      <c r="G162" s="207">
        <v>28160</v>
      </c>
      <c r="H162" s="161">
        <v>50</v>
      </c>
      <c r="I162" s="207">
        <v>40</v>
      </c>
      <c r="J162" s="242">
        <f t="shared" si="27"/>
        <v>2000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43696</v>
      </c>
      <c r="D163" s="161" t="s">
        <v>8</v>
      </c>
      <c r="E163" s="161" t="s">
        <v>301</v>
      </c>
      <c r="F163" s="207">
        <v>28420</v>
      </c>
      <c r="G163" s="207">
        <v>28470</v>
      </c>
      <c r="H163" s="161">
        <v>50</v>
      </c>
      <c r="I163" s="207">
        <v>40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43697</v>
      </c>
      <c r="D164" s="161" t="s">
        <v>8</v>
      </c>
      <c r="E164" s="161" t="s">
        <v>301</v>
      </c>
      <c r="F164" s="207">
        <v>27930</v>
      </c>
      <c r="G164" s="207">
        <v>27830</v>
      </c>
      <c r="H164" s="161">
        <v>100</v>
      </c>
      <c r="I164" s="207">
        <v>40</v>
      </c>
      <c r="J164" s="242">
        <f t="shared" si="27"/>
        <v>4000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43698</v>
      </c>
      <c r="D165" s="161" t="s">
        <v>8</v>
      </c>
      <c r="E165" s="161" t="s">
        <v>301</v>
      </c>
      <c r="F165" s="207">
        <v>27950</v>
      </c>
      <c r="G165" s="207">
        <v>27750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43699</v>
      </c>
      <c r="D166" s="161" t="s">
        <v>8</v>
      </c>
      <c r="E166" s="161" t="s">
        <v>301</v>
      </c>
      <c r="F166" s="207">
        <v>27550</v>
      </c>
      <c r="G166" s="207">
        <v>27350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43700</v>
      </c>
      <c r="D167" s="161" t="s">
        <v>8</v>
      </c>
      <c r="E167" s="161" t="s">
        <v>301</v>
      </c>
      <c r="F167" s="207">
        <v>27000</v>
      </c>
      <c r="G167" s="207">
        <v>26900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43703</v>
      </c>
      <c r="D168" s="161" t="s">
        <v>8</v>
      </c>
      <c r="E168" s="161" t="s">
        <v>301</v>
      </c>
      <c r="F168" s="207">
        <v>27110</v>
      </c>
      <c r="G168" s="207">
        <v>27060</v>
      </c>
      <c r="H168" s="161">
        <v>50</v>
      </c>
      <c r="I168" s="207">
        <v>40</v>
      </c>
      <c r="J168" s="242">
        <f t="shared" si="27"/>
        <v>2000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43704</v>
      </c>
      <c r="D169" s="161" t="s">
        <v>8</v>
      </c>
      <c r="E169" s="161" t="s">
        <v>301</v>
      </c>
      <c r="F169" s="207">
        <v>28140</v>
      </c>
      <c r="G169" s="207">
        <v>28040</v>
      </c>
      <c r="H169" s="161">
        <v>-100</v>
      </c>
      <c r="I169" s="207">
        <v>40</v>
      </c>
      <c r="J169" s="242">
        <f t="shared" si="27"/>
        <v>-4000</v>
      </c>
      <c r="K169" s="153"/>
      <c r="V169" s="25">
        <f t="shared" si="28"/>
        <v>0</v>
      </c>
      <c r="W169" s="25">
        <f t="shared" si="29"/>
        <v>1</v>
      </c>
    </row>
    <row r="170" spans="1:23" x14ac:dyDescent="0.3">
      <c r="A170" s="147"/>
      <c r="B170" s="205">
        <f t="shared" si="30"/>
        <v>17</v>
      </c>
      <c r="C170" s="206">
        <v>43705</v>
      </c>
      <c r="D170" s="161" t="s">
        <v>8</v>
      </c>
      <c r="E170" s="161" t="s">
        <v>301</v>
      </c>
      <c r="F170" s="207">
        <v>28000</v>
      </c>
      <c r="G170" s="207">
        <v>27800</v>
      </c>
      <c r="H170" s="161">
        <v>200</v>
      </c>
      <c r="I170" s="207">
        <v>40</v>
      </c>
      <c r="J170" s="242">
        <f t="shared" si="27"/>
        <v>8000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43706</v>
      </c>
      <c r="D171" s="161" t="s">
        <v>8</v>
      </c>
      <c r="E171" s="161" t="s">
        <v>301</v>
      </c>
      <c r="F171" s="207">
        <v>27650</v>
      </c>
      <c r="G171" s="207">
        <v>27450</v>
      </c>
      <c r="H171" s="161">
        <v>200</v>
      </c>
      <c r="I171" s="207">
        <v>40</v>
      </c>
      <c r="J171" s="242">
        <f t="shared" si="27"/>
        <v>8000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43707</v>
      </c>
      <c r="D172" s="161" t="s">
        <v>8</v>
      </c>
      <c r="E172" s="161" t="s">
        <v>301</v>
      </c>
      <c r="F172" s="207">
        <v>27500</v>
      </c>
      <c r="G172" s="207">
        <v>27300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66600</v>
      </c>
      <c r="K177" s="153"/>
      <c r="V177" s="25">
        <f>SUM(V154:V176)</f>
        <v>16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2787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43679</v>
      </c>
      <c r="D185" s="185" t="s">
        <v>9</v>
      </c>
      <c r="E185" s="185" t="s">
        <v>2550</v>
      </c>
      <c r="F185" s="219">
        <v>290</v>
      </c>
      <c r="G185" s="219">
        <v>320</v>
      </c>
      <c r="H185" s="185">
        <v>30</v>
      </c>
      <c r="I185" s="219">
        <v>80</v>
      </c>
      <c r="J185" s="246">
        <f t="shared" ref="J185:J207" si="31">I185*H185</f>
        <v>2400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43682</v>
      </c>
      <c r="D186" s="161" t="s">
        <v>9</v>
      </c>
      <c r="E186" s="161" t="s">
        <v>2534</v>
      </c>
      <c r="F186" s="207">
        <v>340</v>
      </c>
      <c r="G186" s="207">
        <v>375</v>
      </c>
      <c r="H186" s="161">
        <v>35</v>
      </c>
      <c r="I186" s="207">
        <v>80</v>
      </c>
      <c r="J186" s="242">
        <f t="shared" si="31"/>
        <v>2800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43683</v>
      </c>
      <c r="D187" s="161" t="s">
        <v>9</v>
      </c>
      <c r="E187" s="161" t="s">
        <v>2549</v>
      </c>
      <c r="F187" s="207">
        <v>290</v>
      </c>
      <c r="G187" s="207">
        <v>230</v>
      </c>
      <c r="H187" s="161">
        <v>-60</v>
      </c>
      <c r="I187" s="207">
        <v>80</v>
      </c>
      <c r="J187" s="242">
        <f t="shared" si="31"/>
        <v>-4800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43684</v>
      </c>
      <c r="D188" s="161" t="s">
        <v>9</v>
      </c>
      <c r="E188" s="161" t="s">
        <v>2556</v>
      </c>
      <c r="F188" s="207">
        <v>220</v>
      </c>
      <c r="G188" s="207">
        <v>340</v>
      </c>
      <c r="H188" s="161">
        <v>120</v>
      </c>
      <c r="I188" s="207">
        <v>80</v>
      </c>
      <c r="J188" s="242">
        <f t="shared" si="31"/>
        <v>9600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43685</v>
      </c>
      <c r="D189" s="161" t="s">
        <v>9</v>
      </c>
      <c r="E189" s="161" t="s">
        <v>2532</v>
      </c>
      <c r="F189" s="207">
        <v>140</v>
      </c>
      <c r="G189" s="207">
        <v>170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43686</v>
      </c>
      <c r="D190" s="161" t="s">
        <v>9</v>
      </c>
      <c r="E190" s="161" t="s">
        <v>2794</v>
      </c>
      <c r="F190" s="207">
        <v>220</v>
      </c>
      <c r="G190" s="207">
        <v>260</v>
      </c>
      <c r="H190" s="161">
        <v>40</v>
      </c>
      <c r="I190" s="207">
        <v>80</v>
      </c>
      <c r="J190" s="242">
        <f t="shared" si="31"/>
        <v>3200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43690</v>
      </c>
      <c r="D191" s="161" t="s">
        <v>9</v>
      </c>
      <c r="E191" s="161" t="s">
        <v>2556</v>
      </c>
      <c r="F191" s="207">
        <v>190</v>
      </c>
      <c r="G191" s="207">
        <v>310</v>
      </c>
      <c r="H191" s="161">
        <v>120</v>
      </c>
      <c r="I191" s="207">
        <v>80</v>
      </c>
      <c r="J191" s="242">
        <f t="shared" si="31"/>
        <v>9600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43691</v>
      </c>
      <c r="D192" s="161" t="s">
        <v>9</v>
      </c>
      <c r="E192" s="161" t="s">
        <v>2550</v>
      </c>
      <c r="F192" s="207">
        <v>90</v>
      </c>
      <c r="G192" s="207">
        <v>130</v>
      </c>
      <c r="H192" s="161">
        <v>40</v>
      </c>
      <c r="I192" s="207">
        <v>80</v>
      </c>
      <c r="J192" s="242">
        <f t="shared" si="31"/>
        <v>3200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43693</v>
      </c>
      <c r="D193" s="161" t="s">
        <v>9</v>
      </c>
      <c r="E193" s="161" t="s">
        <v>2567</v>
      </c>
      <c r="F193" s="207">
        <v>280</v>
      </c>
      <c r="G193" s="207">
        <v>220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43696</v>
      </c>
      <c r="D194" s="161" t="s">
        <v>9</v>
      </c>
      <c r="E194" s="161" t="s">
        <v>2799</v>
      </c>
      <c r="F194" s="207">
        <v>210</v>
      </c>
      <c r="G194" s="207">
        <v>240</v>
      </c>
      <c r="H194" s="161">
        <v>30</v>
      </c>
      <c r="I194" s="207">
        <v>80</v>
      </c>
      <c r="J194" s="242">
        <f t="shared" si="31"/>
        <v>2400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43697</v>
      </c>
      <c r="D195" s="161" t="s">
        <v>9</v>
      </c>
      <c r="E195" s="161" t="s">
        <v>2549</v>
      </c>
      <c r="F195" s="207">
        <v>210</v>
      </c>
      <c r="G195" s="207">
        <v>250</v>
      </c>
      <c r="H195" s="161">
        <v>40</v>
      </c>
      <c r="I195" s="207">
        <v>80</v>
      </c>
      <c r="J195" s="242">
        <f t="shared" si="31"/>
        <v>3200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43698</v>
      </c>
      <c r="D196" s="161" t="s">
        <v>9</v>
      </c>
      <c r="E196" s="161" t="s">
        <v>2550</v>
      </c>
      <c r="F196" s="207">
        <v>160</v>
      </c>
      <c r="G196" s="207">
        <v>280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43699</v>
      </c>
      <c r="D197" s="161" t="s">
        <v>9</v>
      </c>
      <c r="E197" s="161" t="s">
        <v>2627</v>
      </c>
      <c r="F197" s="207">
        <v>140</v>
      </c>
      <c r="G197" s="207">
        <v>260</v>
      </c>
      <c r="H197" s="161">
        <v>120</v>
      </c>
      <c r="I197" s="207">
        <v>80</v>
      </c>
      <c r="J197" s="242">
        <f t="shared" si="31"/>
        <v>9600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43700</v>
      </c>
      <c r="D198" s="161" t="s">
        <v>9</v>
      </c>
      <c r="E198" s="161" t="s">
        <v>2523</v>
      </c>
      <c r="F198" s="207">
        <v>300</v>
      </c>
      <c r="G198" s="207">
        <v>335</v>
      </c>
      <c r="H198" s="161">
        <v>35</v>
      </c>
      <c r="I198" s="207">
        <v>80</v>
      </c>
      <c r="J198" s="242">
        <f t="shared" si="31"/>
        <v>2800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43703</v>
      </c>
      <c r="D199" s="161" t="s">
        <v>9</v>
      </c>
      <c r="E199" s="161" t="s">
        <v>2452</v>
      </c>
      <c r="F199" s="207">
        <v>300</v>
      </c>
      <c r="G199" s="207">
        <v>420</v>
      </c>
      <c r="H199" s="161">
        <v>120</v>
      </c>
      <c r="I199" s="207">
        <v>80</v>
      </c>
      <c r="J199" s="242">
        <f t="shared" si="31"/>
        <v>9600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43704</v>
      </c>
      <c r="D200" s="161" t="s">
        <v>9</v>
      </c>
      <c r="E200" s="161" t="s">
        <v>2559</v>
      </c>
      <c r="F200" s="207">
        <v>290</v>
      </c>
      <c r="G200" s="207">
        <v>230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43705</v>
      </c>
      <c r="D201" s="161" t="s">
        <v>9</v>
      </c>
      <c r="E201" s="161" t="s">
        <v>2550</v>
      </c>
      <c r="F201" s="207">
        <v>190</v>
      </c>
      <c r="G201" s="207">
        <v>310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43706</v>
      </c>
      <c r="D202" s="161" t="s">
        <v>9</v>
      </c>
      <c r="E202" s="161" t="s">
        <v>2532</v>
      </c>
      <c r="F202" s="207">
        <v>150</v>
      </c>
      <c r="G202" s="207">
        <v>270</v>
      </c>
      <c r="H202" s="161">
        <v>120</v>
      </c>
      <c r="I202" s="207">
        <v>80</v>
      </c>
      <c r="J202" s="242">
        <f t="shared" si="31"/>
        <v>9600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43707</v>
      </c>
      <c r="D203" s="161" t="s">
        <v>9</v>
      </c>
      <c r="E203" s="161" t="s">
        <v>2625</v>
      </c>
      <c r="F203" s="207">
        <v>350</v>
      </c>
      <c r="G203" s="207">
        <v>470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84800</v>
      </c>
      <c r="K208" s="153"/>
      <c r="V208" s="25">
        <f>SUM(V185:V207)</f>
        <v>16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2787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43679</v>
      </c>
      <c r="D216" s="185" t="s">
        <v>9</v>
      </c>
      <c r="E216" s="185" t="s">
        <v>2792</v>
      </c>
      <c r="F216" s="231">
        <v>11.5</v>
      </c>
      <c r="G216" s="231">
        <v>9</v>
      </c>
      <c r="H216" s="231">
        <v>-2.5</v>
      </c>
      <c r="I216" s="219">
        <v>1375</v>
      </c>
      <c r="J216" s="246">
        <f t="shared" ref="J216:J238" si="35">I216*H216</f>
        <v>-3437.5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43682</v>
      </c>
      <c r="D217" s="161" t="s">
        <v>9</v>
      </c>
      <c r="E217" s="161" t="s">
        <v>2793</v>
      </c>
      <c r="F217" s="222">
        <v>22</v>
      </c>
      <c r="G217" s="222">
        <v>18</v>
      </c>
      <c r="H217" s="255">
        <v>-4</v>
      </c>
      <c r="I217" s="207">
        <v>1200</v>
      </c>
      <c r="J217" s="242">
        <f>I217*H217</f>
        <v>-4800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8" si="36">B217+1</f>
        <v>3</v>
      </c>
      <c r="C218" s="206">
        <v>43683</v>
      </c>
      <c r="D218" s="161" t="s">
        <v>9</v>
      </c>
      <c r="E218" s="161" t="s">
        <v>2778</v>
      </c>
      <c r="F218" s="222">
        <v>8</v>
      </c>
      <c r="G218" s="222">
        <v>8.6999999999999993</v>
      </c>
      <c r="H218" s="222">
        <v>0.7</v>
      </c>
      <c r="I218" s="207">
        <v>2200</v>
      </c>
      <c r="J218" s="242">
        <f t="shared" si="35"/>
        <v>1540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43684</v>
      </c>
      <c r="D219" s="161" t="s">
        <v>9</v>
      </c>
      <c r="E219" s="161" t="s">
        <v>1889</v>
      </c>
      <c r="F219" s="222">
        <v>27</v>
      </c>
      <c r="G219" s="222">
        <v>35</v>
      </c>
      <c r="H219" s="222">
        <v>8</v>
      </c>
      <c r="I219" s="207">
        <v>375</v>
      </c>
      <c r="J219" s="242">
        <f t="shared" si="35"/>
        <v>3000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43685</v>
      </c>
      <c r="D220" s="161" t="s">
        <v>9</v>
      </c>
      <c r="E220" s="161" t="s">
        <v>2527</v>
      </c>
      <c r="F220" s="222">
        <v>33</v>
      </c>
      <c r="G220" s="222">
        <v>45</v>
      </c>
      <c r="H220" s="222">
        <v>12</v>
      </c>
      <c r="I220" s="207">
        <v>500</v>
      </c>
      <c r="J220" s="242">
        <f t="shared" si="35"/>
        <v>6000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43686</v>
      </c>
      <c r="D221" s="161" t="s">
        <v>9</v>
      </c>
      <c r="E221" s="161" t="s">
        <v>2306</v>
      </c>
      <c r="F221" s="222">
        <v>9.1999999999999993</v>
      </c>
      <c r="G221" s="222">
        <v>11.2</v>
      </c>
      <c r="H221" s="222">
        <v>2</v>
      </c>
      <c r="I221" s="207">
        <v>3000</v>
      </c>
      <c r="J221" s="242">
        <f t="shared" si="35"/>
        <v>6000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43690</v>
      </c>
      <c r="D222" s="161" t="s">
        <v>9</v>
      </c>
      <c r="E222" s="161" t="s">
        <v>2796</v>
      </c>
      <c r="F222" s="222">
        <v>30</v>
      </c>
      <c r="G222" s="222">
        <v>42</v>
      </c>
      <c r="H222" s="222">
        <v>12</v>
      </c>
      <c r="I222" s="207">
        <v>375</v>
      </c>
      <c r="J222" s="242">
        <f t="shared" si="35"/>
        <v>4500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43691</v>
      </c>
      <c r="D223" s="161" t="s">
        <v>9</v>
      </c>
      <c r="E223" s="161" t="s">
        <v>2797</v>
      </c>
      <c r="F223" s="222">
        <v>4</v>
      </c>
      <c r="G223" s="222">
        <v>6</v>
      </c>
      <c r="H223" s="222">
        <v>2</v>
      </c>
      <c r="I223" s="207">
        <v>2400</v>
      </c>
      <c r="J223" s="242">
        <f t="shared" si="35"/>
        <v>4800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43693</v>
      </c>
      <c r="D224" s="161" t="s">
        <v>9</v>
      </c>
      <c r="E224" s="161" t="s">
        <v>2798</v>
      </c>
      <c r="F224" s="222">
        <v>37</v>
      </c>
      <c r="G224" s="222">
        <v>31</v>
      </c>
      <c r="H224" s="255">
        <v>-6</v>
      </c>
      <c r="I224" s="207">
        <v>500</v>
      </c>
      <c r="J224" s="242">
        <f t="shared" si="35"/>
        <v>-3000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43697</v>
      </c>
      <c r="D225" s="161" t="s">
        <v>9</v>
      </c>
      <c r="E225" s="161" t="s">
        <v>2202</v>
      </c>
      <c r="F225" s="222">
        <v>7</v>
      </c>
      <c r="G225" s="222">
        <v>9</v>
      </c>
      <c r="H225" s="255">
        <v>2</v>
      </c>
      <c r="I225" s="207">
        <v>3000</v>
      </c>
      <c r="J225" s="242">
        <f t="shared" si="35"/>
        <v>6000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43698</v>
      </c>
      <c r="D226" s="161" t="s">
        <v>9</v>
      </c>
      <c r="E226" s="161" t="s">
        <v>2796</v>
      </c>
      <c r="F226" s="222">
        <v>25</v>
      </c>
      <c r="G226" s="222">
        <v>35</v>
      </c>
      <c r="H226" s="255">
        <v>10</v>
      </c>
      <c r="I226" s="207">
        <v>375</v>
      </c>
      <c r="J226" s="242">
        <f t="shared" si="35"/>
        <v>3750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43699</v>
      </c>
      <c r="D227" s="161" t="s">
        <v>9</v>
      </c>
      <c r="E227" s="161" t="s">
        <v>2800</v>
      </c>
      <c r="F227" s="222">
        <v>5</v>
      </c>
      <c r="G227" s="222">
        <v>9</v>
      </c>
      <c r="H227" s="255">
        <v>4</v>
      </c>
      <c r="I227" s="207">
        <v>2200</v>
      </c>
      <c r="J227" s="242">
        <f t="shared" si="35"/>
        <v>8800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43700</v>
      </c>
      <c r="D228" s="161" t="s">
        <v>9</v>
      </c>
      <c r="E228" s="161" t="s">
        <v>2801</v>
      </c>
      <c r="F228" s="222">
        <v>5</v>
      </c>
      <c r="G228" s="222">
        <v>3.9</v>
      </c>
      <c r="H228" s="255">
        <v>-1.1000000000000001</v>
      </c>
      <c r="I228" s="207">
        <v>2200</v>
      </c>
      <c r="J228" s="242">
        <f t="shared" si="35"/>
        <v>-2420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43703</v>
      </c>
      <c r="D229" s="161" t="s">
        <v>9</v>
      </c>
      <c r="E229" s="161" t="s">
        <v>2006</v>
      </c>
      <c r="F229" s="222">
        <v>7.5</v>
      </c>
      <c r="G229" s="222">
        <v>8.6999999999999993</v>
      </c>
      <c r="H229" s="255">
        <v>1.2</v>
      </c>
      <c r="I229" s="207">
        <v>3000</v>
      </c>
      <c r="J229" s="242">
        <f>I229*H229</f>
        <v>3600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43704</v>
      </c>
      <c r="D230" s="161" t="s">
        <v>9</v>
      </c>
      <c r="E230" s="161" t="s">
        <v>2802</v>
      </c>
      <c r="F230" s="222">
        <v>28</v>
      </c>
      <c r="G230" s="222">
        <v>32</v>
      </c>
      <c r="H230" s="255">
        <v>4</v>
      </c>
      <c r="I230" s="207">
        <v>400</v>
      </c>
      <c r="J230" s="242">
        <f t="shared" si="35"/>
        <v>1600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43705</v>
      </c>
      <c r="D231" s="161" t="s">
        <v>9</v>
      </c>
      <c r="E231" s="161" t="s">
        <v>2802</v>
      </c>
      <c r="F231" s="222">
        <v>21</v>
      </c>
      <c r="G231" s="222">
        <v>33</v>
      </c>
      <c r="H231" s="222">
        <v>12</v>
      </c>
      <c r="I231" s="207">
        <v>400</v>
      </c>
      <c r="J231" s="242">
        <f t="shared" si="35"/>
        <v>4800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43706</v>
      </c>
      <c r="D232" s="161" t="s">
        <v>9</v>
      </c>
      <c r="E232" s="161" t="s">
        <v>2803</v>
      </c>
      <c r="F232" s="222">
        <v>1.5</v>
      </c>
      <c r="G232" s="222">
        <v>3.2</v>
      </c>
      <c r="H232" s="222">
        <v>1.7</v>
      </c>
      <c r="I232" s="207">
        <v>2000</v>
      </c>
      <c r="J232" s="242">
        <f t="shared" si="35"/>
        <v>3400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43707</v>
      </c>
      <c r="D233" s="161" t="s">
        <v>9</v>
      </c>
      <c r="E233" s="161" t="s">
        <v>2804</v>
      </c>
      <c r="F233" s="222">
        <v>7.3</v>
      </c>
      <c r="G233" s="222">
        <v>5.65</v>
      </c>
      <c r="H233" s="222">
        <v>-1.65</v>
      </c>
      <c r="I233" s="207">
        <v>2200</v>
      </c>
      <c r="J233" s="242">
        <f t="shared" si="35"/>
        <v>-3630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40502.5</v>
      </c>
      <c r="K239" s="153"/>
      <c r="V239" s="25">
        <f>SUM(V216:V238)</f>
        <v>13</v>
      </c>
      <c r="W239" s="25">
        <f>SUM(W216:W238)</f>
        <v>5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C00-000000000000}"/>
    <hyperlink ref="B84" r:id="rId2" xr:uid="{00000000-0004-0000-4C00-000001000000}"/>
    <hyperlink ref="B115" r:id="rId3" xr:uid="{00000000-0004-0000-4C00-000002000000}"/>
    <hyperlink ref="B146" r:id="rId4" xr:uid="{00000000-0004-0000-4C00-000003000000}"/>
    <hyperlink ref="B177" r:id="rId5" xr:uid="{00000000-0004-0000-4C00-000004000000}"/>
    <hyperlink ref="B208" r:id="rId6" xr:uid="{00000000-0004-0000-4C00-000005000000}"/>
    <hyperlink ref="B239" r:id="rId7" xr:uid="{00000000-0004-0000-4C00-000006000000}"/>
    <hyperlink ref="M1" location="'MASTER '!A1" display="Back" xr:uid="{00000000-0004-0000-4C00-000007000000}"/>
    <hyperlink ref="M8:M9" location="'AUGUST 2019'!A108" display="NIFTY FUTURE" xr:uid="{00000000-0004-0000-4C00-000008000000}"/>
    <hyperlink ref="M10:M11" location="'AUGUST 2019'!A139" display="NF. OPTION" xr:uid="{00000000-0004-0000-4C00-000009000000}"/>
    <hyperlink ref="M12:M13" location="'AUGUST 2019'!A170" display="BANK NIFTY" xr:uid="{00000000-0004-0000-4C00-00000A000000}"/>
    <hyperlink ref="M14:M15" location="'AUGUST 2019'!A201" display="B.NIFTY OPTION" xr:uid="{00000000-0004-0000-4C00-00000B000000}"/>
    <hyperlink ref="M16:M17" location="'AUGUST 2019'!A232" display="STOCK OPTION" xr:uid="{00000000-0004-0000-4C00-00000C000000}"/>
    <hyperlink ref="M6:M7" location="'AUGUST 2019'!A77" display="STOCK FUTURE" xr:uid="{00000000-0004-0000-4C00-00000D000000}"/>
    <hyperlink ref="M4:M5" location="'AUGUST 2019'!A1" display="CASH" xr:uid="{00000000-0004-0000-4C00-00000E000000}"/>
  </hyperlinks>
  <pageMargins left="0" right="0" top="0" bottom="0" header="0" footer="0"/>
  <pageSetup scale="95" orientation="portrait" r:id="rId8"/>
  <drawing r:id="rId9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2805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37</v>
      </c>
      <c r="O4" s="354">
        <f>V52</f>
        <v>26</v>
      </c>
      <c r="P4" s="354">
        <f>W52</f>
        <v>11</v>
      </c>
      <c r="Q4" s="355">
        <f>N4-O4-P4</f>
        <v>0</v>
      </c>
      <c r="R4" s="314">
        <f>O4/N4</f>
        <v>0.70270270270270274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43711</v>
      </c>
      <c r="D6" s="158" t="s">
        <v>9</v>
      </c>
      <c r="E6" s="158" t="s">
        <v>163</v>
      </c>
      <c r="F6" s="230">
        <v>266.5</v>
      </c>
      <c r="G6" s="222">
        <v>268.5</v>
      </c>
      <c r="H6" s="222">
        <v>2</v>
      </c>
      <c r="I6" s="204">
        <f>300000/F6</f>
        <v>1125.7035647279549</v>
      </c>
      <c r="J6" s="241">
        <f>H6*I6</f>
        <v>2251.4071294559099</v>
      </c>
      <c r="K6" s="153"/>
      <c r="M6" s="389" t="s">
        <v>450</v>
      </c>
      <c r="N6" s="343">
        <f>COUNT(C60:C83)</f>
        <v>20</v>
      </c>
      <c r="O6" s="345">
        <f>V84</f>
        <v>12</v>
      </c>
      <c r="P6" s="345">
        <f>W84</f>
        <v>8</v>
      </c>
      <c r="Q6" s="347">
        <f>N6-O6-P6</f>
        <v>0</v>
      </c>
      <c r="R6" s="340">
        <f t="shared" ref="R6" si="0">O6/N6</f>
        <v>0.6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43711</v>
      </c>
      <c r="D7" s="161" t="s">
        <v>8</v>
      </c>
      <c r="E7" s="161" t="s">
        <v>95</v>
      </c>
      <c r="F7" s="222">
        <v>399</v>
      </c>
      <c r="G7" s="231">
        <v>391.1</v>
      </c>
      <c r="H7" s="234">
        <v>7.9</v>
      </c>
      <c r="I7" s="207">
        <f t="shared" ref="I7" si="1">300000/F7</f>
        <v>751.87969924812035</v>
      </c>
      <c r="J7" s="242">
        <f t="shared" ref="J7" si="2">H7*I7</f>
        <v>5939.8496240601507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43712</v>
      </c>
      <c r="D8" s="161" t="s">
        <v>9</v>
      </c>
      <c r="E8" s="161" t="s">
        <v>163</v>
      </c>
      <c r="F8" s="222">
        <v>265.5</v>
      </c>
      <c r="G8" s="222">
        <v>266.5</v>
      </c>
      <c r="H8" s="222">
        <v>1</v>
      </c>
      <c r="I8" s="207">
        <f t="shared" ref="I8:I42" si="6">300000/F8</f>
        <v>1129.9435028248588</v>
      </c>
      <c r="J8" s="242">
        <f t="shared" ref="J8:J42" si="7">H8*I8</f>
        <v>1129.9435028248588</v>
      </c>
      <c r="K8" s="153"/>
      <c r="M8" s="389" t="s">
        <v>451</v>
      </c>
      <c r="N8" s="343">
        <f>COUNT(C92:C114)</f>
        <v>19</v>
      </c>
      <c r="O8" s="345">
        <f>V115</f>
        <v>16</v>
      </c>
      <c r="P8" s="345">
        <f>W115</f>
        <v>3</v>
      </c>
      <c r="Q8" s="347">
        <f>N8-O8-P8</f>
        <v>0</v>
      </c>
      <c r="R8" s="340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43712</v>
      </c>
      <c r="D9" s="161" t="s">
        <v>8</v>
      </c>
      <c r="E9" s="161" t="s">
        <v>31</v>
      </c>
      <c r="F9" s="222">
        <v>1196</v>
      </c>
      <c r="G9" s="222">
        <v>1189</v>
      </c>
      <c r="H9" s="222">
        <v>7</v>
      </c>
      <c r="I9" s="207">
        <f t="shared" si="6"/>
        <v>250.83612040133778</v>
      </c>
      <c r="J9" s="242">
        <f t="shared" si="7"/>
        <v>1755.8528428093646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43713</v>
      </c>
      <c r="D10" s="161" t="s">
        <v>9</v>
      </c>
      <c r="E10" s="161" t="s">
        <v>98</v>
      </c>
      <c r="F10" s="222">
        <v>2585</v>
      </c>
      <c r="G10" s="222">
        <v>2602</v>
      </c>
      <c r="H10" s="222">
        <v>17</v>
      </c>
      <c r="I10" s="207">
        <f t="shared" si="6"/>
        <v>116.0541586073501</v>
      </c>
      <c r="J10" s="242">
        <f t="shared" si="7"/>
        <v>1972.9206963249517</v>
      </c>
      <c r="K10" s="153"/>
      <c r="M10" s="389" t="s">
        <v>1176</v>
      </c>
      <c r="N10" s="343">
        <f>COUNT(C123:C145)</f>
        <v>19</v>
      </c>
      <c r="O10" s="345">
        <f>V146</f>
        <v>18</v>
      </c>
      <c r="P10" s="345">
        <f>W146</f>
        <v>1</v>
      </c>
      <c r="Q10" s="347">
        <f>N10-O10-P10</f>
        <v>0</v>
      </c>
      <c r="R10" s="340">
        <f t="shared" ref="R10:R16" si="9">O10/N10</f>
        <v>0.94736842105263153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43713</v>
      </c>
      <c r="D11" s="161" t="s">
        <v>8</v>
      </c>
      <c r="E11" s="161" t="s">
        <v>31</v>
      </c>
      <c r="F11" s="222">
        <v>1202</v>
      </c>
      <c r="G11" s="222">
        <v>1194.2</v>
      </c>
      <c r="H11" s="255">
        <v>7.8</v>
      </c>
      <c r="I11" s="207">
        <f t="shared" si="6"/>
        <v>249.58402662229616</v>
      </c>
      <c r="J11" s="242">
        <f t="shared" si="7"/>
        <v>1946.75540765391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43714</v>
      </c>
      <c r="D12" s="161" t="s">
        <v>9</v>
      </c>
      <c r="E12" s="161" t="s">
        <v>122</v>
      </c>
      <c r="F12" s="222">
        <v>1535</v>
      </c>
      <c r="G12" s="222">
        <v>1544</v>
      </c>
      <c r="H12" s="222">
        <v>10</v>
      </c>
      <c r="I12" s="207">
        <f t="shared" si="6"/>
        <v>195.43973941368077</v>
      </c>
      <c r="J12" s="242">
        <f t="shared" si="7"/>
        <v>1954.3973941368076</v>
      </c>
      <c r="K12" s="153"/>
      <c r="M12" s="389" t="s">
        <v>41</v>
      </c>
      <c r="N12" s="343">
        <f>COUNT(C154:C176)</f>
        <v>19</v>
      </c>
      <c r="O12" s="345">
        <f>V177</f>
        <v>13</v>
      </c>
      <c r="P12" s="345">
        <f>W177</f>
        <v>6</v>
      </c>
      <c r="Q12" s="347">
        <f t="shared" ref="Q12" si="10">N12-O12-P12</f>
        <v>0</v>
      </c>
      <c r="R12" s="340">
        <f t="shared" si="9"/>
        <v>0.68421052631578949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43714</v>
      </c>
      <c r="D13" s="161" t="s">
        <v>8</v>
      </c>
      <c r="E13" s="161" t="s">
        <v>129</v>
      </c>
      <c r="F13" s="222">
        <v>2030</v>
      </c>
      <c r="G13" s="222">
        <v>2023</v>
      </c>
      <c r="H13" s="255">
        <v>7</v>
      </c>
      <c r="I13" s="207">
        <f t="shared" si="6"/>
        <v>147.78325123152709</v>
      </c>
      <c r="J13" s="242">
        <f t="shared" si="7"/>
        <v>1034.4827586206895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43717</v>
      </c>
      <c r="D14" s="161" t="s">
        <v>9</v>
      </c>
      <c r="E14" s="161" t="s">
        <v>78</v>
      </c>
      <c r="F14" s="222">
        <v>1345</v>
      </c>
      <c r="G14" s="222">
        <v>1355</v>
      </c>
      <c r="H14" s="222">
        <v>10</v>
      </c>
      <c r="I14" s="207">
        <f t="shared" si="6"/>
        <v>223.04832713754647</v>
      </c>
      <c r="J14" s="242">
        <f t="shared" si="7"/>
        <v>2230.4832713754645</v>
      </c>
      <c r="K14" s="153"/>
      <c r="M14" s="389" t="s">
        <v>1175</v>
      </c>
      <c r="N14" s="343">
        <f>COUNT(C185:C207)</f>
        <v>19</v>
      </c>
      <c r="O14" s="345">
        <f>V208</f>
        <v>13</v>
      </c>
      <c r="P14" s="345">
        <f>W208</f>
        <v>6</v>
      </c>
      <c r="Q14" s="347">
        <f t="shared" ref="Q14" si="11">N14-O14-P14</f>
        <v>0</v>
      </c>
      <c r="R14" s="340">
        <f t="shared" si="9"/>
        <v>0.68421052631578949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43717</v>
      </c>
      <c r="D15" s="161" t="s">
        <v>8</v>
      </c>
      <c r="E15" s="161" t="s">
        <v>95</v>
      </c>
      <c r="F15" s="222">
        <v>398</v>
      </c>
      <c r="G15" s="222">
        <v>394</v>
      </c>
      <c r="H15" s="222">
        <v>4</v>
      </c>
      <c r="I15" s="207">
        <f t="shared" si="6"/>
        <v>753.7688442211055</v>
      </c>
      <c r="J15" s="242">
        <f t="shared" si="7"/>
        <v>3015.075376884422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43719</v>
      </c>
      <c r="D16" s="161" t="s">
        <v>9</v>
      </c>
      <c r="E16" s="161" t="s">
        <v>78</v>
      </c>
      <c r="F16" s="222">
        <v>1380</v>
      </c>
      <c r="G16" s="222">
        <v>1370</v>
      </c>
      <c r="H16" s="222">
        <v>-10</v>
      </c>
      <c r="I16" s="207">
        <f t="shared" si="6"/>
        <v>217.39130434782609</v>
      </c>
      <c r="J16" s="242">
        <f t="shared" si="7"/>
        <v>-2173.913043478261</v>
      </c>
      <c r="K16" s="153"/>
      <c r="L16" s="25" t="s">
        <v>2008</v>
      </c>
      <c r="M16" s="389" t="s">
        <v>1090</v>
      </c>
      <c r="N16" s="343">
        <f>COUNT(C216:C238)</f>
        <v>19</v>
      </c>
      <c r="O16" s="345">
        <f>V239</f>
        <v>17</v>
      </c>
      <c r="P16" s="345">
        <f>W239</f>
        <v>2</v>
      </c>
      <c r="Q16" s="347">
        <f t="shared" ref="Q16" si="12">N16-O16-P16</f>
        <v>0</v>
      </c>
      <c r="R16" s="340">
        <f t="shared" si="9"/>
        <v>0.89473684210526316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43719</v>
      </c>
      <c r="D17" s="161" t="s">
        <v>8</v>
      </c>
      <c r="E17" s="161" t="s">
        <v>129</v>
      </c>
      <c r="F17" s="222">
        <v>2060</v>
      </c>
      <c r="G17" s="222">
        <v>2080</v>
      </c>
      <c r="H17" s="222">
        <v>-20</v>
      </c>
      <c r="I17" s="207">
        <f t="shared" si="6"/>
        <v>145.63106796116506</v>
      </c>
      <c r="J17" s="242">
        <f t="shared" si="7"/>
        <v>-2912.6213592233012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43720</v>
      </c>
      <c r="D18" s="161" t="s">
        <v>9</v>
      </c>
      <c r="E18" s="161" t="s">
        <v>19</v>
      </c>
      <c r="F18" s="222">
        <v>287.5</v>
      </c>
      <c r="G18" s="222">
        <v>284.5</v>
      </c>
      <c r="H18" s="222">
        <v>-3</v>
      </c>
      <c r="I18" s="207">
        <f t="shared" si="6"/>
        <v>1043.4782608695652</v>
      </c>
      <c r="J18" s="242">
        <f t="shared" si="7"/>
        <v>-3130.434782608696</v>
      </c>
      <c r="K18" s="153"/>
      <c r="M18" s="334" t="s">
        <v>946</v>
      </c>
      <c r="N18" s="336">
        <f>SUM(N4:N17)</f>
        <v>152</v>
      </c>
      <c r="O18" s="336">
        <f t="shared" ref="O18:Q18" si="13">SUM(O4:O17)</f>
        <v>115</v>
      </c>
      <c r="P18" s="336">
        <f t="shared" si="13"/>
        <v>37</v>
      </c>
      <c r="Q18" s="338">
        <f t="shared" si="13"/>
        <v>0</v>
      </c>
      <c r="R18" s="314">
        <f t="shared" ref="R18" si="14">O18/N18</f>
        <v>0.75657894736842102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43720</v>
      </c>
      <c r="D19" s="161" t="s">
        <v>8</v>
      </c>
      <c r="E19" s="161" t="s">
        <v>137</v>
      </c>
      <c r="F19" s="222">
        <v>1822</v>
      </c>
      <c r="G19" s="222">
        <v>1832</v>
      </c>
      <c r="H19" s="222">
        <v>-10</v>
      </c>
      <c r="I19" s="207">
        <f t="shared" si="6"/>
        <v>164.6542261251372</v>
      </c>
      <c r="J19" s="242">
        <f t="shared" si="7"/>
        <v>-1646.5422612513721</v>
      </c>
      <c r="K19" s="153"/>
      <c r="M19" s="335"/>
      <c r="N19" s="337"/>
      <c r="O19" s="337"/>
      <c r="P19" s="337"/>
      <c r="Q19" s="339"/>
      <c r="R19" s="315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43721</v>
      </c>
      <c r="D20" s="161" t="s">
        <v>9</v>
      </c>
      <c r="E20" s="161" t="s">
        <v>29</v>
      </c>
      <c r="F20" s="222">
        <v>1060</v>
      </c>
      <c r="G20" s="222">
        <v>1070</v>
      </c>
      <c r="H20" s="222">
        <v>10</v>
      </c>
      <c r="I20" s="207">
        <f t="shared" si="6"/>
        <v>283.01886792452831</v>
      </c>
      <c r="J20" s="242">
        <f t="shared" si="7"/>
        <v>2830.1886792452833</v>
      </c>
      <c r="K20" s="153"/>
      <c r="M20" s="316" t="s">
        <v>2253</v>
      </c>
      <c r="N20" s="317"/>
      <c r="O20" s="318"/>
      <c r="P20" s="325">
        <f>R18</f>
        <v>0.75657894736842102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43724</v>
      </c>
      <c r="D21" s="161" t="s">
        <v>9</v>
      </c>
      <c r="E21" s="161" t="s">
        <v>16</v>
      </c>
      <c r="F21" s="222">
        <v>1145</v>
      </c>
      <c r="G21" s="222">
        <v>1146</v>
      </c>
      <c r="H21" s="222">
        <v>1</v>
      </c>
      <c r="I21" s="207">
        <f t="shared" si="6"/>
        <v>262.00873362445412</v>
      </c>
      <c r="J21" s="242">
        <f t="shared" si="7"/>
        <v>262.00873362445412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43724</v>
      </c>
      <c r="D22" s="161" t="s">
        <v>8</v>
      </c>
      <c r="E22" s="161" t="s">
        <v>192</v>
      </c>
      <c r="F22" s="222">
        <v>205</v>
      </c>
      <c r="G22" s="222">
        <v>202</v>
      </c>
      <c r="H22" s="222">
        <v>3</v>
      </c>
      <c r="I22" s="207">
        <f t="shared" si="6"/>
        <v>1463.4146341463415</v>
      </c>
      <c r="J22" s="242">
        <f t="shared" si="7"/>
        <v>4390.2439024390242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43725</v>
      </c>
      <c r="D23" s="161" t="s">
        <v>9</v>
      </c>
      <c r="E23" s="161" t="s">
        <v>16</v>
      </c>
      <c r="F23" s="222">
        <v>1168</v>
      </c>
      <c r="G23" s="222">
        <v>1158</v>
      </c>
      <c r="H23" s="222">
        <v>-10</v>
      </c>
      <c r="I23" s="207">
        <f t="shared" si="6"/>
        <v>256.84931506849313</v>
      </c>
      <c r="J23" s="242">
        <f t="shared" si="7"/>
        <v>-2568.4931506849312</v>
      </c>
      <c r="K23" s="153"/>
      <c r="V23" s="25">
        <f t="shared" si="3"/>
        <v>0</v>
      </c>
      <c r="W23" s="25">
        <f t="shared" si="4"/>
        <v>1</v>
      </c>
    </row>
    <row r="24" spans="1:23" ht="15.75" customHeight="1" x14ac:dyDescent="0.3">
      <c r="A24" s="147"/>
      <c r="B24" s="205">
        <f t="shared" si="5"/>
        <v>19</v>
      </c>
      <c r="C24" s="206">
        <v>43725</v>
      </c>
      <c r="D24" s="161" t="s">
        <v>8</v>
      </c>
      <c r="E24" s="161" t="s">
        <v>78</v>
      </c>
      <c r="F24" s="222">
        <v>1336</v>
      </c>
      <c r="G24" s="222">
        <v>1316</v>
      </c>
      <c r="H24" s="222">
        <v>20</v>
      </c>
      <c r="I24" s="207">
        <f t="shared" si="6"/>
        <v>224.55089820359282</v>
      </c>
      <c r="J24" s="242">
        <f t="shared" si="7"/>
        <v>4491.0179640718561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43726</v>
      </c>
      <c r="D25" s="161" t="s">
        <v>9</v>
      </c>
      <c r="E25" s="161" t="s">
        <v>2814</v>
      </c>
      <c r="F25" s="222">
        <v>1595</v>
      </c>
      <c r="G25" s="222">
        <v>1610</v>
      </c>
      <c r="H25" s="222">
        <v>15</v>
      </c>
      <c r="I25" s="207">
        <f t="shared" si="6"/>
        <v>188.08777429467085</v>
      </c>
      <c r="J25" s="242">
        <f t="shared" si="7"/>
        <v>2821.3166144200627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43726</v>
      </c>
      <c r="D26" s="161" t="s">
        <v>8</v>
      </c>
      <c r="E26" s="161" t="s">
        <v>552</v>
      </c>
      <c r="F26" s="222">
        <v>1337</v>
      </c>
      <c r="G26" s="222">
        <v>1325</v>
      </c>
      <c r="H26" s="222">
        <v>12</v>
      </c>
      <c r="I26" s="207">
        <f t="shared" si="6"/>
        <v>224.38294689603589</v>
      </c>
      <c r="J26" s="242">
        <f t="shared" si="7"/>
        <v>2692.5953627524304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43727</v>
      </c>
      <c r="D27" s="161" t="s">
        <v>8</v>
      </c>
      <c r="E27" s="161" t="s">
        <v>95</v>
      </c>
      <c r="F27" s="222">
        <v>388</v>
      </c>
      <c r="G27" s="222">
        <v>385.5</v>
      </c>
      <c r="H27" s="222">
        <v>2.5</v>
      </c>
      <c r="I27" s="207">
        <f t="shared" si="6"/>
        <v>773.19587628865975</v>
      </c>
      <c r="J27" s="242">
        <f t="shared" si="7"/>
        <v>1932.9896907216494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43727</v>
      </c>
      <c r="D28" s="161" t="s">
        <v>9</v>
      </c>
      <c r="E28" s="161" t="s">
        <v>31</v>
      </c>
      <c r="F28" s="222">
        <v>1204</v>
      </c>
      <c r="G28" s="222">
        <v>1194</v>
      </c>
      <c r="H28" s="222">
        <v>-10</v>
      </c>
      <c r="I28" s="207">
        <f t="shared" si="6"/>
        <v>249.16943521594683</v>
      </c>
      <c r="J28" s="242">
        <f t="shared" si="7"/>
        <v>-2491.6943521594685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43728</v>
      </c>
      <c r="D29" s="161" t="s">
        <v>9</v>
      </c>
      <c r="E29" s="161" t="s">
        <v>16</v>
      </c>
      <c r="F29" s="222">
        <v>1173</v>
      </c>
      <c r="G29" s="222">
        <v>1193</v>
      </c>
      <c r="H29" s="222">
        <v>20</v>
      </c>
      <c r="I29" s="207">
        <f t="shared" si="6"/>
        <v>255.7544757033248</v>
      </c>
      <c r="J29" s="242">
        <f t="shared" si="7"/>
        <v>5115.0895140664961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43728</v>
      </c>
      <c r="D30" s="161" t="s">
        <v>8</v>
      </c>
      <c r="E30" s="161" t="s">
        <v>192</v>
      </c>
      <c r="F30" s="222">
        <v>188</v>
      </c>
      <c r="G30" s="222">
        <v>191</v>
      </c>
      <c r="H30" s="222">
        <v>-3</v>
      </c>
      <c r="I30" s="207">
        <f t="shared" si="6"/>
        <v>1595.7446808510638</v>
      </c>
      <c r="J30" s="242">
        <f t="shared" si="7"/>
        <v>-4787.2340425531911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43731</v>
      </c>
      <c r="D31" s="161" t="s">
        <v>9</v>
      </c>
      <c r="E31" s="161" t="s">
        <v>95</v>
      </c>
      <c r="F31" s="222">
        <v>445</v>
      </c>
      <c r="G31" s="222">
        <v>450</v>
      </c>
      <c r="H31" s="222">
        <v>5</v>
      </c>
      <c r="I31" s="207">
        <f t="shared" si="6"/>
        <v>674.15730337078651</v>
      </c>
      <c r="J31" s="242">
        <f t="shared" si="7"/>
        <v>3370.7865168539324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43731</v>
      </c>
      <c r="D32" s="161" t="s">
        <v>8</v>
      </c>
      <c r="E32" s="161" t="s">
        <v>126</v>
      </c>
      <c r="F32" s="222">
        <v>2000</v>
      </c>
      <c r="G32" s="222">
        <v>2020</v>
      </c>
      <c r="H32" s="222">
        <v>-20</v>
      </c>
      <c r="I32" s="207">
        <f t="shared" si="6"/>
        <v>150</v>
      </c>
      <c r="J32" s="242">
        <f t="shared" si="7"/>
        <v>-3000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43732</v>
      </c>
      <c r="D33" s="161" t="s">
        <v>9</v>
      </c>
      <c r="E33" s="161" t="s">
        <v>31</v>
      </c>
      <c r="F33" s="222">
        <v>1290</v>
      </c>
      <c r="G33" s="222">
        <v>1297.5</v>
      </c>
      <c r="H33" s="222">
        <v>7.5</v>
      </c>
      <c r="I33" s="207">
        <f t="shared" si="6"/>
        <v>232.55813953488371</v>
      </c>
      <c r="J33" s="242">
        <f t="shared" si="7"/>
        <v>1744.1860465116279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43732</v>
      </c>
      <c r="D34" s="161" t="s">
        <v>8</v>
      </c>
      <c r="E34" s="161" t="s">
        <v>78</v>
      </c>
      <c r="F34" s="222">
        <v>1500</v>
      </c>
      <c r="G34" s="222">
        <v>1480</v>
      </c>
      <c r="H34" s="222">
        <v>20</v>
      </c>
      <c r="I34" s="207">
        <f t="shared" si="6"/>
        <v>200</v>
      </c>
      <c r="J34" s="242">
        <f t="shared" si="7"/>
        <v>4000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43733</v>
      </c>
      <c r="D35" s="161" t="s">
        <v>9</v>
      </c>
      <c r="E35" s="161" t="s">
        <v>31</v>
      </c>
      <c r="F35" s="222">
        <v>1290</v>
      </c>
      <c r="G35" s="222">
        <v>1280</v>
      </c>
      <c r="H35" s="222">
        <v>-10</v>
      </c>
      <c r="I35" s="207">
        <f t="shared" si="6"/>
        <v>232.55813953488371</v>
      </c>
      <c r="J35" s="242">
        <f t="shared" si="7"/>
        <v>-2325.5813953488368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43733</v>
      </c>
      <c r="D36" s="161" t="s">
        <v>8</v>
      </c>
      <c r="E36" s="161" t="s">
        <v>78</v>
      </c>
      <c r="F36" s="222">
        <v>1470</v>
      </c>
      <c r="G36" s="222">
        <v>1450</v>
      </c>
      <c r="H36" s="222">
        <v>20</v>
      </c>
      <c r="I36" s="207">
        <f t="shared" si="6"/>
        <v>204.08163265306123</v>
      </c>
      <c r="J36" s="242">
        <f t="shared" si="7"/>
        <v>4081.6326530612246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43734</v>
      </c>
      <c r="D37" s="161" t="s">
        <v>9</v>
      </c>
      <c r="E37" s="161" t="s">
        <v>95</v>
      </c>
      <c r="F37" s="222">
        <v>451</v>
      </c>
      <c r="G37" s="222">
        <v>446</v>
      </c>
      <c r="H37" s="222">
        <v>-5</v>
      </c>
      <c r="I37" s="207">
        <f t="shared" si="6"/>
        <v>665.1884700665189</v>
      </c>
      <c r="J37" s="242">
        <f t="shared" si="7"/>
        <v>-3325.9423503325943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43734</v>
      </c>
      <c r="D38" s="161" t="s">
        <v>8</v>
      </c>
      <c r="E38" s="161" t="s">
        <v>137</v>
      </c>
      <c r="F38" s="222">
        <v>2045</v>
      </c>
      <c r="G38" s="222">
        <v>2017</v>
      </c>
      <c r="H38" s="222">
        <v>28</v>
      </c>
      <c r="I38" s="207">
        <f t="shared" si="6"/>
        <v>146.69926650366747</v>
      </c>
      <c r="J38" s="242">
        <f t="shared" si="7"/>
        <v>4107.5794621026889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43735</v>
      </c>
      <c r="D39" s="161" t="s">
        <v>9</v>
      </c>
      <c r="E39" s="161" t="s">
        <v>163</v>
      </c>
      <c r="F39" s="222">
        <v>263</v>
      </c>
      <c r="G39" s="222">
        <v>260</v>
      </c>
      <c r="H39" s="222">
        <v>-3</v>
      </c>
      <c r="I39" s="207">
        <f t="shared" si="6"/>
        <v>1140.6844106463877</v>
      </c>
      <c r="J39" s="242">
        <f t="shared" si="7"/>
        <v>-3422.0532319391632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43735</v>
      </c>
      <c r="D40" s="161" t="s">
        <v>8</v>
      </c>
      <c r="E40" s="161" t="s">
        <v>137</v>
      </c>
      <c r="F40" s="222">
        <v>2020</v>
      </c>
      <c r="G40" s="222">
        <v>2006</v>
      </c>
      <c r="H40" s="222">
        <v>14</v>
      </c>
      <c r="I40" s="207">
        <f t="shared" si="6"/>
        <v>148.51485148514851</v>
      </c>
      <c r="J40" s="242">
        <f t="shared" si="7"/>
        <v>2079.2079207920792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43738</v>
      </c>
      <c r="D41" s="161" t="s">
        <v>9</v>
      </c>
      <c r="E41" s="161" t="s">
        <v>31</v>
      </c>
      <c r="F41" s="222">
        <v>1313</v>
      </c>
      <c r="G41" s="223">
        <v>1333</v>
      </c>
      <c r="H41" s="222">
        <v>20</v>
      </c>
      <c r="I41" s="207">
        <f t="shared" si="6"/>
        <v>228.48438690022849</v>
      </c>
      <c r="J41" s="242">
        <f t="shared" si="7"/>
        <v>4569.6877380045698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43738</v>
      </c>
      <c r="D42" s="161" t="s">
        <v>8</v>
      </c>
      <c r="E42" s="161" t="s">
        <v>78</v>
      </c>
      <c r="F42" s="222">
        <v>1453</v>
      </c>
      <c r="G42" s="222">
        <v>1449</v>
      </c>
      <c r="H42" s="222">
        <v>4</v>
      </c>
      <c r="I42" s="207">
        <f t="shared" si="6"/>
        <v>206.46937370956641</v>
      </c>
      <c r="J42" s="242">
        <f t="shared" si="7"/>
        <v>825.87749483826565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40761.066328072346</v>
      </c>
      <c r="K52" s="153"/>
      <c r="V52" s="25">
        <f>SUM(V6:V51)</f>
        <v>26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2806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43711</v>
      </c>
      <c r="D60" s="158" t="s">
        <v>8</v>
      </c>
      <c r="E60" s="158" t="s">
        <v>58</v>
      </c>
      <c r="F60" s="230">
        <v>656</v>
      </c>
      <c r="G60" s="230">
        <v>644.5</v>
      </c>
      <c r="H60" s="230">
        <v>11.5</v>
      </c>
      <c r="I60" s="204">
        <v>1200</v>
      </c>
      <c r="J60" s="241">
        <f t="shared" ref="J60:J83" si="15">I60*H60</f>
        <v>13800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43712</v>
      </c>
      <c r="D61" s="161" t="s">
        <v>8</v>
      </c>
      <c r="E61" s="161" t="s">
        <v>58</v>
      </c>
      <c r="F61" s="207">
        <v>646</v>
      </c>
      <c r="G61" s="222">
        <v>652</v>
      </c>
      <c r="H61" s="222">
        <v>-6</v>
      </c>
      <c r="I61" s="207">
        <v>1200</v>
      </c>
      <c r="J61" s="242">
        <f t="shared" si="15"/>
        <v>-7200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43713</v>
      </c>
      <c r="D62" s="161" t="s">
        <v>8</v>
      </c>
      <c r="E62" s="161" t="s">
        <v>58</v>
      </c>
      <c r="F62" s="222">
        <v>648</v>
      </c>
      <c r="G62" s="222">
        <v>652.20000000000005</v>
      </c>
      <c r="H62" s="222">
        <v>-4.2</v>
      </c>
      <c r="I62" s="207">
        <v>1200</v>
      </c>
      <c r="J62" s="242">
        <f t="shared" si="15"/>
        <v>-5040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43714</v>
      </c>
      <c r="D63" s="161" t="s">
        <v>8</v>
      </c>
      <c r="E63" s="161" t="s">
        <v>58</v>
      </c>
      <c r="F63" s="222">
        <v>666</v>
      </c>
      <c r="G63" s="222">
        <v>672</v>
      </c>
      <c r="H63" s="222">
        <v>-6</v>
      </c>
      <c r="I63" s="207">
        <v>1200</v>
      </c>
      <c r="J63" s="242">
        <f t="shared" si="15"/>
        <v>-7200</v>
      </c>
      <c r="K63" s="153"/>
      <c r="L63" s="25" t="s">
        <v>2008</v>
      </c>
      <c r="V63" s="25">
        <f t="shared" si="16"/>
        <v>0</v>
      </c>
      <c r="W63" s="25">
        <f t="shared" si="17"/>
        <v>1</v>
      </c>
    </row>
    <row r="64" spans="1:23" x14ac:dyDescent="0.3">
      <c r="A64" s="147"/>
      <c r="B64" s="205">
        <f t="shared" si="18"/>
        <v>5</v>
      </c>
      <c r="C64" s="206">
        <v>43717</v>
      </c>
      <c r="D64" s="161" t="s">
        <v>9</v>
      </c>
      <c r="E64" s="161" t="s">
        <v>31</v>
      </c>
      <c r="F64" s="222">
        <v>1235</v>
      </c>
      <c r="G64" s="222">
        <v>1225</v>
      </c>
      <c r="H64" s="222">
        <v>-10</v>
      </c>
      <c r="I64" s="207">
        <v>500</v>
      </c>
      <c r="J64" s="242">
        <f t="shared" si="15"/>
        <v>-5000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43719</v>
      </c>
      <c r="D65" s="161" t="s">
        <v>9</v>
      </c>
      <c r="E65" s="161" t="s">
        <v>98</v>
      </c>
      <c r="F65" s="207">
        <v>2740</v>
      </c>
      <c r="G65" s="222">
        <v>2780</v>
      </c>
      <c r="H65" s="222">
        <v>40</v>
      </c>
      <c r="I65" s="207">
        <v>200</v>
      </c>
      <c r="J65" s="242">
        <f t="shared" si="15"/>
        <v>8000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43719</v>
      </c>
      <c r="D66" s="161" t="s">
        <v>8</v>
      </c>
      <c r="E66" s="161" t="s">
        <v>137</v>
      </c>
      <c r="F66" s="207">
        <v>1835</v>
      </c>
      <c r="G66" s="222">
        <v>1829.5</v>
      </c>
      <c r="H66" s="222">
        <v>5.5</v>
      </c>
      <c r="I66" s="207">
        <v>300</v>
      </c>
      <c r="J66" s="242">
        <f t="shared" si="15"/>
        <v>1650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43720</v>
      </c>
      <c r="D67" s="161" t="s">
        <v>9</v>
      </c>
      <c r="E67" s="161" t="s">
        <v>552</v>
      </c>
      <c r="F67" s="222">
        <v>1405</v>
      </c>
      <c r="G67" s="222">
        <v>1413</v>
      </c>
      <c r="H67" s="222">
        <v>8</v>
      </c>
      <c r="I67" s="207">
        <v>400</v>
      </c>
      <c r="J67" s="242">
        <f t="shared" si="15"/>
        <v>3200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43721</v>
      </c>
      <c r="D68" s="161" t="s">
        <v>8</v>
      </c>
      <c r="E68" s="161" t="s">
        <v>58</v>
      </c>
      <c r="F68" s="222">
        <v>660</v>
      </c>
      <c r="G68" s="222">
        <v>666</v>
      </c>
      <c r="H68" s="222">
        <v>-6</v>
      </c>
      <c r="I68" s="207">
        <v>1200</v>
      </c>
      <c r="J68" s="242">
        <f t="shared" si="15"/>
        <v>-7200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43724</v>
      </c>
      <c r="D69" s="161" t="s">
        <v>9</v>
      </c>
      <c r="E69" s="161" t="s">
        <v>2107</v>
      </c>
      <c r="F69" s="222">
        <v>1935</v>
      </c>
      <c r="G69" s="222">
        <v>1915</v>
      </c>
      <c r="H69" s="222">
        <v>-20</v>
      </c>
      <c r="I69" s="207">
        <v>302</v>
      </c>
      <c r="J69" s="242">
        <f t="shared" si="15"/>
        <v>-6040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43725</v>
      </c>
      <c r="D70" s="161" t="s">
        <v>8</v>
      </c>
      <c r="E70" s="161" t="s">
        <v>58</v>
      </c>
      <c r="F70" s="161">
        <v>660</v>
      </c>
      <c r="G70" s="222">
        <v>648</v>
      </c>
      <c r="H70" s="222">
        <v>12</v>
      </c>
      <c r="I70" s="207">
        <v>1200</v>
      </c>
      <c r="J70" s="242">
        <f t="shared" si="15"/>
        <v>14400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43726</v>
      </c>
      <c r="D71" s="161" t="s">
        <v>8</v>
      </c>
      <c r="E71" s="161" t="s">
        <v>129</v>
      </c>
      <c r="F71" s="222">
        <v>1990</v>
      </c>
      <c r="G71" s="222">
        <v>1980</v>
      </c>
      <c r="H71" s="222">
        <v>10</v>
      </c>
      <c r="I71" s="207">
        <v>500</v>
      </c>
      <c r="J71" s="242">
        <f t="shared" si="15"/>
        <v>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43727</v>
      </c>
      <c r="D72" s="161" t="s">
        <v>9</v>
      </c>
      <c r="E72" s="161" t="s">
        <v>58</v>
      </c>
      <c r="F72" s="222">
        <v>648</v>
      </c>
      <c r="G72" s="222">
        <v>642</v>
      </c>
      <c r="H72" s="222">
        <v>-6</v>
      </c>
      <c r="I72" s="207">
        <v>1200</v>
      </c>
      <c r="J72" s="242">
        <f t="shared" si="15"/>
        <v>-7200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43728</v>
      </c>
      <c r="D73" s="161" t="s">
        <v>9</v>
      </c>
      <c r="E73" s="161" t="s">
        <v>129</v>
      </c>
      <c r="F73" s="223">
        <v>2020</v>
      </c>
      <c r="G73" s="222">
        <v>2060</v>
      </c>
      <c r="H73" s="255">
        <v>40</v>
      </c>
      <c r="I73" s="207">
        <v>500</v>
      </c>
      <c r="J73" s="242">
        <f t="shared" si="15"/>
        <v>20000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43731</v>
      </c>
      <c r="D74" s="161" t="s">
        <v>9</v>
      </c>
      <c r="E74" s="161" t="s">
        <v>129</v>
      </c>
      <c r="F74" s="222">
        <v>2120</v>
      </c>
      <c r="G74" s="222">
        <v>2160</v>
      </c>
      <c r="H74" s="255">
        <v>40</v>
      </c>
      <c r="I74" s="207">
        <v>500</v>
      </c>
      <c r="J74" s="242">
        <f t="shared" si="15"/>
        <v>20000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43732</v>
      </c>
      <c r="D75" s="161" t="s">
        <v>8</v>
      </c>
      <c r="E75" s="161" t="s">
        <v>129</v>
      </c>
      <c r="F75" s="222">
        <v>2145</v>
      </c>
      <c r="G75" s="222">
        <v>2125</v>
      </c>
      <c r="H75" s="222">
        <v>20</v>
      </c>
      <c r="I75" s="207">
        <v>500</v>
      </c>
      <c r="J75" s="242">
        <f t="shared" si="15"/>
        <v>10000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43733</v>
      </c>
      <c r="D76" s="161" t="s">
        <v>8</v>
      </c>
      <c r="E76" s="161" t="s">
        <v>129</v>
      </c>
      <c r="F76" s="222">
        <v>2080</v>
      </c>
      <c r="G76" s="222">
        <v>2060</v>
      </c>
      <c r="H76" s="222">
        <v>20</v>
      </c>
      <c r="I76" s="207">
        <v>500</v>
      </c>
      <c r="J76" s="242">
        <f t="shared" si="15"/>
        <v>10000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43734</v>
      </c>
      <c r="D77" s="161" t="s">
        <v>9</v>
      </c>
      <c r="E77" s="161" t="s">
        <v>129</v>
      </c>
      <c r="F77" s="222">
        <v>2080</v>
      </c>
      <c r="G77" s="222">
        <v>2088</v>
      </c>
      <c r="H77" s="222">
        <v>8</v>
      </c>
      <c r="I77" s="207">
        <v>500</v>
      </c>
      <c r="J77" s="242">
        <f t="shared" si="15"/>
        <v>4000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43735</v>
      </c>
      <c r="D78" s="161" t="s">
        <v>9</v>
      </c>
      <c r="E78" s="161" t="s">
        <v>129</v>
      </c>
      <c r="F78" s="222">
        <v>2100</v>
      </c>
      <c r="G78" s="222">
        <v>2080</v>
      </c>
      <c r="H78" s="222">
        <v>-20</v>
      </c>
      <c r="I78" s="207">
        <v>500</v>
      </c>
      <c r="J78" s="242">
        <f t="shared" si="15"/>
        <v>-10000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43738</v>
      </c>
      <c r="D79" s="161" t="s">
        <v>8</v>
      </c>
      <c r="E79" s="161" t="s">
        <v>58</v>
      </c>
      <c r="F79" s="222">
        <v>699</v>
      </c>
      <c r="G79" s="222">
        <v>690.5</v>
      </c>
      <c r="H79" s="222">
        <v>8.5</v>
      </c>
      <c r="I79" s="207">
        <v>1200</v>
      </c>
      <c r="J79" s="242">
        <f t="shared" si="15"/>
        <v>10200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65370</v>
      </c>
      <c r="K84" s="153"/>
      <c r="V84" s="25">
        <f>SUM(V60:V83)</f>
        <v>12</v>
      </c>
      <c r="W84" s="25">
        <f>SUM(W60:W83)</f>
        <v>8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2807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43711</v>
      </c>
      <c r="D92" s="185" t="s">
        <v>8</v>
      </c>
      <c r="E92" s="185" t="s">
        <v>39</v>
      </c>
      <c r="F92" s="219">
        <v>10930</v>
      </c>
      <c r="G92" s="219">
        <v>10870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43712</v>
      </c>
      <c r="D93" s="161" t="s">
        <v>8</v>
      </c>
      <c r="E93" s="161" t="s">
        <v>39</v>
      </c>
      <c r="F93" s="207">
        <v>10840</v>
      </c>
      <c r="G93" s="207">
        <v>10800</v>
      </c>
      <c r="H93" s="161">
        <v>40</v>
      </c>
      <c r="I93" s="207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43713</v>
      </c>
      <c r="D94" s="161" t="s">
        <v>8</v>
      </c>
      <c r="E94" s="161" t="s">
        <v>39</v>
      </c>
      <c r="F94" s="207">
        <v>10945</v>
      </c>
      <c r="G94" s="207">
        <v>10885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43714</v>
      </c>
      <c r="D95" s="161" t="s">
        <v>8</v>
      </c>
      <c r="E95" s="161" t="s">
        <v>39</v>
      </c>
      <c r="F95" s="207">
        <v>10920</v>
      </c>
      <c r="G95" s="207">
        <v>10950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43717</v>
      </c>
      <c r="D96" s="161" t="s">
        <v>8</v>
      </c>
      <c r="E96" s="161" t="s">
        <v>39</v>
      </c>
      <c r="F96" s="207">
        <v>11040</v>
      </c>
      <c r="G96" s="207">
        <v>11000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43719</v>
      </c>
      <c r="D97" s="161" t="s">
        <v>8</v>
      </c>
      <c r="E97" s="161" t="s">
        <v>39</v>
      </c>
      <c r="F97" s="207">
        <v>11070</v>
      </c>
      <c r="G97" s="207">
        <v>11048</v>
      </c>
      <c r="H97" s="161">
        <v>22</v>
      </c>
      <c r="I97" s="207">
        <v>150</v>
      </c>
      <c r="J97" s="242">
        <f t="shared" si="19"/>
        <v>3300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43720</v>
      </c>
      <c r="D98" s="161" t="s">
        <v>8</v>
      </c>
      <c r="E98" s="161" t="s">
        <v>39</v>
      </c>
      <c r="F98" s="207">
        <v>11080</v>
      </c>
      <c r="G98" s="207">
        <v>11020</v>
      </c>
      <c r="H98" s="161">
        <v>60</v>
      </c>
      <c r="I98" s="207">
        <v>150</v>
      </c>
      <c r="J98" s="242">
        <f t="shared" si="19"/>
        <v>9000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43721</v>
      </c>
      <c r="D99" s="161" t="s">
        <v>8</v>
      </c>
      <c r="E99" s="161" t="s">
        <v>39</v>
      </c>
      <c r="F99" s="207">
        <v>10970</v>
      </c>
      <c r="G99" s="207">
        <v>11000</v>
      </c>
      <c r="H99" s="161">
        <v>-30</v>
      </c>
      <c r="I99" s="207">
        <v>150</v>
      </c>
      <c r="J99" s="242">
        <f t="shared" si="19"/>
        <v>-4500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43724</v>
      </c>
      <c r="D100" s="161" t="s">
        <v>8</v>
      </c>
      <c r="E100" s="161" t="s">
        <v>39</v>
      </c>
      <c r="F100" s="207">
        <v>11050</v>
      </c>
      <c r="G100" s="207">
        <v>10990</v>
      </c>
      <c r="H100" s="161">
        <v>60</v>
      </c>
      <c r="I100" s="207">
        <v>150</v>
      </c>
      <c r="J100" s="242">
        <f t="shared" si="19"/>
        <v>9000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43725</v>
      </c>
      <c r="D101" s="161" t="s">
        <v>8</v>
      </c>
      <c r="E101" s="161" t="s">
        <v>39</v>
      </c>
      <c r="F101" s="207">
        <v>10970</v>
      </c>
      <c r="G101" s="207">
        <v>10910</v>
      </c>
      <c r="H101" s="161">
        <v>60</v>
      </c>
      <c r="I101" s="207">
        <v>150</v>
      </c>
      <c r="J101" s="242">
        <f t="shared" si="19"/>
        <v>9000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43726</v>
      </c>
      <c r="D102" s="161" t="s">
        <v>8</v>
      </c>
      <c r="E102" s="161" t="s">
        <v>39</v>
      </c>
      <c r="F102" s="207">
        <v>10850</v>
      </c>
      <c r="G102" s="207">
        <v>10835</v>
      </c>
      <c r="H102" s="161">
        <v>15</v>
      </c>
      <c r="I102" s="207">
        <v>150</v>
      </c>
      <c r="J102" s="242">
        <f t="shared" si="19"/>
        <v>2250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43727</v>
      </c>
      <c r="D103" s="161" t="s">
        <v>8</v>
      </c>
      <c r="E103" s="161" t="s">
        <v>39</v>
      </c>
      <c r="F103" s="207">
        <v>10790</v>
      </c>
      <c r="G103" s="207">
        <v>10730</v>
      </c>
      <c r="H103" s="161">
        <v>60</v>
      </c>
      <c r="I103" s="207">
        <v>150</v>
      </c>
      <c r="J103" s="242">
        <f t="shared" si="19"/>
        <v>9000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43728</v>
      </c>
      <c r="D104" s="161" t="s">
        <v>9</v>
      </c>
      <c r="E104" s="161" t="s">
        <v>39</v>
      </c>
      <c r="F104" s="207">
        <v>11180</v>
      </c>
      <c r="G104" s="207">
        <v>11240</v>
      </c>
      <c r="H104" s="161">
        <v>60</v>
      </c>
      <c r="I104" s="207">
        <v>150</v>
      </c>
      <c r="J104" s="242">
        <f t="shared" si="19"/>
        <v>9000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43731</v>
      </c>
      <c r="D105" s="161" t="s">
        <v>9</v>
      </c>
      <c r="E105" s="161" t="s">
        <v>39</v>
      </c>
      <c r="F105" s="207">
        <v>11490</v>
      </c>
      <c r="G105" s="207">
        <v>11550</v>
      </c>
      <c r="H105" s="161">
        <v>60</v>
      </c>
      <c r="I105" s="207">
        <v>150</v>
      </c>
      <c r="J105" s="242">
        <f t="shared" si="19"/>
        <v>9000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43732</v>
      </c>
      <c r="D106" s="161" t="s">
        <v>8</v>
      </c>
      <c r="E106" s="161" t="s">
        <v>39</v>
      </c>
      <c r="F106" s="207">
        <v>11610</v>
      </c>
      <c r="G106" s="207">
        <v>11565</v>
      </c>
      <c r="H106" s="161">
        <v>45</v>
      </c>
      <c r="I106" s="207">
        <v>150</v>
      </c>
      <c r="J106" s="242">
        <f t="shared" si="19"/>
        <v>6750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43733</v>
      </c>
      <c r="D107" s="161" t="s">
        <v>8</v>
      </c>
      <c r="E107" s="161" t="s">
        <v>39</v>
      </c>
      <c r="F107" s="207">
        <v>11510</v>
      </c>
      <c r="G107" s="207">
        <v>11450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43734</v>
      </c>
      <c r="D108" s="161" t="s">
        <v>8</v>
      </c>
      <c r="E108" s="161" t="s">
        <v>39</v>
      </c>
      <c r="F108" s="207">
        <v>11580</v>
      </c>
      <c r="G108" s="207">
        <v>11520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43735</v>
      </c>
      <c r="D109" s="161" t="s">
        <v>8</v>
      </c>
      <c r="E109" s="161" t="s">
        <v>39</v>
      </c>
      <c r="F109" s="207">
        <v>11600</v>
      </c>
      <c r="G109" s="207">
        <v>11570</v>
      </c>
      <c r="H109" s="161">
        <v>-30</v>
      </c>
      <c r="I109" s="207">
        <v>150</v>
      </c>
      <c r="J109" s="242">
        <f t="shared" si="19"/>
        <v>-4500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43738</v>
      </c>
      <c r="D110" s="161" t="s">
        <v>8</v>
      </c>
      <c r="E110" s="161" t="s">
        <v>39</v>
      </c>
      <c r="F110" s="207">
        <v>11490</v>
      </c>
      <c r="G110" s="207">
        <v>11450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106800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2805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43711</v>
      </c>
      <c r="D123" s="185" t="s">
        <v>9</v>
      </c>
      <c r="E123" s="185" t="s">
        <v>2437</v>
      </c>
      <c r="F123" s="219">
        <v>140</v>
      </c>
      <c r="G123" s="219">
        <v>180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43712</v>
      </c>
      <c r="D124" s="161" t="s">
        <v>9</v>
      </c>
      <c r="E124" s="161" t="s">
        <v>2508</v>
      </c>
      <c r="F124" s="207">
        <v>117</v>
      </c>
      <c r="G124" s="207">
        <v>146</v>
      </c>
      <c r="H124" s="161">
        <v>29</v>
      </c>
      <c r="I124" s="207">
        <v>300</v>
      </c>
      <c r="J124" s="242">
        <f t="shared" si="23"/>
        <v>8700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43713</v>
      </c>
      <c r="D125" s="161" t="s">
        <v>9</v>
      </c>
      <c r="E125" s="161" t="s">
        <v>2437</v>
      </c>
      <c r="F125" s="207">
        <v>88</v>
      </c>
      <c r="G125" s="207">
        <v>128</v>
      </c>
      <c r="H125" s="161">
        <v>40</v>
      </c>
      <c r="I125" s="207">
        <v>300</v>
      </c>
      <c r="J125" s="242">
        <f t="shared" si="23"/>
        <v>12000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43714</v>
      </c>
      <c r="D126" s="161" t="s">
        <v>9</v>
      </c>
      <c r="E126" s="161" t="s">
        <v>2437</v>
      </c>
      <c r="F126" s="207">
        <v>145</v>
      </c>
      <c r="G126" s="207">
        <v>155</v>
      </c>
      <c r="H126" s="161">
        <v>10</v>
      </c>
      <c r="I126" s="207">
        <v>300</v>
      </c>
      <c r="J126" s="242">
        <f t="shared" si="23"/>
        <v>3000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43717</v>
      </c>
      <c r="D127" s="161" t="s">
        <v>9</v>
      </c>
      <c r="E127" s="161" t="s">
        <v>2520</v>
      </c>
      <c r="F127" s="207">
        <v>115</v>
      </c>
      <c r="G127" s="207">
        <v>150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43719</v>
      </c>
      <c r="D128" s="161" t="s">
        <v>9</v>
      </c>
      <c r="E128" s="161" t="s">
        <v>2785</v>
      </c>
      <c r="F128" s="207">
        <v>105</v>
      </c>
      <c r="G128" s="222">
        <v>125</v>
      </c>
      <c r="H128" s="222">
        <v>20</v>
      </c>
      <c r="I128" s="207">
        <v>300</v>
      </c>
      <c r="J128" s="242">
        <f t="shared" si="23"/>
        <v>6000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43720</v>
      </c>
      <c r="D129" s="161" t="s">
        <v>9</v>
      </c>
      <c r="E129" s="161" t="s">
        <v>2529</v>
      </c>
      <c r="F129" s="207">
        <v>140</v>
      </c>
      <c r="G129" s="207">
        <v>180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43721</v>
      </c>
      <c r="D130" s="161" t="s">
        <v>9</v>
      </c>
      <c r="E130" s="161" t="s">
        <v>2811</v>
      </c>
      <c r="F130" s="207">
        <v>120</v>
      </c>
      <c r="G130" s="207">
        <v>130</v>
      </c>
      <c r="H130" s="161">
        <v>10</v>
      </c>
      <c r="I130" s="207">
        <v>300</v>
      </c>
      <c r="J130" s="242">
        <f t="shared" si="23"/>
        <v>3000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43724</v>
      </c>
      <c r="D131" s="161" t="s">
        <v>9</v>
      </c>
      <c r="E131" s="161" t="s">
        <v>2520</v>
      </c>
      <c r="F131" s="207">
        <v>100</v>
      </c>
      <c r="G131" s="207">
        <v>140</v>
      </c>
      <c r="H131" s="161">
        <v>40</v>
      </c>
      <c r="I131" s="207">
        <v>300</v>
      </c>
      <c r="J131" s="242">
        <f t="shared" si="23"/>
        <v>12000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43725</v>
      </c>
      <c r="D132" s="161" t="s">
        <v>9</v>
      </c>
      <c r="E132" s="161" t="s">
        <v>2811</v>
      </c>
      <c r="F132" s="207">
        <v>120</v>
      </c>
      <c r="G132" s="222">
        <v>160</v>
      </c>
      <c r="H132" s="222">
        <v>40</v>
      </c>
      <c r="I132" s="207">
        <v>300</v>
      </c>
      <c r="J132" s="242">
        <f t="shared" si="23"/>
        <v>12000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43726</v>
      </c>
      <c r="D133" s="161" t="s">
        <v>9</v>
      </c>
      <c r="E133" s="161" t="s">
        <v>2790</v>
      </c>
      <c r="F133" s="207">
        <v>125</v>
      </c>
      <c r="G133" s="207">
        <v>135</v>
      </c>
      <c r="H133" s="161">
        <v>10</v>
      </c>
      <c r="I133" s="207">
        <v>300</v>
      </c>
      <c r="J133" s="242">
        <f t="shared" si="23"/>
        <v>3000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43727</v>
      </c>
      <c r="D134" s="161" t="s">
        <v>9</v>
      </c>
      <c r="E134" s="161" t="s">
        <v>2791</v>
      </c>
      <c r="F134" s="207">
        <v>95</v>
      </c>
      <c r="G134" s="207">
        <v>135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43728</v>
      </c>
      <c r="D135" s="161" t="s">
        <v>9</v>
      </c>
      <c r="E135" s="161" t="s">
        <v>2445</v>
      </c>
      <c r="F135" s="207">
        <v>130</v>
      </c>
      <c r="G135" s="207">
        <v>150</v>
      </c>
      <c r="H135" s="161">
        <v>20</v>
      </c>
      <c r="I135" s="207">
        <v>300</v>
      </c>
      <c r="J135" s="242">
        <f t="shared" si="23"/>
        <v>6000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43731</v>
      </c>
      <c r="D136" s="161" t="s">
        <v>9</v>
      </c>
      <c r="E136" s="161" t="s">
        <v>2541</v>
      </c>
      <c r="F136" s="207">
        <v>100</v>
      </c>
      <c r="G136" s="207">
        <v>140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43732</v>
      </c>
      <c r="D137" s="161" t="s">
        <v>9</v>
      </c>
      <c r="E137" s="161" t="s">
        <v>2571</v>
      </c>
      <c r="F137" s="207">
        <v>100</v>
      </c>
      <c r="G137" s="207">
        <v>80</v>
      </c>
      <c r="H137" s="161">
        <v>-20</v>
      </c>
      <c r="I137" s="207">
        <v>300</v>
      </c>
      <c r="J137" s="242">
        <f t="shared" si="23"/>
        <v>-6000</v>
      </c>
      <c r="K137" s="153"/>
      <c r="V137" s="25">
        <f>IF($J137&gt;0,1,0)</f>
        <v>0</v>
      </c>
      <c r="W137" s="25">
        <f>IF($J137&lt;0,1,0)</f>
        <v>1</v>
      </c>
    </row>
    <row r="138" spans="1:23" x14ac:dyDescent="0.3">
      <c r="A138" s="147"/>
      <c r="B138" s="205">
        <f t="shared" si="26"/>
        <v>16</v>
      </c>
      <c r="C138" s="206">
        <v>43733</v>
      </c>
      <c r="D138" s="161" t="s">
        <v>9</v>
      </c>
      <c r="E138" s="161" t="s">
        <v>2571</v>
      </c>
      <c r="F138" s="207">
        <v>103</v>
      </c>
      <c r="G138" s="207">
        <v>143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43734</v>
      </c>
      <c r="D139" s="161" t="s">
        <v>9</v>
      </c>
      <c r="E139" s="161" t="s">
        <v>2770</v>
      </c>
      <c r="F139" s="207">
        <v>120</v>
      </c>
      <c r="G139" s="207">
        <v>150</v>
      </c>
      <c r="H139" s="161">
        <v>30</v>
      </c>
      <c r="I139" s="207">
        <v>300</v>
      </c>
      <c r="J139" s="242">
        <f t="shared" si="23"/>
        <v>9000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43735</v>
      </c>
      <c r="D140" s="161" t="s">
        <v>9</v>
      </c>
      <c r="E140" s="161" t="s">
        <v>2541</v>
      </c>
      <c r="F140" s="207">
        <v>130</v>
      </c>
      <c r="G140" s="207">
        <v>150</v>
      </c>
      <c r="H140" s="161">
        <v>20</v>
      </c>
      <c r="I140" s="207">
        <v>300</v>
      </c>
      <c r="J140" s="242">
        <f t="shared" si="23"/>
        <v>6000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43738</v>
      </c>
      <c r="D141" s="161" t="s">
        <v>9</v>
      </c>
      <c r="E141" s="161" t="s">
        <v>2821</v>
      </c>
      <c r="F141" s="207">
        <v>110</v>
      </c>
      <c r="G141" s="207">
        <v>130</v>
      </c>
      <c r="H141" s="161">
        <v>20</v>
      </c>
      <c r="I141" s="207">
        <v>300</v>
      </c>
      <c r="J141" s="242">
        <f t="shared" si="23"/>
        <v>6000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151200</v>
      </c>
      <c r="K146" s="153"/>
      <c r="V146" s="25">
        <f>SUM(V123:V145)</f>
        <v>18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2805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43711</v>
      </c>
      <c r="D154" s="185" t="s">
        <v>8</v>
      </c>
      <c r="E154" s="185" t="s">
        <v>301</v>
      </c>
      <c r="F154" s="219">
        <v>27100</v>
      </c>
      <c r="G154" s="219">
        <v>26900</v>
      </c>
      <c r="H154" s="185">
        <v>200</v>
      </c>
      <c r="I154" s="219">
        <v>40</v>
      </c>
      <c r="J154" s="246">
        <f t="shared" ref="J154:J176" si="27">I154*H154</f>
        <v>8000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43712</v>
      </c>
      <c r="D155" s="161" t="s">
        <v>8</v>
      </c>
      <c r="E155" s="161" t="s">
        <v>301</v>
      </c>
      <c r="F155" s="207">
        <v>27020</v>
      </c>
      <c r="G155" s="207">
        <v>26920</v>
      </c>
      <c r="H155" s="161">
        <v>100</v>
      </c>
      <c r="I155" s="207">
        <v>40</v>
      </c>
      <c r="J155" s="242">
        <f t="shared" si="27"/>
        <v>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43713</v>
      </c>
      <c r="D156" s="161" t="s">
        <v>8</v>
      </c>
      <c r="E156" s="161" t="s">
        <v>301</v>
      </c>
      <c r="F156" s="207">
        <v>27220</v>
      </c>
      <c r="G156" s="207">
        <v>27020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43714</v>
      </c>
      <c r="D157" s="161" t="s">
        <v>8</v>
      </c>
      <c r="E157" s="161" t="s">
        <v>301</v>
      </c>
      <c r="F157" s="207">
        <v>27200</v>
      </c>
      <c r="G157" s="207">
        <v>27300</v>
      </c>
      <c r="H157" s="161">
        <v>-100</v>
      </c>
      <c r="I157" s="207">
        <v>40</v>
      </c>
      <c r="J157" s="242">
        <f t="shared" si="27"/>
        <v>-4000</v>
      </c>
      <c r="K157" s="153"/>
      <c r="V157" s="25">
        <f t="shared" si="28"/>
        <v>0</v>
      </c>
      <c r="W157" s="25">
        <f t="shared" si="29"/>
        <v>1</v>
      </c>
    </row>
    <row r="158" spans="1:23" x14ac:dyDescent="0.3">
      <c r="A158" s="147"/>
      <c r="B158" s="205">
        <f t="shared" si="30"/>
        <v>5</v>
      </c>
      <c r="C158" s="206">
        <v>43717</v>
      </c>
      <c r="D158" s="161" t="s">
        <v>8</v>
      </c>
      <c r="E158" s="161" t="s">
        <v>301</v>
      </c>
      <c r="F158" s="207">
        <v>27520</v>
      </c>
      <c r="G158" s="207">
        <v>27470</v>
      </c>
      <c r="H158" s="161">
        <v>50</v>
      </c>
      <c r="I158" s="207">
        <v>40</v>
      </c>
      <c r="J158" s="242">
        <f t="shared" si="27"/>
        <v>2000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43719</v>
      </c>
      <c r="D159" s="161" t="s">
        <v>8</v>
      </c>
      <c r="E159" s="161" t="s">
        <v>301</v>
      </c>
      <c r="F159" s="207">
        <v>27800</v>
      </c>
      <c r="G159" s="207">
        <v>27840</v>
      </c>
      <c r="H159" s="161">
        <v>-40</v>
      </c>
      <c r="I159" s="207">
        <v>40</v>
      </c>
      <c r="J159" s="242">
        <f t="shared" si="27"/>
        <v>-1600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43720</v>
      </c>
      <c r="D160" s="161" t="s">
        <v>8</v>
      </c>
      <c r="E160" s="161" t="s">
        <v>301</v>
      </c>
      <c r="F160" s="207">
        <v>28000</v>
      </c>
      <c r="G160" s="207">
        <v>27800</v>
      </c>
      <c r="H160" s="161">
        <v>200</v>
      </c>
      <c r="I160" s="207">
        <v>40</v>
      </c>
      <c r="J160" s="242">
        <f t="shared" si="27"/>
        <v>8000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43721</v>
      </c>
      <c r="D161" s="161" t="s">
        <v>8</v>
      </c>
      <c r="E161" s="161" t="s">
        <v>301</v>
      </c>
      <c r="F161" s="207">
        <v>27700</v>
      </c>
      <c r="G161" s="207">
        <v>27800</v>
      </c>
      <c r="H161" s="161">
        <v>-100</v>
      </c>
      <c r="I161" s="207">
        <v>40</v>
      </c>
      <c r="J161" s="242">
        <f t="shared" si="27"/>
        <v>-4000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43724</v>
      </c>
      <c r="D162" s="161" t="s">
        <v>8</v>
      </c>
      <c r="E162" s="161" t="s">
        <v>301</v>
      </c>
      <c r="F162" s="207">
        <v>28020</v>
      </c>
      <c r="G162" s="207">
        <v>27880</v>
      </c>
      <c r="H162" s="161">
        <v>140</v>
      </c>
      <c r="I162" s="207">
        <v>40</v>
      </c>
      <c r="J162" s="242">
        <f t="shared" si="27"/>
        <v>5600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43725</v>
      </c>
      <c r="D163" s="161" t="s">
        <v>8</v>
      </c>
      <c r="E163" s="161" t="s">
        <v>301</v>
      </c>
      <c r="F163" s="207">
        <v>27750</v>
      </c>
      <c r="G163" s="207">
        <v>27550</v>
      </c>
      <c r="H163" s="161">
        <v>200</v>
      </c>
      <c r="I163" s="207">
        <v>40</v>
      </c>
      <c r="J163" s="242">
        <f t="shared" si="27"/>
        <v>8000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43726</v>
      </c>
      <c r="D164" s="161" t="s">
        <v>8</v>
      </c>
      <c r="E164" s="161" t="s">
        <v>301</v>
      </c>
      <c r="F164" s="207">
        <v>27160</v>
      </c>
      <c r="G164" s="207">
        <v>27260</v>
      </c>
      <c r="H164" s="161">
        <v>-100</v>
      </c>
      <c r="I164" s="207">
        <v>40</v>
      </c>
      <c r="J164" s="242">
        <f t="shared" si="27"/>
        <v>-4000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43727</v>
      </c>
      <c r="D165" s="161" t="s">
        <v>8</v>
      </c>
      <c r="E165" s="161" t="s">
        <v>301</v>
      </c>
      <c r="F165" s="207">
        <v>26900</v>
      </c>
      <c r="G165" s="207">
        <v>26700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43728</v>
      </c>
      <c r="D166" s="161" t="s">
        <v>9</v>
      </c>
      <c r="E166" s="161" t="s">
        <v>301</v>
      </c>
      <c r="F166" s="207">
        <v>28500</v>
      </c>
      <c r="G166" s="207">
        <v>28700</v>
      </c>
      <c r="H166" s="161">
        <v>200</v>
      </c>
      <c r="I166" s="207">
        <v>40</v>
      </c>
      <c r="J166" s="242">
        <f t="shared" si="27"/>
        <v>8000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43731</v>
      </c>
      <c r="D167" s="161" t="s">
        <v>9</v>
      </c>
      <c r="E167" s="161" t="s">
        <v>301</v>
      </c>
      <c r="F167" s="207">
        <v>29950</v>
      </c>
      <c r="G167" s="207">
        <v>30150</v>
      </c>
      <c r="H167" s="161">
        <v>200</v>
      </c>
      <c r="I167" s="207">
        <v>40</v>
      </c>
      <c r="J167" s="242">
        <f t="shared" si="27"/>
        <v>8000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43732</v>
      </c>
      <c r="D168" s="161" t="s">
        <v>8</v>
      </c>
      <c r="E168" s="161" t="s">
        <v>301</v>
      </c>
      <c r="F168" s="207">
        <v>30250</v>
      </c>
      <c r="G168" s="207">
        <v>30050</v>
      </c>
      <c r="H168" s="161">
        <v>200</v>
      </c>
      <c r="I168" s="207">
        <v>40</v>
      </c>
      <c r="J168" s="242">
        <f t="shared" si="27"/>
        <v>8000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43733</v>
      </c>
      <c r="D169" s="161" t="s">
        <v>8</v>
      </c>
      <c r="E169" s="161" t="s">
        <v>301</v>
      </c>
      <c r="F169" s="207">
        <v>29800</v>
      </c>
      <c r="G169" s="207">
        <v>29700</v>
      </c>
      <c r="H169" s="161">
        <v>100</v>
      </c>
      <c r="I169" s="207">
        <v>40</v>
      </c>
      <c r="J169" s="242">
        <f t="shared" si="27"/>
        <v>4000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43734</v>
      </c>
      <c r="D170" s="161" t="s">
        <v>8</v>
      </c>
      <c r="E170" s="161" t="s">
        <v>301</v>
      </c>
      <c r="F170" s="207">
        <v>29900</v>
      </c>
      <c r="G170" s="207">
        <v>30000</v>
      </c>
      <c r="H170" s="161">
        <v>-100</v>
      </c>
      <c r="I170" s="207">
        <v>40</v>
      </c>
      <c r="J170" s="242">
        <f t="shared" si="27"/>
        <v>-4000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43735</v>
      </c>
      <c r="D171" s="161" t="s">
        <v>9</v>
      </c>
      <c r="E171" s="161" t="s">
        <v>301</v>
      </c>
      <c r="F171" s="207">
        <v>30040</v>
      </c>
      <c r="G171" s="207">
        <v>29940</v>
      </c>
      <c r="H171" s="161">
        <v>-100</v>
      </c>
      <c r="I171" s="207">
        <v>40</v>
      </c>
      <c r="J171" s="242">
        <f t="shared" si="27"/>
        <v>-4000</v>
      </c>
      <c r="K171" s="153"/>
      <c r="V171" s="25">
        <f t="shared" si="28"/>
        <v>0</v>
      </c>
      <c r="W171" s="25">
        <f t="shared" si="29"/>
        <v>1</v>
      </c>
    </row>
    <row r="172" spans="1:23" x14ac:dyDescent="0.3">
      <c r="A172" s="147"/>
      <c r="B172" s="205">
        <f t="shared" si="30"/>
        <v>19</v>
      </c>
      <c r="C172" s="206">
        <v>43738</v>
      </c>
      <c r="D172" s="161" t="s">
        <v>8</v>
      </c>
      <c r="E172" s="161" t="s">
        <v>301</v>
      </c>
      <c r="F172" s="207">
        <v>29500</v>
      </c>
      <c r="G172" s="207">
        <v>29300</v>
      </c>
      <c r="H172" s="161">
        <v>200</v>
      </c>
      <c r="I172" s="207">
        <v>40</v>
      </c>
      <c r="J172" s="242">
        <f t="shared" si="27"/>
        <v>8000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66000</v>
      </c>
      <c r="K177" s="153"/>
      <c r="V177" s="25">
        <f>SUM(V154:V176)</f>
        <v>13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2805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43711</v>
      </c>
      <c r="D185" s="185" t="s">
        <v>9</v>
      </c>
      <c r="E185" s="185" t="s">
        <v>2521</v>
      </c>
      <c r="F185" s="219">
        <v>250</v>
      </c>
      <c r="G185" s="219">
        <v>360</v>
      </c>
      <c r="H185" s="185">
        <v>110</v>
      </c>
      <c r="I185" s="219">
        <v>80</v>
      </c>
      <c r="J185" s="246">
        <f t="shared" ref="J185:J207" si="31">I185*H185</f>
        <v>8800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43712</v>
      </c>
      <c r="D186" s="161" t="s">
        <v>9</v>
      </c>
      <c r="E186" s="161" t="s">
        <v>2521</v>
      </c>
      <c r="F186" s="207">
        <v>220</v>
      </c>
      <c r="G186" s="207">
        <v>280</v>
      </c>
      <c r="H186" s="161">
        <v>60</v>
      </c>
      <c r="I186" s="207">
        <v>80</v>
      </c>
      <c r="J186" s="242">
        <f t="shared" si="31"/>
        <v>4800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43713</v>
      </c>
      <c r="D187" s="161" t="s">
        <v>9</v>
      </c>
      <c r="E187" s="161" t="s">
        <v>2624</v>
      </c>
      <c r="F187" s="207">
        <v>120</v>
      </c>
      <c r="G187" s="207">
        <v>240</v>
      </c>
      <c r="H187" s="161">
        <v>120</v>
      </c>
      <c r="I187" s="207">
        <v>80</v>
      </c>
      <c r="J187" s="242">
        <f t="shared" si="31"/>
        <v>9600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43714</v>
      </c>
      <c r="D188" s="161" t="s">
        <v>9</v>
      </c>
      <c r="E188" s="161" t="s">
        <v>2624</v>
      </c>
      <c r="F188" s="207">
        <v>330</v>
      </c>
      <c r="G188" s="207">
        <v>270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43717</v>
      </c>
      <c r="D189" s="161" t="s">
        <v>9</v>
      </c>
      <c r="E189" s="161" t="s">
        <v>2534</v>
      </c>
      <c r="F189" s="207">
        <v>210</v>
      </c>
      <c r="G189" s="207">
        <v>240</v>
      </c>
      <c r="H189" s="161">
        <v>30</v>
      </c>
      <c r="I189" s="207">
        <v>80</v>
      </c>
      <c r="J189" s="242">
        <f t="shared" si="31"/>
        <v>2400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43719</v>
      </c>
      <c r="D190" s="161" t="s">
        <v>9</v>
      </c>
      <c r="E190" s="161" t="s">
        <v>2810</v>
      </c>
      <c r="F190" s="207">
        <v>180</v>
      </c>
      <c r="G190" s="207">
        <v>120</v>
      </c>
      <c r="H190" s="161">
        <v>-60</v>
      </c>
      <c r="I190" s="207">
        <v>80</v>
      </c>
      <c r="J190" s="242">
        <f t="shared" si="31"/>
        <v>-4800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43720</v>
      </c>
      <c r="D191" s="161" t="s">
        <v>9</v>
      </c>
      <c r="E191" s="161" t="s">
        <v>2567</v>
      </c>
      <c r="F191" s="207">
        <v>140</v>
      </c>
      <c r="G191" s="207">
        <v>260</v>
      </c>
      <c r="H191" s="161">
        <v>120</v>
      </c>
      <c r="I191" s="207">
        <v>80</v>
      </c>
      <c r="J191" s="242">
        <f t="shared" si="31"/>
        <v>9600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43721</v>
      </c>
      <c r="D192" s="161" t="s">
        <v>9</v>
      </c>
      <c r="E192" s="161" t="s">
        <v>2627</v>
      </c>
      <c r="F192" s="207">
        <v>250</v>
      </c>
      <c r="G192" s="207">
        <v>190</v>
      </c>
      <c r="H192" s="161">
        <v>-60</v>
      </c>
      <c r="I192" s="207">
        <v>80</v>
      </c>
      <c r="J192" s="242">
        <f t="shared" si="31"/>
        <v>-4800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43724</v>
      </c>
      <c r="D193" s="161" t="s">
        <v>9</v>
      </c>
      <c r="E193" s="161" t="s">
        <v>2550</v>
      </c>
      <c r="F193" s="207">
        <v>240</v>
      </c>
      <c r="G193" s="207">
        <v>325</v>
      </c>
      <c r="H193" s="161">
        <v>85</v>
      </c>
      <c r="I193" s="207">
        <v>80</v>
      </c>
      <c r="J193" s="242">
        <f t="shared" si="31"/>
        <v>6800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43725</v>
      </c>
      <c r="D194" s="161" t="s">
        <v>9</v>
      </c>
      <c r="E194" s="161" t="s">
        <v>2532</v>
      </c>
      <c r="F194" s="207">
        <v>220</v>
      </c>
      <c r="G194" s="207">
        <v>340</v>
      </c>
      <c r="H194" s="161">
        <v>120</v>
      </c>
      <c r="I194" s="207">
        <v>80</v>
      </c>
      <c r="J194" s="242">
        <f t="shared" si="31"/>
        <v>9600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43726</v>
      </c>
      <c r="D195" s="161" t="s">
        <v>9</v>
      </c>
      <c r="E195" s="161" t="s">
        <v>2624</v>
      </c>
      <c r="F195" s="207">
        <v>200</v>
      </c>
      <c r="G195" s="207">
        <v>140</v>
      </c>
      <c r="H195" s="161">
        <v>-60</v>
      </c>
      <c r="I195" s="207">
        <v>80</v>
      </c>
      <c r="J195" s="242">
        <f t="shared" si="31"/>
        <v>-4800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43727</v>
      </c>
      <c r="D196" s="161" t="s">
        <v>9</v>
      </c>
      <c r="E196" s="161" t="s">
        <v>2523</v>
      </c>
      <c r="F196" s="207">
        <v>130</v>
      </c>
      <c r="G196" s="207">
        <v>250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43728</v>
      </c>
      <c r="D197" s="161" t="s">
        <v>9</v>
      </c>
      <c r="E197" s="161" t="s">
        <v>2818</v>
      </c>
      <c r="F197" s="207">
        <v>460</v>
      </c>
      <c r="G197" s="207">
        <v>400</v>
      </c>
      <c r="H197" s="161">
        <v>-60</v>
      </c>
      <c r="I197" s="207">
        <v>80</v>
      </c>
      <c r="J197" s="242">
        <f t="shared" si="31"/>
        <v>-4800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43731</v>
      </c>
      <c r="D198" s="161" t="s">
        <v>9</v>
      </c>
      <c r="E198" s="161" t="s">
        <v>2666</v>
      </c>
      <c r="F198" s="207">
        <v>400</v>
      </c>
      <c r="G198" s="207">
        <v>520</v>
      </c>
      <c r="H198" s="161">
        <v>120</v>
      </c>
      <c r="I198" s="207">
        <v>80</v>
      </c>
      <c r="J198" s="242">
        <f t="shared" si="31"/>
        <v>9600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43732</v>
      </c>
      <c r="D199" s="161" t="s">
        <v>9</v>
      </c>
      <c r="E199" s="161" t="s">
        <v>2775</v>
      </c>
      <c r="F199" s="207">
        <v>400</v>
      </c>
      <c r="G199" s="207">
        <v>490</v>
      </c>
      <c r="H199" s="161">
        <v>90</v>
      </c>
      <c r="I199" s="207">
        <v>80</v>
      </c>
      <c r="J199" s="242">
        <f t="shared" si="31"/>
        <v>7200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43733</v>
      </c>
      <c r="D200" s="161" t="s">
        <v>9</v>
      </c>
      <c r="E200" s="161" t="s">
        <v>2820</v>
      </c>
      <c r="F200" s="207">
        <v>200</v>
      </c>
      <c r="G200" s="207">
        <v>140</v>
      </c>
      <c r="H200" s="161">
        <v>-60</v>
      </c>
      <c r="I200" s="207">
        <v>80</v>
      </c>
      <c r="J200" s="242">
        <f t="shared" si="31"/>
        <v>-4800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43734</v>
      </c>
      <c r="D201" s="161" t="s">
        <v>9</v>
      </c>
      <c r="E201" s="161" t="s">
        <v>2775</v>
      </c>
      <c r="F201" s="207">
        <v>160</v>
      </c>
      <c r="G201" s="207">
        <v>270</v>
      </c>
      <c r="H201" s="161">
        <v>120</v>
      </c>
      <c r="I201" s="207">
        <v>80</v>
      </c>
      <c r="J201" s="242">
        <f t="shared" si="31"/>
        <v>9600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43735</v>
      </c>
      <c r="D202" s="161" t="s">
        <v>9</v>
      </c>
      <c r="E202" s="161" t="s">
        <v>2666</v>
      </c>
      <c r="F202" s="207">
        <v>420</v>
      </c>
      <c r="G202" s="207">
        <v>508</v>
      </c>
      <c r="H202" s="161">
        <v>88</v>
      </c>
      <c r="I202" s="207">
        <v>80</v>
      </c>
      <c r="J202" s="242">
        <f t="shared" si="31"/>
        <v>7040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43738</v>
      </c>
      <c r="D203" s="161" t="s">
        <v>9</v>
      </c>
      <c r="E203" s="161" t="s">
        <v>2777</v>
      </c>
      <c r="F203" s="207">
        <v>400</v>
      </c>
      <c r="G203" s="207">
        <v>520</v>
      </c>
      <c r="H203" s="161">
        <v>120</v>
      </c>
      <c r="I203" s="207">
        <v>80</v>
      </c>
      <c r="J203" s="242">
        <f t="shared" si="31"/>
        <v>9600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75440</v>
      </c>
      <c r="K208" s="153"/>
      <c r="V208" s="25">
        <f>SUM(V185:V207)</f>
        <v>13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2805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43711</v>
      </c>
      <c r="D216" s="185" t="s">
        <v>9</v>
      </c>
      <c r="E216" s="185" t="s">
        <v>2576</v>
      </c>
      <c r="F216" s="231">
        <v>35</v>
      </c>
      <c r="G216" s="231">
        <v>45</v>
      </c>
      <c r="H216" s="231">
        <v>10</v>
      </c>
      <c r="I216" s="219">
        <v>500</v>
      </c>
      <c r="J216" s="246">
        <f t="shared" ref="J216:J238" si="35">I216*H216</f>
        <v>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43712</v>
      </c>
      <c r="D217" s="161" t="s">
        <v>9</v>
      </c>
      <c r="E217" s="161" t="s">
        <v>2808</v>
      </c>
      <c r="F217" s="222">
        <v>36</v>
      </c>
      <c r="G217" s="222">
        <v>39.75</v>
      </c>
      <c r="H217" s="255">
        <v>3.75</v>
      </c>
      <c r="I217" s="207">
        <v>500</v>
      </c>
      <c r="J217" s="242">
        <f>I217*H217</f>
        <v>1875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8" si="36">B217+1</f>
        <v>3</v>
      </c>
      <c r="C218" s="206">
        <v>43713</v>
      </c>
      <c r="D218" s="161" t="s">
        <v>9</v>
      </c>
      <c r="E218" s="161" t="s">
        <v>2808</v>
      </c>
      <c r="F218" s="222">
        <v>29</v>
      </c>
      <c r="G218" s="222">
        <v>34</v>
      </c>
      <c r="H218" s="222">
        <v>5</v>
      </c>
      <c r="I218" s="207">
        <v>500</v>
      </c>
      <c r="J218" s="242">
        <f t="shared" si="35"/>
        <v>2500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43714</v>
      </c>
      <c r="D219" s="161" t="s">
        <v>9</v>
      </c>
      <c r="E219" s="161" t="s">
        <v>2543</v>
      </c>
      <c r="F219" s="222">
        <v>33.5</v>
      </c>
      <c r="G219" s="222">
        <v>37.65</v>
      </c>
      <c r="H219" s="222">
        <v>4.1500000000000004</v>
      </c>
      <c r="I219" s="207">
        <v>500</v>
      </c>
      <c r="J219" s="242">
        <f t="shared" si="35"/>
        <v>2075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43717</v>
      </c>
      <c r="D220" s="161" t="s">
        <v>9</v>
      </c>
      <c r="E220" s="161" t="s">
        <v>2809</v>
      </c>
      <c r="F220" s="222">
        <v>16.5</v>
      </c>
      <c r="G220" s="222">
        <v>21.7</v>
      </c>
      <c r="H220" s="222">
        <v>5.2</v>
      </c>
      <c r="I220" s="207">
        <v>1200</v>
      </c>
      <c r="J220" s="242">
        <f t="shared" si="35"/>
        <v>6240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43719</v>
      </c>
      <c r="D221" s="161" t="s">
        <v>9</v>
      </c>
      <c r="E221" s="161" t="s">
        <v>1580</v>
      </c>
      <c r="F221" s="222">
        <v>7.7</v>
      </c>
      <c r="G221" s="222">
        <v>10.4</v>
      </c>
      <c r="H221" s="222">
        <v>2.7</v>
      </c>
      <c r="I221" s="207">
        <v>2000</v>
      </c>
      <c r="J221" s="242">
        <f t="shared" si="35"/>
        <v>5400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43720</v>
      </c>
      <c r="D222" s="161" t="s">
        <v>9</v>
      </c>
      <c r="E222" s="161" t="s">
        <v>1889</v>
      </c>
      <c r="F222" s="222">
        <v>23</v>
      </c>
      <c r="G222" s="222">
        <v>25.7</v>
      </c>
      <c r="H222" s="222">
        <v>2.7</v>
      </c>
      <c r="I222" s="207">
        <v>375</v>
      </c>
      <c r="J222" s="242">
        <f t="shared" si="35"/>
        <v>1012.5000000000001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43721</v>
      </c>
      <c r="D223" s="161" t="s">
        <v>9</v>
      </c>
      <c r="E223" s="161" t="s">
        <v>2812</v>
      </c>
      <c r="F223" s="222">
        <v>12.5</v>
      </c>
      <c r="G223" s="222">
        <v>14</v>
      </c>
      <c r="H223" s="222">
        <v>1.5</v>
      </c>
      <c r="I223" s="207">
        <v>1100</v>
      </c>
      <c r="J223" s="242">
        <f t="shared" si="35"/>
        <v>1650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43724</v>
      </c>
      <c r="D224" s="161" t="s">
        <v>9</v>
      </c>
      <c r="E224" s="161" t="s">
        <v>2165</v>
      </c>
      <c r="F224" s="222">
        <v>7</v>
      </c>
      <c r="G224" s="222">
        <v>9</v>
      </c>
      <c r="H224" s="255">
        <v>2</v>
      </c>
      <c r="I224" s="207">
        <v>3000</v>
      </c>
      <c r="J224" s="242">
        <f t="shared" si="35"/>
        <v>6000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43725</v>
      </c>
      <c r="D225" s="161" t="s">
        <v>9</v>
      </c>
      <c r="E225" s="161" t="s">
        <v>2813</v>
      </c>
      <c r="F225" s="222">
        <v>32</v>
      </c>
      <c r="G225" s="222">
        <v>46</v>
      </c>
      <c r="H225" s="255">
        <v>14</v>
      </c>
      <c r="I225" s="207">
        <v>500</v>
      </c>
      <c r="J225" s="242">
        <f t="shared" si="35"/>
        <v>7000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43726</v>
      </c>
      <c r="D226" s="161" t="s">
        <v>9</v>
      </c>
      <c r="E226" s="161" t="s">
        <v>2815</v>
      </c>
      <c r="F226" s="222">
        <v>32</v>
      </c>
      <c r="G226" s="222">
        <v>31</v>
      </c>
      <c r="H226" s="255">
        <v>2</v>
      </c>
      <c r="I226" s="207">
        <v>500</v>
      </c>
      <c r="J226" s="242">
        <f t="shared" si="35"/>
        <v>1000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43727</v>
      </c>
      <c r="D227" s="161" t="s">
        <v>9</v>
      </c>
      <c r="E227" s="161" t="s">
        <v>2816</v>
      </c>
      <c r="F227" s="222">
        <v>39</v>
      </c>
      <c r="G227" s="222">
        <v>41</v>
      </c>
      <c r="H227" s="255">
        <v>2</v>
      </c>
      <c r="I227" s="207">
        <v>400</v>
      </c>
      <c r="J227" s="242">
        <f t="shared" si="35"/>
        <v>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43728</v>
      </c>
      <c r="D228" s="161" t="s">
        <v>9</v>
      </c>
      <c r="E228" s="161" t="s">
        <v>2817</v>
      </c>
      <c r="F228" s="222">
        <v>17</v>
      </c>
      <c r="G228" s="222">
        <v>12</v>
      </c>
      <c r="H228" s="255">
        <v>-5</v>
      </c>
      <c r="I228" s="207">
        <v>500</v>
      </c>
      <c r="J228" s="242">
        <f t="shared" si="35"/>
        <v>-2500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43731</v>
      </c>
      <c r="D229" s="161" t="s">
        <v>9</v>
      </c>
      <c r="E229" s="161" t="s">
        <v>2819</v>
      </c>
      <c r="F229" s="222">
        <v>36</v>
      </c>
      <c r="G229" s="222">
        <v>48</v>
      </c>
      <c r="H229" s="255">
        <v>12</v>
      </c>
      <c r="I229" s="207">
        <v>500</v>
      </c>
      <c r="J229" s="242">
        <f>I229*H229</f>
        <v>6000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43732</v>
      </c>
      <c r="D230" s="161" t="s">
        <v>9</v>
      </c>
      <c r="E230" s="161" t="s">
        <v>2573</v>
      </c>
      <c r="F230" s="222">
        <v>32</v>
      </c>
      <c r="G230" s="222">
        <v>34.5</v>
      </c>
      <c r="H230" s="255">
        <v>2.5</v>
      </c>
      <c r="I230" s="207">
        <v>500</v>
      </c>
      <c r="J230" s="242">
        <f t="shared" si="35"/>
        <v>1250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43733</v>
      </c>
      <c r="D231" s="161" t="s">
        <v>9</v>
      </c>
      <c r="E231" s="161" t="s">
        <v>2771</v>
      </c>
      <c r="F231" s="222">
        <v>21</v>
      </c>
      <c r="G231" s="222">
        <v>30</v>
      </c>
      <c r="H231" s="222">
        <v>9</v>
      </c>
      <c r="I231" s="207">
        <v>375</v>
      </c>
      <c r="J231" s="242">
        <f t="shared" si="35"/>
        <v>3375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43734</v>
      </c>
      <c r="D232" s="161" t="s">
        <v>9</v>
      </c>
      <c r="E232" s="161" t="s">
        <v>2041</v>
      </c>
      <c r="F232" s="222">
        <v>11</v>
      </c>
      <c r="G232" s="222">
        <v>6</v>
      </c>
      <c r="H232" s="222">
        <v>-6</v>
      </c>
      <c r="I232" s="207">
        <v>375</v>
      </c>
      <c r="J232" s="242">
        <f t="shared" si="35"/>
        <v>-2250</v>
      </c>
      <c r="K232" s="153"/>
      <c r="V232" s="25">
        <f t="shared" si="37"/>
        <v>0</v>
      </c>
      <c r="W232" s="25">
        <f t="shared" si="38"/>
        <v>1</v>
      </c>
    </row>
    <row r="233" spans="1:23" x14ac:dyDescent="0.3">
      <c r="A233" s="147"/>
      <c r="B233" s="205">
        <f t="shared" si="36"/>
        <v>18</v>
      </c>
      <c r="C233" s="206">
        <v>43735</v>
      </c>
      <c r="D233" s="161" t="s">
        <v>9</v>
      </c>
      <c r="E233" s="161" t="s">
        <v>2771</v>
      </c>
      <c r="F233" s="222">
        <v>47</v>
      </c>
      <c r="G233" s="222">
        <v>52</v>
      </c>
      <c r="H233" s="222">
        <v>5</v>
      </c>
      <c r="I233" s="207">
        <v>375</v>
      </c>
      <c r="J233" s="242">
        <f t="shared" si="35"/>
        <v>1875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43738</v>
      </c>
      <c r="D234" s="161" t="s">
        <v>9</v>
      </c>
      <c r="E234" s="161" t="s">
        <v>2822</v>
      </c>
      <c r="F234" s="222">
        <v>16</v>
      </c>
      <c r="G234" s="222">
        <v>19</v>
      </c>
      <c r="H234" s="222">
        <v>3</v>
      </c>
      <c r="I234" s="207">
        <v>1375</v>
      </c>
      <c r="J234" s="242">
        <f t="shared" si="35"/>
        <v>4125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52427.5</v>
      </c>
      <c r="K239" s="153"/>
      <c r="V239" s="25">
        <f>SUM(V216:V238)</f>
        <v>17</v>
      </c>
      <c r="W239" s="25">
        <f>SUM(W216:W238)</f>
        <v>2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D00-000000000000}"/>
    <hyperlink ref="B84" r:id="rId2" xr:uid="{00000000-0004-0000-4D00-000001000000}"/>
    <hyperlink ref="B115" r:id="rId3" xr:uid="{00000000-0004-0000-4D00-000002000000}"/>
    <hyperlink ref="B146" r:id="rId4" xr:uid="{00000000-0004-0000-4D00-000003000000}"/>
    <hyperlink ref="B177" r:id="rId5" xr:uid="{00000000-0004-0000-4D00-000004000000}"/>
    <hyperlink ref="B208" r:id="rId6" xr:uid="{00000000-0004-0000-4D00-000005000000}"/>
    <hyperlink ref="B239" r:id="rId7" xr:uid="{00000000-0004-0000-4D00-000006000000}"/>
    <hyperlink ref="M1" location="'MASTER '!A1" display="Back" xr:uid="{00000000-0004-0000-4D00-000007000000}"/>
    <hyperlink ref="M8:M9" location="'SEP 2019'!A108" display="NIFTY FUTURE" xr:uid="{00000000-0004-0000-4D00-000008000000}"/>
    <hyperlink ref="M10:M11" location="'SEP 2019'!A139" display="NF. OPTION" xr:uid="{00000000-0004-0000-4D00-000009000000}"/>
    <hyperlink ref="M12:M13" location="'SEP 2019'!A170" display="BANK NIFTY" xr:uid="{00000000-0004-0000-4D00-00000A000000}"/>
    <hyperlink ref="M14:M15" location="'SEP 2019'!A201" display="B.NIFTY OPTION" xr:uid="{00000000-0004-0000-4D00-00000B000000}"/>
    <hyperlink ref="M16:M17" location="'SEP 2019'!A232" display="STOCK OPTION" xr:uid="{00000000-0004-0000-4D00-00000C000000}"/>
    <hyperlink ref="M6:M7" location="'SEP 2019'!A77" display="STOCK FUTURE" xr:uid="{00000000-0004-0000-4D00-00000D000000}"/>
    <hyperlink ref="M4:M5" location="'SEP 2019'!A1" display="CASH" xr:uid="{00000000-0004-0000-4D00-00000E000000}"/>
  </hyperlinks>
  <pageMargins left="0" right="0" top="0" bottom="0" header="0" footer="0"/>
  <pageSetup scale="95" orientation="portrait" r:id="rId8"/>
  <drawing r:id="rId9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W240"/>
  <sheetViews>
    <sheetView workbookViewId="0"/>
  </sheetViews>
  <sheetFormatPr defaultColWidth="9.109375" defaultRowHeight="14.4" x14ac:dyDescent="0.3"/>
  <cols>
    <col min="1" max="1" width="7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" style="236" customWidth="1"/>
    <col min="11" max="11" width="7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2823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30</v>
      </c>
      <c r="O4" s="354">
        <f>V52</f>
        <v>25</v>
      </c>
      <c r="P4" s="354">
        <f>W52</f>
        <v>5</v>
      </c>
      <c r="Q4" s="355">
        <f>N4-O4-P4</f>
        <v>0</v>
      </c>
      <c r="R4" s="314">
        <f>O4/N4</f>
        <v>0.83333333333333337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43739</v>
      </c>
      <c r="D6" s="158" t="s">
        <v>9</v>
      </c>
      <c r="E6" s="158" t="s">
        <v>129</v>
      </c>
      <c r="F6" s="230">
        <v>1990</v>
      </c>
      <c r="G6" s="222">
        <v>2010</v>
      </c>
      <c r="H6" s="222">
        <v>20</v>
      </c>
      <c r="I6" s="204">
        <f>300000/F6</f>
        <v>150.7537688442211</v>
      </c>
      <c r="J6" s="241">
        <f>H6*I6</f>
        <v>3015.075376884422</v>
      </c>
      <c r="K6" s="153"/>
      <c r="M6" s="389" t="s">
        <v>450</v>
      </c>
      <c r="N6" s="343">
        <f>COUNT(C60:C83)</f>
        <v>16</v>
      </c>
      <c r="O6" s="345">
        <f>V84</f>
        <v>14</v>
      </c>
      <c r="P6" s="345">
        <f>W84</f>
        <v>2</v>
      </c>
      <c r="Q6" s="347">
        <f>N6-O6-P6</f>
        <v>0</v>
      </c>
      <c r="R6" s="340">
        <f t="shared" ref="R6" si="0">O6/N6</f>
        <v>0.875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43739</v>
      </c>
      <c r="D7" s="161" t="s">
        <v>8</v>
      </c>
      <c r="E7" s="161" t="s">
        <v>78</v>
      </c>
      <c r="F7" s="222">
        <v>1472</v>
      </c>
      <c r="G7" s="231">
        <v>1460</v>
      </c>
      <c r="H7" s="234">
        <v>12</v>
      </c>
      <c r="I7" s="207">
        <f t="shared" ref="I7" si="1">300000/F7</f>
        <v>203.80434782608697</v>
      </c>
      <c r="J7" s="242">
        <f t="shared" ref="J7" si="2">H7*I7</f>
        <v>2445.6521739130435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43741</v>
      </c>
      <c r="D8" s="161" t="s">
        <v>9</v>
      </c>
      <c r="E8" s="161" t="s">
        <v>31</v>
      </c>
      <c r="F8" s="222">
        <v>1305</v>
      </c>
      <c r="G8" s="222">
        <v>1312</v>
      </c>
      <c r="H8" s="222">
        <v>7</v>
      </c>
      <c r="I8" s="207">
        <f t="shared" ref="I8:I35" si="6">300000/F8</f>
        <v>229.88505747126436</v>
      </c>
      <c r="J8" s="242">
        <f t="shared" ref="J8:J35" si="7">H8*I8</f>
        <v>1609.1954022988505</v>
      </c>
      <c r="K8" s="153"/>
      <c r="M8" s="389" t="s">
        <v>451</v>
      </c>
      <c r="N8" s="343">
        <f>COUNT(C92:C114)</f>
        <v>16</v>
      </c>
      <c r="O8" s="345">
        <f>V115</f>
        <v>8</v>
      </c>
      <c r="P8" s="345">
        <f>W115</f>
        <v>8</v>
      </c>
      <c r="Q8" s="347">
        <f>N8-O8-P8</f>
        <v>0</v>
      </c>
      <c r="R8" s="340">
        <f t="shared" ref="R8" si="8">O8/N8</f>
        <v>0.5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43741</v>
      </c>
      <c r="D9" s="161" t="s">
        <v>8</v>
      </c>
      <c r="E9" s="161" t="s">
        <v>129</v>
      </c>
      <c r="F9" s="222">
        <v>1970</v>
      </c>
      <c r="G9" s="222">
        <v>1951.25</v>
      </c>
      <c r="H9" s="222">
        <v>18.75</v>
      </c>
      <c r="I9" s="207">
        <f t="shared" si="6"/>
        <v>152.28426395939087</v>
      </c>
      <c r="J9" s="242">
        <f t="shared" si="7"/>
        <v>2855.3299492385786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43742</v>
      </c>
      <c r="D10" s="161" t="s">
        <v>9</v>
      </c>
      <c r="E10" s="161" t="s">
        <v>31</v>
      </c>
      <c r="F10" s="222">
        <v>1325</v>
      </c>
      <c r="G10" s="222">
        <v>1315</v>
      </c>
      <c r="H10" s="222">
        <v>-10</v>
      </c>
      <c r="I10" s="207">
        <f t="shared" si="6"/>
        <v>226.41509433962264</v>
      </c>
      <c r="J10" s="242">
        <f t="shared" si="7"/>
        <v>-2264.1509433962265</v>
      </c>
      <c r="K10" s="153"/>
      <c r="M10" s="389" t="s">
        <v>1176</v>
      </c>
      <c r="N10" s="343">
        <f>COUNT(C123:C145)</f>
        <v>16</v>
      </c>
      <c r="O10" s="345">
        <f>V146</f>
        <v>9</v>
      </c>
      <c r="P10" s="345">
        <f>W146</f>
        <v>7</v>
      </c>
      <c r="Q10" s="347">
        <f>N10-O10-P10</f>
        <v>0</v>
      </c>
      <c r="R10" s="340">
        <f t="shared" ref="R10:R16" si="9">O10/N10</f>
        <v>0.5625</v>
      </c>
      <c r="V10" s="25">
        <f t="shared" si="3"/>
        <v>0</v>
      </c>
      <c r="W10" s="25">
        <f t="shared" si="4"/>
        <v>1</v>
      </c>
    </row>
    <row r="11" spans="1:23" x14ac:dyDescent="0.3">
      <c r="A11" s="147"/>
      <c r="B11" s="205">
        <f t="shared" si="5"/>
        <v>6</v>
      </c>
      <c r="C11" s="206">
        <v>43742</v>
      </c>
      <c r="D11" s="161" t="s">
        <v>8</v>
      </c>
      <c r="E11" s="161" t="s">
        <v>800</v>
      </c>
      <c r="F11" s="222">
        <v>1297</v>
      </c>
      <c r="G11" s="222">
        <v>1270</v>
      </c>
      <c r="H11" s="255">
        <v>27</v>
      </c>
      <c r="I11" s="207">
        <f t="shared" si="6"/>
        <v>231.30300693909021</v>
      </c>
      <c r="J11" s="242">
        <f t="shared" si="7"/>
        <v>6245.1811873554361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43745</v>
      </c>
      <c r="D12" s="161" t="s">
        <v>9</v>
      </c>
      <c r="E12" s="161" t="s">
        <v>796</v>
      </c>
      <c r="F12" s="222">
        <v>1420</v>
      </c>
      <c r="G12" s="222">
        <v>1429</v>
      </c>
      <c r="H12" s="222">
        <v>9</v>
      </c>
      <c r="I12" s="207">
        <f t="shared" si="6"/>
        <v>211.26760563380282</v>
      </c>
      <c r="J12" s="242">
        <f t="shared" si="7"/>
        <v>1901.4084507042253</v>
      </c>
      <c r="K12" s="153"/>
      <c r="M12" s="389" t="s">
        <v>41</v>
      </c>
      <c r="N12" s="343">
        <f>COUNT(C154:C176)</f>
        <v>16</v>
      </c>
      <c r="O12" s="345">
        <f>V177</f>
        <v>12</v>
      </c>
      <c r="P12" s="345">
        <f>W177</f>
        <v>4</v>
      </c>
      <c r="Q12" s="347">
        <f t="shared" ref="Q12" si="10">N12-O12-P12</f>
        <v>0</v>
      </c>
      <c r="R12" s="340">
        <f t="shared" si="9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43745</v>
      </c>
      <c r="D13" s="161" t="s">
        <v>8</v>
      </c>
      <c r="E13" s="161" t="s">
        <v>58</v>
      </c>
      <c r="F13" s="222">
        <v>662</v>
      </c>
      <c r="G13" s="222">
        <v>659.2</v>
      </c>
      <c r="H13" s="255">
        <v>2.8</v>
      </c>
      <c r="I13" s="207">
        <f t="shared" si="6"/>
        <v>453.17220543806644</v>
      </c>
      <c r="J13" s="242">
        <f t="shared" si="7"/>
        <v>1268.882175226586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43747</v>
      </c>
      <c r="D14" s="161" t="s">
        <v>9</v>
      </c>
      <c r="E14" s="161" t="s">
        <v>78</v>
      </c>
      <c r="F14" s="222">
        <v>1414</v>
      </c>
      <c r="G14" s="222">
        <v>1427.5</v>
      </c>
      <c r="H14" s="222">
        <v>13.5</v>
      </c>
      <c r="I14" s="207">
        <f t="shared" si="6"/>
        <v>212.16407355021215</v>
      </c>
      <c r="J14" s="242">
        <f t="shared" si="7"/>
        <v>2864.2149929278639</v>
      </c>
      <c r="K14" s="153"/>
      <c r="M14" s="389" t="s">
        <v>1175</v>
      </c>
      <c r="N14" s="343">
        <f>COUNT(C185:C207)</f>
        <v>16</v>
      </c>
      <c r="O14" s="345">
        <f>V208</f>
        <v>11</v>
      </c>
      <c r="P14" s="345">
        <f>W208</f>
        <v>5</v>
      </c>
      <c r="Q14" s="347">
        <f t="shared" ref="Q14" si="11">N14-O14-P14</f>
        <v>0</v>
      </c>
      <c r="R14" s="340">
        <f t="shared" si="9"/>
        <v>0.6875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43747</v>
      </c>
      <c r="D15" s="161" t="s">
        <v>8</v>
      </c>
      <c r="E15" s="161" t="s">
        <v>31</v>
      </c>
      <c r="F15" s="222">
        <v>1300</v>
      </c>
      <c r="G15" s="222">
        <v>1310</v>
      </c>
      <c r="H15" s="222">
        <v>-10</v>
      </c>
      <c r="I15" s="207">
        <f t="shared" si="6"/>
        <v>230.76923076923077</v>
      </c>
      <c r="J15" s="242">
        <f t="shared" si="7"/>
        <v>-2307.6923076923076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43748</v>
      </c>
      <c r="D16" s="161" t="s">
        <v>9</v>
      </c>
      <c r="E16" s="161" t="s">
        <v>78</v>
      </c>
      <c r="F16" s="222">
        <v>1422</v>
      </c>
      <c r="G16" s="222">
        <v>1432</v>
      </c>
      <c r="H16" s="222">
        <v>10</v>
      </c>
      <c r="I16" s="207">
        <f t="shared" si="6"/>
        <v>210.9704641350211</v>
      </c>
      <c r="J16" s="242">
        <f t="shared" si="7"/>
        <v>2109.7046413502112</v>
      </c>
      <c r="K16" s="153"/>
      <c r="L16" s="25" t="s">
        <v>2008</v>
      </c>
      <c r="M16" s="389" t="s">
        <v>1090</v>
      </c>
      <c r="N16" s="343">
        <f>COUNT(C216:C238)</f>
        <v>16</v>
      </c>
      <c r="O16" s="345">
        <f>V239</f>
        <v>13</v>
      </c>
      <c r="P16" s="345">
        <f>W239</f>
        <v>3</v>
      </c>
      <c r="Q16" s="347">
        <f t="shared" ref="Q16" si="12">N16-O16-P16</f>
        <v>0</v>
      </c>
      <c r="R16" s="340">
        <f t="shared" si="9"/>
        <v>0.8125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43748</v>
      </c>
      <c r="D17" s="161" t="s">
        <v>8</v>
      </c>
      <c r="E17" s="161" t="s">
        <v>129</v>
      </c>
      <c r="F17" s="222">
        <v>1985</v>
      </c>
      <c r="G17" s="222">
        <v>1971</v>
      </c>
      <c r="H17" s="222">
        <v>14</v>
      </c>
      <c r="I17" s="207">
        <f t="shared" si="6"/>
        <v>151.13350125944584</v>
      </c>
      <c r="J17" s="242">
        <f t="shared" si="7"/>
        <v>2115.8690176322416</v>
      </c>
      <c r="K17" s="153"/>
      <c r="M17" s="390"/>
      <c r="N17" s="344"/>
      <c r="O17" s="346"/>
      <c r="P17" s="346"/>
      <c r="Q17" s="348"/>
      <c r="R17" s="340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43749</v>
      </c>
      <c r="D18" s="161" t="s">
        <v>8</v>
      </c>
      <c r="E18" s="161" t="s">
        <v>31</v>
      </c>
      <c r="F18" s="222">
        <v>1356</v>
      </c>
      <c r="G18" s="222">
        <v>1338</v>
      </c>
      <c r="H18" s="222">
        <v>18</v>
      </c>
      <c r="I18" s="207">
        <f t="shared" si="6"/>
        <v>221.23893805309734</v>
      </c>
      <c r="J18" s="242">
        <f t="shared" si="7"/>
        <v>3982.3008849557523</v>
      </c>
      <c r="K18" s="153"/>
      <c r="M18" s="334" t="s">
        <v>946</v>
      </c>
      <c r="N18" s="336">
        <f>SUM(N4:N17)</f>
        <v>126</v>
      </c>
      <c r="O18" s="336">
        <f t="shared" ref="O18:Q18" si="13">SUM(O4:O17)</f>
        <v>92</v>
      </c>
      <c r="P18" s="336">
        <f t="shared" si="13"/>
        <v>34</v>
      </c>
      <c r="Q18" s="338">
        <f t="shared" si="13"/>
        <v>0</v>
      </c>
      <c r="R18" s="314">
        <f t="shared" ref="R18" si="14">O18/N18</f>
        <v>0.73015873015873012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43752</v>
      </c>
      <c r="D19" s="161" t="s">
        <v>9</v>
      </c>
      <c r="E19" s="161" t="s">
        <v>586</v>
      </c>
      <c r="F19" s="222">
        <v>700</v>
      </c>
      <c r="G19" s="222">
        <v>707</v>
      </c>
      <c r="H19" s="222">
        <v>7</v>
      </c>
      <c r="I19" s="207">
        <f t="shared" si="6"/>
        <v>428.57142857142856</v>
      </c>
      <c r="J19" s="242">
        <f t="shared" si="7"/>
        <v>3000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43752</v>
      </c>
      <c r="D20" s="161" t="s">
        <v>8</v>
      </c>
      <c r="E20" s="161" t="s">
        <v>129</v>
      </c>
      <c r="F20" s="222">
        <v>2008</v>
      </c>
      <c r="G20" s="222">
        <v>2028</v>
      </c>
      <c r="H20" s="222">
        <v>-20</v>
      </c>
      <c r="I20" s="207">
        <f t="shared" si="6"/>
        <v>149.40239043824701</v>
      </c>
      <c r="J20" s="242">
        <f t="shared" si="7"/>
        <v>-2988.0478087649403</v>
      </c>
      <c r="K20" s="153"/>
      <c r="M20" s="316" t="s">
        <v>2253</v>
      </c>
      <c r="N20" s="317"/>
      <c r="O20" s="318"/>
      <c r="P20" s="325">
        <f>R18</f>
        <v>0.73015873015873012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43753</v>
      </c>
      <c r="D21" s="161" t="s">
        <v>9</v>
      </c>
      <c r="E21" s="161" t="s">
        <v>31</v>
      </c>
      <c r="F21" s="222">
        <v>1362</v>
      </c>
      <c r="G21" s="222">
        <v>1367.5</v>
      </c>
      <c r="H21" s="222">
        <v>5.5</v>
      </c>
      <c r="I21" s="207">
        <f t="shared" si="6"/>
        <v>220.26431718061673</v>
      </c>
      <c r="J21" s="242">
        <f t="shared" si="7"/>
        <v>1211.4537444933919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43753</v>
      </c>
      <c r="D22" s="161" t="s">
        <v>8</v>
      </c>
      <c r="E22" s="161" t="s">
        <v>78</v>
      </c>
      <c r="F22" s="222">
        <v>1436</v>
      </c>
      <c r="G22" s="222">
        <v>1428</v>
      </c>
      <c r="H22" s="222">
        <v>8</v>
      </c>
      <c r="I22" s="207">
        <f t="shared" si="6"/>
        <v>208.91364902506965</v>
      </c>
      <c r="J22" s="242">
        <f t="shared" si="7"/>
        <v>1671.3091922005572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43754</v>
      </c>
      <c r="D23" s="161" t="s">
        <v>9</v>
      </c>
      <c r="E23" s="161" t="s">
        <v>1109</v>
      </c>
      <c r="F23" s="222">
        <v>887</v>
      </c>
      <c r="G23" s="222">
        <v>905</v>
      </c>
      <c r="H23" s="222">
        <v>18</v>
      </c>
      <c r="I23" s="207">
        <f t="shared" si="6"/>
        <v>338.2187147688839</v>
      </c>
      <c r="J23" s="242">
        <f t="shared" si="7"/>
        <v>6087.9368658399098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43754</v>
      </c>
      <c r="D24" s="161" t="s">
        <v>8</v>
      </c>
      <c r="E24" s="161" t="s">
        <v>78</v>
      </c>
      <c r="F24" s="222">
        <v>1423</v>
      </c>
      <c r="G24" s="222">
        <v>1417.5</v>
      </c>
      <c r="H24" s="222">
        <v>5.5</v>
      </c>
      <c r="I24" s="207">
        <f t="shared" si="6"/>
        <v>210.82220660576246</v>
      </c>
      <c r="J24" s="242">
        <f t="shared" si="7"/>
        <v>1159.5221363316934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43755</v>
      </c>
      <c r="D25" s="161" t="s">
        <v>9</v>
      </c>
      <c r="E25" s="161" t="s">
        <v>19</v>
      </c>
      <c r="F25" s="222">
        <v>257</v>
      </c>
      <c r="G25" s="222">
        <v>260</v>
      </c>
      <c r="H25" s="222">
        <v>3</v>
      </c>
      <c r="I25" s="207">
        <f t="shared" si="6"/>
        <v>1167.3151750972763</v>
      </c>
      <c r="J25" s="242">
        <f t="shared" si="7"/>
        <v>3501.9455252918287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43755</v>
      </c>
      <c r="D26" s="161" t="s">
        <v>8</v>
      </c>
      <c r="E26" s="161" t="s">
        <v>2563</v>
      </c>
      <c r="F26" s="222">
        <v>1705</v>
      </c>
      <c r="G26" s="222">
        <v>1695</v>
      </c>
      <c r="H26" s="222">
        <v>10</v>
      </c>
      <c r="I26" s="207">
        <f t="shared" si="6"/>
        <v>175.95307917888562</v>
      </c>
      <c r="J26" s="242">
        <f t="shared" si="7"/>
        <v>1759.5307917888563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43756</v>
      </c>
      <c r="D27" s="161" t="s">
        <v>9</v>
      </c>
      <c r="E27" s="161" t="s">
        <v>31</v>
      </c>
      <c r="F27" s="222">
        <v>1405</v>
      </c>
      <c r="G27" s="222">
        <v>1425</v>
      </c>
      <c r="H27" s="222">
        <v>20</v>
      </c>
      <c r="I27" s="207">
        <f t="shared" si="6"/>
        <v>213.52313167259786</v>
      </c>
      <c r="J27" s="242">
        <f t="shared" si="7"/>
        <v>4270.4626334519571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43760</v>
      </c>
      <c r="D28" s="161" t="s">
        <v>9</v>
      </c>
      <c r="E28" s="161" t="s">
        <v>19</v>
      </c>
      <c r="F28" s="222">
        <v>273</v>
      </c>
      <c r="G28" s="222">
        <v>275</v>
      </c>
      <c r="H28" s="222">
        <v>2</v>
      </c>
      <c r="I28" s="207">
        <f t="shared" si="6"/>
        <v>1098.901098901099</v>
      </c>
      <c r="J28" s="242">
        <f t="shared" si="7"/>
        <v>2197.802197802198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43760</v>
      </c>
      <c r="D29" s="161" t="s">
        <v>8</v>
      </c>
      <c r="E29" s="161" t="s">
        <v>129</v>
      </c>
      <c r="F29" s="222">
        <v>2105</v>
      </c>
      <c r="G29" s="222">
        <v>2122</v>
      </c>
      <c r="H29" s="222">
        <v>-17</v>
      </c>
      <c r="I29" s="207">
        <f t="shared" si="6"/>
        <v>142.51781472684087</v>
      </c>
      <c r="J29" s="242">
        <f t="shared" si="7"/>
        <v>-2422.8028503562946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43761</v>
      </c>
      <c r="D30" s="161" t="s">
        <v>9</v>
      </c>
      <c r="E30" s="161" t="s">
        <v>129</v>
      </c>
      <c r="F30" s="222">
        <v>2125</v>
      </c>
      <c r="G30" s="222">
        <v>2145</v>
      </c>
      <c r="H30" s="222">
        <v>20</v>
      </c>
      <c r="I30" s="207">
        <f t="shared" si="6"/>
        <v>141.1764705882353</v>
      </c>
      <c r="J30" s="242">
        <f t="shared" si="7"/>
        <v>2823.5294117647063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43761</v>
      </c>
      <c r="D31" s="161" t="s">
        <v>8</v>
      </c>
      <c r="E31" s="161" t="s">
        <v>31</v>
      </c>
      <c r="F31" s="222">
        <v>1410</v>
      </c>
      <c r="G31" s="222">
        <v>1390</v>
      </c>
      <c r="H31" s="222">
        <v>20</v>
      </c>
      <c r="I31" s="207">
        <f t="shared" si="6"/>
        <v>212.7659574468085</v>
      </c>
      <c r="J31" s="242">
        <f t="shared" si="7"/>
        <v>4255.3191489361698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43762</v>
      </c>
      <c r="D32" s="161" t="s">
        <v>9</v>
      </c>
      <c r="E32" s="161" t="s">
        <v>129</v>
      </c>
      <c r="F32" s="222">
        <v>2160</v>
      </c>
      <c r="G32" s="222">
        <v>2145</v>
      </c>
      <c r="H32" s="222">
        <v>-15</v>
      </c>
      <c r="I32" s="207">
        <f t="shared" si="6"/>
        <v>138.88888888888889</v>
      </c>
      <c r="J32" s="242">
        <f t="shared" si="7"/>
        <v>-2083.3333333333335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43762</v>
      </c>
      <c r="D33" s="161" t="s">
        <v>8</v>
      </c>
      <c r="E33" s="161" t="s">
        <v>98</v>
      </c>
      <c r="F33" s="222">
        <v>2695</v>
      </c>
      <c r="G33" s="222">
        <v>2655</v>
      </c>
      <c r="H33" s="222">
        <v>40</v>
      </c>
      <c r="I33" s="207">
        <f t="shared" si="6"/>
        <v>111.31725417439704</v>
      </c>
      <c r="J33" s="242">
        <f t="shared" si="7"/>
        <v>4452.6901669758818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43763</v>
      </c>
      <c r="D34" s="161" t="s">
        <v>9</v>
      </c>
      <c r="E34" s="161" t="s">
        <v>19</v>
      </c>
      <c r="F34" s="222">
        <v>268</v>
      </c>
      <c r="G34" s="222">
        <v>274</v>
      </c>
      <c r="H34" s="222">
        <v>6</v>
      </c>
      <c r="I34" s="207">
        <f t="shared" si="6"/>
        <v>1119.4029850746269</v>
      </c>
      <c r="J34" s="242">
        <f t="shared" si="7"/>
        <v>6716.4179104477616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43763</v>
      </c>
      <c r="D35" s="161" t="s">
        <v>8</v>
      </c>
      <c r="E35" s="161" t="s">
        <v>129</v>
      </c>
      <c r="F35" s="222">
        <v>2122</v>
      </c>
      <c r="G35" s="222">
        <v>2094.1999999999998</v>
      </c>
      <c r="H35" s="222">
        <v>27.8</v>
      </c>
      <c r="I35" s="207">
        <f t="shared" si="6"/>
        <v>141.37606032045241</v>
      </c>
      <c r="J35" s="242">
        <f t="shared" si="7"/>
        <v>3930.2544769085771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/>
      <c r="D36" s="161"/>
      <c r="E36" s="161"/>
      <c r="F36" s="222"/>
      <c r="G36" s="222"/>
      <c r="H36" s="222"/>
      <c r="I36" s="207"/>
      <c r="J36" s="242"/>
      <c r="K36" s="153"/>
      <c r="V36" s="25">
        <f t="shared" si="3"/>
        <v>0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/>
      <c r="D37" s="161"/>
      <c r="E37" s="161"/>
      <c r="F37" s="222"/>
      <c r="G37" s="222"/>
      <c r="H37" s="222"/>
      <c r="I37" s="207"/>
      <c r="J37" s="242"/>
      <c r="K37" s="153"/>
      <c r="V37" s="25">
        <f t="shared" si="3"/>
        <v>0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/>
      <c r="D38" s="161"/>
      <c r="E38" s="161"/>
      <c r="F38" s="222"/>
      <c r="G38" s="222"/>
      <c r="H38" s="222"/>
      <c r="I38" s="207"/>
      <c r="J38" s="242"/>
      <c r="K38" s="153"/>
      <c r="V38" s="25">
        <f t="shared" si="3"/>
        <v>0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65384.961211177593</v>
      </c>
      <c r="K52" s="153"/>
      <c r="V52" s="25">
        <f>SUM(V6:V51)</f>
        <v>25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2824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43739</v>
      </c>
      <c r="D60" s="158" t="s">
        <v>8</v>
      </c>
      <c r="E60" s="158" t="s">
        <v>129</v>
      </c>
      <c r="F60" s="230">
        <v>2038</v>
      </c>
      <c r="G60" s="230">
        <v>1998</v>
      </c>
      <c r="H60" s="230">
        <v>40</v>
      </c>
      <c r="I60" s="204">
        <v>500</v>
      </c>
      <c r="J60" s="241">
        <f t="shared" ref="J60:J83" si="15">I60*H60</f>
        <v>20000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43741</v>
      </c>
      <c r="D61" s="161" t="s">
        <v>8</v>
      </c>
      <c r="E61" s="161" t="s">
        <v>129</v>
      </c>
      <c r="F61" s="207">
        <v>1985</v>
      </c>
      <c r="G61" s="222">
        <v>1965</v>
      </c>
      <c r="H61" s="222">
        <v>20</v>
      </c>
      <c r="I61" s="207">
        <v>500</v>
      </c>
      <c r="J61" s="242">
        <f t="shared" si="15"/>
        <v>10000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43742</v>
      </c>
      <c r="D62" s="161" t="s">
        <v>9</v>
      </c>
      <c r="E62" s="161" t="s">
        <v>95</v>
      </c>
      <c r="F62" s="222">
        <v>430</v>
      </c>
      <c r="G62" s="222">
        <v>426</v>
      </c>
      <c r="H62" s="222">
        <v>-4</v>
      </c>
      <c r="I62" s="207">
        <v>1375</v>
      </c>
      <c r="J62" s="242">
        <f t="shared" si="15"/>
        <v>-5500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43745</v>
      </c>
      <c r="D63" s="161" t="s">
        <v>8</v>
      </c>
      <c r="E63" s="161" t="s">
        <v>31</v>
      </c>
      <c r="F63" s="222">
        <v>1318</v>
      </c>
      <c r="G63" s="222">
        <v>1311</v>
      </c>
      <c r="H63" s="222">
        <v>7</v>
      </c>
      <c r="I63" s="207">
        <v>500</v>
      </c>
      <c r="J63" s="242">
        <f t="shared" si="15"/>
        <v>3500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43747</v>
      </c>
      <c r="D64" s="161" t="s">
        <v>9</v>
      </c>
      <c r="E64" s="161" t="s">
        <v>129</v>
      </c>
      <c r="F64" s="222">
        <v>1980</v>
      </c>
      <c r="G64" s="222">
        <v>2010</v>
      </c>
      <c r="H64" s="222">
        <v>30</v>
      </c>
      <c r="I64" s="207">
        <v>500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43748</v>
      </c>
      <c r="D65" s="161" t="s">
        <v>8</v>
      </c>
      <c r="E65" s="161" t="s">
        <v>129</v>
      </c>
      <c r="F65" s="207">
        <v>1990</v>
      </c>
      <c r="G65" s="222">
        <v>1975</v>
      </c>
      <c r="H65" s="222">
        <v>15</v>
      </c>
      <c r="I65" s="207">
        <v>500</v>
      </c>
      <c r="J65" s="242">
        <f t="shared" si="15"/>
        <v>7500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43749</v>
      </c>
      <c r="D66" s="161" t="s">
        <v>8</v>
      </c>
      <c r="E66" s="161" t="s">
        <v>129</v>
      </c>
      <c r="F66" s="207">
        <v>2020</v>
      </c>
      <c r="G66" s="222">
        <v>1996</v>
      </c>
      <c r="H66" s="222">
        <v>24</v>
      </c>
      <c r="I66" s="207">
        <v>500</v>
      </c>
      <c r="J66" s="242">
        <f t="shared" si="15"/>
        <v>12000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43752</v>
      </c>
      <c r="D67" s="161" t="s">
        <v>8</v>
      </c>
      <c r="E67" s="161" t="s">
        <v>129</v>
      </c>
      <c r="F67" s="222">
        <v>2013</v>
      </c>
      <c r="G67" s="222">
        <v>2028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43753</v>
      </c>
      <c r="D68" s="161" t="s">
        <v>8</v>
      </c>
      <c r="E68" s="161" t="s">
        <v>129</v>
      </c>
      <c r="F68" s="222">
        <v>2025</v>
      </c>
      <c r="G68" s="222">
        <v>2019.5</v>
      </c>
      <c r="H68" s="222">
        <v>5.5</v>
      </c>
      <c r="I68" s="207">
        <v>500</v>
      </c>
      <c r="J68" s="242">
        <f t="shared" si="15"/>
        <v>2750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43754</v>
      </c>
      <c r="D69" s="161" t="s">
        <v>9</v>
      </c>
      <c r="E69" s="161" t="s">
        <v>95</v>
      </c>
      <c r="F69" s="222">
        <v>438</v>
      </c>
      <c r="G69" s="222">
        <v>439.6</v>
      </c>
      <c r="H69" s="222">
        <v>1.6</v>
      </c>
      <c r="I69" s="207">
        <v>1375</v>
      </c>
      <c r="J69" s="242">
        <f t="shared" si="15"/>
        <v>2200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43755</v>
      </c>
      <c r="D70" s="161" t="s">
        <v>9</v>
      </c>
      <c r="E70" s="161" t="s">
        <v>95</v>
      </c>
      <c r="F70" s="161">
        <v>436</v>
      </c>
      <c r="G70" s="222">
        <v>440</v>
      </c>
      <c r="H70" s="222">
        <v>4</v>
      </c>
      <c r="I70" s="207">
        <v>1375</v>
      </c>
      <c r="J70" s="242">
        <f t="shared" si="15"/>
        <v>5500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43756</v>
      </c>
      <c r="D71" s="161" t="s">
        <v>9</v>
      </c>
      <c r="E71" s="161" t="s">
        <v>95</v>
      </c>
      <c r="F71" s="222">
        <v>438</v>
      </c>
      <c r="G71" s="222">
        <v>443.3</v>
      </c>
      <c r="H71" s="222">
        <v>5.3</v>
      </c>
      <c r="I71" s="207">
        <v>1375</v>
      </c>
      <c r="J71" s="242">
        <f t="shared" si="15"/>
        <v>7287.5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43760</v>
      </c>
      <c r="D72" s="161" t="s">
        <v>9</v>
      </c>
      <c r="E72" s="161" t="s">
        <v>78</v>
      </c>
      <c r="F72" s="222">
        <v>1465</v>
      </c>
      <c r="G72" s="222">
        <v>1470</v>
      </c>
      <c r="H72" s="222">
        <v>5</v>
      </c>
      <c r="I72" s="207">
        <v>375</v>
      </c>
      <c r="J72" s="242">
        <f t="shared" si="15"/>
        <v>1875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43761</v>
      </c>
      <c r="D73" s="161" t="s">
        <v>9</v>
      </c>
      <c r="E73" s="161" t="s">
        <v>95</v>
      </c>
      <c r="F73" s="223">
        <v>452</v>
      </c>
      <c r="G73" s="222">
        <v>457.5</v>
      </c>
      <c r="H73" s="255">
        <v>5.5</v>
      </c>
      <c r="I73" s="207">
        <v>1375</v>
      </c>
      <c r="J73" s="242">
        <f t="shared" si="15"/>
        <v>7562.5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43762</v>
      </c>
      <c r="D74" s="161" t="s">
        <v>9</v>
      </c>
      <c r="E74" s="161" t="s">
        <v>95</v>
      </c>
      <c r="F74" s="222">
        <v>453.5</v>
      </c>
      <c r="G74" s="222">
        <v>457.5</v>
      </c>
      <c r="H74" s="255">
        <v>4</v>
      </c>
      <c r="I74" s="207">
        <v>1375</v>
      </c>
      <c r="J74" s="242">
        <f t="shared" si="15"/>
        <v>5500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43763</v>
      </c>
      <c r="D75" s="161" t="s">
        <v>9</v>
      </c>
      <c r="E75" s="161" t="s">
        <v>95</v>
      </c>
      <c r="F75" s="222">
        <v>462</v>
      </c>
      <c r="G75" s="222">
        <v>467.7</v>
      </c>
      <c r="H75" s="222">
        <v>5.7</v>
      </c>
      <c r="I75" s="207">
        <v>1375</v>
      </c>
      <c r="J75" s="242">
        <f t="shared" si="15"/>
        <v>7837.5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/>
      <c r="D76" s="161"/>
      <c r="E76" s="161"/>
      <c r="F76" s="222"/>
      <c r="G76" s="222"/>
      <c r="H76" s="222"/>
      <c r="I76" s="207"/>
      <c r="J76" s="242">
        <f t="shared" si="15"/>
        <v>0</v>
      </c>
      <c r="K76" s="153"/>
      <c r="V76" s="25">
        <f t="shared" si="16"/>
        <v>0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/>
      <c r="D77" s="161"/>
      <c r="E77" s="161"/>
      <c r="F77" s="222"/>
      <c r="G77" s="222"/>
      <c r="H77" s="222"/>
      <c r="I77" s="207"/>
      <c r="J77" s="242">
        <f t="shared" si="15"/>
        <v>0</v>
      </c>
      <c r="K77" s="153"/>
      <c r="V77" s="25">
        <f t="shared" si="16"/>
        <v>0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95512.5</v>
      </c>
      <c r="K84" s="153"/>
      <c r="V84" s="25">
        <f>SUM(V60:V83)</f>
        <v>14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2825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43739</v>
      </c>
      <c r="D92" s="185" t="s">
        <v>8</v>
      </c>
      <c r="E92" s="185" t="s">
        <v>39</v>
      </c>
      <c r="F92" s="219">
        <v>11570</v>
      </c>
      <c r="G92" s="219">
        <v>11510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43741</v>
      </c>
      <c r="D93" s="161" t="s">
        <v>8</v>
      </c>
      <c r="E93" s="161" t="s">
        <v>39</v>
      </c>
      <c r="F93" s="207">
        <v>11350</v>
      </c>
      <c r="G93" s="207">
        <v>11380</v>
      </c>
      <c r="H93" s="161">
        <v>-30</v>
      </c>
      <c r="I93" s="207">
        <v>150</v>
      </c>
      <c r="J93" s="242">
        <f t="shared" si="19"/>
        <v>-4500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43742</v>
      </c>
      <c r="D94" s="161" t="s">
        <v>8</v>
      </c>
      <c r="E94" s="161" t="s">
        <v>39</v>
      </c>
      <c r="F94" s="207">
        <v>11410</v>
      </c>
      <c r="G94" s="207">
        <v>11350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43745</v>
      </c>
      <c r="D95" s="161" t="s">
        <v>8</v>
      </c>
      <c r="E95" s="161" t="s">
        <v>39</v>
      </c>
      <c r="F95" s="207">
        <v>11210</v>
      </c>
      <c r="G95" s="207">
        <v>11240</v>
      </c>
      <c r="H95" s="161">
        <v>-30</v>
      </c>
      <c r="I95" s="207">
        <v>150</v>
      </c>
      <c r="J95" s="242">
        <f t="shared" si="19"/>
        <v>-4500</v>
      </c>
      <c r="K95" s="153"/>
      <c r="V95" s="25">
        <f t="shared" si="20"/>
        <v>0</v>
      </c>
      <c r="W95" s="25">
        <f t="shared" si="21"/>
        <v>1</v>
      </c>
    </row>
    <row r="96" spans="1:23" x14ac:dyDescent="0.3">
      <c r="A96" s="147"/>
      <c r="B96" s="205">
        <f t="shared" si="22"/>
        <v>5</v>
      </c>
      <c r="C96" s="206">
        <v>43747</v>
      </c>
      <c r="D96" s="161" t="s">
        <v>8</v>
      </c>
      <c r="E96" s="161" t="s">
        <v>39</v>
      </c>
      <c r="F96" s="207">
        <v>11130</v>
      </c>
      <c r="G96" s="207">
        <v>11160</v>
      </c>
      <c r="H96" s="161">
        <v>-30</v>
      </c>
      <c r="I96" s="207">
        <v>150</v>
      </c>
      <c r="J96" s="242">
        <f t="shared" si="19"/>
        <v>-4500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43748</v>
      </c>
      <c r="D97" s="161" t="s">
        <v>8</v>
      </c>
      <c r="E97" s="161" t="s">
        <v>39</v>
      </c>
      <c r="F97" s="207">
        <v>11260</v>
      </c>
      <c r="G97" s="207">
        <v>11220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43749</v>
      </c>
      <c r="D98" s="161" t="s">
        <v>8</v>
      </c>
      <c r="E98" s="161" t="s">
        <v>39</v>
      </c>
      <c r="F98" s="207">
        <v>11250</v>
      </c>
      <c r="G98" s="207">
        <v>11280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43752</v>
      </c>
      <c r="D99" s="161" t="s">
        <v>8</v>
      </c>
      <c r="E99" s="161" t="s">
        <v>39</v>
      </c>
      <c r="F99" s="207">
        <v>11380</v>
      </c>
      <c r="G99" s="207">
        <v>11355</v>
      </c>
      <c r="H99" s="161">
        <v>25</v>
      </c>
      <c r="I99" s="207">
        <v>150</v>
      </c>
      <c r="J99" s="242">
        <f t="shared" si="19"/>
        <v>3750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43753</v>
      </c>
      <c r="D100" s="161" t="s">
        <v>8</v>
      </c>
      <c r="E100" s="161" t="s">
        <v>39</v>
      </c>
      <c r="F100" s="207">
        <v>11400</v>
      </c>
      <c r="G100" s="207">
        <v>11385</v>
      </c>
      <c r="H100" s="161">
        <v>15</v>
      </c>
      <c r="I100" s="207">
        <v>150</v>
      </c>
      <c r="J100" s="242">
        <f t="shared" si="19"/>
        <v>2250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43754</v>
      </c>
      <c r="D101" s="161" t="s">
        <v>9</v>
      </c>
      <c r="E101" s="161" t="s">
        <v>39</v>
      </c>
      <c r="F101" s="207">
        <v>11460</v>
      </c>
      <c r="G101" s="207">
        <v>11430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43755</v>
      </c>
      <c r="D102" s="161" t="s">
        <v>9</v>
      </c>
      <c r="E102" s="161" t="s">
        <v>39</v>
      </c>
      <c r="F102" s="207">
        <v>11480</v>
      </c>
      <c r="G102" s="207">
        <v>11473</v>
      </c>
      <c r="H102" s="161">
        <v>-7</v>
      </c>
      <c r="I102" s="207">
        <v>150</v>
      </c>
      <c r="J102" s="242">
        <f t="shared" si="19"/>
        <v>-1050</v>
      </c>
      <c r="K102" s="153"/>
      <c r="V102" s="25">
        <f t="shared" si="20"/>
        <v>0</v>
      </c>
      <c r="W102" s="25">
        <f t="shared" si="21"/>
        <v>1</v>
      </c>
    </row>
    <row r="103" spans="1:23" x14ac:dyDescent="0.3">
      <c r="A103" s="147"/>
      <c r="B103" s="205">
        <f t="shared" si="22"/>
        <v>12</v>
      </c>
      <c r="C103" s="206">
        <v>43756</v>
      </c>
      <c r="D103" s="161" t="s">
        <v>9</v>
      </c>
      <c r="E103" s="161" t="s">
        <v>39</v>
      </c>
      <c r="F103" s="207">
        <v>11645</v>
      </c>
      <c r="G103" s="207">
        <v>11685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43760</v>
      </c>
      <c r="D104" s="161" t="s">
        <v>8</v>
      </c>
      <c r="E104" s="161" t="s">
        <v>39</v>
      </c>
      <c r="F104" s="207">
        <v>11655</v>
      </c>
      <c r="G104" s="207">
        <v>11685</v>
      </c>
      <c r="H104" s="161">
        <v>-30</v>
      </c>
      <c r="I104" s="207">
        <v>150</v>
      </c>
      <c r="J104" s="242">
        <f t="shared" si="19"/>
        <v>-4500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43761</v>
      </c>
      <c r="D105" s="161" t="s">
        <v>9</v>
      </c>
      <c r="E105" s="161" t="s">
        <v>39</v>
      </c>
      <c r="F105" s="207">
        <v>11670</v>
      </c>
      <c r="G105" s="207">
        <v>11683</v>
      </c>
      <c r="H105" s="161">
        <v>13</v>
      </c>
      <c r="I105" s="207">
        <v>150</v>
      </c>
      <c r="J105" s="242">
        <f t="shared" si="19"/>
        <v>1950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43762</v>
      </c>
      <c r="D106" s="161" t="s">
        <v>9</v>
      </c>
      <c r="E106" s="161" t="s">
        <v>39</v>
      </c>
      <c r="F106" s="207">
        <v>11610</v>
      </c>
      <c r="G106" s="207">
        <v>11640</v>
      </c>
      <c r="H106" s="161">
        <v>30</v>
      </c>
      <c r="I106" s="207">
        <v>150</v>
      </c>
      <c r="J106" s="242">
        <f t="shared" si="19"/>
        <v>4500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43763</v>
      </c>
      <c r="D107" s="161" t="s">
        <v>9</v>
      </c>
      <c r="E107" s="161" t="s">
        <v>39</v>
      </c>
      <c r="F107" s="207">
        <v>11600</v>
      </c>
      <c r="G107" s="207">
        <v>11570</v>
      </c>
      <c r="H107" s="161">
        <v>-30</v>
      </c>
      <c r="I107" s="207">
        <v>150</v>
      </c>
      <c r="J107" s="242">
        <f t="shared" si="19"/>
        <v>-4500</v>
      </c>
      <c r="K107" s="153"/>
      <c r="V107" s="25">
        <f t="shared" si="20"/>
        <v>0</v>
      </c>
      <c r="W107" s="25">
        <f t="shared" si="21"/>
        <v>1</v>
      </c>
    </row>
    <row r="108" spans="1:23" x14ac:dyDescent="0.3">
      <c r="A108" s="147"/>
      <c r="B108" s="205">
        <f t="shared" si="22"/>
        <v>17</v>
      </c>
      <c r="C108" s="206"/>
      <c r="D108" s="161"/>
      <c r="E108" s="161"/>
      <c r="F108" s="207"/>
      <c r="G108" s="207"/>
      <c r="H108" s="161"/>
      <c r="I108" s="207"/>
      <c r="J108" s="242">
        <f t="shared" si="19"/>
        <v>0</v>
      </c>
      <c r="K108" s="153"/>
      <c r="V108" s="25">
        <f t="shared" si="20"/>
        <v>0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9900</v>
      </c>
      <c r="K115" s="153"/>
      <c r="V115" s="25">
        <f>SUM(V92:V114)</f>
        <v>8</v>
      </c>
      <c r="W115" s="25">
        <f>SUM(W92:W114)</f>
        <v>8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2823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43739</v>
      </c>
      <c r="D123" s="185" t="s">
        <v>9</v>
      </c>
      <c r="E123" s="185" t="s">
        <v>2571</v>
      </c>
      <c r="F123" s="219">
        <v>100</v>
      </c>
      <c r="G123" s="219">
        <v>140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43741</v>
      </c>
      <c r="D124" s="161" t="s">
        <v>9</v>
      </c>
      <c r="E124" s="161" t="s">
        <v>2776</v>
      </c>
      <c r="F124" s="207">
        <v>120</v>
      </c>
      <c r="G124" s="207">
        <v>160</v>
      </c>
      <c r="H124" s="161">
        <v>40</v>
      </c>
      <c r="I124" s="207">
        <v>300</v>
      </c>
      <c r="J124" s="242">
        <f t="shared" si="23"/>
        <v>12000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43742</v>
      </c>
      <c r="D125" s="161" t="s">
        <v>9</v>
      </c>
      <c r="E125" s="161" t="s">
        <v>2780</v>
      </c>
      <c r="F125" s="207">
        <v>130</v>
      </c>
      <c r="G125" s="207">
        <v>110</v>
      </c>
      <c r="H125" s="161">
        <v>-20</v>
      </c>
      <c r="I125" s="207">
        <v>300</v>
      </c>
      <c r="J125" s="242">
        <f t="shared" si="23"/>
        <v>-6000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43745</v>
      </c>
      <c r="D126" s="161" t="s">
        <v>9</v>
      </c>
      <c r="E126" s="161" t="s">
        <v>2531</v>
      </c>
      <c r="F126" s="207">
        <v>130</v>
      </c>
      <c r="G126" s="207">
        <v>170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43747</v>
      </c>
      <c r="D127" s="161" t="s">
        <v>9</v>
      </c>
      <c r="E127" s="161" t="s">
        <v>2451</v>
      </c>
      <c r="F127" s="207">
        <v>110</v>
      </c>
      <c r="G127" s="207">
        <v>150</v>
      </c>
      <c r="H127" s="161">
        <v>40</v>
      </c>
      <c r="I127" s="207">
        <v>300</v>
      </c>
      <c r="J127" s="242">
        <f t="shared" si="23"/>
        <v>12000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43748</v>
      </c>
      <c r="D128" s="161" t="s">
        <v>9</v>
      </c>
      <c r="E128" s="161" t="s">
        <v>2780</v>
      </c>
      <c r="F128" s="207">
        <v>130</v>
      </c>
      <c r="G128" s="222">
        <v>110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43749</v>
      </c>
      <c r="D129" s="161" t="s">
        <v>9</v>
      </c>
      <c r="E129" s="161" t="s">
        <v>2831</v>
      </c>
      <c r="F129" s="207">
        <v>115</v>
      </c>
      <c r="G129" s="207">
        <v>95</v>
      </c>
      <c r="H129" s="161">
        <v>-20</v>
      </c>
      <c r="I129" s="207">
        <v>300</v>
      </c>
      <c r="J129" s="242">
        <f t="shared" si="23"/>
        <v>-6000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43752</v>
      </c>
      <c r="D130" s="161" t="s">
        <v>9</v>
      </c>
      <c r="E130" s="161" t="s">
        <v>2548</v>
      </c>
      <c r="F130" s="207">
        <v>108</v>
      </c>
      <c r="G130" s="207">
        <v>88</v>
      </c>
      <c r="H130" s="161">
        <v>-20</v>
      </c>
      <c r="I130" s="207">
        <v>300</v>
      </c>
      <c r="J130" s="242">
        <f t="shared" si="23"/>
        <v>-6000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43753</v>
      </c>
      <c r="D131" s="161" t="s">
        <v>9</v>
      </c>
      <c r="E131" s="161" t="s">
        <v>2776</v>
      </c>
      <c r="F131" s="207">
        <v>95</v>
      </c>
      <c r="G131" s="207">
        <v>75</v>
      </c>
      <c r="H131" s="161">
        <v>-20</v>
      </c>
      <c r="I131" s="207">
        <v>300</v>
      </c>
      <c r="J131" s="242">
        <f t="shared" si="23"/>
        <v>-6000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43754</v>
      </c>
      <c r="D132" s="161" t="s">
        <v>9</v>
      </c>
      <c r="E132" s="161" t="s">
        <v>2833</v>
      </c>
      <c r="F132" s="207">
        <v>115</v>
      </c>
      <c r="G132" s="222">
        <v>95</v>
      </c>
      <c r="H132" s="222">
        <v>-20</v>
      </c>
      <c r="I132" s="207">
        <v>300</v>
      </c>
      <c r="J132" s="242">
        <f t="shared" si="23"/>
        <v>-6000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43755</v>
      </c>
      <c r="D133" s="161" t="s">
        <v>9</v>
      </c>
      <c r="E133" s="161" t="s">
        <v>2835</v>
      </c>
      <c r="F133" s="207">
        <v>95</v>
      </c>
      <c r="G133" s="207">
        <v>103</v>
      </c>
      <c r="H133" s="161">
        <v>8</v>
      </c>
      <c r="I133" s="207">
        <v>300</v>
      </c>
      <c r="J133" s="242">
        <f t="shared" si="23"/>
        <v>2400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43756</v>
      </c>
      <c r="D134" s="161" t="s">
        <v>9</v>
      </c>
      <c r="E134" s="161" t="s">
        <v>2561</v>
      </c>
      <c r="F134" s="207">
        <v>95</v>
      </c>
      <c r="G134" s="207">
        <v>135</v>
      </c>
      <c r="H134" s="161">
        <v>40</v>
      </c>
      <c r="I134" s="207">
        <v>300</v>
      </c>
      <c r="J134" s="242">
        <f t="shared" si="23"/>
        <v>12000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43760</v>
      </c>
      <c r="D135" s="161" t="s">
        <v>9</v>
      </c>
      <c r="E135" s="161" t="s">
        <v>2561</v>
      </c>
      <c r="F135" s="207">
        <v>120</v>
      </c>
      <c r="G135" s="207">
        <v>131</v>
      </c>
      <c r="H135" s="161">
        <v>11</v>
      </c>
      <c r="I135" s="207">
        <v>300</v>
      </c>
      <c r="J135" s="242">
        <f t="shared" si="23"/>
        <v>3300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43761</v>
      </c>
      <c r="D136" s="161" t="s">
        <v>9</v>
      </c>
      <c r="E136" s="161" t="s">
        <v>2839</v>
      </c>
      <c r="F136" s="207">
        <v>125</v>
      </c>
      <c r="G136" s="207">
        <v>135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43762</v>
      </c>
      <c r="D137" s="161" t="s">
        <v>9</v>
      </c>
      <c r="E137" s="161" t="s">
        <v>2541</v>
      </c>
      <c r="F137" s="207">
        <v>95</v>
      </c>
      <c r="G137" s="207">
        <v>125</v>
      </c>
      <c r="H137" s="161">
        <v>30</v>
      </c>
      <c r="I137" s="207">
        <v>300</v>
      </c>
      <c r="J137" s="242">
        <f t="shared" si="23"/>
        <v>9000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43763</v>
      </c>
      <c r="D138" s="161" t="s">
        <v>9</v>
      </c>
      <c r="E138" s="161" t="s">
        <v>2839</v>
      </c>
      <c r="F138" s="207">
        <v>105</v>
      </c>
      <c r="G138" s="207">
        <v>85</v>
      </c>
      <c r="H138" s="161">
        <v>-20</v>
      </c>
      <c r="I138" s="207">
        <v>300</v>
      </c>
      <c r="J138" s="242">
        <f t="shared" si="23"/>
        <v>-6000</v>
      </c>
      <c r="K138" s="153"/>
      <c r="V138" s="25">
        <f t="shared" si="24"/>
        <v>0</v>
      </c>
      <c r="W138" s="25">
        <f t="shared" si="25"/>
        <v>1</v>
      </c>
    </row>
    <row r="139" spans="1:23" x14ac:dyDescent="0.3">
      <c r="A139" s="147"/>
      <c r="B139" s="205">
        <f t="shared" si="26"/>
        <v>17</v>
      </c>
      <c r="C139" s="206"/>
      <c r="D139" s="161"/>
      <c r="E139" s="161"/>
      <c r="F139" s="207"/>
      <c r="G139" s="207"/>
      <c r="H139" s="161"/>
      <c r="I139" s="207"/>
      <c r="J139" s="242">
        <f t="shared" si="23"/>
        <v>0</v>
      </c>
      <c r="K139" s="153"/>
      <c r="V139" s="25">
        <f t="shared" si="24"/>
        <v>0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07"/>
      <c r="H140" s="161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35700</v>
      </c>
      <c r="K146" s="153"/>
      <c r="V146" s="25">
        <f>SUM(V123:V145)</f>
        <v>9</v>
      </c>
      <c r="W146" s="25">
        <f>SUM(W123:W145)</f>
        <v>7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2823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43739</v>
      </c>
      <c r="D154" s="185" t="s">
        <v>8</v>
      </c>
      <c r="E154" s="185" t="s">
        <v>301</v>
      </c>
      <c r="F154" s="219">
        <v>29370</v>
      </c>
      <c r="G154" s="219">
        <v>29316</v>
      </c>
      <c r="H154" s="185">
        <v>54</v>
      </c>
      <c r="I154" s="219">
        <v>40</v>
      </c>
      <c r="J154" s="246">
        <f t="shared" ref="J154:J176" si="27">I154*H154</f>
        <v>2160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43741</v>
      </c>
      <c r="D155" s="161" t="s">
        <v>8</v>
      </c>
      <c r="E155" s="161" t="s">
        <v>301</v>
      </c>
      <c r="F155" s="207">
        <v>28700</v>
      </c>
      <c r="G155" s="207">
        <v>28500</v>
      </c>
      <c r="H155" s="161">
        <v>200</v>
      </c>
      <c r="I155" s="207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43742</v>
      </c>
      <c r="D156" s="161" t="s">
        <v>8</v>
      </c>
      <c r="E156" s="161" t="s">
        <v>301</v>
      </c>
      <c r="F156" s="207">
        <v>28700</v>
      </c>
      <c r="G156" s="207">
        <v>28500</v>
      </c>
      <c r="H156" s="161">
        <v>200</v>
      </c>
      <c r="I156" s="207">
        <v>40</v>
      </c>
      <c r="J156" s="242">
        <f t="shared" si="27"/>
        <v>8000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43745</v>
      </c>
      <c r="D157" s="161" t="s">
        <v>8</v>
      </c>
      <c r="E157" s="161" t="s">
        <v>301</v>
      </c>
      <c r="F157" s="207">
        <v>28160</v>
      </c>
      <c r="G157" s="207">
        <v>27960</v>
      </c>
      <c r="H157" s="161">
        <v>200</v>
      </c>
      <c r="I157" s="207">
        <v>40</v>
      </c>
      <c r="J157" s="242">
        <f t="shared" si="27"/>
        <v>8000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43747</v>
      </c>
      <c r="D158" s="161" t="s">
        <v>8</v>
      </c>
      <c r="E158" s="161" t="s">
        <v>301</v>
      </c>
      <c r="F158" s="207">
        <v>27910</v>
      </c>
      <c r="G158" s="207">
        <v>28010</v>
      </c>
      <c r="H158" s="161">
        <v>-100</v>
      </c>
      <c r="I158" s="207">
        <v>40</v>
      </c>
      <c r="J158" s="242">
        <f t="shared" si="27"/>
        <v>-4000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43748</v>
      </c>
      <c r="D159" s="161" t="s">
        <v>8</v>
      </c>
      <c r="E159" s="161" t="s">
        <v>301</v>
      </c>
      <c r="F159" s="207">
        <v>28220</v>
      </c>
      <c r="G159" s="207">
        <v>28120</v>
      </c>
      <c r="H159" s="161">
        <v>100</v>
      </c>
      <c r="I159" s="207">
        <v>40</v>
      </c>
      <c r="J159" s="242">
        <f t="shared" si="27"/>
        <v>4000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43749</v>
      </c>
      <c r="D160" s="161" t="s">
        <v>8</v>
      </c>
      <c r="E160" s="161" t="s">
        <v>301</v>
      </c>
      <c r="F160" s="207">
        <v>28050</v>
      </c>
      <c r="G160" s="207">
        <v>28000</v>
      </c>
      <c r="H160" s="161">
        <v>50</v>
      </c>
      <c r="I160" s="207">
        <v>40</v>
      </c>
      <c r="J160" s="242">
        <f t="shared" si="27"/>
        <v>2000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43752</v>
      </c>
      <c r="D161" s="161" t="s">
        <v>8</v>
      </c>
      <c r="E161" s="161" t="s">
        <v>301</v>
      </c>
      <c r="F161" s="207">
        <v>28450</v>
      </c>
      <c r="G161" s="207">
        <v>28290</v>
      </c>
      <c r="H161" s="161">
        <v>160</v>
      </c>
      <c r="I161" s="207">
        <v>40</v>
      </c>
      <c r="J161" s="242">
        <f t="shared" si="27"/>
        <v>6400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43753</v>
      </c>
      <c r="D162" s="161" t="s">
        <v>8</v>
      </c>
      <c r="E162" s="161" t="s">
        <v>301</v>
      </c>
      <c r="F162" s="207">
        <v>28420</v>
      </c>
      <c r="G162" s="207">
        <v>28520</v>
      </c>
      <c r="H162" s="161">
        <v>-100</v>
      </c>
      <c r="I162" s="207">
        <v>40</v>
      </c>
      <c r="J162" s="242">
        <f t="shared" si="27"/>
        <v>-4000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43754</v>
      </c>
      <c r="D163" s="161" t="s">
        <v>9</v>
      </c>
      <c r="E163" s="161" t="s">
        <v>301</v>
      </c>
      <c r="F163" s="207">
        <v>28730</v>
      </c>
      <c r="G163" s="207">
        <v>28780</v>
      </c>
      <c r="H163" s="161">
        <v>50</v>
      </c>
      <c r="I163" s="207">
        <v>40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43755</v>
      </c>
      <c r="D164" s="161" t="s">
        <v>9</v>
      </c>
      <c r="E164" s="161" t="s">
        <v>301</v>
      </c>
      <c r="F164" s="207">
        <v>28650</v>
      </c>
      <c r="G164" s="207">
        <v>28600</v>
      </c>
      <c r="H164" s="161">
        <v>-50</v>
      </c>
      <c r="I164" s="207">
        <v>40</v>
      </c>
      <c r="J164" s="242">
        <f t="shared" si="27"/>
        <v>-2000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43756</v>
      </c>
      <c r="D165" s="161" t="s">
        <v>9</v>
      </c>
      <c r="E165" s="161" t="s">
        <v>301</v>
      </c>
      <c r="F165" s="207">
        <v>29080</v>
      </c>
      <c r="G165" s="207">
        <v>29280</v>
      </c>
      <c r="H165" s="161">
        <v>200</v>
      </c>
      <c r="I165" s="207">
        <v>40</v>
      </c>
      <c r="J165" s="242">
        <f t="shared" si="27"/>
        <v>8000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43760</v>
      </c>
      <c r="D166" s="161" t="s">
        <v>8</v>
      </c>
      <c r="E166" s="161" t="s">
        <v>301</v>
      </c>
      <c r="F166" s="207">
        <v>29400</v>
      </c>
      <c r="G166" s="207">
        <v>29500</v>
      </c>
      <c r="H166" s="161">
        <v>-100</v>
      </c>
      <c r="I166" s="207">
        <v>40</v>
      </c>
      <c r="J166" s="242">
        <f t="shared" si="27"/>
        <v>-4000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43761</v>
      </c>
      <c r="D167" s="161" t="s">
        <v>9</v>
      </c>
      <c r="E167" s="161" t="s">
        <v>301</v>
      </c>
      <c r="F167" s="207">
        <v>29600</v>
      </c>
      <c r="G167" s="207">
        <v>29700</v>
      </c>
      <c r="H167" s="161">
        <v>100</v>
      </c>
      <c r="I167" s="207">
        <v>40</v>
      </c>
      <c r="J167" s="242">
        <f t="shared" si="27"/>
        <v>4000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43762</v>
      </c>
      <c r="D168" s="161" t="s">
        <v>9</v>
      </c>
      <c r="E168" s="161" t="s">
        <v>301</v>
      </c>
      <c r="F168" s="207">
        <v>29400</v>
      </c>
      <c r="G168" s="207">
        <v>28550</v>
      </c>
      <c r="H168" s="161">
        <v>150</v>
      </c>
      <c r="I168" s="207">
        <v>40</v>
      </c>
      <c r="J168" s="242">
        <f t="shared" si="27"/>
        <v>6000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43763</v>
      </c>
      <c r="D169" s="161" t="s">
        <v>9</v>
      </c>
      <c r="E169" s="161" t="s">
        <v>301</v>
      </c>
      <c r="F169" s="207">
        <v>29200</v>
      </c>
      <c r="G169" s="207">
        <v>29245</v>
      </c>
      <c r="H169" s="161">
        <v>45</v>
      </c>
      <c r="I169" s="207">
        <v>40</v>
      </c>
      <c r="J169" s="242">
        <f t="shared" si="27"/>
        <v>1800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/>
      <c r="D170" s="161"/>
      <c r="E170" s="161"/>
      <c r="F170" s="207"/>
      <c r="G170" s="207"/>
      <c r="H170" s="161"/>
      <c r="I170" s="207"/>
      <c r="J170" s="242">
        <f t="shared" si="27"/>
        <v>0</v>
      </c>
      <c r="K170" s="153"/>
      <c r="V170" s="25">
        <f t="shared" si="28"/>
        <v>0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46360</v>
      </c>
      <c r="K177" s="153"/>
      <c r="V177" s="25">
        <f>SUM(V154:V176)</f>
        <v>12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2823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43739</v>
      </c>
      <c r="D185" s="185" t="s">
        <v>9</v>
      </c>
      <c r="E185" s="185" t="s">
        <v>2777</v>
      </c>
      <c r="F185" s="219">
        <v>350</v>
      </c>
      <c r="G185" s="219">
        <v>470</v>
      </c>
      <c r="H185" s="185">
        <v>120</v>
      </c>
      <c r="I185" s="219">
        <v>80</v>
      </c>
      <c r="J185" s="246">
        <f t="shared" ref="J185:J207" si="31">I185*H185</f>
        <v>9600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43741</v>
      </c>
      <c r="D186" s="161" t="s">
        <v>9</v>
      </c>
      <c r="E186" s="161" t="s">
        <v>2826</v>
      </c>
      <c r="F186" s="207">
        <v>200</v>
      </c>
      <c r="G186" s="207">
        <v>320</v>
      </c>
      <c r="H186" s="161">
        <v>120</v>
      </c>
      <c r="I186" s="207">
        <v>80</v>
      </c>
      <c r="J186" s="242">
        <f t="shared" si="31"/>
        <v>9600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43742</v>
      </c>
      <c r="D187" s="161" t="s">
        <v>9</v>
      </c>
      <c r="E187" s="161" t="s">
        <v>2828</v>
      </c>
      <c r="F187" s="207">
        <v>500</v>
      </c>
      <c r="G187" s="207">
        <v>700</v>
      </c>
      <c r="H187" s="161">
        <v>200</v>
      </c>
      <c r="I187" s="207">
        <v>80</v>
      </c>
      <c r="J187" s="242">
        <f t="shared" si="31"/>
        <v>16000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43745</v>
      </c>
      <c r="D188" s="161" t="s">
        <v>9</v>
      </c>
      <c r="E188" s="161" t="s">
        <v>2550</v>
      </c>
      <c r="F188" s="207">
        <v>360</v>
      </c>
      <c r="G188" s="207">
        <v>300</v>
      </c>
      <c r="H188" s="161">
        <v>-60</v>
      </c>
      <c r="I188" s="207">
        <v>80</v>
      </c>
      <c r="J188" s="242">
        <f t="shared" si="31"/>
        <v>-4800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43747</v>
      </c>
      <c r="D189" s="161" t="s">
        <v>9</v>
      </c>
      <c r="E189" s="161" t="s">
        <v>2799</v>
      </c>
      <c r="F189" s="207">
        <v>200</v>
      </c>
      <c r="G189" s="207">
        <v>320</v>
      </c>
      <c r="H189" s="161">
        <v>120</v>
      </c>
      <c r="I189" s="207">
        <v>80</v>
      </c>
      <c r="J189" s="242">
        <f t="shared" si="31"/>
        <v>9600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43748</v>
      </c>
      <c r="D190" s="161" t="s">
        <v>9</v>
      </c>
      <c r="E190" s="161" t="s">
        <v>2556</v>
      </c>
      <c r="F190" s="207">
        <v>160</v>
      </c>
      <c r="G190" s="207">
        <v>220</v>
      </c>
      <c r="H190" s="161">
        <v>60</v>
      </c>
      <c r="I190" s="207">
        <v>80</v>
      </c>
      <c r="J190" s="242">
        <f t="shared" si="31"/>
        <v>4800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43749</v>
      </c>
      <c r="D191" s="161" t="s">
        <v>9</v>
      </c>
      <c r="E191" s="161" t="s">
        <v>2550</v>
      </c>
      <c r="F191" s="207">
        <v>500</v>
      </c>
      <c r="G191" s="207">
        <v>565</v>
      </c>
      <c r="H191" s="161">
        <v>65</v>
      </c>
      <c r="I191" s="207">
        <v>80</v>
      </c>
      <c r="J191" s="242">
        <f t="shared" si="31"/>
        <v>5200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43752</v>
      </c>
      <c r="D192" s="161" t="s">
        <v>9</v>
      </c>
      <c r="E192" s="161" t="s">
        <v>2546</v>
      </c>
      <c r="F192" s="207">
        <v>400</v>
      </c>
      <c r="G192" s="207">
        <v>430</v>
      </c>
      <c r="H192" s="161">
        <v>30</v>
      </c>
      <c r="I192" s="207">
        <v>80</v>
      </c>
      <c r="J192" s="242">
        <f t="shared" si="31"/>
        <v>2400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43753</v>
      </c>
      <c r="D193" s="161" t="s">
        <v>9</v>
      </c>
      <c r="E193" s="161" t="s">
        <v>2828</v>
      </c>
      <c r="F193" s="207">
        <v>330</v>
      </c>
      <c r="G193" s="207">
        <v>270</v>
      </c>
      <c r="H193" s="161">
        <v>-60</v>
      </c>
      <c r="I193" s="207">
        <v>80</v>
      </c>
      <c r="J193" s="242">
        <f t="shared" si="31"/>
        <v>-4800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43754</v>
      </c>
      <c r="D194" s="161" t="s">
        <v>9</v>
      </c>
      <c r="E194" s="161" t="s">
        <v>2834</v>
      </c>
      <c r="F194" s="207">
        <v>230</v>
      </c>
      <c r="G194" s="207">
        <v>170</v>
      </c>
      <c r="H194" s="161">
        <v>-60</v>
      </c>
      <c r="I194" s="207">
        <v>80</v>
      </c>
      <c r="J194" s="242">
        <f t="shared" si="31"/>
        <v>-4800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43755</v>
      </c>
      <c r="D195" s="161" t="s">
        <v>9</v>
      </c>
      <c r="E195" s="161" t="s">
        <v>2826</v>
      </c>
      <c r="F195" s="207">
        <v>160</v>
      </c>
      <c r="G195" s="207">
        <v>100</v>
      </c>
      <c r="H195" s="161">
        <v>-60</v>
      </c>
      <c r="I195" s="207">
        <v>80</v>
      </c>
      <c r="J195" s="242">
        <f t="shared" si="31"/>
        <v>-4800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43756</v>
      </c>
      <c r="D196" s="161" t="s">
        <v>9</v>
      </c>
      <c r="E196" s="161" t="s">
        <v>2653</v>
      </c>
      <c r="F196" s="207">
        <v>380</v>
      </c>
      <c r="G196" s="207">
        <v>500</v>
      </c>
      <c r="H196" s="161">
        <v>120</v>
      </c>
      <c r="I196" s="207">
        <v>80</v>
      </c>
      <c r="J196" s="242">
        <f t="shared" si="31"/>
        <v>9600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43760</v>
      </c>
      <c r="D197" s="161" t="s">
        <v>9</v>
      </c>
      <c r="E197" s="161" t="s">
        <v>2777</v>
      </c>
      <c r="F197" s="207">
        <v>340</v>
      </c>
      <c r="G197" s="207">
        <v>280</v>
      </c>
      <c r="H197" s="161">
        <v>-60</v>
      </c>
      <c r="I197" s="207">
        <v>80</v>
      </c>
      <c r="J197" s="242">
        <f t="shared" si="31"/>
        <v>-4800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43761</v>
      </c>
      <c r="D198" s="161" t="s">
        <v>9</v>
      </c>
      <c r="E198" s="161" t="s">
        <v>2656</v>
      </c>
      <c r="F198" s="207">
        <v>200</v>
      </c>
      <c r="G198" s="207">
        <v>230</v>
      </c>
      <c r="H198" s="161">
        <v>30</v>
      </c>
      <c r="I198" s="207">
        <v>80</v>
      </c>
      <c r="J198" s="242">
        <f t="shared" si="31"/>
        <v>2400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43762</v>
      </c>
      <c r="D199" s="161" t="s">
        <v>9</v>
      </c>
      <c r="E199" s="161" t="s">
        <v>2654</v>
      </c>
      <c r="F199" s="207">
        <v>110</v>
      </c>
      <c r="G199" s="207">
        <v>200</v>
      </c>
      <c r="H199" s="161">
        <v>90</v>
      </c>
      <c r="I199" s="207">
        <v>80</v>
      </c>
      <c r="J199" s="242">
        <f t="shared" si="31"/>
        <v>7200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43763</v>
      </c>
      <c r="D200" s="161" t="s">
        <v>9</v>
      </c>
      <c r="E200" s="161" t="s">
        <v>2842</v>
      </c>
      <c r="F200" s="207">
        <v>310</v>
      </c>
      <c r="G200" s="207">
        <v>340</v>
      </c>
      <c r="H200" s="161">
        <v>30</v>
      </c>
      <c r="I200" s="207">
        <v>80</v>
      </c>
      <c r="J200" s="242">
        <f t="shared" si="31"/>
        <v>2400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/>
      <c r="D201" s="161"/>
      <c r="E201" s="161"/>
      <c r="F201" s="207"/>
      <c r="G201" s="207"/>
      <c r="H201" s="161"/>
      <c r="I201" s="207"/>
      <c r="J201" s="242">
        <f t="shared" si="31"/>
        <v>0</v>
      </c>
      <c r="K201" s="153"/>
      <c r="V201" s="25">
        <f t="shared" si="32"/>
        <v>0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54800</v>
      </c>
      <c r="K208" s="153"/>
      <c r="V208" s="25">
        <f>SUM(V185:V207)</f>
        <v>11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2823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43739</v>
      </c>
      <c r="D216" s="185" t="s">
        <v>9</v>
      </c>
      <c r="E216" s="185" t="s">
        <v>2771</v>
      </c>
      <c r="F216" s="231">
        <v>45</v>
      </c>
      <c r="G216" s="231">
        <v>55</v>
      </c>
      <c r="H216" s="231">
        <v>10</v>
      </c>
      <c r="I216" s="219">
        <v>375</v>
      </c>
      <c r="J216" s="246">
        <f t="shared" ref="J216:J238" si="35">I216*H216</f>
        <v>3750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43741</v>
      </c>
      <c r="D217" s="161" t="s">
        <v>9</v>
      </c>
      <c r="E217" s="161" t="s">
        <v>2827</v>
      </c>
      <c r="F217" s="222">
        <v>76</v>
      </c>
      <c r="G217" s="222">
        <v>66</v>
      </c>
      <c r="H217" s="255">
        <v>-10</v>
      </c>
      <c r="I217" s="207">
        <v>500</v>
      </c>
      <c r="J217" s="242">
        <f>I217*H217</f>
        <v>-5000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8" si="36">B217+1</f>
        <v>3</v>
      </c>
      <c r="C218" s="206">
        <v>43742</v>
      </c>
      <c r="D218" s="161" t="s">
        <v>9</v>
      </c>
      <c r="E218" s="161" t="s">
        <v>2829</v>
      </c>
      <c r="F218" s="222">
        <v>42</v>
      </c>
      <c r="G218" s="222">
        <v>50.5</v>
      </c>
      <c r="H218" s="222">
        <v>8.5</v>
      </c>
      <c r="I218" s="207">
        <v>375</v>
      </c>
      <c r="J218" s="242">
        <f t="shared" si="35"/>
        <v>3187.5</v>
      </c>
      <c r="K218" s="153"/>
      <c r="V218" s="25">
        <f t="shared" ref="V218:V238" si="37">IF($J218&gt;0,1,0)</f>
        <v>1</v>
      </c>
      <c r="W218" s="25">
        <f t="shared" ref="W218:W238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43745</v>
      </c>
      <c r="D219" s="161" t="s">
        <v>9</v>
      </c>
      <c r="E219" s="161" t="s">
        <v>1959</v>
      </c>
      <c r="F219" s="222">
        <v>37</v>
      </c>
      <c r="G219" s="222">
        <v>43</v>
      </c>
      <c r="H219" s="222">
        <v>6</v>
      </c>
      <c r="I219" s="207">
        <v>375</v>
      </c>
      <c r="J219" s="242">
        <f t="shared" si="35"/>
        <v>2250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43747</v>
      </c>
      <c r="D220" s="161" t="s">
        <v>9</v>
      </c>
      <c r="E220" s="161" t="s">
        <v>2830</v>
      </c>
      <c r="F220" s="222">
        <v>125</v>
      </c>
      <c r="G220" s="222">
        <v>165</v>
      </c>
      <c r="H220" s="222">
        <v>40</v>
      </c>
      <c r="I220" s="207">
        <v>200</v>
      </c>
      <c r="J220" s="242">
        <f t="shared" si="35"/>
        <v>8000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43748</v>
      </c>
      <c r="D221" s="161" t="s">
        <v>9</v>
      </c>
      <c r="E221" s="161" t="s">
        <v>2100</v>
      </c>
      <c r="F221" s="222">
        <v>40</v>
      </c>
      <c r="G221" s="222">
        <v>38.5</v>
      </c>
      <c r="H221" s="222">
        <v>-1.5</v>
      </c>
      <c r="I221" s="207">
        <v>500</v>
      </c>
      <c r="J221" s="242">
        <f t="shared" si="35"/>
        <v>-750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43749</v>
      </c>
      <c r="D222" s="161" t="s">
        <v>9</v>
      </c>
      <c r="E222" s="161" t="s">
        <v>2829</v>
      </c>
      <c r="F222" s="222">
        <v>39</v>
      </c>
      <c r="G222" s="222">
        <v>47.9</v>
      </c>
      <c r="H222" s="222">
        <v>8.9</v>
      </c>
      <c r="I222" s="207">
        <v>375</v>
      </c>
      <c r="J222" s="242">
        <f t="shared" si="35"/>
        <v>3337.5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43752</v>
      </c>
      <c r="D223" s="161" t="s">
        <v>9</v>
      </c>
      <c r="E223" s="161" t="s">
        <v>2832</v>
      </c>
      <c r="F223" s="222">
        <v>21</v>
      </c>
      <c r="G223" s="222">
        <v>25</v>
      </c>
      <c r="H223" s="222">
        <v>4</v>
      </c>
      <c r="I223" s="207">
        <v>1200</v>
      </c>
      <c r="J223" s="242">
        <f t="shared" si="35"/>
        <v>4800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43753</v>
      </c>
      <c r="D224" s="161" t="s">
        <v>9</v>
      </c>
      <c r="E224" s="161" t="s">
        <v>2829</v>
      </c>
      <c r="F224" s="222">
        <v>37</v>
      </c>
      <c r="G224" s="222">
        <v>39.65</v>
      </c>
      <c r="H224" s="255">
        <v>2.65</v>
      </c>
      <c r="I224" s="207">
        <v>375</v>
      </c>
      <c r="J224" s="242">
        <f t="shared" si="35"/>
        <v>993.75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43754</v>
      </c>
      <c r="D225" s="161" t="s">
        <v>9</v>
      </c>
      <c r="E225" s="161" t="s">
        <v>1987</v>
      </c>
      <c r="F225" s="222">
        <v>10.5</v>
      </c>
      <c r="G225" s="222">
        <v>11.25</v>
      </c>
      <c r="H225" s="255">
        <v>0.75</v>
      </c>
      <c r="I225" s="207">
        <v>3000</v>
      </c>
      <c r="J225" s="242">
        <f t="shared" si="35"/>
        <v>2250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43755</v>
      </c>
      <c r="D226" s="161" t="s">
        <v>9</v>
      </c>
      <c r="E226" s="161" t="s">
        <v>2836</v>
      </c>
      <c r="F226" s="222">
        <v>34</v>
      </c>
      <c r="G226" s="222">
        <v>42</v>
      </c>
      <c r="H226" s="255">
        <v>8</v>
      </c>
      <c r="I226" s="207">
        <v>500</v>
      </c>
      <c r="J226" s="242">
        <f t="shared" si="35"/>
        <v>4000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43756</v>
      </c>
      <c r="D227" s="161" t="s">
        <v>9</v>
      </c>
      <c r="E227" s="161" t="s">
        <v>2837</v>
      </c>
      <c r="F227" s="222">
        <v>11.5</v>
      </c>
      <c r="G227" s="222">
        <v>13</v>
      </c>
      <c r="H227" s="255">
        <v>1.5</v>
      </c>
      <c r="I227" s="207">
        <v>3000</v>
      </c>
      <c r="J227" s="242">
        <f t="shared" si="35"/>
        <v>4500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43760</v>
      </c>
      <c r="D228" s="161" t="s">
        <v>9</v>
      </c>
      <c r="E228" s="161" t="s">
        <v>2838</v>
      </c>
      <c r="F228" s="222">
        <v>7.5</v>
      </c>
      <c r="G228" s="222">
        <v>9.1</v>
      </c>
      <c r="H228" s="255">
        <v>1.6</v>
      </c>
      <c r="I228" s="207">
        <v>2000</v>
      </c>
      <c r="J228" s="242">
        <f t="shared" si="35"/>
        <v>3200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43761</v>
      </c>
      <c r="D229" s="161" t="s">
        <v>9</v>
      </c>
      <c r="E229" s="161" t="s">
        <v>2840</v>
      </c>
      <c r="F229" s="222">
        <v>8.3000000000000007</v>
      </c>
      <c r="G229" s="222">
        <v>10.3</v>
      </c>
      <c r="H229" s="255">
        <v>2</v>
      </c>
      <c r="I229" s="207">
        <v>3000</v>
      </c>
      <c r="J229" s="242">
        <f>I229*H229</f>
        <v>6000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43762</v>
      </c>
      <c r="D230" s="161" t="s">
        <v>9</v>
      </c>
      <c r="E230" s="161" t="s">
        <v>2841</v>
      </c>
      <c r="F230" s="222">
        <v>10</v>
      </c>
      <c r="G230" s="222">
        <v>11.6</v>
      </c>
      <c r="H230" s="255">
        <v>1.6</v>
      </c>
      <c r="I230" s="207">
        <v>1375</v>
      </c>
      <c r="J230" s="242">
        <f t="shared" si="35"/>
        <v>2200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43763</v>
      </c>
      <c r="D231" s="161" t="s">
        <v>9</v>
      </c>
      <c r="E231" s="161" t="s">
        <v>2843</v>
      </c>
      <c r="F231" s="222">
        <v>9</v>
      </c>
      <c r="G231" s="222">
        <v>7</v>
      </c>
      <c r="H231" s="222">
        <v>-2</v>
      </c>
      <c r="I231" s="207">
        <v>3000</v>
      </c>
      <c r="J231" s="242">
        <f t="shared" si="35"/>
        <v>-6000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/>
      <c r="D232" s="161"/>
      <c r="E232" s="161"/>
      <c r="F232" s="222"/>
      <c r="G232" s="222"/>
      <c r="H232" s="222"/>
      <c r="I232" s="207"/>
      <c r="J232" s="242">
        <f t="shared" si="35"/>
        <v>0</v>
      </c>
      <c r="K232" s="153"/>
      <c r="V232" s="25">
        <f t="shared" si="37"/>
        <v>0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ht="15" thickBot="1" x14ac:dyDescent="0.35">
      <c r="A238" s="147"/>
      <c r="B238" s="208">
        <f t="shared" si="36"/>
        <v>23</v>
      </c>
      <c r="C238" s="209"/>
      <c r="D238" s="166"/>
      <c r="E238" s="166"/>
      <c r="F238" s="222"/>
      <c r="G238" s="222"/>
      <c r="H238" s="166"/>
      <c r="I238" s="210"/>
      <c r="J238" s="244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24" thickBot="1" x14ac:dyDescent="0.5">
      <c r="A239" s="147"/>
      <c r="B239" s="370" t="s">
        <v>2254</v>
      </c>
      <c r="C239" s="371"/>
      <c r="D239" s="371"/>
      <c r="E239" s="371"/>
      <c r="F239" s="371"/>
      <c r="G239" s="371"/>
      <c r="H239" s="372"/>
      <c r="I239" s="211" t="s">
        <v>2255</v>
      </c>
      <c r="J239" s="212">
        <f>SUM(J216:J238)</f>
        <v>36718.75</v>
      </c>
      <c r="K239" s="153"/>
      <c r="V239" s="25">
        <f>SUM(V216:V238)</f>
        <v>13</v>
      </c>
      <c r="W239" s="25">
        <f>SUM(W216:W238)</f>
        <v>3</v>
      </c>
    </row>
    <row r="240" spans="1:23" ht="30" customHeight="1" thickBot="1" x14ac:dyDescent="0.35">
      <c r="A240" s="213"/>
      <c r="B240" s="172"/>
      <c r="C240" s="172"/>
      <c r="D240" s="172"/>
      <c r="E240" s="172"/>
      <c r="F240" s="172"/>
      <c r="G240" s="172"/>
      <c r="H240" s="235"/>
      <c r="I240" s="172"/>
      <c r="J240" s="235"/>
      <c r="K240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39:H239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4E00-000000000000}"/>
    <hyperlink ref="B84" r:id="rId2" xr:uid="{00000000-0004-0000-4E00-000001000000}"/>
    <hyperlink ref="B115" r:id="rId3" xr:uid="{00000000-0004-0000-4E00-000002000000}"/>
    <hyperlink ref="B146" r:id="rId4" xr:uid="{00000000-0004-0000-4E00-000003000000}"/>
    <hyperlink ref="B177" r:id="rId5" xr:uid="{00000000-0004-0000-4E00-000004000000}"/>
    <hyperlink ref="B208" r:id="rId6" xr:uid="{00000000-0004-0000-4E00-000005000000}"/>
    <hyperlink ref="B239" r:id="rId7" xr:uid="{00000000-0004-0000-4E00-000006000000}"/>
    <hyperlink ref="M1" location="'MASTER '!A1" display="Back" xr:uid="{00000000-0004-0000-4E00-000007000000}"/>
    <hyperlink ref="M8:M9" location="'OCT 2019'!A108" display="NIFTY FUTURE" xr:uid="{00000000-0004-0000-4E00-000008000000}"/>
    <hyperlink ref="M10:M11" location="'OCT 2019'!A139" display="NF. OPTION" xr:uid="{00000000-0004-0000-4E00-000009000000}"/>
    <hyperlink ref="M12:M13" location="'OCT 2019'!A170" display="BANK NIFTY" xr:uid="{00000000-0004-0000-4E00-00000A000000}"/>
    <hyperlink ref="M14:M15" location="'OCT 2019'!A201" display="B.NIFTY OPTION" xr:uid="{00000000-0004-0000-4E00-00000B000000}"/>
    <hyperlink ref="M16:M17" location="'OCT 2019'!A232" display="STOCK OPTION" xr:uid="{00000000-0004-0000-4E00-00000C000000}"/>
    <hyperlink ref="M6:M7" location="'OCT 2019'!A77" display="STOCK FUTURE" xr:uid="{00000000-0004-0000-4E00-00000D000000}"/>
    <hyperlink ref="M4:M5" location="'OCT 2019'!A1" display="CASH" xr:uid="{00000000-0004-0000-4E00-00000E000000}"/>
  </hyperlinks>
  <pageMargins left="0" right="0" top="0" bottom="0" header="0" footer="0"/>
  <pageSetup scale="95"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6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3" t="s">
        <v>180</v>
      </c>
      <c r="C3" s="283"/>
      <c r="D3" s="283"/>
      <c r="E3" s="283"/>
      <c r="F3" s="283"/>
      <c r="G3" s="283"/>
      <c r="H3" s="283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45"/>
    </row>
    <row r="6" spans="1:11" x14ac:dyDescent="0.3">
      <c r="B6" s="43">
        <v>41579</v>
      </c>
      <c r="C6" s="3" t="s">
        <v>11</v>
      </c>
      <c r="D6" s="2" t="s">
        <v>186</v>
      </c>
      <c r="E6" s="5">
        <v>335.5</v>
      </c>
      <c r="F6" s="5">
        <v>341.8</v>
      </c>
      <c r="G6" s="5">
        <v>894.18777943368104</v>
      </c>
      <c r="H6" s="28">
        <v>4694.4858420268256</v>
      </c>
      <c r="K6" s="45"/>
    </row>
    <row r="7" spans="1:11" x14ac:dyDescent="0.3">
      <c r="B7" s="43">
        <v>41583</v>
      </c>
      <c r="C7" s="3" t="s">
        <v>11</v>
      </c>
      <c r="D7" s="2" t="s">
        <v>28</v>
      </c>
      <c r="E7" s="5">
        <v>580</v>
      </c>
      <c r="F7" s="5">
        <v>585.45000000000005</v>
      </c>
      <c r="G7" s="5">
        <v>517.24137931034488</v>
      </c>
      <c r="H7" s="28">
        <v>1409.4827586207016</v>
      </c>
      <c r="K7" s="45"/>
    </row>
    <row r="8" spans="1:11" x14ac:dyDescent="0.3">
      <c r="B8" s="43">
        <v>41584</v>
      </c>
      <c r="C8" s="3" t="s">
        <v>11</v>
      </c>
      <c r="D8" s="2" t="s">
        <v>124</v>
      </c>
      <c r="E8" s="4">
        <v>396.8</v>
      </c>
      <c r="F8" s="5">
        <v>400</v>
      </c>
      <c r="G8" s="5">
        <v>756.04838709677415</v>
      </c>
      <c r="H8" s="28">
        <v>1209.6774193548342</v>
      </c>
      <c r="K8" s="45"/>
    </row>
    <row r="9" spans="1:11" x14ac:dyDescent="0.3">
      <c r="B9" s="43">
        <v>41585</v>
      </c>
      <c r="C9" s="3" t="s">
        <v>8</v>
      </c>
      <c r="D9" s="2" t="s">
        <v>25</v>
      </c>
      <c r="E9" s="4">
        <v>334</v>
      </c>
      <c r="F9" s="4">
        <v>342.45</v>
      </c>
      <c r="G9" s="5">
        <v>898.20359281437129</v>
      </c>
      <c r="H9" s="28">
        <v>-6354.79</v>
      </c>
      <c r="K9" s="45"/>
    </row>
    <row r="10" spans="1:11" x14ac:dyDescent="0.3">
      <c r="B10" s="43">
        <v>41586</v>
      </c>
      <c r="C10" s="3" t="s">
        <v>11</v>
      </c>
      <c r="D10" s="2" t="s">
        <v>25</v>
      </c>
      <c r="E10" s="4">
        <v>347.1</v>
      </c>
      <c r="F10" s="4">
        <v>356.3</v>
      </c>
      <c r="G10" s="5">
        <v>864.30423509075194</v>
      </c>
      <c r="H10" s="28">
        <v>6676.7502160760541</v>
      </c>
      <c r="K10" s="45"/>
    </row>
    <row r="11" spans="1:11" x14ac:dyDescent="0.3">
      <c r="B11" s="43">
        <v>41589</v>
      </c>
      <c r="C11" s="3" t="s">
        <v>8</v>
      </c>
      <c r="D11" s="2" t="s">
        <v>82</v>
      </c>
      <c r="E11" s="5">
        <v>247</v>
      </c>
      <c r="F11" s="5">
        <v>245</v>
      </c>
      <c r="G11" s="5">
        <v>1214.5748987854251</v>
      </c>
      <c r="H11" s="28">
        <v>1214.5748987854251</v>
      </c>
      <c r="K11" s="45"/>
    </row>
    <row r="12" spans="1:11" x14ac:dyDescent="0.3">
      <c r="B12" s="43">
        <v>41590</v>
      </c>
      <c r="C12" s="3" t="s">
        <v>61</v>
      </c>
      <c r="D12" s="2" t="s">
        <v>36</v>
      </c>
      <c r="E12" s="5">
        <v>1040</v>
      </c>
      <c r="F12" s="4">
        <v>1021</v>
      </c>
      <c r="G12" s="5">
        <v>288.46153846153845</v>
      </c>
      <c r="H12" s="28">
        <v>-5480.7692307692305</v>
      </c>
      <c r="K12" s="45"/>
    </row>
    <row r="13" spans="1:11" x14ac:dyDescent="0.3">
      <c r="B13" s="43">
        <v>41591</v>
      </c>
      <c r="C13" s="3" t="s">
        <v>8</v>
      </c>
      <c r="D13" s="2" t="s">
        <v>26</v>
      </c>
      <c r="E13" s="4">
        <v>141.9</v>
      </c>
      <c r="F13" s="4">
        <v>144.19999999999999</v>
      </c>
      <c r="G13" s="5">
        <v>2114.1649048625791</v>
      </c>
      <c r="H13" s="28">
        <v>-4862.5792811838955</v>
      </c>
      <c r="K13" s="45"/>
    </row>
    <row r="14" spans="1:11" x14ac:dyDescent="0.3">
      <c r="B14" s="43">
        <v>41592</v>
      </c>
      <c r="C14" s="3" t="s">
        <v>61</v>
      </c>
      <c r="D14" s="2" t="s">
        <v>48</v>
      </c>
      <c r="E14" s="5">
        <v>601</v>
      </c>
      <c r="F14" s="5">
        <v>602</v>
      </c>
      <c r="G14" s="5">
        <v>499.16805324459233</v>
      </c>
      <c r="H14" s="28">
        <v>499.16805324459233</v>
      </c>
      <c r="K14" s="45"/>
    </row>
    <row r="15" spans="1:11" x14ac:dyDescent="0.3">
      <c r="B15" s="43">
        <v>41596</v>
      </c>
      <c r="C15" s="3" t="s">
        <v>61</v>
      </c>
      <c r="D15" s="2" t="s">
        <v>124</v>
      </c>
      <c r="E15" s="4">
        <v>391.8</v>
      </c>
      <c r="F15" s="5">
        <v>393.1</v>
      </c>
      <c r="G15" s="5">
        <v>765.69678407350682</v>
      </c>
      <c r="H15" s="28">
        <v>497.70290964778377</v>
      </c>
      <c r="K15" s="45"/>
    </row>
    <row r="16" spans="1:11" x14ac:dyDescent="0.3">
      <c r="B16" s="43">
        <v>41597</v>
      </c>
      <c r="C16" s="3" t="s">
        <v>8</v>
      </c>
      <c r="D16" s="2" t="s">
        <v>36</v>
      </c>
      <c r="E16" s="5">
        <v>1080</v>
      </c>
      <c r="F16" s="4">
        <v>1089.7</v>
      </c>
      <c r="G16" s="5">
        <v>277.77777777777777</v>
      </c>
      <c r="H16" s="28">
        <v>-1347.22</v>
      </c>
      <c r="K16" s="45"/>
    </row>
    <row r="17" spans="2:11" x14ac:dyDescent="0.3">
      <c r="B17" s="43">
        <v>41598</v>
      </c>
      <c r="C17" s="3" t="s">
        <v>61</v>
      </c>
      <c r="D17" s="2" t="s">
        <v>28</v>
      </c>
      <c r="E17" s="4">
        <v>545.20000000000005</v>
      </c>
      <c r="F17" s="4">
        <v>549.9</v>
      </c>
      <c r="G17" s="5">
        <v>550.25678650036684</v>
      </c>
      <c r="H17" s="28">
        <v>1293.1034482758432</v>
      </c>
      <c r="K17" s="45"/>
    </row>
    <row r="18" spans="2:11" x14ac:dyDescent="0.3">
      <c r="B18" s="43">
        <v>41599</v>
      </c>
      <c r="C18" s="3" t="s">
        <v>8</v>
      </c>
      <c r="D18" s="2" t="s">
        <v>48</v>
      </c>
      <c r="E18" s="5">
        <v>621</v>
      </c>
      <c r="F18" s="4">
        <v>606.6</v>
      </c>
      <c r="G18" s="5">
        <v>483.09178743961354</v>
      </c>
      <c r="H18" s="28">
        <v>5881.6425120773001</v>
      </c>
      <c r="K18" s="45"/>
    </row>
    <row r="19" spans="2:11" x14ac:dyDescent="0.3">
      <c r="B19" s="43">
        <v>41600</v>
      </c>
      <c r="C19" s="3" t="s">
        <v>61</v>
      </c>
      <c r="D19" s="2" t="s">
        <v>20</v>
      </c>
      <c r="E19" s="5">
        <v>1100</v>
      </c>
      <c r="F19" s="3">
        <v>1080</v>
      </c>
      <c r="G19" s="5">
        <v>272.72727272727275</v>
      </c>
      <c r="H19" s="28">
        <v>-2727.2727272727275</v>
      </c>
      <c r="K19" s="45"/>
    </row>
    <row r="20" spans="2:11" x14ac:dyDescent="0.3">
      <c r="B20" s="43">
        <v>41603</v>
      </c>
      <c r="C20" s="3" t="s">
        <v>61</v>
      </c>
      <c r="D20" s="2" t="s">
        <v>25</v>
      </c>
      <c r="E20" s="4">
        <v>395.6</v>
      </c>
      <c r="F20" s="5">
        <v>399</v>
      </c>
      <c r="G20" s="5">
        <v>758.3417593528817</v>
      </c>
      <c r="H20" s="28">
        <v>2578.3619817997806</v>
      </c>
      <c r="K20" s="45"/>
    </row>
    <row r="21" spans="2:11" x14ac:dyDescent="0.3">
      <c r="B21" s="43">
        <v>41604</v>
      </c>
      <c r="C21" s="3" t="s">
        <v>9</v>
      </c>
      <c r="D21" s="2" t="s">
        <v>183</v>
      </c>
      <c r="E21" s="4">
        <v>589.5</v>
      </c>
      <c r="F21" s="4">
        <v>594.20000000000005</v>
      </c>
      <c r="G21" s="5">
        <v>508.90585241730281</v>
      </c>
      <c r="H21" s="28">
        <v>1195.9287531806731</v>
      </c>
      <c r="K21" s="45"/>
    </row>
    <row r="22" spans="2:11" x14ac:dyDescent="0.3">
      <c r="B22" s="43">
        <v>41605</v>
      </c>
      <c r="C22" s="3" t="s">
        <v>9</v>
      </c>
      <c r="D22" s="2" t="s">
        <v>187</v>
      </c>
      <c r="E22" s="5">
        <v>127</v>
      </c>
      <c r="F22" s="4">
        <v>128.15</v>
      </c>
      <c r="G22" s="5">
        <v>2362.2047244094488</v>
      </c>
      <c r="H22" s="28">
        <v>1358.2677165354398</v>
      </c>
      <c r="K22" s="45"/>
    </row>
    <row r="23" spans="2:11" x14ac:dyDescent="0.3">
      <c r="B23" s="43">
        <v>41606</v>
      </c>
      <c r="C23" s="3" t="s">
        <v>61</v>
      </c>
      <c r="D23" s="2" t="s">
        <v>31</v>
      </c>
      <c r="E23" s="5">
        <v>846</v>
      </c>
      <c r="F23" s="4">
        <v>854.25</v>
      </c>
      <c r="G23" s="5">
        <v>354.6099290780142</v>
      </c>
      <c r="H23" s="28">
        <v>2925.5319148936173</v>
      </c>
      <c r="K23" s="45"/>
    </row>
    <row r="24" spans="2:11" x14ac:dyDescent="0.3">
      <c r="B24" s="43">
        <v>41607</v>
      </c>
      <c r="C24" s="3" t="s">
        <v>61</v>
      </c>
      <c r="D24" s="2" t="s">
        <v>48</v>
      </c>
      <c r="E24" s="5">
        <v>619</v>
      </c>
      <c r="F24" s="5">
        <v>636.5</v>
      </c>
      <c r="G24" s="5">
        <v>484.65266558966073</v>
      </c>
      <c r="H24" s="28">
        <v>7390.953150242326</v>
      </c>
      <c r="K24" s="45"/>
    </row>
    <row r="25" spans="2:11" x14ac:dyDescent="0.3">
      <c r="B25" s="1"/>
      <c r="G25" s="16"/>
      <c r="H25" s="29">
        <v>18053</v>
      </c>
    </row>
    <row r="26" spans="2:11" ht="15.6" x14ac:dyDescent="0.3">
      <c r="B26" s="1"/>
      <c r="C26" s="28"/>
      <c r="D26" s="28"/>
      <c r="E26" s="28"/>
      <c r="F26" s="28"/>
      <c r="G26" s="28"/>
      <c r="H26" s="36"/>
    </row>
    <row r="27" spans="2:11" ht="15.6" x14ac:dyDescent="0.3">
      <c r="C27" s="28"/>
      <c r="D27" s="28"/>
      <c r="E27" s="28"/>
      <c r="F27" s="28"/>
      <c r="G27" s="28"/>
      <c r="H27" s="34"/>
    </row>
    <row r="28" spans="2:11" ht="15.6" x14ac:dyDescent="0.3">
      <c r="B28" s="48" t="s">
        <v>62</v>
      </c>
      <c r="C28" s="48"/>
      <c r="D28" s="48"/>
      <c r="E28" s="48"/>
      <c r="F28" s="48"/>
      <c r="G28" s="48"/>
      <c r="H28" s="48"/>
    </row>
    <row r="29" spans="2:11" x14ac:dyDescent="0.3">
      <c r="B29" s="43">
        <v>41579</v>
      </c>
      <c r="C29" s="3" t="s">
        <v>11</v>
      </c>
      <c r="D29" s="2" t="s">
        <v>36</v>
      </c>
      <c r="E29" s="5">
        <v>1129</v>
      </c>
      <c r="F29" s="5">
        <v>1149</v>
      </c>
      <c r="G29" s="5">
        <v>500</v>
      </c>
      <c r="H29" s="40" t="s">
        <v>244</v>
      </c>
      <c r="J29" s="45"/>
    </row>
    <row r="30" spans="2:11" x14ac:dyDescent="0.3">
      <c r="B30" s="43">
        <v>41583</v>
      </c>
      <c r="C30" s="3" t="s">
        <v>11</v>
      </c>
      <c r="D30" s="2" t="s">
        <v>19</v>
      </c>
      <c r="E30" s="5">
        <v>1870</v>
      </c>
      <c r="F30" s="5">
        <v>1911</v>
      </c>
      <c r="G30" s="5">
        <v>250</v>
      </c>
      <c r="H30" s="28">
        <v>7125</v>
      </c>
      <c r="J30" s="45"/>
    </row>
    <row r="31" spans="2:11" x14ac:dyDescent="0.3">
      <c r="B31" s="43">
        <v>41584</v>
      </c>
      <c r="C31" s="3" t="s">
        <v>11</v>
      </c>
      <c r="D31" s="2" t="s">
        <v>22</v>
      </c>
      <c r="E31" s="4">
        <v>114.7</v>
      </c>
      <c r="F31" s="4">
        <v>112.5</v>
      </c>
      <c r="G31" s="5">
        <v>2000</v>
      </c>
      <c r="H31" s="28">
        <v>-4400.0000000000055</v>
      </c>
      <c r="J31" s="45"/>
    </row>
    <row r="32" spans="2:11" x14ac:dyDescent="0.3">
      <c r="B32" s="43">
        <v>41585</v>
      </c>
      <c r="C32" s="3" t="s">
        <v>8</v>
      </c>
      <c r="D32" s="2" t="s">
        <v>48</v>
      </c>
      <c r="E32" s="5">
        <v>641</v>
      </c>
      <c r="F32" s="4">
        <v>627.29999999999995</v>
      </c>
      <c r="G32" s="5">
        <v>1000</v>
      </c>
      <c r="H32" s="28">
        <v>10350.000000000022</v>
      </c>
      <c r="J32" s="45"/>
    </row>
    <row r="33" spans="2:10" x14ac:dyDescent="0.3">
      <c r="B33" s="43">
        <v>41586</v>
      </c>
      <c r="C33" s="3" t="s">
        <v>11</v>
      </c>
      <c r="D33" s="2" t="s">
        <v>190</v>
      </c>
      <c r="E33" s="4">
        <v>406.2</v>
      </c>
      <c r="F33" s="4">
        <v>420.8</v>
      </c>
      <c r="G33" s="5">
        <v>1000</v>
      </c>
      <c r="H33" s="28">
        <v>9550.0000000000109</v>
      </c>
      <c r="J33" s="45"/>
    </row>
    <row r="34" spans="2:10" x14ac:dyDescent="0.3">
      <c r="B34" s="43">
        <v>41589</v>
      </c>
      <c r="C34" s="3" t="s">
        <v>8</v>
      </c>
      <c r="D34" s="2" t="s">
        <v>119</v>
      </c>
      <c r="E34" s="5">
        <v>723</v>
      </c>
      <c r="F34" s="4">
        <v>715.35</v>
      </c>
      <c r="G34" s="5">
        <v>1000</v>
      </c>
      <c r="H34" s="28">
        <v>7649.9999999999773</v>
      </c>
      <c r="J34" s="45"/>
    </row>
    <row r="35" spans="2:10" x14ac:dyDescent="0.3">
      <c r="B35" s="43">
        <v>41592</v>
      </c>
      <c r="C35" s="3" t="s">
        <v>61</v>
      </c>
      <c r="D35" s="2" t="s">
        <v>20</v>
      </c>
      <c r="E35" s="5">
        <v>1075</v>
      </c>
      <c r="F35" s="5">
        <v>1107</v>
      </c>
      <c r="G35" s="5">
        <v>500</v>
      </c>
      <c r="H35" s="28">
        <v>12475.000000000022</v>
      </c>
      <c r="J35" s="45"/>
    </row>
    <row r="36" spans="2:10" x14ac:dyDescent="0.3">
      <c r="B36" s="43">
        <v>41596</v>
      </c>
      <c r="C36" s="3" t="s">
        <v>61</v>
      </c>
      <c r="D36" s="2" t="s">
        <v>20</v>
      </c>
      <c r="E36" s="5">
        <v>1126</v>
      </c>
      <c r="F36" s="4">
        <v>1144.75</v>
      </c>
      <c r="G36" s="5">
        <v>500</v>
      </c>
      <c r="H36" s="28">
        <v>7537.5000000000227</v>
      </c>
      <c r="J36" s="45"/>
    </row>
    <row r="37" spans="2:10" x14ac:dyDescent="0.3">
      <c r="B37" s="43">
        <v>41597</v>
      </c>
      <c r="C37" s="3" t="s">
        <v>61</v>
      </c>
      <c r="D37" s="2" t="s">
        <v>37</v>
      </c>
      <c r="E37" s="4">
        <v>121.45</v>
      </c>
      <c r="F37" s="4">
        <v>124.85</v>
      </c>
      <c r="G37" s="5">
        <v>4000</v>
      </c>
      <c r="H37" s="28">
        <v>11099.999999999965</v>
      </c>
      <c r="J37" s="45"/>
    </row>
    <row r="38" spans="2:10" x14ac:dyDescent="0.3">
      <c r="B38" s="43">
        <v>41598</v>
      </c>
      <c r="C38" s="3" t="s">
        <v>61</v>
      </c>
      <c r="D38" s="2" t="s">
        <v>124</v>
      </c>
      <c r="E38" s="5">
        <v>389.7</v>
      </c>
      <c r="F38" s="4">
        <v>393.05</v>
      </c>
      <c r="G38" s="5">
        <v>2000</v>
      </c>
      <c r="H38" s="28">
        <v>3350.0000000000227</v>
      </c>
      <c r="J38" s="45"/>
    </row>
    <row r="39" spans="2:10" x14ac:dyDescent="0.3">
      <c r="B39" s="43">
        <v>41599</v>
      </c>
      <c r="C39" s="3" t="s">
        <v>8</v>
      </c>
      <c r="D39" s="2" t="s">
        <v>36</v>
      </c>
      <c r="E39" s="5">
        <v>1043</v>
      </c>
      <c r="F39" s="4">
        <v>1025.0999999999999</v>
      </c>
      <c r="G39" s="5">
        <v>500</v>
      </c>
      <c r="H39" s="28">
        <v>7850.0000000000227</v>
      </c>
      <c r="J39" s="45"/>
    </row>
    <row r="40" spans="2:10" x14ac:dyDescent="0.3">
      <c r="B40" s="43">
        <v>41600</v>
      </c>
      <c r="C40" s="3" t="s">
        <v>61</v>
      </c>
      <c r="D40" s="2" t="s">
        <v>41</v>
      </c>
      <c r="E40" s="5">
        <v>10795</v>
      </c>
      <c r="F40" s="5">
        <v>10829.5</v>
      </c>
      <c r="G40" s="5">
        <v>50</v>
      </c>
      <c r="H40" s="28">
        <v>862.5</v>
      </c>
      <c r="J40" s="45"/>
    </row>
    <row r="41" spans="2:10" x14ac:dyDescent="0.3">
      <c r="B41" s="43">
        <v>41603</v>
      </c>
      <c r="C41" s="3" t="s">
        <v>61</v>
      </c>
      <c r="D41" s="2" t="s">
        <v>12</v>
      </c>
      <c r="E41" s="5">
        <v>100</v>
      </c>
      <c r="F41" s="5">
        <v>101</v>
      </c>
      <c r="G41" s="5">
        <v>4000</v>
      </c>
      <c r="H41" s="28">
        <v>2000</v>
      </c>
      <c r="J41" s="45"/>
    </row>
    <row r="42" spans="2:10" x14ac:dyDescent="0.3">
      <c r="B42" s="43">
        <v>41604</v>
      </c>
      <c r="C42" s="3" t="s">
        <v>61</v>
      </c>
      <c r="D42" s="2" t="s">
        <v>160</v>
      </c>
      <c r="E42" s="5">
        <v>390</v>
      </c>
      <c r="F42" s="5">
        <v>383</v>
      </c>
      <c r="G42" s="5">
        <v>1000</v>
      </c>
      <c r="H42" s="28">
        <v>-7000</v>
      </c>
      <c r="J42" s="45"/>
    </row>
    <row r="43" spans="2:10" x14ac:dyDescent="0.3">
      <c r="B43" s="43">
        <v>41605</v>
      </c>
      <c r="C43" s="3" t="s">
        <v>61</v>
      </c>
      <c r="D43" s="2" t="s">
        <v>191</v>
      </c>
      <c r="E43" s="5">
        <v>311</v>
      </c>
      <c r="F43" s="5">
        <v>315.5</v>
      </c>
      <c r="G43" s="5">
        <v>2000</v>
      </c>
      <c r="H43" s="28">
        <v>9000</v>
      </c>
      <c r="J43" s="45"/>
    </row>
    <row r="44" spans="2:10" x14ac:dyDescent="0.3">
      <c r="B44" s="43">
        <v>41607</v>
      </c>
      <c r="C44" s="3" t="s">
        <v>61</v>
      </c>
      <c r="D44" s="2" t="s">
        <v>119</v>
      </c>
      <c r="E44" s="4">
        <v>762.5</v>
      </c>
      <c r="F44" s="5">
        <v>769</v>
      </c>
      <c r="G44" s="5">
        <v>1000</v>
      </c>
      <c r="H44" s="28">
        <v>3250</v>
      </c>
      <c r="J44" s="45"/>
    </row>
    <row r="45" spans="2:10" x14ac:dyDescent="0.3">
      <c r="B45" s="1"/>
      <c r="C45" s="4"/>
      <c r="D45" s="7"/>
      <c r="E45" s="7"/>
      <c r="F45" s="7"/>
      <c r="G45" s="28"/>
      <c r="H45" s="29">
        <v>80700</v>
      </c>
    </row>
    <row r="46" spans="2:10" x14ac:dyDescent="0.3">
      <c r="B46" s="1"/>
      <c r="H46" s="29"/>
    </row>
    <row r="47" spans="2:10" ht="15.6" x14ac:dyDescent="0.3">
      <c r="B47" s="1"/>
      <c r="C47" s="4"/>
      <c r="D47" s="4"/>
      <c r="E47" s="4"/>
      <c r="F47" s="4"/>
      <c r="G47" s="28"/>
      <c r="H47" s="36"/>
    </row>
    <row r="48" spans="2:10" ht="15.6" x14ac:dyDescent="0.3">
      <c r="B48" s="48" t="s">
        <v>63</v>
      </c>
      <c r="C48" s="48"/>
      <c r="D48" s="48"/>
      <c r="E48" s="48"/>
      <c r="F48" s="48"/>
      <c r="G48" s="48"/>
      <c r="H48" s="48"/>
    </row>
    <row r="49" spans="2:8" x14ac:dyDescent="0.3">
      <c r="B49" s="43">
        <v>41579</v>
      </c>
      <c r="C49" s="3" t="s">
        <v>11</v>
      </c>
      <c r="D49" s="2" t="s">
        <v>39</v>
      </c>
      <c r="E49" s="5">
        <v>6340</v>
      </c>
      <c r="F49" s="5">
        <v>6355</v>
      </c>
      <c r="G49" s="5">
        <v>100</v>
      </c>
      <c r="H49" s="4">
        <v>1500</v>
      </c>
    </row>
    <row r="50" spans="2:8" x14ac:dyDescent="0.3">
      <c r="B50" s="43">
        <v>41583</v>
      </c>
      <c r="C50" s="3" t="s">
        <v>11</v>
      </c>
      <c r="D50" s="2" t="s">
        <v>39</v>
      </c>
      <c r="E50" s="5">
        <v>6300</v>
      </c>
      <c r="F50" s="5">
        <v>6350</v>
      </c>
      <c r="G50" s="5">
        <v>100</v>
      </c>
      <c r="H50" s="4">
        <v>5000</v>
      </c>
    </row>
    <row r="51" spans="2:8" x14ac:dyDescent="0.3">
      <c r="B51" s="43">
        <v>41584</v>
      </c>
      <c r="C51" s="3" t="s">
        <v>8</v>
      </c>
      <c r="D51" s="2" t="s">
        <v>39</v>
      </c>
      <c r="E51" s="5">
        <v>6300</v>
      </c>
      <c r="F51" s="5">
        <v>6275</v>
      </c>
      <c r="G51" s="5">
        <v>100</v>
      </c>
      <c r="H51" s="28">
        <v>2500</v>
      </c>
    </row>
    <row r="52" spans="2:8" x14ac:dyDescent="0.3">
      <c r="B52" s="43">
        <v>41585</v>
      </c>
      <c r="C52" s="3" t="s">
        <v>8</v>
      </c>
      <c r="D52" s="2" t="s">
        <v>41</v>
      </c>
      <c r="E52" s="5">
        <v>11320</v>
      </c>
      <c r="F52" s="4">
        <v>11290</v>
      </c>
      <c r="G52" s="5">
        <v>50</v>
      </c>
      <c r="H52" s="4">
        <v>1500</v>
      </c>
    </row>
    <row r="53" spans="2:8" x14ac:dyDescent="0.3">
      <c r="B53" s="43">
        <v>41586</v>
      </c>
      <c r="C53" s="3" t="s">
        <v>11</v>
      </c>
      <c r="D53" s="2" t="s">
        <v>41</v>
      </c>
      <c r="E53" s="5">
        <v>11100</v>
      </c>
      <c r="F53" s="5">
        <v>11130</v>
      </c>
      <c r="G53" s="5">
        <v>50</v>
      </c>
      <c r="H53" s="4">
        <v>1500</v>
      </c>
    </row>
    <row r="54" spans="2:8" x14ac:dyDescent="0.3">
      <c r="B54" s="43">
        <v>41589</v>
      </c>
      <c r="C54" s="3" t="s">
        <v>9</v>
      </c>
      <c r="D54" s="2" t="s">
        <v>39</v>
      </c>
      <c r="E54" s="50">
        <v>6165</v>
      </c>
      <c r="F54" s="50">
        <v>6140</v>
      </c>
      <c r="G54" s="51">
        <v>100</v>
      </c>
      <c r="H54" s="4">
        <v>-2500</v>
      </c>
    </row>
    <row r="55" spans="2:8" x14ac:dyDescent="0.3">
      <c r="B55" s="43">
        <v>41590</v>
      </c>
      <c r="C55" s="3" t="s">
        <v>8</v>
      </c>
      <c r="D55" s="30" t="s">
        <v>39</v>
      </c>
      <c r="E55" s="5">
        <v>6110</v>
      </c>
      <c r="F55" s="5">
        <v>6075</v>
      </c>
      <c r="G55" s="5">
        <v>100</v>
      </c>
      <c r="H55" s="28">
        <v>3500</v>
      </c>
    </row>
    <row r="56" spans="2:8" x14ac:dyDescent="0.3">
      <c r="B56" s="43">
        <v>41591</v>
      </c>
      <c r="C56" s="3" t="s">
        <v>8</v>
      </c>
      <c r="D56" s="30" t="s">
        <v>39</v>
      </c>
      <c r="E56" s="5">
        <v>6060</v>
      </c>
      <c r="F56" s="5">
        <v>6045</v>
      </c>
      <c r="G56" s="5">
        <v>100</v>
      </c>
      <c r="H56" s="4">
        <v>1500</v>
      </c>
    </row>
    <row r="57" spans="2:8" x14ac:dyDescent="0.3">
      <c r="B57" s="43">
        <v>41592</v>
      </c>
      <c r="C57" s="3" t="s">
        <v>9</v>
      </c>
      <c r="D57" s="30" t="s">
        <v>39</v>
      </c>
      <c r="E57" s="5">
        <v>6095</v>
      </c>
      <c r="F57" s="4">
        <v>6110</v>
      </c>
      <c r="G57" s="5">
        <v>100</v>
      </c>
      <c r="H57" s="4">
        <v>1500</v>
      </c>
    </row>
    <row r="58" spans="2:8" x14ac:dyDescent="0.3">
      <c r="B58" s="43">
        <v>41597</v>
      </c>
      <c r="C58" s="3" t="s">
        <v>61</v>
      </c>
      <c r="D58" s="2" t="s">
        <v>39</v>
      </c>
      <c r="E58" s="5">
        <v>6220</v>
      </c>
      <c r="F58" s="4">
        <v>6235</v>
      </c>
      <c r="G58" s="5">
        <v>100</v>
      </c>
      <c r="H58" s="4">
        <v>1500</v>
      </c>
    </row>
    <row r="59" spans="2:8" x14ac:dyDescent="0.3">
      <c r="B59" s="43">
        <v>41598</v>
      </c>
      <c r="C59" s="3" t="s">
        <v>61</v>
      </c>
      <c r="D59" s="2" t="s">
        <v>39</v>
      </c>
      <c r="E59" s="5">
        <v>6205</v>
      </c>
      <c r="F59" s="4">
        <v>6220</v>
      </c>
      <c r="G59" s="5">
        <v>100</v>
      </c>
      <c r="H59" s="4">
        <v>1500</v>
      </c>
    </row>
    <row r="60" spans="2:8" x14ac:dyDescent="0.3">
      <c r="B60" s="43">
        <v>41599</v>
      </c>
      <c r="C60" s="3" t="s">
        <v>8</v>
      </c>
      <c r="D60" s="2" t="s">
        <v>39</v>
      </c>
      <c r="E60" s="5">
        <v>6100</v>
      </c>
      <c r="F60" s="5">
        <v>6050</v>
      </c>
      <c r="G60" s="5">
        <v>100</v>
      </c>
      <c r="H60" s="4">
        <v>5000</v>
      </c>
    </row>
    <row r="61" spans="2:8" x14ac:dyDescent="0.3">
      <c r="B61" s="43">
        <v>41603</v>
      </c>
      <c r="C61" s="30" t="s">
        <v>9</v>
      </c>
      <c r="D61" s="2" t="s">
        <v>41</v>
      </c>
      <c r="E61" s="5">
        <v>10920</v>
      </c>
      <c r="F61" s="5">
        <v>11000</v>
      </c>
      <c r="G61" s="5">
        <v>50</v>
      </c>
      <c r="H61" s="4">
        <v>4000</v>
      </c>
    </row>
    <row r="62" spans="2:8" x14ac:dyDescent="0.3">
      <c r="B62" s="43">
        <v>41605</v>
      </c>
      <c r="C62" s="3" t="s">
        <v>61</v>
      </c>
      <c r="D62" s="2" t="s">
        <v>39</v>
      </c>
      <c r="E62" s="5">
        <v>6060</v>
      </c>
      <c r="F62" s="5">
        <v>6085</v>
      </c>
      <c r="G62" s="5">
        <v>100</v>
      </c>
      <c r="H62" s="4">
        <v>2500</v>
      </c>
    </row>
    <row r="63" spans="2:8" x14ac:dyDescent="0.3">
      <c r="B63" s="43">
        <v>41606</v>
      </c>
      <c r="C63" s="3" t="s">
        <v>61</v>
      </c>
      <c r="D63" s="2" t="s">
        <v>39</v>
      </c>
      <c r="E63" s="5">
        <v>6100</v>
      </c>
      <c r="F63" s="5">
        <v>6120</v>
      </c>
      <c r="G63" s="5">
        <v>100</v>
      </c>
      <c r="H63" s="28">
        <v>2000</v>
      </c>
    </row>
    <row r="64" spans="2:8" x14ac:dyDescent="0.3">
      <c r="B64" s="43">
        <v>41607</v>
      </c>
      <c r="C64" s="3" t="s">
        <v>61</v>
      </c>
      <c r="D64" s="2" t="s">
        <v>41</v>
      </c>
      <c r="E64" s="5">
        <v>11100</v>
      </c>
      <c r="F64" s="5">
        <v>11250</v>
      </c>
      <c r="G64" s="5">
        <v>50</v>
      </c>
      <c r="H64" s="4">
        <v>7500</v>
      </c>
    </row>
    <row r="65" spans="2:8" x14ac:dyDescent="0.3">
      <c r="B65" s="1"/>
      <c r="C65" s="28"/>
      <c r="D65" s="30"/>
      <c r="E65" s="28"/>
      <c r="F65" s="28"/>
      <c r="G65" s="28"/>
      <c r="H65" s="29">
        <v>40000</v>
      </c>
    </row>
    <row r="66" spans="2:8" x14ac:dyDescent="0.3">
      <c r="B66" s="1"/>
      <c r="C66" s="28"/>
      <c r="D66" s="28"/>
      <c r="E66" s="28"/>
      <c r="F66" s="28"/>
      <c r="G66" s="28"/>
      <c r="H66" s="28"/>
    </row>
    <row r="67" spans="2:8" ht="15.6" x14ac:dyDescent="0.3">
      <c r="C67" s="30"/>
      <c r="D67" s="30"/>
      <c r="E67" s="30"/>
      <c r="F67" s="30"/>
      <c r="G67" s="30"/>
      <c r="H67" s="34"/>
    </row>
    <row r="68" spans="2:8" ht="15.6" x14ac:dyDescent="0.3">
      <c r="C68" s="30"/>
      <c r="D68" s="30"/>
      <c r="E68" s="30"/>
      <c r="F68" s="30"/>
      <c r="G68" s="30"/>
      <c r="H68" s="34"/>
    </row>
    <row r="69" spans="2:8" ht="15.6" x14ac:dyDescent="0.3">
      <c r="C69" s="30"/>
      <c r="D69" s="30"/>
      <c r="E69" s="30"/>
      <c r="F69" s="30"/>
      <c r="G69" s="30"/>
      <c r="H69" s="34"/>
    </row>
    <row r="71" spans="2:8" ht="15.6" x14ac:dyDescent="0.3">
      <c r="B71" s="48" t="s">
        <v>64</v>
      </c>
      <c r="C71" s="48"/>
      <c r="D71" s="48"/>
      <c r="E71" s="48"/>
      <c r="F71" s="48"/>
      <c r="G71" s="48"/>
      <c r="H71" s="48"/>
    </row>
    <row r="72" spans="2:8" x14ac:dyDescent="0.3">
      <c r="B72" s="43">
        <v>41579</v>
      </c>
      <c r="C72" s="3" t="s">
        <v>65</v>
      </c>
      <c r="D72" s="3" t="s">
        <v>218</v>
      </c>
      <c r="E72" s="41">
        <v>145</v>
      </c>
      <c r="F72" s="40" t="s">
        <v>226</v>
      </c>
      <c r="G72" s="2">
        <v>200</v>
      </c>
      <c r="H72" s="28">
        <v>2000</v>
      </c>
    </row>
    <row r="73" spans="2:8" x14ac:dyDescent="0.3">
      <c r="B73" s="43">
        <v>41583</v>
      </c>
      <c r="C73" s="3" t="s">
        <v>65</v>
      </c>
      <c r="D73" s="3" t="s">
        <v>218</v>
      </c>
      <c r="E73" s="41">
        <v>117</v>
      </c>
      <c r="F73" s="40">
        <v>140</v>
      </c>
      <c r="G73" s="2">
        <v>200</v>
      </c>
      <c r="H73" s="28">
        <v>4600</v>
      </c>
    </row>
    <row r="74" spans="2:8" x14ac:dyDescent="0.3">
      <c r="B74" s="43">
        <v>41584</v>
      </c>
      <c r="C74" s="3" t="s">
        <v>69</v>
      </c>
      <c r="D74" s="3" t="s">
        <v>219</v>
      </c>
      <c r="E74" s="41">
        <v>111</v>
      </c>
      <c r="F74" s="40">
        <v>121</v>
      </c>
      <c r="G74" s="2">
        <v>200</v>
      </c>
      <c r="H74" s="28">
        <v>2000</v>
      </c>
    </row>
    <row r="75" spans="2:8" x14ac:dyDescent="0.3">
      <c r="B75" s="43">
        <v>41585</v>
      </c>
      <c r="C75" s="3" t="s">
        <v>65</v>
      </c>
      <c r="D75" s="3" t="s">
        <v>218</v>
      </c>
      <c r="E75" s="41" t="s">
        <v>227</v>
      </c>
      <c r="F75" s="40" t="s">
        <v>228</v>
      </c>
      <c r="G75" s="2">
        <v>200</v>
      </c>
      <c r="H75" s="28">
        <v>5000</v>
      </c>
    </row>
    <row r="76" spans="2:8" x14ac:dyDescent="0.3">
      <c r="B76" s="43">
        <v>41586</v>
      </c>
      <c r="C76" s="3" t="s">
        <v>65</v>
      </c>
      <c r="D76" s="3" t="s">
        <v>220</v>
      </c>
      <c r="E76" s="41">
        <v>109</v>
      </c>
      <c r="F76" s="40">
        <v>90</v>
      </c>
      <c r="G76" s="2">
        <v>200</v>
      </c>
      <c r="H76" s="28">
        <v>-3800</v>
      </c>
    </row>
    <row r="77" spans="2:8" x14ac:dyDescent="0.3">
      <c r="B77" s="43">
        <v>41589</v>
      </c>
      <c r="C77" s="3" t="s">
        <v>65</v>
      </c>
      <c r="D77" s="3" t="s">
        <v>221</v>
      </c>
      <c r="E77" s="41">
        <v>117</v>
      </c>
      <c r="F77" s="40">
        <v>135</v>
      </c>
      <c r="G77" s="2">
        <v>200</v>
      </c>
      <c r="H77" s="28">
        <v>3600</v>
      </c>
    </row>
    <row r="78" spans="2:8" x14ac:dyDescent="0.3">
      <c r="B78" s="43">
        <v>41590</v>
      </c>
      <c r="C78" s="3" t="s">
        <v>65</v>
      </c>
      <c r="D78" s="3" t="s">
        <v>222</v>
      </c>
      <c r="E78" s="41">
        <v>106</v>
      </c>
      <c r="F78" s="40">
        <v>115</v>
      </c>
      <c r="G78" s="2">
        <v>200</v>
      </c>
      <c r="H78" s="28">
        <v>1800</v>
      </c>
    </row>
    <row r="79" spans="2:8" x14ac:dyDescent="0.3">
      <c r="B79" s="43">
        <v>41591</v>
      </c>
      <c r="C79" s="3" t="s">
        <v>69</v>
      </c>
      <c r="D79" s="3" t="s">
        <v>223</v>
      </c>
      <c r="E79" s="41">
        <v>114</v>
      </c>
      <c r="F79" s="40">
        <v>122</v>
      </c>
      <c r="G79" s="2">
        <v>200</v>
      </c>
      <c r="H79" s="28">
        <v>1600</v>
      </c>
    </row>
    <row r="80" spans="2:8" x14ac:dyDescent="0.3">
      <c r="B80" s="43">
        <v>41592</v>
      </c>
      <c r="C80" s="3" t="s">
        <v>65</v>
      </c>
      <c r="D80" s="3" t="s">
        <v>224</v>
      </c>
      <c r="E80" s="41">
        <v>152</v>
      </c>
      <c r="F80" s="40">
        <v>163</v>
      </c>
      <c r="G80" s="2">
        <v>200</v>
      </c>
      <c r="H80" s="28">
        <v>2200</v>
      </c>
    </row>
    <row r="81" spans="2:8" x14ac:dyDescent="0.3">
      <c r="B81" s="43">
        <v>41596</v>
      </c>
      <c r="C81" s="3" t="s">
        <v>65</v>
      </c>
      <c r="D81" s="3" t="s">
        <v>222</v>
      </c>
      <c r="E81" s="41">
        <v>106</v>
      </c>
      <c r="F81" s="40">
        <v>120</v>
      </c>
      <c r="G81" s="2">
        <v>200</v>
      </c>
      <c r="H81" s="28">
        <v>2800</v>
      </c>
    </row>
    <row r="82" spans="2:8" x14ac:dyDescent="0.3">
      <c r="B82" s="43">
        <v>41597</v>
      </c>
      <c r="C82" s="3" t="s">
        <v>65</v>
      </c>
      <c r="D82" s="3" t="s">
        <v>222</v>
      </c>
      <c r="E82" s="41">
        <v>145</v>
      </c>
      <c r="F82" s="40">
        <v>155</v>
      </c>
      <c r="G82" s="2">
        <v>200</v>
      </c>
      <c r="H82" s="28">
        <v>2000</v>
      </c>
    </row>
    <row r="83" spans="2:8" x14ac:dyDescent="0.3">
      <c r="B83" s="43">
        <v>41598</v>
      </c>
      <c r="C83" s="3" t="s">
        <v>65</v>
      </c>
      <c r="D83" s="3" t="s">
        <v>222</v>
      </c>
      <c r="E83" s="41">
        <v>130</v>
      </c>
      <c r="F83" s="40">
        <v>139</v>
      </c>
      <c r="G83" s="2">
        <v>200</v>
      </c>
      <c r="H83" s="28">
        <v>1800</v>
      </c>
    </row>
    <row r="84" spans="2:8" x14ac:dyDescent="0.3">
      <c r="B84" s="43">
        <v>41599</v>
      </c>
      <c r="C84" s="3" t="s">
        <v>69</v>
      </c>
      <c r="D84" s="3" t="s">
        <v>221</v>
      </c>
      <c r="E84" s="41">
        <v>120</v>
      </c>
      <c r="F84" s="40" t="s">
        <v>229</v>
      </c>
      <c r="G84" s="2">
        <v>200</v>
      </c>
      <c r="H84" s="28">
        <v>8000</v>
      </c>
    </row>
    <row r="85" spans="2:8" x14ac:dyDescent="0.3">
      <c r="B85" s="43">
        <v>41600</v>
      </c>
      <c r="C85" s="3" t="s">
        <v>65</v>
      </c>
      <c r="D85" s="3" t="s">
        <v>224</v>
      </c>
      <c r="E85" s="41">
        <v>73</v>
      </c>
      <c r="F85" s="40" t="s">
        <v>225</v>
      </c>
      <c r="G85" s="2">
        <v>200</v>
      </c>
      <c r="H85" s="28">
        <v>1800</v>
      </c>
    </row>
    <row r="86" spans="2:8" x14ac:dyDescent="0.3">
      <c r="B86" s="43">
        <v>41603</v>
      </c>
      <c r="C86" s="3" t="s">
        <v>65</v>
      </c>
      <c r="D86" s="3" t="s">
        <v>224</v>
      </c>
      <c r="E86" s="41">
        <v>98</v>
      </c>
      <c r="F86" s="40">
        <v>118</v>
      </c>
      <c r="G86" s="2">
        <v>200</v>
      </c>
      <c r="H86" s="28">
        <v>2000</v>
      </c>
    </row>
    <row r="87" spans="2:8" x14ac:dyDescent="0.3">
      <c r="B87" s="43">
        <v>41604</v>
      </c>
      <c r="C87" s="3" t="s">
        <v>69</v>
      </c>
      <c r="D87" s="3" t="s">
        <v>221</v>
      </c>
      <c r="E87" s="41" t="s">
        <v>230</v>
      </c>
      <c r="F87" s="40" t="s">
        <v>231</v>
      </c>
      <c r="G87" s="2">
        <v>200</v>
      </c>
      <c r="H87" s="28">
        <v>6000</v>
      </c>
    </row>
    <row r="88" spans="2:8" x14ac:dyDescent="0.3">
      <c r="B88" s="43">
        <v>41605</v>
      </c>
      <c r="C88" s="3" t="s">
        <v>65</v>
      </c>
      <c r="D88" s="3" t="s">
        <v>212</v>
      </c>
      <c r="E88" s="41">
        <v>144</v>
      </c>
      <c r="F88" s="40">
        <v>147</v>
      </c>
      <c r="G88" s="2">
        <v>200</v>
      </c>
      <c r="H88" s="28">
        <v>600</v>
      </c>
    </row>
    <row r="89" spans="2:8" x14ac:dyDescent="0.3">
      <c r="B89" s="43">
        <v>41606</v>
      </c>
      <c r="C89" s="3" t="s">
        <v>65</v>
      </c>
      <c r="D89" s="3" t="s">
        <v>212</v>
      </c>
      <c r="E89" s="41">
        <v>160</v>
      </c>
      <c r="F89" s="40">
        <v>168</v>
      </c>
      <c r="G89" s="2">
        <v>200</v>
      </c>
      <c r="H89" s="28">
        <v>1600</v>
      </c>
    </row>
    <row r="90" spans="2:8" ht="15.6" x14ac:dyDescent="0.3">
      <c r="B90" s="43">
        <v>41607</v>
      </c>
      <c r="C90" s="3" t="s">
        <v>65</v>
      </c>
      <c r="D90" s="3" t="s">
        <v>211</v>
      </c>
      <c r="E90" s="41">
        <v>120</v>
      </c>
      <c r="F90" s="40" t="s">
        <v>232</v>
      </c>
      <c r="G90" s="2">
        <v>200</v>
      </c>
      <c r="H90" s="36">
        <v>4000</v>
      </c>
    </row>
    <row r="91" spans="2:8" x14ac:dyDescent="0.3">
      <c r="B91" s="1"/>
      <c r="C91" s="28"/>
      <c r="D91" s="28"/>
      <c r="E91" s="28"/>
      <c r="F91" s="28"/>
      <c r="G91" s="28"/>
      <c r="H91" s="29">
        <v>49600</v>
      </c>
    </row>
    <row r="92" spans="2:8" x14ac:dyDescent="0.3">
      <c r="B92" s="1"/>
      <c r="C92" s="28"/>
      <c r="D92" s="28"/>
      <c r="E92" s="28"/>
      <c r="F92" s="28"/>
      <c r="G92" s="28"/>
      <c r="H92" s="28"/>
    </row>
    <row r="93" spans="2:8" ht="15.6" x14ac:dyDescent="0.3">
      <c r="C93" s="28"/>
      <c r="D93" s="28"/>
      <c r="E93" s="28"/>
      <c r="F93" s="28"/>
      <c r="G93" s="28"/>
      <c r="H93" s="34"/>
    </row>
    <row r="94" spans="2:8" x14ac:dyDescent="0.3">
      <c r="C94" s="28"/>
      <c r="D94" s="28"/>
      <c r="E94" s="28"/>
      <c r="F94" s="28"/>
      <c r="G94" s="28"/>
      <c r="H94" s="28"/>
    </row>
    <row r="95" spans="2:8" ht="15.6" x14ac:dyDescent="0.3">
      <c r="B95" s="44"/>
      <c r="C95" s="44"/>
      <c r="D95" s="44"/>
      <c r="E95" s="44"/>
      <c r="F95" s="44"/>
      <c r="G95" s="44"/>
      <c r="H95" s="44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8"/>
    </row>
    <row r="106" spans="2:8" x14ac:dyDescent="0.3">
      <c r="B106" s="1"/>
      <c r="C106" s="28"/>
      <c r="D106" s="28"/>
      <c r="E106" s="28"/>
      <c r="F106" s="28"/>
      <c r="G106" s="28"/>
      <c r="H106" s="29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39"/>
    </row>
    <row r="112" spans="2:8" x14ac:dyDescent="0.3">
      <c r="B112" s="1"/>
    </row>
    <row r="113" spans="2:2" x14ac:dyDescent="0.3">
      <c r="B113" s="1"/>
    </row>
    <row r="114" spans="2:2" x14ac:dyDescent="0.3">
      <c r="B114" s="1"/>
    </row>
    <row r="115" spans="2:2" x14ac:dyDescent="0.3">
      <c r="B115" s="1"/>
    </row>
    <row r="116" spans="2:2" x14ac:dyDescent="0.3">
      <c r="B116" s="1"/>
    </row>
  </sheetData>
  <mergeCells count="3">
    <mergeCell ref="B1:H1"/>
    <mergeCell ref="B2:H2"/>
    <mergeCell ref="B3:H3"/>
  </mergeCells>
  <hyperlinks>
    <hyperlink ref="J2" location="'MASTER '!A1" display="Back" xr:uid="{00000000-0004-0000-0700-000000000000}"/>
  </hyperlinks>
  <pageMargins left="0.7" right="0.7" top="0.75" bottom="0.75" header="0.3" footer="0.3"/>
  <ignoredErrors>
    <ignoredError sqref="F84:F85 E87:F87 F90 E75:F75 H2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W241"/>
  <sheetViews>
    <sheetView workbookViewId="0">
      <selection activeCell="M1" sqref="M1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2844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38</v>
      </c>
      <c r="O4" s="354">
        <f>V52</f>
        <v>29</v>
      </c>
      <c r="P4" s="354">
        <f>W52</f>
        <v>9</v>
      </c>
      <c r="Q4" s="355">
        <f>N4-O4-P4</f>
        <v>0</v>
      </c>
      <c r="R4" s="314">
        <f>O4/N4</f>
        <v>0.76315789473684215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43773</v>
      </c>
      <c r="D6" s="158" t="s">
        <v>9</v>
      </c>
      <c r="E6" s="158" t="s">
        <v>78</v>
      </c>
      <c r="F6" s="230">
        <v>1462</v>
      </c>
      <c r="G6" s="222">
        <v>1466.5</v>
      </c>
      <c r="H6" s="222">
        <v>4.5</v>
      </c>
      <c r="I6" s="204">
        <f>300000/F6</f>
        <v>205.19835841313269</v>
      </c>
      <c r="J6" s="241">
        <f>H6*I6</f>
        <v>923.39261285909708</v>
      </c>
      <c r="K6" s="153"/>
      <c r="M6" s="389" t="s">
        <v>450</v>
      </c>
      <c r="N6" s="343">
        <f>COUNT(C60:C83)</f>
        <v>19</v>
      </c>
      <c r="O6" s="345">
        <f>V84</f>
        <v>15</v>
      </c>
      <c r="P6" s="345">
        <f>W84</f>
        <v>4</v>
      </c>
      <c r="Q6" s="347">
        <f>N6-O6-P6</f>
        <v>0</v>
      </c>
      <c r="R6" s="340">
        <f t="shared" ref="R6" si="0">O6/N6</f>
        <v>0.78947368421052633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43773</v>
      </c>
      <c r="D7" s="161" t="s">
        <v>8</v>
      </c>
      <c r="E7" s="161" t="s">
        <v>16</v>
      </c>
      <c r="F7" s="222">
        <v>1290</v>
      </c>
      <c r="G7" s="231">
        <v>1283</v>
      </c>
      <c r="H7" s="234">
        <v>7</v>
      </c>
      <c r="I7" s="207">
        <f t="shared" ref="I7" si="1">300000/F7</f>
        <v>232.55813953488371</v>
      </c>
      <c r="J7" s="242">
        <f t="shared" ref="J7" si="2">H7*I7</f>
        <v>1627.9069767441861</v>
      </c>
      <c r="K7" s="153"/>
      <c r="M7" s="389"/>
      <c r="N7" s="343"/>
      <c r="O7" s="345"/>
      <c r="P7" s="345"/>
      <c r="Q7" s="349"/>
      <c r="R7" s="340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43774</v>
      </c>
      <c r="D8" s="161" t="s">
        <v>9</v>
      </c>
      <c r="E8" s="161" t="s">
        <v>95</v>
      </c>
      <c r="F8" s="222">
        <v>472</v>
      </c>
      <c r="G8" s="222">
        <v>468</v>
      </c>
      <c r="H8" s="222">
        <v>-4</v>
      </c>
      <c r="I8" s="207">
        <f t="shared" ref="I8" si="6">300000/F8</f>
        <v>635.59322033898309</v>
      </c>
      <c r="J8" s="242">
        <f t="shared" ref="J8" si="7">H8*I8</f>
        <v>-2542.3728813559323</v>
      </c>
      <c r="K8" s="153"/>
      <c r="M8" s="389" t="s">
        <v>451</v>
      </c>
      <c r="N8" s="343">
        <f>COUNT(C92:C114)</f>
        <v>19</v>
      </c>
      <c r="O8" s="345">
        <f>V115</f>
        <v>14</v>
      </c>
      <c r="P8" s="345">
        <f>W115</f>
        <v>5</v>
      </c>
      <c r="Q8" s="347">
        <f>N8-O8-P8</f>
        <v>0</v>
      </c>
      <c r="R8" s="340">
        <f t="shared" ref="R8" si="8">O8/N8</f>
        <v>0.73684210526315785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43774</v>
      </c>
      <c r="D9" s="161" t="s">
        <v>8</v>
      </c>
      <c r="E9" s="161" t="s">
        <v>129</v>
      </c>
      <c r="F9" s="222">
        <v>2185</v>
      </c>
      <c r="G9" s="222">
        <v>2165</v>
      </c>
      <c r="H9" s="222">
        <v>20</v>
      </c>
      <c r="I9" s="207">
        <f t="shared" ref="I9:I36" si="9">300000/F9</f>
        <v>137.29977116704805</v>
      </c>
      <c r="J9" s="242">
        <f t="shared" ref="J9:J36" si="10">H9*I9</f>
        <v>2745.9954233409608</v>
      </c>
      <c r="K9" s="153"/>
      <c r="M9" s="389"/>
      <c r="N9" s="343"/>
      <c r="O9" s="345"/>
      <c r="P9" s="345"/>
      <c r="Q9" s="349"/>
      <c r="R9" s="340"/>
      <c r="V9" s="25">
        <f t="shared" si="3"/>
        <v>1</v>
      </c>
      <c r="W9" s="25">
        <f t="shared" si="4"/>
        <v>0</v>
      </c>
    </row>
    <row r="10" spans="1:23" x14ac:dyDescent="0.3">
      <c r="A10" s="147"/>
      <c r="B10" s="205">
        <f t="shared" si="5"/>
        <v>5</v>
      </c>
      <c r="C10" s="206">
        <v>43775</v>
      </c>
      <c r="D10" s="161" t="s">
        <v>9</v>
      </c>
      <c r="E10" s="161" t="s">
        <v>78</v>
      </c>
      <c r="F10" s="222">
        <v>1445</v>
      </c>
      <c r="G10" s="222">
        <v>1465</v>
      </c>
      <c r="H10" s="222">
        <v>20</v>
      </c>
      <c r="I10" s="207">
        <f t="shared" si="9"/>
        <v>207.61245674740485</v>
      </c>
      <c r="J10" s="242">
        <f t="shared" si="10"/>
        <v>4152.249134948097</v>
      </c>
      <c r="K10" s="153"/>
      <c r="M10" s="389" t="s">
        <v>1176</v>
      </c>
      <c r="N10" s="343">
        <f>COUNT(C123:C145)</f>
        <v>18</v>
      </c>
      <c r="O10" s="345">
        <f>V146</f>
        <v>13</v>
      </c>
      <c r="P10" s="345">
        <f>W146</f>
        <v>4</v>
      </c>
      <c r="Q10" s="347">
        <f>N10-O10-P10</f>
        <v>1</v>
      </c>
      <c r="R10" s="340">
        <f t="shared" ref="R10:R16" si="11">O10/N10</f>
        <v>0.72222222222222221</v>
      </c>
      <c r="V10" s="25">
        <f t="shared" si="3"/>
        <v>1</v>
      </c>
      <c r="W10" s="25">
        <f t="shared" si="4"/>
        <v>0</v>
      </c>
    </row>
    <row r="11" spans="1:23" x14ac:dyDescent="0.3">
      <c r="A11" s="147"/>
      <c r="B11" s="205">
        <f t="shared" si="5"/>
        <v>6</v>
      </c>
      <c r="C11" s="206">
        <v>43775</v>
      </c>
      <c r="D11" s="161" t="s">
        <v>8</v>
      </c>
      <c r="E11" s="161" t="s">
        <v>192</v>
      </c>
      <c r="F11" s="222">
        <v>205.5</v>
      </c>
      <c r="G11" s="222">
        <v>203</v>
      </c>
      <c r="H11" s="255">
        <v>2.5</v>
      </c>
      <c r="I11" s="207">
        <f t="shared" si="9"/>
        <v>1459.8540145985401</v>
      </c>
      <c r="J11" s="242">
        <f t="shared" si="10"/>
        <v>3649.63503649635</v>
      </c>
      <c r="K11" s="153"/>
      <c r="M11" s="389"/>
      <c r="N11" s="343"/>
      <c r="O11" s="345"/>
      <c r="P11" s="345"/>
      <c r="Q11" s="349"/>
      <c r="R11" s="340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43776</v>
      </c>
      <c r="D12" s="161" t="s">
        <v>9</v>
      </c>
      <c r="E12" s="161" t="s">
        <v>129</v>
      </c>
      <c r="F12" s="222">
        <v>2253</v>
      </c>
      <c r="G12" s="222">
        <v>2260</v>
      </c>
      <c r="H12" s="222">
        <v>7</v>
      </c>
      <c r="I12" s="207">
        <f t="shared" si="9"/>
        <v>133.15579227696404</v>
      </c>
      <c r="J12" s="242">
        <f t="shared" si="10"/>
        <v>932.09054593874828</v>
      </c>
      <c r="K12" s="153"/>
      <c r="M12" s="389" t="s">
        <v>41</v>
      </c>
      <c r="N12" s="343">
        <f>COUNT(C154:C176)</f>
        <v>19</v>
      </c>
      <c r="O12" s="345">
        <f>V177</f>
        <v>10</v>
      </c>
      <c r="P12" s="345">
        <f>W177</f>
        <v>9</v>
      </c>
      <c r="Q12" s="347">
        <f t="shared" ref="Q12" si="12">N12-O12-P12</f>
        <v>0</v>
      </c>
      <c r="R12" s="340">
        <f t="shared" si="11"/>
        <v>0.52631578947368418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43776</v>
      </c>
      <c r="D13" s="161" t="s">
        <v>8</v>
      </c>
      <c r="E13" s="161" t="s">
        <v>119</v>
      </c>
      <c r="F13" s="222">
        <v>1570</v>
      </c>
      <c r="G13" s="222">
        <v>1560</v>
      </c>
      <c r="H13" s="255">
        <v>10</v>
      </c>
      <c r="I13" s="207">
        <f t="shared" si="9"/>
        <v>191.08280254777071</v>
      </c>
      <c r="J13" s="242">
        <f t="shared" si="10"/>
        <v>1910.8280254777071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43777</v>
      </c>
      <c r="D14" s="161" t="s">
        <v>9</v>
      </c>
      <c r="E14" s="161" t="s">
        <v>192</v>
      </c>
      <c r="F14" s="222">
        <v>208</v>
      </c>
      <c r="G14" s="222">
        <v>205</v>
      </c>
      <c r="H14" s="222">
        <v>-3</v>
      </c>
      <c r="I14" s="207">
        <f t="shared" si="9"/>
        <v>1442.3076923076924</v>
      </c>
      <c r="J14" s="242">
        <f t="shared" si="10"/>
        <v>-4326.9230769230771</v>
      </c>
      <c r="K14" s="153"/>
      <c r="M14" s="389" t="s">
        <v>1175</v>
      </c>
      <c r="N14" s="343">
        <f>COUNT(C185:C207)</f>
        <v>18</v>
      </c>
      <c r="O14" s="345">
        <f>V208</f>
        <v>7</v>
      </c>
      <c r="P14" s="345">
        <f>W208</f>
        <v>10</v>
      </c>
      <c r="Q14" s="347">
        <f t="shared" ref="Q14" si="13">N14-O14-P14</f>
        <v>1</v>
      </c>
      <c r="R14" s="340">
        <f t="shared" si="11"/>
        <v>0.3888888888888889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43777</v>
      </c>
      <c r="D15" s="161" t="s">
        <v>9</v>
      </c>
      <c r="E15" s="161" t="s">
        <v>129</v>
      </c>
      <c r="F15" s="222">
        <v>2248</v>
      </c>
      <c r="G15" s="222">
        <v>2228</v>
      </c>
      <c r="H15" s="222">
        <v>-20</v>
      </c>
      <c r="I15" s="207">
        <f t="shared" si="9"/>
        <v>133.45195729537366</v>
      </c>
      <c r="J15" s="242">
        <f t="shared" si="10"/>
        <v>-2669.0391459074731</v>
      </c>
      <c r="K15" s="153"/>
      <c r="M15" s="389"/>
      <c r="N15" s="343"/>
      <c r="O15" s="345"/>
      <c r="P15" s="345"/>
      <c r="Q15" s="349"/>
      <c r="R15" s="340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43780</v>
      </c>
      <c r="D16" s="161" t="s">
        <v>9</v>
      </c>
      <c r="E16" s="161" t="s">
        <v>119</v>
      </c>
      <c r="F16" s="222">
        <v>1608</v>
      </c>
      <c r="G16" s="222">
        <v>1615</v>
      </c>
      <c r="H16" s="222">
        <v>7</v>
      </c>
      <c r="I16" s="207">
        <f t="shared" si="9"/>
        <v>186.56716417910448</v>
      </c>
      <c r="J16" s="242">
        <f t="shared" si="10"/>
        <v>1305.9701492537313</v>
      </c>
      <c r="K16" s="153"/>
      <c r="L16" s="25" t="s">
        <v>2008</v>
      </c>
      <c r="M16" s="389" t="s">
        <v>1090</v>
      </c>
      <c r="N16" s="343">
        <f>COUNT(C216:C239)</f>
        <v>21</v>
      </c>
      <c r="O16" s="345">
        <f>V240</f>
        <v>18</v>
      </c>
      <c r="P16" s="345">
        <f>W240</f>
        <v>3</v>
      </c>
      <c r="Q16" s="347">
        <f t="shared" ref="Q16" si="14">N16-O16-P16</f>
        <v>0</v>
      </c>
      <c r="R16" s="340">
        <f t="shared" si="11"/>
        <v>0.8571428571428571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43780</v>
      </c>
      <c r="D17" s="161" t="s">
        <v>8</v>
      </c>
      <c r="E17" s="161" t="s">
        <v>95</v>
      </c>
      <c r="F17" s="222">
        <v>491</v>
      </c>
      <c r="G17" s="222">
        <v>495</v>
      </c>
      <c r="H17" s="222">
        <v>-4</v>
      </c>
      <c r="I17" s="207">
        <f t="shared" si="9"/>
        <v>610.99796334012217</v>
      </c>
      <c r="J17" s="242">
        <f t="shared" si="10"/>
        <v>-2443.9918533604887</v>
      </c>
      <c r="K17" s="153"/>
      <c r="M17" s="390"/>
      <c r="N17" s="344"/>
      <c r="O17" s="346"/>
      <c r="P17" s="346"/>
      <c r="Q17" s="348"/>
      <c r="R17" s="340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43782</v>
      </c>
      <c r="D18" s="161" t="s">
        <v>9</v>
      </c>
      <c r="E18" s="161" t="s">
        <v>98</v>
      </c>
      <c r="F18" s="222">
        <v>2590</v>
      </c>
      <c r="G18" s="222">
        <v>2625</v>
      </c>
      <c r="H18" s="222">
        <v>35</v>
      </c>
      <c r="I18" s="207">
        <f t="shared" si="9"/>
        <v>115.83011583011583</v>
      </c>
      <c r="J18" s="242">
        <f t="shared" si="10"/>
        <v>4054.0540540540542</v>
      </c>
      <c r="K18" s="153"/>
      <c r="M18" s="334" t="s">
        <v>946</v>
      </c>
      <c r="N18" s="336">
        <f>SUM(N4:N17)</f>
        <v>152</v>
      </c>
      <c r="O18" s="336">
        <f t="shared" ref="O18:Q18" si="15">SUM(O4:O17)</f>
        <v>106</v>
      </c>
      <c r="P18" s="336">
        <f t="shared" si="15"/>
        <v>44</v>
      </c>
      <c r="Q18" s="338">
        <f t="shared" si="15"/>
        <v>2</v>
      </c>
      <c r="R18" s="314">
        <f t="shared" ref="R18" si="16">O18/N18</f>
        <v>0.69736842105263153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43782</v>
      </c>
      <c r="D19" s="161" t="s">
        <v>8</v>
      </c>
      <c r="E19" s="161" t="s">
        <v>78</v>
      </c>
      <c r="F19" s="222">
        <v>1413</v>
      </c>
      <c r="G19" s="222">
        <v>1393</v>
      </c>
      <c r="H19" s="222">
        <v>20</v>
      </c>
      <c r="I19" s="207">
        <f t="shared" si="9"/>
        <v>212.31422505307856</v>
      </c>
      <c r="J19" s="242">
        <f t="shared" si="10"/>
        <v>4246.2845010615711</v>
      </c>
      <c r="K19" s="153"/>
      <c r="M19" s="335"/>
      <c r="N19" s="337"/>
      <c r="O19" s="337"/>
      <c r="P19" s="337"/>
      <c r="Q19" s="339"/>
      <c r="R19" s="315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43783</v>
      </c>
      <c r="D20" s="161" t="s">
        <v>9</v>
      </c>
      <c r="E20" s="161" t="s">
        <v>98</v>
      </c>
      <c r="F20" s="222">
        <v>2595</v>
      </c>
      <c r="G20" s="222">
        <v>2604</v>
      </c>
      <c r="H20" s="222">
        <v>9</v>
      </c>
      <c r="I20" s="207">
        <f t="shared" si="9"/>
        <v>115.60693641618496</v>
      </c>
      <c r="J20" s="242">
        <f t="shared" si="10"/>
        <v>1040.4624277456646</v>
      </c>
      <c r="K20" s="153"/>
      <c r="M20" s="316" t="s">
        <v>2253</v>
      </c>
      <c r="N20" s="317"/>
      <c r="O20" s="318"/>
      <c r="P20" s="325">
        <f>R18</f>
        <v>0.69736842105263153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43783</v>
      </c>
      <c r="D21" s="161" t="s">
        <v>8</v>
      </c>
      <c r="E21" s="161" t="s">
        <v>31</v>
      </c>
      <c r="F21" s="222">
        <v>1467</v>
      </c>
      <c r="G21" s="222">
        <v>1457</v>
      </c>
      <c r="H21" s="222">
        <v>10</v>
      </c>
      <c r="I21" s="207">
        <f t="shared" si="9"/>
        <v>204.49897750511246</v>
      </c>
      <c r="J21" s="242">
        <f t="shared" si="10"/>
        <v>2044.9897750511245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43784</v>
      </c>
      <c r="D22" s="161" t="s">
        <v>9</v>
      </c>
      <c r="E22" s="161" t="s">
        <v>95</v>
      </c>
      <c r="F22" s="222">
        <v>503</v>
      </c>
      <c r="G22" s="222">
        <v>507</v>
      </c>
      <c r="H22" s="222">
        <v>4</v>
      </c>
      <c r="I22" s="207">
        <f t="shared" si="9"/>
        <v>596.42147117296224</v>
      </c>
      <c r="J22" s="242">
        <f t="shared" si="10"/>
        <v>2385.685884691849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43784</v>
      </c>
      <c r="D23" s="161" t="s">
        <v>8</v>
      </c>
      <c r="E23" s="161" t="s">
        <v>98</v>
      </c>
      <c r="F23" s="222">
        <v>2595</v>
      </c>
      <c r="G23" s="222">
        <v>2555</v>
      </c>
      <c r="H23" s="222">
        <v>40</v>
      </c>
      <c r="I23" s="207">
        <f t="shared" si="9"/>
        <v>115.60693641618496</v>
      </c>
      <c r="J23" s="242">
        <f t="shared" si="10"/>
        <v>4624.2774566473981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43787</v>
      </c>
      <c r="D24" s="161" t="s">
        <v>9</v>
      </c>
      <c r="E24" s="161" t="s">
        <v>192</v>
      </c>
      <c r="F24" s="222">
        <v>206.5</v>
      </c>
      <c r="G24" s="222">
        <v>210.7</v>
      </c>
      <c r="H24" s="222">
        <v>4.2</v>
      </c>
      <c r="I24" s="207">
        <f t="shared" si="9"/>
        <v>1452.7845036319613</v>
      </c>
      <c r="J24" s="242">
        <f t="shared" si="10"/>
        <v>6101.6949152542375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43787</v>
      </c>
      <c r="D25" s="161" t="s">
        <v>8</v>
      </c>
      <c r="E25" s="161" t="s">
        <v>78</v>
      </c>
      <c r="F25" s="222">
        <v>1382</v>
      </c>
      <c r="G25" s="222">
        <v>1362</v>
      </c>
      <c r="H25" s="222">
        <v>20</v>
      </c>
      <c r="I25" s="207">
        <f t="shared" si="9"/>
        <v>217.07670043415339</v>
      </c>
      <c r="J25" s="242">
        <f t="shared" si="10"/>
        <v>4341.5340086830674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43788</v>
      </c>
      <c r="D26" s="161" t="s">
        <v>9</v>
      </c>
      <c r="E26" s="161" t="s">
        <v>192</v>
      </c>
      <c r="F26" s="222">
        <v>211</v>
      </c>
      <c r="G26" s="222">
        <v>217</v>
      </c>
      <c r="H26" s="222">
        <v>6</v>
      </c>
      <c r="I26" s="207">
        <f t="shared" si="9"/>
        <v>1421.8009478672986</v>
      </c>
      <c r="J26" s="242">
        <f t="shared" si="10"/>
        <v>8530.8056872037923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43788</v>
      </c>
      <c r="D27" s="161" t="s">
        <v>8</v>
      </c>
      <c r="E27" s="161" t="s">
        <v>31</v>
      </c>
      <c r="F27" s="222">
        <v>1483</v>
      </c>
      <c r="G27" s="222">
        <v>1493</v>
      </c>
      <c r="H27" s="222">
        <v>-10</v>
      </c>
      <c r="I27" s="207">
        <f t="shared" si="9"/>
        <v>202.29265003371543</v>
      </c>
      <c r="J27" s="242">
        <f t="shared" si="10"/>
        <v>-2022.9265003371543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43789</v>
      </c>
      <c r="D28" s="161" t="s">
        <v>9</v>
      </c>
      <c r="E28" s="161" t="s">
        <v>95</v>
      </c>
      <c r="F28" s="222">
        <v>494</v>
      </c>
      <c r="G28" s="222">
        <v>498</v>
      </c>
      <c r="H28" s="222">
        <v>4</v>
      </c>
      <c r="I28" s="207">
        <f t="shared" si="9"/>
        <v>607.28744939271257</v>
      </c>
      <c r="J28" s="242">
        <f t="shared" si="10"/>
        <v>2429.1497975708503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43789</v>
      </c>
      <c r="D29" s="161" t="s">
        <v>8</v>
      </c>
      <c r="E29" s="161" t="s">
        <v>592</v>
      </c>
      <c r="F29" s="222">
        <v>133</v>
      </c>
      <c r="G29" s="222">
        <v>130.30000000000001</v>
      </c>
      <c r="H29" s="222">
        <v>2.7</v>
      </c>
      <c r="I29" s="207">
        <f t="shared" si="9"/>
        <v>2255.6390977443607</v>
      </c>
      <c r="J29" s="242">
        <f t="shared" si="10"/>
        <v>6090.2255639097739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43790</v>
      </c>
      <c r="D30" s="161" t="s">
        <v>9</v>
      </c>
      <c r="E30" s="161" t="s">
        <v>299</v>
      </c>
      <c r="F30" s="222">
        <v>208</v>
      </c>
      <c r="G30" s="222">
        <v>205</v>
      </c>
      <c r="H30" s="222">
        <v>-3</v>
      </c>
      <c r="I30" s="207">
        <f t="shared" si="9"/>
        <v>1442.3076923076924</v>
      </c>
      <c r="J30" s="242">
        <f t="shared" si="10"/>
        <v>-4326.9230769230771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43790</v>
      </c>
      <c r="D31" s="161" t="s">
        <v>8</v>
      </c>
      <c r="E31" s="161" t="s">
        <v>146</v>
      </c>
      <c r="F31" s="222">
        <v>115.5</v>
      </c>
      <c r="G31" s="222">
        <v>115</v>
      </c>
      <c r="H31" s="222">
        <v>0.5</v>
      </c>
      <c r="I31" s="207">
        <f t="shared" si="9"/>
        <v>2597.4025974025976</v>
      </c>
      <c r="J31" s="242">
        <f t="shared" si="10"/>
        <v>1298.7012987012988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43791</v>
      </c>
      <c r="D32" s="161" t="s">
        <v>9</v>
      </c>
      <c r="E32" s="161" t="s">
        <v>173</v>
      </c>
      <c r="F32" s="222">
        <v>1706</v>
      </c>
      <c r="G32" s="222">
        <v>1710.5</v>
      </c>
      <c r="H32" s="222">
        <v>4.5</v>
      </c>
      <c r="I32" s="207">
        <f t="shared" si="9"/>
        <v>175.84994138335287</v>
      </c>
      <c r="J32" s="242">
        <f t="shared" si="10"/>
        <v>791.32473622508792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43791</v>
      </c>
      <c r="D33" s="161" t="s">
        <v>8</v>
      </c>
      <c r="E33" s="161" t="s">
        <v>2203</v>
      </c>
      <c r="F33" s="222">
        <v>1018</v>
      </c>
      <c r="G33" s="222">
        <v>1009.5</v>
      </c>
      <c r="H33" s="222">
        <v>8.5</v>
      </c>
      <c r="I33" s="207">
        <f t="shared" si="9"/>
        <v>294.69548133595288</v>
      </c>
      <c r="J33" s="242">
        <f t="shared" si="10"/>
        <v>2504.9115913555993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43794</v>
      </c>
      <c r="D34" s="161" t="s">
        <v>9</v>
      </c>
      <c r="E34" s="161" t="s">
        <v>552</v>
      </c>
      <c r="F34" s="222">
        <v>1470</v>
      </c>
      <c r="G34" s="222">
        <v>1491</v>
      </c>
      <c r="H34" s="222">
        <v>21</v>
      </c>
      <c r="I34" s="207">
        <f t="shared" si="9"/>
        <v>204.08163265306123</v>
      </c>
      <c r="J34" s="242">
        <f t="shared" si="10"/>
        <v>4285.7142857142862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43794</v>
      </c>
      <c r="D35" s="161" t="s">
        <v>8</v>
      </c>
      <c r="E35" s="161" t="s">
        <v>2864</v>
      </c>
      <c r="F35" s="222">
        <v>1630</v>
      </c>
      <c r="G35" s="222">
        <v>1640</v>
      </c>
      <c r="H35" s="222">
        <v>-10</v>
      </c>
      <c r="I35" s="207">
        <f t="shared" si="9"/>
        <v>184.04907975460122</v>
      </c>
      <c r="J35" s="242">
        <f t="shared" si="10"/>
        <v>-1840.4907975460123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43795</v>
      </c>
      <c r="D36" s="161" t="s">
        <v>9</v>
      </c>
      <c r="E36" s="161" t="s">
        <v>552</v>
      </c>
      <c r="F36" s="222">
        <v>1507</v>
      </c>
      <c r="G36" s="222">
        <v>1514</v>
      </c>
      <c r="H36" s="222">
        <v>7</v>
      </c>
      <c r="I36" s="207">
        <f t="shared" si="9"/>
        <v>199.07100199071002</v>
      </c>
      <c r="J36" s="242">
        <f t="shared" si="10"/>
        <v>1393.49701393497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43795</v>
      </c>
      <c r="D37" s="161" t="s">
        <v>8</v>
      </c>
      <c r="E37" s="161" t="s">
        <v>78</v>
      </c>
      <c r="F37" s="222">
        <v>1370</v>
      </c>
      <c r="G37" s="222">
        <v>1362.5</v>
      </c>
      <c r="H37" s="222">
        <v>7.5</v>
      </c>
      <c r="I37" s="207">
        <f t="shared" ref="I37:I43" si="17">300000/F37</f>
        <v>218.97810218978103</v>
      </c>
      <c r="J37" s="242">
        <f t="shared" ref="J37:J43" si="18">H37*I37</f>
        <v>1642.3357664233577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43796</v>
      </c>
      <c r="D38" s="161" t="s">
        <v>9</v>
      </c>
      <c r="E38" s="161" t="s">
        <v>552</v>
      </c>
      <c r="F38" s="222">
        <v>1525</v>
      </c>
      <c r="G38" s="222">
        <v>1510</v>
      </c>
      <c r="H38" s="222">
        <v>-15</v>
      </c>
      <c r="I38" s="207">
        <f t="shared" si="17"/>
        <v>196.72131147540983</v>
      </c>
      <c r="J38" s="242">
        <f t="shared" si="18"/>
        <v>-2950.8196721311474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43796</v>
      </c>
      <c r="D39" s="161" t="s">
        <v>8</v>
      </c>
      <c r="E39" s="161" t="s">
        <v>78</v>
      </c>
      <c r="F39" s="222">
        <v>1348</v>
      </c>
      <c r="G39" s="222">
        <v>1328</v>
      </c>
      <c r="H39" s="222">
        <v>20</v>
      </c>
      <c r="I39" s="207">
        <f t="shared" si="17"/>
        <v>222.55192878338278</v>
      </c>
      <c r="J39" s="242">
        <f t="shared" si="18"/>
        <v>4451.0385756676551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43797</v>
      </c>
      <c r="D40" s="161" t="s">
        <v>9</v>
      </c>
      <c r="E40" s="161" t="s">
        <v>2298</v>
      </c>
      <c r="F40" s="222">
        <v>900</v>
      </c>
      <c r="G40" s="222">
        <v>920</v>
      </c>
      <c r="H40" s="222">
        <v>20</v>
      </c>
      <c r="I40" s="207">
        <f t="shared" si="17"/>
        <v>333.33333333333331</v>
      </c>
      <c r="J40" s="242">
        <f t="shared" si="18"/>
        <v>6666.6666666666661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43797</v>
      </c>
      <c r="D41" s="161" t="s">
        <v>8</v>
      </c>
      <c r="E41" s="161" t="s">
        <v>78</v>
      </c>
      <c r="F41" s="222">
        <v>1332</v>
      </c>
      <c r="G41" s="223">
        <v>1342</v>
      </c>
      <c r="H41" s="222">
        <v>-10</v>
      </c>
      <c r="I41" s="207">
        <f t="shared" si="17"/>
        <v>225.22522522522522</v>
      </c>
      <c r="J41" s="242">
        <f t="shared" si="18"/>
        <v>-2252.2522522522522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43798</v>
      </c>
      <c r="D42" s="161" t="s">
        <v>9</v>
      </c>
      <c r="E42" s="161" t="s">
        <v>552</v>
      </c>
      <c r="F42" s="222">
        <v>1570</v>
      </c>
      <c r="G42" s="222">
        <v>1576.5</v>
      </c>
      <c r="H42" s="222">
        <v>6.5</v>
      </c>
      <c r="I42" s="207">
        <f t="shared" si="17"/>
        <v>191.08280254777071</v>
      </c>
      <c r="J42" s="242">
        <f t="shared" si="18"/>
        <v>1242.0382165605097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43798</v>
      </c>
      <c r="D43" s="161" t="s">
        <v>8</v>
      </c>
      <c r="E43" s="161" t="s">
        <v>129</v>
      </c>
      <c r="F43" s="222">
        <v>2295</v>
      </c>
      <c r="G43" s="222">
        <v>2285</v>
      </c>
      <c r="H43" s="222">
        <v>10</v>
      </c>
      <c r="I43" s="207">
        <f t="shared" si="17"/>
        <v>130.718954248366</v>
      </c>
      <c r="J43" s="242">
        <f t="shared" si="18"/>
        <v>1307.18954248366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63344.91041392873</v>
      </c>
      <c r="K52" s="153"/>
      <c r="V52" s="25">
        <f>SUM(V6:V51)</f>
        <v>29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2845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43773</v>
      </c>
      <c r="D60" s="158" t="s">
        <v>9</v>
      </c>
      <c r="E60" s="158" t="s">
        <v>95</v>
      </c>
      <c r="F60" s="230">
        <v>473</v>
      </c>
      <c r="G60" s="230">
        <v>469</v>
      </c>
      <c r="H60" s="230">
        <v>-4</v>
      </c>
      <c r="I60" s="204">
        <v>1375</v>
      </c>
      <c r="J60" s="241">
        <f t="shared" ref="J60:J83" si="19">I60*H60</f>
        <v>-5500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43774</v>
      </c>
      <c r="D61" s="161" t="s">
        <v>8</v>
      </c>
      <c r="E61" s="161" t="s">
        <v>78</v>
      </c>
      <c r="F61" s="207">
        <v>1455</v>
      </c>
      <c r="G61" s="222">
        <v>1435</v>
      </c>
      <c r="H61" s="222">
        <v>20</v>
      </c>
      <c r="I61" s="207">
        <v>375</v>
      </c>
      <c r="J61" s="242">
        <f t="shared" si="19"/>
        <v>7500</v>
      </c>
      <c r="K61" s="153"/>
      <c r="O61" s="25" t="s">
        <v>2008</v>
      </c>
      <c r="V61" s="25">
        <f t="shared" ref="V61:V83" si="20">IF($J61&gt;0,1,0)</f>
        <v>1</v>
      </c>
      <c r="W61" s="25">
        <f t="shared" ref="W61:W83" si="21">IF($J61&lt;0,1,0)</f>
        <v>0</v>
      </c>
    </row>
    <row r="62" spans="1:23" x14ac:dyDescent="0.3">
      <c r="A62" s="147"/>
      <c r="B62" s="205">
        <f t="shared" ref="B62:B83" si="22">B61+1</f>
        <v>3</v>
      </c>
      <c r="C62" s="206">
        <v>43775</v>
      </c>
      <c r="D62" s="161" t="s">
        <v>8</v>
      </c>
      <c r="E62" s="161" t="s">
        <v>31</v>
      </c>
      <c r="F62" s="222">
        <v>1441</v>
      </c>
      <c r="G62" s="222">
        <v>1436</v>
      </c>
      <c r="H62" s="222">
        <v>5</v>
      </c>
      <c r="I62" s="207">
        <v>500</v>
      </c>
      <c r="J62" s="242">
        <f t="shared" si="19"/>
        <v>2500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43776</v>
      </c>
      <c r="D63" s="161" t="s">
        <v>8</v>
      </c>
      <c r="E63" s="161" t="s">
        <v>78</v>
      </c>
      <c r="F63" s="222">
        <v>1445</v>
      </c>
      <c r="G63" s="222">
        <v>1437</v>
      </c>
      <c r="H63" s="222">
        <v>8</v>
      </c>
      <c r="I63" s="207">
        <v>375</v>
      </c>
      <c r="J63" s="242">
        <f t="shared" si="19"/>
        <v>3000</v>
      </c>
      <c r="K63" s="153"/>
      <c r="L63" s="25" t="s">
        <v>2008</v>
      </c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43777</v>
      </c>
      <c r="D64" s="161" t="s">
        <v>9</v>
      </c>
      <c r="E64" s="161" t="s">
        <v>78</v>
      </c>
      <c r="F64" s="222">
        <v>1440</v>
      </c>
      <c r="G64" s="222">
        <v>1450</v>
      </c>
      <c r="H64" s="222">
        <v>10</v>
      </c>
      <c r="I64" s="207">
        <v>375</v>
      </c>
      <c r="J64" s="242">
        <f t="shared" si="19"/>
        <v>3750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43780</v>
      </c>
      <c r="D65" s="161" t="s">
        <v>9</v>
      </c>
      <c r="E65" s="161" t="s">
        <v>78</v>
      </c>
      <c r="F65" s="207">
        <v>1430</v>
      </c>
      <c r="G65" s="222">
        <v>1420</v>
      </c>
      <c r="H65" s="222">
        <v>-10</v>
      </c>
      <c r="I65" s="207">
        <v>375</v>
      </c>
      <c r="J65" s="242">
        <f t="shared" si="19"/>
        <v>-3750</v>
      </c>
      <c r="K65" s="153"/>
      <c r="V65" s="25">
        <f t="shared" si="20"/>
        <v>0</v>
      </c>
      <c r="W65" s="25">
        <f t="shared" si="21"/>
        <v>1</v>
      </c>
    </row>
    <row r="66" spans="1:23" x14ac:dyDescent="0.3">
      <c r="A66" s="147"/>
      <c r="B66" s="205">
        <f t="shared" si="22"/>
        <v>7</v>
      </c>
      <c r="C66" s="206">
        <v>43782</v>
      </c>
      <c r="D66" s="161" t="s">
        <v>8</v>
      </c>
      <c r="E66" s="161" t="s">
        <v>49</v>
      </c>
      <c r="F66" s="207">
        <v>1608</v>
      </c>
      <c r="G66" s="222">
        <v>1588</v>
      </c>
      <c r="H66" s="222">
        <v>20</v>
      </c>
      <c r="I66" s="207">
        <v>500</v>
      </c>
      <c r="J66" s="242">
        <f t="shared" si="19"/>
        <v>10000</v>
      </c>
      <c r="K66" s="153"/>
      <c r="V66" s="25">
        <f t="shared" si="20"/>
        <v>1</v>
      </c>
      <c r="W66" s="25">
        <f t="shared" si="21"/>
        <v>0</v>
      </c>
    </row>
    <row r="67" spans="1:23" x14ac:dyDescent="0.3">
      <c r="A67" s="147"/>
      <c r="B67" s="205">
        <f t="shared" si="22"/>
        <v>8</v>
      </c>
      <c r="C67" s="206">
        <v>43783</v>
      </c>
      <c r="D67" s="161" t="s">
        <v>9</v>
      </c>
      <c r="E67" s="161" t="s">
        <v>49</v>
      </c>
      <c r="F67" s="222">
        <v>1625</v>
      </c>
      <c r="G67" s="222">
        <v>1635</v>
      </c>
      <c r="H67" s="222">
        <v>10</v>
      </c>
      <c r="I67" s="207">
        <v>500</v>
      </c>
      <c r="J67" s="242">
        <f t="shared" si="19"/>
        <v>5000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43784</v>
      </c>
      <c r="D68" s="161" t="s">
        <v>9</v>
      </c>
      <c r="E68" s="161" t="s">
        <v>534</v>
      </c>
      <c r="F68" s="222">
        <v>4075</v>
      </c>
      <c r="G68" s="222">
        <v>4105</v>
      </c>
      <c r="H68" s="222">
        <v>30</v>
      </c>
      <c r="I68" s="207">
        <v>200</v>
      </c>
      <c r="J68" s="242">
        <f t="shared" si="19"/>
        <v>6000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43787</v>
      </c>
      <c r="D69" s="161" t="s">
        <v>8</v>
      </c>
      <c r="E69" s="161" t="s">
        <v>173</v>
      </c>
      <c r="F69" s="222">
        <v>1752</v>
      </c>
      <c r="G69" s="222">
        <v>1745</v>
      </c>
      <c r="H69" s="222">
        <v>8</v>
      </c>
      <c r="I69" s="207">
        <v>600</v>
      </c>
      <c r="J69" s="242">
        <f t="shared" si="19"/>
        <v>4800</v>
      </c>
      <c r="K69" s="153"/>
      <c r="V69" s="25">
        <f t="shared" si="20"/>
        <v>1</v>
      </c>
      <c r="W69" s="25">
        <f t="shared" si="21"/>
        <v>0</v>
      </c>
    </row>
    <row r="70" spans="1:23" x14ac:dyDescent="0.3">
      <c r="A70" s="147"/>
      <c r="B70" s="205">
        <f t="shared" si="22"/>
        <v>11</v>
      </c>
      <c r="C70" s="206">
        <v>43788</v>
      </c>
      <c r="D70" s="161" t="s">
        <v>8</v>
      </c>
      <c r="E70" s="161" t="s">
        <v>173</v>
      </c>
      <c r="F70" s="161">
        <v>1737</v>
      </c>
      <c r="G70" s="222">
        <v>1727</v>
      </c>
      <c r="H70" s="222">
        <v>10</v>
      </c>
      <c r="I70" s="207">
        <v>600</v>
      </c>
      <c r="J70" s="242">
        <f t="shared" si="19"/>
        <v>6000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43789</v>
      </c>
      <c r="D71" s="161" t="s">
        <v>8</v>
      </c>
      <c r="E71" s="161" t="s">
        <v>78</v>
      </c>
      <c r="F71" s="222">
        <v>1388</v>
      </c>
      <c r="G71" s="222">
        <v>1374</v>
      </c>
      <c r="H71" s="222">
        <v>14</v>
      </c>
      <c r="I71" s="207">
        <v>375</v>
      </c>
      <c r="J71" s="242">
        <f t="shared" si="19"/>
        <v>5250</v>
      </c>
      <c r="K71" s="153"/>
      <c r="V71" s="25">
        <f t="shared" si="20"/>
        <v>1</v>
      </c>
      <c r="W71" s="25">
        <f t="shared" si="21"/>
        <v>0</v>
      </c>
    </row>
    <row r="72" spans="1:23" x14ac:dyDescent="0.3">
      <c r="A72" s="147"/>
      <c r="B72" s="205">
        <f t="shared" si="22"/>
        <v>13</v>
      </c>
      <c r="C72" s="206">
        <v>43790</v>
      </c>
      <c r="D72" s="161" t="s">
        <v>8</v>
      </c>
      <c r="E72" s="161" t="s">
        <v>173</v>
      </c>
      <c r="F72" s="222">
        <v>1718</v>
      </c>
      <c r="G72" s="222">
        <v>1725</v>
      </c>
      <c r="H72" s="222">
        <v>-7</v>
      </c>
      <c r="I72" s="207">
        <v>600</v>
      </c>
      <c r="J72" s="242">
        <f t="shared" si="19"/>
        <v>-4200</v>
      </c>
      <c r="K72" s="153"/>
      <c r="V72" s="25">
        <f t="shared" si="20"/>
        <v>0</v>
      </c>
      <c r="W72" s="25">
        <f t="shared" si="21"/>
        <v>1</v>
      </c>
    </row>
    <row r="73" spans="1:23" x14ac:dyDescent="0.3">
      <c r="A73" s="147"/>
      <c r="B73" s="205">
        <f t="shared" si="22"/>
        <v>14</v>
      </c>
      <c r="C73" s="206">
        <v>43791</v>
      </c>
      <c r="D73" s="161" t="s">
        <v>8</v>
      </c>
      <c r="E73" s="161" t="s">
        <v>78</v>
      </c>
      <c r="F73" s="223">
        <v>1380</v>
      </c>
      <c r="G73" s="222">
        <v>1370</v>
      </c>
      <c r="H73" s="255">
        <v>10</v>
      </c>
      <c r="I73" s="207">
        <v>375</v>
      </c>
      <c r="J73" s="242">
        <f t="shared" si="19"/>
        <v>3750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43794</v>
      </c>
      <c r="D74" s="161" t="s">
        <v>8</v>
      </c>
      <c r="E74" s="161" t="s">
        <v>31</v>
      </c>
      <c r="F74" s="222">
        <v>1555</v>
      </c>
      <c r="G74" s="222">
        <v>1560</v>
      </c>
      <c r="H74" s="255">
        <v>-5</v>
      </c>
      <c r="I74" s="207">
        <v>500</v>
      </c>
      <c r="J74" s="242">
        <f t="shared" si="19"/>
        <v>-2500</v>
      </c>
      <c r="K74" s="153"/>
      <c r="V74" s="25">
        <f t="shared" si="20"/>
        <v>0</v>
      </c>
      <c r="W74" s="25">
        <f t="shared" si="21"/>
        <v>1</v>
      </c>
    </row>
    <row r="75" spans="1:23" x14ac:dyDescent="0.3">
      <c r="A75" s="147"/>
      <c r="B75" s="205">
        <f t="shared" si="22"/>
        <v>16</v>
      </c>
      <c r="C75" s="206">
        <v>43795</v>
      </c>
      <c r="D75" s="161" t="s">
        <v>9</v>
      </c>
      <c r="E75" s="161" t="s">
        <v>58</v>
      </c>
      <c r="F75" s="222">
        <v>754</v>
      </c>
      <c r="G75" s="222">
        <v>760</v>
      </c>
      <c r="H75" s="222">
        <v>6</v>
      </c>
      <c r="I75" s="207">
        <v>1200</v>
      </c>
      <c r="J75" s="242">
        <f t="shared" si="19"/>
        <v>7200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43796</v>
      </c>
      <c r="D76" s="161" t="s">
        <v>9</v>
      </c>
      <c r="E76" s="161" t="s">
        <v>58</v>
      </c>
      <c r="F76" s="222">
        <v>759</v>
      </c>
      <c r="G76" s="222">
        <v>761.7</v>
      </c>
      <c r="H76" s="222">
        <v>2.7</v>
      </c>
      <c r="I76" s="207">
        <v>1200</v>
      </c>
      <c r="J76" s="242">
        <f t="shared" si="19"/>
        <v>3240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43797</v>
      </c>
      <c r="D77" s="161" t="s">
        <v>9</v>
      </c>
      <c r="E77" s="161" t="s">
        <v>95</v>
      </c>
      <c r="F77" s="222">
        <v>515</v>
      </c>
      <c r="G77" s="222">
        <v>520</v>
      </c>
      <c r="H77" s="222">
        <v>5</v>
      </c>
      <c r="I77" s="207">
        <v>1375</v>
      </c>
      <c r="J77" s="242">
        <f t="shared" si="19"/>
        <v>6875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43798</v>
      </c>
      <c r="D78" s="161" t="s">
        <v>8</v>
      </c>
      <c r="E78" s="161" t="s">
        <v>78</v>
      </c>
      <c r="F78" s="222">
        <v>1340</v>
      </c>
      <c r="G78" s="222">
        <v>1334</v>
      </c>
      <c r="H78" s="222">
        <v>6</v>
      </c>
      <c r="I78" s="207">
        <v>375</v>
      </c>
      <c r="J78" s="242">
        <f t="shared" si="19"/>
        <v>2250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/>
      <c r="D79" s="161"/>
      <c r="E79" s="161"/>
      <c r="F79" s="222"/>
      <c r="G79" s="222"/>
      <c r="H79" s="222"/>
      <c r="I79" s="207"/>
      <c r="J79" s="242">
        <f t="shared" si="19"/>
        <v>0</v>
      </c>
      <c r="K79" s="153"/>
      <c r="V79" s="25">
        <f t="shared" si="20"/>
        <v>0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/>
      <c r="D80" s="161"/>
      <c r="E80" s="161"/>
      <c r="F80" s="222"/>
      <c r="G80" s="222"/>
      <c r="H80" s="222"/>
      <c r="I80" s="207"/>
      <c r="J80" s="242">
        <f t="shared" si="19"/>
        <v>0</v>
      </c>
      <c r="K80" s="153"/>
      <c r="V80" s="25">
        <f t="shared" si="20"/>
        <v>0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/>
      <c r="D81" s="161"/>
      <c r="E81" s="161"/>
      <c r="F81" s="222"/>
      <c r="G81" s="222"/>
      <c r="H81" s="222"/>
      <c r="I81" s="207"/>
      <c r="J81" s="242">
        <f t="shared" si="19"/>
        <v>0</v>
      </c>
      <c r="K81" s="153"/>
    </row>
    <row r="82" spans="1:23" x14ac:dyDescent="0.3">
      <c r="A82" s="147"/>
      <c r="B82" s="205">
        <f t="shared" si="22"/>
        <v>23</v>
      </c>
      <c r="C82" s="206"/>
      <c r="D82" s="161"/>
      <c r="E82" s="161"/>
      <c r="F82" s="222"/>
      <c r="G82" s="222"/>
      <c r="H82" s="222"/>
      <c r="I82" s="207"/>
      <c r="J82" s="242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15" thickBot="1" x14ac:dyDescent="0.35">
      <c r="A83" s="147"/>
      <c r="B83" s="205">
        <f t="shared" si="22"/>
        <v>24</v>
      </c>
      <c r="C83" s="209"/>
      <c r="D83" s="166"/>
      <c r="E83" s="166"/>
      <c r="F83" s="210"/>
      <c r="G83" s="210"/>
      <c r="H83" s="166"/>
      <c r="I83" s="210"/>
      <c r="J83" s="244">
        <f t="shared" si="19"/>
        <v>0</v>
      </c>
      <c r="K83" s="153"/>
      <c r="V83" s="25">
        <f t="shared" si="20"/>
        <v>0</v>
      </c>
      <c r="W83" s="25">
        <f t="shared" si="21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61165</v>
      </c>
      <c r="K84" s="153"/>
      <c r="V84" s="25">
        <f>SUM(V60:V83)</f>
        <v>15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2846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43773</v>
      </c>
      <c r="D92" s="185" t="s">
        <v>9</v>
      </c>
      <c r="E92" s="185" t="s">
        <v>39</v>
      </c>
      <c r="F92" s="219">
        <v>11990</v>
      </c>
      <c r="G92" s="219">
        <v>12005</v>
      </c>
      <c r="H92" s="185">
        <v>15</v>
      </c>
      <c r="I92" s="219">
        <v>150</v>
      </c>
      <c r="J92" s="246">
        <f t="shared" ref="J92:J114" si="23">I92*H92</f>
        <v>2250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43774</v>
      </c>
      <c r="D93" s="161" t="s">
        <v>9</v>
      </c>
      <c r="E93" s="161" t="s">
        <v>39</v>
      </c>
      <c r="F93" s="207">
        <v>11970</v>
      </c>
      <c r="G93" s="207">
        <v>119850</v>
      </c>
      <c r="H93" s="161">
        <v>15</v>
      </c>
      <c r="I93" s="207">
        <v>150</v>
      </c>
      <c r="J93" s="242">
        <f t="shared" si="23"/>
        <v>2250</v>
      </c>
      <c r="K93" s="153"/>
      <c r="V93" s="25">
        <f t="shared" ref="V93:V114" si="24">IF($J93&gt;0,1,0)</f>
        <v>1</v>
      </c>
      <c r="W93" s="25">
        <f t="shared" ref="W93:W114" si="25">IF($J93&lt;0,1,0)</f>
        <v>0</v>
      </c>
    </row>
    <row r="94" spans="1:23" x14ac:dyDescent="0.3">
      <c r="A94" s="147"/>
      <c r="B94" s="205">
        <f t="shared" ref="B94:B114" si="26">B93+1</f>
        <v>3</v>
      </c>
      <c r="C94" s="206">
        <v>43775</v>
      </c>
      <c r="D94" s="161" t="s">
        <v>9</v>
      </c>
      <c r="E94" s="161" t="s">
        <v>39</v>
      </c>
      <c r="F94" s="207">
        <v>11910</v>
      </c>
      <c r="G94" s="207">
        <v>11970</v>
      </c>
      <c r="H94" s="161">
        <v>60</v>
      </c>
      <c r="I94" s="207">
        <v>150</v>
      </c>
      <c r="J94" s="242">
        <f t="shared" si="23"/>
        <v>9000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4</v>
      </c>
      <c r="C95" s="206">
        <v>43776</v>
      </c>
      <c r="D95" s="161" t="s">
        <v>9</v>
      </c>
      <c r="E95" s="161" t="s">
        <v>39</v>
      </c>
      <c r="F95" s="207">
        <v>12000</v>
      </c>
      <c r="G95" s="207">
        <v>12040</v>
      </c>
      <c r="H95" s="161">
        <v>40</v>
      </c>
      <c r="I95" s="207">
        <v>150</v>
      </c>
      <c r="J95" s="242">
        <f t="shared" si="23"/>
        <v>6000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5</v>
      </c>
      <c r="C96" s="206">
        <v>43777</v>
      </c>
      <c r="D96" s="161" t="s">
        <v>9</v>
      </c>
      <c r="E96" s="161" t="s">
        <v>39</v>
      </c>
      <c r="F96" s="207">
        <v>11980</v>
      </c>
      <c r="G96" s="207">
        <v>12040</v>
      </c>
      <c r="H96" s="161">
        <v>60</v>
      </c>
      <c r="I96" s="207">
        <v>150</v>
      </c>
      <c r="J96" s="242">
        <f t="shared" si="23"/>
        <v>9000</v>
      </c>
      <c r="K96" s="153"/>
      <c r="V96" s="25">
        <f t="shared" si="24"/>
        <v>1</v>
      </c>
      <c r="W96" s="25">
        <f t="shared" si="25"/>
        <v>0</v>
      </c>
    </row>
    <row r="97" spans="1:23" x14ac:dyDescent="0.3">
      <c r="A97" s="147"/>
      <c r="B97" s="205">
        <f t="shared" si="26"/>
        <v>6</v>
      </c>
      <c r="C97" s="206">
        <v>43780</v>
      </c>
      <c r="D97" s="161" t="s">
        <v>8</v>
      </c>
      <c r="E97" s="161" t="s">
        <v>39</v>
      </c>
      <c r="F97" s="207">
        <v>11900</v>
      </c>
      <c r="G97" s="207">
        <v>11870</v>
      </c>
      <c r="H97" s="161">
        <v>30</v>
      </c>
      <c r="I97" s="207">
        <v>150</v>
      </c>
      <c r="J97" s="242">
        <f t="shared" si="23"/>
        <v>4500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7</v>
      </c>
      <c r="C98" s="206">
        <v>43782</v>
      </c>
      <c r="D98" s="161" t="s">
        <v>9</v>
      </c>
      <c r="E98" s="161" t="s">
        <v>39</v>
      </c>
      <c r="F98" s="207">
        <v>11930</v>
      </c>
      <c r="G98" s="207">
        <v>11900</v>
      </c>
      <c r="H98" s="161">
        <v>-30</v>
      </c>
      <c r="I98" s="207">
        <v>150</v>
      </c>
      <c r="J98" s="242">
        <f t="shared" si="23"/>
        <v>-4500</v>
      </c>
      <c r="K98" s="153"/>
      <c r="V98" s="25">
        <f t="shared" si="24"/>
        <v>0</v>
      </c>
      <c r="W98" s="25">
        <f t="shared" si="25"/>
        <v>1</v>
      </c>
    </row>
    <row r="99" spans="1:23" x14ac:dyDescent="0.3">
      <c r="A99" s="147"/>
      <c r="B99" s="205">
        <f t="shared" si="26"/>
        <v>8</v>
      </c>
      <c r="C99" s="206">
        <v>43783</v>
      </c>
      <c r="D99" s="161" t="s">
        <v>9</v>
      </c>
      <c r="E99" s="161" t="s">
        <v>39</v>
      </c>
      <c r="F99" s="207">
        <v>11870</v>
      </c>
      <c r="G99" s="207">
        <v>11910</v>
      </c>
      <c r="H99" s="161">
        <v>40</v>
      </c>
      <c r="I99" s="207">
        <v>150</v>
      </c>
      <c r="J99" s="242">
        <f t="shared" si="23"/>
        <v>6000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9</v>
      </c>
      <c r="C100" s="206">
        <v>43784</v>
      </c>
      <c r="D100" s="161" t="s">
        <v>9</v>
      </c>
      <c r="E100" s="161" t="s">
        <v>39</v>
      </c>
      <c r="F100" s="207">
        <v>11980</v>
      </c>
      <c r="G100" s="207">
        <v>11950</v>
      </c>
      <c r="H100" s="161">
        <v>-30</v>
      </c>
      <c r="I100" s="207">
        <v>150</v>
      </c>
      <c r="J100" s="242">
        <f t="shared" si="23"/>
        <v>-4500</v>
      </c>
      <c r="K100" s="153"/>
      <c r="V100" s="25">
        <f t="shared" si="24"/>
        <v>0</v>
      </c>
      <c r="W100" s="25">
        <f t="shared" si="25"/>
        <v>1</v>
      </c>
    </row>
    <row r="101" spans="1:23" x14ac:dyDescent="0.3">
      <c r="A101" s="147"/>
      <c r="B101" s="205">
        <f t="shared" si="26"/>
        <v>10</v>
      </c>
      <c r="C101" s="206">
        <v>43787</v>
      </c>
      <c r="D101" s="161" t="s">
        <v>9</v>
      </c>
      <c r="E101" s="161" t="s">
        <v>39</v>
      </c>
      <c r="F101" s="207">
        <v>11920</v>
      </c>
      <c r="G101" s="207">
        <v>11925</v>
      </c>
      <c r="H101" s="161">
        <v>5</v>
      </c>
      <c r="I101" s="207">
        <v>150</v>
      </c>
      <c r="J101" s="242">
        <f t="shared" si="23"/>
        <v>750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11</v>
      </c>
      <c r="C102" s="206">
        <v>43788</v>
      </c>
      <c r="D102" s="161" t="s">
        <v>9</v>
      </c>
      <c r="E102" s="161" t="s">
        <v>39</v>
      </c>
      <c r="F102" s="207">
        <v>11940</v>
      </c>
      <c r="G102" s="207">
        <v>11985</v>
      </c>
      <c r="H102" s="161">
        <v>45</v>
      </c>
      <c r="I102" s="207">
        <v>150</v>
      </c>
      <c r="J102" s="242">
        <f t="shared" si="23"/>
        <v>6750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12</v>
      </c>
      <c r="C103" s="206">
        <v>43789</v>
      </c>
      <c r="D103" s="161" t="s">
        <v>9</v>
      </c>
      <c r="E103" s="161" t="s">
        <v>39</v>
      </c>
      <c r="F103" s="207">
        <v>12030</v>
      </c>
      <c r="G103" s="207">
        <v>12060</v>
      </c>
      <c r="H103" s="161">
        <v>30</v>
      </c>
      <c r="I103" s="207">
        <v>150</v>
      </c>
      <c r="J103" s="242">
        <f t="shared" si="23"/>
        <v>4500</v>
      </c>
      <c r="K103" s="153"/>
      <c r="V103" s="25">
        <f t="shared" si="24"/>
        <v>1</v>
      </c>
      <c r="W103" s="25">
        <f t="shared" si="25"/>
        <v>0</v>
      </c>
    </row>
    <row r="104" spans="1:23" x14ac:dyDescent="0.3">
      <c r="A104" s="147"/>
      <c r="B104" s="205">
        <f t="shared" si="26"/>
        <v>13</v>
      </c>
      <c r="C104" s="206">
        <v>43790</v>
      </c>
      <c r="D104" s="161" t="s">
        <v>9</v>
      </c>
      <c r="E104" s="161" t="s">
        <v>39</v>
      </c>
      <c r="F104" s="207">
        <v>11990</v>
      </c>
      <c r="G104" s="207">
        <v>12020</v>
      </c>
      <c r="H104" s="161">
        <v>30</v>
      </c>
      <c r="I104" s="207">
        <v>150</v>
      </c>
      <c r="J104" s="242">
        <f t="shared" si="23"/>
        <v>4500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14</v>
      </c>
      <c r="C105" s="206">
        <v>43791</v>
      </c>
      <c r="D105" s="161" t="s">
        <v>9</v>
      </c>
      <c r="E105" s="161" t="s">
        <v>39</v>
      </c>
      <c r="F105" s="207">
        <v>11940</v>
      </c>
      <c r="G105" s="207">
        <v>11910</v>
      </c>
      <c r="H105" s="161">
        <v>-30</v>
      </c>
      <c r="I105" s="207">
        <v>150</v>
      </c>
      <c r="J105" s="242">
        <f t="shared" si="23"/>
        <v>-4500</v>
      </c>
      <c r="K105" s="153"/>
      <c r="V105" s="25">
        <f t="shared" si="24"/>
        <v>0</v>
      </c>
      <c r="W105" s="25">
        <f t="shared" si="25"/>
        <v>1</v>
      </c>
    </row>
    <row r="106" spans="1:23" x14ac:dyDescent="0.3">
      <c r="A106" s="147"/>
      <c r="B106" s="205">
        <f t="shared" si="26"/>
        <v>15</v>
      </c>
      <c r="C106" s="206">
        <v>43794</v>
      </c>
      <c r="D106" s="161" t="s">
        <v>8</v>
      </c>
      <c r="E106" s="161" t="s">
        <v>39</v>
      </c>
      <c r="F106" s="207">
        <v>12035</v>
      </c>
      <c r="G106" s="207">
        <v>12065</v>
      </c>
      <c r="H106" s="161">
        <v>-30</v>
      </c>
      <c r="I106" s="207">
        <v>150</v>
      </c>
      <c r="J106" s="242">
        <f t="shared" si="23"/>
        <v>-4500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16</v>
      </c>
      <c r="C107" s="206">
        <v>43795</v>
      </c>
      <c r="D107" s="161" t="s">
        <v>9</v>
      </c>
      <c r="E107" s="161" t="s">
        <v>39</v>
      </c>
      <c r="F107" s="207">
        <v>12120</v>
      </c>
      <c r="G107" s="207">
        <v>12090</v>
      </c>
      <c r="H107" s="161">
        <v>-30</v>
      </c>
      <c r="I107" s="207">
        <v>150</v>
      </c>
      <c r="J107" s="242">
        <f t="shared" si="23"/>
        <v>-4500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17</v>
      </c>
      <c r="C108" s="206">
        <v>43796</v>
      </c>
      <c r="D108" s="161" t="s">
        <v>8</v>
      </c>
      <c r="E108" s="161" t="s">
        <v>39</v>
      </c>
      <c r="F108" s="207">
        <v>12090</v>
      </c>
      <c r="G108" s="207">
        <v>12073</v>
      </c>
      <c r="H108" s="161">
        <v>17</v>
      </c>
      <c r="I108" s="207">
        <v>150</v>
      </c>
      <c r="J108" s="242">
        <f t="shared" si="23"/>
        <v>2550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18</v>
      </c>
      <c r="C109" s="206">
        <v>43797</v>
      </c>
      <c r="D109" s="161" t="s">
        <v>9</v>
      </c>
      <c r="E109" s="161" t="s">
        <v>39</v>
      </c>
      <c r="F109" s="207">
        <v>12120</v>
      </c>
      <c r="G109" s="207">
        <v>12150</v>
      </c>
      <c r="H109" s="161">
        <v>30</v>
      </c>
      <c r="I109" s="207">
        <v>150</v>
      </c>
      <c r="J109" s="242">
        <f t="shared" si="23"/>
        <v>4500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19</v>
      </c>
      <c r="C110" s="206">
        <v>43798</v>
      </c>
      <c r="D110" s="161" t="s">
        <v>8</v>
      </c>
      <c r="E110" s="161" t="s">
        <v>39</v>
      </c>
      <c r="F110" s="207">
        <v>12080</v>
      </c>
      <c r="G110" s="207">
        <v>12053</v>
      </c>
      <c r="H110" s="161">
        <v>27</v>
      </c>
      <c r="I110" s="207">
        <v>150</v>
      </c>
      <c r="J110" s="242">
        <f>I110*H110</f>
        <v>4050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3"/>
        <v>0</v>
      </c>
      <c r="K111" s="153"/>
      <c r="V111" s="25">
        <f t="shared" si="24"/>
        <v>0</v>
      </c>
      <c r="W111" s="25">
        <f t="shared" si="25"/>
        <v>0</v>
      </c>
    </row>
    <row r="112" spans="1:23" x14ac:dyDescent="0.3">
      <c r="A112" s="147"/>
      <c r="B112" s="205">
        <f t="shared" si="26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3"/>
        <v>0</v>
      </c>
      <c r="K112" s="153"/>
      <c r="V112" s="25">
        <f t="shared" si="24"/>
        <v>0</v>
      </c>
      <c r="W112" s="25">
        <f t="shared" si="25"/>
        <v>0</v>
      </c>
    </row>
    <row r="113" spans="1:23" x14ac:dyDescent="0.3">
      <c r="A113" s="147"/>
      <c r="B113" s="205">
        <f t="shared" si="26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15" thickBot="1" x14ac:dyDescent="0.35">
      <c r="A114" s="147"/>
      <c r="B114" s="208">
        <f t="shared" si="26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3"/>
        <v>0</v>
      </c>
      <c r="K114" s="153"/>
      <c r="V114" s="25">
        <f t="shared" si="24"/>
        <v>0</v>
      </c>
      <c r="W114" s="25">
        <f t="shared" si="25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44100</v>
      </c>
      <c r="K115" s="153"/>
      <c r="V115" s="25">
        <f>SUM(V92:V114)</f>
        <v>14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2844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43773</v>
      </c>
      <c r="D123" s="185" t="s">
        <v>9</v>
      </c>
      <c r="E123" s="185" t="s">
        <v>2847</v>
      </c>
      <c r="F123" s="219">
        <v>140</v>
      </c>
      <c r="G123" s="219">
        <v>150</v>
      </c>
      <c r="H123" s="185">
        <v>10</v>
      </c>
      <c r="I123" s="219">
        <v>300</v>
      </c>
      <c r="J123" s="246">
        <f t="shared" ref="J123:J145" si="27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43774</v>
      </c>
      <c r="D124" s="161" t="s">
        <v>9</v>
      </c>
      <c r="E124" s="161" t="s">
        <v>2739</v>
      </c>
      <c r="F124" s="207">
        <v>120</v>
      </c>
      <c r="G124" s="207">
        <v>149</v>
      </c>
      <c r="H124" s="161">
        <v>29</v>
      </c>
      <c r="I124" s="207">
        <v>300</v>
      </c>
      <c r="J124" s="242">
        <f t="shared" si="27"/>
        <v>8700</v>
      </c>
      <c r="K124" s="153"/>
      <c r="V124" s="25">
        <f t="shared" ref="V124:V145" si="28">IF($J124&gt;0,1,0)</f>
        <v>1</v>
      </c>
      <c r="W124" s="25">
        <f t="shared" ref="W124:W145" si="29">IF($J124&lt;0,1,0)</f>
        <v>0</v>
      </c>
    </row>
    <row r="125" spans="1:23" x14ac:dyDescent="0.3">
      <c r="A125" s="147"/>
      <c r="B125" s="205">
        <f t="shared" ref="B125:B145" si="30">B124+1</f>
        <v>3</v>
      </c>
      <c r="C125" s="206">
        <v>43775</v>
      </c>
      <c r="D125" s="161" t="s">
        <v>9</v>
      </c>
      <c r="E125" s="161" t="s">
        <v>2714</v>
      </c>
      <c r="F125" s="207">
        <v>95</v>
      </c>
      <c r="G125" s="207">
        <v>125</v>
      </c>
      <c r="H125" s="161">
        <v>30</v>
      </c>
      <c r="I125" s="207">
        <v>300</v>
      </c>
      <c r="J125" s="242">
        <f t="shared" si="27"/>
        <v>9000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4</v>
      </c>
      <c r="C126" s="206">
        <v>43776</v>
      </c>
      <c r="D126" s="161" t="s">
        <v>9</v>
      </c>
      <c r="E126" s="161" t="s">
        <v>2714</v>
      </c>
      <c r="F126" s="207">
        <v>77</v>
      </c>
      <c r="G126" s="207">
        <v>57</v>
      </c>
      <c r="H126" s="161">
        <v>-20</v>
      </c>
      <c r="I126" s="207">
        <v>300</v>
      </c>
      <c r="J126" s="242">
        <f t="shared" si="27"/>
        <v>-6000</v>
      </c>
      <c r="K126" s="153"/>
      <c r="V126" s="25">
        <f t="shared" si="28"/>
        <v>0</v>
      </c>
      <c r="W126" s="25">
        <f t="shared" si="29"/>
        <v>1</v>
      </c>
    </row>
    <row r="127" spans="1:23" x14ac:dyDescent="0.3">
      <c r="A127" s="147"/>
      <c r="B127" s="205">
        <f t="shared" si="30"/>
        <v>5</v>
      </c>
      <c r="C127" s="206">
        <v>43777</v>
      </c>
      <c r="D127" s="161" t="s">
        <v>9</v>
      </c>
      <c r="E127" s="161" t="s">
        <v>2714</v>
      </c>
      <c r="F127" s="207">
        <v>118</v>
      </c>
      <c r="G127" s="207">
        <v>158</v>
      </c>
      <c r="H127" s="161">
        <v>40</v>
      </c>
      <c r="I127" s="207">
        <v>300</v>
      </c>
      <c r="J127" s="242">
        <f t="shared" si="27"/>
        <v>12000</v>
      </c>
      <c r="K127" s="153"/>
      <c r="M127" s="25" t="s">
        <v>2008</v>
      </c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6</v>
      </c>
      <c r="C128" s="206">
        <v>43780</v>
      </c>
      <c r="D128" s="161" t="s">
        <v>9</v>
      </c>
      <c r="E128" s="161" t="s">
        <v>2853</v>
      </c>
      <c r="F128" s="207">
        <v>120</v>
      </c>
      <c r="G128" s="222">
        <v>130</v>
      </c>
      <c r="H128" s="222">
        <v>10</v>
      </c>
      <c r="I128" s="207">
        <v>300</v>
      </c>
      <c r="J128" s="242">
        <f t="shared" si="27"/>
        <v>3000</v>
      </c>
      <c r="K128" s="153"/>
      <c r="V128" s="25">
        <f t="shared" si="28"/>
        <v>1</v>
      </c>
      <c r="W128" s="25">
        <f t="shared" si="29"/>
        <v>0</v>
      </c>
    </row>
    <row r="129" spans="1:23" x14ac:dyDescent="0.3">
      <c r="A129" s="147"/>
      <c r="B129" s="205">
        <f t="shared" si="30"/>
        <v>7</v>
      </c>
      <c r="C129" s="206">
        <v>43782</v>
      </c>
      <c r="D129" s="161" t="s">
        <v>9</v>
      </c>
      <c r="E129" s="161" t="s">
        <v>2716</v>
      </c>
      <c r="F129" s="207">
        <v>125</v>
      </c>
      <c r="G129" s="207">
        <v>105</v>
      </c>
      <c r="H129" s="161">
        <v>-20</v>
      </c>
      <c r="I129" s="207">
        <v>300</v>
      </c>
      <c r="J129" s="242">
        <f t="shared" si="27"/>
        <v>-6000</v>
      </c>
      <c r="K129" s="153"/>
      <c r="V129" s="25">
        <f t="shared" si="28"/>
        <v>0</v>
      </c>
      <c r="W129" s="25">
        <f t="shared" si="29"/>
        <v>1</v>
      </c>
    </row>
    <row r="130" spans="1:23" x14ac:dyDescent="0.3">
      <c r="A130" s="147"/>
      <c r="B130" s="205">
        <f t="shared" si="30"/>
        <v>8</v>
      </c>
      <c r="C130" s="206">
        <v>43783</v>
      </c>
      <c r="D130" s="161" t="s">
        <v>9</v>
      </c>
      <c r="E130" s="161" t="s">
        <v>2853</v>
      </c>
      <c r="F130" s="207">
        <v>120</v>
      </c>
      <c r="G130" s="207">
        <v>140</v>
      </c>
      <c r="H130" s="161">
        <v>20</v>
      </c>
      <c r="I130" s="207">
        <v>300</v>
      </c>
      <c r="J130" s="242">
        <f t="shared" si="27"/>
        <v>6000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9</v>
      </c>
      <c r="C131" s="206">
        <v>43784</v>
      </c>
      <c r="D131" s="161" t="s">
        <v>9</v>
      </c>
      <c r="E131" s="161" t="s">
        <v>2714</v>
      </c>
      <c r="F131" s="207">
        <v>105</v>
      </c>
      <c r="G131" s="207">
        <v>95</v>
      </c>
      <c r="H131" s="161">
        <v>-10</v>
      </c>
      <c r="I131" s="207">
        <v>300</v>
      </c>
      <c r="J131" s="242">
        <f t="shared" si="27"/>
        <v>-3000</v>
      </c>
      <c r="K131" s="153"/>
      <c r="V131" s="25">
        <f t="shared" si="28"/>
        <v>0</v>
      </c>
      <c r="W131" s="25">
        <f t="shared" si="29"/>
        <v>1</v>
      </c>
    </row>
    <row r="132" spans="1:23" x14ac:dyDescent="0.3">
      <c r="A132" s="147"/>
      <c r="B132" s="205">
        <f t="shared" si="30"/>
        <v>10</v>
      </c>
      <c r="C132" s="206">
        <v>43787</v>
      </c>
      <c r="D132" s="161" t="s">
        <v>9</v>
      </c>
      <c r="E132" s="161" t="s">
        <v>2847</v>
      </c>
      <c r="F132" s="207">
        <v>100</v>
      </c>
      <c r="G132" s="222">
        <v>95</v>
      </c>
      <c r="H132" s="222">
        <v>-5</v>
      </c>
      <c r="I132" s="207">
        <v>300</v>
      </c>
      <c r="J132" s="242">
        <f t="shared" si="27"/>
        <v>-1500</v>
      </c>
      <c r="K132" s="153"/>
      <c r="V132" s="25">
        <f t="shared" si="28"/>
        <v>0</v>
      </c>
      <c r="W132" s="25">
        <f t="shared" si="29"/>
        <v>1</v>
      </c>
    </row>
    <row r="133" spans="1:23" x14ac:dyDescent="0.3">
      <c r="A133" s="147"/>
      <c r="B133" s="205">
        <f t="shared" si="30"/>
        <v>11</v>
      </c>
      <c r="C133" s="206">
        <v>43788</v>
      </c>
      <c r="D133" s="161" t="s">
        <v>9</v>
      </c>
      <c r="E133" s="161" t="s">
        <v>2847</v>
      </c>
      <c r="F133" s="207">
        <v>115</v>
      </c>
      <c r="G133" s="207">
        <v>135</v>
      </c>
      <c r="H133" s="161">
        <v>20</v>
      </c>
      <c r="I133" s="207">
        <v>300</v>
      </c>
      <c r="J133" s="242">
        <f t="shared" si="27"/>
        <v>6000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12</v>
      </c>
      <c r="C134" s="206">
        <v>43789</v>
      </c>
      <c r="D134" s="161" t="s">
        <v>9</v>
      </c>
      <c r="E134" s="161" t="s">
        <v>2860</v>
      </c>
      <c r="F134" s="207">
        <v>90</v>
      </c>
      <c r="G134" s="207">
        <v>101</v>
      </c>
      <c r="H134" s="161">
        <v>11</v>
      </c>
      <c r="I134" s="207">
        <v>300</v>
      </c>
      <c r="J134" s="242">
        <f t="shared" si="27"/>
        <v>3300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13</v>
      </c>
      <c r="C135" s="206">
        <v>43790</v>
      </c>
      <c r="D135" s="161" t="s">
        <v>9</v>
      </c>
      <c r="E135" s="161" t="s">
        <v>2714</v>
      </c>
      <c r="F135" s="207">
        <v>90</v>
      </c>
      <c r="G135" s="207">
        <v>110</v>
      </c>
      <c r="H135" s="161">
        <v>20</v>
      </c>
      <c r="I135" s="207">
        <v>300</v>
      </c>
      <c r="J135" s="242">
        <f t="shared" si="27"/>
        <v>6000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14</v>
      </c>
      <c r="C136" s="206">
        <v>43791</v>
      </c>
      <c r="D136" s="161" t="s">
        <v>9</v>
      </c>
      <c r="E136" s="161" t="s">
        <v>2853</v>
      </c>
      <c r="F136" s="207">
        <v>98</v>
      </c>
      <c r="G136" s="207">
        <v>107</v>
      </c>
      <c r="H136" s="161">
        <v>9</v>
      </c>
      <c r="I136" s="207">
        <v>300</v>
      </c>
      <c r="J136" s="242">
        <f>I136*H136</f>
        <v>2700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15</v>
      </c>
      <c r="C137" s="206">
        <v>43795</v>
      </c>
      <c r="D137" s="161" t="s">
        <v>9</v>
      </c>
      <c r="E137" s="161" t="s">
        <v>2732</v>
      </c>
      <c r="F137" s="207">
        <v>115</v>
      </c>
      <c r="G137" s="207">
        <v>135</v>
      </c>
      <c r="H137" s="161">
        <v>20</v>
      </c>
      <c r="I137" s="207">
        <v>300</v>
      </c>
      <c r="J137" s="242">
        <f t="shared" si="27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0"/>
        <v>16</v>
      </c>
      <c r="C138" s="206">
        <v>43796</v>
      </c>
      <c r="D138" s="161" t="s">
        <v>9</v>
      </c>
      <c r="E138" s="161" t="s">
        <v>2866</v>
      </c>
      <c r="F138" s="207">
        <v>120</v>
      </c>
      <c r="G138" s="207">
        <v>132</v>
      </c>
      <c r="H138" s="161">
        <v>12</v>
      </c>
      <c r="I138" s="207">
        <v>300</v>
      </c>
      <c r="J138" s="242">
        <f t="shared" si="27"/>
        <v>3600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17</v>
      </c>
      <c r="C139" s="206">
        <v>43797</v>
      </c>
      <c r="D139" s="161" t="s">
        <v>9</v>
      </c>
      <c r="E139" s="161" t="s">
        <v>2869</v>
      </c>
      <c r="F139" s="207">
        <v>88</v>
      </c>
      <c r="G139" s="207">
        <v>88</v>
      </c>
      <c r="H139" s="161">
        <v>0</v>
      </c>
      <c r="I139" s="207">
        <v>300</v>
      </c>
      <c r="J139" s="242">
        <f t="shared" si="27"/>
        <v>0</v>
      </c>
      <c r="K139" s="153"/>
      <c r="V139" s="25">
        <f t="shared" si="28"/>
        <v>0</v>
      </c>
      <c r="W139" s="25">
        <f t="shared" si="29"/>
        <v>0</v>
      </c>
    </row>
    <row r="140" spans="1:23" x14ac:dyDescent="0.3">
      <c r="A140" s="147"/>
      <c r="B140" s="205">
        <f t="shared" si="30"/>
        <v>18</v>
      </c>
      <c r="C140" s="206">
        <v>43798</v>
      </c>
      <c r="D140" s="161" t="s">
        <v>9</v>
      </c>
      <c r="E140" s="161" t="s">
        <v>2725</v>
      </c>
      <c r="F140" s="207">
        <v>95</v>
      </c>
      <c r="G140" s="207">
        <v>125</v>
      </c>
      <c r="H140" s="161">
        <v>30</v>
      </c>
      <c r="I140" s="207">
        <v>300</v>
      </c>
      <c r="J140" s="242">
        <f t="shared" si="27"/>
        <v>9000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7"/>
        <v>0</v>
      </c>
      <c r="K141" s="153"/>
      <c r="V141" s="25">
        <f t="shared" si="28"/>
        <v>0</v>
      </c>
      <c r="W141" s="25">
        <f t="shared" si="29"/>
        <v>0</v>
      </c>
    </row>
    <row r="142" spans="1:23" x14ac:dyDescent="0.3">
      <c r="A142" s="147"/>
      <c r="B142" s="205">
        <f t="shared" si="30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7"/>
        <v>0</v>
      </c>
      <c r="K142" s="153"/>
      <c r="V142" s="25">
        <f t="shared" si="28"/>
        <v>0</v>
      </c>
      <c r="W142" s="25">
        <f t="shared" si="29"/>
        <v>0</v>
      </c>
    </row>
    <row r="143" spans="1:23" x14ac:dyDescent="0.3">
      <c r="A143" s="147"/>
      <c r="B143" s="205">
        <f t="shared" si="30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7"/>
        <v>0</v>
      </c>
      <c r="K143" s="153"/>
      <c r="V143" s="25">
        <f t="shared" si="28"/>
        <v>0</v>
      </c>
      <c r="W143" s="25">
        <f t="shared" si="29"/>
        <v>0</v>
      </c>
    </row>
    <row r="144" spans="1:23" x14ac:dyDescent="0.3">
      <c r="A144" s="147"/>
      <c r="B144" s="205">
        <f t="shared" si="30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7"/>
        <v>0</v>
      </c>
      <c r="K144" s="153"/>
      <c r="V144" s="25">
        <f t="shared" si="28"/>
        <v>0</v>
      </c>
      <c r="W144" s="25">
        <f t="shared" si="29"/>
        <v>0</v>
      </c>
    </row>
    <row r="145" spans="1:23" ht="15" thickBot="1" x14ac:dyDescent="0.35">
      <c r="A145" s="147"/>
      <c r="B145" s="208">
        <f t="shared" si="30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7"/>
        <v>0</v>
      </c>
      <c r="K145" s="153"/>
      <c r="V145" s="25">
        <f t="shared" si="28"/>
        <v>0</v>
      </c>
      <c r="W145" s="25">
        <f t="shared" si="29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61800</v>
      </c>
      <c r="K146" s="153"/>
      <c r="V146" s="25">
        <f>SUM(V123:V145)</f>
        <v>13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2844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43773</v>
      </c>
      <c r="D154" s="185" t="s">
        <v>9</v>
      </c>
      <c r="E154" s="185" t="s">
        <v>301</v>
      </c>
      <c r="F154" s="219">
        <v>30600</v>
      </c>
      <c r="G154" s="219">
        <v>30500</v>
      </c>
      <c r="H154" s="185">
        <v>-100</v>
      </c>
      <c r="I154" s="219">
        <v>40</v>
      </c>
      <c r="J154" s="246">
        <f t="shared" ref="J154:J176" si="31">I154*H154</f>
        <v>-4000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06">
        <v>43774</v>
      </c>
      <c r="D155" s="161" t="s">
        <v>9</v>
      </c>
      <c r="E155" s="161" t="s">
        <v>301</v>
      </c>
      <c r="F155" s="207">
        <v>30430</v>
      </c>
      <c r="G155" s="207">
        <v>30485</v>
      </c>
      <c r="H155" s="161">
        <v>55</v>
      </c>
      <c r="I155" s="207">
        <v>40</v>
      </c>
      <c r="J155" s="242">
        <f t="shared" si="31"/>
        <v>2200</v>
      </c>
      <c r="K155" s="153"/>
      <c r="V155" s="25">
        <f t="shared" ref="V155:V176" si="32">IF($J155&gt;0,1,0)</f>
        <v>1</v>
      </c>
      <c r="W155" s="25">
        <f t="shared" ref="W155:W176" si="33">IF($J155&lt;0,1,0)</f>
        <v>0</v>
      </c>
    </row>
    <row r="156" spans="1:23" x14ac:dyDescent="0.3">
      <c r="A156" s="147"/>
      <c r="B156" s="205">
        <f t="shared" ref="B156:B176" si="34">B155+1</f>
        <v>3</v>
      </c>
      <c r="C156" s="206">
        <v>43775</v>
      </c>
      <c r="D156" s="161" t="s">
        <v>9</v>
      </c>
      <c r="E156" s="161" t="s">
        <v>301</v>
      </c>
      <c r="F156" s="207">
        <v>30200</v>
      </c>
      <c r="G156" s="207">
        <v>30400</v>
      </c>
      <c r="H156" s="161">
        <v>200</v>
      </c>
      <c r="I156" s="207">
        <v>40</v>
      </c>
      <c r="J156" s="242">
        <f t="shared" si="31"/>
        <v>8000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4</v>
      </c>
      <c r="C157" s="206">
        <v>43776</v>
      </c>
      <c r="D157" s="161" t="s">
        <v>9</v>
      </c>
      <c r="E157" s="161" t="s">
        <v>301</v>
      </c>
      <c r="F157" s="207">
        <v>30680</v>
      </c>
      <c r="G157" s="207">
        <v>30580</v>
      </c>
      <c r="H157" s="161">
        <v>-100</v>
      </c>
      <c r="I157" s="207">
        <v>40</v>
      </c>
      <c r="J157" s="242">
        <f t="shared" si="31"/>
        <v>-4000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5</v>
      </c>
      <c r="C158" s="206">
        <v>43777</v>
      </c>
      <c r="D158" s="161" t="s">
        <v>9</v>
      </c>
      <c r="E158" s="161" t="s">
        <v>301</v>
      </c>
      <c r="F158" s="207">
        <v>30740</v>
      </c>
      <c r="G158" s="207">
        <v>30940</v>
      </c>
      <c r="H158" s="161">
        <v>200</v>
      </c>
      <c r="I158" s="207">
        <v>40</v>
      </c>
      <c r="J158" s="242">
        <f t="shared" si="31"/>
        <v>8000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6</v>
      </c>
      <c r="C159" s="206">
        <v>43780</v>
      </c>
      <c r="D159" s="161" t="s">
        <v>9</v>
      </c>
      <c r="E159" s="161" t="s">
        <v>301</v>
      </c>
      <c r="F159" s="207">
        <v>30830</v>
      </c>
      <c r="G159" s="207">
        <v>30930</v>
      </c>
      <c r="H159" s="161">
        <v>-100</v>
      </c>
      <c r="I159" s="207">
        <v>40</v>
      </c>
      <c r="J159" s="242">
        <f t="shared" si="31"/>
        <v>-4000</v>
      </c>
      <c r="K159" s="153"/>
      <c r="V159" s="25">
        <f t="shared" si="32"/>
        <v>0</v>
      </c>
      <c r="W159" s="25">
        <f t="shared" si="33"/>
        <v>1</v>
      </c>
    </row>
    <row r="160" spans="1:23" x14ac:dyDescent="0.3">
      <c r="A160" s="147"/>
      <c r="B160" s="205">
        <f t="shared" si="34"/>
        <v>7</v>
      </c>
      <c r="C160" s="206">
        <v>43782</v>
      </c>
      <c r="D160" s="161" t="s">
        <v>9</v>
      </c>
      <c r="E160" s="161" t="s">
        <v>301</v>
      </c>
      <c r="F160" s="207">
        <v>30940</v>
      </c>
      <c r="G160" s="207">
        <v>30840</v>
      </c>
      <c r="H160" s="161">
        <v>-100</v>
      </c>
      <c r="I160" s="207">
        <v>40</v>
      </c>
      <c r="J160" s="242">
        <f t="shared" si="31"/>
        <v>-4000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8</v>
      </c>
      <c r="C161" s="206">
        <v>43783</v>
      </c>
      <c r="D161" s="161" t="s">
        <v>9</v>
      </c>
      <c r="E161" s="161" t="s">
        <v>301</v>
      </c>
      <c r="F161" s="207">
        <v>30700</v>
      </c>
      <c r="G161" s="207">
        <v>30750</v>
      </c>
      <c r="H161" s="161">
        <v>50</v>
      </c>
      <c r="I161" s="207">
        <v>40</v>
      </c>
      <c r="J161" s="242">
        <f t="shared" si="31"/>
        <v>2000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9</v>
      </c>
      <c r="C162" s="206">
        <v>43784</v>
      </c>
      <c r="D162" s="161" t="s">
        <v>9</v>
      </c>
      <c r="E162" s="161" t="s">
        <v>301</v>
      </c>
      <c r="F162" s="207">
        <v>31070</v>
      </c>
      <c r="G162" s="207">
        <v>31170</v>
      </c>
      <c r="H162" s="161">
        <v>100</v>
      </c>
      <c r="I162" s="207">
        <v>40</v>
      </c>
      <c r="J162" s="242">
        <f t="shared" si="31"/>
        <v>4000</v>
      </c>
      <c r="K162" s="153"/>
      <c r="V162" s="25">
        <f t="shared" si="32"/>
        <v>1</v>
      </c>
      <c r="W162" s="25">
        <f t="shared" si="33"/>
        <v>0</v>
      </c>
    </row>
    <row r="163" spans="1:23" x14ac:dyDescent="0.3">
      <c r="A163" s="147"/>
      <c r="B163" s="205">
        <f t="shared" si="34"/>
        <v>10</v>
      </c>
      <c r="C163" s="206">
        <v>43787</v>
      </c>
      <c r="D163" s="161" t="s">
        <v>9</v>
      </c>
      <c r="E163" s="161" t="s">
        <v>301</v>
      </c>
      <c r="F163" s="207">
        <v>31020</v>
      </c>
      <c r="G163" s="207">
        <v>30920</v>
      </c>
      <c r="H163" s="161">
        <v>-100</v>
      </c>
      <c r="I163" s="207">
        <v>40</v>
      </c>
      <c r="J163" s="242">
        <f t="shared" si="31"/>
        <v>-4000</v>
      </c>
      <c r="K163" s="153"/>
      <c r="V163" s="25">
        <f t="shared" si="32"/>
        <v>0</v>
      </c>
      <c r="W163" s="25">
        <f t="shared" si="33"/>
        <v>1</v>
      </c>
    </row>
    <row r="164" spans="1:23" x14ac:dyDescent="0.3">
      <c r="A164" s="147"/>
      <c r="B164" s="205">
        <f t="shared" si="34"/>
        <v>11</v>
      </c>
      <c r="C164" s="206">
        <v>43788</v>
      </c>
      <c r="D164" s="161" t="s">
        <v>9</v>
      </c>
      <c r="E164" s="161" t="s">
        <v>301</v>
      </c>
      <c r="F164" s="207">
        <v>31000</v>
      </c>
      <c r="G164" s="207">
        <v>31200</v>
      </c>
      <c r="H164" s="161">
        <v>200</v>
      </c>
      <c r="I164" s="207">
        <v>40</v>
      </c>
      <c r="J164" s="242">
        <f t="shared" si="31"/>
        <v>8000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12</v>
      </c>
      <c r="C165" s="206">
        <v>43789</v>
      </c>
      <c r="D165" s="161" t="s">
        <v>9</v>
      </c>
      <c r="E165" s="161" t="s">
        <v>301</v>
      </c>
      <c r="F165" s="207">
        <v>31340</v>
      </c>
      <c r="G165" s="207">
        <v>31385</v>
      </c>
      <c r="H165" s="161">
        <v>45</v>
      </c>
      <c r="I165" s="207">
        <v>40</v>
      </c>
      <c r="J165" s="242">
        <f t="shared" si="31"/>
        <v>1800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13</v>
      </c>
      <c r="C166" s="206">
        <v>43790</v>
      </c>
      <c r="D166" s="161" t="s">
        <v>9</v>
      </c>
      <c r="E166" s="161" t="s">
        <v>301</v>
      </c>
      <c r="F166" s="207">
        <v>31300</v>
      </c>
      <c r="G166" s="207">
        <v>31440</v>
      </c>
      <c r="H166" s="161">
        <v>140</v>
      </c>
      <c r="I166" s="207">
        <v>40</v>
      </c>
      <c r="J166" s="242">
        <f t="shared" si="31"/>
        <v>5600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14</v>
      </c>
      <c r="C167" s="206">
        <v>43791</v>
      </c>
      <c r="D167" s="161" t="s">
        <v>9</v>
      </c>
      <c r="E167" s="161" t="s">
        <v>301</v>
      </c>
      <c r="F167" s="207">
        <v>31250</v>
      </c>
      <c r="G167" s="207">
        <v>31150</v>
      </c>
      <c r="H167" s="161">
        <v>-100</v>
      </c>
      <c r="I167" s="207">
        <v>40</v>
      </c>
      <c r="J167" s="242">
        <f t="shared" si="31"/>
        <v>-4000</v>
      </c>
      <c r="K167" s="153"/>
      <c r="V167" s="25">
        <f t="shared" si="32"/>
        <v>0</v>
      </c>
      <c r="W167" s="25">
        <f t="shared" si="33"/>
        <v>1</v>
      </c>
    </row>
    <row r="168" spans="1:23" x14ac:dyDescent="0.3">
      <c r="A168" s="147"/>
      <c r="B168" s="205">
        <f t="shared" si="34"/>
        <v>15</v>
      </c>
      <c r="C168" s="206">
        <v>43794</v>
      </c>
      <c r="D168" s="161" t="s">
        <v>9</v>
      </c>
      <c r="E168" s="161" t="s">
        <v>301</v>
      </c>
      <c r="F168" s="207">
        <v>31370</v>
      </c>
      <c r="G168" s="207">
        <v>31470</v>
      </c>
      <c r="H168" s="161">
        <v>-100</v>
      </c>
      <c r="I168" s="207">
        <v>40</v>
      </c>
      <c r="J168" s="242">
        <f t="shared" si="31"/>
        <v>-4000</v>
      </c>
      <c r="K168" s="153"/>
      <c r="V168" s="25">
        <f t="shared" si="32"/>
        <v>0</v>
      </c>
      <c r="W168" s="25">
        <f t="shared" si="33"/>
        <v>1</v>
      </c>
    </row>
    <row r="169" spans="1:23" x14ac:dyDescent="0.3">
      <c r="A169" s="147"/>
      <c r="B169" s="205">
        <f t="shared" si="34"/>
        <v>16</v>
      </c>
      <c r="C169" s="206">
        <v>43795</v>
      </c>
      <c r="D169" s="161" t="s">
        <v>9</v>
      </c>
      <c r="E169" s="161" t="s">
        <v>301</v>
      </c>
      <c r="F169" s="207">
        <v>31750</v>
      </c>
      <c r="G169" s="207">
        <v>31790</v>
      </c>
      <c r="H169" s="161">
        <v>40</v>
      </c>
      <c r="I169" s="207">
        <v>40</v>
      </c>
      <c r="J169" s="242">
        <f t="shared" si="31"/>
        <v>1600</v>
      </c>
      <c r="K169" s="153"/>
      <c r="V169" s="25">
        <f t="shared" si="32"/>
        <v>1</v>
      </c>
      <c r="W169" s="25">
        <f t="shared" si="33"/>
        <v>0</v>
      </c>
    </row>
    <row r="170" spans="1:23" x14ac:dyDescent="0.3">
      <c r="A170" s="147"/>
      <c r="B170" s="205">
        <f t="shared" si="34"/>
        <v>17</v>
      </c>
      <c r="C170" s="206">
        <v>43796</v>
      </c>
      <c r="D170" s="161" t="s">
        <v>8</v>
      </c>
      <c r="E170" s="161" t="s">
        <v>301</v>
      </c>
      <c r="F170" s="207">
        <v>31750</v>
      </c>
      <c r="G170" s="207">
        <v>31850</v>
      </c>
      <c r="H170" s="161">
        <v>-100</v>
      </c>
      <c r="I170" s="207">
        <v>40</v>
      </c>
      <c r="J170" s="242">
        <f t="shared" si="31"/>
        <v>-4000</v>
      </c>
      <c r="K170" s="153"/>
      <c r="V170" s="25">
        <f t="shared" si="32"/>
        <v>0</v>
      </c>
      <c r="W170" s="25">
        <f t="shared" si="33"/>
        <v>1</v>
      </c>
    </row>
    <row r="171" spans="1:23" x14ac:dyDescent="0.3">
      <c r="A171" s="147"/>
      <c r="B171" s="205">
        <f t="shared" si="34"/>
        <v>18</v>
      </c>
      <c r="C171" s="206">
        <v>43797</v>
      </c>
      <c r="D171" s="161" t="s">
        <v>9</v>
      </c>
      <c r="E171" s="161" t="s">
        <v>301</v>
      </c>
      <c r="F171" s="207">
        <v>31980</v>
      </c>
      <c r="G171" s="207">
        <v>32080</v>
      </c>
      <c r="H171" s="161">
        <v>100</v>
      </c>
      <c r="I171" s="207">
        <v>40</v>
      </c>
      <c r="J171" s="242">
        <f t="shared" si="31"/>
        <v>4000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19</v>
      </c>
      <c r="C172" s="206">
        <v>43798</v>
      </c>
      <c r="D172" s="161" t="s">
        <v>9</v>
      </c>
      <c r="E172" s="161" t="s">
        <v>301</v>
      </c>
      <c r="F172" s="207">
        <v>32040</v>
      </c>
      <c r="G172" s="207">
        <v>31940</v>
      </c>
      <c r="H172" s="161">
        <v>-100</v>
      </c>
      <c r="I172" s="207">
        <v>40</v>
      </c>
      <c r="J172" s="242">
        <f t="shared" si="31"/>
        <v>-4000</v>
      </c>
      <c r="K172" s="153"/>
      <c r="V172" s="25">
        <f t="shared" si="32"/>
        <v>0</v>
      </c>
      <c r="W172" s="25">
        <f t="shared" si="33"/>
        <v>1</v>
      </c>
    </row>
    <row r="173" spans="1:23" x14ac:dyDescent="0.3">
      <c r="A173" s="147"/>
      <c r="B173" s="205">
        <f t="shared" si="34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31"/>
        <v>0</v>
      </c>
      <c r="K173" s="153"/>
      <c r="V173" s="25">
        <f t="shared" si="32"/>
        <v>0</v>
      </c>
      <c r="W173" s="25">
        <f t="shared" si="33"/>
        <v>0</v>
      </c>
    </row>
    <row r="174" spans="1:23" x14ac:dyDescent="0.3">
      <c r="A174" s="147"/>
      <c r="B174" s="205">
        <f t="shared" si="34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1"/>
        <v>0</v>
      </c>
      <c r="K174" s="153"/>
      <c r="V174" s="25">
        <f t="shared" si="32"/>
        <v>0</v>
      </c>
      <c r="W174" s="25">
        <f t="shared" si="33"/>
        <v>0</v>
      </c>
    </row>
    <row r="175" spans="1:23" x14ac:dyDescent="0.3">
      <c r="A175" s="147"/>
      <c r="B175" s="205">
        <f t="shared" si="34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1"/>
        <v>0</v>
      </c>
      <c r="K175" s="153"/>
      <c r="V175" s="25">
        <f t="shared" si="32"/>
        <v>0</v>
      </c>
      <c r="W175" s="25">
        <f t="shared" si="33"/>
        <v>0</v>
      </c>
    </row>
    <row r="176" spans="1:23" ht="15" thickBot="1" x14ac:dyDescent="0.35">
      <c r="A176" s="147"/>
      <c r="B176" s="208">
        <f t="shared" si="34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1"/>
        <v>0</v>
      </c>
      <c r="K176" s="153"/>
      <c r="V176" s="25">
        <f t="shared" si="32"/>
        <v>0</v>
      </c>
      <c r="W176" s="25">
        <f t="shared" si="33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9200</v>
      </c>
      <c r="K177" s="153"/>
      <c r="V177" s="25">
        <f>SUM(V154:V176)</f>
        <v>10</v>
      </c>
      <c r="W177" s="25">
        <f>SUM(W154:W176)</f>
        <v>9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2844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43773</v>
      </c>
      <c r="D185" s="185" t="s">
        <v>9</v>
      </c>
      <c r="E185" s="185" t="s">
        <v>2679</v>
      </c>
      <c r="F185" s="219">
        <v>240</v>
      </c>
      <c r="G185" s="219">
        <v>180</v>
      </c>
      <c r="H185" s="185">
        <v>-60</v>
      </c>
      <c r="I185" s="219">
        <v>80</v>
      </c>
      <c r="J185" s="246">
        <f t="shared" ref="J185:J207" si="35">I185*H185</f>
        <v>-4800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43774</v>
      </c>
      <c r="D186" s="161" t="s">
        <v>9</v>
      </c>
      <c r="E186" s="161" t="s">
        <v>2849</v>
      </c>
      <c r="F186" s="207">
        <v>290</v>
      </c>
      <c r="G186" s="207">
        <v>345</v>
      </c>
      <c r="H186" s="161">
        <v>55</v>
      </c>
      <c r="I186" s="207">
        <v>80</v>
      </c>
      <c r="J186" s="242">
        <f t="shared" si="35"/>
        <v>4400</v>
      </c>
      <c r="K186" s="153"/>
      <c r="V186" s="25">
        <f t="shared" ref="V186:V207" si="36">IF($J186&gt;0,1,0)</f>
        <v>1</v>
      </c>
      <c r="W186" s="25">
        <f t="shared" ref="W186:W207" si="37">IF($J186&lt;0,1,0)</f>
        <v>0</v>
      </c>
    </row>
    <row r="187" spans="1:23" x14ac:dyDescent="0.3">
      <c r="A187" s="147"/>
      <c r="B187" s="205">
        <f t="shared" ref="B187:B207" si="38">B186+1</f>
        <v>3</v>
      </c>
      <c r="C187" s="206">
        <v>43775</v>
      </c>
      <c r="D187" s="161" t="s">
        <v>9</v>
      </c>
      <c r="E187" s="161" t="s">
        <v>2688</v>
      </c>
      <c r="F187" s="207">
        <v>200</v>
      </c>
      <c r="G187" s="207">
        <v>320</v>
      </c>
      <c r="H187" s="161">
        <v>120</v>
      </c>
      <c r="I187" s="207">
        <v>80</v>
      </c>
      <c r="J187" s="242">
        <f t="shared" si="35"/>
        <v>9600</v>
      </c>
      <c r="K187" s="153"/>
      <c r="V187" s="25">
        <f t="shared" si="36"/>
        <v>1</v>
      </c>
      <c r="W187" s="25">
        <f t="shared" si="37"/>
        <v>0</v>
      </c>
    </row>
    <row r="188" spans="1:23" x14ac:dyDescent="0.3">
      <c r="A188" s="147"/>
      <c r="B188" s="205">
        <f t="shared" si="38"/>
        <v>4</v>
      </c>
      <c r="C188" s="206">
        <v>43776</v>
      </c>
      <c r="D188" s="161" t="s">
        <v>9</v>
      </c>
      <c r="E188" s="161" t="s">
        <v>2679</v>
      </c>
      <c r="F188" s="207">
        <v>130</v>
      </c>
      <c r="G188" s="207">
        <v>70</v>
      </c>
      <c r="H188" s="161">
        <v>-60</v>
      </c>
      <c r="I188" s="207">
        <v>80</v>
      </c>
      <c r="J188" s="242">
        <f t="shared" si="35"/>
        <v>-4800</v>
      </c>
      <c r="K188" s="153"/>
      <c r="V188" s="25">
        <f t="shared" si="36"/>
        <v>0</v>
      </c>
      <c r="W188" s="25">
        <f t="shared" si="37"/>
        <v>1</v>
      </c>
    </row>
    <row r="189" spans="1:23" x14ac:dyDescent="0.3">
      <c r="A189" s="147"/>
      <c r="B189" s="205">
        <f t="shared" si="38"/>
        <v>5</v>
      </c>
      <c r="C189" s="206">
        <v>43777</v>
      </c>
      <c r="D189" s="161" t="s">
        <v>9</v>
      </c>
      <c r="E189" s="161" t="s">
        <v>2675</v>
      </c>
      <c r="F189" s="207">
        <v>300</v>
      </c>
      <c r="G189" s="207">
        <v>420</v>
      </c>
      <c r="H189" s="161">
        <v>120</v>
      </c>
      <c r="I189" s="207">
        <v>80</v>
      </c>
      <c r="J189" s="242">
        <f t="shared" si="35"/>
        <v>9600</v>
      </c>
      <c r="K189" s="153"/>
      <c r="O189" s="25" t="s">
        <v>2008</v>
      </c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6</v>
      </c>
      <c r="C190" s="206">
        <v>43780</v>
      </c>
      <c r="D190" s="161" t="s">
        <v>9</v>
      </c>
      <c r="E190" s="161" t="s">
        <v>2741</v>
      </c>
      <c r="F190" s="207">
        <v>260</v>
      </c>
      <c r="G190" s="207">
        <v>200</v>
      </c>
      <c r="H190" s="161">
        <v>-60</v>
      </c>
      <c r="I190" s="207">
        <v>80</v>
      </c>
      <c r="J190" s="242">
        <f t="shared" si="35"/>
        <v>-4800</v>
      </c>
      <c r="K190" s="153"/>
      <c r="V190" s="25">
        <f t="shared" si="36"/>
        <v>0</v>
      </c>
      <c r="W190" s="25">
        <f t="shared" si="37"/>
        <v>1</v>
      </c>
    </row>
    <row r="191" spans="1:23" x14ac:dyDescent="0.3">
      <c r="A191" s="147"/>
      <c r="B191" s="205">
        <f t="shared" si="38"/>
        <v>7</v>
      </c>
      <c r="C191" s="206">
        <v>43782</v>
      </c>
      <c r="D191" s="161" t="s">
        <v>9</v>
      </c>
      <c r="E191" s="161" t="s">
        <v>2750</v>
      </c>
      <c r="F191" s="207">
        <v>210</v>
      </c>
      <c r="G191" s="207">
        <v>150</v>
      </c>
      <c r="H191" s="161">
        <v>-60</v>
      </c>
      <c r="I191" s="207">
        <v>80</v>
      </c>
      <c r="J191" s="242">
        <f t="shared" si="35"/>
        <v>-4800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8</v>
      </c>
      <c r="C192" s="206">
        <v>43783</v>
      </c>
      <c r="D192" s="161" t="s">
        <v>9</v>
      </c>
      <c r="E192" s="161" t="s">
        <v>2689</v>
      </c>
      <c r="F192" s="207">
        <v>100</v>
      </c>
      <c r="G192" s="207">
        <v>40</v>
      </c>
      <c r="H192" s="161">
        <v>-60</v>
      </c>
      <c r="I192" s="207">
        <v>80</v>
      </c>
      <c r="J192" s="242">
        <f t="shared" si="35"/>
        <v>-4800</v>
      </c>
      <c r="K192" s="153"/>
      <c r="V192" s="25">
        <f t="shared" si="36"/>
        <v>0</v>
      </c>
      <c r="W192" s="25">
        <f t="shared" si="37"/>
        <v>1</v>
      </c>
    </row>
    <row r="193" spans="1:23" x14ac:dyDescent="0.3">
      <c r="A193" s="147"/>
      <c r="B193" s="205">
        <f t="shared" si="38"/>
        <v>9</v>
      </c>
      <c r="C193" s="206">
        <v>43784</v>
      </c>
      <c r="D193" s="161" t="s">
        <v>9</v>
      </c>
      <c r="E193" s="161" t="s">
        <v>2855</v>
      </c>
      <c r="F193" s="207">
        <v>300</v>
      </c>
      <c r="G193" s="207">
        <v>265</v>
      </c>
      <c r="H193" s="161">
        <v>-35</v>
      </c>
      <c r="I193" s="207">
        <v>80</v>
      </c>
      <c r="J193" s="242">
        <f t="shared" si="35"/>
        <v>-2800</v>
      </c>
      <c r="K193" s="153"/>
      <c r="V193" s="25">
        <f t="shared" si="36"/>
        <v>0</v>
      </c>
      <c r="W193" s="25">
        <f t="shared" si="37"/>
        <v>1</v>
      </c>
    </row>
    <row r="194" spans="1:23" x14ac:dyDescent="0.3">
      <c r="A194" s="147"/>
      <c r="B194" s="205">
        <f t="shared" si="38"/>
        <v>10</v>
      </c>
      <c r="C194" s="206">
        <v>43787</v>
      </c>
      <c r="D194" s="161" t="s">
        <v>9</v>
      </c>
      <c r="E194" s="161" t="s">
        <v>2857</v>
      </c>
      <c r="F194" s="207">
        <v>270</v>
      </c>
      <c r="G194" s="207">
        <v>250</v>
      </c>
      <c r="H194" s="161">
        <v>-20</v>
      </c>
      <c r="I194" s="207">
        <v>80</v>
      </c>
      <c r="J194" s="242">
        <f t="shared" si="35"/>
        <v>-1600</v>
      </c>
      <c r="K194" s="153"/>
      <c r="V194" s="25">
        <f t="shared" si="36"/>
        <v>0</v>
      </c>
      <c r="W194" s="25">
        <f t="shared" si="37"/>
        <v>1</v>
      </c>
    </row>
    <row r="195" spans="1:23" x14ac:dyDescent="0.3">
      <c r="A195" s="147"/>
      <c r="B195" s="205">
        <f t="shared" si="38"/>
        <v>11</v>
      </c>
      <c r="C195" s="206">
        <v>43788</v>
      </c>
      <c r="D195" s="161" t="s">
        <v>9</v>
      </c>
      <c r="E195" s="161" t="s">
        <v>2858</v>
      </c>
      <c r="F195" s="207">
        <v>240</v>
      </c>
      <c r="G195" s="207">
        <v>275</v>
      </c>
      <c r="H195" s="161">
        <v>35</v>
      </c>
      <c r="I195" s="207">
        <v>80</v>
      </c>
      <c r="J195" s="242">
        <f t="shared" si="35"/>
        <v>2800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12</v>
      </c>
      <c r="C196" s="206">
        <v>43789</v>
      </c>
      <c r="D196" s="161" t="s">
        <v>9</v>
      </c>
      <c r="E196" s="161" t="s">
        <v>2752</v>
      </c>
      <c r="F196" s="207">
        <v>200</v>
      </c>
      <c r="G196" s="207">
        <v>140</v>
      </c>
      <c r="H196" s="161">
        <v>-60</v>
      </c>
      <c r="I196" s="207">
        <v>80</v>
      </c>
      <c r="J196" s="242">
        <f t="shared" si="35"/>
        <v>-4800</v>
      </c>
      <c r="K196" s="153"/>
      <c r="V196" s="25">
        <f t="shared" si="36"/>
        <v>0</v>
      </c>
      <c r="W196" s="25">
        <f t="shared" si="37"/>
        <v>1</v>
      </c>
    </row>
    <row r="197" spans="1:23" x14ac:dyDescent="0.3">
      <c r="A197" s="147"/>
      <c r="B197" s="205">
        <f t="shared" si="38"/>
        <v>13</v>
      </c>
      <c r="C197" s="206">
        <v>43790</v>
      </c>
      <c r="D197" s="161" t="s">
        <v>9</v>
      </c>
      <c r="E197" s="161" t="s">
        <v>2858</v>
      </c>
      <c r="F197" s="207">
        <v>170</v>
      </c>
      <c r="G197" s="207">
        <v>260</v>
      </c>
      <c r="H197" s="161">
        <v>90</v>
      </c>
      <c r="I197" s="207">
        <v>80</v>
      </c>
      <c r="J197" s="242">
        <f t="shared" si="35"/>
        <v>7200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14</v>
      </c>
      <c r="C198" s="206">
        <v>43791</v>
      </c>
      <c r="D198" s="161" t="s">
        <v>9</v>
      </c>
      <c r="E198" s="161" t="s">
        <v>2858</v>
      </c>
      <c r="F198" s="207">
        <v>300</v>
      </c>
      <c r="G198" s="207">
        <v>240</v>
      </c>
      <c r="H198" s="161">
        <v>-60</v>
      </c>
      <c r="I198" s="207">
        <v>80</v>
      </c>
      <c r="J198" s="242">
        <f t="shared" si="35"/>
        <v>-4800</v>
      </c>
      <c r="K198" s="153"/>
      <c r="V198" s="25">
        <f t="shared" si="36"/>
        <v>0</v>
      </c>
      <c r="W198" s="25">
        <f t="shared" si="37"/>
        <v>1</v>
      </c>
    </row>
    <row r="199" spans="1:23" x14ac:dyDescent="0.3">
      <c r="A199" s="147"/>
      <c r="B199" s="205">
        <f t="shared" si="38"/>
        <v>15</v>
      </c>
      <c r="C199" s="206">
        <v>43795</v>
      </c>
      <c r="D199" s="161" t="s">
        <v>9</v>
      </c>
      <c r="E199" s="161" t="s">
        <v>2733</v>
      </c>
      <c r="F199" s="207">
        <v>170</v>
      </c>
      <c r="G199" s="207">
        <v>196</v>
      </c>
      <c r="H199" s="161">
        <v>26</v>
      </c>
      <c r="I199" s="207">
        <v>80</v>
      </c>
      <c r="J199" s="242">
        <f t="shared" si="35"/>
        <v>2080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16</v>
      </c>
      <c r="C200" s="206">
        <v>43796</v>
      </c>
      <c r="D200" s="161" t="s">
        <v>9</v>
      </c>
      <c r="E200" s="161" t="s">
        <v>2867</v>
      </c>
      <c r="F200" s="207">
        <v>170</v>
      </c>
      <c r="G200" s="207">
        <v>110</v>
      </c>
      <c r="H200" s="161">
        <v>-60</v>
      </c>
      <c r="I200" s="207">
        <v>80</v>
      </c>
      <c r="J200" s="242">
        <f t="shared" si="35"/>
        <v>-4800</v>
      </c>
      <c r="K200" s="153"/>
      <c r="V200" s="25">
        <f t="shared" si="36"/>
        <v>0</v>
      </c>
      <c r="W200" s="25">
        <f t="shared" si="37"/>
        <v>1</v>
      </c>
    </row>
    <row r="201" spans="1:23" x14ac:dyDescent="0.3">
      <c r="A201" s="147"/>
      <c r="B201" s="205">
        <f t="shared" si="38"/>
        <v>17</v>
      </c>
      <c r="C201" s="206">
        <v>43797</v>
      </c>
      <c r="D201" s="161" t="s">
        <v>9</v>
      </c>
      <c r="E201" s="161" t="s">
        <v>2870</v>
      </c>
      <c r="F201" s="207">
        <v>140</v>
      </c>
      <c r="G201" s="207">
        <v>140</v>
      </c>
      <c r="H201" s="161">
        <v>0</v>
      </c>
      <c r="I201" s="207">
        <v>80</v>
      </c>
      <c r="J201" s="242">
        <f t="shared" si="35"/>
        <v>0</v>
      </c>
      <c r="K201" s="153"/>
      <c r="V201" s="25">
        <f t="shared" si="36"/>
        <v>0</v>
      </c>
      <c r="W201" s="25">
        <f t="shared" si="37"/>
        <v>0</v>
      </c>
    </row>
    <row r="202" spans="1:23" x14ac:dyDescent="0.3">
      <c r="A202" s="147"/>
      <c r="B202" s="205">
        <f t="shared" si="38"/>
        <v>18</v>
      </c>
      <c r="C202" s="206">
        <v>43798</v>
      </c>
      <c r="D202" s="161" t="s">
        <v>9</v>
      </c>
      <c r="E202" s="161" t="s">
        <v>2871</v>
      </c>
      <c r="F202" s="207">
        <v>250</v>
      </c>
      <c r="G202" s="207">
        <v>310</v>
      </c>
      <c r="H202" s="161">
        <v>60</v>
      </c>
      <c r="I202" s="207">
        <v>80</v>
      </c>
      <c r="J202" s="242">
        <f t="shared" si="35"/>
        <v>4800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5"/>
        <v>0</v>
      </c>
      <c r="K203" s="153"/>
      <c r="V203" s="25">
        <f t="shared" si="36"/>
        <v>0</v>
      </c>
      <c r="W203" s="25">
        <f t="shared" si="37"/>
        <v>0</v>
      </c>
    </row>
    <row r="204" spans="1:23" x14ac:dyDescent="0.3">
      <c r="A204" s="147"/>
      <c r="B204" s="205">
        <f t="shared" si="38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5"/>
        <v>0</v>
      </c>
      <c r="K204" s="153"/>
      <c r="V204" s="25">
        <f t="shared" si="36"/>
        <v>0</v>
      </c>
      <c r="W204" s="25">
        <f t="shared" si="37"/>
        <v>0</v>
      </c>
    </row>
    <row r="205" spans="1:23" x14ac:dyDescent="0.3">
      <c r="A205" s="147"/>
      <c r="B205" s="205">
        <f t="shared" si="38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5"/>
        <v>0</v>
      </c>
      <c r="K205" s="153"/>
      <c r="V205" s="25">
        <f t="shared" si="36"/>
        <v>0</v>
      </c>
      <c r="W205" s="25">
        <f t="shared" si="37"/>
        <v>0</v>
      </c>
    </row>
    <row r="206" spans="1:23" x14ac:dyDescent="0.3">
      <c r="A206" s="147"/>
      <c r="B206" s="205">
        <f t="shared" si="38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5"/>
        <v>0</v>
      </c>
      <c r="K206" s="153"/>
      <c r="V206" s="25">
        <f t="shared" si="36"/>
        <v>0</v>
      </c>
      <c r="W206" s="25">
        <f t="shared" si="37"/>
        <v>0</v>
      </c>
    </row>
    <row r="207" spans="1:23" ht="15" thickBot="1" x14ac:dyDescent="0.35">
      <c r="A207" s="147"/>
      <c r="B207" s="208">
        <f t="shared" si="38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5"/>
        <v>0</v>
      </c>
      <c r="K207" s="153"/>
      <c r="V207" s="25">
        <f t="shared" si="36"/>
        <v>0</v>
      </c>
      <c r="W207" s="25">
        <f t="shared" si="37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-2320</v>
      </c>
      <c r="K208" s="153"/>
      <c r="V208" s="25">
        <f>SUM(V185:V207)</f>
        <v>7</v>
      </c>
      <c r="W208" s="25">
        <f>SUM(W185:W207)</f>
        <v>10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2844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43773</v>
      </c>
      <c r="D216" s="185" t="s">
        <v>9</v>
      </c>
      <c r="E216" s="185" t="s">
        <v>2848</v>
      </c>
      <c r="F216" s="231">
        <v>37</v>
      </c>
      <c r="G216" s="231">
        <v>43.8</v>
      </c>
      <c r="H216" s="231">
        <v>6.8</v>
      </c>
      <c r="I216" s="219">
        <v>500</v>
      </c>
      <c r="J216" s="246">
        <f t="shared" ref="J216:J239" si="39">I216*H216</f>
        <v>3400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43774</v>
      </c>
      <c r="D217" s="161" t="s">
        <v>9</v>
      </c>
      <c r="E217" s="161" t="s">
        <v>2848</v>
      </c>
      <c r="F217" s="222">
        <v>38</v>
      </c>
      <c r="G217" s="222">
        <v>46</v>
      </c>
      <c r="H217" s="255">
        <v>8</v>
      </c>
      <c r="I217" s="207">
        <v>500</v>
      </c>
      <c r="J217" s="242">
        <f>I217*H217</f>
        <v>4000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0">B217+1</f>
        <v>3</v>
      </c>
      <c r="C218" s="206">
        <v>43775</v>
      </c>
      <c r="D218" s="161" t="s">
        <v>9</v>
      </c>
      <c r="E218" s="161" t="s">
        <v>2850</v>
      </c>
      <c r="F218" s="222">
        <v>36</v>
      </c>
      <c r="G218" s="222">
        <v>38.700000000000003</v>
      </c>
      <c r="H218" s="222">
        <v>2.7</v>
      </c>
      <c r="I218" s="207">
        <v>500</v>
      </c>
      <c r="J218" s="242">
        <f t="shared" si="39"/>
        <v>1350</v>
      </c>
      <c r="K218" s="153"/>
      <c r="V218" s="25">
        <f t="shared" ref="V218:V239" si="41">IF($J218&gt;0,1,0)</f>
        <v>1</v>
      </c>
      <c r="W218" s="25">
        <f t="shared" ref="W218:W239" si="42">IF($J218&lt;0,1,0)</f>
        <v>0</v>
      </c>
    </row>
    <row r="219" spans="1:23" x14ac:dyDescent="0.3">
      <c r="A219" s="147"/>
      <c r="B219" s="205">
        <f t="shared" si="40"/>
        <v>4</v>
      </c>
      <c r="C219" s="206">
        <v>43776</v>
      </c>
      <c r="D219" s="161" t="s">
        <v>9</v>
      </c>
      <c r="E219" s="161" t="s">
        <v>2851</v>
      </c>
      <c r="F219" s="222">
        <v>8.5</v>
      </c>
      <c r="G219" s="222">
        <v>9.4</v>
      </c>
      <c r="H219" s="222">
        <v>0.9</v>
      </c>
      <c r="I219" s="207">
        <v>2000</v>
      </c>
      <c r="J219" s="242">
        <f t="shared" si="39"/>
        <v>1800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5</v>
      </c>
      <c r="C220" s="206">
        <v>43777</v>
      </c>
      <c r="D220" s="161" t="s">
        <v>9</v>
      </c>
      <c r="E220" s="161" t="s">
        <v>2852</v>
      </c>
      <c r="F220" s="222">
        <v>14</v>
      </c>
      <c r="G220" s="222">
        <v>15.9</v>
      </c>
      <c r="H220" s="222">
        <v>1.9</v>
      </c>
      <c r="I220" s="207">
        <v>1375</v>
      </c>
      <c r="J220" s="242">
        <f t="shared" si="39"/>
        <v>2612.5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6</v>
      </c>
      <c r="C221" s="206">
        <v>43780</v>
      </c>
      <c r="D221" s="161" t="s">
        <v>9</v>
      </c>
      <c r="E221" s="161" t="s">
        <v>2850</v>
      </c>
      <c r="F221" s="222">
        <v>32</v>
      </c>
      <c r="G221" s="222">
        <v>38</v>
      </c>
      <c r="H221" s="222">
        <v>6</v>
      </c>
      <c r="I221" s="207">
        <v>500</v>
      </c>
      <c r="J221" s="242">
        <f t="shared" si="39"/>
        <v>3000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7</v>
      </c>
      <c r="C222" s="206">
        <v>43782</v>
      </c>
      <c r="D222" s="161" t="s">
        <v>9</v>
      </c>
      <c r="E222" s="161" t="s">
        <v>2854</v>
      </c>
      <c r="F222" s="222">
        <v>36</v>
      </c>
      <c r="G222" s="222">
        <v>30</v>
      </c>
      <c r="H222" s="222">
        <v>-6</v>
      </c>
      <c r="I222" s="207">
        <v>400</v>
      </c>
      <c r="J222" s="242">
        <f t="shared" si="39"/>
        <v>-2400</v>
      </c>
      <c r="K222" s="153"/>
      <c r="V222" s="25">
        <f t="shared" si="41"/>
        <v>0</v>
      </c>
      <c r="W222" s="25">
        <f t="shared" si="42"/>
        <v>1</v>
      </c>
    </row>
    <row r="223" spans="1:23" x14ac:dyDescent="0.3">
      <c r="A223" s="147"/>
      <c r="B223" s="205">
        <f t="shared" si="40"/>
        <v>8</v>
      </c>
      <c r="C223" s="206">
        <v>43783</v>
      </c>
      <c r="D223" s="161" t="s">
        <v>9</v>
      </c>
      <c r="E223" s="161" t="s">
        <v>1877</v>
      </c>
      <c r="F223" s="222">
        <v>29</v>
      </c>
      <c r="G223" s="222">
        <v>32.299999999999997</v>
      </c>
      <c r="H223" s="222">
        <v>3.3</v>
      </c>
      <c r="I223" s="207">
        <v>375</v>
      </c>
      <c r="J223" s="242">
        <f t="shared" si="39"/>
        <v>1237.5</v>
      </c>
      <c r="K223" s="153"/>
      <c r="V223" s="25">
        <f t="shared" si="41"/>
        <v>1</v>
      </c>
      <c r="W223" s="25">
        <f t="shared" si="42"/>
        <v>0</v>
      </c>
    </row>
    <row r="224" spans="1:23" x14ac:dyDescent="0.3">
      <c r="A224" s="147"/>
      <c r="B224" s="205">
        <f t="shared" si="40"/>
        <v>9</v>
      </c>
      <c r="C224" s="206">
        <v>43784</v>
      </c>
      <c r="D224" s="161" t="s">
        <v>9</v>
      </c>
      <c r="E224" s="161" t="s">
        <v>2856</v>
      </c>
      <c r="F224" s="222">
        <v>12</v>
      </c>
      <c r="G224" s="222">
        <v>14.3</v>
      </c>
      <c r="H224" s="255">
        <v>2.2999999999999998</v>
      </c>
      <c r="I224" s="207">
        <v>1375</v>
      </c>
      <c r="J224" s="242">
        <f t="shared" si="39"/>
        <v>3162.4999999999995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10</v>
      </c>
      <c r="C225" s="206">
        <v>43787</v>
      </c>
      <c r="D225" s="161" t="s">
        <v>9</v>
      </c>
      <c r="E225" s="161" t="s">
        <v>1136</v>
      </c>
      <c r="F225" s="222">
        <v>80</v>
      </c>
      <c r="G225" s="222">
        <v>83</v>
      </c>
      <c r="H225" s="255">
        <v>3</v>
      </c>
      <c r="I225" s="207">
        <v>200</v>
      </c>
      <c r="J225" s="242">
        <f t="shared" si="39"/>
        <v>600</v>
      </c>
      <c r="K225" s="153"/>
      <c r="V225" s="25">
        <f t="shared" si="41"/>
        <v>1</v>
      </c>
      <c r="W225" s="25">
        <f t="shared" si="42"/>
        <v>0</v>
      </c>
    </row>
    <row r="226" spans="1:23" x14ac:dyDescent="0.3">
      <c r="A226" s="147"/>
      <c r="B226" s="205">
        <f t="shared" si="40"/>
        <v>11</v>
      </c>
      <c r="C226" s="206">
        <v>43788</v>
      </c>
      <c r="D226" s="161" t="s">
        <v>9</v>
      </c>
      <c r="E226" s="161" t="s">
        <v>2859</v>
      </c>
      <c r="F226" s="222">
        <v>16</v>
      </c>
      <c r="G226" s="222">
        <v>24</v>
      </c>
      <c r="H226" s="255">
        <v>8</v>
      </c>
      <c r="I226" s="207">
        <v>1200</v>
      </c>
      <c r="J226" s="242">
        <f t="shared" si="39"/>
        <v>9600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12</v>
      </c>
      <c r="C227" s="206">
        <v>43789</v>
      </c>
      <c r="D227" s="161" t="s">
        <v>9</v>
      </c>
      <c r="E227" s="161" t="s">
        <v>2861</v>
      </c>
      <c r="F227" s="222">
        <v>16</v>
      </c>
      <c r="G227" s="222">
        <v>12</v>
      </c>
      <c r="H227" s="255">
        <v>-4</v>
      </c>
      <c r="I227" s="207">
        <v>1200</v>
      </c>
      <c r="J227" s="242">
        <f t="shared" si="39"/>
        <v>-4800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13</v>
      </c>
      <c r="C228" s="206">
        <v>43790</v>
      </c>
      <c r="D228" s="161" t="s">
        <v>9</v>
      </c>
      <c r="E228" s="161" t="s">
        <v>2862</v>
      </c>
      <c r="F228" s="222">
        <v>10.5</v>
      </c>
      <c r="G228" s="222">
        <v>13.5</v>
      </c>
      <c r="H228" s="255">
        <v>3</v>
      </c>
      <c r="I228" s="207">
        <v>1375</v>
      </c>
      <c r="J228" s="242">
        <f t="shared" si="39"/>
        <v>4125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14</v>
      </c>
      <c r="C229" s="206">
        <v>43791</v>
      </c>
      <c r="D229" s="161" t="s">
        <v>9</v>
      </c>
      <c r="E229" s="161" t="s">
        <v>2863</v>
      </c>
      <c r="F229" s="222">
        <v>8.1999999999999993</v>
      </c>
      <c r="G229" s="222">
        <v>9</v>
      </c>
      <c r="H229" s="255">
        <v>0.8</v>
      </c>
      <c r="I229" s="207">
        <v>1375</v>
      </c>
      <c r="J229" s="242">
        <f>I229*H229</f>
        <v>1100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15</v>
      </c>
      <c r="C230" s="206">
        <v>43794</v>
      </c>
      <c r="D230" s="161" t="s">
        <v>9</v>
      </c>
      <c r="E230" s="161" t="s">
        <v>2865</v>
      </c>
      <c r="F230" s="222">
        <v>18</v>
      </c>
      <c r="G230" s="222">
        <v>15</v>
      </c>
      <c r="H230" s="255">
        <v>-3</v>
      </c>
      <c r="I230" s="207">
        <v>500</v>
      </c>
      <c r="J230" s="242">
        <f t="shared" si="39"/>
        <v>-1500</v>
      </c>
      <c r="K230" s="153"/>
      <c r="V230" s="25">
        <f t="shared" si="41"/>
        <v>0</v>
      </c>
      <c r="W230" s="25">
        <f t="shared" si="42"/>
        <v>1</v>
      </c>
    </row>
    <row r="231" spans="1:23" x14ac:dyDescent="0.3">
      <c r="A231" s="147"/>
      <c r="B231" s="205">
        <f t="shared" si="40"/>
        <v>16</v>
      </c>
      <c r="C231" s="206">
        <v>43795</v>
      </c>
      <c r="D231" s="161" t="s">
        <v>9</v>
      </c>
      <c r="E231" s="161" t="s">
        <v>2856</v>
      </c>
      <c r="F231" s="222">
        <v>7</v>
      </c>
      <c r="G231" s="222">
        <v>9</v>
      </c>
      <c r="H231" s="222">
        <v>2</v>
      </c>
      <c r="I231" s="207">
        <v>1375</v>
      </c>
      <c r="J231" s="242">
        <f t="shared" si="39"/>
        <v>2750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17</v>
      </c>
      <c r="C232" s="206">
        <v>43796</v>
      </c>
      <c r="D232" s="161" t="s">
        <v>9</v>
      </c>
      <c r="E232" s="161" t="s">
        <v>2868</v>
      </c>
      <c r="F232" s="222">
        <v>10</v>
      </c>
      <c r="G232" s="222">
        <v>15</v>
      </c>
      <c r="H232" s="222">
        <v>5</v>
      </c>
      <c r="I232" s="207">
        <v>500</v>
      </c>
      <c r="J232" s="242">
        <f t="shared" si="39"/>
        <v>2500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18</v>
      </c>
      <c r="C233" s="206">
        <v>43796</v>
      </c>
      <c r="D233" s="161" t="s">
        <v>9</v>
      </c>
      <c r="E233" s="161" t="s">
        <v>2796</v>
      </c>
      <c r="F233" s="222">
        <v>9</v>
      </c>
      <c r="G233" s="222">
        <v>19</v>
      </c>
      <c r="H233" s="222">
        <v>10</v>
      </c>
      <c r="I233" s="207">
        <v>375</v>
      </c>
      <c r="J233" s="242">
        <f t="shared" si="39"/>
        <v>3750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19</v>
      </c>
      <c r="C234" s="206">
        <v>43797</v>
      </c>
      <c r="D234" s="161" t="s">
        <v>9</v>
      </c>
      <c r="E234" s="161" t="s">
        <v>2872</v>
      </c>
      <c r="F234" s="222">
        <v>16</v>
      </c>
      <c r="G234" s="222">
        <v>28</v>
      </c>
      <c r="H234" s="222">
        <v>12</v>
      </c>
      <c r="I234" s="207">
        <v>400</v>
      </c>
      <c r="J234" s="242">
        <f t="shared" si="39"/>
        <v>4800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20</v>
      </c>
      <c r="C235" s="206">
        <v>43797</v>
      </c>
      <c r="D235" s="161" t="s">
        <v>9</v>
      </c>
      <c r="E235" s="161" t="s">
        <v>2873</v>
      </c>
      <c r="F235" s="222">
        <v>5.5</v>
      </c>
      <c r="G235" s="222">
        <v>9.5</v>
      </c>
      <c r="H235" s="222">
        <v>4</v>
      </c>
      <c r="I235" s="207">
        <v>1375</v>
      </c>
      <c r="J235" s="242">
        <f t="shared" si="39"/>
        <v>5500</v>
      </c>
      <c r="K235" s="153"/>
      <c r="V235" s="25">
        <f t="shared" si="41"/>
        <v>1</v>
      </c>
      <c r="W235" s="25">
        <f t="shared" si="42"/>
        <v>0</v>
      </c>
    </row>
    <row r="236" spans="1:23" x14ac:dyDescent="0.3">
      <c r="A236" s="147"/>
      <c r="B236" s="205">
        <f t="shared" si="40"/>
        <v>21</v>
      </c>
      <c r="C236" s="206">
        <v>43798</v>
      </c>
      <c r="D236" s="161" t="s">
        <v>9</v>
      </c>
      <c r="E236" s="161" t="s">
        <v>2796</v>
      </c>
      <c r="F236" s="222">
        <v>36</v>
      </c>
      <c r="G236" s="222">
        <v>38.200000000000003</v>
      </c>
      <c r="H236" s="222">
        <v>2.2000000000000002</v>
      </c>
      <c r="I236" s="207">
        <v>375</v>
      </c>
      <c r="J236" s="242">
        <f t="shared" si="39"/>
        <v>825.00000000000011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9"/>
        <v>0</v>
      </c>
      <c r="K237" s="153"/>
      <c r="V237" s="25">
        <f t="shared" si="41"/>
        <v>0</v>
      </c>
      <c r="W237" s="25">
        <f t="shared" si="42"/>
        <v>0</v>
      </c>
    </row>
    <row r="238" spans="1:23" x14ac:dyDescent="0.3">
      <c r="A238" s="147"/>
      <c r="B238" s="205">
        <f t="shared" si="40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9"/>
        <v>0</v>
      </c>
      <c r="K238" s="153"/>
      <c r="V238" s="25">
        <f t="shared" si="41"/>
        <v>0</v>
      </c>
      <c r="W238" s="25">
        <f t="shared" si="42"/>
        <v>0</v>
      </c>
    </row>
    <row r="239" spans="1:23" ht="15" thickBot="1" x14ac:dyDescent="0.35">
      <c r="A239" s="147"/>
      <c r="B239" s="208">
        <f t="shared" si="40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9"/>
        <v>0</v>
      </c>
      <c r="K239" s="153"/>
      <c r="V239" s="25">
        <f t="shared" si="41"/>
        <v>0</v>
      </c>
      <c r="W239" s="25">
        <f t="shared" si="42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47412.5</v>
      </c>
      <c r="K240" s="153"/>
      <c r="V240" s="25">
        <f>SUM(V216:V239)</f>
        <v>18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4F00-000000000000}"/>
    <hyperlink ref="B84" r:id="rId2" xr:uid="{00000000-0004-0000-4F00-000001000000}"/>
    <hyperlink ref="B115" r:id="rId3" xr:uid="{00000000-0004-0000-4F00-000002000000}"/>
    <hyperlink ref="B146" r:id="rId4" xr:uid="{00000000-0004-0000-4F00-000003000000}"/>
    <hyperlink ref="B177" r:id="rId5" xr:uid="{00000000-0004-0000-4F00-000004000000}"/>
    <hyperlink ref="B208" r:id="rId6" xr:uid="{00000000-0004-0000-4F00-000005000000}"/>
    <hyperlink ref="B240" r:id="rId7" xr:uid="{00000000-0004-0000-4F00-000006000000}"/>
    <hyperlink ref="M1" location="'MASTER '!A1" display="Back" xr:uid="{00000000-0004-0000-4F00-000007000000}"/>
    <hyperlink ref="M8:M9" location="'NOV 2019'!A108" display="NIFTY FUTURE" xr:uid="{00000000-0004-0000-4F00-000008000000}"/>
    <hyperlink ref="M10:M11" location="'NOV 2019'!A139" display="NF. OPTION" xr:uid="{00000000-0004-0000-4F00-000009000000}"/>
    <hyperlink ref="M12:M13" location="'NOV 2019'!A170" display="BANK NIFTY" xr:uid="{00000000-0004-0000-4F00-00000A000000}"/>
    <hyperlink ref="M14:M15" location="'NOV 2019'!A201" display="B.NIFTY OPTION" xr:uid="{00000000-0004-0000-4F00-00000B000000}"/>
    <hyperlink ref="M16:M17" location="'NOV 2019'!A232" display="STOCK OPTION" xr:uid="{00000000-0004-0000-4F00-00000C000000}"/>
    <hyperlink ref="M6:M7" location="'NOV 2019'!A77" display="STOCK FUTURE" xr:uid="{00000000-0004-0000-4F00-00000D000000}"/>
    <hyperlink ref="M4:M5" location="'NOV 2019'!A1" display="CASH" xr:uid="{00000000-0004-0000-4F00-00000E000000}"/>
  </hyperlinks>
  <pageMargins left="0" right="0" top="0" bottom="0" header="0" footer="0"/>
  <pageSetup scale="95" orientation="portrait" r:id="rId8"/>
  <drawing r:id="rId9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2874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42</v>
      </c>
      <c r="O4" s="354">
        <f>V52</f>
        <v>31</v>
      </c>
      <c r="P4" s="354">
        <f>W52</f>
        <v>11</v>
      </c>
      <c r="Q4" s="355">
        <f>N4-O4-P4</f>
        <v>0</v>
      </c>
      <c r="R4" s="314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43801</v>
      </c>
      <c r="D6" s="158" t="s">
        <v>9</v>
      </c>
      <c r="E6" s="158" t="s">
        <v>552</v>
      </c>
      <c r="F6" s="230">
        <v>1580</v>
      </c>
      <c r="G6" s="222">
        <v>1565</v>
      </c>
      <c r="H6" s="222">
        <v>-15</v>
      </c>
      <c r="I6" s="204">
        <f>300000/F6</f>
        <v>189.87341772151899</v>
      </c>
      <c r="J6" s="241">
        <f>H6*I6</f>
        <v>-2848.1012658227846</v>
      </c>
      <c r="K6" s="153"/>
      <c r="M6" s="389" t="s">
        <v>450</v>
      </c>
      <c r="N6" s="343">
        <f>COUNT(C60:C83)</f>
        <v>21</v>
      </c>
      <c r="O6" s="345">
        <f>V84</f>
        <v>15</v>
      </c>
      <c r="P6" s="345">
        <f>W84</f>
        <v>6</v>
      </c>
      <c r="Q6" s="347">
        <f>N6-O6-P6</f>
        <v>0</v>
      </c>
      <c r="R6" s="340">
        <f t="shared" ref="R6" si="0">O6/N6</f>
        <v>0.7142857142857143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43801</v>
      </c>
      <c r="D7" s="161" t="s">
        <v>8</v>
      </c>
      <c r="E7" s="161" t="s">
        <v>19</v>
      </c>
      <c r="F7" s="222">
        <v>339</v>
      </c>
      <c r="G7" s="231">
        <v>336.5</v>
      </c>
      <c r="H7" s="255">
        <v>2.5</v>
      </c>
      <c r="I7" s="207">
        <f t="shared" ref="I7" si="1">300000/F7</f>
        <v>884.95575221238937</v>
      </c>
      <c r="J7" s="242">
        <f>H7*I7</f>
        <v>2212.3893805309735</v>
      </c>
      <c r="K7" s="153"/>
      <c r="M7" s="389"/>
      <c r="N7" s="343"/>
      <c r="O7" s="345"/>
      <c r="P7" s="345"/>
      <c r="Q7" s="349"/>
      <c r="R7" s="340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43802</v>
      </c>
      <c r="D8" s="161" t="s">
        <v>9</v>
      </c>
      <c r="E8" s="161" t="s">
        <v>1064</v>
      </c>
      <c r="F8" s="222">
        <v>1327</v>
      </c>
      <c r="G8" s="222">
        <v>1327.5</v>
      </c>
      <c r="H8" s="222">
        <v>0.5</v>
      </c>
      <c r="I8" s="207">
        <f t="shared" ref="I8:I28" si="5">300000/F8</f>
        <v>226.07385079125848</v>
      </c>
      <c r="J8" s="242">
        <f t="shared" ref="J8:J29" si="6">H8*I8</f>
        <v>113.03692539562924</v>
      </c>
      <c r="K8" s="153"/>
      <c r="M8" s="389" t="s">
        <v>451</v>
      </c>
      <c r="N8" s="343">
        <f>COUNT(C92:C114)</f>
        <v>19</v>
      </c>
      <c r="O8" s="345">
        <f>V115</f>
        <v>18</v>
      </c>
      <c r="P8" s="345">
        <f>W115</f>
        <v>2</v>
      </c>
      <c r="Q8" s="347">
        <f>N8-O8-P8</f>
        <v>-1</v>
      </c>
      <c r="R8" s="340">
        <f t="shared" ref="R8" si="7">O8/N8</f>
        <v>0.94736842105263153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43802</v>
      </c>
      <c r="D9" s="161" t="s">
        <v>8</v>
      </c>
      <c r="E9" s="161" t="s">
        <v>552</v>
      </c>
      <c r="F9" s="222">
        <v>1562</v>
      </c>
      <c r="G9" s="222">
        <v>1533</v>
      </c>
      <c r="H9" s="222">
        <v>29</v>
      </c>
      <c r="I9" s="207">
        <f t="shared" si="5"/>
        <v>192.06145966709346</v>
      </c>
      <c r="J9" s="242">
        <f t="shared" si="6"/>
        <v>5569.7823303457099</v>
      </c>
      <c r="K9" s="153"/>
      <c r="M9" s="389"/>
      <c r="N9" s="343"/>
      <c r="O9" s="345"/>
      <c r="P9" s="345"/>
      <c r="Q9" s="349"/>
      <c r="R9" s="340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43803</v>
      </c>
      <c r="D10" s="161" t="s">
        <v>9</v>
      </c>
      <c r="E10" s="161" t="s">
        <v>552</v>
      </c>
      <c r="F10" s="222">
        <v>1550</v>
      </c>
      <c r="G10" s="222">
        <v>1535</v>
      </c>
      <c r="H10" s="222">
        <v>-15</v>
      </c>
      <c r="I10" s="207">
        <f t="shared" si="5"/>
        <v>193.54838709677421</v>
      </c>
      <c r="J10" s="242">
        <f t="shared" si="6"/>
        <v>-2903.2258064516132</v>
      </c>
      <c r="K10" s="153"/>
      <c r="M10" s="389" t="s">
        <v>1176</v>
      </c>
      <c r="N10" s="343">
        <f>COUNT(C123:C145)</f>
        <v>20</v>
      </c>
      <c r="O10" s="345">
        <f>V146</f>
        <v>17</v>
      </c>
      <c r="P10" s="345">
        <f>W146</f>
        <v>4</v>
      </c>
      <c r="Q10" s="347">
        <f>N10-O10-P10</f>
        <v>-1</v>
      </c>
      <c r="R10" s="340">
        <f t="shared" ref="R10:R16" si="8">O10/N10</f>
        <v>0.85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43803</v>
      </c>
      <c r="D11" s="161" t="s">
        <v>8</v>
      </c>
      <c r="E11" s="161" t="s">
        <v>31</v>
      </c>
      <c r="F11" s="222">
        <v>1565</v>
      </c>
      <c r="G11" s="222">
        <v>1545</v>
      </c>
      <c r="H11" s="255">
        <v>20</v>
      </c>
      <c r="I11" s="207">
        <f t="shared" si="5"/>
        <v>191.69329073482427</v>
      </c>
      <c r="J11" s="242">
        <f t="shared" si="6"/>
        <v>3833.8658146964854</v>
      </c>
      <c r="K11" s="153"/>
      <c r="M11" s="389"/>
      <c r="N11" s="343"/>
      <c r="O11" s="345"/>
      <c r="P11" s="345"/>
      <c r="Q11" s="349"/>
      <c r="R11" s="340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43804</v>
      </c>
      <c r="D12" s="161" t="s">
        <v>9</v>
      </c>
      <c r="E12" s="161" t="s">
        <v>95</v>
      </c>
      <c r="F12" s="222">
        <v>532.5</v>
      </c>
      <c r="G12" s="222">
        <v>537.5</v>
      </c>
      <c r="H12" s="222">
        <v>5</v>
      </c>
      <c r="I12" s="207">
        <f t="shared" si="5"/>
        <v>563.38028169014081</v>
      </c>
      <c r="J12" s="242">
        <f t="shared" si="6"/>
        <v>2816.9014084507039</v>
      </c>
      <c r="K12" s="153"/>
      <c r="M12" s="389" t="s">
        <v>41</v>
      </c>
      <c r="N12" s="343">
        <f>COUNT(C154:C176)</f>
        <v>20</v>
      </c>
      <c r="O12" s="345">
        <f>V177</f>
        <v>17</v>
      </c>
      <c r="P12" s="345">
        <f>W177</f>
        <v>3</v>
      </c>
      <c r="Q12" s="347">
        <f t="shared" ref="Q12" si="9">N12-O12-P12</f>
        <v>0</v>
      </c>
      <c r="R12" s="340">
        <f t="shared" si="8"/>
        <v>0.85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43804</v>
      </c>
      <c r="D13" s="161" t="s">
        <v>8</v>
      </c>
      <c r="E13" s="161" t="s">
        <v>31</v>
      </c>
      <c r="F13" s="222">
        <v>1563</v>
      </c>
      <c r="G13" s="222">
        <v>1548.5</v>
      </c>
      <c r="H13" s="255">
        <v>14.5</v>
      </c>
      <c r="I13" s="207">
        <f t="shared" si="5"/>
        <v>191.93857965451056</v>
      </c>
      <c r="J13" s="242">
        <f t="shared" si="6"/>
        <v>2783.1094049904032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43805</v>
      </c>
      <c r="D14" s="161" t="s">
        <v>9</v>
      </c>
      <c r="E14" s="161" t="s">
        <v>58</v>
      </c>
      <c r="F14" s="222">
        <v>733</v>
      </c>
      <c r="G14" s="222">
        <v>727</v>
      </c>
      <c r="H14" s="222">
        <v>-6</v>
      </c>
      <c r="I14" s="207">
        <f t="shared" si="5"/>
        <v>409.27694406548432</v>
      </c>
      <c r="J14" s="242">
        <f t="shared" si="6"/>
        <v>-2455.661664392906</v>
      </c>
      <c r="K14" s="153"/>
      <c r="M14" s="389" t="s">
        <v>1175</v>
      </c>
      <c r="N14" s="343">
        <f>COUNT(C185:C207)</f>
        <v>21</v>
      </c>
      <c r="O14" s="345">
        <f>V208</f>
        <v>17</v>
      </c>
      <c r="P14" s="345">
        <f>W208</f>
        <v>4</v>
      </c>
      <c r="Q14" s="347">
        <f t="shared" ref="Q14" si="10">N14-O14-P14</f>
        <v>0</v>
      </c>
      <c r="R14" s="340">
        <f t="shared" si="8"/>
        <v>0.80952380952380953</v>
      </c>
      <c r="V14" s="25">
        <f t="shared" si="2"/>
        <v>0</v>
      </c>
      <c r="W14" s="25">
        <f t="shared" si="3"/>
        <v>1</v>
      </c>
    </row>
    <row r="15" spans="1:23" x14ac:dyDescent="0.3">
      <c r="A15" s="147"/>
      <c r="B15" s="205">
        <f t="shared" si="4"/>
        <v>10</v>
      </c>
      <c r="C15" s="206">
        <v>43805</v>
      </c>
      <c r="D15" s="161" t="s">
        <v>8</v>
      </c>
      <c r="E15" s="161" t="s">
        <v>126</v>
      </c>
      <c r="F15" s="222">
        <v>2112</v>
      </c>
      <c r="G15" s="222">
        <v>2101.5</v>
      </c>
      <c r="H15" s="222">
        <v>10.5</v>
      </c>
      <c r="I15" s="207">
        <f t="shared" si="5"/>
        <v>142.04545454545453</v>
      </c>
      <c r="J15" s="242">
        <f t="shared" si="6"/>
        <v>1491.4772727272725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43808</v>
      </c>
      <c r="D16" s="161" t="s">
        <v>9</v>
      </c>
      <c r="E16" s="161" t="s">
        <v>58</v>
      </c>
      <c r="F16" s="222">
        <v>718</v>
      </c>
      <c r="G16" s="222">
        <v>732</v>
      </c>
      <c r="H16" s="222">
        <v>14</v>
      </c>
      <c r="I16" s="207">
        <f t="shared" si="5"/>
        <v>417.82729805013929</v>
      </c>
      <c r="J16" s="242">
        <f t="shared" si="6"/>
        <v>5849.5821727019502</v>
      </c>
      <c r="K16" s="153"/>
      <c r="L16" s="25" t="s">
        <v>2008</v>
      </c>
      <c r="M16" s="389" t="s">
        <v>1090</v>
      </c>
      <c r="N16" s="343">
        <f>COUNT(C216:C239)</f>
        <v>21</v>
      </c>
      <c r="O16" s="345">
        <f>V240</f>
        <v>17</v>
      </c>
      <c r="P16" s="345">
        <f>W240</f>
        <v>4</v>
      </c>
      <c r="Q16" s="347">
        <f t="shared" ref="Q16" si="11">N16-O16-P16</f>
        <v>0</v>
      </c>
      <c r="R16" s="340">
        <f t="shared" si="8"/>
        <v>0.80952380952380953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43808</v>
      </c>
      <c r="D17" s="161" t="s">
        <v>8</v>
      </c>
      <c r="E17" s="161" t="s">
        <v>29</v>
      </c>
      <c r="F17" s="222">
        <v>551</v>
      </c>
      <c r="G17" s="222">
        <v>548</v>
      </c>
      <c r="H17" s="222">
        <v>3</v>
      </c>
      <c r="I17" s="207">
        <f t="shared" si="5"/>
        <v>544.46460980036295</v>
      </c>
      <c r="J17" s="242">
        <f t="shared" si="6"/>
        <v>1633.3938294010889</v>
      </c>
      <c r="K17" s="153"/>
      <c r="M17" s="390"/>
      <c r="N17" s="344"/>
      <c r="O17" s="346"/>
      <c r="P17" s="346"/>
      <c r="Q17" s="348"/>
      <c r="R17" s="340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43809</v>
      </c>
      <c r="D18" s="161" t="s">
        <v>9</v>
      </c>
      <c r="E18" s="161" t="s">
        <v>129</v>
      </c>
      <c r="F18" s="222">
        <v>2325</v>
      </c>
      <c r="G18" s="222">
        <v>2305</v>
      </c>
      <c r="H18" s="222">
        <v>-20</v>
      </c>
      <c r="I18" s="207">
        <f t="shared" si="5"/>
        <v>129.03225806451613</v>
      </c>
      <c r="J18" s="242">
        <f t="shared" si="6"/>
        <v>-2580.6451612903224</v>
      </c>
      <c r="K18" s="153"/>
      <c r="M18" s="334" t="s">
        <v>946</v>
      </c>
      <c r="N18" s="336">
        <f>SUM(N4:N17)</f>
        <v>164</v>
      </c>
      <c r="O18" s="336">
        <f t="shared" ref="O18:Q18" si="12">SUM(O4:O17)</f>
        <v>132</v>
      </c>
      <c r="P18" s="336">
        <f t="shared" si="12"/>
        <v>34</v>
      </c>
      <c r="Q18" s="338">
        <f t="shared" si="12"/>
        <v>-2</v>
      </c>
      <c r="R18" s="314">
        <f t="shared" ref="R18" si="13">O18/N18</f>
        <v>0.80487804878048785</v>
      </c>
      <c r="V18" s="25">
        <f t="shared" si="2"/>
        <v>0</v>
      </c>
      <c r="W18" s="25">
        <f t="shared" si="3"/>
        <v>1</v>
      </c>
    </row>
    <row r="19" spans="1:23" ht="15" thickBot="1" x14ac:dyDescent="0.35">
      <c r="A19" s="147"/>
      <c r="B19" s="205">
        <f t="shared" si="4"/>
        <v>14</v>
      </c>
      <c r="C19" s="206">
        <v>43809</v>
      </c>
      <c r="D19" s="161" t="s">
        <v>8</v>
      </c>
      <c r="E19" s="161" t="s">
        <v>31</v>
      </c>
      <c r="F19" s="222">
        <v>1566</v>
      </c>
      <c r="G19" s="222">
        <v>1556</v>
      </c>
      <c r="H19" s="222">
        <v>10</v>
      </c>
      <c r="I19" s="207">
        <f t="shared" si="5"/>
        <v>191.57088122605364</v>
      </c>
      <c r="J19" s="242">
        <f t="shared" si="6"/>
        <v>1915.7088122605364</v>
      </c>
      <c r="K19" s="153"/>
      <c r="M19" s="335"/>
      <c r="N19" s="337"/>
      <c r="O19" s="337"/>
      <c r="P19" s="337"/>
      <c r="Q19" s="339"/>
      <c r="R19" s="31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43810</v>
      </c>
      <c r="D20" s="161" t="s">
        <v>9</v>
      </c>
      <c r="E20" s="161" t="s">
        <v>58</v>
      </c>
      <c r="F20" s="222">
        <v>719</v>
      </c>
      <c r="G20" s="222">
        <v>722</v>
      </c>
      <c r="H20" s="222">
        <v>3</v>
      </c>
      <c r="I20" s="207">
        <f t="shared" si="5"/>
        <v>417.24617524339362</v>
      </c>
      <c r="J20" s="242">
        <f t="shared" si="6"/>
        <v>1251.7385257301808</v>
      </c>
      <c r="K20" s="153"/>
      <c r="M20" s="316" t="s">
        <v>2253</v>
      </c>
      <c r="N20" s="317"/>
      <c r="O20" s="318"/>
      <c r="P20" s="325">
        <f>R18</f>
        <v>0.80487804878048785</v>
      </c>
      <c r="Q20" s="326"/>
      <c r="R20" s="32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43810</v>
      </c>
      <c r="D21" s="161" t="s">
        <v>8</v>
      </c>
      <c r="E21" s="161" t="s">
        <v>78</v>
      </c>
      <c r="F21" s="222">
        <v>1273</v>
      </c>
      <c r="G21" s="222">
        <v>1263</v>
      </c>
      <c r="H21" s="222">
        <v>10</v>
      </c>
      <c r="I21" s="207">
        <f t="shared" si="5"/>
        <v>235.6637863315004</v>
      </c>
      <c r="J21" s="242">
        <f t="shared" si="6"/>
        <v>2356.6378633150039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43811</v>
      </c>
      <c r="D22" s="161" t="s">
        <v>9</v>
      </c>
      <c r="E22" s="161" t="s">
        <v>800</v>
      </c>
      <c r="F22" s="222">
        <v>1197</v>
      </c>
      <c r="G22" s="222">
        <v>1212</v>
      </c>
      <c r="H22" s="222">
        <v>15</v>
      </c>
      <c r="I22" s="207">
        <f t="shared" si="5"/>
        <v>250.62656641604011</v>
      </c>
      <c r="J22" s="242">
        <f t="shared" si="6"/>
        <v>3759.3984962406016</v>
      </c>
      <c r="K22" s="153"/>
      <c r="M22" s="322"/>
      <c r="N22" s="323"/>
      <c r="O22" s="324"/>
      <c r="P22" s="331"/>
      <c r="Q22" s="332"/>
      <c r="R22" s="33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43811</v>
      </c>
      <c r="D23" s="161" t="s">
        <v>8</v>
      </c>
      <c r="E23" s="161" t="s">
        <v>95</v>
      </c>
      <c r="F23" s="222">
        <v>532</v>
      </c>
      <c r="G23" s="222">
        <v>529.9</v>
      </c>
      <c r="H23" s="222">
        <v>2.1</v>
      </c>
      <c r="I23" s="207">
        <f t="shared" si="5"/>
        <v>563.90977443609017</v>
      </c>
      <c r="J23" s="242">
        <f t="shared" si="6"/>
        <v>1184.2105263157894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43812</v>
      </c>
      <c r="D24" s="161" t="s">
        <v>9</v>
      </c>
      <c r="E24" s="161" t="s">
        <v>129</v>
      </c>
      <c r="F24" s="222">
        <v>2338</v>
      </c>
      <c r="G24" s="222">
        <v>2365</v>
      </c>
      <c r="H24" s="222">
        <v>27</v>
      </c>
      <c r="I24" s="207">
        <f t="shared" si="5"/>
        <v>128.3147989734816</v>
      </c>
      <c r="J24" s="242">
        <f t="shared" si="6"/>
        <v>3464.4995722840031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43812</v>
      </c>
      <c r="D25" s="161" t="s">
        <v>8</v>
      </c>
      <c r="E25" s="161" t="s">
        <v>51</v>
      </c>
      <c r="F25" s="222">
        <v>679</v>
      </c>
      <c r="G25" s="222">
        <v>672.55</v>
      </c>
      <c r="H25" s="222">
        <v>6.45</v>
      </c>
      <c r="I25" s="207">
        <f t="shared" si="5"/>
        <v>441.82621502209133</v>
      </c>
      <c r="J25" s="242">
        <f t="shared" si="6"/>
        <v>2849.779086892489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43815</v>
      </c>
      <c r="D26" s="161" t="s">
        <v>9</v>
      </c>
      <c r="E26" s="161" t="s">
        <v>78</v>
      </c>
      <c r="F26" s="222">
        <v>1309</v>
      </c>
      <c r="G26" s="222">
        <v>1314</v>
      </c>
      <c r="H26" s="222">
        <v>5</v>
      </c>
      <c r="I26" s="207">
        <f t="shared" si="5"/>
        <v>229.18258212375861</v>
      </c>
      <c r="J26" s="242">
        <f t="shared" si="6"/>
        <v>1145.9129106187929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43815</v>
      </c>
      <c r="D27" s="161" t="s">
        <v>8</v>
      </c>
      <c r="E27" s="161" t="s">
        <v>250</v>
      </c>
      <c r="F27" s="222">
        <v>1450</v>
      </c>
      <c r="G27" s="222">
        <v>1429</v>
      </c>
      <c r="H27" s="222">
        <v>21</v>
      </c>
      <c r="I27" s="207">
        <f t="shared" si="5"/>
        <v>206.89655172413794</v>
      </c>
      <c r="J27" s="242">
        <f t="shared" si="6"/>
        <v>4344.8275862068967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43816</v>
      </c>
      <c r="D28" s="161" t="s">
        <v>9</v>
      </c>
      <c r="E28" s="161" t="s">
        <v>250</v>
      </c>
      <c r="F28" s="222">
        <v>1455</v>
      </c>
      <c r="G28" s="222">
        <v>1440</v>
      </c>
      <c r="H28" s="222">
        <v>-15</v>
      </c>
      <c r="I28" s="207">
        <f t="shared" si="5"/>
        <v>206.18556701030928</v>
      </c>
      <c r="J28" s="242">
        <f t="shared" si="6"/>
        <v>-3092.7835051546394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43816</v>
      </c>
      <c r="D29" s="161" t="s">
        <v>8</v>
      </c>
      <c r="E29" s="161" t="s">
        <v>58</v>
      </c>
      <c r="F29" s="222">
        <v>751</v>
      </c>
      <c r="G29" s="222">
        <v>742</v>
      </c>
      <c r="H29" s="222">
        <v>9</v>
      </c>
      <c r="I29" s="207">
        <v>1200</v>
      </c>
      <c r="J29" s="242">
        <f t="shared" si="6"/>
        <v>10800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43817</v>
      </c>
      <c r="D30" s="161" t="s">
        <v>9</v>
      </c>
      <c r="E30" s="161" t="s">
        <v>250</v>
      </c>
      <c r="F30" s="222">
        <v>1465</v>
      </c>
      <c r="G30" s="222">
        <v>1455</v>
      </c>
      <c r="H30" s="222">
        <v>-10</v>
      </c>
      <c r="I30" s="207">
        <f t="shared" ref="I30" si="14">300000/F30</f>
        <v>204.77815699658703</v>
      </c>
      <c r="J30" s="242">
        <f t="shared" ref="J30" si="15">H30*I30</f>
        <v>-2047.7815699658704</v>
      </c>
      <c r="K30" s="153"/>
      <c r="V30" s="25">
        <f t="shared" si="2"/>
        <v>0</v>
      </c>
      <c r="W30" s="25">
        <f t="shared" si="3"/>
        <v>1</v>
      </c>
    </row>
    <row r="31" spans="1:23" x14ac:dyDescent="0.3">
      <c r="A31" s="147"/>
      <c r="B31" s="205">
        <f t="shared" si="4"/>
        <v>26</v>
      </c>
      <c r="C31" s="206">
        <v>43817</v>
      </c>
      <c r="D31" s="161" t="s">
        <v>8</v>
      </c>
      <c r="E31" s="161" t="s">
        <v>19</v>
      </c>
      <c r="F31" s="222">
        <v>331</v>
      </c>
      <c r="G31" s="222">
        <v>327</v>
      </c>
      <c r="H31" s="222">
        <v>4</v>
      </c>
      <c r="I31" s="207">
        <f t="shared" ref="I31:I47" si="16">300000/F31</f>
        <v>906.34441087613288</v>
      </c>
      <c r="J31" s="242">
        <f t="shared" ref="J31:J47" si="17">H31*I31</f>
        <v>3625.3776435045315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43818</v>
      </c>
      <c r="D32" s="161" t="s">
        <v>9</v>
      </c>
      <c r="E32" s="161" t="s">
        <v>31</v>
      </c>
      <c r="F32" s="222">
        <v>1581</v>
      </c>
      <c r="G32" s="222">
        <v>1601</v>
      </c>
      <c r="H32" s="222">
        <v>20</v>
      </c>
      <c r="I32" s="207">
        <f t="shared" si="16"/>
        <v>189.75332068311195</v>
      </c>
      <c r="J32" s="242">
        <f t="shared" si="17"/>
        <v>3795.066413662239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43818</v>
      </c>
      <c r="D33" s="161" t="s">
        <v>8</v>
      </c>
      <c r="E33" s="161" t="s">
        <v>129</v>
      </c>
      <c r="F33" s="222">
        <v>2425</v>
      </c>
      <c r="G33" s="222">
        <v>2410</v>
      </c>
      <c r="H33" s="222">
        <v>15</v>
      </c>
      <c r="I33" s="207">
        <f t="shared" si="16"/>
        <v>123.71134020618557</v>
      </c>
      <c r="J33" s="242">
        <f t="shared" si="17"/>
        <v>1855.6701030927836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43819</v>
      </c>
      <c r="D34" s="161" t="s">
        <v>9</v>
      </c>
      <c r="E34" s="161" t="s">
        <v>19</v>
      </c>
      <c r="F34" s="222">
        <v>335</v>
      </c>
      <c r="G34" s="222">
        <v>339</v>
      </c>
      <c r="H34" s="222">
        <v>4</v>
      </c>
      <c r="I34" s="207">
        <f t="shared" si="16"/>
        <v>895.52238805970148</v>
      </c>
      <c r="J34" s="242">
        <f t="shared" si="17"/>
        <v>3582.0895522388059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43819</v>
      </c>
      <c r="D35" s="161" t="s">
        <v>8</v>
      </c>
      <c r="E35" s="161" t="s">
        <v>129</v>
      </c>
      <c r="F35" s="222">
        <v>2405</v>
      </c>
      <c r="G35" s="222">
        <v>2389</v>
      </c>
      <c r="H35" s="222">
        <v>16</v>
      </c>
      <c r="I35" s="207">
        <f t="shared" si="16"/>
        <v>124.74012474012474</v>
      </c>
      <c r="J35" s="242">
        <f t="shared" si="17"/>
        <v>1995.8419958419959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43822</v>
      </c>
      <c r="D36" s="161" t="s">
        <v>9</v>
      </c>
      <c r="E36" s="161" t="s">
        <v>19</v>
      </c>
      <c r="F36" s="222">
        <v>338</v>
      </c>
      <c r="G36" s="222">
        <v>334</v>
      </c>
      <c r="H36" s="222">
        <v>-4</v>
      </c>
      <c r="I36" s="207">
        <f t="shared" si="16"/>
        <v>887.5739644970414</v>
      </c>
      <c r="J36" s="242">
        <f t="shared" si="17"/>
        <v>-3550.2958579881656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43822</v>
      </c>
      <c r="D37" s="161" t="s">
        <v>8</v>
      </c>
      <c r="E37" s="161" t="s">
        <v>168</v>
      </c>
      <c r="F37" s="222">
        <v>634</v>
      </c>
      <c r="G37" s="222">
        <v>640</v>
      </c>
      <c r="H37" s="222">
        <v>-6</v>
      </c>
      <c r="I37" s="207">
        <f t="shared" si="16"/>
        <v>473.18611987381706</v>
      </c>
      <c r="J37" s="242">
        <f t="shared" si="17"/>
        <v>-2839.1167192429025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43823</v>
      </c>
      <c r="D38" s="161" t="s">
        <v>9</v>
      </c>
      <c r="E38" s="161" t="s">
        <v>129</v>
      </c>
      <c r="F38" s="222">
        <v>2434</v>
      </c>
      <c r="G38" s="222">
        <v>2443</v>
      </c>
      <c r="H38" s="222">
        <v>9</v>
      </c>
      <c r="I38" s="207">
        <f t="shared" si="16"/>
        <v>123.25390304026294</v>
      </c>
      <c r="J38" s="242">
        <f t="shared" si="17"/>
        <v>1109.2851273623664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43823</v>
      </c>
      <c r="D39" s="161" t="s">
        <v>8</v>
      </c>
      <c r="E39" s="161" t="s">
        <v>31</v>
      </c>
      <c r="F39" s="222">
        <v>1563</v>
      </c>
      <c r="G39" s="222">
        <v>1543</v>
      </c>
      <c r="H39" s="222">
        <v>20</v>
      </c>
      <c r="I39" s="207">
        <f t="shared" si="16"/>
        <v>191.93857965451056</v>
      </c>
      <c r="J39" s="242">
        <f t="shared" si="17"/>
        <v>3838.7715930902114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43825</v>
      </c>
      <c r="D40" s="161" t="s">
        <v>9</v>
      </c>
      <c r="E40" s="161" t="s">
        <v>129</v>
      </c>
      <c r="F40" s="222">
        <v>2420</v>
      </c>
      <c r="G40" s="222">
        <v>2429</v>
      </c>
      <c r="H40" s="222">
        <v>9</v>
      </c>
      <c r="I40" s="207">
        <f t="shared" si="16"/>
        <v>123.96694214876032</v>
      </c>
      <c r="J40" s="242">
        <f t="shared" si="17"/>
        <v>1115.702479338843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43825</v>
      </c>
      <c r="D41" s="161" t="s">
        <v>8</v>
      </c>
      <c r="E41" s="161" t="s">
        <v>192</v>
      </c>
      <c r="F41" s="222">
        <v>222.5</v>
      </c>
      <c r="G41" s="223">
        <v>220</v>
      </c>
      <c r="H41" s="222">
        <v>2.5</v>
      </c>
      <c r="I41" s="207">
        <f t="shared" si="16"/>
        <v>1348.314606741573</v>
      </c>
      <c r="J41" s="242">
        <f t="shared" si="17"/>
        <v>3370.7865168539324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43826</v>
      </c>
      <c r="D42" s="161" t="s">
        <v>9</v>
      </c>
      <c r="E42" s="161" t="s">
        <v>129</v>
      </c>
      <c r="F42" s="222">
        <v>2430</v>
      </c>
      <c r="G42" s="222">
        <v>2445</v>
      </c>
      <c r="H42" s="222">
        <v>15</v>
      </c>
      <c r="I42" s="207">
        <f t="shared" si="16"/>
        <v>123.45679012345678</v>
      </c>
      <c r="J42" s="242">
        <f t="shared" si="17"/>
        <v>1851.8518518518517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43826</v>
      </c>
      <c r="D43" s="161" t="s">
        <v>8</v>
      </c>
      <c r="E43" s="161" t="s">
        <v>365</v>
      </c>
      <c r="F43" s="222">
        <v>266</v>
      </c>
      <c r="G43" s="222">
        <v>268</v>
      </c>
      <c r="H43" s="222">
        <v>-2</v>
      </c>
      <c r="I43" s="207">
        <f t="shared" si="16"/>
        <v>1127.8195488721803</v>
      </c>
      <c r="J43" s="242">
        <f t="shared" si="17"/>
        <v>-2255.6390977443607</v>
      </c>
      <c r="K43" s="153"/>
      <c r="V43" s="25">
        <f t="shared" si="2"/>
        <v>0</v>
      </c>
      <c r="W43" s="25">
        <f t="shared" si="3"/>
        <v>1</v>
      </c>
    </row>
    <row r="44" spans="1:23" x14ac:dyDescent="0.3">
      <c r="A44" s="147"/>
      <c r="B44" s="205">
        <f t="shared" si="4"/>
        <v>39</v>
      </c>
      <c r="C44" s="206">
        <v>43829</v>
      </c>
      <c r="D44" s="161" t="s">
        <v>9</v>
      </c>
      <c r="E44" s="161" t="s">
        <v>78</v>
      </c>
      <c r="F44" s="222">
        <v>1304</v>
      </c>
      <c r="G44" s="222">
        <v>1302</v>
      </c>
      <c r="H44" s="222">
        <v>-2</v>
      </c>
      <c r="I44" s="207">
        <f t="shared" si="16"/>
        <v>230.06134969325154</v>
      </c>
      <c r="J44" s="242">
        <f t="shared" si="17"/>
        <v>-460.12269938650309</v>
      </c>
      <c r="K44" s="153"/>
      <c r="V44" s="25">
        <f t="shared" si="2"/>
        <v>0</v>
      </c>
      <c r="W44" s="25">
        <f t="shared" si="3"/>
        <v>1</v>
      </c>
    </row>
    <row r="45" spans="1:23" x14ac:dyDescent="0.3">
      <c r="A45" s="147"/>
      <c r="B45" s="205">
        <f t="shared" si="4"/>
        <v>40</v>
      </c>
      <c r="C45" s="206">
        <v>43829</v>
      </c>
      <c r="D45" s="161" t="s">
        <v>8</v>
      </c>
      <c r="E45" s="161" t="s">
        <v>19</v>
      </c>
      <c r="F45" s="222">
        <v>336</v>
      </c>
      <c r="G45" s="222">
        <v>333</v>
      </c>
      <c r="H45" s="222">
        <v>3</v>
      </c>
      <c r="I45" s="207">
        <f t="shared" si="16"/>
        <v>892.85714285714289</v>
      </c>
      <c r="J45" s="242">
        <f t="shared" si="17"/>
        <v>2678.5714285714284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43830</v>
      </c>
      <c r="D46" s="161" t="s">
        <v>9</v>
      </c>
      <c r="E46" s="161" t="s">
        <v>49</v>
      </c>
      <c r="F46" s="222">
        <v>1644</v>
      </c>
      <c r="G46" s="222">
        <v>1664</v>
      </c>
      <c r="H46" s="222">
        <v>20</v>
      </c>
      <c r="I46" s="207">
        <f t="shared" si="16"/>
        <v>182.48175182481751</v>
      </c>
      <c r="J46" s="242">
        <f t="shared" si="17"/>
        <v>3649.63503649635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43830</v>
      </c>
      <c r="D47" s="161" t="s">
        <v>8</v>
      </c>
      <c r="E47" s="161" t="s">
        <v>19</v>
      </c>
      <c r="F47" s="222">
        <v>333</v>
      </c>
      <c r="G47" s="222">
        <v>336</v>
      </c>
      <c r="H47" s="222">
        <v>-3</v>
      </c>
      <c r="I47" s="207">
        <f t="shared" si="16"/>
        <v>900.90090090090087</v>
      </c>
      <c r="J47" s="242">
        <f t="shared" si="17"/>
        <v>-2702.7027027027025</v>
      </c>
      <c r="K47" s="153"/>
      <c r="V47" s="25">
        <f t="shared" si="2"/>
        <v>0</v>
      </c>
      <c r="W47" s="25">
        <f t="shared" si="3"/>
        <v>1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64108.825610867083</v>
      </c>
      <c r="K52" s="153"/>
      <c r="V52" s="25">
        <f>SUM(V6:V51)</f>
        <v>31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2875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43801</v>
      </c>
      <c r="D60" s="158" t="s">
        <v>9</v>
      </c>
      <c r="E60" s="158" t="s">
        <v>95</v>
      </c>
      <c r="F60" s="230">
        <v>508</v>
      </c>
      <c r="G60" s="230">
        <v>513</v>
      </c>
      <c r="H60" s="230">
        <v>4</v>
      </c>
      <c r="I60" s="204">
        <v>1375</v>
      </c>
      <c r="J60" s="241">
        <f t="shared" ref="J60:J83" si="18">I60*H60</f>
        <v>5500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43802</v>
      </c>
      <c r="D61" s="161" t="s">
        <v>9</v>
      </c>
      <c r="E61" s="161" t="s">
        <v>95</v>
      </c>
      <c r="F61" s="207">
        <v>510</v>
      </c>
      <c r="G61" s="222">
        <v>513</v>
      </c>
      <c r="H61" s="222">
        <v>3</v>
      </c>
      <c r="I61" s="207">
        <v>1375</v>
      </c>
      <c r="J61" s="242">
        <f t="shared" si="18"/>
        <v>4125</v>
      </c>
      <c r="K61" s="153"/>
      <c r="O61" s="25" t="s">
        <v>2008</v>
      </c>
      <c r="V61" s="25">
        <f t="shared" ref="V61:V83" si="19">IF($J61&gt;0,1,0)</f>
        <v>1</v>
      </c>
      <c r="W61" s="25">
        <f t="shared" ref="W61:W83" si="20">IF($J61&lt;0,1,0)</f>
        <v>0</v>
      </c>
    </row>
    <row r="62" spans="1:23" x14ac:dyDescent="0.3">
      <c r="A62" s="147"/>
      <c r="B62" s="205">
        <f t="shared" ref="B62:B83" si="21">B61+1</f>
        <v>3</v>
      </c>
      <c r="C62" s="206">
        <v>43803</v>
      </c>
      <c r="D62" s="161" t="s">
        <v>9</v>
      </c>
      <c r="E62" s="161" t="s">
        <v>95</v>
      </c>
      <c r="F62" s="222">
        <v>516</v>
      </c>
      <c r="G62" s="222">
        <v>524</v>
      </c>
      <c r="H62" s="222">
        <v>8</v>
      </c>
      <c r="I62" s="207">
        <v>1375</v>
      </c>
      <c r="J62" s="242">
        <f t="shared" si="18"/>
        <v>11000</v>
      </c>
      <c r="K62" s="153"/>
      <c r="V62" s="25">
        <f t="shared" si="19"/>
        <v>1</v>
      </c>
      <c r="W62" s="25">
        <f t="shared" si="20"/>
        <v>0</v>
      </c>
    </row>
    <row r="63" spans="1:23" x14ac:dyDescent="0.3">
      <c r="A63" s="147"/>
      <c r="B63" s="205">
        <f t="shared" si="21"/>
        <v>4</v>
      </c>
      <c r="C63" s="206">
        <v>43804</v>
      </c>
      <c r="D63" s="161" t="s">
        <v>8</v>
      </c>
      <c r="E63" s="161" t="s">
        <v>58</v>
      </c>
      <c r="F63" s="222">
        <v>742</v>
      </c>
      <c r="G63" s="222">
        <v>730</v>
      </c>
      <c r="H63" s="222">
        <v>12</v>
      </c>
      <c r="I63" s="207">
        <v>1200</v>
      </c>
      <c r="J63" s="242">
        <f t="shared" si="18"/>
        <v>14400</v>
      </c>
      <c r="K63" s="153"/>
      <c r="L63" s="25" t="s">
        <v>2008</v>
      </c>
      <c r="V63" s="25">
        <f t="shared" si="19"/>
        <v>1</v>
      </c>
      <c r="W63" s="25">
        <f t="shared" si="20"/>
        <v>0</v>
      </c>
    </row>
    <row r="64" spans="1:23" x14ac:dyDescent="0.3">
      <c r="A64" s="147"/>
      <c r="B64" s="205">
        <f t="shared" si="21"/>
        <v>5</v>
      </c>
      <c r="C64" s="206">
        <v>43805</v>
      </c>
      <c r="D64" s="161" t="s">
        <v>8</v>
      </c>
      <c r="E64" s="161" t="s">
        <v>78</v>
      </c>
      <c r="F64" s="222">
        <v>1297</v>
      </c>
      <c r="G64" s="222">
        <v>1287</v>
      </c>
      <c r="H64" s="222">
        <v>10</v>
      </c>
      <c r="I64" s="207">
        <v>375</v>
      </c>
      <c r="J64" s="242">
        <f t="shared" si="18"/>
        <v>3750</v>
      </c>
      <c r="K64" s="153"/>
      <c r="V64" s="25">
        <f t="shared" si="19"/>
        <v>1</v>
      </c>
      <c r="W64" s="25">
        <f t="shared" si="20"/>
        <v>0</v>
      </c>
    </row>
    <row r="65" spans="1:23" x14ac:dyDescent="0.3">
      <c r="A65" s="147"/>
      <c r="B65" s="205">
        <f t="shared" si="21"/>
        <v>6</v>
      </c>
      <c r="C65" s="206">
        <v>43808</v>
      </c>
      <c r="D65" s="161" t="s">
        <v>8</v>
      </c>
      <c r="E65" s="161" t="s">
        <v>173</v>
      </c>
      <c r="F65" s="207">
        <v>1717</v>
      </c>
      <c r="G65" s="222">
        <v>1732</v>
      </c>
      <c r="H65" s="222">
        <v>-15</v>
      </c>
      <c r="I65" s="207">
        <v>600</v>
      </c>
      <c r="J65" s="242">
        <f t="shared" si="18"/>
        <v>-9000</v>
      </c>
      <c r="K65" s="153"/>
      <c r="V65" s="25">
        <f t="shared" si="19"/>
        <v>0</v>
      </c>
      <c r="W65" s="25">
        <f t="shared" si="20"/>
        <v>1</v>
      </c>
    </row>
    <row r="66" spans="1:23" x14ac:dyDescent="0.3">
      <c r="A66" s="147"/>
      <c r="B66" s="205">
        <f t="shared" si="21"/>
        <v>7</v>
      </c>
      <c r="C66" s="206">
        <v>43809</v>
      </c>
      <c r="D66" s="161" t="s">
        <v>8</v>
      </c>
      <c r="E66" s="161" t="s">
        <v>78</v>
      </c>
      <c r="F66" s="207">
        <v>1277</v>
      </c>
      <c r="G66" s="222">
        <v>1287</v>
      </c>
      <c r="H66" s="222">
        <v>-10</v>
      </c>
      <c r="I66" s="207">
        <v>375</v>
      </c>
      <c r="J66" s="242">
        <f t="shared" si="18"/>
        <v>-3750</v>
      </c>
      <c r="K66" s="153"/>
      <c r="V66" s="25">
        <f t="shared" si="19"/>
        <v>0</v>
      </c>
      <c r="W66" s="25">
        <f t="shared" si="20"/>
        <v>1</v>
      </c>
    </row>
    <row r="67" spans="1:23" x14ac:dyDescent="0.3">
      <c r="A67" s="147"/>
      <c r="B67" s="205">
        <f t="shared" si="21"/>
        <v>8</v>
      </c>
      <c r="C67" s="206">
        <v>43810</v>
      </c>
      <c r="D67" s="161" t="s">
        <v>9</v>
      </c>
      <c r="E67" s="161" t="s">
        <v>95</v>
      </c>
      <c r="F67" s="222">
        <v>534.5</v>
      </c>
      <c r="G67" s="222">
        <v>529.5</v>
      </c>
      <c r="H67" s="222">
        <v>-5</v>
      </c>
      <c r="I67" s="207">
        <v>1375</v>
      </c>
      <c r="J67" s="242">
        <f t="shared" si="18"/>
        <v>-6875</v>
      </c>
      <c r="K67" s="153"/>
      <c r="V67" s="25">
        <f t="shared" si="19"/>
        <v>0</v>
      </c>
      <c r="W67" s="25">
        <f t="shared" si="20"/>
        <v>1</v>
      </c>
    </row>
    <row r="68" spans="1:23" x14ac:dyDescent="0.3">
      <c r="A68" s="147"/>
      <c r="B68" s="205">
        <f t="shared" si="21"/>
        <v>9</v>
      </c>
      <c r="C68" s="206">
        <v>43811</v>
      </c>
      <c r="D68" s="161" t="s">
        <v>8</v>
      </c>
      <c r="E68" s="161" t="s">
        <v>1439</v>
      </c>
      <c r="F68" s="222">
        <v>1565</v>
      </c>
      <c r="G68" s="222">
        <v>1575</v>
      </c>
      <c r="H68" s="222">
        <v>-10</v>
      </c>
      <c r="I68" s="207">
        <v>500</v>
      </c>
      <c r="J68" s="242">
        <f t="shared" si="18"/>
        <v>-5000</v>
      </c>
      <c r="K68" s="153"/>
      <c r="V68" s="25">
        <f t="shared" si="19"/>
        <v>0</v>
      </c>
      <c r="W68" s="25">
        <f t="shared" si="20"/>
        <v>1</v>
      </c>
    </row>
    <row r="69" spans="1:23" x14ac:dyDescent="0.3">
      <c r="A69" s="147"/>
      <c r="B69" s="205">
        <f t="shared" si="21"/>
        <v>10</v>
      </c>
      <c r="C69" s="206">
        <v>43812</v>
      </c>
      <c r="D69" s="161" t="s">
        <v>9</v>
      </c>
      <c r="E69" s="161" t="s">
        <v>58</v>
      </c>
      <c r="F69" s="222">
        <v>736</v>
      </c>
      <c r="G69" s="222">
        <v>748</v>
      </c>
      <c r="H69" s="222">
        <v>12</v>
      </c>
      <c r="I69" s="207">
        <v>1200</v>
      </c>
      <c r="J69" s="242">
        <f t="shared" si="18"/>
        <v>14400</v>
      </c>
      <c r="K69" s="153"/>
      <c r="V69" s="25">
        <f t="shared" si="19"/>
        <v>1</v>
      </c>
      <c r="W69" s="25">
        <f t="shared" si="20"/>
        <v>0</v>
      </c>
    </row>
    <row r="70" spans="1:23" x14ac:dyDescent="0.3">
      <c r="A70" s="147"/>
      <c r="B70" s="205">
        <f t="shared" si="21"/>
        <v>11</v>
      </c>
      <c r="C70" s="206">
        <v>43815</v>
      </c>
      <c r="D70" s="161" t="s">
        <v>9</v>
      </c>
      <c r="E70" s="161" t="s">
        <v>95</v>
      </c>
      <c r="F70" s="161">
        <v>540</v>
      </c>
      <c r="G70" s="222">
        <v>542</v>
      </c>
      <c r="H70" s="222">
        <v>2</v>
      </c>
      <c r="I70" s="207">
        <v>1375</v>
      </c>
      <c r="J70" s="242">
        <f t="shared" si="18"/>
        <v>2750</v>
      </c>
      <c r="K70" s="153"/>
      <c r="V70" s="25">
        <f t="shared" si="19"/>
        <v>1</v>
      </c>
      <c r="W70" s="25">
        <f t="shared" si="20"/>
        <v>0</v>
      </c>
    </row>
    <row r="71" spans="1:23" x14ac:dyDescent="0.3">
      <c r="A71" s="147"/>
      <c r="B71" s="205">
        <f t="shared" si="21"/>
        <v>12</v>
      </c>
      <c r="C71" s="206">
        <v>43816</v>
      </c>
      <c r="D71" s="161" t="s">
        <v>9</v>
      </c>
      <c r="E71" s="161" t="s">
        <v>129</v>
      </c>
      <c r="F71" s="222">
        <v>2383</v>
      </c>
      <c r="G71" s="222">
        <v>2423</v>
      </c>
      <c r="H71" s="222">
        <v>40</v>
      </c>
      <c r="I71" s="207">
        <v>250</v>
      </c>
      <c r="J71" s="242">
        <f t="shared" si="18"/>
        <v>10000</v>
      </c>
      <c r="K71" s="153"/>
      <c r="V71" s="25">
        <f t="shared" si="19"/>
        <v>1</v>
      </c>
      <c r="W71" s="25">
        <f t="shared" si="20"/>
        <v>0</v>
      </c>
    </row>
    <row r="72" spans="1:23" x14ac:dyDescent="0.3">
      <c r="A72" s="147"/>
      <c r="B72" s="205">
        <f t="shared" si="21"/>
        <v>13</v>
      </c>
      <c r="C72" s="206">
        <v>43817</v>
      </c>
      <c r="D72" s="161" t="s">
        <v>9</v>
      </c>
      <c r="E72" s="161" t="s">
        <v>58</v>
      </c>
      <c r="F72" s="222">
        <v>744</v>
      </c>
      <c r="G72" s="222">
        <v>741.8</v>
      </c>
      <c r="H72" s="222">
        <v>2.2000000000000002</v>
      </c>
      <c r="I72" s="207">
        <v>1200</v>
      </c>
      <c r="J72" s="242">
        <f t="shared" si="18"/>
        <v>2640</v>
      </c>
      <c r="K72" s="153"/>
      <c r="V72" s="25">
        <f t="shared" si="19"/>
        <v>1</v>
      </c>
      <c r="W72" s="25">
        <f t="shared" si="20"/>
        <v>0</v>
      </c>
    </row>
    <row r="73" spans="1:23" x14ac:dyDescent="0.3">
      <c r="A73" s="147"/>
      <c r="B73" s="205">
        <f t="shared" si="21"/>
        <v>14</v>
      </c>
      <c r="C73" s="206">
        <v>43818</v>
      </c>
      <c r="D73" s="161" t="s">
        <v>9</v>
      </c>
      <c r="E73" s="161" t="s">
        <v>58</v>
      </c>
      <c r="F73" s="223">
        <v>748</v>
      </c>
      <c r="G73" s="222">
        <v>745.5</v>
      </c>
      <c r="H73" s="255">
        <v>2.5</v>
      </c>
      <c r="I73" s="207">
        <v>1200</v>
      </c>
      <c r="J73" s="242">
        <f t="shared" si="18"/>
        <v>3000</v>
      </c>
      <c r="K73" s="153"/>
      <c r="V73" s="25">
        <f t="shared" si="19"/>
        <v>1</v>
      </c>
      <c r="W73" s="25">
        <f t="shared" si="20"/>
        <v>0</v>
      </c>
    </row>
    <row r="74" spans="1:23" x14ac:dyDescent="0.3">
      <c r="A74" s="147"/>
      <c r="B74" s="205">
        <f t="shared" si="21"/>
        <v>15</v>
      </c>
      <c r="C74" s="206">
        <v>43819</v>
      </c>
      <c r="D74" s="161" t="s">
        <v>9</v>
      </c>
      <c r="E74" s="161" t="s">
        <v>586</v>
      </c>
      <c r="F74" s="222">
        <v>748</v>
      </c>
      <c r="G74" s="222">
        <v>748.4</v>
      </c>
      <c r="H74" s="255">
        <v>0.4</v>
      </c>
      <c r="I74" s="207">
        <v>750</v>
      </c>
      <c r="J74" s="242">
        <f t="shared" si="18"/>
        <v>300</v>
      </c>
      <c r="K74" s="153"/>
      <c r="V74" s="25">
        <f t="shared" si="19"/>
        <v>1</v>
      </c>
      <c r="W74" s="25">
        <f t="shared" si="20"/>
        <v>0</v>
      </c>
    </row>
    <row r="75" spans="1:23" x14ac:dyDescent="0.3">
      <c r="A75" s="147"/>
      <c r="B75" s="205">
        <f t="shared" si="21"/>
        <v>16</v>
      </c>
      <c r="C75" s="206">
        <v>43822</v>
      </c>
      <c r="D75" s="161" t="s">
        <v>9</v>
      </c>
      <c r="E75" s="161" t="s">
        <v>58</v>
      </c>
      <c r="F75" s="222">
        <v>745</v>
      </c>
      <c r="G75" s="222">
        <v>748</v>
      </c>
      <c r="H75" s="222">
        <v>3</v>
      </c>
      <c r="I75" s="207">
        <v>1200</v>
      </c>
      <c r="J75" s="242">
        <f t="shared" si="18"/>
        <v>3600</v>
      </c>
      <c r="K75" s="153"/>
      <c r="V75" s="25">
        <f t="shared" si="19"/>
        <v>1</v>
      </c>
      <c r="W75" s="25">
        <f t="shared" si="20"/>
        <v>0</v>
      </c>
    </row>
    <row r="76" spans="1:23" x14ac:dyDescent="0.3">
      <c r="A76" s="147"/>
      <c r="B76" s="205">
        <f t="shared" si="21"/>
        <v>17</v>
      </c>
      <c r="C76" s="206">
        <v>43823</v>
      </c>
      <c r="D76" s="161" t="s">
        <v>8</v>
      </c>
      <c r="E76" s="161" t="s">
        <v>1439</v>
      </c>
      <c r="F76" s="222">
        <v>1560</v>
      </c>
      <c r="G76" s="222">
        <v>1550</v>
      </c>
      <c r="H76" s="222">
        <v>10</v>
      </c>
      <c r="I76" s="207">
        <v>500</v>
      </c>
      <c r="J76" s="242">
        <f t="shared" si="18"/>
        <v>5000</v>
      </c>
      <c r="K76" s="153"/>
      <c r="V76" s="25">
        <f t="shared" si="19"/>
        <v>1</v>
      </c>
      <c r="W76" s="25">
        <f t="shared" si="20"/>
        <v>0</v>
      </c>
    </row>
    <row r="77" spans="1:23" x14ac:dyDescent="0.3">
      <c r="A77" s="147"/>
      <c r="B77" s="205">
        <f t="shared" si="21"/>
        <v>18</v>
      </c>
      <c r="C77" s="206">
        <v>43825</v>
      </c>
      <c r="D77" s="161" t="s">
        <v>9</v>
      </c>
      <c r="E77" s="161" t="s">
        <v>95</v>
      </c>
      <c r="F77" s="222">
        <v>541</v>
      </c>
      <c r="G77" s="222">
        <v>540</v>
      </c>
      <c r="H77" s="222">
        <v>-1</v>
      </c>
      <c r="I77" s="207">
        <v>1375</v>
      </c>
      <c r="J77" s="242">
        <f t="shared" si="18"/>
        <v>-1375</v>
      </c>
      <c r="K77" s="153"/>
      <c r="V77" s="25">
        <f t="shared" si="19"/>
        <v>0</v>
      </c>
      <c r="W77" s="25">
        <f t="shared" si="20"/>
        <v>1</v>
      </c>
    </row>
    <row r="78" spans="1:23" x14ac:dyDescent="0.3">
      <c r="A78" s="147"/>
      <c r="B78" s="205">
        <f t="shared" si="21"/>
        <v>19</v>
      </c>
      <c r="C78" s="206">
        <v>43826</v>
      </c>
      <c r="D78" s="161" t="s">
        <v>9</v>
      </c>
      <c r="E78" s="161" t="s">
        <v>58</v>
      </c>
      <c r="F78" s="222">
        <v>749</v>
      </c>
      <c r="G78" s="222">
        <v>761</v>
      </c>
      <c r="H78" s="222">
        <v>12</v>
      </c>
      <c r="I78" s="207">
        <v>1200</v>
      </c>
      <c r="J78" s="242">
        <f t="shared" si="18"/>
        <v>14400</v>
      </c>
      <c r="K78" s="153"/>
      <c r="V78" s="25">
        <f t="shared" si="19"/>
        <v>1</v>
      </c>
      <c r="W78" s="25">
        <f t="shared" si="20"/>
        <v>0</v>
      </c>
    </row>
    <row r="79" spans="1:23" x14ac:dyDescent="0.3">
      <c r="A79" s="147"/>
      <c r="B79" s="205">
        <f t="shared" si="21"/>
        <v>20</v>
      </c>
      <c r="C79" s="206">
        <v>43829</v>
      </c>
      <c r="D79" s="161" t="s">
        <v>9</v>
      </c>
      <c r="E79" s="161" t="s">
        <v>58</v>
      </c>
      <c r="F79" s="222">
        <v>769</v>
      </c>
      <c r="G79" s="222">
        <v>763</v>
      </c>
      <c r="H79" s="222">
        <v>-6</v>
      </c>
      <c r="I79" s="207">
        <v>1200</v>
      </c>
      <c r="J79" s="242">
        <f t="shared" si="18"/>
        <v>-7200</v>
      </c>
      <c r="K79" s="153"/>
      <c r="V79" s="25">
        <f t="shared" si="19"/>
        <v>0</v>
      </c>
      <c r="W79" s="25">
        <f t="shared" si="20"/>
        <v>1</v>
      </c>
    </row>
    <row r="80" spans="1:23" x14ac:dyDescent="0.3">
      <c r="A80" s="147"/>
      <c r="B80" s="205">
        <f t="shared" si="21"/>
        <v>21</v>
      </c>
      <c r="C80" s="206">
        <v>43830</v>
      </c>
      <c r="D80" s="161" t="s">
        <v>9</v>
      </c>
      <c r="E80" s="161" t="s">
        <v>58</v>
      </c>
      <c r="F80" s="222">
        <v>763</v>
      </c>
      <c r="G80" s="222">
        <v>769</v>
      </c>
      <c r="H80" s="222">
        <v>6</v>
      </c>
      <c r="I80" s="207">
        <v>1200</v>
      </c>
      <c r="J80" s="242">
        <f t="shared" si="18"/>
        <v>7200</v>
      </c>
      <c r="K80" s="153"/>
      <c r="V80" s="25">
        <f t="shared" si="19"/>
        <v>1</v>
      </c>
      <c r="W80" s="25">
        <f t="shared" si="20"/>
        <v>0</v>
      </c>
    </row>
    <row r="81" spans="1:23" x14ac:dyDescent="0.3">
      <c r="A81" s="147"/>
      <c r="B81" s="205">
        <f t="shared" si="21"/>
        <v>22</v>
      </c>
      <c r="C81" s="206"/>
      <c r="D81" s="161"/>
      <c r="E81" s="161"/>
      <c r="F81" s="222"/>
      <c r="G81" s="222"/>
      <c r="H81" s="222"/>
      <c r="I81" s="207"/>
      <c r="J81" s="242">
        <f t="shared" si="18"/>
        <v>0</v>
      </c>
      <c r="K81" s="153"/>
    </row>
    <row r="82" spans="1:23" x14ac:dyDescent="0.3">
      <c r="A82" s="147"/>
      <c r="B82" s="205">
        <f t="shared" si="21"/>
        <v>23</v>
      </c>
      <c r="C82" s="206"/>
      <c r="D82" s="161"/>
      <c r="E82" s="161"/>
      <c r="F82" s="222"/>
      <c r="G82" s="222"/>
      <c r="H82" s="222"/>
      <c r="I82" s="207"/>
      <c r="J82" s="242">
        <f t="shared" si="18"/>
        <v>0</v>
      </c>
      <c r="K82" s="153"/>
      <c r="V82" s="25">
        <f t="shared" si="19"/>
        <v>0</v>
      </c>
      <c r="W82" s="25">
        <f t="shared" si="20"/>
        <v>0</v>
      </c>
    </row>
    <row r="83" spans="1:23" ht="15" thickBot="1" x14ac:dyDescent="0.35">
      <c r="A83" s="147"/>
      <c r="B83" s="205">
        <f t="shared" si="21"/>
        <v>24</v>
      </c>
      <c r="C83" s="209"/>
      <c r="D83" s="166"/>
      <c r="E83" s="166"/>
      <c r="F83" s="210"/>
      <c r="G83" s="210"/>
      <c r="H83" s="166"/>
      <c r="I83" s="210"/>
      <c r="J83" s="244">
        <f t="shared" si="18"/>
        <v>0</v>
      </c>
      <c r="K83" s="153"/>
      <c r="V83" s="25">
        <f t="shared" si="19"/>
        <v>0</v>
      </c>
      <c r="W83" s="25">
        <f t="shared" si="20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68865</v>
      </c>
      <c r="K84" s="153"/>
      <c r="V84" s="25">
        <f>SUM(V60:V83)</f>
        <v>15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2876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43801</v>
      </c>
      <c r="D92" s="185" t="s">
        <v>9</v>
      </c>
      <c r="E92" s="185" t="s">
        <v>39</v>
      </c>
      <c r="F92" s="219">
        <v>12090</v>
      </c>
      <c r="G92" s="219">
        <v>12108</v>
      </c>
      <c r="H92" s="185">
        <v>18</v>
      </c>
      <c r="I92" s="219">
        <v>150</v>
      </c>
      <c r="J92" s="246">
        <f t="shared" ref="J92:J114" si="22">I92*H92</f>
        <v>2700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43802</v>
      </c>
      <c r="D93" s="161" t="s">
        <v>8</v>
      </c>
      <c r="E93" s="161" t="s">
        <v>39</v>
      </c>
      <c r="F93" s="207">
        <v>12020</v>
      </c>
      <c r="G93" s="207">
        <v>12000</v>
      </c>
      <c r="H93" s="161">
        <v>20</v>
      </c>
      <c r="I93" s="207">
        <v>150</v>
      </c>
      <c r="J93" s="242">
        <f t="shared" si="22"/>
        <v>3000</v>
      </c>
      <c r="K93" s="153"/>
      <c r="V93" s="25">
        <f t="shared" ref="V93:V114" si="23">IF($J93&gt;0,1,0)</f>
        <v>1</v>
      </c>
      <c r="W93" s="25">
        <f t="shared" ref="W93:W114" si="24">IF($J93&lt;0,1,0)</f>
        <v>0</v>
      </c>
    </row>
    <row r="94" spans="1:23" x14ac:dyDescent="0.3">
      <c r="A94" s="147"/>
      <c r="B94" s="205">
        <f t="shared" ref="B94:B114" si="25">B93+1</f>
        <v>3</v>
      </c>
      <c r="C94" s="206">
        <v>43803</v>
      </c>
      <c r="D94" s="161" t="s">
        <v>8</v>
      </c>
      <c r="E94" s="161" t="s">
        <v>39</v>
      </c>
      <c r="F94" s="207">
        <v>12050</v>
      </c>
      <c r="G94" s="207">
        <v>11990</v>
      </c>
      <c r="H94" s="161">
        <v>60</v>
      </c>
      <c r="I94" s="207">
        <v>150</v>
      </c>
      <c r="J94" s="242">
        <f t="shared" si="22"/>
        <v>9000</v>
      </c>
      <c r="K94" s="153"/>
      <c r="V94" s="25">
        <f t="shared" si="23"/>
        <v>1</v>
      </c>
      <c r="W94" s="25">
        <f t="shared" si="24"/>
        <v>0</v>
      </c>
    </row>
    <row r="95" spans="1:23" x14ac:dyDescent="0.3">
      <c r="A95" s="147"/>
      <c r="B95" s="205">
        <f t="shared" si="25"/>
        <v>4</v>
      </c>
      <c r="C95" s="206">
        <v>43804</v>
      </c>
      <c r="D95" s="161" t="s">
        <v>8</v>
      </c>
      <c r="E95" s="161" t="s">
        <v>39</v>
      </c>
      <c r="F95" s="207">
        <v>12070</v>
      </c>
      <c r="G95" s="207">
        <v>12040</v>
      </c>
      <c r="H95" s="161">
        <v>30</v>
      </c>
      <c r="I95" s="207">
        <v>150</v>
      </c>
      <c r="J95" s="242">
        <f t="shared" si="22"/>
        <v>4500</v>
      </c>
      <c r="K95" s="153"/>
      <c r="V95" s="25">
        <f t="shared" si="23"/>
        <v>1</v>
      </c>
      <c r="W95" s="25">
        <f t="shared" si="24"/>
        <v>0</v>
      </c>
    </row>
    <row r="96" spans="1:23" x14ac:dyDescent="0.3">
      <c r="A96" s="147"/>
      <c r="B96" s="205">
        <f t="shared" si="25"/>
        <v>5</v>
      </c>
      <c r="C96" s="206">
        <v>43805</v>
      </c>
      <c r="D96" s="161" t="s">
        <v>8</v>
      </c>
      <c r="E96" s="161" t="s">
        <v>39</v>
      </c>
      <c r="F96" s="207">
        <v>12000</v>
      </c>
      <c r="G96" s="207">
        <v>11940</v>
      </c>
      <c r="H96" s="161">
        <v>60</v>
      </c>
      <c r="I96" s="207">
        <v>150</v>
      </c>
      <c r="J96" s="242">
        <f t="shared" si="22"/>
        <v>9000</v>
      </c>
      <c r="K96" s="153"/>
      <c r="V96" s="25">
        <f t="shared" si="23"/>
        <v>1</v>
      </c>
      <c r="W96" s="25">
        <f t="shared" si="24"/>
        <v>0</v>
      </c>
    </row>
    <row r="97" spans="1:23" x14ac:dyDescent="0.3">
      <c r="A97" s="147"/>
      <c r="B97" s="205">
        <f t="shared" si="25"/>
        <v>6</v>
      </c>
      <c r="C97" s="206">
        <v>43808</v>
      </c>
      <c r="D97" s="161" t="s">
        <v>9</v>
      </c>
      <c r="E97" s="161" t="s">
        <v>39</v>
      </c>
      <c r="F97" s="207">
        <v>11980</v>
      </c>
      <c r="G97" s="207">
        <v>12010</v>
      </c>
      <c r="H97" s="161">
        <v>30</v>
      </c>
      <c r="I97" s="207">
        <v>150</v>
      </c>
      <c r="J97" s="242">
        <f t="shared" si="22"/>
        <v>4500</v>
      </c>
      <c r="K97" s="153"/>
      <c r="V97" s="25">
        <f t="shared" si="23"/>
        <v>1</v>
      </c>
      <c r="W97" s="25">
        <f t="shared" si="24"/>
        <v>0</v>
      </c>
    </row>
    <row r="98" spans="1:23" x14ac:dyDescent="0.3">
      <c r="A98" s="147"/>
      <c r="B98" s="205">
        <f t="shared" si="25"/>
        <v>7</v>
      </c>
      <c r="C98" s="206">
        <v>43809</v>
      </c>
      <c r="D98" s="161" t="s">
        <v>8</v>
      </c>
      <c r="E98" s="161" t="s">
        <v>39</v>
      </c>
      <c r="F98" s="207">
        <v>11935</v>
      </c>
      <c r="G98" s="207">
        <v>11895</v>
      </c>
      <c r="H98" s="161">
        <v>40</v>
      </c>
      <c r="I98" s="207">
        <v>150</v>
      </c>
      <c r="J98" s="242">
        <f t="shared" si="22"/>
        <v>6000</v>
      </c>
      <c r="K98" s="153"/>
      <c r="V98" s="25">
        <f t="shared" si="23"/>
        <v>1</v>
      </c>
      <c r="W98" s="25">
        <f t="shared" si="24"/>
        <v>0</v>
      </c>
    </row>
    <row r="99" spans="1:23" x14ac:dyDescent="0.3">
      <c r="A99" s="147"/>
      <c r="B99" s="205">
        <f t="shared" si="25"/>
        <v>8</v>
      </c>
      <c r="C99" s="206">
        <v>43810</v>
      </c>
      <c r="D99" s="161" t="s">
        <v>9</v>
      </c>
      <c r="E99" s="161" t="s">
        <v>39</v>
      </c>
      <c r="F99" s="207">
        <v>11930</v>
      </c>
      <c r="G99" s="207">
        <v>11900</v>
      </c>
      <c r="H99" s="161">
        <v>-30</v>
      </c>
      <c r="I99" s="207">
        <v>150</v>
      </c>
      <c r="J99" s="242">
        <f t="shared" si="22"/>
        <v>-4500</v>
      </c>
      <c r="K99" s="153"/>
      <c r="V99" s="25">
        <f t="shared" si="23"/>
        <v>0</v>
      </c>
      <c r="W99" s="25">
        <f t="shared" si="24"/>
        <v>1</v>
      </c>
    </row>
    <row r="100" spans="1:23" x14ac:dyDescent="0.3">
      <c r="A100" s="147"/>
      <c r="B100" s="205">
        <f t="shared" si="25"/>
        <v>9</v>
      </c>
      <c r="C100" s="206">
        <v>43811</v>
      </c>
      <c r="D100" s="161" t="s">
        <v>9</v>
      </c>
      <c r="E100" s="161" t="s">
        <v>39</v>
      </c>
      <c r="F100" s="207">
        <v>11990</v>
      </c>
      <c r="G100" s="207">
        <v>12050</v>
      </c>
      <c r="H100" s="161">
        <v>60</v>
      </c>
      <c r="I100" s="207">
        <v>150</v>
      </c>
      <c r="J100" s="242">
        <f t="shared" si="22"/>
        <v>9000</v>
      </c>
      <c r="K100" s="153"/>
      <c r="V100" s="25">
        <f t="shared" si="23"/>
        <v>1</v>
      </c>
      <c r="W100" s="25">
        <f t="shared" si="24"/>
        <v>0</v>
      </c>
    </row>
    <row r="101" spans="1:23" x14ac:dyDescent="0.3">
      <c r="A101" s="147"/>
      <c r="B101" s="205">
        <f t="shared" si="25"/>
        <v>10</v>
      </c>
      <c r="C101" s="206">
        <v>43812</v>
      </c>
      <c r="D101" s="161" t="s">
        <v>9</v>
      </c>
      <c r="E101" s="161" t="s">
        <v>39</v>
      </c>
      <c r="F101" s="207">
        <v>12100</v>
      </c>
      <c r="G101" s="207">
        <v>12142</v>
      </c>
      <c r="H101" s="161">
        <v>42</v>
      </c>
      <c r="I101" s="207">
        <v>150</v>
      </c>
      <c r="J101" s="242">
        <f t="shared" si="22"/>
        <v>6300</v>
      </c>
      <c r="K101" s="153"/>
      <c r="V101" s="25">
        <f t="shared" si="23"/>
        <v>1</v>
      </c>
      <c r="W101" s="25">
        <f t="shared" si="24"/>
        <v>0</v>
      </c>
    </row>
    <row r="102" spans="1:23" x14ac:dyDescent="0.3">
      <c r="A102" s="147"/>
      <c r="B102" s="205">
        <f t="shared" si="25"/>
        <v>11</v>
      </c>
      <c r="C102" s="206">
        <v>43815</v>
      </c>
      <c r="D102" s="161" t="s">
        <v>8</v>
      </c>
      <c r="E102" s="161" t="s">
        <v>39</v>
      </c>
      <c r="F102" s="207">
        <v>12110</v>
      </c>
      <c r="G102" s="207">
        <v>12080</v>
      </c>
      <c r="H102" s="161">
        <v>30</v>
      </c>
      <c r="I102" s="207">
        <v>150</v>
      </c>
      <c r="J102" s="242">
        <f t="shared" si="22"/>
        <v>4500</v>
      </c>
      <c r="K102" s="153"/>
      <c r="V102" s="25">
        <f t="shared" si="23"/>
        <v>1</v>
      </c>
      <c r="W102" s="25">
        <f t="shared" si="24"/>
        <v>0</v>
      </c>
    </row>
    <row r="103" spans="1:23" x14ac:dyDescent="0.3">
      <c r="A103" s="147"/>
      <c r="B103" s="205">
        <f t="shared" si="25"/>
        <v>12</v>
      </c>
      <c r="C103" s="206" t="s">
        <v>2886</v>
      </c>
      <c r="D103" s="161" t="s">
        <v>8</v>
      </c>
      <c r="E103" s="161" t="s">
        <v>39</v>
      </c>
      <c r="F103" s="207">
        <v>12165</v>
      </c>
      <c r="G103" s="207">
        <v>12185</v>
      </c>
      <c r="H103" s="161">
        <v>20</v>
      </c>
      <c r="I103" s="207">
        <v>150</v>
      </c>
      <c r="J103" s="242">
        <f t="shared" si="22"/>
        <v>3000</v>
      </c>
      <c r="K103" s="153"/>
      <c r="V103" s="25">
        <f t="shared" si="23"/>
        <v>1</v>
      </c>
      <c r="W103" s="25">
        <f t="shared" si="24"/>
        <v>0</v>
      </c>
    </row>
    <row r="104" spans="1:23" x14ac:dyDescent="0.3">
      <c r="A104" s="147"/>
      <c r="B104" s="205">
        <f t="shared" si="25"/>
        <v>13</v>
      </c>
      <c r="C104" s="206">
        <v>43817</v>
      </c>
      <c r="D104" s="161" t="s">
        <v>9</v>
      </c>
      <c r="E104" s="161" t="s">
        <v>39</v>
      </c>
      <c r="F104" s="207">
        <v>12200</v>
      </c>
      <c r="G104" s="207">
        <v>12243</v>
      </c>
      <c r="H104" s="161">
        <v>43</v>
      </c>
      <c r="I104" s="207">
        <v>150</v>
      </c>
      <c r="J104" s="242">
        <f t="shared" si="22"/>
        <v>6450</v>
      </c>
      <c r="K104" s="153"/>
      <c r="V104" s="25">
        <f t="shared" si="23"/>
        <v>1</v>
      </c>
      <c r="W104" s="25">
        <f t="shared" si="24"/>
        <v>0</v>
      </c>
    </row>
    <row r="105" spans="1:23" x14ac:dyDescent="0.3">
      <c r="A105" s="147"/>
      <c r="B105" s="205">
        <f t="shared" si="25"/>
        <v>14</v>
      </c>
      <c r="C105" s="206">
        <v>43818</v>
      </c>
      <c r="D105" s="161" t="s">
        <v>9</v>
      </c>
      <c r="E105" s="161" t="s">
        <v>39</v>
      </c>
      <c r="F105" s="207">
        <v>12230</v>
      </c>
      <c r="G105" s="207">
        <v>12270</v>
      </c>
      <c r="H105" s="161">
        <v>40</v>
      </c>
      <c r="I105" s="207">
        <v>150</v>
      </c>
      <c r="J105" s="242">
        <f t="shared" si="22"/>
        <v>6000</v>
      </c>
      <c r="K105" s="153"/>
      <c r="V105" s="25">
        <f t="shared" si="23"/>
        <v>1</v>
      </c>
      <c r="W105" s="25">
        <f t="shared" si="24"/>
        <v>0</v>
      </c>
    </row>
    <row r="106" spans="1:23" x14ac:dyDescent="0.3">
      <c r="A106" s="147"/>
      <c r="B106" s="205">
        <f t="shared" si="25"/>
        <v>15</v>
      </c>
      <c r="C106" s="206">
        <v>43819</v>
      </c>
      <c r="D106" s="161" t="s">
        <v>9</v>
      </c>
      <c r="E106" s="161" t="s">
        <v>39</v>
      </c>
      <c r="F106" s="207">
        <v>12280</v>
      </c>
      <c r="G106" s="207">
        <v>12295</v>
      </c>
      <c r="H106" s="161">
        <v>15</v>
      </c>
      <c r="I106" s="207">
        <v>150</v>
      </c>
      <c r="J106" s="242">
        <f t="shared" si="22"/>
        <v>2250</v>
      </c>
      <c r="K106" s="153"/>
      <c r="V106" s="25">
        <f t="shared" si="23"/>
        <v>1</v>
      </c>
      <c r="W106" s="25">
        <f t="shared" si="24"/>
        <v>0</v>
      </c>
    </row>
    <row r="107" spans="1:23" x14ac:dyDescent="0.3">
      <c r="A107" s="147"/>
      <c r="B107" s="205">
        <f t="shared" si="25"/>
        <v>16</v>
      </c>
      <c r="C107" s="206">
        <v>43822</v>
      </c>
      <c r="D107" s="161" t="s">
        <v>9</v>
      </c>
      <c r="E107" s="161" t="s">
        <v>39</v>
      </c>
      <c r="F107" s="207">
        <v>12280</v>
      </c>
      <c r="G107" s="207">
        <v>12250</v>
      </c>
      <c r="H107" s="161">
        <v>-30</v>
      </c>
      <c r="I107" s="207">
        <v>150</v>
      </c>
      <c r="J107" s="242">
        <f t="shared" si="22"/>
        <v>-4500</v>
      </c>
      <c r="K107" s="153"/>
      <c r="V107" s="25">
        <f t="shared" si="23"/>
        <v>0</v>
      </c>
      <c r="W107" s="25">
        <f t="shared" si="24"/>
        <v>1</v>
      </c>
    </row>
    <row r="108" spans="1:23" x14ac:dyDescent="0.3">
      <c r="A108" s="147"/>
      <c r="B108" s="205">
        <f t="shared" si="25"/>
        <v>17</v>
      </c>
      <c r="C108" s="206">
        <v>43823</v>
      </c>
      <c r="D108" s="161" t="s">
        <v>8</v>
      </c>
      <c r="E108" s="161" t="s">
        <v>39</v>
      </c>
      <c r="F108" s="207">
        <v>12265</v>
      </c>
      <c r="G108" s="207">
        <v>12235</v>
      </c>
      <c r="H108" s="161">
        <v>30</v>
      </c>
      <c r="I108" s="207">
        <v>150</v>
      </c>
      <c r="J108" s="242">
        <f t="shared" si="22"/>
        <v>4500</v>
      </c>
      <c r="K108" s="153"/>
      <c r="V108" s="25">
        <f t="shared" si="23"/>
        <v>1</v>
      </c>
      <c r="W108" s="25">
        <f t="shared" si="24"/>
        <v>0</v>
      </c>
    </row>
    <row r="109" spans="1:23" x14ac:dyDescent="0.3">
      <c r="A109" s="147"/>
      <c r="B109" s="205">
        <f t="shared" si="25"/>
        <v>18</v>
      </c>
      <c r="C109" s="206">
        <v>43825</v>
      </c>
      <c r="D109" s="161" t="s">
        <v>8</v>
      </c>
      <c r="E109" s="161" t="s">
        <v>39</v>
      </c>
      <c r="F109" s="207">
        <v>12200</v>
      </c>
      <c r="G109" s="207">
        <v>12140</v>
      </c>
      <c r="H109" s="161">
        <v>60</v>
      </c>
      <c r="I109" s="207">
        <v>150</v>
      </c>
      <c r="J109" s="242">
        <f t="shared" si="22"/>
        <v>9000</v>
      </c>
      <c r="K109" s="153"/>
      <c r="V109" s="25">
        <f t="shared" si="23"/>
        <v>1</v>
      </c>
      <c r="W109" s="25">
        <f t="shared" si="24"/>
        <v>0</v>
      </c>
    </row>
    <row r="110" spans="1:23" x14ac:dyDescent="0.3">
      <c r="A110" s="147"/>
      <c r="B110" s="205">
        <f t="shared" si="25"/>
        <v>19</v>
      </c>
      <c r="C110" s="206">
        <v>43826</v>
      </c>
      <c r="D110" s="161" t="s">
        <v>9</v>
      </c>
      <c r="E110" s="161" t="s">
        <v>39</v>
      </c>
      <c r="F110" s="207">
        <v>12270</v>
      </c>
      <c r="G110" s="207">
        <v>12330</v>
      </c>
      <c r="H110" s="161">
        <v>60</v>
      </c>
      <c r="I110" s="207">
        <v>150</v>
      </c>
      <c r="J110" s="242">
        <f>I110*H110</f>
        <v>9000</v>
      </c>
      <c r="K110" s="153"/>
      <c r="V110" s="25">
        <f t="shared" si="23"/>
        <v>1</v>
      </c>
      <c r="W110" s="25">
        <f t="shared" si="24"/>
        <v>0</v>
      </c>
    </row>
    <row r="111" spans="1:23" x14ac:dyDescent="0.3">
      <c r="A111" s="147"/>
      <c r="B111" s="205">
        <f t="shared" si="25"/>
        <v>20</v>
      </c>
      <c r="C111" s="206">
        <v>43830</v>
      </c>
      <c r="D111" s="161" t="s">
        <v>9</v>
      </c>
      <c r="E111" s="161" t="s">
        <v>39</v>
      </c>
      <c r="F111" s="207">
        <v>12270</v>
      </c>
      <c r="G111" s="207">
        <v>12310</v>
      </c>
      <c r="H111" s="161">
        <v>40</v>
      </c>
      <c r="I111" s="207">
        <v>150</v>
      </c>
      <c r="J111" s="242">
        <f t="shared" si="22"/>
        <v>6000</v>
      </c>
      <c r="K111" s="153"/>
      <c r="V111" s="25">
        <f t="shared" si="23"/>
        <v>1</v>
      </c>
      <c r="W111" s="25">
        <f t="shared" si="24"/>
        <v>0</v>
      </c>
    </row>
    <row r="112" spans="1:23" x14ac:dyDescent="0.3">
      <c r="A112" s="147"/>
      <c r="B112" s="205">
        <f t="shared" si="25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2"/>
        <v>0</v>
      </c>
      <c r="K112" s="153"/>
      <c r="V112" s="25">
        <f t="shared" si="23"/>
        <v>0</v>
      </c>
      <c r="W112" s="25">
        <f t="shared" si="24"/>
        <v>0</v>
      </c>
    </row>
    <row r="113" spans="1:23" x14ac:dyDescent="0.3">
      <c r="A113" s="147"/>
      <c r="B113" s="205">
        <f t="shared" si="25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2"/>
        <v>0</v>
      </c>
      <c r="K113" s="153"/>
      <c r="V113" s="25">
        <f t="shared" si="23"/>
        <v>0</v>
      </c>
      <c r="W113" s="25">
        <f t="shared" si="24"/>
        <v>0</v>
      </c>
    </row>
    <row r="114" spans="1:23" ht="15" thickBot="1" x14ac:dyDescent="0.35">
      <c r="A114" s="147"/>
      <c r="B114" s="208">
        <f t="shared" si="25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2"/>
        <v>0</v>
      </c>
      <c r="K114" s="153"/>
      <c r="V114" s="25">
        <f t="shared" si="23"/>
        <v>0</v>
      </c>
      <c r="W114" s="25">
        <f t="shared" si="24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95700</v>
      </c>
      <c r="K115" s="153"/>
      <c r="V115" s="25">
        <f>SUM(V92:V114)</f>
        <v>18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2874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43801</v>
      </c>
      <c r="D123" s="185" t="s">
        <v>9</v>
      </c>
      <c r="E123" s="185" t="s">
        <v>2732</v>
      </c>
      <c r="F123" s="219">
        <v>100</v>
      </c>
      <c r="G123" s="219">
        <v>88</v>
      </c>
      <c r="H123" s="185">
        <v>-12</v>
      </c>
      <c r="I123" s="219">
        <v>300</v>
      </c>
      <c r="J123" s="246">
        <f t="shared" ref="J123:J145" si="26">I123*H123</f>
        <v>-3600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43802</v>
      </c>
      <c r="D124" s="161" t="s">
        <v>9</v>
      </c>
      <c r="E124" s="161" t="s">
        <v>2725</v>
      </c>
      <c r="F124" s="207">
        <v>105</v>
      </c>
      <c r="G124" s="207">
        <v>145</v>
      </c>
      <c r="H124" s="161">
        <v>40</v>
      </c>
      <c r="I124" s="207">
        <v>300</v>
      </c>
      <c r="J124" s="242">
        <f t="shared" si="26"/>
        <v>12000</v>
      </c>
      <c r="K124" s="153"/>
      <c r="V124" s="25">
        <f t="shared" ref="V124:V145" si="27">IF($J124&gt;0,1,0)</f>
        <v>1</v>
      </c>
      <c r="W124" s="25">
        <f t="shared" ref="W124:W145" si="28">IF($J124&lt;0,1,0)</f>
        <v>0</v>
      </c>
    </row>
    <row r="125" spans="1:23" x14ac:dyDescent="0.3">
      <c r="A125" s="147"/>
      <c r="B125" s="205">
        <f t="shared" ref="B125:B145" si="29">B124+1</f>
        <v>3</v>
      </c>
      <c r="C125" s="206">
        <v>43803</v>
      </c>
      <c r="D125" s="161" t="s">
        <v>9</v>
      </c>
      <c r="E125" s="161" t="s">
        <v>2725</v>
      </c>
      <c r="F125" s="207">
        <v>110</v>
      </c>
      <c r="G125" s="207">
        <v>150</v>
      </c>
      <c r="H125" s="161">
        <v>40</v>
      </c>
      <c r="I125" s="207">
        <v>300</v>
      </c>
      <c r="J125" s="242">
        <f t="shared" si="26"/>
        <v>12000</v>
      </c>
      <c r="K125" s="153"/>
      <c r="V125" s="25">
        <f t="shared" si="27"/>
        <v>1</v>
      </c>
      <c r="W125" s="25">
        <f t="shared" si="28"/>
        <v>0</v>
      </c>
    </row>
    <row r="126" spans="1:23" x14ac:dyDescent="0.3">
      <c r="A126" s="147"/>
      <c r="B126" s="205">
        <f t="shared" si="29"/>
        <v>4</v>
      </c>
      <c r="C126" s="206">
        <v>43804</v>
      </c>
      <c r="D126" s="161" t="s">
        <v>9</v>
      </c>
      <c r="E126" s="161" t="s">
        <v>2881</v>
      </c>
      <c r="F126" s="207">
        <v>120</v>
      </c>
      <c r="G126" s="207">
        <v>130</v>
      </c>
      <c r="H126" s="161">
        <v>10</v>
      </c>
      <c r="I126" s="207">
        <v>300</v>
      </c>
      <c r="J126" s="242">
        <f t="shared" si="26"/>
        <v>3000</v>
      </c>
      <c r="K126" s="153"/>
      <c r="V126" s="25">
        <f t="shared" si="27"/>
        <v>1</v>
      </c>
      <c r="W126" s="25">
        <f t="shared" si="28"/>
        <v>0</v>
      </c>
    </row>
    <row r="127" spans="1:23" x14ac:dyDescent="0.3">
      <c r="A127" s="147"/>
      <c r="B127" s="205">
        <f t="shared" si="29"/>
        <v>5</v>
      </c>
      <c r="C127" s="206">
        <v>43805</v>
      </c>
      <c r="D127" s="161" t="s">
        <v>9</v>
      </c>
      <c r="E127" s="161" t="s">
        <v>2764</v>
      </c>
      <c r="F127" s="207">
        <v>100</v>
      </c>
      <c r="G127" s="207">
        <v>140</v>
      </c>
      <c r="H127" s="161">
        <v>40</v>
      </c>
      <c r="I127" s="207">
        <v>300</v>
      </c>
      <c r="J127" s="242">
        <f t="shared" si="26"/>
        <v>12000</v>
      </c>
      <c r="K127" s="153"/>
      <c r="M127" s="25" t="s">
        <v>2008</v>
      </c>
      <c r="V127" s="25">
        <f t="shared" si="27"/>
        <v>1</v>
      </c>
      <c r="W127" s="25">
        <f t="shared" si="28"/>
        <v>0</v>
      </c>
    </row>
    <row r="128" spans="1:23" x14ac:dyDescent="0.3">
      <c r="A128" s="147"/>
      <c r="B128" s="205">
        <f t="shared" si="29"/>
        <v>6</v>
      </c>
      <c r="C128" s="206">
        <v>43808</v>
      </c>
      <c r="D128" s="161" t="s">
        <v>9</v>
      </c>
      <c r="E128" s="161" t="s">
        <v>2714</v>
      </c>
      <c r="F128" s="207">
        <v>90</v>
      </c>
      <c r="G128" s="222">
        <v>105</v>
      </c>
      <c r="H128" s="222">
        <v>15</v>
      </c>
      <c r="I128" s="207">
        <v>300</v>
      </c>
      <c r="J128" s="242">
        <f t="shared" si="26"/>
        <v>4500</v>
      </c>
      <c r="K128" s="153"/>
      <c r="V128" s="25">
        <f t="shared" si="27"/>
        <v>1</v>
      </c>
      <c r="W128" s="25">
        <f t="shared" si="28"/>
        <v>0</v>
      </c>
    </row>
    <row r="129" spans="1:23" x14ac:dyDescent="0.3">
      <c r="A129" s="147"/>
      <c r="B129" s="205">
        <f t="shared" si="29"/>
        <v>7</v>
      </c>
      <c r="C129" s="206">
        <v>43809</v>
      </c>
      <c r="D129" s="161" t="s">
        <v>9</v>
      </c>
      <c r="E129" s="161" t="s">
        <v>2739</v>
      </c>
      <c r="F129" s="207">
        <v>115</v>
      </c>
      <c r="G129" s="207">
        <v>148</v>
      </c>
      <c r="H129" s="161">
        <v>33</v>
      </c>
      <c r="I129" s="207">
        <v>300</v>
      </c>
      <c r="J129" s="242">
        <f t="shared" si="26"/>
        <v>9900</v>
      </c>
      <c r="K129" s="153"/>
      <c r="V129" s="25">
        <f t="shared" si="27"/>
        <v>1</v>
      </c>
      <c r="W129" s="25">
        <f t="shared" si="28"/>
        <v>0</v>
      </c>
    </row>
    <row r="130" spans="1:23" x14ac:dyDescent="0.3">
      <c r="A130" s="147"/>
      <c r="B130" s="205">
        <f t="shared" si="29"/>
        <v>8</v>
      </c>
      <c r="C130" s="206">
        <v>43810</v>
      </c>
      <c r="D130" s="161" t="s">
        <v>9</v>
      </c>
      <c r="E130" s="161" t="s">
        <v>2716</v>
      </c>
      <c r="F130" s="207">
        <v>90</v>
      </c>
      <c r="G130" s="207">
        <v>100</v>
      </c>
      <c r="H130" s="161">
        <v>10</v>
      </c>
      <c r="I130" s="207">
        <v>300</v>
      </c>
      <c r="J130" s="242">
        <f t="shared" si="26"/>
        <v>3000</v>
      </c>
      <c r="K130" s="153"/>
      <c r="V130" s="25">
        <f t="shared" si="27"/>
        <v>1</v>
      </c>
      <c r="W130" s="25">
        <f t="shared" si="28"/>
        <v>0</v>
      </c>
    </row>
    <row r="131" spans="1:23" x14ac:dyDescent="0.3">
      <c r="A131" s="147"/>
      <c r="B131" s="205">
        <f t="shared" si="29"/>
        <v>9</v>
      </c>
      <c r="C131" s="206">
        <v>43811</v>
      </c>
      <c r="D131" s="161" t="s">
        <v>9</v>
      </c>
      <c r="E131" s="161" t="s">
        <v>2847</v>
      </c>
      <c r="F131" s="207">
        <v>110</v>
      </c>
      <c r="G131" s="207">
        <v>150</v>
      </c>
      <c r="H131" s="161">
        <v>40</v>
      </c>
      <c r="I131" s="207">
        <v>300</v>
      </c>
      <c r="J131" s="242">
        <f t="shared" si="26"/>
        <v>12000</v>
      </c>
      <c r="K131" s="153"/>
      <c r="V131" s="25">
        <f t="shared" si="27"/>
        <v>1</v>
      </c>
      <c r="W131" s="25">
        <f t="shared" si="28"/>
        <v>0</v>
      </c>
    </row>
    <row r="132" spans="1:23" x14ac:dyDescent="0.3">
      <c r="A132" s="147"/>
      <c r="B132" s="205">
        <f t="shared" si="29"/>
        <v>10</v>
      </c>
      <c r="C132" s="206" t="s">
        <v>2884</v>
      </c>
      <c r="D132" s="161" t="s">
        <v>9</v>
      </c>
      <c r="E132" s="161" t="s">
        <v>2869</v>
      </c>
      <c r="F132" s="207">
        <v>85</v>
      </c>
      <c r="G132" s="222">
        <v>114</v>
      </c>
      <c r="H132" s="222">
        <v>29</v>
      </c>
      <c r="I132" s="207">
        <v>300</v>
      </c>
      <c r="J132" s="242">
        <f t="shared" si="26"/>
        <v>8700</v>
      </c>
      <c r="K132" s="153"/>
      <c r="V132" s="25">
        <f t="shared" si="27"/>
        <v>1</v>
      </c>
      <c r="W132" s="25">
        <f t="shared" si="28"/>
        <v>0</v>
      </c>
    </row>
    <row r="133" spans="1:23" x14ac:dyDescent="0.3">
      <c r="A133" s="147"/>
      <c r="B133" s="205">
        <f t="shared" si="29"/>
        <v>11</v>
      </c>
      <c r="C133" s="206">
        <v>43815</v>
      </c>
      <c r="D133" s="161" t="s">
        <v>9</v>
      </c>
      <c r="E133" s="161" t="s">
        <v>2881</v>
      </c>
      <c r="F133" s="207">
        <v>94</v>
      </c>
      <c r="G133" s="207">
        <v>114</v>
      </c>
      <c r="H133" s="161">
        <v>20</v>
      </c>
      <c r="I133" s="207">
        <v>300</v>
      </c>
      <c r="J133" s="242">
        <f t="shared" si="26"/>
        <v>6000</v>
      </c>
      <c r="K133" s="153"/>
      <c r="V133" s="25">
        <f t="shared" si="27"/>
        <v>1</v>
      </c>
      <c r="W133" s="25">
        <f t="shared" si="28"/>
        <v>0</v>
      </c>
    </row>
    <row r="134" spans="1:23" x14ac:dyDescent="0.3">
      <c r="A134" s="147"/>
      <c r="B134" s="205">
        <f t="shared" si="29"/>
        <v>12</v>
      </c>
      <c r="C134" s="206">
        <v>43816</v>
      </c>
      <c r="D134" s="161" t="s">
        <v>9</v>
      </c>
      <c r="E134" s="161" t="s">
        <v>2866</v>
      </c>
      <c r="F134" s="207">
        <v>75</v>
      </c>
      <c r="G134" s="207">
        <v>67</v>
      </c>
      <c r="H134" s="161">
        <v>-8</v>
      </c>
      <c r="I134" s="207">
        <v>300</v>
      </c>
      <c r="J134" s="242">
        <f t="shared" si="26"/>
        <v>-2400</v>
      </c>
      <c r="K134" s="153"/>
      <c r="V134" s="25">
        <f t="shared" si="27"/>
        <v>0</v>
      </c>
      <c r="W134" s="25">
        <f t="shared" si="28"/>
        <v>1</v>
      </c>
    </row>
    <row r="135" spans="1:23" x14ac:dyDescent="0.3">
      <c r="A135" s="147"/>
      <c r="B135" s="205">
        <f t="shared" si="29"/>
        <v>13</v>
      </c>
      <c r="C135" s="206">
        <v>43817</v>
      </c>
      <c r="D135" s="161" t="s">
        <v>9</v>
      </c>
      <c r="E135" s="161" t="s">
        <v>2891</v>
      </c>
      <c r="F135" s="207">
        <v>95</v>
      </c>
      <c r="G135" s="207">
        <v>135</v>
      </c>
      <c r="H135" s="161">
        <v>40</v>
      </c>
      <c r="I135" s="207">
        <v>300</v>
      </c>
      <c r="J135" s="242">
        <f t="shared" si="26"/>
        <v>12000</v>
      </c>
      <c r="K135" s="153"/>
      <c r="V135" s="25">
        <f t="shared" si="27"/>
        <v>1</v>
      </c>
      <c r="W135" s="25">
        <f t="shared" si="28"/>
        <v>0</v>
      </c>
    </row>
    <row r="136" spans="1:23" x14ac:dyDescent="0.3">
      <c r="A136" s="147"/>
      <c r="B136" s="205">
        <f t="shared" si="29"/>
        <v>14</v>
      </c>
      <c r="C136" s="206">
        <v>43818</v>
      </c>
      <c r="D136" s="161" t="s">
        <v>9</v>
      </c>
      <c r="E136" s="161" t="s">
        <v>2891</v>
      </c>
      <c r="F136" s="207">
        <v>125</v>
      </c>
      <c r="G136" s="207">
        <v>155</v>
      </c>
      <c r="H136" s="161">
        <v>30</v>
      </c>
      <c r="I136" s="207">
        <v>300</v>
      </c>
      <c r="J136" s="242">
        <f>I136*H136</f>
        <v>9000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9"/>
        <v>15</v>
      </c>
      <c r="C137" s="206">
        <v>43819</v>
      </c>
      <c r="D137" s="161" t="s">
        <v>9</v>
      </c>
      <c r="E137" s="161" t="s">
        <v>2893</v>
      </c>
      <c r="F137" s="207">
        <v>108</v>
      </c>
      <c r="G137" s="207">
        <v>120</v>
      </c>
      <c r="H137" s="161">
        <v>12</v>
      </c>
      <c r="I137" s="207">
        <v>300</v>
      </c>
      <c r="J137" s="242">
        <f t="shared" si="26"/>
        <v>3600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9"/>
        <v>16</v>
      </c>
      <c r="C138" s="206">
        <v>43822</v>
      </c>
      <c r="D138" s="161" t="s">
        <v>9</v>
      </c>
      <c r="E138" s="161" t="s">
        <v>2893</v>
      </c>
      <c r="F138" s="207">
        <v>95</v>
      </c>
      <c r="G138" s="207">
        <v>75</v>
      </c>
      <c r="H138" s="161">
        <v>-20</v>
      </c>
      <c r="I138" s="207">
        <v>300</v>
      </c>
      <c r="J138" s="242">
        <f t="shared" si="26"/>
        <v>-6000</v>
      </c>
      <c r="K138" s="153"/>
      <c r="V138" s="25">
        <f t="shared" si="27"/>
        <v>0</v>
      </c>
      <c r="W138" s="25">
        <f t="shared" si="28"/>
        <v>1</v>
      </c>
    </row>
    <row r="139" spans="1:23" x14ac:dyDescent="0.3">
      <c r="A139" s="147"/>
      <c r="B139" s="205">
        <f t="shared" si="29"/>
        <v>17</v>
      </c>
      <c r="C139" s="206">
        <v>43823</v>
      </c>
      <c r="D139" s="161" t="s">
        <v>9</v>
      </c>
      <c r="E139" s="161" t="s">
        <v>2897</v>
      </c>
      <c r="F139" s="207">
        <v>85</v>
      </c>
      <c r="G139" s="207">
        <v>125</v>
      </c>
      <c r="H139" s="161">
        <v>40</v>
      </c>
      <c r="I139" s="207">
        <v>300</v>
      </c>
      <c r="J139" s="242">
        <f t="shared" si="26"/>
        <v>12000</v>
      </c>
      <c r="K139" s="153"/>
      <c r="V139" s="25">
        <f t="shared" si="27"/>
        <v>1</v>
      </c>
      <c r="W139" s="25">
        <f t="shared" si="28"/>
        <v>0</v>
      </c>
    </row>
    <row r="140" spans="1:23" x14ac:dyDescent="0.3">
      <c r="A140" s="147"/>
      <c r="B140" s="205">
        <f t="shared" si="29"/>
        <v>18</v>
      </c>
      <c r="C140" s="206">
        <v>43825</v>
      </c>
      <c r="D140" s="161" t="s">
        <v>9</v>
      </c>
      <c r="E140" s="161" t="s">
        <v>2899</v>
      </c>
      <c r="F140" s="207">
        <v>100</v>
      </c>
      <c r="G140" s="207">
        <v>140</v>
      </c>
      <c r="H140" s="161">
        <v>40</v>
      </c>
      <c r="I140" s="207">
        <v>300</v>
      </c>
      <c r="J140" s="242">
        <f t="shared" si="26"/>
        <v>12000</v>
      </c>
      <c r="K140" s="153"/>
      <c r="V140" s="25">
        <f t="shared" si="27"/>
        <v>1</v>
      </c>
      <c r="W140" s="25">
        <f t="shared" si="28"/>
        <v>0</v>
      </c>
    </row>
    <row r="141" spans="1:23" x14ac:dyDescent="0.3">
      <c r="A141" s="147"/>
      <c r="B141" s="205">
        <f t="shared" si="29"/>
        <v>19</v>
      </c>
      <c r="C141" s="206">
        <v>43826</v>
      </c>
      <c r="D141" s="161" t="s">
        <v>9</v>
      </c>
      <c r="E141" s="161" t="s">
        <v>2904</v>
      </c>
      <c r="F141" s="207">
        <v>110</v>
      </c>
      <c r="G141" s="207">
        <v>139</v>
      </c>
      <c r="H141" s="161">
        <v>29</v>
      </c>
      <c r="I141" s="207">
        <v>300</v>
      </c>
      <c r="J141" s="242">
        <f t="shared" si="26"/>
        <v>8700</v>
      </c>
      <c r="K141" s="153"/>
      <c r="V141" s="25">
        <f t="shared" si="27"/>
        <v>1</v>
      </c>
      <c r="W141" s="25">
        <f t="shared" si="28"/>
        <v>0</v>
      </c>
    </row>
    <row r="142" spans="1:23" x14ac:dyDescent="0.3">
      <c r="A142" s="147"/>
      <c r="B142" s="205">
        <f t="shared" si="29"/>
        <v>20</v>
      </c>
      <c r="C142" s="206">
        <v>43829</v>
      </c>
      <c r="D142" s="161" t="s">
        <v>9</v>
      </c>
      <c r="E142" s="161" t="s">
        <v>2893</v>
      </c>
      <c r="F142" s="207">
        <v>100</v>
      </c>
      <c r="G142" s="207">
        <v>80</v>
      </c>
      <c r="H142" s="161">
        <v>-20</v>
      </c>
      <c r="I142" s="207">
        <v>300</v>
      </c>
      <c r="J142" s="242">
        <f t="shared" si="26"/>
        <v>-6000</v>
      </c>
      <c r="K142" s="153"/>
      <c r="V142" s="25">
        <f t="shared" si="27"/>
        <v>0</v>
      </c>
      <c r="W142" s="25">
        <f t="shared" si="28"/>
        <v>1</v>
      </c>
    </row>
    <row r="143" spans="1:23" x14ac:dyDescent="0.3">
      <c r="A143" s="147"/>
      <c r="B143" s="205">
        <f t="shared" si="29"/>
        <v>21</v>
      </c>
      <c r="C143" s="206">
        <v>43830</v>
      </c>
      <c r="D143" s="161" t="s">
        <v>9</v>
      </c>
      <c r="E143" s="161" t="s">
        <v>2904</v>
      </c>
      <c r="F143" s="207">
        <v>90</v>
      </c>
      <c r="G143" s="207">
        <v>110</v>
      </c>
      <c r="H143" s="161">
        <v>20</v>
      </c>
      <c r="I143" s="207">
        <v>300</v>
      </c>
      <c r="J143" s="242">
        <f t="shared" si="26"/>
        <v>6000</v>
      </c>
      <c r="K143" s="153"/>
      <c r="V143" s="25">
        <f t="shared" si="27"/>
        <v>1</v>
      </c>
      <c r="W143" s="25">
        <f t="shared" si="28"/>
        <v>0</v>
      </c>
    </row>
    <row r="144" spans="1:23" x14ac:dyDescent="0.3">
      <c r="A144" s="147"/>
      <c r="B144" s="205">
        <f t="shared" si="29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6"/>
        <v>0</v>
      </c>
      <c r="K144" s="153"/>
      <c r="V144" s="25">
        <f t="shared" si="27"/>
        <v>0</v>
      </c>
      <c r="W144" s="25">
        <f t="shared" si="28"/>
        <v>0</v>
      </c>
    </row>
    <row r="145" spans="1:23" ht="15" thickBot="1" x14ac:dyDescent="0.35">
      <c r="A145" s="147"/>
      <c r="B145" s="208">
        <f t="shared" si="29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6"/>
        <v>0</v>
      </c>
      <c r="K145" s="153"/>
      <c r="V145" s="25">
        <f t="shared" si="27"/>
        <v>0</v>
      </c>
      <c r="W145" s="25">
        <f t="shared" si="28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128400</v>
      </c>
      <c r="K146" s="153"/>
      <c r="V146" s="25">
        <f>SUM(V123:V145)</f>
        <v>17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2874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43801</v>
      </c>
      <c r="D154" s="185" t="s">
        <v>9</v>
      </c>
      <c r="E154" s="185" t="s">
        <v>301</v>
      </c>
      <c r="F154" s="219">
        <v>31830</v>
      </c>
      <c r="G154" s="219">
        <v>31930</v>
      </c>
      <c r="H154" s="185">
        <v>100</v>
      </c>
      <c r="I154" s="219">
        <v>40</v>
      </c>
      <c r="J154" s="246">
        <f t="shared" ref="J154:J176" si="30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43802</v>
      </c>
      <c r="D155" s="161" t="s">
        <v>8</v>
      </c>
      <c r="E155" s="161" t="s">
        <v>301</v>
      </c>
      <c r="F155" s="207">
        <v>31650</v>
      </c>
      <c r="G155" s="207">
        <v>31605</v>
      </c>
      <c r="H155" s="161">
        <v>45</v>
      </c>
      <c r="I155" s="207">
        <v>40</v>
      </c>
      <c r="J155" s="242">
        <f t="shared" si="30"/>
        <v>1800</v>
      </c>
      <c r="K155" s="153"/>
      <c r="V155" s="25">
        <f t="shared" ref="V155:V176" si="31">IF($J155&gt;0,1,0)</f>
        <v>1</v>
      </c>
      <c r="W155" s="25">
        <f t="shared" ref="W155:W176" si="32">IF($J155&lt;0,1,0)</f>
        <v>0</v>
      </c>
    </row>
    <row r="156" spans="1:23" x14ac:dyDescent="0.3">
      <c r="A156" s="147"/>
      <c r="B156" s="205">
        <f t="shared" ref="B156:B176" si="33">B155+1</f>
        <v>3</v>
      </c>
      <c r="C156" s="206">
        <v>43803</v>
      </c>
      <c r="D156" s="161" t="s">
        <v>8</v>
      </c>
      <c r="E156" s="161" t="s">
        <v>301</v>
      </c>
      <c r="F156" s="207">
        <v>31870</v>
      </c>
      <c r="G156" s="207">
        <v>31670</v>
      </c>
      <c r="H156" s="161">
        <v>200</v>
      </c>
      <c r="I156" s="207">
        <v>40</v>
      </c>
      <c r="J156" s="242">
        <f t="shared" si="30"/>
        <v>8000</v>
      </c>
      <c r="K156" s="153"/>
      <c r="V156" s="25">
        <f t="shared" si="31"/>
        <v>1</v>
      </c>
      <c r="W156" s="25">
        <f t="shared" si="32"/>
        <v>0</v>
      </c>
    </row>
    <row r="157" spans="1:23" x14ac:dyDescent="0.3">
      <c r="A157" s="147"/>
      <c r="B157" s="205">
        <f t="shared" si="33"/>
        <v>4</v>
      </c>
      <c r="C157" s="206">
        <v>43805</v>
      </c>
      <c r="D157" s="161" t="s">
        <v>8</v>
      </c>
      <c r="E157" s="161" t="s">
        <v>301</v>
      </c>
      <c r="F157" s="207">
        <v>31660</v>
      </c>
      <c r="G157" s="207">
        <v>31460</v>
      </c>
      <c r="H157" s="161">
        <v>200</v>
      </c>
      <c r="I157" s="207">
        <v>40</v>
      </c>
      <c r="J157" s="242">
        <f t="shared" si="30"/>
        <v>8000</v>
      </c>
      <c r="K157" s="153"/>
      <c r="V157" s="25">
        <f t="shared" si="31"/>
        <v>1</v>
      </c>
      <c r="W157" s="25">
        <f t="shared" si="32"/>
        <v>0</v>
      </c>
    </row>
    <row r="158" spans="1:23" x14ac:dyDescent="0.3">
      <c r="A158" s="147"/>
      <c r="B158" s="205">
        <f t="shared" si="33"/>
        <v>5</v>
      </c>
      <c r="C158" s="206">
        <v>43808</v>
      </c>
      <c r="D158" s="161" t="s">
        <v>9</v>
      </c>
      <c r="E158" s="161" t="s">
        <v>301</v>
      </c>
      <c r="F158" s="207">
        <v>31500</v>
      </c>
      <c r="G158" s="207">
        <v>31600</v>
      </c>
      <c r="H158" s="161">
        <v>100</v>
      </c>
      <c r="I158" s="207">
        <v>40</v>
      </c>
      <c r="J158" s="242">
        <f t="shared" si="30"/>
        <v>4000</v>
      </c>
      <c r="K158" s="153"/>
      <c r="V158" s="25">
        <f t="shared" si="31"/>
        <v>1</v>
      </c>
      <c r="W158" s="25">
        <f t="shared" si="32"/>
        <v>0</v>
      </c>
    </row>
    <row r="159" spans="1:23" x14ac:dyDescent="0.3">
      <c r="A159" s="147"/>
      <c r="B159" s="205">
        <f t="shared" si="33"/>
        <v>6</v>
      </c>
      <c r="C159" s="206">
        <v>43809</v>
      </c>
      <c r="D159" s="161" t="s">
        <v>8</v>
      </c>
      <c r="E159" s="161" t="s">
        <v>301</v>
      </c>
      <c r="F159" s="207">
        <v>31310</v>
      </c>
      <c r="G159" s="207">
        <v>31410</v>
      </c>
      <c r="H159" s="161">
        <v>-100</v>
      </c>
      <c r="I159" s="207">
        <v>40</v>
      </c>
      <c r="J159" s="242">
        <f t="shared" si="30"/>
        <v>-4000</v>
      </c>
      <c r="K159" s="153"/>
      <c r="V159" s="25">
        <f t="shared" si="31"/>
        <v>0</v>
      </c>
      <c r="W159" s="25">
        <f t="shared" si="32"/>
        <v>1</v>
      </c>
    </row>
    <row r="160" spans="1:23" x14ac:dyDescent="0.3">
      <c r="A160" s="147"/>
      <c r="B160" s="205">
        <f t="shared" si="33"/>
        <v>7</v>
      </c>
      <c r="C160" s="206">
        <v>43810</v>
      </c>
      <c r="D160" s="161" t="s">
        <v>9</v>
      </c>
      <c r="E160" s="161" t="s">
        <v>301</v>
      </c>
      <c r="F160" s="207">
        <v>31350</v>
      </c>
      <c r="G160" s="207">
        <v>31250</v>
      </c>
      <c r="H160" s="161">
        <v>-100</v>
      </c>
      <c r="I160" s="207">
        <v>40</v>
      </c>
      <c r="J160" s="242">
        <f t="shared" si="30"/>
        <v>-4000</v>
      </c>
      <c r="K160" s="153"/>
      <c r="V160" s="25">
        <f t="shared" si="31"/>
        <v>0</v>
      </c>
      <c r="W160" s="25">
        <f t="shared" si="32"/>
        <v>1</v>
      </c>
    </row>
    <row r="161" spans="1:23" x14ac:dyDescent="0.3">
      <c r="A161" s="147"/>
      <c r="B161" s="205">
        <f t="shared" si="33"/>
        <v>8</v>
      </c>
      <c r="C161" s="206">
        <v>43811</v>
      </c>
      <c r="D161" s="161" t="s">
        <v>9</v>
      </c>
      <c r="E161" s="161" t="s">
        <v>301</v>
      </c>
      <c r="F161" s="207">
        <v>31500</v>
      </c>
      <c r="G161" s="207">
        <v>31700</v>
      </c>
      <c r="H161" s="161">
        <v>200</v>
      </c>
      <c r="I161" s="207">
        <v>40</v>
      </c>
      <c r="J161" s="242">
        <f t="shared" si="30"/>
        <v>8000</v>
      </c>
      <c r="K161" s="153"/>
      <c r="V161" s="25">
        <f t="shared" si="31"/>
        <v>1</v>
      </c>
      <c r="W161" s="25">
        <f t="shared" si="32"/>
        <v>0</v>
      </c>
    </row>
    <row r="162" spans="1:23" x14ac:dyDescent="0.3">
      <c r="A162" s="147"/>
      <c r="B162" s="205">
        <f t="shared" si="33"/>
        <v>9</v>
      </c>
      <c r="C162" s="206">
        <v>43812</v>
      </c>
      <c r="D162" s="161" t="s">
        <v>9</v>
      </c>
      <c r="E162" s="161" t="s">
        <v>301</v>
      </c>
      <c r="F162" s="207">
        <v>32000</v>
      </c>
      <c r="G162" s="207">
        <v>32200</v>
      </c>
      <c r="H162" s="161">
        <v>200</v>
      </c>
      <c r="I162" s="207">
        <v>40</v>
      </c>
      <c r="J162" s="242">
        <f t="shared" si="30"/>
        <v>8000</v>
      </c>
      <c r="K162" s="153"/>
      <c r="V162" s="25">
        <f t="shared" si="31"/>
        <v>1</v>
      </c>
      <c r="W162" s="25">
        <f t="shared" si="32"/>
        <v>0</v>
      </c>
    </row>
    <row r="163" spans="1:23" x14ac:dyDescent="0.3">
      <c r="A163" s="147"/>
      <c r="B163" s="205">
        <f t="shared" si="33"/>
        <v>10</v>
      </c>
      <c r="C163" s="206">
        <v>43815</v>
      </c>
      <c r="D163" s="161" t="s">
        <v>8</v>
      </c>
      <c r="E163" s="161" t="s">
        <v>301</v>
      </c>
      <c r="F163" s="207">
        <v>32050</v>
      </c>
      <c r="G163" s="207">
        <v>31950</v>
      </c>
      <c r="H163" s="161">
        <v>100</v>
      </c>
      <c r="I163" s="207">
        <v>40</v>
      </c>
      <c r="J163" s="242">
        <f t="shared" si="30"/>
        <v>4000</v>
      </c>
      <c r="K163" s="153"/>
      <c r="V163" s="25">
        <f t="shared" si="31"/>
        <v>1</v>
      </c>
      <c r="W163" s="25">
        <f t="shared" si="32"/>
        <v>0</v>
      </c>
    </row>
    <row r="164" spans="1:23" x14ac:dyDescent="0.3">
      <c r="A164" s="147"/>
      <c r="B164" s="205">
        <f t="shared" si="33"/>
        <v>11</v>
      </c>
      <c r="C164" s="206">
        <v>43816</v>
      </c>
      <c r="D164" s="161" t="s">
        <v>8</v>
      </c>
      <c r="E164" s="161" t="s">
        <v>301</v>
      </c>
      <c r="F164" s="207">
        <v>32220</v>
      </c>
      <c r="G164" s="207">
        <v>32160</v>
      </c>
      <c r="H164" s="161">
        <v>60</v>
      </c>
      <c r="I164" s="207">
        <v>40</v>
      </c>
      <c r="J164" s="242">
        <f t="shared" si="30"/>
        <v>2400</v>
      </c>
      <c r="K164" s="153"/>
      <c r="V164" s="25">
        <f t="shared" si="31"/>
        <v>1</v>
      </c>
      <c r="W164" s="25">
        <f t="shared" si="32"/>
        <v>0</v>
      </c>
    </row>
    <row r="165" spans="1:23" x14ac:dyDescent="0.3">
      <c r="A165" s="147"/>
      <c r="B165" s="205">
        <f t="shared" si="33"/>
        <v>12</v>
      </c>
      <c r="C165" s="206">
        <v>43817</v>
      </c>
      <c r="D165" s="161" t="s">
        <v>9</v>
      </c>
      <c r="E165" s="161" t="s">
        <v>301</v>
      </c>
      <c r="F165" s="207">
        <v>32130</v>
      </c>
      <c r="G165" s="207">
        <v>32230</v>
      </c>
      <c r="H165" s="161">
        <v>100</v>
      </c>
      <c r="I165" s="207">
        <v>40</v>
      </c>
      <c r="J165" s="242">
        <f t="shared" si="30"/>
        <v>4000</v>
      </c>
      <c r="K165" s="153"/>
      <c r="V165" s="25">
        <f t="shared" si="31"/>
        <v>1</v>
      </c>
      <c r="W165" s="25">
        <f t="shared" si="32"/>
        <v>0</v>
      </c>
    </row>
    <row r="166" spans="1:23" x14ac:dyDescent="0.3">
      <c r="A166" s="147"/>
      <c r="B166" s="205">
        <f t="shared" si="33"/>
        <v>13</v>
      </c>
      <c r="C166" s="206">
        <v>43818</v>
      </c>
      <c r="D166" s="161" t="s">
        <v>9</v>
      </c>
      <c r="E166" s="161" t="s">
        <v>301</v>
      </c>
      <c r="F166" s="207">
        <v>32250</v>
      </c>
      <c r="G166" s="207">
        <v>32295</v>
      </c>
      <c r="H166" s="161">
        <v>45</v>
      </c>
      <c r="I166" s="207">
        <v>40</v>
      </c>
      <c r="J166" s="242">
        <f t="shared" si="30"/>
        <v>1800</v>
      </c>
      <c r="K166" s="153"/>
      <c r="V166" s="25">
        <f t="shared" si="31"/>
        <v>1</v>
      </c>
      <c r="W166" s="25">
        <f t="shared" si="32"/>
        <v>0</v>
      </c>
    </row>
    <row r="167" spans="1:23" x14ac:dyDescent="0.3">
      <c r="A167" s="147"/>
      <c r="B167" s="205">
        <f t="shared" si="33"/>
        <v>14</v>
      </c>
      <c r="C167" s="206">
        <v>43819</v>
      </c>
      <c r="D167" s="161" t="s">
        <v>9</v>
      </c>
      <c r="E167" s="161" t="s">
        <v>301</v>
      </c>
      <c r="F167" s="207">
        <v>32350</v>
      </c>
      <c r="G167" s="207">
        <v>35410</v>
      </c>
      <c r="H167" s="161">
        <v>60</v>
      </c>
      <c r="I167" s="207">
        <v>40</v>
      </c>
      <c r="J167" s="242">
        <f t="shared" si="30"/>
        <v>2400</v>
      </c>
      <c r="K167" s="153"/>
      <c r="V167" s="25">
        <f t="shared" si="31"/>
        <v>1</v>
      </c>
      <c r="W167" s="25">
        <f t="shared" si="32"/>
        <v>0</v>
      </c>
    </row>
    <row r="168" spans="1:23" x14ac:dyDescent="0.3">
      <c r="A168" s="147"/>
      <c r="B168" s="205">
        <f t="shared" si="33"/>
        <v>15</v>
      </c>
      <c r="C168" s="206">
        <v>43822</v>
      </c>
      <c r="D168" s="161" t="s">
        <v>9</v>
      </c>
      <c r="E168" s="161" t="s">
        <v>301</v>
      </c>
      <c r="F168" s="207">
        <v>32370</v>
      </c>
      <c r="G168" s="207">
        <v>32270</v>
      </c>
      <c r="H168" s="161">
        <v>-100</v>
      </c>
      <c r="I168" s="207">
        <v>40</v>
      </c>
      <c r="J168" s="242">
        <f t="shared" si="30"/>
        <v>-4000</v>
      </c>
      <c r="K168" s="153"/>
      <c r="V168" s="25">
        <f t="shared" si="31"/>
        <v>0</v>
      </c>
      <c r="W168" s="25">
        <f t="shared" si="32"/>
        <v>1</v>
      </c>
    </row>
    <row r="169" spans="1:23" x14ac:dyDescent="0.3">
      <c r="A169" s="147"/>
      <c r="B169" s="205">
        <f t="shared" si="33"/>
        <v>16</v>
      </c>
      <c r="C169" s="206">
        <v>43823</v>
      </c>
      <c r="D169" s="161" t="s">
        <v>8</v>
      </c>
      <c r="E169" s="161" t="s">
        <v>301</v>
      </c>
      <c r="F169" s="207">
        <v>32330</v>
      </c>
      <c r="G169" s="207">
        <v>32280</v>
      </c>
      <c r="H169" s="161">
        <v>50</v>
      </c>
      <c r="I169" s="207">
        <v>40</v>
      </c>
      <c r="J169" s="242">
        <f t="shared" si="30"/>
        <v>2000</v>
      </c>
      <c r="K169" s="153"/>
      <c r="V169" s="25">
        <f t="shared" si="31"/>
        <v>1</v>
      </c>
      <c r="W169" s="25">
        <f t="shared" si="32"/>
        <v>0</v>
      </c>
    </row>
    <row r="170" spans="1:23" x14ac:dyDescent="0.3">
      <c r="A170" s="147"/>
      <c r="B170" s="205">
        <f t="shared" si="33"/>
        <v>17</v>
      </c>
      <c r="C170" s="206">
        <v>43825</v>
      </c>
      <c r="D170" s="161" t="s">
        <v>8</v>
      </c>
      <c r="E170" s="161" t="s">
        <v>301</v>
      </c>
      <c r="F170" s="207">
        <v>32230</v>
      </c>
      <c r="G170" s="207">
        <v>32030</v>
      </c>
      <c r="H170" s="161">
        <v>200</v>
      </c>
      <c r="I170" s="207">
        <v>40</v>
      </c>
      <c r="J170" s="242">
        <f t="shared" si="30"/>
        <v>8000</v>
      </c>
      <c r="K170" s="153"/>
      <c r="V170" s="25">
        <f t="shared" si="31"/>
        <v>1</v>
      </c>
      <c r="W170" s="25">
        <f t="shared" si="32"/>
        <v>0</v>
      </c>
    </row>
    <row r="171" spans="1:23" x14ac:dyDescent="0.3">
      <c r="A171" s="147"/>
      <c r="B171" s="205">
        <f t="shared" si="33"/>
        <v>18</v>
      </c>
      <c r="C171" s="206">
        <v>43826</v>
      </c>
      <c r="D171" s="161" t="s">
        <v>9</v>
      </c>
      <c r="E171" s="161" t="s">
        <v>301</v>
      </c>
      <c r="F171" s="207">
        <v>32450</v>
      </c>
      <c r="G171" s="207">
        <v>32590</v>
      </c>
      <c r="H171" s="161">
        <v>140</v>
      </c>
      <c r="I171" s="207">
        <v>40</v>
      </c>
      <c r="J171" s="242">
        <f t="shared" si="30"/>
        <v>5600</v>
      </c>
      <c r="K171" s="153"/>
      <c r="V171" s="25">
        <f t="shared" si="31"/>
        <v>1</v>
      </c>
      <c r="W171" s="25">
        <f t="shared" si="32"/>
        <v>0</v>
      </c>
    </row>
    <row r="172" spans="1:23" x14ac:dyDescent="0.3">
      <c r="A172" s="147"/>
      <c r="B172" s="205">
        <f t="shared" si="33"/>
        <v>19</v>
      </c>
      <c r="C172" s="206">
        <v>43829</v>
      </c>
      <c r="D172" s="161" t="s">
        <v>9</v>
      </c>
      <c r="E172" s="161" t="s">
        <v>301</v>
      </c>
      <c r="F172" s="207">
        <v>32720</v>
      </c>
      <c r="G172" s="207">
        <v>32770</v>
      </c>
      <c r="H172" s="161">
        <v>50</v>
      </c>
      <c r="I172" s="207">
        <v>40</v>
      </c>
      <c r="J172" s="242">
        <f t="shared" si="30"/>
        <v>2000</v>
      </c>
      <c r="K172" s="153"/>
      <c r="V172" s="25">
        <f t="shared" si="31"/>
        <v>1</v>
      </c>
      <c r="W172" s="25">
        <f t="shared" si="32"/>
        <v>0</v>
      </c>
    </row>
    <row r="173" spans="1:23" x14ac:dyDescent="0.3">
      <c r="A173" s="147"/>
      <c r="B173" s="205">
        <f t="shared" si="33"/>
        <v>20</v>
      </c>
      <c r="C173" s="206">
        <v>43830</v>
      </c>
      <c r="D173" s="161" t="s">
        <v>9</v>
      </c>
      <c r="E173" s="161" t="s">
        <v>301</v>
      </c>
      <c r="F173" s="207">
        <v>32380</v>
      </c>
      <c r="G173" s="207">
        <v>32520</v>
      </c>
      <c r="H173" s="161">
        <v>140</v>
      </c>
      <c r="I173" s="207">
        <v>40</v>
      </c>
      <c r="J173" s="242">
        <f t="shared" si="30"/>
        <v>5600</v>
      </c>
      <c r="K173" s="153"/>
      <c r="V173" s="25">
        <f t="shared" si="31"/>
        <v>1</v>
      </c>
      <c r="W173" s="25">
        <f t="shared" si="32"/>
        <v>0</v>
      </c>
    </row>
    <row r="174" spans="1:23" x14ac:dyDescent="0.3">
      <c r="A174" s="147"/>
      <c r="B174" s="205">
        <f t="shared" si="33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0"/>
        <v>0</v>
      </c>
      <c r="K174" s="153"/>
      <c r="V174" s="25">
        <f t="shared" si="31"/>
        <v>0</v>
      </c>
      <c r="W174" s="25">
        <f t="shared" si="32"/>
        <v>0</v>
      </c>
    </row>
    <row r="175" spans="1:23" x14ac:dyDescent="0.3">
      <c r="A175" s="147"/>
      <c r="B175" s="205">
        <f t="shared" si="33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0"/>
        <v>0</v>
      </c>
      <c r="K175" s="153"/>
      <c r="V175" s="25">
        <f t="shared" si="31"/>
        <v>0</v>
      </c>
      <c r="W175" s="25">
        <f t="shared" si="32"/>
        <v>0</v>
      </c>
    </row>
    <row r="176" spans="1:23" ht="15" thickBot="1" x14ac:dyDescent="0.35">
      <c r="A176" s="147"/>
      <c r="B176" s="208">
        <f t="shared" si="33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0"/>
        <v>0</v>
      </c>
      <c r="K176" s="153"/>
      <c r="V176" s="25">
        <f t="shared" si="31"/>
        <v>0</v>
      </c>
      <c r="W176" s="25">
        <f t="shared" si="32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67600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2874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43801</v>
      </c>
      <c r="D185" s="185" t="s">
        <v>9</v>
      </c>
      <c r="E185" s="185" t="s">
        <v>2877</v>
      </c>
      <c r="F185" s="219">
        <v>220</v>
      </c>
      <c r="G185" s="219">
        <v>247</v>
      </c>
      <c r="H185" s="185">
        <v>27</v>
      </c>
      <c r="I185" s="219">
        <v>80</v>
      </c>
      <c r="J185" s="246">
        <f t="shared" ref="J185:J207" si="34">I185*H185</f>
        <v>2160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43802</v>
      </c>
      <c r="D186" s="161" t="s">
        <v>9</v>
      </c>
      <c r="E186" s="161" t="s">
        <v>2867</v>
      </c>
      <c r="F186" s="207">
        <v>230</v>
      </c>
      <c r="G186" s="207">
        <v>350</v>
      </c>
      <c r="H186" s="161">
        <v>120</v>
      </c>
      <c r="I186" s="207">
        <v>80</v>
      </c>
      <c r="J186" s="242">
        <f t="shared" si="34"/>
        <v>9600</v>
      </c>
      <c r="K186" s="153"/>
      <c r="V186" s="25">
        <f t="shared" ref="V186:V207" si="35">IF($J186&gt;0,1,0)</f>
        <v>1</v>
      </c>
      <c r="W186" s="25">
        <f t="shared" ref="W186:W207" si="36">IF($J186&lt;0,1,0)</f>
        <v>0</v>
      </c>
    </row>
    <row r="187" spans="1:23" x14ac:dyDescent="0.3">
      <c r="A187" s="147"/>
      <c r="B187" s="205">
        <f t="shared" ref="B187:B207" si="37">B186+1</f>
        <v>3</v>
      </c>
      <c r="C187" s="206">
        <v>43803</v>
      </c>
      <c r="D187" s="161" t="s">
        <v>9</v>
      </c>
      <c r="E187" s="161" t="s">
        <v>2871</v>
      </c>
      <c r="F187" s="207">
        <v>200</v>
      </c>
      <c r="G187" s="207">
        <v>320</v>
      </c>
      <c r="H187" s="161">
        <v>120</v>
      </c>
      <c r="I187" s="207">
        <v>80</v>
      </c>
      <c r="J187" s="242">
        <f t="shared" si="34"/>
        <v>9600</v>
      </c>
      <c r="K187" s="153"/>
      <c r="V187" s="25">
        <f t="shared" si="35"/>
        <v>1</v>
      </c>
      <c r="W187" s="25">
        <f t="shared" si="36"/>
        <v>0</v>
      </c>
    </row>
    <row r="188" spans="1:23" x14ac:dyDescent="0.3">
      <c r="A188" s="147"/>
      <c r="B188" s="205">
        <f t="shared" si="37"/>
        <v>4</v>
      </c>
      <c r="C188" s="206">
        <v>43804</v>
      </c>
      <c r="D188" s="161" t="s">
        <v>9</v>
      </c>
      <c r="E188" s="161" t="s">
        <v>2867</v>
      </c>
      <c r="F188" s="207">
        <v>120</v>
      </c>
      <c r="G188" s="207">
        <v>60</v>
      </c>
      <c r="H188" s="161">
        <v>-60</v>
      </c>
      <c r="I188" s="207">
        <v>80</v>
      </c>
      <c r="J188" s="242">
        <f t="shared" si="34"/>
        <v>-4800</v>
      </c>
      <c r="K188" s="153"/>
      <c r="V188" s="25">
        <f t="shared" si="35"/>
        <v>0</v>
      </c>
      <c r="W188" s="25">
        <f t="shared" si="36"/>
        <v>1</v>
      </c>
    </row>
    <row r="189" spans="1:23" x14ac:dyDescent="0.3">
      <c r="A189" s="147"/>
      <c r="B189" s="205">
        <f t="shared" si="37"/>
        <v>5</v>
      </c>
      <c r="C189" s="206">
        <v>43805</v>
      </c>
      <c r="D189" s="161" t="s">
        <v>9</v>
      </c>
      <c r="E189" s="161" t="s">
        <v>2726</v>
      </c>
      <c r="F189" s="207">
        <v>300</v>
      </c>
      <c r="G189" s="207">
        <v>420</v>
      </c>
      <c r="H189" s="161">
        <v>120</v>
      </c>
      <c r="I189" s="207">
        <v>80</v>
      </c>
      <c r="J189" s="242">
        <f t="shared" si="34"/>
        <v>9600</v>
      </c>
      <c r="K189" s="153"/>
      <c r="O189" s="25" t="s">
        <v>2008</v>
      </c>
      <c r="V189" s="25">
        <f t="shared" si="35"/>
        <v>1</v>
      </c>
      <c r="W189" s="25">
        <f t="shared" si="36"/>
        <v>0</v>
      </c>
    </row>
    <row r="190" spans="1:23" x14ac:dyDescent="0.3">
      <c r="A190" s="147"/>
      <c r="B190" s="205">
        <f t="shared" si="37"/>
        <v>6</v>
      </c>
      <c r="C190" s="206">
        <v>43808</v>
      </c>
      <c r="D190" s="161" t="s">
        <v>9</v>
      </c>
      <c r="E190" s="161" t="s">
        <v>2720</v>
      </c>
      <c r="F190" s="207">
        <v>210</v>
      </c>
      <c r="G190" s="207">
        <v>240</v>
      </c>
      <c r="H190" s="161">
        <v>30</v>
      </c>
      <c r="I190" s="207">
        <v>80</v>
      </c>
      <c r="J190" s="242">
        <f t="shared" si="34"/>
        <v>2400</v>
      </c>
      <c r="K190" s="153"/>
      <c r="V190" s="25">
        <f t="shared" si="35"/>
        <v>1</v>
      </c>
      <c r="W190" s="25">
        <f t="shared" si="36"/>
        <v>0</v>
      </c>
    </row>
    <row r="191" spans="1:23" x14ac:dyDescent="0.3">
      <c r="A191" s="147"/>
      <c r="B191" s="205">
        <f t="shared" si="37"/>
        <v>7</v>
      </c>
      <c r="C191" s="206">
        <v>43809</v>
      </c>
      <c r="D191" s="161" t="s">
        <v>9</v>
      </c>
      <c r="E191" s="161" t="s">
        <v>2754</v>
      </c>
      <c r="F191" s="207">
        <v>210</v>
      </c>
      <c r="G191" s="207">
        <v>240</v>
      </c>
      <c r="H191" s="161">
        <v>30</v>
      </c>
      <c r="I191" s="207">
        <v>80</v>
      </c>
      <c r="J191" s="242">
        <f t="shared" si="34"/>
        <v>2400</v>
      </c>
      <c r="K191" s="153"/>
      <c r="V191" s="25">
        <f t="shared" si="35"/>
        <v>1</v>
      </c>
      <c r="W191" s="25">
        <f t="shared" si="36"/>
        <v>0</v>
      </c>
    </row>
    <row r="192" spans="1:23" x14ac:dyDescent="0.3">
      <c r="A192" s="147"/>
      <c r="B192" s="205">
        <f t="shared" si="37"/>
        <v>8</v>
      </c>
      <c r="C192" s="206">
        <v>43810</v>
      </c>
      <c r="D192" s="161" t="s">
        <v>9</v>
      </c>
      <c r="E192" s="161" t="s">
        <v>2858</v>
      </c>
      <c r="F192" s="207">
        <v>150</v>
      </c>
      <c r="G192" s="207">
        <v>175</v>
      </c>
      <c r="H192" s="161">
        <v>25</v>
      </c>
      <c r="I192" s="207">
        <v>80</v>
      </c>
      <c r="J192" s="242">
        <f t="shared" si="34"/>
        <v>2000</v>
      </c>
      <c r="K192" s="153"/>
      <c r="V192" s="25">
        <f t="shared" si="35"/>
        <v>1</v>
      </c>
      <c r="W192" s="25">
        <f t="shared" si="36"/>
        <v>0</v>
      </c>
    </row>
    <row r="193" spans="1:23" x14ac:dyDescent="0.3">
      <c r="A193" s="147"/>
      <c r="B193" s="205">
        <f t="shared" si="37"/>
        <v>9</v>
      </c>
      <c r="C193" s="206">
        <v>43811</v>
      </c>
      <c r="D193" s="161" t="s">
        <v>9</v>
      </c>
      <c r="E193" s="161" t="s">
        <v>2723</v>
      </c>
      <c r="F193" s="207">
        <v>90</v>
      </c>
      <c r="G193" s="207">
        <v>210</v>
      </c>
      <c r="H193" s="161">
        <v>120</v>
      </c>
      <c r="I193" s="207">
        <v>80</v>
      </c>
      <c r="J193" s="242">
        <f t="shared" si="34"/>
        <v>9600</v>
      </c>
      <c r="K193" s="153"/>
      <c r="V193" s="25">
        <f t="shared" si="35"/>
        <v>1</v>
      </c>
      <c r="W193" s="25">
        <f t="shared" si="36"/>
        <v>0</v>
      </c>
    </row>
    <row r="194" spans="1:23" x14ac:dyDescent="0.3">
      <c r="A194" s="147"/>
      <c r="B194" s="205">
        <f t="shared" si="37"/>
        <v>10</v>
      </c>
      <c r="C194" s="206">
        <v>43812</v>
      </c>
      <c r="D194" s="161" t="s">
        <v>9</v>
      </c>
      <c r="E194" s="161" t="s">
        <v>2870</v>
      </c>
      <c r="F194" s="207">
        <v>220</v>
      </c>
      <c r="G194" s="207">
        <v>340</v>
      </c>
      <c r="H194" s="161">
        <v>120</v>
      </c>
      <c r="I194" s="207">
        <v>80</v>
      </c>
      <c r="J194" s="242">
        <f t="shared" si="34"/>
        <v>9600</v>
      </c>
      <c r="K194" s="153"/>
      <c r="V194" s="25">
        <f t="shared" si="35"/>
        <v>1</v>
      </c>
      <c r="W194" s="25">
        <f t="shared" si="36"/>
        <v>0</v>
      </c>
    </row>
    <row r="195" spans="1:23" x14ac:dyDescent="0.3">
      <c r="A195" s="147"/>
      <c r="B195" s="205">
        <f t="shared" si="37"/>
        <v>11</v>
      </c>
      <c r="C195" s="206">
        <v>43815</v>
      </c>
      <c r="D195" s="161" t="s">
        <v>9</v>
      </c>
      <c r="E195" s="161" t="s">
        <v>2885</v>
      </c>
      <c r="F195" s="207">
        <v>240</v>
      </c>
      <c r="G195" s="207">
        <v>180</v>
      </c>
      <c r="H195" s="161">
        <v>-60</v>
      </c>
      <c r="I195" s="207">
        <v>80</v>
      </c>
      <c r="J195" s="242">
        <f t="shared" si="34"/>
        <v>-4800</v>
      </c>
      <c r="K195" s="153"/>
      <c r="V195" s="25">
        <f t="shared" si="35"/>
        <v>0</v>
      </c>
      <c r="W195" s="25">
        <f t="shared" si="36"/>
        <v>1</v>
      </c>
    </row>
    <row r="196" spans="1:23" x14ac:dyDescent="0.3">
      <c r="A196" s="147"/>
      <c r="B196" s="205">
        <f t="shared" si="37"/>
        <v>12</v>
      </c>
      <c r="C196" s="206">
        <v>43816</v>
      </c>
      <c r="D196" s="161" t="s">
        <v>9</v>
      </c>
      <c r="E196" s="161" t="s">
        <v>2887</v>
      </c>
      <c r="F196" s="207">
        <v>170</v>
      </c>
      <c r="G196" s="207">
        <v>210</v>
      </c>
      <c r="H196" s="161">
        <v>40</v>
      </c>
      <c r="I196" s="207">
        <v>80</v>
      </c>
      <c r="J196" s="242">
        <f t="shared" si="34"/>
        <v>3200</v>
      </c>
      <c r="K196" s="153"/>
      <c r="V196" s="25">
        <f t="shared" si="35"/>
        <v>1</v>
      </c>
      <c r="W196" s="25">
        <f t="shared" si="36"/>
        <v>0</v>
      </c>
    </row>
    <row r="197" spans="1:23" x14ac:dyDescent="0.3">
      <c r="A197" s="147"/>
      <c r="B197" s="205">
        <f t="shared" si="37"/>
        <v>13</v>
      </c>
      <c r="C197" s="206">
        <v>43817</v>
      </c>
      <c r="D197" s="161" t="s">
        <v>9</v>
      </c>
      <c r="E197" s="161" t="s">
        <v>2890</v>
      </c>
      <c r="F197" s="207">
        <v>140</v>
      </c>
      <c r="G197" s="207">
        <v>200</v>
      </c>
      <c r="H197" s="161">
        <v>60</v>
      </c>
      <c r="I197" s="207">
        <v>80</v>
      </c>
      <c r="J197" s="242">
        <f t="shared" si="34"/>
        <v>4800</v>
      </c>
      <c r="K197" s="153"/>
      <c r="V197" s="25">
        <f t="shared" si="35"/>
        <v>1</v>
      </c>
      <c r="W197" s="25">
        <f t="shared" si="36"/>
        <v>0</v>
      </c>
    </row>
    <row r="198" spans="1:23" x14ac:dyDescent="0.3">
      <c r="A198" s="147"/>
      <c r="B198" s="205">
        <f t="shared" si="37"/>
        <v>14</v>
      </c>
      <c r="C198" s="206">
        <v>43818</v>
      </c>
      <c r="D198" s="161" t="s">
        <v>9</v>
      </c>
      <c r="E198" s="161" t="s">
        <v>2890</v>
      </c>
      <c r="F198" s="207">
        <v>170</v>
      </c>
      <c r="G198" s="207">
        <v>230</v>
      </c>
      <c r="H198" s="161">
        <v>60</v>
      </c>
      <c r="I198" s="207">
        <v>80</v>
      </c>
      <c r="J198" s="242">
        <f t="shared" si="34"/>
        <v>4800</v>
      </c>
      <c r="K198" s="153"/>
      <c r="V198" s="25">
        <f t="shared" si="35"/>
        <v>1</v>
      </c>
      <c r="W198" s="25">
        <f t="shared" si="36"/>
        <v>0</v>
      </c>
    </row>
    <row r="199" spans="1:23" x14ac:dyDescent="0.3">
      <c r="A199" s="147"/>
      <c r="B199" s="205">
        <f t="shared" si="37"/>
        <v>15</v>
      </c>
      <c r="C199" s="206">
        <v>43819</v>
      </c>
      <c r="D199" s="161" t="s">
        <v>9</v>
      </c>
      <c r="E199" s="161" t="s">
        <v>2894</v>
      </c>
      <c r="F199" s="207">
        <v>240</v>
      </c>
      <c r="G199" s="207">
        <v>275</v>
      </c>
      <c r="H199" s="161">
        <v>35</v>
      </c>
      <c r="I199" s="207">
        <v>80</v>
      </c>
      <c r="J199" s="242">
        <f t="shared" si="34"/>
        <v>2800</v>
      </c>
      <c r="K199" s="153"/>
      <c r="V199" s="25">
        <f t="shared" si="35"/>
        <v>1</v>
      </c>
      <c r="W199" s="25">
        <f t="shared" si="36"/>
        <v>0</v>
      </c>
    </row>
    <row r="200" spans="1:23" x14ac:dyDescent="0.3">
      <c r="A200" s="147"/>
      <c r="B200" s="205">
        <f t="shared" si="37"/>
        <v>16</v>
      </c>
      <c r="C200" s="206">
        <v>43822</v>
      </c>
      <c r="D200" s="161" t="s">
        <v>9</v>
      </c>
      <c r="E200" s="161" t="s">
        <v>2894</v>
      </c>
      <c r="F200" s="207">
        <v>210</v>
      </c>
      <c r="G200" s="207">
        <v>150</v>
      </c>
      <c r="H200" s="161">
        <v>-60</v>
      </c>
      <c r="I200" s="207">
        <v>80</v>
      </c>
      <c r="J200" s="242">
        <f t="shared" si="34"/>
        <v>-4800</v>
      </c>
      <c r="K200" s="153"/>
      <c r="V200" s="25">
        <f t="shared" si="35"/>
        <v>0</v>
      </c>
      <c r="W200" s="25">
        <f t="shared" si="36"/>
        <v>1</v>
      </c>
    </row>
    <row r="201" spans="1:23" x14ac:dyDescent="0.3">
      <c r="A201" s="147"/>
      <c r="B201" s="205">
        <f t="shared" si="37"/>
        <v>17</v>
      </c>
      <c r="C201" s="206">
        <v>43823</v>
      </c>
      <c r="D201" s="161" t="s">
        <v>9</v>
      </c>
      <c r="E201" s="161" t="s">
        <v>2898</v>
      </c>
      <c r="F201" s="207">
        <v>135</v>
      </c>
      <c r="G201" s="207">
        <v>160</v>
      </c>
      <c r="H201" s="161">
        <v>45</v>
      </c>
      <c r="I201" s="207">
        <v>80</v>
      </c>
      <c r="J201" s="242">
        <f t="shared" si="34"/>
        <v>3600</v>
      </c>
      <c r="K201" s="153"/>
      <c r="V201" s="25">
        <f t="shared" si="35"/>
        <v>1</v>
      </c>
      <c r="W201" s="25">
        <f t="shared" si="36"/>
        <v>0</v>
      </c>
    </row>
    <row r="202" spans="1:23" x14ac:dyDescent="0.3">
      <c r="A202" s="147"/>
      <c r="B202" s="205">
        <f t="shared" si="37"/>
        <v>18</v>
      </c>
      <c r="C202" s="206">
        <v>43825</v>
      </c>
      <c r="D202" s="161" t="s">
        <v>9</v>
      </c>
      <c r="E202" s="161" t="s">
        <v>2900</v>
      </c>
      <c r="F202" s="207">
        <v>100</v>
      </c>
      <c r="G202" s="207">
        <v>220</v>
      </c>
      <c r="H202" s="161">
        <v>120</v>
      </c>
      <c r="I202" s="207">
        <v>80</v>
      </c>
      <c r="J202" s="242">
        <f t="shared" si="34"/>
        <v>9600</v>
      </c>
      <c r="K202" s="153"/>
      <c r="V202" s="25">
        <f t="shared" si="35"/>
        <v>1</v>
      </c>
      <c r="W202" s="25">
        <f t="shared" si="36"/>
        <v>0</v>
      </c>
    </row>
    <row r="203" spans="1:23" x14ac:dyDescent="0.3">
      <c r="A203" s="147"/>
      <c r="B203" s="205">
        <f t="shared" si="37"/>
        <v>19</v>
      </c>
      <c r="C203" s="206">
        <v>43826</v>
      </c>
      <c r="D203" s="161" t="s">
        <v>9</v>
      </c>
      <c r="E203" s="161" t="s">
        <v>2901</v>
      </c>
      <c r="F203" s="207">
        <v>180</v>
      </c>
      <c r="G203" s="207">
        <v>205</v>
      </c>
      <c r="H203" s="161">
        <v>25</v>
      </c>
      <c r="I203" s="207">
        <v>80</v>
      </c>
      <c r="J203" s="242">
        <f t="shared" si="34"/>
        <v>2000</v>
      </c>
      <c r="K203" s="153"/>
      <c r="V203" s="25">
        <f t="shared" si="35"/>
        <v>1</v>
      </c>
      <c r="W203" s="25">
        <f t="shared" si="36"/>
        <v>0</v>
      </c>
    </row>
    <row r="204" spans="1:23" x14ac:dyDescent="0.3">
      <c r="A204" s="147"/>
      <c r="B204" s="205">
        <f t="shared" si="37"/>
        <v>20</v>
      </c>
      <c r="C204" s="206">
        <v>43829</v>
      </c>
      <c r="D204" s="161" t="s">
        <v>9</v>
      </c>
      <c r="E204" s="161" t="s">
        <v>2903</v>
      </c>
      <c r="F204" s="207">
        <v>170</v>
      </c>
      <c r="G204" s="207">
        <v>110</v>
      </c>
      <c r="H204" s="161">
        <v>-60</v>
      </c>
      <c r="I204" s="207">
        <v>80</v>
      </c>
      <c r="J204" s="242">
        <f t="shared" si="34"/>
        <v>-4800</v>
      </c>
      <c r="K204" s="153"/>
      <c r="V204" s="25">
        <f t="shared" si="35"/>
        <v>0</v>
      </c>
      <c r="W204" s="25">
        <f t="shared" si="36"/>
        <v>1</v>
      </c>
    </row>
    <row r="205" spans="1:23" x14ac:dyDescent="0.3">
      <c r="A205" s="147"/>
      <c r="B205" s="205">
        <f t="shared" si="37"/>
        <v>21</v>
      </c>
      <c r="C205" s="206">
        <v>43830</v>
      </c>
      <c r="D205" s="161" t="s">
        <v>9</v>
      </c>
      <c r="E205" s="161" t="s">
        <v>2894</v>
      </c>
      <c r="F205" s="207">
        <v>140</v>
      </c>
      <c r="G205" s="207">
        <v>180</v>
      </c>
      <c r="H205" s="161">
        <v>40</v>
      </c>
      <c r="I205" s="207">
        <v>80</v>
      </c>
      <c r="J205" s="242">
        <f t="shared" si="34"/>
        <v>3200</v>
      </c>
      <c r="K205" s="153"/>
      <c r="V205" s="25">
        <f t="shared" si="35"/>
        <v>1</v>
      </c>
      <c r="W205" s="25">
        <f t="shared" si="36"/>
        <v>0</v>
      </c>
    </row>
    <row r="206" spans="1:23" x14ac:dyDescent="0.3">
      <c r="A206" s="147"/>
      <c r="B206" s="205">
        <f t="shared" si="37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4"/>
        <v>0</v>
      </c>
      <c r="K206" s="153"/>
      <c r="V206" s="25">
        <f t="shared" si="35"/>
        <v>0</v>
      </c>
      <c r="W206" s="25">
        <f t="shared" si="36"/>
        <v>0</v>
      </c>
    </row>
    <row r="207" spans="1:23" ht="15" thickBot="1" x14ac:dyDescent="0.35">
      <c r="A207" s="147"/>
      <c r="B207" s="208">
        <f t="shared" si="37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4"/>
        <v>0</v>
      </c>
      <c r="K207" s="153"/>
      <c r="V207" s="25">
        <f t="shared" si="35"/>
        <v>0</v>
      </c>
      <c r="W207" s="25">
        <f t="shared" si="36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71760</v>
      </c>
      <c r="K208" s="153"/>
      <c r="V208" s="25">
        <f>SUM(V185:V207)</f>
        <v>17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2874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43801</v>
      </c>
      <c r="D216" s="185" t="s">
        <v>9</v>
      </c>
      <c r="E216" s="185" t="s">
        <v>2878</v>
      </c>
      <c r="F216" s="231">
        <v>37</v>
      </c>
      <c r="G216" s="231">
        <v>33.5</v>
      </c>
      <c r="H216" s="231">
        <v>3.5</v>
      </c>
      <c r="I216" s="219">
        <v>500</v>
      </c>
      <c r="J216" s="246">
        <f t="shared" ref="J216:J239" si="38">I216*H216</f>
        <v>1750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43802</v>
      </c>
      <c r="D217" s="161" t="s">
        <v>9</v>
      </c>
      <c r="E217" s="161" t="s">
        <v>2879</v>
      </c>
      <c r="F217" s="222">
        <v>8.5</v>
      </c>
      <c r="G217" s="222">
        <v>12.5</v>
      </c>
      <c r="H217" s="255">
        <v>4</v>
      </c>
      <c r="I217" s="207">
        <v>2000</v>
      </c>
      <c r="J217" s="242">
        <f>I217*H217</f>
        <v>8000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9">B217+1</f>
        <v>3</v>
      </c>
      <c r="C218" s="206">
        <v>43803</v>
      </c>
      <c r="D218" s="161" t="s">
        <v>9</v>
      </c>
      <c r="E218" s="161" t="s">
        <v>2880</v>
      </c>
      <c r="F218" s="222">
        <v>9.5</v>
      </c>
      <c r="G218" s="222">
        <v>11.5</v>
      </c>
      <c r="H218" s="222">
        <v>2</v>
      </c>
      <c r="I218" s="207">
        <v>2000</v>
      </c>
      <c r="J218" s="242">
        <f t="shared" si="38"/>
        <v>4000</v>
      </c>
      <c r="K218" s="153"/>
      <c r="V218" s="25">
        <f t="shared" ref="V218:V239" si="40">IF($J218&gt;0,1,0)</f>
        <v>1</v>
      </c>
      <c r="W218" s="25">
        <f t="shared" ref="W218:W239" si="41">IF($J218&lt;0,1,0)</f>
        <v>0</v>
      </c>
    </row>
    <row r="219" spans="1:23" x14ac:dyDescent="0.3">
      <c r="A219" s="147"/>
      <c r="B219" s="205">
        <f t="shared" si="39"/>
        <v>4</v>
      </c>
      <c r="C219" s="206">
        <v>43804</v>
      </c>
      <c r="D219" s="161" t="s">
        <v>9</v>
      </c>
      <c r="E219" s="161" t="s">
        <v>2297</v>
      </c>
      <c r="F219" s="222">
        <v>34</v>
      </c>
      <c r="G219" s="222">
        <v>40</v>
      </c>
      <c r="H219" s="222">
        <v>6</v>
      </c>
      <c r="I219" s="207">
        <v>500</v>
      </c>
      <c r="J219" s="242">
        <f t="shared" si="38"/>
        <v>3000</v>
      </c>
      <c r="K219" s="153"/>
      <c r="V219" s="25">
        <f t="shared" si="40"/>
        <v>1</v>
      </c>
      <c r="W219" s="25">
        <f t="shared" si="41"/>
        <v>0</v>
      </c>
    </row>
    <row r="220" spans="1:23" x14ac:dyDescent="0.3">
      <c r="A220" s="147"/>
      <c r="B220" s="205">
        <f t="shared" si="39"/>
        <v>5</v>
      </c>
      <c r="C220" s="206">
        <v>43805</v>
      </c>
      <c r="D220" s="161" t="s">
        <v>9</v>
      </c>
      <c r="E220" s="161" t="s">
        <v>2868</v>
      </c>
      <c r="F220" s="222">
        <v>41</v>
      </c>
      <c r="G220" s="222">
        <v>35</v>
      </c>
      <c r="H220" s="222">
        <v>-5</v>
      </c>
      <c r="I220" s="207">
        <v>500</v>
      </c>
      <c r="J220" s="242">
        <f t="shared" si="38"/>
        <v>-2500</v>
      </c>
      <c r="K220" s="153"/>
      <c r="V220" s="25">
        <f t="shared" si="40"/>
        <v>0</v>
      </c>
      <c r="W220" s="25">
        <f t="shared" si="41"/>
        <v>1</v>
      </c>
    </row>
    <row r="221" spans="1:23" x14ac:dyDescent="0.3">
      <c r="A221" s="147"/>
      <c r="B221" s="205">
        <f t="shared" si="39"/>
        <v>6</v>
      </c>
      <c r="C221" s="206">
        <v>43808</v>
      </c>
      <c r="D221" s="161" t="s">
        <v>9</v>
      </c>
      <c r="E221" s="161" t="s">
        <v>2382</v>
      </c>
      <c r="F221" s="222">
        <v>12.8</v>
      </c>
      <c r="G221" s="222">
        <v>15.4</v>
      </c>
      <c r="H221" s="222">
        <v>2.6</v>
      </c>
      <c r="I221" s="207">
        <v>3000</v>
      </c>
      <c r="J221" s="242">
        <f t="shared" si="38"/>
        <v>7800</v>
      </c>
      <c r="K221" s="153"/>
      <c r="V221" s="25">
        <f t="shared" si="40"/>
        <v>1</v>
      </c>
      <c r="W221" s="25">
        <f t="shared" si="41"/>
        <v>0</v>
      </c>
    </row>
    <row r="222" spans="1:23" x14ac:dyDescent="0.3">
      <c r="A222" s="147"/>
      <c r="B222" s="205">
        <f t="shared" si="39"/>
        <v>7</v>
      </c>
      <c r="C222" s="206">
        <v>43809</v>
      </c>
      <c r="D222" s="161" t="s">
        <v>9</v>
      </c>
      <c r="E222" s="161" t="s">
        <v>2851</v>
      </c>
      <c r="F222" s="222">
        <v>7</v>
      </c>
      <c r="G222" s="222">
        <v>7.5</v>
      </c>
      <c r="H222" s="222">
        <v>0.5</v>
      </c>
      <c r="I222" s="207">
        <v>2000</v>
      </c>
      <c r="J222" s="242">
        <f t="shared" si="38"/>
        <v>1000</v>
      </c>
      <c r="K222" s="153"/>
      <c r="V222" s="25">
        <f t="shared" si="40"/>
        <v>1</v>
      </c>
      <c r="W222" s="25">
        <f t="shared" si="41"/>
        <v>0</v>
      </c>
    </row>
    <row r="223" spans="1:23" x14ac:dyDescent="0.3">
      <c r="A223" s="147"/>
      <c r="B223" s="205">
        <f t="shared" si="39"/>
        <v>8</v>
      </c>
      <c r="C223" s="206">
        <v>43810</v>
      </c>
      <c r="D223" s="161" t="s">
        <v>9</v>
      </c>
      <c r="E223" s="161" t="s">
        <v>2882</v>
      </c>
      <c r="F223" s="222">
        <v>7</v>
      </c>
      <c r="G223" s="222">
        <v>6.5</v>
      </c>
      <c r="H223" s="222">
        <v>-0.5</v>
      </c>
      <c r="I223" s="207">
        <v>2000</v>
      </c>
      <c r="J223" s="242">
        <f t="shared" si="38"/>
        <v>-1000</v>
      </c>
      <c r="K223" s="153"/>
      <c r="V223" s="25">
        <f t="shared" si="40"/>
        <v>0</v>
      </c>
      <c r="W223" s="25">
        <f t="shared" si="41"/>
        <v>1</v>
      </c>
    </row>
    <row r="224" spans="1:23" x14ac:dyDescent="0.3">
      <c r="A224" s="147"/>
      <c r="B224" s="205">
        <f t="shared" si="39"/>
        <v>9</v>
      </c>
      <c r="C224" s="206">
        <v>43811</v>
      </c>
      <c r="D224" s="161" t="s">
        <v>9</v>
      </c>
      <c r="E224" s="161" t="s">
        <v>2883</v>
      </c>
      <c r="F224" s="222">
        <v>26</v>
      </c>
      <c r="G224" s="222">
        <v>22.2</v>
      </c>
      <c r="H224" s="255">
        <v>-3.8</v>
      </c>
      <c r="I224" s="207">
        <v>500</v>
      </c>
      <c r="J224" s="242">
        <f t="shared" si="38"/>
        <v>-1900</v>
      </c>
      <c r="K224" s="153"/>
      <c r="V224" s="25">
        <f t="shared" si="40"/>
        <v>0</v>
      </c>
      <c r="W224" s="25">
        <f t="shared" si="41"/>
        <v>1</v>
      </c>
    </row>
    <row r="225" spans="1:23" x14ac:dyDescent="0.3">
      <c r="A225" s="147"/>
      <c r="B225" s="205">
        <f t="shared" si="39"/>
        <v>10</v>
      </c>
      <c r="C225" s="206">
        <v>43812</v>
      </c>
      <c r="D225" s="161" t="s">
        <v>9</v>
      </c>
      <c r="E225" s="161" t="s">
        <v>2880</v>
      </c>
      <c r="F225" s="222">
        <v>8.5</v>
      </c>
      <c r="G225" s="222">
        <v>12.5</v>
      </c>
      <c r="H225" s="255">
        <v>4</v>
      </c>
      <c r="I225" s="207">
        <v>2000</v>
      </c>
      <c r="J225" s="242">
        <f t="shared" si="38"/>
        <v>8000</v>
      </c>
      <c r="K225" s="153"/>
      <c r="V225" s="25">
        <f t="shared" si="40"/>
        <v>1</v>
      </c>
      <c r="W225" s="25">
        <f t="shared" si="41"/>
        <v>0</v>
      </c>
    </row>
    <row r="226" spans="1:23" x14ac:dyDescent="0.3">
      <c r="A226" s="147"/>
      <c r="B226" s="205">
        <f t="shared" si="39"/>
        <v>11</v>
      </c>
      <c r="C226" s="206">
        <v>43815</v>
      </c>
      <c r="D226" s="161" t="s">
        <v>9</v>
      </c>
      <c r="E226" s="161" t="s">
        <v>2333</v>
      </c>
      <c r="F226" s="222">
        <v>25</v>
      </c>
      <c r="G226" s="222">
        <v>32</v>
      </c>
      <c r="H226" s="255">
        <v>7</v>
      </c>
      <c r="I226" s="207">
        <v>500</v>
      </c>
      <c r="J226" s="242">
        <f t="shared" si="38"/>
        <v>3500</v>
      </c>
      <c r="K226" s="153"/>
      <c r="V226" s="25">
        <f t="shared" si="40"/>
        <v>1</v>
      </c>
      <c r="W226" s="25">
        <f t="shared" si="41"/>
        <v>0</v>
      </c>
    </row>
    <row r="227" spans="1:23" x14ac:dyDescent="0.3">
      <c r="A227" s="147"/>
      <c r="B227" s="205">
        <f t="shared" si="39"/>
        <v>12</v>
      </c>
      <c r="C227" s="206">
        <v>43816</v>
      </c>
      <c r="D227" s="161" t="s">
        <v>9</v>
      </c>
      <c r="E227" s="161" t="s">
        <v>2888</v>
      </c>
      <c r="F227" s="222">
        <v>38</v>
      </c>
      <c r="G227" s="222">
        <v>32</v>
      </c>
      <c r="H227" s="255">
        <v>-6</v>
      </c>
      <c r="I227" s="207">
        <v>400</v>
      </c>
      <c r="J227" s="242">
        <f t="shared" si="38"/>
        <v>-2400</v>
      </c>
      <c r="K227" s="153"/>
      <c r="V227" s="25">
        <f t="shared" si="40"/>
        <v>0</v>
      </c>
      <c r="W227" s="25">
        <f t="shared" si="41"/>
        <v>1</v>
      </c>
    </row>
    <row r="228" spans="1:23" x14ac:dyDescent="0.3">
      <c r="A228" s="147"/>
      <c r="B228" s="205">
        <f t="shared" si="39"/>
        <v>13</v>
      </c>
      <c r="C228" s="206">
        <v>43817</v>
      </c>
      <c r="D228" s="161" t="s">
        <v>9</v>
      </c>
      <c r="E228" s="161" t="s">
        <v>2889</v>
      </c>
      <c r="F228" s="222">
        <v>7.5</v>
      </c>
      <c r="G228" s="222">
        <v>9</v>
      </c>
      <c r="H228" s="255">
        <v>1.5</v>
      </c>
      <c r="I228" s="207">
        <v>1375</v>
      </c>
      <c r="J228" s="242">
        <f t="shared" si="38"/>
        <v>2062.5</v>
      </c>
      <c r="K228" s="153"/>
      <c r="V228" s="25">
        <f t="shared" si="40"/>
        <v>1</v>
      </c>
      <c r="W228" s="25">
        <f t="shared" si="41"/>
        <v>0</v>
      </c>
    </row>
    <row r="229" spans="1:23" x14ac:dyDescent="0.3">
      <c r="A229" s="147"/>
      <c r="B229" s="205">
        <f t="shared" si="39"/>
        <v>14</v>
      </c>
      <c r="C229" s="206">
        <v>43818</v>
      </c>
      <c r="D229" s="161" t="s">
        <v>9</v>
      </c>
      <c r="E229" s="161" t="s">
        <v>2892</v>
      </c>
      <c r="F229" s="222">
        <v>21</v>
      </c>
      <c r="G229" s="222">
        <v>27</v>
      </c>
      <c r="H229" s="255">
        <v>6</v>
      </c>
      <c r="I229" s="207">
        <v>250</v>
      </c>
      <c r="J229" s="242">
        <f>I229*H229</f>
        <v>1500</v>
      </c>
      <c r="K229" s="153"/>
      <c r="V229" s="25">
        <f t="shared" si="40"/>
        <v>1</v>
      </c>
      <c r="W229" s="25">
        <f t="shared" si="41"/>
        <v>0</v>
      </c>
    </row>
    <row r="230" spans="1:23" x14ac:dyDescent="0.3">
      <c r="A230" s="147"/>
      <c r="B230" s="205">
        <f t="shared" si="39"/>
        <v>15</v>
      </c>
      <c r="C230" s="206">
        <v>43819</v>
      </c>
      <c r="D230" s="161" t="s">
        <v>9</v>
      </c>
      <c r="E230" s="161" t="s">
        <v>2895</v>
      </c>
      <c r="F230" s="222">
        <v>20</v>
      </c>
      <c r="G230" s="222">
        <v>30</v>
      </c>
      <c r="H230" s="255">
        <v>10</v>
      </c>
      <c r="I230" s="207">
        <v>250</v>
      </c>
      <c r="J230" s="242">
        <f t="shared" si="38"/>
        <v>2500</v>
      </c>
      <c r="K230" s="153"/>
      <c r="V230" s="25">
        <f t="shared" si="40"/>
        <v>1</v>
      </c>
      <c r="W230" s="25">
        <f t="shared" si="41"/>
        <v>0</v>
      </c>
    </row>
    <row r="231" spans="1:23" x14ac:dyDescent="0.3">
      <c r="A231" s="147"/>
      <c r="B231" s="205">
        <f t="shared" si="39"/>
        <v>16</v>
      </c>
      <c r="C231" s="206">
        <v>43822</v>
      </c>
      <c r="D231" s="161" t="s">
        <v>9</v>
      </c>
      <c r="E231" s="161" t="s">
        <v>2896</v>
      </c>
      <c r="F231" s="222">
        <v>5.3</v>
      </c>
      <c r="G231" s="222">
        <v>8.4</v>
      </c>
      <c r="H231" s="222">
        <v>3.1</v>
      </c>
      <c r="I231" s="207">
        <v>1375</v>
      </c>
      <c r="J231" s="242">
        <f t="shared" si="38"/>
        <v>4262.5</v>
      </c>
      <c r="K231" s="153"/>
      <c r="V231" s="25">
        <f t="shared" si="40"/>
        <v>1</v>
      </c>
      <c r="W231" s="25">
        <f t="shared" si="41"/>
        <v>0</v>
      </c>
    </row>
    <row r="232" spans="1:23" x14ac:dyDescent="0.3">
      <c r="A232" s="147"/>
      <c r="B232" s="205">
        <f t="shared" si="39"/>
        <v>17</v>
      </c>
      <c r="C232" s="206">
        <v>43823</v>
      </c>
      <c r="D232" s="161" t="s">
        <v>9</v>
      </c>
      <c r="E232" s="161" t="s">
        <v>2297</v>
      </c>
      <c r="F232" s="222">
        <v>7</v>
      </c>
      <c r="G232" s="222">
        <v>15</v>
      </c>
      <c r="H232" s="222">
        <v>8</v>
      </c>
      <c r="I232" s="207">
        <v>500</v>
      </c>
      <c r="J232" s="242">
        <f t="shared" si="38"/>
        <v>4000</v>
      </c>
      <c r="K232" s="153"/>
      <c r="V232" s="25">
        <f t="shared" si="40"/>
        <v>1</v>
      </c>
      <c r="W232" s="25">
        <f t="shared" si="41"/>
        <v>0</v>
      </c>
    </row>
    <row r="233" spans="1:23" x14ac:dyDescent="0.3">
      <c r="A233" s="147"/>
      <c r="B233" s="205">
        <f t="shared" si="39"/>
        <v>18</v>
      </c>
      <c r="C233" s="206">
        <v>43825</v>
      </c>
      <c r="D233" s="161" t="s">
        <v>9</v>
      </c>
      <c r="E233" s="161" t="s">
        <v>1083</v>
      </c>
      <c r="F233" s="222">
        <v>7</v>
      </c>
      <c r="G233" s="222">
        <v>17</v>
      </c>
      <c r="H233" s="222">
        <v>10</v>
      </c>
      <c r="I233" s="207">
        <v>375</v>
      </c>
      <c r="J233" s="242">
        <f t="shared" si="38"/>
        <v>3750</v>
      </c>
      <c r="K233" s="153"/>
      <c r="V233" s="25">
        <f t="shared" si="40"/>
        <v>1</v>
      </c>
      <c r="W233" s="25">
        <f t="shared" si="41"/>
        <v>0</v>
      </c>
    </row>
    <row r="234" spans="1:23" x14ac:dyDescent="0.3">
      <c r="A234" s="147"/>
      <c r="B234" s="205">
        <f t="shared" si="39"/>
        <v>19</v>
      </c>
      <c r="C234" s="206">
        <v>43826</v>
      </c>
      <c r="D234" s="161" t="s">
        <v>9</v>
      </c>
      <c r="E234" s="161" t="s">
        <v>2902</v>
      </c>
      <c r="F234" s="222">
        <v>14</v>
      </c>
      <c r="G234" s="222">
        <v>19</v>
      </c>
      <c r="H234" s="222">
        <v>5</v>
      </c>
      <c r="I234" s="207">
        <v>1375</v>
      </c>
      <c r="J234" s="242">
        <f t="shared" si="38"/>
        <v>6875</v>
      </c>
      <c r="K234" s="153"/>
      <c r="V234" s="25">
        <f t="shared" si="40"/>
        <v>1</v>
      </c>
      <c r="W234" s="25">
        <f t="shared" si="41"/>
        <v>0</v>
      </c>
    </row>
    <row r="235" spans="1:23" x14ac:dyDescent="0.3">
      <c r="A235" s="147"/>
      <c r="B235" s="205">
        <f t="shared" si="39"/>
        <v>20</v>
      </c>
      <c r="C235" s="206">
        <v>43829</v>
      </c>
      <c r="D235" s="161" t="s">
        <v>9</v>
      </c>
      <c r="E235" s="161" t="s">
        <v>2803</v>
      </c>
      <c r="F235" s="222">
        <v>7.5</v>
      </c>
      <c r="G235" s="222">
        <v>8.65</v>
      </c>
      <c r="H235" s="222">
        <v>1.1499999999999999</v>
      </c>
      <c r="I235" s="207">
        <v>2600</v>
      </c>
      <c r="J235" s="242">
        <f t="shared" si="38"/>
        <v>2989.9999999999995</v>
      </c>
      <c r="K235" s="153"/>
      <c r="V235" s="25">
        <f t="shared" si="40"/>
        <v>1</v>
      </c>
      <c r="W235" s="25">
        <f t="shared" si="41"/>
        <v>0</v>
      </c>
    </row>
    <row r="236" spans="1:23" x14ac:dyDescent="0.3">
      <c r="A236" s="147"/>
      <c r="B236" s="205">
        <f t="shared" si="39"/>
        <v>21</v>
      </c>
      <c r="C236" s="206">
        <v>43830</v>
      </c>
      <c r="D236" s="161" t="s">
        <v>9</v>
      </c>
      <c r="E236" s="161" t="s">
        <v>2682</v>
      </c>
      <c r="F236" s="222">
        <v>22</v>
      </c>
      <c r="G236" s="222">
        <v>26</v>
      </c>
      <c r="H236" s="222">
        <v>4</v>
      </c>
      <c r="I236" s="207">
        <v>1200</v>
      </c>
      <c r="J236" s="242">
        <f t="shared" si="38"/>
        <v>4800</v>
      </c>
      <c r="K236" s="153"/>
      <c r="V236" s="25">
        <f t="shared" si="40"/>
        <v>1</v>
      </c>
      <c r="W236" s="25">
        <f t="shared" si="41"/>
        <v>0</v>
      </c>
    </row>
    <row r="237" spans="1:23" x14ac:dyDescent="0.3">
      <c r="A237" s="147"/>
      <c r="B237" s="205">
        <f t="shared" si="39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8"/>
        <v>0</v>
      </c>
      <c r="K237" s="153"/>
      <c r="V237" s="25">
        <f t="shared" si="40"/>
        <v>0</v>
      </c>
      <c r="W237" s="25">
        <f t="shared" si="41"/>
        <v>0</v>
      </c>
    </row>
    <row r="238" spans="1:23" x14ac:dyDescent="0.3">
      <c r="A238" s="147"/>
      <c r="B238" s="205">
        <f t="shared" si="39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8"/>
        <v>0</v>
      </c>
      <c r="K238" s="153"/>
      <c r="V238" s="25">
        <f t="shared" si="40"/>
        <v>0</v>
      </c>
      <c r="W238" s="25">
        <f t="shared" si="41"/>
        <v>0</v>
      </c>
    </row>
    <row r="239" spans="1:23" ht="15" thickBot="1" x14ac:dyDescent="0.35">
      <c r="A239" s="147"/>
      <c r="B239" s="208">
        <f t="shared" si="39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8"/>
        <v>0</v>
      </c>
      <c r="K239" s="153"/>
      <c r="V239" s="25">
        <f t="shared" si="40"/>
        <v>0</v>
      </c>
      <c r="W239" s="25">
        <f t="shared" si="41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61990</v>
      </c>
      <c r="K240" s="153"/>
      <c r="V240" s="25">
        <f>SUM(V216:V239)</f>
        <v>17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000-000000000000}"/>
    <hyperlink ref="B84" r:id="rId2" xr:uid="{00000000-0004-0000-5000-000001000000}"/>
    <hyperlink ref="B115" r:id="rId3" xr:uid="{00000000-0004-0000-5000-000002000000}"/>
    <hyperlink ref="B146" r:id="rId4" xr:uid="{00000000-0004-0000-5000-000003000000}"/>
    <hyperlink ref="B177" r:id="rId5" xr:uid="{00000000-0004-0000-5000-000004000000}"/>
    <hyperlink ref="B208" r:id="rId6" xr:uid="{00000000-0004-0000-5000-000005000000}"/>
    <hyperlink ref="B240" r:id="rId7" xr:uid="{00000000-0004-0000-5000-000006000000}"/>
    <hyperlink ref="M1" location="'MASTER '!A1" display="Back" xr:uid="{00000000-0004-0000-5000-000007000000}"/>
    <hyperlink ref="M8:M9" location="'DEC 2019'!A108" display="NIFTY FUTURE" xr:uid="{00000000-0004-0000-5000-000008000000}"/>
    <hyperlink ref="M10:M11" location="'DEC 2019'!A139" display="NF. OPTION" xr:uid="{00000000-0004-0000-5000-000009000000}"/>
    <hyperlink ref="M12:M13" location="'DEC 2019'!A170" display="BANK NIFTY" xr:uid="{00000000-0004-0000-5000-00000A000000}"/>
    <hyperlink ref="M14:M15" location="'DEC 2019'!A201" display="B.NIFTY OPTION" xr:uid="{00000000-0004-0000-5000-00000B000000}"/>
    <hyperlink ref="M16:M17" location="'DEC 2019'!A232" display="STOCK OPTION" xr:uid="{00000000-0004-0000-5000-00000C000000}"/>
    <hyperlink ref="M6:M7" location="'DEC 2019'!A77" display="STOCK FUTURE" xr:uid="{00000000-0004-0000-5000-00000D000000}"/>
    <hyperlink ref="M4:M5" location="'DEC 2019'!A1" display="CASH" xr:uid="{00000000-0004-0000-5000-00000E000000}"/>
  </hyperlinks>
  <pageMargins left="0" right="0" top="0" bottom="0" header="0" footer="0"/>
  <pageSetup scale="95" orientation="portrait" r:id="rId8"/>
  <drawing r:id="rId9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241"/>
  <sheetViews>
    <sheetView topLeftCell="E4" workbookViewId="0">
      <selection activeCell="M28" sqref="M28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2905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44</v>
      </c>
      <c r="O4" s="354">
        <f>V52</f>
        <v>36</v>
      </c>
      <c r="P4" s="354">
        <f>W52</f>
        <v>8</v>
      </c>
      <c r="Q4" s="355">
        <f>N4-O4-P4</f>
        <v>0</v>
      </c>
      <c r="R4" s="314">
        <f>O4/N4</f>
        <v>0.81818181818181823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43831</v>
      </c>
      <c r="D6" s="158" t="s">
        <v>9</v>
      </c>
      <c r="E6" s="158" t="s">
        <v>49</v>
      </c>
      <c r="F6" s="230">
        <v>1660</v>
      </c>
      <c r="G6" s="222">
        <v>1673</v>
      </c>
      <c r="H6" s="222">
        <v>13</v>
      </c>
      <c r="I6" s="204">
        <f>300000/F6</f>
        <v>180.72289156626505</v>
      </c>
      <c r="J6" s="241">
        <f>H6*I6</f>
        <v>2349.3975903614455</v>
      </c>
      <c r="K6" s="153"/>
      <c r="M6" s="389" t="s">
        <v>450</v>
      </c>
      <c r="N6" s="343">
        <f>COUNT(C60:C83)</f>
        <v>22</v>
      </c>
      <c r="O6" s="345">
        <f>V84</f>
        <v>17</v>
      </c>
      <c r="P6" s="345">
        <f>W84</f>
        <v>4</v>
      </c>
      <c r="Q6" s="347">
        <f>N6-O6-P6</f>
        <v>1</v>
      </c>
      <c r="R6" s="340">
        <f t="shared" ref="R6" si="0">O6/N6</f>
        <v>0.77272727272727271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43831</v>
      </c>
      <c r="D7" s="161" t="s">
        <v>8</v>
      </c>
      <c r="E7" s="161" t="s">
        <v>95</v>
      </c>
      <c r="F7" s="222">
        <v>539</v>
      </c>
      <c r="G7" s="231">
        <v>535.70000000000005</v>
      </c>
      <c r="H7" s="255">
        <v>3.3</v>
      </c>
      <c r="I7" s="207">
        <f t="shared" ref="I7" si="1">300000/F7</f>
        <v>556.58627087198511</v>
      </c>
      <c r="J7" s="242">
        <f>H7*I7</f>
        <v>1836.7346938775509</v>
      </c>
      <c r="K7" s="153"/>
      <c r="M7" s="389"/>
      <c r="N7" s="343"/>
      <c r="O7" s="345"/>
      <c r="P7" s="345"/>
      <c r="Q7" s="349"/>
      <c r="R7" s="340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43832</v>
      </c>
      <c r="D8" s="161" t="s">
        <v>9</v>
      </c>
      <c r="E8" s="161" t="s">
        <v>95</v>
      </c>
      <c r="F8" s="222">
        <v>540</v>
      </c>
      <c r="G8" s="222">
        <v>541.20000000000005</v>
      </c>
      <c r="H8" s="222">
        <v>1.2</v>
      </c>
      <c r="I8" s="207">
        <f t="shared" ref="I8:I49" si="5">300000/F8</f>
        <v>555.55555555555554</v>
      </c>
      <c r="J8" s="242">
        <f t="shared" ref="J8:J49" si="6">H8*I8</f>
        <v>666.66666666666663</v>
      </c>
      <c r="K8" s="153"/>
      <c r="M8" s="389" t="s">
        <v>451</v>
      </c>
      <c r="N8" s="343">
        <f>COUNT(C92:C114)</f>
        <v>21</v>
      </c>
      <c r="O8" s="345">
        <f>V115</f>
        <v>18</v>
      </c>
      <c r="P8" s="345">
        <f>W115</f>
        <v>3</v>
      </c>
      <c r="Q8" s="347">
        <f>N8-O8-P8</f>
        <v>0</v>
      </c>
      <c r="R8" s="340">
        <f t="shared" ref="R8" si="7">O8/N8</f>
        <v>0.8571428571428571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43832</v>
      </c>
      <c r="D9" s="161" t="s">
        <v>8</v>
      </c>
      <c r="E9" s="161" t="s">
        <v>129</v>
      </c>
      <c r="F9" s="222">
        <v>2425</v>
      </c>
      <c r="G9" s="222">
        <v>2440</v>
      </c>
      <c r="H9" s="222">
        <v>-15</v>
      </c>
      <c r="I9" s="207">
        <f t="shared" si="5"/>
        <v>123.71134020618557</v>
      </c>
      <c r="J9" s="242">
        <f t="shared" si="6"/>
        <v>-1855.6701030927836</v>
      </c>
      <c r="K9" s="153"/>
      <c r="M9" s="389"/>
      <c r="N9" s="343"/>
      <c r="O9" s="345"/>
      <c r="P9" s="345"/>
      <c r="Q9" s="349"/>
      <c r="R9" s="340"/>
      <c r="V9" s="25">
        <f t="shared" si="2"/>
        <v>0</v>
      </c>
      <c r="W9" s="25">
        <f t="shared" si="3"/>
        <v>1</v>
      </c>
    </row>
    <row r="10" spans="1:23" x14ac:dyDescent="0.3">
      <c r="A10" s="147"/>
      <c r="B10" s="205">
        <f t="shared" si="4"/>
        <v>5</v>
      </c>
      <c r="C10" s="206">
        <v>43833</v>
      </c>
      <c r="D10" s="161" t="s">
        <v>9</v>
      </c>
      <c r="E10" s="161" t="s">
        <v>49</v>
      </c>
      <c r="F10" s="222">
        <v>1685</v>
      </c>
      <c r="G10" s="222">
        <v>1696.5</v>
      </c>
      <c r="H10" s="222">
        <v>11.5</v>
      </c>
      <c r="I10" s="207">
        <f t="shared" si="5"/>
        <v>178.04154302670622</v>
      </c>
      <c r="J10" s="242">
        <f t="shared" si="6"/>
        <v>2047.4777448071216</v>
      </c>
      <c r="K10" s="153"/>
      <c r="M10" s="389" t="s">
        <v>1176</v>
      </c>
      <c r="N10" s="343">
        <f>COUNT(C123:C145)</f>
        <v>22</v>
      </c>
      <c r="O10" s="345">
        <f>V146</f>
        <v>18</v>
      </c>
      <c r="P10" s="345">
        <f>W146</f>
        <v>4</v>
      </c>
      <c r="Q10" s="347">
        <f>N10-O10-P10</f>
        <v>0</v>
      </c>
      <c r="R10" s="340">
        <f t="shared" ref="R10:R16" si="8">O10/N10</f>
        <v>0.81818181818181823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43833</v>
      </c>
      <c r="D11" s="161" t="s">
        <v>8</v>
      </c>
      <c r="E11" s="161" t="s">
        <v>192</v>
      </c>
      <c r="F11" s="222">
        <v>224.5</v>
      </c>
      <c r="G11" s="222">
        <v>220.7</v>
      </c>
      <c r="H11" s="255">
        <v>3.8</v>
      </c>
      <c r="I11" s="207">
        <f t="shared" si="5"/>
        <v>1336.3028953229398</v>
      </c>
      <c r="J11" s="242">
        <f t="shared" si="6"/>
        <v>5077.9510022271706</v>
      </c>
      <c r="K11" s="153"/>
      <c r="M11" s="389"/>
      <c r="N11" s="343"/>
      <c r="O11" s="345"/>
      <c r="P11" s="345"/>
      <c r="Q11" s="349"/>
      <c r="R11" s="340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43836</v>
      </c>
      <c r="D12" s="161" t="s">
        <v>9</v>
      </c>
      <c r="E12" s="161" t="s">
        <v>49</v>
      </c>
      <c r="F12" s="222">
        <v>1675</v>
      </c>
      <c r="G12" s="222">
        <v>1687.5</v>
      </c>
      <c r="H12" s="222">
        <v>12.5</v>
      </c>
      <c r="I12" s="207">
        <f t="shared" si="5"/>
        <v>179.1044776119403</v>
      </c>
      <c r="J12" s="242">
        <f t="shared" si="6"/>
        <v>2238.8059701492539</v>
      </c>
      <c r="K12" s="153"/>
      <c r="M12" s="389" t="s">
        <v>41</v>
      </c>
      <c r="N12" s="343">
        <f>COUNT(C154:C176)</f>
        <v>22</v>
      </c>
      <c r="O12" s="345">
        <f>V177</f>
        <v>19</v>
      </c>
      <c r="P12" s="345">
        <f>W177</f>
        <v>3</v>
      </c>
      <c r="Q12" s="347">
        <f t="shared" ref="Q12" si="9">N12-O12-P12</f>
        <v>0</v>
      </c>
      <c r="R12" s="340">
        <f t="shared" si="8"/>
        <v>0.86363636363636365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43836</v>
      </c>
      <c r="D13" s="161" t="s">
        <v>8</v>
      </c>
      <c r="E13" s="161" t="s">
        <v>192</v>
      </c>
      <c r="F13" s="222">
        <v>212</v>
      </c>
      <c r="G13" s="222">
        <v>206</v>
      </c>
      <c r="H13" s="255">
        <v>6</v>
      </c>
      <c r="I13" s="207">
        <f t="shared" si="5"/>
        <v>1415.0943396226414</v>
      </c>
      <c r="J13" s="242">
        <f t="shared" si="6"/>
        <v>8490.566037735849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43837</v>
      </c>
      <c r="D14" s="161" t="s">
        <v>9</v>
      </c>
      <c r="E14" s="161" t="s">
        <v>49</v>
      </c>
      <c r="F14" s="222">
        <v>1690</v>
      </c>
      <c r="G14" s="222">
        <v>1700</v>
      </c>
      <c r="H14" s="222">
        <v>10</v>
      </c>
      <c r="I14" s="207">
        <f t="shared" si="5"/>
        <v>177.51479289940829</v>
      </c>
      <c r="J14" s="242">
        <f t="shared" si="6"/>
        <v>1775.147928994083</v>
      </c>
      <c r="K14" s="153"/>
      <c r="M14" s="389" t="s">
        <v>1175</v>
      </c>
      <c r="N14" s="343">
        <f>COUNT(C185:C207)</f>
        <v>22</v>
      </c>
      <c r="O14" s="345">
        <f>V208</f>
        <v>15</v>
      </c>
      <c r="P14" s="345">
        <f>W208</f>
        <v>6</v>
      </c>
      <c r="Q14" s="347">
        <f t="shared" ref="Q14" si="10">N14-O14-P14</f>
        <v>1</v>
      </c>
      <c r="R14" s="340">
        <f t="shared" si="8"/>
        <v>0.68181818181818177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43837</v>
      </c>
      <c r="D15" s="161" t="s">
        <v>8</v>
      </c>
      <c r="E15" s="161" t="s">
        <v>192</v>
      </c>
      <c r="F15" s="222">
        <v>211</v>
      </c>
      <c r="G15" s="222">
        <v>206</v>
      </c>
      <c r="H15" s="222">
        <v>5</v>
      </c>
      <c r="I15" s="207">
        <f t="shared" si="5"/>
        <v>1421.8009478672986</v>
      </c>
      <c r="J15" s="242">
        <f t="shared" si="6"/>
        <v>7109.004739336493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43838</v>
      </c>
      <c r="D16" s="161" t="s">
        <v>9</v>
      </c>
      <c r="E16" s="161" t="s">
        <v>49</v>
      </c>
      <c r="F16" s="222">
        <v>1685</v>
      </c>
      <c r="G16" s="222">
        <v>1715</v>
      </c>
      <c r="H16" s="222">
        <v>30</v>
      </c>
      <c r="I16" s="207">
        <f t="shared" si="5"/>
        <v>178.04154302670622</v>
      </c>
      <c r="J16" s="242">
        <f t="shared" si="6"/>
        <v>5341.2462908011867</v>
      </c>
      <c r="K16" s="153"/>
      <c r="L16" s="25" t="s">
        <v>2008</v>
      </c>
      <c r="M16" s="389" t="s">
        <v>1090</v>
      </c>
      <c r="N16" s="343">
        <f>COUNT(C216:C239)</f>
        <v>22</v>
      </c>
      <c r="O16" s="345">
        <f>V240</f>
        <v>17</v>
      </c>
      <c r="P16" s="345">
        <f>W240</f>
        <v>5</v>
      </c>
      <c r="Q16" s="347">
        <f t="shared" ref="Q16" si="11">N16-O16-P16</f>
        <v>0</v>
      </c>
      <c r="R16" s="340">
        <f t="shared" si="8"/>
        <v>0.77272727272727271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43838</v>
      </c>
      <c r="D17" s="161" t="s">
        <v>8</v>
      </c>
      <c r="E17" s="161" t="s">
        <v>78</v>
      </c>
      <c r="F17" s="222">
        <v>1300</v>
      </c>
      <c r="G17" s="222">
        <v>1284</v>
      </c>
      <c r="H17" s="222">
        <v>16</v>
      </c>
      <c r="I17" s="207">
        <f t="shared" si="5"/>
        <v>230.76923076923077</v>
      </c>
      <c r="J17" s="242">
        <f t="shared" si="6"/>
        <v>3692.3076923076924</v>
      </c>
      <c r="K17" s="153"/>
      <c r="M17" s="390"/>
      <c r="N17" s="344"/>
      <c r="O17" s="346"/>
      <c r="P17" s="346"/>
      <c r="Q17" s="348"/>
      <c r="R17" s="340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43839</v>
      </c>
      <c r="D18" s="161" t="s">
        <v>9</v>
      </c>
      <c r="E18" s="161" t="s">
        <v>98</v>
      </c>
      <c r="F18" s="222">
        <v>2335</v>
      </c>
      <c r="G18" s="222">
        <v>2360</v>
      </c>
      <c r="H18" s="222">
        <v>25</v>
      </c>
      <c r="I18" s="207">
        <f t="shared" si="5"/>
        <v>128.47965738758029</v>
      </c>
      <c r="J18" s="242">
        <f t="shared" si="6"/>
        <v>3211.9914346895071</v>
      </c>
      <c r="K18" s="153"/>
      <c r="M18" s="334" t="s">
        <v>946</v>
      </c>
      <c r="N18" s="336">
        <f>SUM(N4:N17)</f>
        <v>175</v>
      </c>
      <c r="O18" s="336">
        <f t="shared" ref="O18:Q18" si="12">SUM(O4:O17)</f>
        <v>140</v>
      </c>
      <c r="P18" s="336">
        <f t="shared" si="12"/>
        <v>33</v>
      </c>
      <c r="Q18" s="338">
        <f t="shared" si="12"/>
        <v>2</v>
      </c>
      <c r="R18" s="314">
        <f t="shared" ref="R18" si="13">O18/N18</f>
        <v>0.8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43839</v>
      </c>
      <c r="D19" s="161" t="s">
        <v>8</v>
      </c>
      <c r="E19" s="161" t="s">
        <v>2911</v>
      </c>
      <c r="F19" s="222">
        <v>175.5</v>
      </c>
      <c r="G19" s="222">
        <v>172.6</v>
      </c>
      <c r="H19" s="222">
        <v>2.9</v>
      </c>
      <c r="I19" s="207">
        <f t="shared" si="5"/>
        <v>1709.4017094017095</v>
      </c>
      <c r="J19" s="242">
        <f t="shared" si="6"/>
        <v>4957.264957264957</v>
      </c>
      <c r="K19" s="153"/>
      <c r="M19" s="335"/>
      <c r="N19" s="337"/>
      <c r="O19" s="337"/>
      <c r="P19" s="337"/>
      <c r="Q19" s="339"/>
      <c r="R19" s="31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43840</v>
      </c>
      <c r="D20" s="161" t="s">
        <v>9</v>
      </c>
      <c r="E20" s="161" t="s">
        <v>98</v>
      </c>
      <c r="F20" s="222">
        <v>2380</v>
      </c>
      <c r="G20" s="222">
        <v>2355</v>
      </c>
      <c r="H20" s="222">
        <v>-25</v>
      </c>
      <c r="I20" s="207">
        <f t="shared" si="5"/>
        <v>126.05042016806723</v>
      </c>
      <c r="J20" s="242">
        <f t="shared" si="6"/>
        <v>-3151.2605042016808</v>
      </c>
      <c r="K20" s="153"/>
      <c r="M20" s="316" t="s">
        <v>2253</v>
      </c>
      <c r="N20" s="317"/>
      <c r="O20" s="318"/>
      <c r="P20" s="325">
        <f>R18</f>
        <v>0.8</v>
      </c>
      <c r="Q20" s="326"/>
      <c r="R20" s="327"/>
      <c r="V20" s="25">
        <f t="shared" si="2"/>
        <v>0</v>
      </c>
      <c r="W20" s="25">
        <f t="shared" si="3"/>
        <v>1</v>
      </c>
    </row>
    <row r="21" spans="1:23" ht="15" customHeight="1" x14ac:dyDescent="0.3">
      <c r="A21" s="147"/>
      <c r="B21" s="205">
        <f t="shared" si="4"/>
        <v>16</v>
      </c>
      <c r="C21" s="206">
        <v>43840</v>
      </c>
      <c r="D21" s="161" t="s">
        <v>8</v>
      </c>
      <c r="E21" s="161" t="s">
        <v>2914</v>
      </c>
      <c r="F21" s="222">
        <v>82</v>
      </c>
      <c r="G21" s="222">
        <v>81.099999999999994</v>
      </c>
      <c r="H21" s="222">
        <v>0.9</v>
      </c>
      <c r="I21" s="207">
        <f t="shared" si="5"/>
        <v>3658.5365853658536</v>
      </c>
      <c r="J21" s="242">
        <f t="shared" si="6"/>
        <v>3292.6829268292681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43843</v>
      </c>
      <c r="D22" s="161" t="s">
        <v>9</v>
      </c>
      <c r="E22" s="161" t="s">
        <v>395</v>
      </c>
      <c r="F22" s="222">
        <v>2965</v>
      </c>
      <c r="G22" s="222">
        <v>2940</v>
      </c>
      <c r="H22" s="222">
        <v>25</v>
      </c>
      <c r="I22" s="207">
        <f t="shared" si="5"/>
        <v>101.1804384485666</v>
      </c>
      <c r="J22" s="242">
        <f t="shared" si="6"/>
        <v>2529.510961214165</v>
      </c>
      <c r="K22" s="153"/>
      <c r="M22" s="322"/>
      <c r="N22" s="323"/>
      <c r="O22" s="324"/>
      <c r="P22" s="331"/>
      <c r="Q22" s="332"/>
      <c r="R22" s="33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43843</v>
      </c>
      <c r="D23" s="161" t="s">
        <v>8</v>
      </c>
      <c r="E23" s="161" t="s">
        <v>192</v>
      </c>
      <c r="F23" s="222">
        <v>215</v>
      </c>
      <c r="G23" s="222">
        <v>214</v>
      </c>
      <c r="H23" s="222">
        <v>1</v>
      </c>
      <c r="I23" s="207">
        <f t="shared" si="5"/>
        <v>1395.3488372093022</v>
      </c>
      <c r="J23" s="242">
        <f t="shared" si="6"/>
        <v>1395.3488372093022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43845</v>
      </c>
      <c r="D24" s="161" t="s">
        <v>9</v>
      </c>
      <c r="E24" s="161" t="s">
        <v>129</v>
      </c>
      <c r="F24" s="222">
        <v>2485</v>
      </c>
      <c r="G24" s="222">
        <v>2465</v>
      </c>
      <c r="H24" s="222">
        <v>-20</v>
      </c>
      <c r="I24" s="207">
        <f t="shared" si="5"/>
        <v>120.72434607645876</v>
      </c>
      <c r="J24" s="242">
        <f t="shared" si="6"/>
        <v>-2414.4869215291751</v>
      </c>
      <c r="K24" s="153"/>
      <c r="V24" s="25">
        <f t="shared" si="2"/>
        <v>0</v>
      </c>
      <c r="W24" s="25">
        <f t="shared" si="3"/>
        <v>1</v>
      </c>
    </row>
    <row r="25" spans="1:23" x14ac:dyDescent="0.3">
      <c r="A25" s="147"/>
      <c r="B25" s="205">
        <f t="shared" si="4"/>
        <v>20</v>
      </c>
      <c r="C25" s="206">
        <v>43845</v>
      </c>
      <c r="D25" s="161" t="s">
        <v>8</v>
      </c>
      <c r="E25" s="161" t="s">
        <v>19</v>
      </c>
      <c r="F25" s="222">
        <v>324</v>
      </c>
      <c r="G25" s="222">
        <v>322.60000000000002</v>
      </c>
      <c r="H25" s="222">
        <v>1.4</v>
      </c>
      <c r="I25" s="207">
        <f t="shared" si="5"/>
        <v>925.92592592592598</v>
      </c>
      <c r="J25" s="242">
        <f t="shared" si="6"/>
        <v>1296.2962962962963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43846</v>
      </c>
      <c r="D26" s="161" t="s">
        <v>9</v>
      </c>
      <c r="E26" s="161" t="s">
        <v>58</v>
      </c>
      <c r="F26" s="222">
        <v>749</v>
      </c>
      <c r="G26" s="222">
        <v>743</v>
      </c>
      <c r="H26" s="222">
        <v>-6</v>
      </c>
      <c r="I26" s="207">
        <f t="shared" si="5"/>
        <v>400.53404539385849</v>
      </c>
      <c r="J26" s="242">
        <f t="shared" si="6"/>
        <v>-2403.2042723631512</v>
      </c>
      <c r="K26" s="153"/>
      <c r="V26" s="25">
        <f t="shared" si="2"/>
        <v>0</v>
      </c>
      <c r="W26" s="25">
        <f t="shared" si="3"/>
        <v>1</v>
      </c>
    </row>
    <row r="27" spans="1:23" x14ac:dyDescent="0.3">
      <c r="A27" s="147"/>
      <c r="B27" s="205">
        <f t="shared" si="4"/>
        <v>22</v>
      </c>
      <c r="C27" s="206">
        <v>43846</v>
      </c>
      <c r="D27" s="161" t="s">
        <v>8</v>
      </c>
      <c r="E27" s="161" t="s">
        <v>25</v>
      </c>
      <c r="F27" s="222">
        <v>496</v>
      </c>
      <c r="G27" s="222">
        <v>493.2</v>
      </c>
      <c r="H27" s="222">
        <v>2.8</v>
      </c>
      <c r="I27" s="207">
        <f t="shared" si="5"/>
        <v>604.83870967741939</v>
      </c>
      <c r="J27" s="242">
        <f t="shared" si="6"/>
        <v>1693.5483870967741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43847</v>
      </c>
      <c r="D28" s="161" t="s">
        <v>9</v>
      </c>
      <c r="E28" s="161" t="s">
        <v>2107</v>
      </c>
      <c r="F28" s="222">
        <v>1580</v>
      </c>
      <c r="G28" s="222">
        <v>1610</v>
      </c>
      <c r="H28" s="222">
        <v>30</v>
      </c>
      <c r="I28" s="207">
        <f t="shared" si="5"/>
        <v>189.87341772151899</v>
      </c>
      <c r="J28" s="242">
        <f t="shared" si="6"/>
        <v>5696.2025316455693</v>
      </c>
      <c r="K28" s="153"/>
      <c r="M28" s="25" t="s">
        <v>2008</v>
      </c>
      <c r="V28" s="25">
        <f t="shared" si="2"/>
        <v>1</v>
      </c>
      <c r="W28" s="25">
        <f t="shared" si="3"/>
        <v>0</v>
      </c>
    </row>
    <row r="29" spans="1:23" x14ac:dyDescent="0.3">
      <c r="A29" s="147"/>
      <c r="B29" s="205">
        <f t="shared" si="4"/>
        <v>24</v>
      </c>
      <c r="C29" s="206">
        <v>43847</v>
      </c>
      <c r="D29" s="161" t="s">
        <v>8</v>
      </c>
      <c r="E29" s="161" t="s">
        <v>1064</v>
      </c>
      <c r="F29" s="222">
        <v>1440</v>
      </c>
      <c r="G29" s="222">
        <v>1434.5</v>
      </c>
      <c r="H29" s="222">
        <v>5.5</v>
      </c>
      <c r="I29" s="207">
        <f t="shared" si="5"/>
        <v>208.33333333333334</v>
      </c>
      <c r="J29" s="242">
        <f t="shared" si="6"/>
        <v>1145.8333333333335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43850</v>
      </c>
      <c r="D30" s="161" t="s">
        <v>9</v>
      </c>
      <c r="E30" s="161" t="s">
        <v>95</v>
      </c>
      <c r="F30" s="222">
        <v>535</v>
      </c>
      <c r="G30" s="222">
        <v>543</v>
      </c>
      <c r="H30" s="222">
        <v>8</v>
      </c>
      <c r="I30" s="207">
        <f t="shared" si="5"/>
        <v>560.74766355140184</v>
      </c>
      <c r="J30" s="242">
        <f t="shared" si="6"/>
        <v>4485.9813084112147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43850</v>
      </c>
      <c r="D31" s="161" t="s">
        <v>8</v>
      </c>
      <c r="E31" s="161" t="s">
        <v>31</v>
      </c>
      <c r="F31" s="222">
        <v>1550</v>
      </c>
      <c r="G31" s="222">
        <v>1526.5</v>
      </c>
      <c r="H31" s="222">
        <v>23.5</v>
      </c>
      <c r="I31" s="207">
        <f t="shared" si="5"/>
        <v>193.54838709677421</v>
      </c>
      <c r="J31" s="242">
        <f t="shared" si="6"/>
        <v>4548.3870967741941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43851</v>
      </c>
      <c r="D32" s="161" t="s">
        <v>9</v>
      </c>
      <c r="E32" s="161" t="s">
        <v>31</v>
      </c>
      <c r="F32" s="222">
        <v>1542</v>
      </c>
      <c r="G32" s="222">
        <v>1532</v>
      </c>
      <c r="H32" s="222">
        <v>-10</v>
      </c>
      <c r="I32" s="207">
        <f t="shared" si="5"/>
        <v>194.55252918287937</v>
      </c>
      <c r="J32" s="242">
        <f t="shared" si="6"/>
        <v>-1945.5252918287938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43851</v>
      </c>
      <c r="D33" s="161" t="s">
        <v>8</v>
      </c>
      <c r="E33" s="161" t="s">
        <v>2921</v>
      </c>
      <c r="F33" s="222">
        <v>558</v>
      </c>
      <c r="G33" s="222">
        <v>548</v>
      </c>
      <c r="H33" s="222">
        <v>10</v>
      </c>
      <c r="I33" s="207">
        <f t="shared" si="5"/>
        <v>537.63440860215053</v>
      </c>
      <c r="J33" s="242">
        <f t="shared" si="6"/>
        <v>5376.3440860215051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43852</v>
      </c>
      <c r="D34" s="161" t="s">
        <v>9</v>
      </c>
      <c r="E34" s="161" t="s">
        <v>95</v>
      </c>
      <c r="F34" s="222">
        <v>532</v>
      </c>
      <c r="G34" s="222">
        <v>528</v>
      </c>
      <c r="H34" s="222">
        <v>-4</v>
      </c>
      <c r="I34" s="207">
        <f t="shared" si="5"/>
        <v>563.90977443609017</v>
      </c>
      <c r="J34" s="242">
        <f t="shared" si="6"/>
        <v>-2255.6390977443607</v>
      </c>
      <c r="K34" s="153"/>
      <c r="V34" s="25">
        <f t="shared" si="2"/>
        <v>0</v>
      </c>
      <c r="W34" s="25">
        <f t="shared" si="3"/>
        <v>1</v>
      </c>
    </row>
    <row r="35" spans="1:23" x14ac:dyDescent="0.3">
      <c r="A35" s="147"/>
      <c r="B35" s="205">
        <f t="shared" si="4"/>
        <v>30</v>
      </c>
      <c r="C35" s="206">
        <v>43852</v>
      </c>
      <c r="D35" s="161" t="s">
        <v>8</v>
      </c>
      <c r="E35" s="161" t="s">
        <v>78</v>
      </c>
      <c r="F35" s="222">
        <v>1303</v>
      </c>
      <c r="G35" s="222">
        <v>1293</v>
      </c>
      <c r="H35" s="222">
        <v>10</v>
      </c>
      <c r="I35" s="207">
        <f t="shared" si="5"/>
        <v>230.23791250959326</v>
      </c>
      <c r="J35" s="242">
        <f t="shared" si="6"/>
        <v>2302.3791250959325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43853</v>
      </c>
      <c r="D36" s="161" t="s">
        <v>9</v>
      </c>
      <c r="E36" s="161" t="s">
        <v>1617</v>
      </c>
      <c r="F36" s="222">
        <v>1905</v>
      </c>
      <c r="G36" s="222">
        <v>1935</v>
      </c>
      <c r="H36" s="222">
        <v>30</v>
      </c>
      <c r="I36" s="207">
        <f t="shared" si="5"/>
        <v>157.48031496062993</v>
      </c>
      <c r="J36" s="242">
        <f t="shared" si="6"/>
        <v>4724.4094488188975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43853</v>
      </c>
      <c r="D37" s="161" t="s">
        <v>8</v>
      </c>
      <c r="E37" s="161" t="s">
        <v>37</v>
      </c>
      <c r="F37" s="222">
        <v>203.5</v>
      </c>
      <c r="G37" s="222">
        <v>202.9</v>
      </c>
      <c r="H37" s="222">
        <v>0.6</v>
      </c>
      <c r="I37" s="207">
        <f t="shared" si="5"/>
        <v>1474.2014742014742</v>
      </c>
      <c r="J37" s="242">
        <f t="shared" si="6"/>
        <v>884.52088452088447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43854</v>
      </c>
      <c r="D38" s="161" t="s">
        <v>9</v>
      </c>
      <c r="E38" s="161" t="s">
        <v>2925</v>
      </c>
      <c r="F38" s="222">
        <v>514</v>
      </c>
      <c r="G38" s="222">
        <v>521.5</v>
      </c>
      <c r="H38" s="222">
        <v>7.5</v>
      </c>
      <c r="I38" s="207">
        <f t="shared" si="5"/>
        <v>583.65758754863816</v>
      </c>
      <c r="J38" s="242">
        <f t="shared" si="6"/>
        <v>4377.4319066147864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43854</v>
      </c>
      <c r="D39" s="161" t="s">
        <v>8</v>
      </c>
      <c r="E39" s="161" t="s">
        <v>129</v>
      </c>
      <c r="F39" s="222">
        <v>2440</v>
      </c>
      <c r="G39" s="222">
        <v>2431</v>
      </c>
      <c r="H39" s="222">
        <v>9</v>
      </c>
      <c r="I39" s="207">
        <f t="shared" si="5"/>
        <v>122.95081967213115</v>
      </c>
      <c r="J39" s="242">
        <f t="shared" si="6"/>
        <v>1106.5573770491803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43857</v>
      </c>
      <c r="D40" s="161" t="s">
        <v>9</v>
      </c>
      <c r="E40" s="161" t="s">
        <v>95</v>
      </c>
      <c r="F40" s="222">
        <v>544</v>
      </c>
      <c r="G40" s="222">
        <v>539</v>
      </c>
      <c r="H40" s="222">
        <v>-5</v>
      </c>
      <c r="I40" s="207">
        <f t="shared" si="5"/>
        <v>551.47058823529414</v>
      </c>
      <c r="J40" s="242">
        <f t="shared" si="6"/>
        <v>-2757.3529411764707</v>
      </c>
      <c r="K40" s="153"/>
      <c r="V40" s="25">
        <f t="shared" si="2"/>
        <v>0</v>
      </c>
      <c r="W40" s="25">
        <f t="shared" si="3"/>
        <v>1</v>
      </c>
    </row>
    <row r="41" spans="1:23" x14ac:dyDescent="0.3">
      <c r="A41" s="147"/>
      <c r="B41" s="205">
        <f t="shared" si="4"/>
        <v>36</v>
      </c>
      <c r="C41" s="206">
        <v>43857</v>
      </c>
      <c r="D41" s="161" t="s">
        <v>8</v>
      </c>
      <c r="E41" s="161" t="s">
        <v>2926</v>
      </c>
      <c r="F41" s="222">
        <v>180.5</v>
      </c>
      <c r="G41" s="223">
        <v>177.7</v>
      </c>
      <c r="H41" s="222">
        <v>2.8</v>
      </c>
      <c r="I41" s="207">
        <f t="shared" si="5"/>
        <v>1662.0498614958449</v>
      </c>
      <c r="J41" s="242">
        <f t="shared" si="6"/>
        <v>4653.7396121883658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43858</v>
      </c>
      <c r="D42" s="161" t="s">
        <v>9</v>
      </c>
      <c r="E42" s="161" t="s">
        <v>862</v>
      </c>
      <c r="F42" s="222">
        <v>546</v>
      </c>
      <c r="G42" s="222">
        <v>540</v>
      </c>
      <c r="H42" s="222">
        <v>-6</v>
      </c>
      <c r="I42" s="207">
        <f t="shared" si="5"/>
        <v>549.45054945054949</v>
      </c>
      <c r="J42" s="242">
        <f t="shared" si="6"/>
        <v>-3296.7032967032969</v>
      </c>
      <c r="K42" s="153"/>
      <c r="V42" s="25">
        <f t="shared" si="2"/>
        <v>0</v>
      </c>
      <c r="W42" s="25">
        <f t="shared" si="3"/>
        <v>1</v>
      </c>
    </row>
    <row r="43" spans="1:23" x14ac:dyDescent="0.3">
      <c r="A43" s="147"/>
      <c r="B43" s="205">
        <f t="shared" si="4"/>
        <v>38</v>
      </c>
      <c r="C43" s="206">
        <v>43858</v>
      </c>
      <c r="D43" s="161" t="s">
        <v>8</v>
      </c>
      <c r="E43" s="161" t="s">
        <v>173</v>
      </c>
      <c r="F43" s="222">
        <v>1777</v>
      </c>
      <c r="G43" s="222">
        <v>1775</v>
      </c>
      <c r="H43" s="222">
        <v>2</v>
      </c>
      <c r="I43" s="207">
        <f t="shared" si="5"/>
        <v>168.82386043894203</v>
      </c>
      <c r="J43" s="242">
        <f t="shared" si="6"/>
        <v>337.64772087788407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43859</v>
      </c>
      <c r="D44" s="161" t="s">
        <v>9</v>
      </c>
      <c r="E44" s="161" t="s">
        <v>60</v>
      </c>
      <c r="F44" s="222">
        <v>1230</v>
      </c>
      <c r="G44" s="222">
        <v>1240</v>
      </c>
      <c r="H44" s="222">
        <v>10</v>
      </c>
      <c r="I44" s="207">
        <f t="shared" si="5"/>
        <v>243.90243902439025</v>
      </c>
      <c r="J44" s="242">
        <f t="shared" si="6"/>
        <v>2439.0243902439024</v>
      </c>
      <c r="K44" s="153"/>
      <c r="V44" s="25">
        <f t="shared" si="2"/>
        <v>1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>
        <v>43859</v>
      </c>
      <c r="D45" s="161" t="s">
        <v>8</v>
      </c>
      <c r="E45" s="161" t="s">
        <v>95</v>
      </c>
      <c r="F45" s="222">
        <v>531</v>
      </c>
      <c r="G45" s="222">
        <v>525.25</v>
      </c>
      <c r="H45" s="222">
        <v>5.75</v>
      </c>
      <c r="I45" s="207">
        <f t="shared" si="5"/>
        <v>564.9717514124294</v>
      </c>
      <c r="J45" s="242">
        <f t="shared" si="6"/>
        <v>3248.5875706214692</v>
      </c>
      <c r="K45" s="153"/>
      <c r="V45" s="25">
        <f t="shared" si="2"/>
        <v>1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>
        <v>43860</v>
      </c>
      <c r="D46" s="161" t="s">
        <v>9</v>
      </c>
      <c r="E46" s="161" t="s">
        <v>129</v>
      </c>
      <c r="F46" s="222">
        <v>2415</v>
      </c>
      <c r="G46" s="222">
        <v>2426</v>
      </c>
      <c r="H46" s="222">
        <v>11</v>
      </c>
      <c r="I46" s="207">
        <f t="shared" si="5"/>
        <v>124.22360248447205</v>
      </c>
      <c r="J46" s="242">
        <f t="shared" si="6"/>
        <v>1366.4596273291927</v>
      </c>
      <c r="K46" s="153"/>
      <c r="V46" s="25">
        <f t="shared" si="2"/>
        <v>1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>
        <v>43860</v>
      </c>
      <c r="D47" s="161" t="s">
        <v>8</v>
      </c>
      <c r="E47" s="161" t="s">
        <v>94</v>
      </c>
      <c r="F47" s="222">
        <v>1226</v>
      </c>
      <c r="G47" s="222">
        <v>1217.5</v>
      </c>
      <c r="H47" s="222">
        <v>8.5</v>
      </c>
      <c r="I47" s="207">
        <f t="shared" si="5"/>
        <v>244.69820554649266</v>
      </c>
      <c r="J47" s="242">
        <f t="shared" si="6"/>
        <v>2079.9347471451874</v>
      </c>
      <c r="K47" s="153"/>
      <c r="V47" s="25">
        <f t="shared" si="2"/>
        <v>1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>
        <v>43861</v>
      </c>
      <c r="D48" s="161" t="s">
        <v>9</v>
      </c>
      <c r="E48" s="161" t="s">
        <v>129</v>
      </c>
      <c r="F48" s="222">
        <v>2425</v>
      </c>
      <c r="G48" s="222">
        <v>2432</v>
      </c>
      <c r="H48" s="222">
        <v>7</v>
      </c>
      <c r="I48" s="207">
        <f t="shared" si="5"/>
        <v>123.71134020618557</v>
      </c>
      <c r="J48" s="242">
        <f t="shared" si="6"/>
        <v>865.97938144329896</v>
      </c>
      <c r="K48" s="153"/>
      <c r="V48" s="25">
        <f t="shared" si="2"/>
        <v>1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>
        <v>43861</v>
      </c>
      <c r="D49" s="161" t="s">
        <v>8</v>
      </c>
      <c r="E49" s="161" t="s">
        <v>192</v>
      </c>
      <c r="F49" s="222">
        <v>202</v>
      </c>
      <c r="G49" s="222">
        <v>200.8</v>
      </c>
      <c r="H49" s="222">
        <v>1.2</v>
      </c>
      <c r="I49" s="207">
        <f t="shared" si="5"/>
        <v>1485.1485148514851</v>
      </c>
      <c r="J49" s="242">
        <f t="shared" si="6"/>
        <v>1782.178217821782</v>
      </c>
      <c r="K49" s="153"/>
      <c r="V49" s="25">
        <f t="shared" si="2"/>
        <v>1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90343.706095181653</v>
      </c>
      <c r="K52" s="153"/>
      <c r="V52" s="25">
        <f>SUM(V6:V51)</f>
        <v>36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2930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43831</v>
      </c>
      <c r="D60" s="158" t="s">
        <v>9</v>
      </c>
      <c r="E60" s="158" t="s">
        <v>58</v>
      </c>
      <c r="F60" s="230">
        <v>759</v>
      </c>
      <c r="G60" s="230">
        <v>752</v>
      </c>
      <c r="H60" s="230">
        <v>-7</v>
      </c>
      <c r="I60" s="204">
        <v>1200</v>
      </c>
      <c r="J60" s="241">
        <f t="shared" ref="J60:J83" si="14">I60*H60</f>
        <v>-8400</v>
      </c>
      <c r="K60" s="153"/>
      <c r="V60" s="25">
        <f>IF($J60&gt;0,1,0)</f>
        <v>0</v>
      </c>
      <c r="W60" s="25">
        <f>IF($J60&lt;0,1,0)</f>
        <v>1</v>
      </c>
    </row>
    <row r="61" spans="1:23" x14ac:dyDescent="0.3">
      <c r="A61" s="147"/>
      <c r="B61" s="205">
        <f>B60+1</f>
        <v>2</v>
      </c>
      <c r="C61" s="206">
        <v>43832</v>
      </c>
      <c r="D61" s="161" t="s">
        <v>9</v>
      </c>
      <c r="E61" s="161" t="s">
        <v>31</v>
      </c>
      <c r="F61" s="207">
        <v>1535</v>
      </c>
      <c r="G61" s="222">
        <v>1545</v>
      </c>
      <c r="H61" s="222">
        <v>10</v>
      </c>
      <c r="I61" s="207">
        <v>500</v>
      </c>
      <c r="J61" s="242">
        <f t="shared" si="14"/>
        <v>5000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43833</v>
      </c>
      <c r="D62" s="161" t="s">
        <v>8</v>
      </c>
      <c r="E62" s="161" t="s">
        <v>58</v>
      </c>
      <c r="F62" s="222">
        <v>753</v>
      </c>
      <c r="G62" s="222">
        <v>743.5</v>
      </c>
      <c r="H62" s="222">
        <v>9.5</v>
      </c>
      <c r="I62" s="207">
        <v>1200</v>
      </c>
      <c r="J62" s="242">
        <f t="shared" si="14"/>
        <v>11400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43836</v>
      </c>
      <c r="D63" s="161" t="s">
        <v>9</v>
      </c>
      <c r="E63" s="161" t="s">
        <v>31</v>
      </c>
      <c r="F63" s="222">
        <v>1530</v>
      </c>
      <c r="G63" s="222">
        <v>1534.7</v>
      </c>
      <c r="H63" s="222">
        <v>4.7</v>
      </c>
      <c r="I63" s="207">
        <v>500</v>
      </c>
      <c r="J63" s="242">
        <f t="shared" si="14"/>
        <v>2350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43837</v>
      </c>
      <c r="D64" s="161" t="s">
        <v>9</v>
      </c>
      <c r="E64" s="161" t="s">
        <v>90</v>
      </c>
      <c r="F64" s="222">
        <v>773</v>
      </c>
      <c r="G64" s="222">
        <v>780</v>
      </c>
      <c r="H64" s="222">
        <v>7</v>
      </c>
      <c r="I64" s="207">
        <v>1200</v>
      </c>
      <c r="J64" s="242">
        <f t="shared" si="14"/>
        <v>8400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43838</v>
      </c>
      <c r="D65" s="161" t="s">
        <v>8</v>
      </c>
      <c r="E65" s="161" t="s">
        <v>58</v>
      </c>
      <c r="F65" s="207">
        <v>722</v>
      </c>
      <c r="G65" s="222">
        <v>717</v>
      </c>
      <c r="H65" s="222">
        <v>5</v>
      </c>
      <c r="I65" s="207">
        <v>1200</v>
      </c>
      <c r="J65" s="242">
        <f t="shared" si="14"/>
        <v>6000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43839</v>
      </c>
      <c r="D66" s="161" t="s">
        <v>8</v>
      </c>
      <c r="E66" s="161" t="s">
        <v>58</v>
      </c>
      <c r="F66" s="207">
        <v>740</v>
      </c>
      <c r="G66" s="222">
        <v>745</v>
      </c>
      <c r="H66" s="222">
        <v>-5</v>
      </c>
      <c r="I66" s="207">
        <v>1200</v>
      </c>
      <c r="J66" s="242">
        <f t="shared" si="14"/>
        <v>-6000</v>
      </c>
      <c r="K66" s="153"/>
      <c r="V66" s="25">
        <f t="shared" si="15"/>
        <v>0</v>
      </c>
      <c r="W66" s="25">
        <f t="shared" si="16"/>
        <v>1</v>
      </c>
    </row>
    <row r="67" spans="1:23" x14ac:dyDescent="0.3">
      <c r="A67" s="147"/>
      <c r="B67" s="205">
        <f t="shared" si="17"/>
        <v>8</v>
      </c>
      <c r="C67" s="206">
        <v>43840</v>
      </c>
      <c r="D67" s="161" t="s">
        <v>9</v>
      </c>
      <c r="E67" s="161" t="s">
        <v>31</v>
      </c>
      <c r="F67" s="222">
        <v>1556</v>
      </c>
      <c r="G67" s="222">
        <v>1560.5</v>
      </c>
      <c r="H67" s="222">
        <v>4.5</v>
      </c>
      <c r="I67" s="207">
        <v>500</v>
      </c>
      <c r="J67" s="242">
        <f t="shared" si="14"/>
        <v>2250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43843</v>
      </c>
      <c r="D68" s="161" t="s">
        <v>9</v>
      </c>
      <c r="E68" s="161" t="s">
        <v>78</v>
      </c>
      <c r="F68" s="222">
        <v>1339</v>
      </c>
      <c r="G68" s="222">
        <v>1338</v>
      </c>
      <c r="H68" s="222">
        <v>-1</v>
      </c>
      <c r="I68" s="207">
        <v>375</v>
      </c>
      <c r="J68" s="242">
        <f t="shared" si="14"/>
        <v>-375</v>
      </c>
      <c r="K68" s="153"/>
      <c r="V68" s="25">
        <f t="shared" si="15"/>
        <v>0</v>
      </c>
      <c r="W68" s="25">
        <f t="shared" si="16"/>
        <v>1</v>
      </c>
    </row>
    <row r="69" spans="1:23" x14ac:dyDescent="0.3">
      <c r="A69" s="147"/>
      <c r="B69" s="205">
        <f t="shared" si="17"/>
        <v>10</v>
      </c>
      <c r="C69" s="206">
        <v>43845</v>
      </c>
      <c r="D69" s="161" t="s">
        <v>8</v>
      </c>
      <c r="E69" s="161" t="s">
        <v>31</v>
      </c>
      <c r="F69" s="222">
        <v>1530</v>
      </c>
      <c r="G69" s="222">
        <v>1527</v>
      </c>
      <c r="H69" s="222">
        <v>3</v>
      </c>
      <c r="I69" s="207">
        <v>500</v>
      </c>
      <c r="J69" s="242">
        <f t="shared" si="14"/>
        <v>1500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43846</v>
      </c>
      <c r="D70" s="161" t="s">
        <v>9</v>
      </c>
      <c r="E70" s="161" t="s">
        <v>31</v>
      </c>
      <c r="F70" s="161">
        <v>1540</v>
      </c>
      <c r="G70" s="222">
        <v>1544</v>
      </c>
      <c r="H70" s="222">
        <v>4</v>
      </c>
      <c r="I70" s="207">
        <v>500</v>
      </c>
      <c r="J70" s="242">
        <f t="shared" si="14"/>
        <v>2000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43847</v>
      </c>
      <c r="D71" s="161" t="s">
        <v>8</v>
      </c>
      <c r="E71" s="161" t="s">
        <v>78</v>
      </c>
      <c r="F71" s="222">
        <v>1320</v>
      </c>
      <c r="G71" s="222">
        <v>1312.6</v>
      </c>
      <c r="H71" s="222">
        <v>7.4</v>
      </c>
      <c r="I71" s="207">
        <v>375</v>
      </c>
      <c r="J71" s="242">
        <f t="shared" si="14"/>
        <v>2775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43850</v>
      </c>
      <c r="D72" s="161" t="s">
        <v>8</v>
      </c>
      <c r="E72" s="161" t="s">
        <v>78</v>
      </c>
      <c r="F72" s="222">
        <v>1310</v>
      </c>
      <c r="G72" s="222">
        <v>1320</v>
      </c>
      <c r="H72" s="222">
        <v>-10</v>
      </c>
      <c r="I72" s="207">
        <v>375</v>
      </c>
      <c r="J72" s="242">
        <f t="shared" si="14"/>
        <v>-3750</v>
      </c>
      <c r="K72" s="153"/>
      <c r="V72" s="25">
        <f t="shared" si="15"/>
        <v>0</v>
      </c>
      <c r="W72" s="25">
        <f t="shared" si="16"/>
        <v>1</v>
      </c>
    </row>
    <row r="73" spans="1:23" x14ac:dyDescent="0.3">
      <c r="A73" s="147"/>
      <c r="B73" s="205">
        <f t="shared" si="17"/>
        <v>14</v>
      </c>
      <c r="C73" s="206">
        <v>43851</v>
      </c>
      <c r="D73" s="161" t="s">
        <v>8</v>
      </c>
      <c r="E73" s="161" t="s">
        <v>173</v>
      </c>
      <c r="F73" s="223">
        <v>1815</v>
      </c>
      <c r="G73" s="222">
        <v>1800</v>
      </c>
      <c r="H73" s="255">
        <v>15</v>
      </c>
      <c r="I73" s="207">
        <v>600</v>
      </c>
      <c r="J73" s="242">
        <f t="shared" si="14"/>
        <v>9000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43852</v>
      </c>
      <c r="D74" s="161" t="s">
        <v>8</v>
      </c>
      <c r="E74" s="161" t="s">
        <v>173</v>
      </c>
      <c r="F74" s="222">
        <v>1790</v>
      </c>
      <c r="G74" s="222">
        <v>1779</v>
      </c>
      <c r="H74" s="255">
        <v>11</v>
      </c>
      <c r="I74" s="207">
        <v>600</v>
      </c>
      <c r="J74" s="242">
        <f t="shared" si="14"/>
        <v>6600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43853</v>
      </c>
      <c r="D75" s="161" t="s">
        <v>9</v>
      </c>
      <c r="E75" s="161" t="s">
        <v>78</v>
      </c>
      <c r="F75" s="222">
        <v>1335</v>
      </c>
      <c r="G75" s="222">
        <v>1338</v>
      </c>
      <c r="H75" s="222">
        <v>3</v>
      </c>
      <c r="I75" s="207">
        <v>375</v>
      </c>
      <c r="J75" s="242">
        <f t="shared" si="14"/>
        <v>1125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43854</v>
      </c>
      <c r="D76" s="161" t="s">
        <v>8</v>
      </c>
      <c r="E76" s="161" t="s">
        <v>31</v>
      </c>
      <c r="F76" s="222">
        <v>1533</v>
      </c>
      <c r="G76" s="222">
        <v>1523</v>
      </c>
      <c r="H76" s="222">
        <v>10</v>
      </c>
      <c r="I76" s="207">
        <v>500</v>
      </c>
      <c r="J76" s="242">
        <f t="shared" si="14"/>
        <v>5000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43857</v>
      </c>
      <c r="D77" s="161" t="s">
        <v>8</v>
      </c>
      <c r="E77" s="161" t="s">
        <v>31</v>
      </c>
      <c r="F77" s="222">
        <v>1521</v>
      </c>
      <c r="G77" s="222">
        <v>1506</v>
      </c>
      <c r="H77" s="222">
        <v>15</v>
      </c>
      <c r="I77" s="207">
        <v>500</v>
      </c>
      <c r="J77" s="242">
        <f t="shared" si="14"/>
        <v>7500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43858</v>
      </c>
      <c r="D78" s="161" t="s">
        <v>8</v>
      </c>
      <c r="E78" s="161" t="s">
        <v>31</v>
      </c>
      <c r="F78" s="222">
        <v>1501</v>
      </c>
      <c r="G78" s="222">
        <v>1481</v>
      </c>
      <c r="H78" s="222">
        <v>20</v>
      </c>
      <c r="I78" s="207">
        <v>500</v>
      </c>
      <c r="J78" s="242">
        <f t="shared" si="14"/>
        <v>10000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43859</v>
      </c>
      <c r="D79" s="161" t="s">
        <v>8</v>
      </c>
      <c r="E79" s="161" t="s">
        <v>31</v>
      </c>
      <c r="F79" s="222">
        <v>1485</v>
      </c>
      <c r="G79" s="222">
        <v>1465</v>
      </c>
      <c r="H79" s="222">
        <v>20</v>
      </c>
      <c r="I79" s="207">
        <v>500</v>
      </c>
      <c r="J79" s="242">
        <f t="shared" si="14"/>
        <v>10000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43860</v>
      </c>
      <c r="D80" s="161" t="s">
        <v>8</v>
      </c>
      <c r="E80" s="161" t="s">
        <v>58</v>
      </c>
      <c r="F80" s="222">
        <v>730</v>
      </c>
      <c r="G80" s="222">
        <v>727</v>
      </c>
      <c r="H80" s="222">
        <v>3</v>
      </c>
      <c r="I80" s="207">
        <v>1200</v>
      </c>
      <c r="J80" s="242">
        <f t="shared" si="14"/>
        <v>3600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>
        <v>43861</v>
      </c>
      <c r="D81" s="161" t="s">
        <v>8</v>
      </c>
      <c r="E81" s="161" t="s">
        <v>31</v>
      </c>
      <c r="F81" s="222">
        <v>1442</v>
      </c>
      <c r="G81" s="222">
        <v>1422</v>
      </c>
      <c r="H81" s="222">
        <v>20</v>
      </c>
      <c r="I81" s="207">
        <v>500</v>
      </c>
      <c r="J81" s="242">
        <f t="shared" si="14"/>
        <v>10000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85975</v>
      </c>
      <c r="K84" s="153"/>
      <c r="V84" s="25">
        <f>SUM(V60:V83)</f>
        <v>17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2906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43831</v>
      </c>
      <c r="D92" s="185" t="s">
        <v>9</v>
      </c>
      <c r="E92" s="185" t="s">
        <v>39</v>
      </c>
      <c r="F92" s="219">
        <v>12235</v>
      </c>
      <c r="G92" s="219">
        <v>12255</v>
      </c>
      <c r="H92" s="185">
        <v>20</v>
      </c>
      <c r="I92" s="219">
        <v>150</v>
      </c>
      <c r="J92" s="246">
        <f t="shared" ref="J92:J114" si="18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43832</v>
      </c>
      <c r="D93" s="161" t="s">
        <v>9</v>
      </c>
      <c r="E93" s="161" t="s">
        <v>39</v>
      </c>
      <c r="F93" s="207">
        <v>12280</v>
      </c>
      <c r="G93" s="207">
        <v>12340</v>
      </c>
      <c r="H93" s="161">
        <v>60</v>
      </c>
      <c r="I93" s="207">
        <v>150</v>
      </c>
      <c r="J93" s="242">
        <f t="shared" si="18"/>
        <v>9000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43833</v>
      </c>
      <c r="D94" s="161" t="s">
        <v>8</v>
      </c>
      <c r="E94" s="161" t="s">
        <v>39</v>
      </c>
      <c r="F94" s="207">
        <v>12270</v>
      </c>
      <c r="G94" s="207">
        <v>12225</v>
      </c>
      <c r="H94" s="161">
        <v>45</v>
      </c>
      <c r="I94" s="207">
        <v>150</v>
      </c>
      <c r="J94" s="242">
        <f t="shared" si="18"/>
        <v>6750</v>
      </c>
      <c r="K94" s="153"/>
      <c r="V94" s="25">
        <f t="shared" si="19"/>
        <v>1</v>
      </c>
      <c r="W94" s="25">
        <f t="shared" si="20"/>
        <v>0</v>
      </c>
    </row>
    <row r="95" spans="1:23" x14ac:dyDescent="0.3">
      <c r="A95" s="147"/>
      <c r="B95" s="205">
        <f t="shared" si="21"/>
        <v>4</v>
      </c>
      <c r="C95" s="206">
        <v>43836</v>
      </c>
      <c r="D95" s="161" t="s">
        <v>8</v>
      </c>
      <c r="E95" s="161" t="s">
        <v>39</v>
      </c>
      <c r="F95" s="207">
        <v>12120</v>
      </c>
      <c r="G95" s="207">
        <v>12060</v>
      </c>
      <c r="H95" s="161">
        <v>60</v>
      </c>
      <c r="I95" s="207">
        <v>150</v>
      </c>
      <c r="J95" s="242">
        <f t="shared" si="18"/>
        <v>9000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43837</v>
      </c>
      <c r="D96" s="161" t="s">
        <v>8</v>
      </c>
      <c r="E96" s="161" t="s">
        <v>39</v>
      </c>
      <c r="F96" s="207">
        <v>12160</v>
      </c>
      <c r="G96" s="207">
        <v>12100</v>
      </c>
      <c r="H96" s="161">
        <v>60</v>
      </c>
      <c r="I96" s="207">
        <v>150</v>
      </c>
      <c r="J96" s="242">
        <f t="shared" si="18"/>
        <v>9000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43838</v>
      </c>
      <c r="D97" s="161" t="s">
        <v>8</v>
      </c>
      <c r="E97" s="161" t="s">
        <v>39</v>
      </c>
      <c r="F97" s="207">
        <v>12030</v>
      </c>
      <c r="G97" s="207">
        <v>12000</v>
      </c>
      <c r="H97" s="161">
        <v>30</v>
      </c>
      <c r="I97" s="207">
        <v>150</v>
      </c>
      <c r="J97" s="242">
        <f t="shared" si="18"/>
        <v>4500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43839</v>
      </c>
      <c r="D98" s="161" t="s">
        <v>8</v>
      </c>
      <c r="E98" s="161" t="s">
        <v>39</v>
      </c>
      <c r="F98" s="207">
        <v>12230</v>
      </c>
      <c r="G98" s="207">
        <v>12260</v>
      </c>
      <c r="H98" s="161">
        <v>-30</v>
      </c>
      <c r="I98" s="207">
        <v>150</v>
      </c>
      <c r="J98" s="242">
        <f t="shared" si="18"/>
        <v>-4500</v>
      </c>
      <c r="K98" s="153"/>
      <c r="V98" s="25">
        <f t="shared" si="19"/>
        <v>0</v>
      </c>
      <c r="W98" s="25">
        <f t="shared" si="20"/>
        <v>1</v>
      </c>
    </row>
    <row r="99" spans="1:23" x14ac:dyDescent="0.3">
      <c r="A99" s="147"/>
      <c r="B99" s="205">
        <f t="shared" si="21"/>
        <v>8</v>
      </c>
      <c r="C99" s="206">
        <v>43843</v>
      </c>
      <c r="D99" s="161" t="s">
        <v>9</v>
      </c>
      <c r="E99" s="161" t="s">
        <v>39</v>
      </c>
      <c r="F99" s="207">
        <v>12355</v>
      </c>
      <c r="G99" s="207">
        <v>12363</v>
      </c>
      <c r="H99" s="161">
        <v>-8</v>
      </c>
      <c r="I99" s="207">
        <v>150</v>
      </c>
      <c r="J99" s="242">
        <f t="shared" si="18"/>
        <v>-1200</v>
      </c>
      <c r="K99" s="153"/>
      <c r="V99" s="25">
        <f t="shared" si="19"/>
        <v>0</v>
      </c>
      <c r="W99" s="25">
        <f t="shared" si="20"/>
        <v>1</v>
      </c>
    </row>
    <row r="100" spans="1:23" x14ac:dyDescent="0.3">
      <c r="A100" s="147"/>
      <c r="B100" s="205">
        <f t="shared" si="21"/>
        <v>9</v>
      </c>
      <c r="C100" s="206">
        <v>43845</v>
      </c>
      <c r="D100" s="161" t="s">
        <v>8</v>
      </c>
      <c r="E100" s="161" t="s">
        <v>39</v>
      </c>
      <c r="F100" s="207">
        <v>12330</v>
      </c>
      <c r="G100" s="207">
        <v>12315</v>
      </c>
      <c r="H100" s="161">
        <v>15</v>
      </c>
      <c r="I100" s="207">
        <v>150</v>
      </c>
      <c r="J100" s="242">
        <f t="shared" si="18"/>
        <v>2250</v>
      </c>
      <c r="K100" s="153"/>
      <c r="V100" s="25">
        <f t="shared" si="19"/>
        <v>1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43846</v>
      </c>
      <c r="D101" s="161" t="s">
        <v>9</v>
      </c>
      <c r="E101" s="161" t="s">
        <v>39</v>
      </c>
      <c r="F101" s="207">
        <v>12400</v>
      </c>
      <c r="G101" s="207">
        <v>12370</v>
      </c>
      <c r="H101" s="161">
        <v>-30</v>
      </c>
      <c r="I101" s="207">
        <v>150</v>
      </c>
      <c r="J101" s="242">
        <f t="shared" si="18"/>
        <v>-4500</v>
      </c>
      <c r="K101" s="153"/>
      <c r="V101" s="25">
        <f t="shared" si="19"/>
        <v>0</v>
      </c>
      <c r="W101" s="25">
        <f t="shared" si="20"/>
        <v>1</v>
      </c>
    </row>
    <row r="102" spans="1:23" x14ac:dyDescent="0.3">
      <c r="A102" s="147"/>
      <c r="B102" s="205">
        <f t="shared" si="21"/>
        <v>11</v>
      </c>
      <c r="C102" s="206">
        <v>43847</v>
      </c>
      <c r="D102" s="161" t="s">
        <v>9</v>
      </c>
      <c r="E102" s="161" t="s">
        <v>39</v>
      </c>
      <c r="F102" s="207">
        <v>12370</v>
      </c>
      <c r="G102" s="207">
        <v>12400</v>
      </c>
      <c r="H102" s="161">
        <v>30</v>
      </c>
      <c r="I102" s="207">
        <v>150</v>
      </c>
      <c r="J102" s="242">
        <f t="shared" si="18"/>
        <v>4500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43850</v>
      </c>
      <c r="D103" s="161" t="s">
        <v>9</v>
      </c>
      <c r="E103" s="161" t="s">
        <v>39</v>
      </c>
      <c r="F103" s="207">
        <v>12330</v>
      </c>
      <c r="G103" s="207">
        <v>12270</v>
      </c>
      <c r="H103" s="161">
        <v>60</v>
      </c>
      <c r="I103" s="207">
        <v>150</v>
      </c>
      <c r="J103" s="242">
        <f t="shared" si="18"/>
        <v>9000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43851</v>
      </c>
      <c r="D104" s="161" t="s">
        <v>8</v>
      </c>
      <c r="E104" s="161" t="s">
        <v>39</v>
      </c>
      <c r="F104" s="207">
        <v>12220</v>
      </c>
      <c r="G104" s="207">
        <v>12190</v>
      </c>
      <c r="H104" s="161">
        <v>30</v>
      </c>
      <c r="I104" s="207">
        <v>150</v>
      </c>
      <c r="J104" s="242">
        <f t="shared" si="18"/>
        <v>4500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43852</v>
      </c>
      <c r="D105" s="161" t="s">
        <v>8</v>
      </c>
      <c r="E105" s="161" t="s">
        <v>39</v>
      </c>
      <c r="F105" s="207">
        <v>12220</v>
      </c>
      <c r="G105" s="207">
        <v>12160</v>
      </c>
      <c r="H105" s="161">
        <v>60</v>
      </c>
      <c r="I105" s="207">
        <v>150</v>
      </c>
      <c r="J105" s="242">
        <f t="shared" si="18"/>
        <v>9000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43853</v>
      </c>
      <c r="D106" s="161" t="s">
        <v>8</v>
      </c>
      <c r="E106" s="161" t="s">
        <v>39</v>
      </c>
      <c r="F106" s="207">
        <v>12195</v>
      </c>
      <c r="G106" s="207">
        <v>12135</v>
      </c>
      <c r="H106" s="161">
        <v>60</v>
      </c>
      <c r="I106" s="207">
        <v>150</v>
      </c>
      <c r="J106" s="242">
        <f t="shared" si="18"/>
        <v>9000</v>
      </c>
      <c r="K106" s="153"/>
      <c r="V106" s="25">
        <f t="shared" si="19"/>
        <v>1</v>
      </c>
      <c r="W106" s="25">
        <f t="shared" si="20"/>
        <v>0</v>
      </c>
    </row>
    <row r="107" spans="1:23" x14ac:dyDescent="0.3">
      <c r="A107" s="147"/>
      <c r="B107" s="205">
        <f t="shared" si="21"/>
        <v>16</v>
      </c>
      <c r="C107" s="206">
        <v>43854</v>
      </c>
      <c r="D107" s="161" t="s">
        <v>8</v>
      </c>
      <c r="E107" s="161" t="s">
        <v>39</v>
      </c>
      <c r="F107" s="207">
        <v>12255</v>
      </c>
      <c r="G107" s="207">
        <v>12240</v>
      </c>
      <c r="H107" s="161">
        <v>15</v>
      </c>
      <c r="I107" s="207">
        <v>150</v>
      </c>
      <c r="J107" s="242">
        <f t="shared" si="18"/>
        <v>2250</v>
      </c>
      <c r="K107" s="153"/>
      <c r="V107" s="25">
        <f t="shared" si="19"/>
        <v>1</v>
      </c>
      <c r="W107" s="25">
        <f t="shared" si="20"/>
        <v>0</v>
      </c>
    </row>
    <row r="108" spans="1:23" x14ac:dyDescent="0.3">
      <c r="A108" s="147"/>
      <c r="B108" s="205">
        <f t="shared" si="21"/>
        <v>17</v>
      </c>
      <c r="C108" s="206">
        <v>43857</v>
      </c>
      <c r="D108" s="161" t="s">
        <v>8</v>
      </c>
      <c r="E108" s="161" t="s">
        <v>39</v>
      </c>
      <c r="F108" s="207">
        <v>12190</v>
      </c>
      <c r="G108" s="207">
        <v>12130</v>
      </c>
      <c r="H108" s="161">
        <v>60</v>
      </c>
      <c r="I108" s="207">
        <v>150</v>
      </c>
      <c r="J108" s="242">
        <f t="shared" si="18"/>
        <v>9000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43858</v>
      </c>
      <c r="D109" s="161" t="s">
        <v>8</v>
      </c>
      <c r="E109" s="161" t="s">
        <v>39</v>
      </c>
      <c r="F109" s="207">
        <v>12120</v>
      </c>
      <c r="G109" s="207">
        <v>12060</v>
      </c>
      <c r="H109" s="161">
        <v>60</v>
      </c>
      <c r="I109" s="207">
        <v>150</v>
      </c>
      <c r="J109" s="242">
        <f t="shared" si="18"/>
        <v>9000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43859</v>
      </c>
      <c r="D110" s="161" t="s">
        <v>8</v>
      </c>
      <c r="E110" s="161" t="s">
        <v>39</v>
      </c>
      <c r="F110" s="207">
        <v>12145</v>
      </c>
      <c r="G110" s="207">
        <v>12105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43860</v>
      </c>
      <c r="D111" s="161" t="s">
        <v>8</v>
      </c>
      <c r="E111" s="161" t="s">
        <v>39</v>
      </c>
      <c r="F111" s="207">
        <v>12060</v>
      </c>
      <c r="G111" s="207">
        <v>12020</v>
      </c>
      <c r="H111" s="161">
        <v>40</v>
      </c>
      <c r="I111" s="207">
        <v>150</v>
      </c>
      <c r="J111" s="242">
        <f t="shared" si="18"/>
        <v>6000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>
        <v>43861</v>
      </c>
      <c r="D112" s="161" t="s">
        <v>8</v>
      </c>
      <c r="E112" s="161" t="s">
        <v>39</v>
      </c>
      <c r="F112" s="207">
        <v>12070</v>
      </c>
      <c r="G112" s="207">
        <v>12010</v>
      </c>
      <c r="H112" s="161">
        <v>60</v>
      </c>
      <c r="I112" s="207">
        <v>150</v>
      </c>
      <c r="J112" s="242">
        <f t="shared" si="18"/>
        <v>9000</v>
      </c>
      <c r="K112" s="153"/>
      <c r="V112" s="25">
        <f t="shared" si="19"/>
        <v>1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110550</v>
      </c>
      <c r="K115" s="153"/>
      <c r="V115" s="25">
        <f>SUM(V92:V114)</f>
        <v>18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2905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43831</v>
      </c>
      <c r="D123" s="185" t="s">
        <v>9</v>
      </c>
      <c r="E123" s="185" t="s">
        <v>2909</v>
      </c>
      <c r="F123" s="219">
        <v>98</v>
      </c>
      <c r="G123" s="219">
        <v>108</v>
      </c>
      <c r="H123" s="185">
        <v>10</v>
      </c>
      <c r="I123" s="219">
        <v>300</v>
      </c>
      <c r="J123" s="246">
        <f t="shared" ref="J123:J145" si="22">I123*H123</f>
        <v>3000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06">
        <v>43832</v>
      </c>
      <c r="D124" s="161" t="s">
        <v>9</v>
      </c>
      <c r="E124" s="161" t="s">
        <v>2904</v>
      </c>
      <c r="F124" s="207">
        <v>80</v>
      </c>
      <c r="G124" s="207">
        <v>120</v>
      </c>
      <c r="H124" s="161">
        <v>40</v>
      </c>
      <c r="I124" s="207">
        <v>300</v>
      </c>
      <c r="J124" s="242">
        <f t="shared" si="22"/>
        <v>12000</v>
      </c>
      <c r="K124" s="153"/>
      <c r="V124" s="25">
        <f t="shared" ref="V124:V145" si="23">IF($J124&gt;0,1,0)</f>
        <v>1</v>
      </c>
      <c r="W124" s="25">
        <f t="shared" ref="W124:W145" si="24">IF($J124&lt;0,1,0)</f>
        <v>0</v>
      </c>
    </row>
    <row r="125" spans="1:23" x14ac:dyDescent="0.3">
      <c r="A125" s="147"/>
      <c r="B125" s="205">
        <f t="shared" ref="B125:B145" si="25">B124+1</f>
        <v>3</v>
      </c>
      <c r="C125" s="206">
        <v>43833</v>
      </c>
      <c r="D125" s="161" t="s">
        <v>9</v>
      </c>
      <c r="E125" s="161" t="s">
        <v>2899</v>
      </c>
      <c r="F125" s="207">
        <v>105</v>
      </c>
      <c r="G125" s="207">
        <v>133</v>
      </c>
      <c r="H125" s="161">
        <v>28</v>
      </c>
      <c r="I125" s="207">
        <v>300</v>
      </c>
      <c r="J125" s="242">
        <f t="shared" si="22"/>
        <v>8400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4</v>
      </c>
      <c r="C126" s="206">
        <v>43836</v>
      </c>
      <c r="D126" s="161" t="s">
        <v>9</v>
      </c>
      <c r="E126" s="161" t="s">
        <v>2881</v>
      </c>
      <c r="F126" s="207">
        <v>105</v>
      </c>
      <c r="G126" s="207">
        <v>145</v>
      </c>
      <c r="H126" s="161">
        <v>40</v>
      </c>
      <c r="I126" s="207">
        <v>300</v>
      </c>
      <c r="J126" s="242">
        <f t="shared" si="22"/>
        <v>12000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43837</v>
      </c>
      <c r="D127" s="161" t="s">
        <v>9</v>
      </c>
      <c r="E127" s="161" t="s">
        <v>2866</v>
      </c>
      <c r="F127" s="207">
        <v>120</v>
      </c>
      <c r="G127" s="207">
        <v>160</v>
      </c>
      <c r="H127" s="161">
        <v>40</v>
      </c>
      <c r="I127" s="207">
        <v>300</v>
      </c>
      <c r="J127" s="242">
        <f t="shared" si="22"/>
        <v>12000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43838</v>
      </c>
      <c r="D128" s="161" t="s">
        <v>9</v>
      </c>
      <c r="E128" s="161" t="s">
        <v>2764</v>
      </c>
      <c r="F128" s="207">
        <v>95</v>
      </c>
      <c r="G128" s="222">
        <v>115</v>
      </c>
      <c r="H128" s="222">
        <v>20</v>
      </c>
      <c r="I128" s="207">
        <v>300</v>
      </c>
      <c r="J128" s="242">
        <f t="shared" si="22"/>
        <v>6000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43839</v>
      </c>
      <c r="D129" s="161" t="s">
        <v>9</v>
      </c>
      <c r="E129" s="161" t="s">
        <v>2899</v>
      </c>
      <c r="F129" s="207">
        <v>120</v>
      </c>
      <c r="G129" s="207">
        <v>100</v>
      </c>
      <c r="H129" s="161">
        <v>-20</v>
      </c>
      <c r="I129" s="207">
        <v>300</v>
      </c>
      <c r="J129" s="242">
        <f t="shared" si="22"/>
        <v>-6000</v>
      </c>
      <c r="K129" s="153"/>
      <c r="V129" s="25">
        <f t="shared" si="23"/>
        <v>0</v>
      </c>
      <c r="W129" s="25">
        <f t="shared" si="24"/>
        <v>1</v>
      </c>
    </row>
    <row r="130" spans="1:23" x14ac:dyDescent="0.3">
      <c r="A130" s="147"/>
      <c r="B130" s="205">
        <f t="shared" si="25"/>
        <v>8</v>
      </c>
      <c r="C130" s="206">
        <v>43840</v>
      </c>
      <c r="D130" s="161" t="s">
        <v>9</v>
      </c>
      <c r="E130" s="161" t="s">
        <v>2913</v>
      </c>
      <c r="F130" s="207">
        <v>105</v>
      </c>
      <c r="G130" s="207">
        <v>122</v>
      </c>
      <c r="H130" s="161">
        <v>17</v>
      </c>
      <c r="I130" s="207">
        <v>300</v>
      </c>
      <c r="J130" s="242">
        <f t="shared" si="22"/>
        <v>5100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43843</v>
      </c>
      <c r="D131" s="161" t="s">
        <v>9</v>
      </c>
      <c r="E131" s="161" t="s">
        <v>2913</v>
      </c>
      <c r="F131" s="207">
        <v>112</v>
      </c>
      <c r="G131" s="207">
        <v>92</v>
      </c>
      <c r="H131" s="161">
        <v>-20</v>
      </c>
      <c r="I131" s="207">
        <v>300</v>
      </c>
      <c r="J131" s="242">
        <f t="shared" si="22"/>
        <v>-6000</v>
      </c>
      <c r="K131" s="153"/>
      <c r="V131" s="25">
        <f t="shared" si="23"/>
        <v>0</v>
      </c>
      <c r="W131" s="25">
        <f t="shared" si="24"/>
        <v>1</v>
      </c>
    </row>
    <row r="132" spans="1:23" x14ac:dyDescent="0.3">
      <c r="A132" s="147"/>
      <c r="B132" s="205">
        <f t="shared" si="25"/>
        <v>10</v>
      </c>
      <c r="C132" s="206">
        <v>43845</v>
      </c>
      <c r="D132" s="161" t="s">
        <v>9</v>
      </c>
      <c r="E132" s="161" t="s">
        <v>2917</v>
      </c>
      <c r="F132" s="207">
        <v>110</v>
      </c>
      <c r="G132" s="222">
        <v>120</v>
      </c>
      <c r="H132" s="222">
        <v>10</v>
      </c>
      <c r="I132" s="207">
        <v>300</v>
      </c>
      <c r="J132" s="242">
        <f t="shared" si="22"/>
        <v>3000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43846</v>
      </c>
      <c r="D133" s="161" t="s">
        <v>9</v>
      </c>
      <c r="E133" s="161" t="s">
        <v>2918</v>
      </c>
      <c r="F133" s="207">
        <v>110</v>
      </c>
      <c r="G133" s="207">
        <v>95</v>
      </c>
      <c r="H133" s="161">
        <v>-15</v>
      </c>
      <c r="I133" s="207">
        <v>300</v>
      </c>
      <c r="J133" s="242">
        <f t="shared" si="22"/>
        <v>-4500</v>
      </c>
      <c r="K133" s="153"/>
      <c r="V133" s="25">
        <f t="shared" si="23"/>
        <v>0</v>
      </c>
      <c r="W133" s="25">
        <f t="shared" si="24"/>
        <v>1</v>
      </c>
    </row>
    <row r="134" spans="1:23" x14ac:dyDescent="0.3">
      <c r="A134" s="147"/>
      <c r="B134" s="205">
        <f t="shared" si="25"/>
        <v>12</v>
      </c>
      <c r="C134" s="206">
        <v>43847</v>
      </c>
      <c r="D134" s="161" t="s">
        <v>9</v>
      </c>
      <c r="E134" s="161" t="s">
        <v>2919</v>
      </c>
      <c r="F134" s="207">
        <v>95</v>
      </c>
      <c r="G134" s="222">
        <v>104.5</v>
      </c>
      <c r="H134" s="222">
        <v>9.5</v>
      </c>
      <c r="I134" s="207">
        <v>300</v>
      </c>
      <c r="J134" s="242">
        <f t="shared" si="22"/>
        <v>2850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43850</v>
      </c>
      <c r="D135" s="161" t="s">
        <v>9</v>
      </c>
      <c r="E135" s="161" t="s">
        <v>2897</v>
      </c>
      <c r="F135" s="207">
        <v>90</v>
      </c>
      <c r="G135" s="207">
        <v>130</v>
      </c>
      <c r="H135" s="161">
        <v>40</v>
      </c>
      <c r="I135" s="207">
        <v>300</v>
      </c>
      <c r="J135" s="242">
        <f t="shared" si="22"/>
        <v>12000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43851</v>
      </c>
      <c r="D136" s="161" t="s">
        <v>9</v>
      </c>
      <c r="E136" s="161" t="s">
        <v>2899</v>
      </c>
      <c r="F136" s="207">
        <v>125</v>
      </c>
      <c r="G136" s="207">
        <v>135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43852</v>
      </c>
      <c r="D137" s="161" t="s">
        <v>9</v>
      </c>
      <c r="E137" s="161" t="s">
        <v>2899</v>
      </c>
      <c r="F137" s="207">
        <v>115</v>
      </c>
      <c r="G137" s="207">
        <v>155</v>
      </c>
      <c r="H137" s="161">
        <v>40</v>
      </c>
      <c r="I137" s="207">
        <v>300</v>
      </c>
      <c r="J137" s="242">
        <f t="shared" si="22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43853</v>
      </c>
      <c r="D138" s="161" t="s">
        <v>9</v>
      </c>
      <c r="E138" s="161" t="s">
        <v>2923</v>
      </c>
      <c r="F138" s="207">
        <v>90</v>
      </c>
      <c r="G138" s="207">
        <v>130</v>
      </c>
      <c r="H138" s="161">
        <v>40</v>
      </c>
      <c r="I138" s="207">
        <v>300</v>
      </c>
      <c r="J138" s="242">
        <f t="shared" si="22"/>
        <v>12000</v>
      </c>
      <c r="K138" s="153"/>
      <c r="V138" s="25">
        <f t="shared" si="23"/>
        <v>1</v>
      </c>
      <c r="W138" s="25">
        <f t="shared" si="24"/>
        <v>0</v>
      </c>
    </row>
    <row r="139" spans="1:23" x14ac:dyDescent="0.3">
      <c r="A139" s="147"/>
      <c r="B139" s="205">
        <f t="shared" si="25"/>
        <v>17</v>
      </c>
      <c r="C139" s="206">
        <v>43854</v>
      </c>
      <c r="D139" s="161" t="s">
        <v>9</v>
      </c>
      <c r="E139" s="161" t="s">
        <v>2899</v>
      </c>
      <c r="F139" s="207">
        <v>95</v>
      </c>
      <c r="G139" s="207">
        <v>75</v>
      </c>
      <c r="H139" s="161">
        <v>-20</v>
      </c>
      <c r="I139" s="207">
        <v>300</v>
      </c>
      <c r="J139" s="242">
        <f t="shared" si="22"/>
        <v>-6000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18</v>
      </c>
      <c r="C140" s="206">
        <v>43857</v>
      </c>
      <c r="D140" s="161" t="s">
        <v>9</v>
      </c>
      <c r="E140" s="161" t="s">
        <v>2923</v>
      </c>
      <c r="F140" s="207">
        <v>100</v>
      </c>
      <c r="G140" s="207">
        <v>140</v>
      </c>
      <c r="H140" s="161">
        <v>40</v>
      </c>
      <c r="I140" s="207">
        <v>300</v>
      </c>
      <c r="J140" s="242">
        <f t="shared" si="22"/>
        <v>12000</v>
      </c>
      <c r="K140" s="153"/>
      <c r="V140" s="25">
        <f t="shared" si="23"/>
        <v>1</v>
      </c>
      <c r="W140" s="25">
        <f t="shared" si="24"/>
        <v>0</v>
      </c>
    </row>
    <row r="141" spans="1:23" x14ac:dyDescent="0.3">
      <c r="A141" s="147"/>
      <c r="B141" s="205">
        <f t="shared" si="25"/>
        <v>19</v>
      </c>
      <c r="C141" s="206">
        <v>43858</v>
      </c>
      <c r="D141" s="161" t="s">
        <v>9</v>
      </c>
      <c r="E141" s="161" t="s">
        <v>2866</v>
      </c>
      <c r="F141" s="207">
        <v>100</v>
      </c>
      <c r="G141" s="207">
        <v>140</v>
      </c>
      <c r="H141" s="161">
        <v>40</v>
      </c>
      <c r="I141" s="207">
        <v>300</v>
      </c>
      <c r="J141" s="242">
        <f t="shared" si="22"/>
        <v>12000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43859</v>
      </c>
      <c r="D142" s="161" t="s">
        <v>9</v>
      </c>
      <c r="E142" s="161" t="s">
        <v>2923</v>
      </c>
      <c r="F142" s="207">
        <v>100</v>
      </c>
      <c r="G142" s="207">
        <v>140</v>
      </c>
      <c r="H142" s="161">
        <v>40</v>
      </c>
      <c r="I142" s="207">
        <v>300</v>
      </c>
      <c r="J142" s="242">
        <f t="shared" si="22"/>
        <v>12000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>
        <v>43860</v>
      </c>
      <c r="D143" s="161" t="s">
        <v>9</v>
      </c>
      <c r="E143" s="161" t="s">
        <v>2881</v>
      </c>
      <c r="F143" s="207">
        <v>100</v>
      </c>
      <c r="G143" s="207">
        <v>140</v>
      </c>
      <c r="H143" s="161">
        <v>40</v>
      </c>
      <c r="I143" s="207">
        <v>300</v>
      </c>
      <c r="J143" s="242">
        <f t="shared" si="22"/>
        <v>12000</v>
      </c>
      <c r="K143" s="153"/>
      <c r="V143" s="25">
        <f t="shared" si="23"/>
        <v>1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>
        <v>43861</v>
      </c>
      <c r="D144" s="161" t="s">
        <v>9</v>
      </c>
      <c r="E144" s="161" t="s">
        <v>2739</v>
      </c>
      <c r="F144" s="207">
        <v>140</v>
      </c>
      <c r="G144" s="207">
        <v>180</v>
      </c>
      <c r="H144" s="161">
        <v>40</v>
      </c>
      <c r="I144" s="207">
        <v>300</v>
      </c>
      <c r="J144" s="242">
        <f t="shared" si="22"/>
        <v>12000</v>
      </c>
      <c r="K144" s="153"/>
      <c r="V144" s="25">
        <f t="shared" si="23"/>
        <v>1</v>
      </c>
      <c r="W144" s="25">
        <f t="shared" si="24"/>
        <v>0</v>
      </c>
    </row>
    <row r="145" spans="1:23" ht="15" thickBot="1" x14ac:dyDescent="0.35">
      <c r="A145" s="147"/>
      <c r="B145" s="208">
        <f t="shared" si="25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140850</v>
      </c>
      <c r="K146" s="153"/>
      <c r="V146" s="25">
        <f>SUM(V123:V145)</f>
        <v>18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2905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43831</v>
      </c>
      <c r="D154" s="185" t="s">
        <v>9</v>
      </c>
      <c r="E154" s="185" t="s">
        <v>301</v>
      </c>
      <c r="F154" s="219">
        <v>32300</v>
      </c>
      <c r="G154" s="219">
        <v>32342</v>
      </c>
      <c r="H154" s="185">
        <v>42</v>
      </c>
      <c r="I154" s="219">
        <v>40</v>
      </c>
      <c r="J154" s="246">
        <f t="shared" ref="J154:J176" si="26">I154*H154</f>
        <v>1680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43832</v>
      </c>
      <c r="D155" s="161" t="s">
        <v>9</v>
      </c>
      <c r="E155" s="161" t="s">
        <v>301</v>
      </c>
      <c r="F155" s="207">
        <v>32400</v>
      </c>
      <c r="G155" s="207">
        <v>32600</v>
      </c>
      <c r="H155" s="161">
        <v>200</v>
      </c>
      <c r="I155" s="207">
        <v>40</v>
      </c>
      <c r="J155" s="242">
        <f t="shared" si="26"/>
        <v>8000</v>
      </c>
      <c r="K155" s="153"/>
      <c r="V155" s="25">
        <f t="shared" ref="V155:V176" si="27">IF($J155&gt;0,1,0)</f>
        <v>1</v>
      </c>
      <c r="W155" s="25">
        <f t="shared" ref="W155:W176" si="28">IF($J155&lt;0,1,0)</f>
        <v>0</v>
      </c>
    </row>
    <row r="156" spans="1:23" x14ac:dyDescent="0.3">
      <c r="A156" s="147"/>
      <c r="B156" s="205">
        <f t="shared" ref="B156:B176" si="29">B155+1</f>
        <v>3</v>
      </c>
      <c r="C156" s="206">
        <v>43833</v>
      </c>
      <c r="D156" s="161" t="s">
        <v>8</v>
      </c>
      <c r="E156" s="161" t="s">
        <v>301</v>
      </c>
      <c r="F156" s="207">
        <v>32280</v>
      </c>
      <c r="G156" s="207">
        <v>32080</v>
      </c>
      <c r="H156" s="161">
        <v>200</v>
      </c>
      <c r="I156" s="207">
        <v>40</v>
      </c>
      <c r="J156" s="242">
        <f t="shared" si="26"/>
        <v>8000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4</v>
      </c>
      <c r="C157" s="206">
        <v>43836</v>
      </c>
      <c r="D157" s="161" t="s">
        <v>8</v>
      </c>
      <c r="E157" s="161" t="s">
        <v>301</v>
      </c>
      <c r="F157" s="207">
        <v>31660</v>
      </c>
      <c r="G157" s="207">
        <v>31460</v>
      </c>
      <c r="H157" s="161">
        <v>200</v>
      </c>
      <c r="I157" s="207">
        <v>40</v>
      </c>
      <c r="J157" s="242">
        <f t="shared" si="26"/>
        <v>8000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5</v>
      </c>
      <c r="C158" s="206">
        <v>43837</v>
      </c>
      <c r="D158" s="161" t="s">
        <v>8</v>
      </c>
      <c r="E158" s="161" t="s">
        <v>301</v>
      </c>
      <c r="F158" s="207">
        <v>31600</v>
      </c>
      <c r="G158" s="207">
        <v>31400</v>
      </c>
      <c r="H158" s="161">
        <v>200</v>
      </c>
      <c r="I158" s="207">
        <v>40</v>
      </c>
      <c r="J158" s="242">
        <f t="shared" si="26"/>
        <v>8000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6</v>
      </c>
      <c r="C159" s="206">
        <v>43838</v>
      </c>
      <c r="D159" s="161" t="s">
        <v>8</v>
      </c>
      <c r="E159" s="161" t="s">
        <v>301</v>
      </c>
      <c r="F159" s="207">
        <v>31250</v>
      </c>
      <c r="G159" s="207">
        <v>31150</v>
      </c>
      <c r="H159" s="161">
        <v>100</v>
      </c>
      <c r="I159" s="207">
        <v>40</v>
      </c>
      <c r="J159" s="242">
        <f t="shared" si="26"/>
        <v>4000</v>
      </c>
      <c r="K159" s="153"/>
      <c r="V159" s="25">
        <f t="shared" si="27"/>
        <v>1</v>
      </c>
      <c r="W159" s="25">
        <f t="shared" si="28"/>
        <v>0</v>
      </c>
    </row>
    <row r="160" spans="1:23" x14ac:dyDescent="0.3">
      <c r="A160" s="147"/>
      <c r="B160" s="205">
        <f t="shared" si="29"/>
        <v>7</v>
      </c>
      <c r="C160" s="206">
        <v>43839</v>
      </c>
      <c r="D160" s="161" t="s">
        <v>8</v>
      </c>
      <c r="E160" s="161" t="s">
        <v>301</v>
      </c>
      <c r="F160" s="207">
        <v>32020</v>
      </c>
      <c r="G160" s="207">
        <v>32120</v>
      </c>
      <c r="H160" s="161">
        <v>-100</v>
      </c>
      <c r="I160" s="207">
        <v>40</v>
      </c>
      <c r="J160" s="242">
        <f t="shared" si="26"/>
        <v>-4000</v>
      </c>
      <c r="K160" s="153"/>
      <c r="V160" s="25">
        <f t="shared" si="27"/>
        <v>0</v>
      </c>
      <c r="W160" s="25">
        <f t="shared" si="28"/>
        <v>1</v>
      </c>
    </row>
    <row r="161" spans="1:23" x14ac:dyDescent="0.3">
      <c r="A161" s="147"/>
      <c r="B161" s="205">
        <f t="shared" si="29"/>
        <v>8</v>
      </c>
      <c r="C161" s="206">
        <v>43840</v>
      </c>
      <c r="D161" s="161" t="s">
        <v>8</v>
      </c>
      <c r="E161" s="161" t="s">
        <v>301</v>
      </c>
      <c r="F161" s="207">
        <v>32330</v>
      </c>
      <c r="G161" s="207">
        <v>31370</v>
      </c>
      <c r="H161" s="161">
        <v>40</v>
      </c>
      <c r="I161" s="207">
        <v>40</v>
      </c>
      <c r="J161" s="242">
        <f t="shared" si="26"/>
        <v>1600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9</v>
      </c>
      <c r="C162" s="206">
        <v>43843</v>
      </c>
      <c r="D162" s="161" t="s">
        <v>9</v>
      </c>
      <c r="E162" s="161" t="s">
        <v>301</v>
      </c>
      <c r="F162" s="207">
        <v>32300</v>
      </c>
      <c r="G162" s="207">
        <v>32200</v>
      </c>
      <c r="H162" s="161">
        <v>-100</v>
      </c>
      <c r="I162" s="207">
        <v>40</v>
      </c>
      <c r="J162" s="242">
        <f t="shared" si="26"/>
        <v>-4000</v>
      </c>
      <c r="K162" s="153"/>
      <c r="V162" s="25">
        <f t="shared" si="27"/>
        <v>0</v>
      </c>
      <c r="W162" s="25">
        <f t="shared" si="28"/>
        <v>1</v>
      </c>
    </row>
    <row r="163" spans="1:23" x14ac:dyDescent="0.3">
      <c r="A163" s="147"/>
      <c r="B163" s="205">
        <f t="shared" si="29"/>
        <v>10</v>
      </c>
      <c r="C163" s="206">
        <v>43845</v>
      </c>
      <c r="D163" s="161" t="s">
        <v>8</v>
      </c>
      <c r="E163" s="161" t="s">
        <v>301</v>
      </c>
      <c r="F163" s="207">
        <v>31850</v>
      </c>
      <c r="G163" s="207">
        <v>31790</v>
      </c>
      <c r="H163" s="161">
        <v>60</v>
      </c>
      <c r="I163" s="207">
        <v>40</v>
      </c>
      <c r="J163" s="242">
        <f t="shared" si="26"/>
        <v>2400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11</v>
      </c>
      <c r="C164" s="206">
        <v>43846</v>
      </c>
      <c r="D164" s="161" t="s">
        <v>8</v>
      </c>
      <c r="E164" s="161" t="s">
        <v>301</v>
      </c>
      <c r="F164" s="207">
        <v>31780</v>
      </c>
      <c r="G164" s="207">
        <v>31880</v>
      </c>
      <c r="H164" s="161">
        <v>-100</v>
      </c>
      <c r="I164" s="207">
        <v>40</v>
      </c>
      <c r="J164" s="242">
        <f t="shared" si="26"/>
        <v>-4000</v>
      </c>
      <c r="K164" s="153"/>
      <c r="V164" s="25">
        <f t="shared" si="27"/>
        <v>0</v>
      </c>
      <c r="W164" s="25">
        <f t="shared" si="28"/>
        <v>1</v>
      </c>
    </row>
    <row r="165" spans="1:23" x14ac:dyDescent="0.3">
      <c r="A165" s="147"/>
      <c r="B165" s="205">
        <f t="shared" si="29"/>
        <v>12</v>
      </c>
      <c r="C165" s="206">
        <v>43847</v>
      </c>
      <c r="D165" s="161" t="s">
        <v>9</v>
      </c>
      <c r="E165" s="161" t="s">
        <v>301</v>
      </c>
      <c r="F165" s="207">
        <v>31750</v>
      </c>
      <c r="G165" s="207">
        <v>31790</v>
      </c>
      <c r="H165" s="161">
        <v>40</v>
      </c>
      <c r="I165" s="207">
        <v>40</v>
      </c>
      <c r="J165" s="242">
        <f t="shared" si="26"/>
        <v>1600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13</v>
      </c>
      <c r="C166" s="206">
        <v>43850</v>
      </c>
      <c r="D166" s="161" t="s">
        <v>9</v>
      </c>
      <c r="E166" s="161" t="s">
        <v>301</v>
      </c>
      <c r="F166" s="207">
        <v>31450</v>
      </c>
      <c r="G166" s="207">
        <v>31250</v>
      </c>
      <c r="H166" s="161">
        <v>200</v>
      </c>
      <c r="I166" s="207">
        <v>40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14</v>
      </c>
      <c r="C167" s="206">
        <v>43851</v>
      </c>
      <c r="D167" s="161" t="s">
        <v>8</v>
      </c>
      <c r="E167" s="161" t="s">
        <v>301</v>
      </c>
      <c r="F167" s="207">
        <v>31060</v>
      </c>
      <c r="G167" s="207">
        <v>30960</v>
      </c>
      <c r="H167" s="161">
        <v>100</v>
      </c>
      <c r="I167" s="207">
        <v>40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15</v>
      </c>
      <c r="C168" s="206">
        <v>43852</v>
      </c>
      <c r="D168" s="161" t="s">
        <v>8</v>
      </c>
      <c r="E168" s="161" t="s">
        <v>301</v>
      </c>
      <c r="F168" s="207">
        <v>31080</v>
      </c>
      <c r="G168" s="207">
        <v>30880</v>
      </c>
      <c r="H168" s="161">
        <v>200</v>
      </c>
      <c r="I168" s="207">
        <v>40</v>
      </c>
      <c r="J168" s="242">
        <f t="shared" si="26"/>
        <v>8000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16</v>
      </c>
      <c r="C169" s="206">
        <v>43853</v>
      </c>
      <c r="D169" s="161" t="s">
        <v>8</v>
      </c>
      <c r="E169" s="161" t="s">
        <v>301</v>
      </c>
      <c r="F169" s="207">
        <v>30930</v>
      </c>
      <c r="G169" s="207">
        <v>30790</v>
      </c>
      <c r="H169" s="161">
        <v>140</v>
      </c>
      <c r="I169" s="207">
        <v>40</v>
      </c>
      <c r="J169" s="242">
        <f t="shared" si="26"/>
        <v>5600</v>
      </c>
      <c r="K169" s="153"/>
      <c r="V169" s="25">
        <f t="shared" si="27"/>
        <v>1</v>
      </c>
      <c r="W169" s="25">
        <f t="shared" si="28"/>
        <v>0</v>
      </c>
    </row>
    <row r="170" spans="1:23" x14ac:dyDescent="0.3">
      <c r="A170" s="147"/>
      <c r="B170" s="205">
        <f t="shared" si="29"/>
        <v>17</v>
      </c>
      <c r="C170" s="206">
        <v>43854</v>
      </c>
      <c r="D170" s="161" t="s">
        <v>8</v>
      </c>
      <c r="E170" s="161" t="s">
        <v>301</v>
      </c>
      <c r="F170" s="207">
        <v>31300</v>
      </c>
      <c r="G170" s="207">
        <v>31250</v>
      </c>
      <c r="H170" s="161">
        <v>50</v>
      </c>
      <c r="I170" s="207">
        <v>40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18</v>
      </c>
      <c r="C171" s="206">
        <v>43857</v>
      </c>
      <c r="D171" s="161" t="s">
        <v>8</v>
      </c>
      <c r="E171" s="161" t="s">
        <v>301</v>
      </c>
      <c r="F171" s="207">
        <v>31100</v>
      </c>
      <c r="G171" s="207">
        <v>30900</v>
      </c>
      <c r="H171" s="161">
        <v>200</v>
      </c>
      <c r="I171" s="207">
        <v>40</v>
      </c>
      <c r="J171" s="242">
        <f t="shared" si="26"/>
        <v>8000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19</v>
      </c>
      <c r="C172" s="206">
        <v>43858</v>
      </c>
      <c r="D172" s="161" t="s">
        <v>8</v>
      </c>
      <c r="E172" s="161" t="s">
        <v>301</v>
      </c>
      <c r="F172" s="207">
        <v>30900</v>
      </c>
      <c r="G172" s="207">
        <v>30850</v>
      </c>
      <c r="H172" s="161">
        <v>50</v>
      </c>
      <c r="I172" s="207">
        <v>40</v>
      </c>
      <c r="J172" s="242">
        <f t="shared" si="26"/>
        <v>2000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20</v>
      </c>
      <c r="C173" s="206">
        <v>43859</v>
      </c>
      <c r="D173" s="161" t="s">
        <v>8</v>
      </c>
      <c r="E173" s="161" t="s">
        <v>301</v>
      </c>
      <c r="F173" s="207">
        <v>31000</v>
      </c>
      <c r="G173" s="207">
        <v>30955</v>
      </c>
      <c r="H173" s="161">
        <v>45</v>
      </c>
      <c r="I173" s="207">
        <v>40</v>
      </c>
      <c r="J173" s="242">
        <f t="shared" si="26"/>
        <v>1800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21</v>
      </c>
      <c r="C174" s="206">
        <v>43860</v>
      </c>
      <c r="D174" s="161" t="s">
        <v>8</v>
      </c>
      <c r="E174" s="161" t="s">
        <v>301</v>
      </c>
      <c r="F174" s="207">
        <v>30670</v>
      </c>
      <c r="G174" s="207">
        <v>30520</v>
      </c>
      <c r="H174" s="161">
        <v>150</v>
      </c>
      <c r="I174" s="207">
        <v>40</v>
      </c>
      <c r="J174" s="242">
        <f t="shared" si="26"/>
        <v>6000</v>
      </c>
      <c r="K174" s="153"/>
      <c r="V174" s="25">
        <f t="shared" si="27"/>
        <v>1</v>
      </c>
      <c r="W174" s="25">
        <f t="shared" si="28"/>
        <v>0</v>
      </c>
    </row>
    <row r="175" spans="1:23" x14ac:dyDescent="0.3">
      <c r="A175" s="147"/>
      <c r="B175" s="205">
        <f t="shared" si="29"/>
        <v>22</v>
      </c>
      <c r="C175" s="206">
        <v>43861</v>
      </c>
      <c r="D175" s="161" t="s">
        <v>8</v>
      </c>
      <c r="E175" s="161" t="s">
        <v>301</v>
      </c>
      <c r="F175" s="207">
        <v>30970</v>
      </c>
      <c r="G175" s="207">
        <v>30825</v>
      </c>
      <c r="H175" s="161">
        <v>145</v>
      </c>
      <c r="I175" s="207">
        <v>40</v>
      </c>
      <c r="J175" s="242">
        <f t="shared" si="26"/>
        <v>5800</v>
      </c>
      <c r="K175" s="153"/>
      <c r="V175" s="25">
        <f t="shared" si="27"/>
        <v>1</v>
      </c>
      <c r="W175" s="25">
        <f t="shared" si="28"/>
        <v>0</v>
      </c>
    </row>
    <row r="176" spans="1:23" ht="15" thickBot="1" x14ac:dyDescent="0.35">
      <c r="A176" s="147"/>
      <c r="B176" s="208">
        <f t="shared" si="29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82480</v>
      </c>
      <c r="K177" s="153"/>
      <c r="V177" s="25">
        <f>SUM(V154:V176)</f>
        <v>19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2905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43831</v>
      </c>
      <c r="D185" s="185" t="s">
        <v>9</v>
      </c>
      <c r="E185" s="185" t="s">
        <v>2890</v>
      </c>
      <c r="F185" s="219">
        <v>150</v>
      </c>
      <c r="G185" s="219">
        <v>130</v>
      </c>
      <c r="H185" s="185">
        <v>-20</v>
      </c>
      <c r="I185" s="219">
        <v>80</v>
      </c>
      <c r="J185" s="246">
        <f t="shared" ref="J185:J207" si="30">I185*H185</f>
        <v>-1600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43832</v>
      </c>
      <c r="D186" s="161" t="s">
        <v>9</v>
      </c>
      <c r="E186" s="161" t="s">
        <v>2907</v>
      </c>
      <c r="F186" s="207">
        <v>90</v>
      </c>
      <c r="G186" s="207">
        <v>210</v>
      </c>
      <c r="H186" s="161">
        <v>120</v>
      </c>
      <c r="I186" s="207">
        <v>80</v>
      </c>
      <c r="J186" s="242">
        <f t="shared" si="30"/>
        <v>9600</v>
      </c>
      <c r="K186" s="153"/>
      <c r="V186" s="25">
        <f t="shared" ref="V186:V207" si="31">IF($J186&gt;0,1,0)</f>
        <v>1</v>
      </c>
      <c r="W186" s="25">
        <f t="shared" ref="W186:W207" si="32">IF($J186&lt;0,1,0)</f>
        <v>0</v>
      </c>
    </row>
    <row r="187" spans="1:23" x14ac:dyDescent="0.3">
      <c r="A187" s="147"/>
      <c r="B187" s="205">
        <f t="shared" ref="B187:B207" si="33">B186+1</f>
        <v>3</v>
      </c>
      <c r="C187" s="206">
        <v>43833</v>
      </c>
      <c r="D187" s="161" t="s">
        <v>9</v>
      </c>
      <c r="E187" s="161" t="s">
        <v>2900</v>
      </c>
      <c r="F187" s="207">
        <v>280</v>
      </c>
      <c r="G187" s="207">
        <v>400</v>
      </c>
      <c r="H187" s="161">
        <v>120</v>
      </c>
      <c r="I187" s="207">
        <v>80</v>
      </c>
      <c r="J187" s="242">
        <f t="shared" si="30"/>
        <v>9600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4</v>
      </c>
      <c r="C188" s="206">
        <v>43836</v>
      </c>
      <c r="D188" s="161" t="s">
        <v>9</v>
      </c>
      <c r="E188" s="161" t="s">
        <v>2765</v>
      </c>
      <c r="F188" s="207">
        <v>300</v>
      </c>
      <c r="G188" s="207">
        <v>420</v>
      </c>
      <c r="H188" s="161">
        <v>120</v>
      </c>
      <c r="I188" s="207">
        <v>80</v>
      </c>
      <c r="J188" s="242">
        <f t="shared" si="30"/>
        <v>9600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5</v>
      </c>
      <c r="C189" s="206">
        <v>43837</v>
      </c>
      <c r="D189" s="161" t="s">
        <v>9</v>
      </c>
      <c r="E189" s="161" t="s">
        <v>2867</v>
      </c>
      <c r="F189" s="207">
        <v>250</v>
      </c>
      <c r="G189" s="207">
        <v>370</v>
      </c>
      <c r="H189" s="161">
        <v>120</v>
      </c>
      <c r="I189" s="207">
        <v>80</v>
      </c>
      <c r="J189" s="242">
        <f t="shared" si="30"/>
        <v>9600</v>
      </c>
      <c r="K189" s="153"/>
      <c r="O189" s="25" t="s">
        <v>2008</v>
      </c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6</v>
      </c>
      <c r="C190" s="206">
        <v>43838</v>
      </c>
      <c r="D190" s="161" t="s">
        <v>9</v>
      </c>
      <c r="E190" s="161" t="s">
        <v>2738</v>
      </c>
      <c r="F190" s="207">
        <v>250</v>
      </c>
      <c r="G190" s="207">
        <v>310</v>
      </c>
      <c r="H190" s="161">
        <v>60</v>
      </c>
      <c r="I190" s="207">
        <v>80</v>
      </c>
      <c r="J190" s="242">
        <f t="shared" si="30"/>
        <v>4800</v>
      </c>
      <c r="K190" s="153"/>
      <c r="V190" s="25">
        <f t="shared" si="31"/>
        <v>1</v>
      </c>
      <c r="W190" s="25">
        <f t="shared" si="32"/>
        <v>0</v>
      </c>
    </row>
    <row r="191" spans="1:23" x14ac:dyDescent="0.3">
      <c r="A191" s="147"/>
      <c r="B191" s="205">
        <f t="shared" si="33"/>
        <v>7</v>
      </c>
      <c r="C191" s="206">
        <v>43839</v>
      </c>
      <c r="D191" s="161" t="s">
        <v>9</v>
      </c>
      <c r="E191" s="161" t="s">
        <v>2885</v>
      </c>
      <c r="F191" s="207">
        <v>120</v>
      </c>
      <c r="G191" s="207">
        <v>60</v>
      </c>
      <c r="H191" s="161">
        <v>-60</v>
      </c>
      <c r="I191" s="207">
        <v>80</v>
      </c>
      <c r="J191" s="242">
        <f t="shared" si="30"/>
        <v>-4800</v>
      </c>
      <c r="K191" s="153"/>
      <c r="V191" s="25">
        <f t="shared" si="31"/>
        <v>0</v>
      </c>
      <c r="W191" s="25">
        <f t="shared" si="32"/>
        <v>1</v>
      </c>
    </row>
    <row r="192" spans="1:23" x14ac:dyDescent="0.3">
      <c r="A192" s="147"/>
      <c r="B192" s="205">
        <f t="shared" si="33"/>
        <v>8</v>
      </c>
      <c r="C192" s="206">
        <v>43840</v>
      </c>
      <c r="D192" s="161" t="s">
        <v>9</v>
      </c>
      <c r="E192" s="161" t="s">
        <v>2894</v>
      </c>
      <c r="F192" s="207">
        <v>270</v>
      </c>
      <c r="G192" s="207">
        <v>210</v>
      </c>
      <c r="H192" s="161">
        <v>-60</v>
      </c>
      <c r="I192" s="207">
        <v>80</v>
      </c>
      <c r="J192" s="242">
        <f t="shared" si="30"/>
        <v>-4800</v>
      </c>
      <c r="K192" s="153"/>
      <c r="V192" s="25">
        <f t="shared" si="31"/>
        <v>0</v>
      </c>
      <c r="W192" s="25">
        <f t="shared" si="32"/>
        <v>1</v>
      </c>
    </row>
    <row r="193" spans="1:23" x14ac:dyDescent="0.3">
      <c r="A193" s="147"/>
      <c r="B193" s="205">
        <f t="shared" si="33"/>
        <v>9</v>
      </c>
      <c r="C193" s="206">
        <v>43843</v>
      </c>
      <c r="D193" s="161" t="s">
        <v>9</v>
      </c>
      <c r="E193" s="161" t="s">
        <v>2894</v>
      </c>
      <c r="F193" s="207">
        <v>210</v>
      </c>
      <c r="G193" s="207">
        <v>195</v>
      </c>
      <c r="H193" s="161">
        <v>-15</v>
      </c>
      <c r="I193" s="207">
        <v>80</v>
      </c>
      <c r="J193" s="242">
        <f t="shared" si="30"/>
        <v>-1200</v>
      </c>
      <c r="K193" s="153"/>
      <c r="V193" s="25">
        <f t="shared" si="31"/>
        <v>0</v>
      </c>
      <c r="W193" s="25">
        <f t="shared" si="32"/>
        <v>1</v>
      </c>
    </row>
    <row r="194" spans="1:23" x14ac:dyDescent="0.3">
      <c r="A194" s="147"/>
      <c r="B194" s="205">
        <f t="shared" si="33"/>
        <v>10</v>
      </c>
      <c r="C194" s="206">
        <v>43845</v>
      </c>
      <c r="D194" s="161" t="s">
        <v>9</v>
      </c>
      <c r="E194" s="161" t="s">
        <v>2871</v>
      </c>
      <c r="F194" s="207">
        <v>210</v>
      </c>
      <c r="G194" s="207">
        <v>242</v>
      </c>
      <c r="H194" s="161">
        <v>32</v>
      </c>
      <c r="I194" s="207">
        <v>80</v>
      </c>
      <c r="J194" s="242">
        <f t="shared" si="30"/>
        <v>2560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11</v>
      </c>
      <c r="C195" s="206">
        <v>43846</v>
      </c>
      <c r="D195" s="161" t="s">
        <v>9</v>
      </c>
      <c r="E195" s="161" t="s">
        <v>2867</v>
      </c>
      <c r="F195" s="207">
        <v>120</v>
      </c>
      <c r="G195" s="207">
        <v>60</v>
      </c>
      <c r="H195" s="161">
        <v>-60</v>
      </c>
      <c r="I195" s="207">
        <v>80</v>
      </c>
      <c r="J195" s="242">
        <f t="shared" si="30"/>
        <v>-4800</v>
      </c>
      <c r="K195" s="153"/>
      <c r="V195" s="25">
        <f t="shared" si="31"/>
        <v>0</v>
      </c>
      <c r="W195" s="25">
        <f t="shared" si="32"/>
        <v>1</v>
      </c>
    </row>
    <row r="196" spans="1:23" x14ac:dyDescent="0.3">
      <c r="A196" s="147"/>
      <c r="B196" s="205">
        <f t="shared" si="33"/>
        <v>12</v>
      </c>
      <c r="C196" s="206">
        <v>43847</v>
      </c>
      <c r="D196" s="161" t="s">
        <v>9</v>
      </c>
      <c r="E196" s="161" t="s">
        <v>2877</v>
      </c>
      <c r="F196" s="207">
        <v>230</v>
      </c>
      <c r="G196" s="207">
        <v>230</v>
      </c>
      <c r="H196" s="161">
        <v>0</v>
      </c>
      <c r="I196" s="207">
        <v>80</v>
      </c>
      <c r="J196" s="242">
        <f t="shared" si="30"/>
        <v>0</v>
      </c>
      <c r="K196" s="153"/>
      <c r="V196" s="25">
        <f t="shared" si="31"/>
        <v>0</v>
      </c>
      <c r="W196" s="25">
        <f t="shared" si="32"/>
        <v>0</v>
      </c>
    </row>
    <row r="197" spans="1:23" x14ac:dyDescent="0.3">
      <c r="A197" s="147"/>
      <c r="B197" s="205">
        <f t="shared" si="33"/>
        <v>13</v>
      </c>
      <c r="C197" s="206">
        <v>43850</v>
      </c>
      <c r="D197" s="161" t="s">
        <v>9</v>
      </c>
      <c r="E197" s="161" t="s">
        <v>2735</v>
      </c>
      <c r="F197" s="207">
        <v>270</v>
      </c>
      <c r="G197" s="207">
        <v>390</v>
      </c>
      <c r="H197" s="161">
        <v>120</v>
      </c>
      <c r="I197" s="207">
        <v>80</v>
      </c>
      <c r="J197" s="242">
        <f t="shared" si="30"/>
        <v>9600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14</v>
      </c>
      <c r="C198" s="206">
        <v>43851</v>
      </c>
      <c r="D198" s="161" t="s">
        <v>9</v>
      </c>
      <c r="E198" s="161" t="s">
        <v>2740</v>
      </c>
      <c r="F198" s="207">
        <v>260</v>
      </c>
      <c r="G198" s="207">
        <v>320</v>
      </c>
      <c r="H198" s="161">
        <v>60</v>
      </c>
      <c r="I198" s="207">
        <v>80</v>
      </c>
      <c r="J198" s="242">
        <f t="shared" si="30"/>
        <v>4800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15</v>
      </c>
      <c r="C199" s="206">
        <v>43852</v>
      </c>
      <c r="D199" s="161" t="s">
        <v>9</v>
      </c>
      <c r="E199" s="161" t="s">
        <v>2740</v>
      </c>
      <c r="F199" s="207">
        <v>200</v>
      </c>
      <c r="G199" s="207">
        <v>320</v>
      </c>
      <c r="H199" s="161">
        <v>120</v>
      </c>
      <c r="I199" s="207">
        <v>80</v>
      </c>
      <c r="J199" s="242">
        <f t="shared" si="30"/>
        <v>9600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16</v>
      </c>
      <c r="C200" s="206">
        <v>43853</v>
      </c>
      <c r="D200" s="161" t="s">
        <v>9</v>
      </c>
      <c r="E200" s="161" t="s">
        <v>2768</v>
      </c>
      <c r="F200" s="207">
        <v>170</v>
      </c>
      <c r="G200" s="207">
        <v>260</v>
      </c>
      <c r="H200" s="161">
        <v>90</v>
      </c>
      <c r="I200" s="207">
        <v>80</v>
      </c>
      <c r="J200" s="242">
        <f t="shared" si="30"/>
        <v>7200</v>
      </c>
      <c r="K200" s="153"/>
      <c r="V200" s="25">
        <f t="shared" si="31"/>
        <v>1</v>
      </c>
      <c r="W200" s="25">
        <f t="shared" si="32"/>
        <v>0</v>
      </c>
    </row>
    <row r="201" spans="1:23" x14ac:dyDescent="0.3">
      <c r="A201" s="147"/>
      <c r="B201" s="205">
        <f t="shared" si="33"/>
        <v>17</v>
      </c>
      <c r="C201" s="206">
        <v>43854</v>
      </c>
      <c r="D201" s="161" t="s">
        <v>9</v>
      </c>
      <c r="E201" s="161" t="s">
        <v>2754</v>
      </c>
      <c r="F201" s="207">
        <v>230</v>
      </c>
      <c r="G201" s="207">
        <v>290</v>
      </c>
      <c r="H201" s="161">
        <v>60</v>
      </c>
      <c r="I201" s="207">
        <v>80</v>
      </c>
      <c r="J201" s="242">
        <f t="shared" si="30"/>
        <v>4800</v>
      </c>
      <c r="K201" s="153"/>
      <c r="V201" s="25">
        <f t="shared" si="31"/>
        <v>1</v>
      </c>
      <c r="W201" s="25">
        <f t="shared" si="32"/>
        <v>0</v>
      </c>
    </row>
    <row r="202" spans="1:23" x14ac:dyDescent="0.3">
      <c r="A202" s="147"/>
      <c r="B202" s="205">
        <f t="shared" si="33"/>
        <v>18</v>
      </c>
      <c r="C202" s="206">
        <v>43857</v>
      </c>
      <c r="D202" s="161" t="s">
        <v>9</v>
      </c>
      <c r="E202" s="161" t="s">
        <v>2740</v>
      </c>
      <c r="F202" s="207">
        <v>230</v>
      </c>
      <c r="G202" s="207">
        <v>350</v>
      </c>
      <c r="H202" s="161">
        <v>120</v>
      </c>
      <c r="I202" s="207">
        <v>80</v>
      </c>
      <c r="J202" s="242">
        <f t="shared" si="30"/>
        <v>9600</v>
      </c>
      <c r="K202" s="153"/>
      <c r="V202" s="25">
        <f t="shared" si="31"/>
        <v>1</v>
      </c>
      <c r="W202" s="25">
        <f t="shared" si="32"/>
        <v>0</v>
      </c>
    </row>
    <row r="203" spans="1:23" x14ac:dyDescent="0.3">
      <c r="A203" s="147"/>
      <c r="B203" s="205">
        <f t="shared" si="33"/>
        <v>19</v>
      </c>
      <c r="C203" s="206">
        <v>43858</v>
      </c>
      <c r="D203" s="161" t="s">
        <v>9</v>
      </c>
      <c r="E203" s="161" t="s">
        <v>2741</v>
      </c>
      <c r="F203" s="207">
        <v>180</v>
      </c>
      <c r="G203" s="207">
        <v>120</v>
      </c>
      <c r="H203" s="161">
        <v>-60</v>
      </c>
      <c r="I203" s="207">
        <v>80</v>
      </c>
      <c r="J203" s="242">
        <f t="shared" si="30"/>
        <v>-4800</v>
      </c>
      <c r="K203" s="153"/>
      <c r="V203" s="25">
        <f t="shared" si="31"/>
        <v>0</v>
      </c>
      <c r="W203" s="25">
        <f t="shared" si="32"/>
        <v>1</v>
      </c>
    </row>
    <row r="204" spans="1:23" x14ac:dyDescent="0.3">
      <c r="A204" s="147"/>
      <c r="B204" s="205">
        <f t="shared" si="33"/>
        <v>20</v>
      </c>
      <c r="C204" s="206">
        <v>43859</v>
      </c>
      <c r="D204" s="161" t="s">
        <v>9</v>
      </c>
      <c r="E204" s="161" t="s">
        <v>2768</v>
      </c>
      <c r="F204" s="207">
        <v>120</v>
      </c>
      <c r="G204" s="207">
        <v>205</v>
      </c>
      <c r="H204" s="161">
        <v>85</v>
      </c>
      <c r="I204" s="207">
        <v>80</v>
      </c>
      <c r="J204" s="242">
        <f t="shared" si="30"/>
        <v>6800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21</v>
      </c>
      <c r="C205" s="206">
        <v>43860</v>
      </c>
      <c r="D205" s="161" t="s">
        <v>9</v>
      </c>
      <c r="E205" s="161" t="s">
        <v>2717</v>
      </c>
      <c r="F205" s="207">
        <v>110</v>
      </c>
      <c r="G205" s="207">
        <v>170</v>
      </c>
      <c r="H205" s="161">
        <v>60</v>
      </c>
      <c r="I205" s="207">
        <v>80</v>
      </c>
      <c r="J205" s="242">
        <f t="shared" si="30"/>
        <v>4800</v>
      </c>
      <c r="K205" s="153"/>
      <c r="V205" s="25">
        <f t="shared" si="31"/>
        <v>1</v>
      </c>
      <c r="W205" s="25">
        <f t="shared" si="32"/>
        <v>0</v>
      </c>
    </row>
    <row r="206" spans="1:23" x14ac:dyDescent="0.3">
      <c r="A206" s="147"/>
      <c r="B206" s="205">
        <f t="shared" si="33"/>
        <v>22</v>
      </c>
      <c r="C206" s="206">
        <v>43861</v>
      </c>
      <c r="D206" s="161" t="s">
        <v>9</v>
      </c>
      <c r="E206" s="161" t="s">
        <v>2737</v>
      </c>
      <c r="F206" s="207">
        <v>500</v>
      </c>
      <c r="G206" s="207">
        <v>560</v>
      </c>
      <c r="H206" s="161">
        <v>60</v>
      </c>
      <c r="I206" s="207">
        <v>80</v>
      </c>
      <c r="J206" s="242">
        <f t="shared" si="30"/>
        <v>4800</v>
      </c>
      <c r="K206" s="153"/>
      <c r="V206" s="25">
        <f t="shared" si="31"/>
        <v>1</v>
      </c>
      <c r="W206" s="25">
        <f t="shared" si="32"/>
        <v>0</v>
      </c>
    </row>
    <row r="207" spans="1:23" ht="15" thickBot="1" x14ac:dyDescent="0.35">
      <c r="A207" s="147"/>
      <c r="B207" s="208">
        <f t="shared" si="33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85760</v>
      </c>
      <c r="K208" s="153"/>
      <c r="V208" s="25">
        <f>SUM(V185:V207)</f>
        <v>15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2905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43466</v>
      </c>
      <c r="D216" s="185" t="s">
        <v>9</v>
      </c>
      <c r="E216" s="185" t="s">
        <v>2803</v>
      </c>
      <c r="F216" s="231">
        <v>8.4</v>
      </c>
      <c r="G216" s="231">
        <v>7.8</v>
      </c>
      <c r="H216" s="231">
        <v>-0.6</v>
      </c>
      <c r="I216" s="219">
        <v>2600</v>
      </c>
      <c r="J216" s="246">
        <f t="shared" ref="J216:J239" si="34">I216*H216</f>
        <v>-1560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06">
        <v>43832</v>
      </c>
      <c r="D217" s="161" t="s">
        <v>9</v>
      </c>
      <c r="E217" s="161" t="s">
        <v>2908</v>
      </c>
      <c r="F217" s="222">
        <v>35</v>
      </c>
      <c r="G217" s="222">
        <v>42</v>
      </c>
      <c r="H217" s="255">
        <v>7</v>
      </c>
      <c r="I217" s="207">
        <v>500</v>
      </c>
      <c r="J217" s="242">
        <f>I217*H217</f>
        <v>3500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5">B217+1</f>
        <v>3</v>
      </c>
      <c r="C218" s="206">
        <v>43833</v>
      </c>
      <c r="D218" s="161" t="s">
        <v>9</v>
      </c>
      <c r="E218" s="161" t="s">
        <v>2908</v>
      </c>
      <c r="F218" s="222">
        <v>41</v>
      </c>
      <c r="G218" s="222">
        <v>42.8</v>
      </c>
      <c r="H218" s="222">
        <v>1.8</v>
      </c>
      <c r="I218" s="207">
        <v>500</v>
      </c>
      <c r="J218" s="242">
        <f t="shared" si="34"/>
        <v>900</v>
      </c>
      <c r="K218" s="153"/>
      <c r="V218" s="25">
        <f t="shared" ref="V218:V239" si="36">IF($J218&gt;0,1,0)</f>
        <v>1</v>
      </c>
      <c r="W218" s="25">
        <f t="shared" ref="W218:W239" si="37">IF($J218&lt;0,1,0)</f>
        <v>0</v>
      </c>
    </row>
    <row r="219" spans="1:23" x14ac:dyDescent="0.3">
      <c r="A219" s="147"/>
      <c r="B219" s="205">
        <f t="shared" si="35"/>
        <v>4</v>
      </c>
      <c r="C219" s="206">
        <v>43836</v>
      </c>
      <c r="D219" s="161" t="s">
        <v>9</v>
      </c>
      <c r="E219" s="161" t="s">
        <v>2908</v>
      </c>
      <c r="F219" s="222">
        <v>36</v>
      </c>
      <c r="G219" s="222">
        <v>38</v>
      </c>
      <c r="H219" s="222">
        <v>2</v>
      </c>
      <c r="I219" s="207">
        <v>500</v>
      </c>
      <c r="J219" s="242">
        <f t="shared" si="34"/>
        <v>1000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5</v>
      </c>
      <c r="C220" s="206">
        <v>43837</v>
      </c>
      <c r="D220" s="161" t="s">
        <v>9</v>
      </c>
      <c r="E220" s="161" t="s">
        <v>2414</v>
      </c>
      <c r="F220" s="222">
        <v>8.5</v>
      </c>
      <c r="G220" s="222">
        <v>12</v>
      </c>
      <c r="H220" s="222">
        <v>3.5</v>
      </c>
      <c r="I220" s="207">
        <v>3000</v>
      </c>
      <c r="J220" s="242">
        <f t="shared" si="34"/>
        <v>10500</v>
      </c>
      <c r="K220" s="153"/>
      <c r="V220" s="25">
        <f t="shared" si="36"/>
        <v>1</v>
      </c>
      <c r="W220" s="25">
        <f t="shared" si="37"/>
        <v>0</v>
      </c>
    </row>
    <row r="221" spans="1:23" x14ac:dyDescent="0.3">
      <c r="A221" s="147"/>
      <c r="B221" s="205">
        <f t="shared" si="35"/>
        <v>6</v>
      </c>
      <c r="C221" s="206">
        <v>43838</v>
      </c>
      <c r="D221" s="161" t="s">
        <v>9</v>
      </c>
      <c r="E221" s="161" t="s">
        <v>2910</v>
      </c>
      <c r="F221" s="222">
        <v>15</v>
      </c>
      <c r="G221" s="222">
        <v>16</v>
      </c>
      <c r="H221" s="222">
        <v>1</v>
      </c>
      <c r="I221" s="207">
        <v>1375</v>
      </c>
      <c r="J221" s="242">
        <f t="shared" si="34"/>
        <v>1375</v>
      </c>
      <c r="K221" s="153"/>
      <c r="V221" s="25">
        <f t="shared" si="36"/>
        <v>1</v>
      </c>
      <c r="W221" s="25">
        <f t="shared" si="37"/>
        <v>0</v>
      </c>
    </row>
    <row r="222" spans="1:23" x14ac:dyDescent="0.3">
      <c r="A222" s="147"/>
      <c r="B222" s="205">
        <f t="shared" si="35"/>
        <v>7</v>
      </c>
      <c r="C222" s="206">
        <v>43839</v>
      </c>
      <c r="D222" s="161" t="s">
        <v>9</v>
      </c>
      <c r="E222" s="161" t="s">
        <v>2851</v>
      </c>
      <c r="F222" s="222">
        <v>7.5</v>
      </c>
      <c r="G222" s="222">
        <v>6.5</v>
      </c>
      <c r="H222" s="222">
        <v>-1</v>
      </c>
      <c r="I222" s="207">
        <v>2600</v>
      </c>
      <c r="J222" s="242">
        <f t="shared" si="34"/>
        <v>-2600</v>
      </c>
      <c r="K222" s="153"/>
      <c r="V222" s="25">
        <f t="shared" si="36"/>
        <v>0</v>
      </c>
      <c r="W222" s="25">
        <f t="shared" si="37"/>
        <v>1</v>
      </c>
    </row>
    <row r="223" spans="1:23" x14ac:dyDescent="0.3">
      <c r="A223" s="147"/>
      <c r="B223" s="205">
        <f t="shared" si="35"/>
        <v>8</v>
      </c>
      <c r="C223" s="206">
        <v>43840</v>
      </c>
      <c r="D223" s="161" t="s">
        <v>9</v>
      </c>
      <c r="E223" s="161" t="s">
        <v>2912</v>
      </c>
      <c r="F223" s="222">
        <v>37</v>
      </c>
      <c r="G223" s="222">
        <v>41</v>
      </c>
      <c r="H223" s="222">
        <v>4</v>
      </c>
      <c r="I223" s="207">
        <v>375</v>
      </c>
      <c r="J223" s="242">
        <f t="shared" si="34"/>
        <v>1500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9</v>
      </c>
      <c r="C224" s="206">
        <v>43843</v>
      </c>
      <c r="D224" s="161" t="s">
        <v>9</v>
      </c>
      <c r="E224" s="161" t="s">
        <v>2915</v>
      </c>
      <c r="F224" s="222">
        <v>28</v>
      </c>
      <c r="G224" s="222">
        <v>30.6</v>
      </c>
      <c r="H224" s="255">
        <v>2.6</v>
      </c>
      <c r="I224" s="207">
        <v>375</v>
      </c>
      <c r="J224" s="242">
        <f t="shared" si="34"/>
        <v>975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10</v>
      </c>
      <c r="C225" s="206">
        <v>43845</v>
      </c>
      <c r="D225" s="161" t="s">
        <v>9</v>
      </c>
      <c r="E225" s="161" t="s">
        <v>2916</v>
      </c>
      <c r="F225" s="222">
        <v>48</v>
      </c>
      <c r="G225" s="222">
        <v>40</v>
      </c>
      <c r="H225" s="255">
        <v>-8</v>
      </c>
      <c r="I225" s="207">
        <v>250</v>
      </c>
      <c r="J225" s="242">
        <f t="shared" si="34"/>
        <v>-2000</v>
      </c>
      <c r="K225" s="153"/>
      <c r="V225" s="25">
        <f t="shared" si="36"/>
        <v>0</v>
      </c>
      <c r="W225" s="25">
        <f t="shared" si="37"/>
        <v>1</v>
      </c>
    </row>
    <row r="226" spans="1:23" x14ac:dyDescent="0.3">
      <c r="A226" s="147"/>
      <c r="B226" s="205">
        <f t="shared" si="35"/>
        <v>11</v>
      </c>
      <c r="C226" s="206">
        <v>43846</v>
      </c>
      <c r="D226" s="161" t="s">
        <v>9</v>
      </c>
      <c r="E226" s="161" t="s">
        <v>2745</v>
      </c>
      <c r="F226" s="222">
        <v>44</v>
      </c>
      <c r="G226" s="222">
        <v>47.5</v>
      </c>
      <c r="H226" s="255">
        <v>3.5</v>
      </c>
      <c r="I226" s="207">
        <v>400</v>
      </c>
      <c r="J226" s="242">
        <f t="shared" si="34"/>
        <v>1400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12</v>
      </c>
      <c r="C227" s="206">
        <v>43847</v>
      </c>
      <c r="D227" s="161" t="s">
        <v>9</v>
      </c>
      <c r="E227" s="161" t="s">
        <v>2910</v>
      </c>
      <c r="F227" s="222">
        <v>13</v>
      </c>
      <c r="G227" s="222">
        <v>14</v>
      </c>
      <c r="H227" s="255">
        <v>1</v>
      </c>
      <c r="I227" s="207">
        <v>1375</v>
      </c>
      <c r="J227" s="242">
        <f t="shared" si="34"/>
        <v>1375</v>
      </c>
      <c r="K227" s="153"/>
      <c r="V227" s="25">
        <f t="shared" si="36"/>
        <v>1</v>
      </c>
      <c r="W227" s="25">
        <f t="shared" si="37"/>
        <v>0</v>
      </c>
    </row>
    <row r="228" spans="1:23" x14ac:dyDescent="0.3">
      <c r="A228" s="147"/>
      <c r="B228" s="205">
        <f t="shared" si="35"/>
        <v>13</v>
      </c>
      <c r="C228" s="206">
        <v>43850</v>
      </c>
      <c r="D228" s="161" t="s">
        <v>9</v>
      </c>
      <c r="E228" s="161" t="s">
        <v>2920</v>
      </c>
      <c r="F228" s="222">
        <v>13.5</v>
      </c>
      <c r="G228" s="222">
        <v>16.3</v>
      </c>
      <c r="H228" s="255">
        <v>2.8</v>
      </c>
      <c r="I228" s="207">
        <v>1375</v>
      </c>
      <c r="J228" s="242">
        <f t="shared" si="34"/>
        <v>3849.9999999999995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14</v>
      </c>
      <c r="C229" s="206">
        <v>43851</v>
      </c>
      <c r="D229" s="161" t="s">
        <v>9</v>
      </c>
      <c r="E229" s="161" t="s">
        <v>2920</v>
      </c>
      <c r="F229" s="222">
        <v>13.5</v>
      </c>
      <c r="G229" s="222">
        <v>14.5</v>
      </c>
      <c r="H229" s="255">
        <v>1</v>
      </c>
      <c r="I229" s="207">
        <v>1375</v>
      </c>
      <c r="J229" s="242">
        <f>I229*H229</f>
        <v>1375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15</v>
      </c>
      <c r="C230" s="206">
        <v>43852</v>
      </c>
      <c r="D230" s="161" t="s">
        <v>9</v>
      </c>
      <c r="E230" s="161" t="s">
        <v>2922</v>
      </c>
      <c r="F230" s="222">
        <v>22</v>
      </c>
      <c r="G230" s="222">
        <v>16</v>
      </c>
      <c r="H230" s="255">
        <v>-6</v>
      </c>
      <c r="I230" s="207">
        <v>500</v>
      </c>
      <c r="J230" s="242">
        <f t="shared" si="34"/>
        <v>-3000</v>
      </c>
      <c r="K230" s="153"/>
      <c r="V230" s="25">
        <f t="shared" si="36"/>
        <v>0</v>
      </c>
      <c r="W230" s="25">
        <f t="shared" si="37"/>
        <v>1</v>
      </c>
    </row>
    <row r="231" spans="1:23" x14ac:dyDescent="0.3">
      <c r="A231" s="147"/>
      <c r="B231" s="205">
        <f t="shared" si="35"/>
        <v>16</v>
      </c>
      <c r="C231" s="206">
        <v>43853</v>
      </c>
      <c r="D231" s="161" t="s">
        <v>9</v>
      </c>
      <c r="E231" s="161" t="s">
        <v>2924</v>
      </c>
      <c r="F231" s="222">
        <v>140</v>
      </c>
      <c r="G231" s="222">
        <v>110</v>
      </c>
      <c r="H231" s="222">
        <v>-30</v>
      </c>
      <c r="I231" s="207">
        <v>75</v>
      </c>
      <c r="J231" s="242">
        <f t="shared" si="34"/>
        <v>-2250</v>
      </c>
      <c r="K231" s="153"/>
      <c r="V231" s="25">
        <f t="shared" si="36"/>
        <v>0</v>
      </c>
      <c r="W231" s="25">
        <f t="shared" si="37"/>
        <v>1</v>
      </c>
    </row>
    <row r="232" spans="1:23" x14ac:dyDescent="0.3">
      <c r="A232" s="147"/>
      <c r="B232" s="205">
        <f t="shared" si="35"/>
        <v>17</v>
      </c>
      <c r="C232" s="206">
        <v>43854</v>
      </c>
      <c r="D232" s="161" t="s">
        <v>9</v>
      </c>
      <c r="E232" s="161" t="s">
        <v>2710</v>
      </c>
      <c r="F232" s="222">
        <v>8</v>
      </c>
      <c r="G232" s="222">
        <v>9.5</v>
      </c>
      <c r="H232" s="222">
        <v>1.5</v>
      </c>
      <c r="I232" s="207">
        <v>1200</v>
      </c>
      <c r="J232" s="242">
        <f t="shared" si="34"/>
        <v>1800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18</v>
      </c>
      <c r="C233" s="206">
        <v>43857</v>
      </c>
      <c r="D233" s="161" t="s">
        <v>9</v>
      </c>
      <c r="E233" s="161" t="s">
        <v>2927</v>
      </c>
      <c r="F233" s="222">
        <v>28</v>
      </c>
      <c r="G233" s="222">
        <v>40</v>
      </c>
      <c r="H233" s="222">
        <v>12</v>
      </c>
      <c r="I233" s="207">
        <v>250</v>
      </c>
      <c r="J233" s="242">
        <f t="shared" si="34"/>
        <v>3000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19</v>
      </c>
      <c r="C234" s="206">
        <v>43858</v>
      </c>
      <c r="D234" s="161" t="s">
        <v>9</v>
      </c>
      <c r="E234" s="161" t="s">
        <v>2928</v>
      </c>
      <c r="F234" s="222">
        <v>12</v>
      </c>
      <c r="G234" s="222">
        <v>24</v>
      </c>
      <c r="H234" s="222">
        <v>12</v>
      </c>
      <c r="I234" s="207">
        <v>500</v>
      </c>
      <c r="J234" s="242">
        <f t="shared" si="34"/>
        <v>6000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20</v>
      </c>
      <c r="C235" s="206">
        <v>43859</v>
      </c>
      <c r="D235" s="161" t="s">
        <v>9</v>
      </c>
      <c r="E235" s="161" t="s">
        <v>2929</v>
      </c>
      <c r="F235" s="222">
        <v>8</v>
      </c>
      <c r="G235" s="222">
        <v>18</v>
      </c>
      <c r="H235" s="222">
        <v>10</v>
      </c>
      <c r="I235" s="207">
        <v>500</v>
      </c>
      <c r="J235" s="242">
        <f t="shared" si="34"/>
        <v>5000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21</v>
      </c>
      <c r="C236" s="206">
        <v>43860</v>
      </c>
      <c r="D236" s="161" t="s">
        <v>9</v>
      </c>
      <c r="E236" s="161" t="s">
        <v>2710</v>
      </c>
      <c r="F236" s="222">
        <v>2.5</v>
      </c>
      <c r="G236" s="222">
        <v>5</v>
      </c>
      <c r="H236" s="222">
        <v>2.5</v>
      </c>
      <c r="I236" s="207">
        <v>1200</v>
      </c>
      <c r="J236" s="242">
        <f t="shared" si="34"/>
        <v>3000</v>
      </c>
      <c r="K236" s="153"/>
      <c r="V236" s="25">
        <f t="shared" si="36"/>
        <v>1</v>
      </c>
      <c r="W236" s="25">
        <f t="shared" si="37"/>
        <v>0</v>
      </c>
    </row>
    <row r="237" spans="1:23" x14ac:dyDescent="0.3">
      <c r="A237" s="147"/>
      <c r="B237" s="205">
        <f t="shared" si="35"/>
        <v>22</v>
      </c>
      <c r="C237" s="206">
        <v>43861</v>
      </c>
      <c r="D237" s="161" t="s">
        <v>9</v>
      </c>
      <c r="E237" s="161" t="s">
        <v>2850</v>
      </c>
      <c r="F237" s="222">
        <v>48</v>
      </c>
      <c r="G237" s="222">
        <v>60</v>
      </c>
      <c r="H237" s="222">
        <v>12</v>
      </c>
      <c r="I237" s="207">
        <v>500</v>
      </c>
      <c r="J237" s="242">
        <f t="shared" si="34"/>
        <v>6000</v>
      </c>
      <c r="K237" s="153"/>
      <c r="V237" s="25">
        <f t="shared" si="36"/>
        <v>1</v>
      </c>
      <c r="W237" s="25">
        <f t="shared" si="37"/>
        <v>0</v>
      </c>
    </row>
    <row r="238" spans="1:23" x14ac:dyDescent="0.3">
      <c r="A238" s="147"/>
      <c r="B238" s="205">
        <f t="shared" si="35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ht="15" thickBot="1" x14ac:dyDescent="0.35">
      <c r="A239" s="147"/>
      <c r="B239" s="208">
        <f t="shared" si="35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41140</v>
      </c>
      <c r="K240" s="153"/>
      <c r="V240" s="25">
        <f>SUM(V216:V239)</f>
        <v>17</v>
      </c>
      <c r="W240" s="25">
        <f>SUM(W216:W239)</f>
        <v>5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100-000000000000}"/>
    <hyperlink ref="B84" r:id="rId2" xr:uid="{00000000-0004-0000-5100-000001000000}"/>
    <hyperlink ref="B115" r:id="rId3" xr:uid="{00000000-0004-0000-5100-000002000000}"/>
    <hyperlink ref="B146" r:id="rId4" xr:uid="{00000000-0004-0000-5100-000003000000}"/>
    <hyperlink ref="B177" r:id="rId5" xr:uid="{00000000-0004-0000-5100-000004000000}"/>
    <hyperlink ref="B208" r:id="rId6" xr:uid="{00000000-0004-0000-5100-000005000000}"/>
    <hyperlink ref="B240" r:id="rId7" xr:uid="{00000000-0004-0000-5100-000006000000}"/>
    <hyperlink ref="M1" location="'MASTER '!A1" display="Back" xr:uid="{00000000-0004-0000-5100-000007000000}"/>
    <hyperlink ref="M8:M9" location="'JAN 2020'!A108" display="NIFTY FUTURE" xr:uid="{00000000-0004-0000-5100-000008000000}"/>
    <hyperlink ref="M10:M11" location="'JAN 2020'!A139" display="NF. OPTION" xr:uid="{00000000-0004-0000-5100-000009000000}"/>
    <hyperlink ref="M12:M13" location="'JAN 2020'!A170" display="BANK NIFTY" xr:uid="{00000000-0004-0000-5100-00000A000000}"/>
    <hyperlink ref="M14:M15" location="'JAN 2020'!A201" display="B.NIFTY OPTION" xr:uid="{00000000-0004-0000-5100-00000B000000}"/>
    <hyperlink ref="M16:M17" location="'JAN 2020'!A232" display="STOCK OPTION" xr:uid="{00000000-0004-0000-5100-00000C000000}"/>
    <hyperlink ref="M6:M7" location="'JAN 2020'!A77" display="STOCK FUTURE" xr:uid="{00000000-0004-0000-5100-00000D000000}"/>
    <hyperlink ref="M4:M5" location="'JAN 2020'!A1" display="CASH" xr:uid="{00000000-0004-0000-5100-00000E000000}"/>
  </hyperlinks>
  <pageMargins left="0" right="0" top="0" bottom="0" header="0" footer="0"/>
  <pageSetup scale="95" orientation="portrait" r:id="rId8"/>
  <drawing r:id="rId9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W241"/>
  <sheetViews>
    <sheetView workbookViewId="0">
      <selection activeCell="M2" sqref="M2:R22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0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2931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1" t="s">
        <v>449</v>
      </c>
      <c r="N4" s="353">
        <f>COUNT(C6:C51)</f>
        <v>40</v>
      </c>
      <c r="O4" s="354">
        <f>V52</f>
        <v>32</v>
      </c>
      <c r="P4" s="354">
        <f>W52</f>
        <v>8</v>
      </c>
      <c r="Q4" s="355">
        <f>N4-O4-P4</f>
        <v>0</v>
      </c>
      <c r="R4" s="314">
        <f>O4/N4</f>
        <v>0.8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89"/>
      <c r="N5" s="343"/>
      <c r="O5" s="345"/>
      <c r="P5" s="345"/>
      <c r="Q5" s="356"/>
      <c r="R5" s="340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43862</v>
      </c>
      <c r="D6" s="158" t="s">
        <v>9</v>
      </c>
      <c r="E6" s="158" t="s">
        <v>129</v>
      </c>
      <c r="F6" s="230">
        <v>2410</v>
      </c>
      <c r="G6" s="222">
        <v>2421.4</v>
      </c>
      <c r="H6" s="222">
        <v>11.4</v>
      </c>
      <c r="I6" s="204">
        <f>300000/F6</f>
        <v>124.48132780082987</v>
      </c>
      <c r="J6" s="241">
        <f>H6*I6</f>
        <v>1419.0871369294607</v>
      </c>
      <c r="K6" s="153"/>
      <c r="M6" s="389" t="s">
        <v>450</v>
      </c>
      <c r="N6" s="343">
        <f>COUNT(C60:C83)</f>
        <v>21</v>
      </c>
      <c r="O6" s="345">
        <f>V84</f>
        <v>21</v>
      </c>
      <c r="P6" s="345">
        <f>W84</f>
        <v>0</v>
      </c>
      <c r="Q6" s="347">
        <f>N6-O6-P6</f>
        <v>0</v>
      </c>
      <c r="R6" s="340">
        <f t="shared" ref="R6" si="0">O6/N6</f>
        <v>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43862</v>
      </c>
      <c r="D7" s="161" t="s">
        <v>8</v>
      </c>
      <c r="E7" s="161" t="s">
        <v>78</v>
      </c>
      <c r="F7" s="222">
        <v>1378</v>
      </c>
      <c r="G7" s="231">
        <v>1282.5</v>
      </c>
      <c r="H7" s="255">
        <v>95.5</v>
      </c>
      <c r="I7" s="207">
        <f t="shared" ref="I7" si="1">300000/F7</f>
        <v>217.70682148040638</v>
      </c>
      <c r="J7" s="242">
        <f>H7*I7</f>
        <v>20791.001451378808</v>
      </c>
      <c r="K7" s="153"/>
      <c r="M7" s="389"/>
      <c r="N7" s="343"/>
      <c r="O7" s="345"/>
      <c r="P7" s="345"/>
      <c r="Q7" s="349"/>
      <c r="R7" s="340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43864</v>
      </c>
      <c r="D8" s="161" t="s">
        <v>9</v>
      </c>
      <c r="E8" s="161" t="s">
        <v>95</v>
      </c>
      <c r="F8" s="222">
        <v>510</v>
      </c>
      <c r="G8" s="222">
        <v>517.29999999999995</v>
      </c>
      <c r="H8" s="222">
        <v>7.3</v>
      </c>
      <c r="I8" s="207">
        <f t="shared" ref="I8:I45" si="5">300000/F8</f>
        <v>588.23529411764707</v>
      </c>
      <c r="J8" s="242">
        <f t="shared" ref="J8:J45" si="6">H8*I8</f>
        <v>4294.1176470588234</v>
      </c>
      <c r="K8" s="153"/>
      <c r="M8" s="389" t="s">
        <v>451</v>
      </c>
      <c r="N8" s="343">
        <f>COUNT(C92:C114)</f>
        <v>20</v>
      </c>
      <c r="O8" s="345">
        <f>V115</f>
        <v>16</v>
      </c>
      <c r="P8" s="345">
        <f>W115</f>
        <v>3</v>
      </c>
      <c r="Q8" s="347">
        <f>N8-O8-P8</f>
        <v>1</v>
      </c>
      <c r="R8" s="340">
        <f t="shared" ref="R8" si="7">O8/N8</f>
        <v>0.8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4"/>
        <v>4</v>
      </c>
      <c r="C9" s="206">
        <v>43864</v>
      </c>
      <c r="D9" s="161" t="s">
        <v>8</v>
      </c>
      <c r="E9" s="161" t="s">
        <v>192</v>
      </c>
      <c r="F9" s="222">
        <v>190</v>
      </c>
      <c r="G9" s="222">
        <v>187</v>
      </c>
      <c r="H9" s="222">
        <v>3</v>
      </c>
      <c r="I9" s="207">
        <f t="shared" si="5"/>
        <v>1578.9473684210527</v>
      </c>
      <c r="J9" s="242">
        <f t="shared" si="6"/>
        <v>4736.8421052631584</v>
      </c>
      <c r="K9" s="153"/>
      <c r="M9" s="389"/>
      <c r="N9" s="343"/>
      <c r="O9" s="345"/>
      <c r="P9" s="345"/>
      <c r="Q9" s="349"/>
      <c r="R9" s="340"/>
      <c r="V9" s="25">
        <f t="shared" si="2"/>
        <v>1</v>
      </c>
      <c r="W9" s="25">
        <f t="shared" si="3"/>
        <v>0</v>
      </c>
    </row>
    <row r="10" spans="1:23" x14ac:dyDescent="0.3">
      <c r="A10" s="147"/>
      <c r="B10" s="205">
        <f t="shared" si="4"/>
        <v>5</v>
      </c>
      <c r="C10" s="206">
        <v>43865</v>
      </c>
      <c r="D10" s="161" t="s">
        <v>9</v>
      </c>
      <c r="E10" s="161" t="s">
        <v>94</v>
      </c>
      <c r="F10" s="222">
        <v>1220</v>
      </c>
      <c r="G10" s="222">
        <v>1234</v>
      </c>
      <c r="H10" s="222">
        <v>14</v>
      </c>
      <c r="I10" s="207">
        <f t="shared" si="5"/>
        <v>245.90163934426229</v>
      </c>
      <c r="J10" s="242">
        <f t="shared" si="6"/>
        <v>3442.622950819672</v>
      </c>
      <c r="K10" s="153"/>
      <c r="M10" s="389" t="s">
        <v>1176</v>
      </c>
      <c r="N10" s="343">
        <f>COUNT(C123:C145)</f>
        <v>20</v>
      </c>
      <c r="O10" s="345">
        <f>V146</f>
        <v>16</v>
      </c>
      <c r="P10" s="345">
        <f>W146</f>
        <v>4</v>
      </c>
      <c r="Q10" s="347">
        <f>N10-O10-P10</f>
        <v>0</v>
      </c>
      <c r="R10" s="340">
        <f t="shared" ref="R10:R16" si="8">O10/N10</f>
        <v>0.8</v>
      </c>
      <c r="V10" s="25">
        <f t="shared" si="2"/>
        <v>1</v>
      </c>
      <c r="W10" s="25">
        <f t="shared" si="3"/>
        <v>0</v>
      </c>
    </row>
    <row r="11" spans="1:23" x14ac:dyDescent="0.3">
      <c r="A11" s="147"/>
      <c r="B11" s="205">
        <f t="shared" si="4"/>
        <v>6</v>
      </c>
      <c r="C11" s="206">
        <v>43865</v>
      </c>
      <c r="D11" s="161" t="s">
        <v>8</v>
      </c>
      <c r="E11" s="161" t="s">
        <v>192</v>
      </c>
      <c r="F11" s="222">
        <v>189</v>
      </c>
      <c r="G11" s="222">
        <v>186.2</v>
      </c>
      <c r="H11" s="255">
        <v>2.8</v>
      </c>
      <c r="I11" s="207">
        <f t="shared" si="5"/>
        <v>1587.3015873015872</v>
      </c>
      <c r="J11" s="242">
        <f t="shared" si="6"/>
        <v>4444.4444444444443</v>
      </c>
      <c r="K11" s="153"/>
      <c r="M11" s="389"/>
      <c r="N11" s="343"/>
      <c r="O11" s="345"/>
      <c r="P11" s="345"/>
      <c r="Q11" s="349"/>
      <c r="R11" s="340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43866</v>
      </c>
      <c r="D12" s="161" t="s">
        <v>9</v>
      </c>
      <c r="E12" s="161" t="s">
        <v>192</v>
      </c>
      <c r="F12" s="222">
        <v>187</v>
      </c>
      <c r="G12" s="222">
        <v>184</v>
      </c>
      <c r="H12" s="222">
        <v>-3</v>
      </c>
      <c r="I12" s="207">
        <f t="shared" si="5"/>
        <v>1604.2780748663101</v>
      </c>
      <c r="J12" s="242">
        <f t="shared" si="6"/>
        <v>-4812.8342245989306</v>
      </c>
      <c r="K12" s="153"/>
      <c r="M12" s="389" t="s">
        <v>41</v>
      </c>
      <c r="N12" s="343">
        <f>COUNT(C154:C176)</f>
        <v>20</v>
      </c>
      <c r="O12" s="345">
        <f>V177</f>
        <v>17</v>
      </c>
      <c r="P12" s="345">
        <f>W177</f>
        <v>3</v>
      </c>
      <c r="Q12" s="347">
        <f t="shared" ref="Q12" si="9">N12-O12-P12</f>
        <v>0</v>
      </c>
      <c r="R12" s="340">
        <f t="shared" si="8"/>
        <v>0.85</v>
      </c>
      <c r="V12" s="25">
        <f t="shared" si="2"/>
        <v>0</v>
      </c>
      <c r="W12" s="25">
        <f t="shared" si="3"/>
        <v>1</v>
      </c>
    </row>
    <row r="13" spans="1:23" x14ac:dyDescent="0.3">
      <c r="A13" s="147"/>
      <c r="B13" s="205">
        <f t="shared" si="4"/>
        <v>8</v>
      </c>
      <c r="C13" s="206">
        <v>43866</v>
      </c>
      <c r="D13" s="161" t="s">
        <v>8</v>
      </c>
      <c r="E13" s="161" t="s">
        <v>395</v>
      </c>
      <c r="F13" s="222">
        <v>3200</v>
      </c>
      <c r="G13" s="222">
        <v>3150</v>
      </c>
      <c r="H13" s="255">
        <v>50</v>
      </c>
      <c r="I13" s="207">
        <f t="shared" si="5"/>
        <v>93.75</v>
      </c>
      <c r="J13" s="242">
        <f t="shared" si="6"/>
        <v>4687.5</v>
      </c>
      <c r="K13" s="153"/>
      <c r="L13" s="229"/>
      <c r="M13" s="389"/>
      <c r="N13" s="343"/>
      <c r="O13" s="345"/>
      <c r="P13" s="345"/>
      <c r="Q13" s="349"/>
      <c r="R13" s="340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43867</v>
      </c>
      <c r="D14" s="161" t="s">
        <v>9</v>
      </c>
      <c r="E14" s="161" t="s">
        <v>192</v>
      </c>
      <c r="F14" s="222">
        <v>187</v>
      </c>
      <c r="G14" s="222">
        <v>193</v>
      </c>
      <c r="H14" s="222">
        <v>6</v>
      </c>
      <c r="I14" s="207">
        <f t="shared" si="5"/>
        <v>1604.2780748663101</v>
      </c>
      <c r="J14" s="242">
        <f t="shared" si="6"/>
        <v>9625.6684491978613</v>
      </c>
      <c r="K14" s="153"/>
      <c r="M14" s="389" t="s">
        <v>1175</v>
      </c>
      <c r="N14" s="343">
        <f>COUNT(C185:C207)</f>
        <v>20</v>
      </c>
      <c r="O14" s="345">
        <f>V208</f>
        <v>15</v>
      </c>
      <c r="P14" s="345">
        <f>W208</f>
        <v>5</v>
      </c>
      <c r="Q14" s="347">
        <f t="shared" ref="Q14" si="10">N14-O14-P14</f>
        <v>0</v>
      </c>
      <c r="R14" s="340">
        <f t="shared" si="8"/>
        <v>0.75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43867</v>
      </c>
      <c r="D15" s="161" t="s">
        <v>8</v>
      </c>
      <c r="E15" s="161" t="s">
        <v>2921</v>
      </c>
      <c r="F15" s="222">
        <v>580</v>
      </c>
      <c r="G15" s="222">
        <v>570</v>
      </c>
      <c r="H15" s="222">
        <v>10</v>
      </c>
      <c r="I15" s="207">
        <f t="shared" si="5"/>
        <v>517.24137931034488</v>
      </c>
      <c r="J15" s="242">
        <f t="shared" si="6"/>
        <v>5172.4137931034493</v>
      </c>
      <c r="K15" s="153"/>
      <c r="M15" s="389"/>
      <c r="N15" s="343"/>
      <c r="O15" s="345"/>
      <c r="P15" s="345"/>
      <c r="Q15" s="349"/>
      <c r="R15" s="340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43868</v>
      </c>
      <c r="D16" s="161" t="s">
        <v>9</v>
      </c>
      <c r="E16" s="161" t="s">
        <v>192</v>
      </c>
      <c r="F16" s="222">
        <v>191</v>
      </c>
      <c r="G16" s="222">
        <v>193.1</v>
      </c>
      <c r="H16" s="222">
        <v>2.1</v>
      </c>
      <c r="I16" s="207">
        <f t="shared" si="5"/>
        <v>1570.6806282722514</v>
      </c>
      <c r="J16" s="242">
        <f t="shared" si="6"/>
        <v>3298.4293193717281</v>
      </c>
      <c r="K16" s="153"/>
      <c r="L16" s="25" t="s">
        <v>2008</v>
      </c>
      <c r="M16" s="389" t="s">
        <v>1090</v>
      </c>
      <c r="N16" s="343">
        <f>COUNT(C216:C239)</f>
        <v>20</v>
      </c>
      <c r="O16" s="345">
        <f>V240</f>
        <v>17</v>
      </c>
      <c r="P16" s="345">
        <f>W240</f>
        <v>3</v>
      </c>
      <c r="Q16" s="347">
        <f t="shared" ref="Q16" si="11">N16-O16-P16</f>
        <v>0</v>
      </c>
      <c r="R16" s="340">
        <f t="shared" si="8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43868</v>
      </c>
      <c r="D17" s="161" t="s">
        <v>8</v>
      </c>
      <c r="E17" s="161" t="s">
        <v>552</v>
      </c>
      <c r="F17" s="222">
        <v>1315</v>
      </c>
      <c r="G17" s="222">
        <v>1295</v>
      </c>
      <c r="H17" s="222">
        <v>20</v>
      </c>
      <c r="I17" s="207">
        <f t="shared" si="5"/>
        <v>228.13688212927758</v>
      </c>
      <c r="J17" s="242">
        <f t="shared" si="6"/>
        <v>4562.7376425855518</v>
      </c>
      <c r="K17" s="153"/>
      <c r="M17" s="390"/>
      <c r="N17" s="344"/>
      <c r="O17" s="346"/>
      <c r="P17" s="346"/>
      <c r="Q17" s="348"/>
      <c r="R17" s="340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43871</v>
      </c>
      <c r="D18" s="161" t="s">
        <v>9</v>
      </c>
      <c r="E18" s="161" t="s">
        <v>95</v>
      </c>
      <c r="F18" s="222">
        <v>539</v>
      </c>
      <c r="G18" s="222">
        <v>541.4</v>
      </c>
      <c r="H18" s="222">
        <v>2.4</v>
      </c>
      <c r="I18" s="207">
        <f t="shared" si="5"/>
        <v>556.58627087198511</v>
      </c>
      <c r="J18" s="242">
        <f t="shared" si="6"/>
        <v>1335.8070500927643</v>
      </c>
      <c r="K18" s="153"/>
      <c r="M18" s="334" t="s">
        <v>946</v>
      </c>
      <c r="N18" s="336">
        <f>SUM(N4:N17)</f>
        <v>161</v>
      </c>
      <c r="O18" s="336">
        <f t="shared" ref="O18:Q18" si="12">SUM(O4:O17)</f>
        <v>134</v>
      </c>
      <c r="P18" s="336">
        <f t="shared" si="12"/>
        <v>26</v>
      </c>
      <c r="Q18" s="338">
        <f t="shared" si="12"/>
        <v>1</v>
      </c>
      <c r="R18" s="314">
        <f t="shared" ref="R18" si="13">O18/N18</f>
        <v>0.83229813664596275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43871</v>
      </c>
      <c r="D19" s="161" t="s">
        <v>8</v>
      </c>
      <c r="E19" s="161" t="s">
        <v>78</v>
      </c>
      <c r="F19" s="222">
        <v>1286</v>
      </c>
      <c r="G19" s="222">
        <v>1276</v>
      </c>
      <c r="H19" s="222">
        <v>10</v>
      </c>
      <c r="I19" s="207">
        <f t="shared" si="5"/>
        <v>233.28149300155522</v>
      </c>
      <c r="J19" s="242">
        <f t="shared" si="6"/>
        <v>2332.8149300155524</v>
      </c>
      <c r="K19" s="153"/>
      <c r="M19" s="335"/>
      <c r="N19" s="337"/>
      <c r="O19" s="337"/>
      <c r="P19" s="337"/>
      <c r="Q19" s="339"/>
      <c r="R19" s="315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43872</v>
      </c>
      <c r="D20" s="161" t="s">
        <v>9</v>
      </c>
      <c r="E20" s="161" t="s">
        <v>31</v>
      </c>
      <c r="F20" s="222">
        <v>1462</v>
      </c>
      <c r="G20" s="222">
        <v>1466</v>
      </c>
      <c r="H20" s="222">
        <v>4</v>
      </c>
      <c r="I20" s="207">
        <f t="shared" si="5"/>
        <v>205.19835841313269</v>
      </c>
      <c r="J20" s="242">
        <f t="shared" si="6"/>
        <v>820.79343365253078</v>
      </c>
      <c r="K20" s="153"/>
      <c r="M20" s="316" t="s">
        <v>2253</v>
      </c>
      <c r="N20" s="317"/>
      <c r="O20" s="318"/>
      <c r="P20" s="325">
        <f>R18</f>
        <v>0.83229813664596275</v>
      </c>
      <c r="Q20" s="326"/>
      <c r="R20" s="32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43872</v>
      </c>
      <c r="D21" s="161" t="s">
        <v>8</v>
      </c>
      <c r="E21" s="161" t="s">
        <v>800</v>
      </c>
      <c r="F21" s="222">
        <v>1277</v>
      </c>
      <c r="G21" s="222">
        <v>1271.5</v>
      </c>
      <c r="H21" s="222">
        <v>5.5</v>
      </c>
      <c r="I21" s="207">
        <f t="shared" si="5"/>
        <v>234.92560689115115</v>
      </c>
      <c r="J21" s="242">
        <f t="shared" si="6"/>
        <v>1292.0908379013313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43873</v>
      </c>
      <c r="D22" s="161" t="s">
        <v>9</v>
      </c>
      <c r="E22" s="161" t="s">
        <v>94</v>
      </c>
      <c r="F22" s="222">
        <v>1250</v>
      </c>
      <c r="G22" s="222">
        <v>1249</v>
      </c>
      <c r="H22" s="222">
        <v>-1</v>
      </c>
      <c r="I22" s="207">
        <f t="shared" si="5"/>
        <v>240</v>
      </c>
      <c r="J22" s="242">
        <f t="shared" si="6"/>
        <v>-240</v>
      </c>
      <c r="K22" s="153"/>
      <c r="M22" s="322"/>
      <c r="N22" s="323"/>
      <c r="O22" s="324"/>
      <c r="P22" s="331"/>
      <c r="Q22" s="332"/>
      <c r="R22" s="333"/>
      <c r="V22" s="25">
        <f t="shared" si="2"/>
        <v>0</v>
      </c>
      <c r="W22" s="25">
        <f t="shared" si="3"/>
        <v>1</v>
      </c>
    </row>
    <row r="23" spans="1:23" ht="15" customHeight="1" x14ac:dyDescent="0.3">
      <c r="A23" s="147"/>
      <c r="B23" s="205">
        <f t="shared" si="4"/>
        <v>18</v>
      </c>
      <c r="C23" s="206">
        <v>43873</v>
      </c>
      <c r="D23" s="161" t="s">
        <v>8</v>
      </c>
      <c r="E23" s="161" t="s">
        <v>2107</v>
      </c>
      <c r="F23" s="222">
        <v>1555</v>
      </c>
      <c r="G23" s="222">
        <v>1525</v>
      </c>
      <c r="H23" s="222">
        <v>30</v>
      </c>
      <c r="I23" s="207">
        <f t="shared" si="5"/>
        <v>192.92604501607718</v>
      </c>
      <c r="J23" s="242">
        <f t="shared" si="6"/>
        <v>5787.7813504823152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43874</v>
      </c>
      <c r="D24" s="161" t="s">
        <v>9</v>
      </c>
      <c r="E24" s="161" t="s">
        <v>310</v>
      </c>
      <c r="F24" s="222">
        <v>692</v>
      </c>
      <c r="G24" s="222">
        <v>705</v>
      </c>
      <c r="H24" s="222">
        <v>13</v>
      </c>
      <c r="I24" s="207">
        <f t="shared" si="5"/>
        <v>433.52601156069363</v>
      </c>
      <c r="J24" s="242">
        <f t="shared" si="6"/>
        <v>5635.838150289017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43874</v>
      </c>
      <c r="D25" s="161" t="s">
        <v>8</v>
      </c>
      <c r="E25" s="161" t="s">
        <v>94</v>
      </c>
      <c r="F25" s="222">
        <v>1245</v>
      </c>
      <c r="G25" s="222">
        <v>1235</v>
      </c>
      <c r="H25" s="222">
        <v>10</v>
      </c>
      <c r="I25" s="207">
        <f t="shared" si="5"/>
        <v>240.96385542168676</v>
      </c>
      <c r="J25" s="242">
        <f t="shared" si="6"/>
        <v>2409.6385542168678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43875</v>
      </c>
      <c r="D26" s="161" t="s">
        <v>9</v>
      </c>
      <c r="E26" s="161" t="s">
        <v>586</v>
      </c>
      <c r="F26" s="222">
        <v>768</v>
      </c>
      <c r="G26" s="222">
        <v>770.5</v>
      </c>
      <c r="H26" s="222">
        <v>2.5</v>
      </c>
      <c r="I26" s="207">
        <f t="shared" si="5"/>
        <v>390.625</v>
      </c>
      <c r="J26" s="242">
        <f t="shared" si="6"/>
        <v>976.5625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43875</v>
      </c>
      <c r="D27" s="161" t="s">
        <v>8</v>
      </c>
      <c r="E27" s="161" t="s">
        <v>552</v>
      </c>
      <c r="F27" s="222">
        <v>1220</v>
      </c>
      <c r="G27" s="222">
        <v>1215.5</v>
      </c>
      <c r="H27" s="222">
        <v>4.5</v>
      </c>
      <c r="I27" s="207">
        <f t="shared" si="5"/>
        <v>245.90163934426229</v>
      </c>
      <c r="J27" s="242">
        <f t="shared" si="6"/>
        <v>1106.5573770491803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43878</v>
      </c>
      <c r="D28" s="161" t="s">
        <v>9</v>
      </c>
      <c r="E28" s="161" t="s">
        <v>552</v>
      </c>
      <c r="F28" s="222">
        <v>1190</v>
      </c>
      <c r="G28" s="222">
        <v>1180</v>
      </c>
      <c r="H28" s="222">
        <v>-10</v>
      </c>
      <c r="I28" s="207">
        <f t="shared" si="5"/>
        <v>252.10084033613447</v>
      </c>
      <c r="J28" s="242">
        <f t="shared" si="6"/>
        <v>-2521.0084033613448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43878</v>
      </c>
      <c r="D29" s="161" t="s">
        <v>8</v>
      </c>
      <c r="E29" s="161" t="s">
        <v>433</v>
      </c>
      <c r="F29" s="222">
        <v>472</v>
      </c>
      <c r="G29" s="222">
        <v>466</v>
      </c>
      <c r="H29" s="222">
        <v>6</v>
      </c>
      <c r="I29" s="207">
        <f t="shared" si="5"/>
        <v>635.59322033898309</v>
      </c>
      <c r="J29" s="242">
        <f t="shared" si="6"/>
        <v>3813.5593220338988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43879</v>
      </c>
      <c r="D30" s="161" t="s">
        <v>9</v>
      </c>
      <c r="E30" s="161" t="s">
        <v>95</v>
      </c>
      <c r="F30" s="222">
        <v>540</v>
      </c>
      <c r="G30" s="222">
        <v>542</v>
      </c>
      <c r="H30" s="222">
        <v>2</v>
      </c>
      <c r="I30" s="207">
        <f t="shared" si="5"/>
        <v>555.55555555555554</v>
      </c>
      <c r="J30" s="242">
        <f t="shared" si="6"/>
        <v>1111.1111111111111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43879</v>
      </c>
      <c r="D31" s="161" t="s">
        <v>8</v>
      </c>
      <c r="E31" s="161" t="s">
        <v>834</v>
      </c>
      <c r="F31" s="222">
        <v>139</v>
      </c>
      <c r="G31" s="222">
        <v>138.1</v>
      </c>
      <c r="H31" s="222">
        <v>0.9</v>
      </c>
      <c r="I31" s="207">
        <f t="shared" si="5"/>
        <v>2158.2733812949641</v>
      </c>
      <c r="J31" s="242">
        <f t="shared" si="6"/>
        <v>1942.4460431654677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43880</v>
      </c>
      <c r="D32" s="161" t="s">
        <v>9</v>
      </c>
      <c r="E32" s="161" t="s">
        <v>129</v>
      </c>
      <c r="F32" s="222">
        <v>2345</v>
      </c>
      <c r="G32" s="222">
        <v>2385</v>
      </c>
      <c r="H32" s="222">
        <v>40</v>
      </c>
      <c r="I32" s="207">
        <f t="shared" si="5"/>
        <v>127.93176972281449</v>
      </c>
      <c r="J32" s="242">
        <f t="shared" si="6"/>
        <v>5117.2707889125795</v>
      </c>
      <c r="K32" s="153"/>
      <c r="V32" s="25">
        <f t="shared" si="2"/>
        <v>1</v>
      </c>
      <c r="W32" s="25">
        <f t="shared" si="3"/>
        <v>0</v>
      </c>
    </row>
    <row r="33" spans="1:23" x14ac:dyDescent="0.3">
      <c r="A33" s="147"/>
      <c r="B33" s="205">
        <f t="shared" si="4"/>
        <v>28</v>
      </c>
      <c r="C33" s="206">
        <v>43880</v>
      </c>
      <c r="D33" s="161" t="s">
        <v>8</v>
      </c>
      <c r="E33" s="161" t="s">
        <v>78</v>
      </c>
      <c r="F33" s="222">
        <v>1288</v>
      </c>
      <c r="G33" s="222">
        <v>1278</v>
      </c>
      <c r="H33" s="222">
        <v>10</v>
      </c>
      <c r="I33" s="207">
        <f t="shared" si="5"/>
        <v>232.91925465838509</v>
      </c>
      <c r="J33" s="242">
        <f t="shared" si="6"/>
        <v>2329.1925465838508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43881</v>
      </c>
      <c r="D34" s="161" t="s">
        <v>9</v>
      </c>
      <c r="E34" s="161" t="s">
        <v>2944</v>
      </c>
      <c r="F34" s="222">
        <v>905</v>
      </c>
      <c r="G34" s="222">
        <v>895</v>
      </c>
      <c r="H34" s="222">
        <v>-10</v>
      </c>
      <c r="I34" s="207">
        <f t="shared" si="5"/>
        <v>331.49171270718233</v>
      </c>
      <c r="J34" s="242">
        <f t="shared" si="6"/>
        <v>-3314.9171270718234</v>
      </c>
      <c r="K34" s="153"/>
      <c r="V34" s="25">
        <f t="shared" si="2"/>
        <v>0</v>
      </c>
      <c r="W34" s="25">
        <f t="shared" si="3"/>
        <v>1</v>
      </c>
    </row>
    <row r="35" spans="1:23" x14ac:dyDescent="0.3">
      <c r="A35" s="147"/>
      <c r="B35" s="205">
        <f t="shared" si="4"/>
        <v>30</v>
      </c>
      <c r="C35" s="206">
        <v>43881</v>
      </c>
      <c r="D35" s="161" t="s">
        <v>8</v>
      </c>
      <c r="E35" s="161" t="s">
        <v>94</v>
      </c>
      <c r="F35" s="222">
        <v>1220</v>
      </c>
      <c r="G35" s="222">
        <v>1214.0999999999999</v>
      </c>
      <c r="H35" s="222">
        <v>5.9</v>
      </c>
      <c r="I35" s="207">
        <f t="shared" si="5"/>
        <v>245.90163934426229</v>
      </c>
      <c r="J35" s="242">
        <f t="shared" si="6"/>
        <v>1450.8196721311476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43885</v>
      </c>
      <c r="D36" s="161" t="s">
        <v>9</v>
      </c>
      <c r="E36" s="161" t="s">
        <v>137</v>
      </c>
      <c r="F36" s="222">
        <v>2250</v>
      </c>
      <c r="G36" s="222">
        <v>2230</v>
      </c>
      <c r="H36" s="222">
        <v>-20</v>
      </c>
      <c r="I36" s="207">
        <f t="shared" si="5"/>
        <v>133.33333333333334</v>
      </c>
      <c r="J36" s="242">
        <f t="shared" si="6"/>
        <v>-2666.666666666667</v>
      </c>
      <c r="K36" s="153"/>
      <c r="V36" s="25">
        <f t="shared" si="2"/>
        <v>0</v>
      </c>
      <c r="W36" s="25">
        <f t="shared" si="3"/>
        <v>1</v>
      </c>
    </row>
    <row r="37" spans="1:23" x14ac:dyDescent="0.3">
      <c r="A37" s="147"/>
      <c r="B37" s="205">
        <f t="shared" si="4"/>
        <v>32</v>
      </c>
      <c r="C37" s="206">
        <v>43885</v>
      </c>
      <c r="D37" s="161" t="s">
        <v>8</v>
      </c>
      <c r="E37" s="161" t="s">
        <v>94</v>
      </c>
      <c r="F37" s="222">
        <v>1202</v>
      </c>
      <c r="G37" s="222">
        <v>1209</v>
      </c>
      <c r="H37" s="222">
        <v>-7</v>
      </c>
      <c r="I37" s="207">
        <f t="shared" si="5"/>
        <v>249.58402662229616</v>
      </c>
      <c r="J37" s="242">
        <f t="shared" si="6"/>
        <v>-1747.088186356073</v>
      </c>
      <c r="K37" s="153"/>
      <c r="V37" s="25">
        <f t="shared" si="2"/>
        <v>0</v>
      </c>
      <c r="W37" s="25">
        <f t="shared" si="3"/>
        <v>1</v>
      </c>
    </row>
    <row r="38" spans="1:23" x14ac:dyDescent="0.3">
      <c r="A38" s="147"/>
      <c r="B38" s="205">
        <f t="shared" si="4"/>
        <v>33</v>
      </c>
      <c r="C38" s="206">
        <v>43886</v>
      </c>
      <c r="D38" s="161" t="s">
        <v>9</v>
      </c>
      <c r="E38" s="161" t="s">
        <v>129</v>
      </c>
      <c r="F38" s="222">
        <v>2310</v>
      </c>
      <c r="G38" s="222">
        <v>2320</v>
      </c>
      <c r="H38" s="222">
        <v>10</v>
      </c>
      <c r="I38" s="207">
        <f t="shared" si="5"/>
        <v>129.87012987012986</v>
      </c>
      <c r="J38" s="242">
        <f t="shared" si="6"/>
        <v>1298.7012987012986</v>
      </c>
      <c r="K38" s="153"/>
      <c r="V38" s="25">
        <f t="shared" si="2"/>
        <v>1</v>
      </c>
      <c r="W38" s="25">
        <f t="shared" si="3"/>
        <v>0</v>
      </c>
    </row>
    <row r="39" spans="1:23" x14ac:dyDescent="0.3">
      <c r="A39" s="147"/>
      <c r="B39" s="205">
        <f t="shared" si="4"/>
        <v>34</v>
      </c>
      <c r="C39" s="206">
        <v>43886</v>
      </c>
      <c r="D39" s="161" t="s">
        <v>8</v>
      </c>
      <c r="E39" s="161" t="s">
        <v>192</v>
      </c>
      <c r="F39" s="222">
        <v>163</v>
      </c>
      <c r="G39" s="222">
        <v>165</v>
      </c>
      <c r="H39" s="222">
        <v>2</v>
      </c>
      <c r="I39" s="207">
        <f t="shared" si="5"/>
        <v>1840.4907975460123</v>
      </c>
      <c r="J39" s="242">
        <f t="shared" si="6"/>
        <v>3680.9815950920247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43887</v>
      </c>
      <c r="D40" s="161" t="s">
        <v>9</v>
      </c>
      <c r="E40" s="161" t="s">
        <v>173</v>
      </c>
      <c r="F40" s="222">
        <v>1835</v>
      </c>
      <c r="G40" s="222">
        <v>1845</v>
      </c>
      <c r="H40" s="222">
        <v>10</v>
      </c>
      <c r="I40" s="207">
        <f t="shared" si="5"/>
        <v>163.48773841961852</v>
      </c>
      <c r="J40" s="242">
        <f t="shared" si="6"/>
        <v>1634.8773841961852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43887</v>
      </c>
      <c r="D41" s="161" t="s">
        <v>8</v>
      </c>
      <c r="E41" s="161" t="s">
        <v>78</v>
      </c>
      <c r="F41" s="222">
        <v>1228</v>
      </c>
      <c r="G41" s="223">
        <v>1208</v>
      </c>
      <c r="H41" s="222">
        <v>20</v>
      </c>
      <c r="I41" s="207">
        <f t="shared" si="5"/>
        <v>244.29967426710098</v>
      </c>
      <c r="J41" s="242">
        <f t="shared" si="6"/>
        <v>4885.99348534202</v>
      </c>
      <c r="K41" s="153"/>
      <c r="V41" s="25">
        <f t="shared" si="2"/>
        <v>1</v>
      </c>
      <c r="W41" s="25">
        <f t="shared" si="3"/>
        <v>0</v>
      </c>
    </row>
    <row r="42" spans="1:23" x14ac:dyDescent="0.3">
      <c r="A42" s="147"/>
      <c r="B42" s="205">
        <f t="shared" si="4"/>
        <v>37</v>
      </c>
      <c r="C42" s="206">
        <v>43888</v>
      </c>
      <c r="D42" s="161" t="s">
        <v>9</v>
      </c>
      <c r="E42" s="161" t="s">
        <v>78</v>
      </c>
      <c r="F42" s="222">
        <v>1212</v>
      </c>
      <c r="G42" s="222">
        <v>1216</v>
      </c>
      <c r="H42" s="222">
        <v>4</v>
      </c>
      <c r="I42" s="207">
        <f t="shared" si="5"/>
        <v>247.52475247524754</v>
      </c>
      <c r="J42" s="242">
        <f t="shared" si="6"/>
        <v>990.09900990099015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43888</v>
      </c>
      <c r="D43" s="161" t="s">
        <v>8</v>
      </c>
      <c r="E43" s="161" t="s">
        <v>192</v>
      </c>
      <c r="F43" s="222">
        <v>158.5</v>
      </c>
      <c r="G43" s="222">
        <v>154.5</v>
      </c>
      <c r="H43" s="222">
        <v>4</v>
      </c>
      <c r="I43" s="207">
        <f t="shared" si="5"/>
        <v>1892.7444794952683</v>
      </c>
      <c r="J43" s="242">
        <f t="shared" si="6"/>
        <v>7570.977917981073</v>
      </c>
      <c r="K43" s="153"/>
      <c r="V43" s="25">
        <f t="shared" si="2"/>
        <v>1</v>
      </c>
      <c r="W43" s="25">
        <f t="shared" si="3"/>
        <v>0</v>
      </c>
    </row>
    <row r="44" spans="1:23" x14ac:dyDescent="0.3">
      <c r="A44" s="147"/>
      <c r="B44" s="205">
        <f t="shared" si="4"/>
        <v>39</v>
      </c>
      <c r="C44" s="206">
        <v>43889</v>
      </c>
      <c r="D44" s="161" t="s">
        <v>9</v>
      </c>
      <c r="E44" s="161" t="s">
        <v>95</v>
      </c>
      <c r="F44" s="222">
        <v>500</v>
      </c>
      <c r="G44" s="222">
        <v>495</v>
      </c>
      <c r="H44" s="222">
        <v>-5</v>
      </c>
      <c r="I44" s="207">
        <f t="shared" si="5"/>
        <v>600</v>
      </c>
      <c r="J44" s="242">
        <f t="shared" si="6"/>
        <v>-3000</v>
      </c>
      <c r="K44" s="153"/>
      <c r="V44" s="25">
        <f t="shared" si="2"/>
        <v>0</v>
      </c>
      <c r="W44" s="25">
        <f t="shared" si="3"/>
        <v>1</v>
      </c>
    </row>
    <row r="45" spans="1:23" x14ac:dyDescent="0.3">
      <c r="A45" s="147"/>
      <c r="B45" s="205">
        <f t="shared" si="4"/>
        <v>40</v>
      </c>
      <c r="C45" s="206">
        <v>43889</v>
      </c>
      <c r="D45" s="161" t="s">
        <v>8</v>
      </c>
      <c r="E45" s="161" t="s">
        <v>31</v>
      </c>
      <c r="F45" s="222">
        <v>1340</v>
      </c>
      <c r="G45" s="222">
        <v>1350</v>
      </c>
      <c r="H45" s="222">
        <v>-10</v>
      </c>
      <c r="I45" s="207">
        <f t="shared" si="5"/>
        <v>223.88059701492537</v>
      </c>
      <c r="J45" s="242">
        <f t="shared" si="6"/>
        <v>-2238.8059701492539</v>
      </c>
      <c r="K45" s="153"/>
      <c r="V45" s="25">
        <f t="shared" si="2"/>
        <v>0</v>
      </c>
      <c r="W45" s="25">
        <f t="shared" si="3"/>
        <v>1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103457.45872080006</v>
      </c>
      <c r="K52" s="153"/>
      <c r="V52" s="25">
        <f>SUM(V6:V51)</f>
        <v>32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2932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43862</v>
      </c>
      <c r="D60" s="158" t="s">
        <v>9</v>
      </c>
      <c r="E60" s="158" t="s">
        <v>58</v>
      </c>
      <c r="F60" s="230">
        <v>732</v>
      </c>
      <c r="G60" s="230">
        <v>734.5</v>
      </c>
      <c r="H60" s="230">
        <v>2.5</v>
      </c>
      <c r="I60" s="204">
        <v>1200</v>
      </c>
      <c r="J60" s="241">
        <f t="shared" ref="J60:J83" si="14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43864</v>
      </c>
      <c r="D61" s="161" t="s">
        <v>8</v>
      </c>
      <c r="E61" s="161" t="s">
        <v>58</v>
      </c>
      <c r="F61" s="207">
        <v>702</v>
      </c>
      <c r="G61" s="222">
        <v>699.5</v>
      </c>
      <c r="H61" s="222">
        <v>2.5</v>
      </c>
      <c r="I61" s="207">
        <v>1200</v>
      </c>
      <c r="J61" s="242">
        <f t="shared" si="14"/>
        <v>3000</v>
      </c>
      <c r="K61" s="153"/>
      <c r="O61" s="25" t="s">
        <v>2008</v>
      </c>
      <c r="V61" s="25">
        <f t="shared" ref="V61:V83" si="15">IF($J61&gt;0,1,0)</f>
        <v>1</v>
      </c>
      <c r="W61" s="25">
        <f t="shared" ref="W61:W83" si="16">IF($J61&lt;0,1,0)</f>
        <v>0</v>
      </c>
    </row>
    <row r="62" spans="1:23" x14ac:dyDescent="0.3">
      <c r="A62" s="147"/>
      <c r="B62" s="205">
        <f t="shared" ref="B62:B83" si="17">B61+1</f>
        <v>3</v>
      </c>
      <c r="C62" s="206">
        <v>43865</v>
      </c>
      <c r="D62" s="161" t="s">
        <v>8</v>
      </c>
      <c r="E62" s="161" t="s">
        <v>31</v>
      </c>
      <c r="F62" s="222">
        <v>1420</v>
      </c>
      <c r="G62" s="222">
        <v>1410</v>
      </c>
      <c r="H62" s="222">
        <v>10</v>
      </c>
      <c r="I62" s="207">
        <v>500</v>
      </c>
      <c r="J62" s="242">
        <f t="shared" si="14"/>
        <v>5000</v>
      </c>
      <c r="K62" s="153"/>
      <c r="V62" s="25">
        <f t="shared" si="15"/>
        <v>1</v>
      </c>
      <c r="W62" s="25">
        <f t="shared" si="16"/>
        <v>0</v>
      </c>
    </row>
    <row r="63" spans="1:23" x14ac:dyDescent="0.3">
      <c r="A63" s="147"/>
      <c r="B63" s="205">
        <f t="shared" si="17"/>
        <v>4</v>
      </c>
      <c r="C63" s="206">
        <v>43866</v>
      </c>
      <c r="D63" s="161" t="s">
        <v>9</v>
      </c>
      <c r="E63" s="161" t="s">
        <v>58</v>
      </c>
      <c r="F63" s="222">
        <v>723</v>
      </c>
      <c r="G63" s="222">
        <v>726</v>
      </c>
      <c r="H63" s="222">
        <v>3</v>
      </c>
      <c r="I63" s="207">
        <v>1200</v>
      </c>
      <c r="J63" s="242">
        <f t="shared" si="14"/>
        <v>3600</v>
      </c>
      <c r="K63" s="153"/>
      <c r="L63" s="25" t="s">
        <v>2008</v>
      </c>
      <c r="V63" s="25">
        <f t="shared" si="15"/>
        <v>1</v>
      </c>
      <c r="W63" s="25">
        <f t="shared" si="16"/>
        <v>0</v>
      </c>
    </row>
    <row r="64" spans="1:23" x14ac:dyDescent="0.3">
      <c r="A64" s="147"/>
      <c r="B64" s="205">
        <f t="shared" si="17"/>
        <v>5</v>
      </c>
      <c r="C64" s="206">
        <v>43867</v>
      </c>
      <c r="D64" s="161" t="s">
        <v>8</v>
      </c>
      <c r="E64" s="161" t="s">
        <v>78</v>
      </c>
      <c r="F64" s="222">
        <v>1317</v>
      </c>
      <c r="G64" s="222">
        <v>1310.0999999999999</v>
      </c>
      <c r="H64" s="222">
        <v>6.9</v>
      </c>
      <c r="I64" s="207">
        <v>375</v>
      </c>
      <c r="J64" s="242">
        <f t="shared" si="14"/>
        <v>2587.5</v>
      </c>
      <c r="K64" s="153"/>
      <c r="V64" s="25">
        <f t="shared" si="15"/>
        <v>1</v>
      </c>
      <c r="W64" s="25">
        <f t="shared" si="16"/>
        <v>0</v>
      </c>
    </row>
    <row r="65" spans="1:23" x14ac:dyDescent="0.3">
      <c r="A65" s="147"/>
      <c r="B65" s="205">
        <f t="shared" si="17"/>
        <v>6</v>
      </c>
      <c r="C65" s="206">
        <v>43868</v>
      </c>
      <c r="D65" s="161" t="s">
        <v>8</v>
      </c>
      <c r="E65" s="161" t="s">
        <v>58</v>
      </c>
      <c r="F65" s="207">
        <v>740</v>
      </c>
      <c r="G65" s="222">
        <v>737.4</v>
      </c>
      <c r="H65" s="222">
        <v>2.6</v>
      </c>
      <c r="I65" s="207">
        <v>1200</v>
      </c>
      <c r="J65" s="242">
        <f t="shared" si="14"/>
        <v>3120</v>
      </c>
      <c r="K65" s="153"/>
      <c r="V65" s="25">
        <f t="shared" si="15"/>
        <v>1</v>
      </c>
      <c r="W65" s="25">
        <f t="shared" si="16"/>
        <v>0</v>
      </c>
    </row>
    <row r="66" spans="1:23" x14ac:dyDescent="0.3">
      <c r="A66" s="147"/>
      <c r="B66" s="205">
        <f t="shared" si="17"/>
        <v>7</v>
      </c>
      <c r="C66" s="206">
        <v>43871</v>
      </c>
      <c r="D66" s="161" t="s">
        <v>9</v>
      </c>
      <c r="E66" s="161" t="s">
        <v>58</v>
      </c>
      <c r="F66" s="207">
        <v>744</v>
      </c>
      <c r="G66" s="222">
        <v>747.7</v>
      </c>
      <c r="H66" s="222">
        <v>3.7</v>
      </c>
      <c r="I66" s="207">
        <v>1200</v>
      </c>
      <c r="J66" s="242">
        <f t="shared" si="14"/>
        <v>4440</v>
      </c>
      <c r="K66" s="153"/>
      <c r="V66" s="25">
        <f t="shared" si="15"/>
        <v>1</v>
      </c>
      <c r="W66" s="25">
        <f t="shared" si="16"/>
        <v>0</v>
      </c>
    </row>
    <row r="67" spans="1:23" x14ac:dyDescent="0.3">
      <c r="A67" s="147"/>
      <c r="B67" s="205">
        <f t="shared" si="17"/>
        <v>8</v>
      </c>
      <c r="C67" s="206">
        <v>43872</v>
      </c>
      <c r="D67" s="161" t="s">
        <v>8</v>
      </c>
      <c r="E67" s="161" t="s">
        <v>58</v>
      </c>
      <c r="F67" s="222">
        <v>757</v>
      </c>
      <c r="G67" s="222">
        <v>748.5</v>
      </c>
      <c r="H67" s="222">
        <v>8.5</v>
      </c>
      <c r="I67" s="207">
        <v>1200</v>
      </c>
      <c r="J67" s="242">
        <f t="shared" si="14"/>
        <v>10200</v>
      </c>
      <c r="K67" s="153"/>
      <c r="V67" s="25">
        <f t="shared" si="15"/>
        <v>1</v>
      </c>
      <c r="W67" s="25">
        <f t="shared" si="16"/>
        <v>0</v>
      </c>
    </row>
    <row r="68" spans="1:23" x14ac:dyDescent="0.3">
      <c r="A68" s="147"/>
      <c r="B68" s="205">
        <f t="shared" si="17"/>
        <v>9</v>
      </c>
      <c r="C68" s="206">
        <v>43873</v>
      </c>
      <c r="D68" s="161" t="s">
        <v>8</v>
      </c>
      <c r="E68" s="161" t="s">
        <v>58</v>
      </c>
      <c r="F68" s="222">
        <v>757</v>
      </c>
      <c r="G68" s="222">
        <v>753.1</v>
      </c>
      <c r="H68" s="222">
        <v>3.9</v>
      </c>
      <c r="I68" s="207">
        <v>1200</v>
      </c>
      <c r="J68" s="242">
        <f t="shared" si="14"/>
        <v>4680</v>
      </c>
      <c r="K68" s="153"/>
      <c r="V68" s="25">
        <f t="shared" si="15"/>
        <v>1</v>
      </c>
      <c r="W68" s="25">
        <f t="shared" si="16"/>
        <v>0</v>
      </c>
    </row>
    <row r="69" spans="1:23" x14ac:dyDescent="0.3">
      <c r="A69" s="147"/>
      <c r="B69" s="205">
        <f t="shared" si="17"/>
        <v>10</v>
      </c>
      <c r="C69" s="206">
        <v>43874</v>
      </c>
      <c r="D69" s="161" t="s">
        <v>8</v>
      </c>
      <c r="E69" s="161" t="s">
        <v>58</v>
      </c>
      <c r="F69" s="222">
        <v>750</v>
      </c>
      <c r="G69" s="222">
        <v>744</v>
      </c>
      <c r="H69" s="222">
        <v>6</v>
      </c>
      <c r="I69" s="207">
        <v>1200</v>
      </c>
      <c r="J69" s="242">
        <f t="shared" si="14"/>
        <v>7200</v>
      </c>
      <c r="K69" s="153"/>
      <c r="V69" s="25">
        <f t="shared" si="15"/>
        <v>1</v>
      </c>
      <c r="W69" s="25">
        <f t="shared" si="16"/>
        <v>0</v>
      </c>
    </row>
    <row r="70" spans="1:23" x14ac:dyDescent="0.3">
      <c r="A70" s="147"/>
      <c r="B70" s="205">
        <f t="shared" si="17"/>
        <v>11</v>
      </c>
      <c r="C70" s="206">
        <v>43875</v>
      </c>
      <c r="D70" s="161" t="s">
        <v>8</v>
      </c>
      <c r="E70" s="161" t="s">
        <v>58</v>
      </c>
      <c r="F70" s="161">
        <v>751</v>
      </c>
      <c r="G70" s="222">
        <v>739</v>
      </c>
      <c r="H70" s="222">
        <v>12</v>
      </c>
      <c r="I70" s="207">
        <v>1200</v>
      </c>
      <c r="J70" s="242">
        <f t="shared" si="14"/>
        <v>14400</v>
      </c>
      <c r="K70" s="153"/>
      <c r="V70" s="25">
        <f t="shared" si="15"/>
        <v>1</v>
      </c>
      <c r="W70" s="25">
        <f t="shared" si="16"/>
        <v>0</v>
      </c>
    </row>
    <row r="71" spans="1:23" x14ac:dyDescent="0.3">
      <c r="A71" s="147"/>
      <c r="B71" s="205">
        <f t="shared" si="17"/>
        <v>12</v>
      </c>
      <c r="C71" s="206">
        <v>43878</v>
      </c>
      <c r="D71" s="161" t="s">
        <v>8</v>
      </c>
      <c r="E71" s="161" t="s">
        <v>58</v>
      </c>
      <c r="F71" s="222">
        <v>734</v>
      </c>
      <c r="G71" s="222">
        <v>732.5</v>
      </c>
      <c r="H71" s="222">
        <v>1.5</v>
      </c>
      <c r="I71" s="207">
        <v>1200</v>
      </c>
      <c r="J71" s="242">
        <f t="shared" si="14"/>
        <v>1800</v>
      </c>
      <c r="K71" s="153"/>
      <c r="V71" s="25">
        <f t="shared" si="15"/>
        <v>1</v>
      </c>
      <c r="W71" s="25">
        <f t="shared" si="16"/>
        <v>0</v>
      </c>
    </row>
    <row r="72" spans="1:23" x14ac:dyDescent="0.3">
      <c r="A72" s="147"/>
      <c r="B72" s="205">
        <f t="shared" si="17"/>
        <v>13</v>
      </c>
      <c r="C72" s="206">
        <v>43879</v>
      </c>
      <c r="D72" s="161" t="s">
        <v>8</v>
      </c>
      <c r="E72" s="161" t="s">
        <v>31</v>
      </c>
      <c r="F72" s="222">
        <v>1466</v>
      </c>
      <c r="G72" s="222">
        <v>1462</v>
      </c>
      <c r="H72" s="222">
        <v>4</v>
      </c>
      <c r="I72" s="207">
        <v>500</v>
      </c>
      <c r="J72" s="242">
        <f t="shared" si="14"/>
        <v>2000</v>
      </c>
      <c r="K72" s="153"/>
      <c r="V72" s="25">
        <f t="shared" si="15"/>
        <v>1</v>
      </c>
      <c r="W72" s="25">
        <f t="shared" si="16"/>
        <v>0</v>
      </c>
    </row>
    <row r="73" spans="1:23" x14ac:dyDescent="0.3">
      <c r="A73" s="147"/>
      <c r="B73" s="205">
        <f t="shared" si="17"/>
        <v>14</v>
      </c>
      <c r="C73" s="206">
        <v>43879</v>
      </c>
      <c r="D73" s="161" t="s">
        <v>8</v>
      </c>
      <c r="E73" s="161" t="s">
        <v>58</v>
      </c>
      <c r="F73" s="223">
        <v>729</v>
      </c>
      <c r="G73" s="222">
        <v>727.8</v>
      </c>
      <c r="H73" s="255">
        <v>1.2</v>
      </c>
      <c r="I73" s="207">
        <v>1200</v>
      </c>
      <c r="J73" s="242">
        <f t="shared" si="14"/>
        <v>1440</v>
      </c>
      <c r="K73" s="153"/>
      <c r="V73" s="25">
        <f t="shared" si="15"/>
        <v>1</v>
      </c>
      <c r="W73" s="25">
        <f t="shared" si="16"/>
        <v>0</v>
      </c>
    </row>
    <row r="74" spans="1:23" x14ac:dyDescent="0.3">
      <c r="A74" s="147"/>
      <c r="B74" s="205">
        <f t="shared" si="17"/>
        <v>15</v>
      </c>
      <c r="C74" s="206">
        <v>43880</v>
      </c>
      <c r="D74" s="161" t="s">
        <v>8</v>
      </c>
      <c r="E74" s="161" t="s">
        <v>58</v>
      </c>
      <c r="F74" s="222">
        <v>740</v>
      </c>
      <c r="G74" s="222">
        <v>736.8</v>
      </c>
      <c r="H74" s="255">
        <v>3.2</v>
      </c>
      <c r="I74" s="207">
        <v>1200</v>
      </c>
      <c r="J74" s="242">
        <f t="shared" si="14"/>
        <v>3840</v>
      </c>
      <c r="K74" s="153"/>
      <c r="V74" s="25">
        <f t="shared" si="15"/>
        <v>1</v>
      </c>
      <c r="W74" s="25">
        <f t="shared" si="16"/>
        <v>0</v>
      </c>
    </row>
    <row r="75" spans="1:23" x14ac:dyDescent="0.3">
      <c r="A75" s="147"/>
      <c r="B75" s="205">
        <f t="shared" si="17"/>
        <v>16</v>
      </c>
      <c r="C75" s="206">
        <v>43881</v>
      </c>
      <c r="D75" s="161" t="s">
        <v>8</v>
      </c>
      <c r="E75" s="161" t="s">
        <v>137</v>
      </c>
      <c r="F75" s="222">
        <v>2275</v>
      </c>
      <c r="G75" s="222">
        <v>2248</v>
      </c>
      <c r="H75" s="222">
        <v>27</v>
      </c>
      <c r="I75" s="207">
        <v>300</v>
      </c>
      <c r="J75" s="242">
        <f t="shared" si="14"/>
        <v>8100</v>
      </c>
      <c r="K75" s="153"/>
      <c r="V75" s="25">
        <f t="shared" si="15"/>
        <v>1</v>
      </c>
      <c r="W75" s="25">
        <f t="shared" si="16"/>
        <v>0</v>
      </c>
    </row>
    <row r="76" spans="1:23" x14ac:dyDescent="0.3">
      <c r="A76" s="147"/>
      <c r="B76" s="205">
        <f t="shared" si="17"/>
        <v>17</v>
      </c>
      <c r="C76" s="206">
        <v>43885</v>
      </c>
      <c r="D76" s="161" t="s">
        <v>8</v>
      </c>
      <c r="E76" s="161" t="s">
        <v>58</v>
      </c>
      <c r="F76" s="222">
        <v>733</v>
      </c>
      <c r="G76" s="222">
        <v>724.8</v>
      </c>
      <c r="H76" s="222">
        <v>8.1999999999999993</v>
      </c>
      <c r="I76" s="207">
        <v>1200</v>
      </c>
      <c r="J76" s="242">
        <f t="shared" si="14"/>
        <v>9840</v>
      </c>
      <c r="K76" s="153"/>
      <c r="V76" s="25">
        <f t="shared" si="15"/>
        <v>1</v>
      </c>
      <c r="W76" s="25">
        <f t="shared" si="16"/>
        <v>0</v>
      </c>
    </row>
    <row r="77" spans="1:23" x14ac:dyDescent="0.3">
      <c r="A77" s="147"/>
      <c r="B77" s="205">
        <f t="shared" si="17"/>
        <v>18</v>
      </c>
      <c r="C77" s="206">
        <v>43886</v>
      </c>
      <c r="D77" s="161" t="s">
        <v>8</v>
      </c>
      <c r="E77" s="161" t="s">
        <v>58</v>
      </c>
      <c r="F77" s="222">
        <v>730</v>
      </c>
      <c r="G77" s="222">
        <v>722.5</v>
      </c>
      <c r="H77" s="222">
        <v>7.5</v>
      </c>
      <c r="I77" s="207">
        <v>1200</v>
      </c>
      <c r="J77" s="242">
        <f t="shared" si="14"/>
        <v>9000</v>
      </c>
      <c r="K77" s="153"/>
      <c r="V77" s="25">
        <f t="shared" si="15"/>
        <v>1</v>
      </c>
      <c r="W77" s="25">
        <f t="shared" si="16"/>
        <v>0</v>
      </c>
    </row>
    <row r="78" spans="1:23" x14ac:dyDescent="0.3">
      <c r="A78" s="147"/>
      <c r="B78" s="205">
        <f t="shared" si="17"/>
        <v>19</v>
      </c>
      <c r="C78" s="206">
        <v>43887</v>
      </c>
      <c r="D78" s="161" t="s">
        <v>8</v>
      </c>
      <c r="E78" s="161" t="s">
        <v>586</v>
      </c>
      <c r="F78" s="222">
        <v>710</v>
      </c>
      <c r="G78" s="222">
        <v>700</v>
      </c>
      <c r="H78" s="222">
        <v>10</v>
      </c>
      <c r="I78" s="207">
        <v>750</v>
      </c>
      <c r="J78" s="242">
        <f t="shared" si="14"/>
        <v>7500</v>
      </c>
      <c r="K78" s="153"/>
      <c r="V78" s="25">
        <f t="shared" si="15"/>
        <v>1</v>
      </c>
      <c r="W78" s="25">
        <f t="shared" si="16"/>
        <v>0</v>
      </c>
    </row>
    <row r="79" spans="1:23" x14ac:dyDescent="0.3">
      <c r="A79" s="147"/>
      <c r="B79" s="205">
        <f t="shared" si="17"/>
        <v>20</v>
      </c>
      <c r="C79" s="206">
        <v>43888</v>
      </c>
      <c r="D79" s="161" t="s">
        <v>8</v>
      </c>
      <c r="E79" s="161" t="s">
        <v>58</v>
      </c>
      <c r="F79" s="222">
        <v>725</v>
      </c>
      <c r="G79" s="222">
        <v>716.5</v>
      </c>
      <c r="H79" s="222">
        <v>8.5</v>
      </c>
      <c r="I79" s="207">
        <v>1200</v>
      </c>
      <c r="J79" s="242">
        <f t="shared" si="14"/>
        <v>10200</v>
      </c>
      <c r="K79" s="153"/>
      <c r="V79" s="25">
        <f t="shared" si="15"/>
        <v>1</v>
      </c>
      <c r="W79" s="25">
        <f t="shared" si="16"/>
        <v>0</v>
      </c>
    </row>
    <row r="80" spans="1:23" x14ac:dyDescent="0.3">
      <c r="A80" s="147"/>
      <c r="B80" s="205">
        <f t="shared" si="17"/>
        <v>21</v>
      </c>
      <c r="C80" s="206">
        <v>43889</v>
      </c>
      <c r="D80" s="161" t="s">
        <v>8</v>
      </c>
      <c r="E80" s="161" t="s">
        <v>58</v>
      </c>
      <c r="F80" s="222">
        <v>710</v>
      </c>
      <c r="G80" s="222">
        <v>697</v>
      </c>
      <c r="H80" s="222">
        <v>13</v>
      </c>
      <c r="I80" s="207">
        <v>1200</v>
      </c>
      <c r="J80" s="242">
        <f t="shared" si="14"/>
        <v>15600</v>
      </c>
      <c r="K80" s="153"/>
      <c r="V80" s="25">
        <f t="shared" si="15"/>
        <v>1</v>
      </c>
      <c r="W80" s="25">
        <f t="shared" si="16"/>
        <v>0</v>
      </c>
    </row>
    <row r="81" spans="1:23" x14ac:dyDescent="0.3">
      <c r="A81" s="147"/>
      <c r="B81" s="205">
        <f t="shared" si="17"/>
        <v>22</v>
      </c>
      <c r="C81" s="206"/>
      <c r="D81" s="161"/>
      <c r="E81" s="161"/>
      <c r="F81" s="222"/>
      <c r="G81" s="222"/>
      <c r="H81" s="222"/>
      <c r="I81" s="207"/>
      <c r="J81" s="242">
        <f t="shared" si="14"/>
        <v>0</v>
      </c>
      <c r="K81" s="153"/>
    </row>
    <row r="82" spans="1:23" x14ac:dyDescent="0.3">
      <c r="A82" s="147"/>
      <c r="B82" s="205">
        <f t="shared" si="17"/>
        <v>23</v>
      </c>
      <c r="C82" s="206"/>
      <c r="D82" s="161"/>
      <c r="E82" s="161"/>
      <c r="F82" s="222"/>
      <c r="G82" s="222"/>
      <c r="H82" s="222"/>
      <c r="I82" s="207"/>
      <c r="J82" s="242">
        <f t="shared" si="14"/>
        <v>0</v>
      </c>
      <c r="K82" s="153"/>
      <c r="V82" s="25">
        <f t="shared" si="15"/>
        <v>0</v>
      </c>
      <c r="W82" s="25">
        <f t="shared" si="16"/>
        <v>0</v>
      </c>
    </row>
    <row r="83" spans="1:23" ht="15" thickBot="1" x14ac:dyDescent="0.35">
      <c r="A83" s="147"/>
      <c r="B83" s="205">
        <f t="shared" si="17"/>
        <v>24</v>
      </c>
      <c r="C83" s="209"/>
      <c r="D83" s="166"/>
      <c r="E83" s="166"/>
      <c r="F83" s="210"/>
      <c r="G83" s="210"/>
      <c r="H83" s="166"/>
      <c r="I83" s="210"/>
      <c r="J83" s="244">
        <f t="shared" si="14"/>
        <v>0</v>
      </c>
      <c r="K83" s="153"/>
      <c r="V83" s="25">
        <f t="shared" si="15"/>
        <v>0</v>
      </c>
      <c r="W83" s="25">
        <f t="shared" si="16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130547.5</v>
      </c>
      <c r="K84" s="153"/>
      <c r="V84" s="25">
        <f>SUM(V60:V83)</f>
        <v>21</v>
      </c>
      <c r="W84" s="25">
        <f>SUM(W60:W83)</f>
        <v>0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2933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43862</v>
      </c>
      <c r="D92" s="185" t="s">
        <v>9</v>
      </c>
      <c r="E92" s="185" t="s">
        <v>39</v>
      </c>
      <c r="F92" s="219">
        <v>11980</v>
      </c>
      <c r="G92" s="219">
        <v>12020</v>
      </c>
      <c r="H92" s="185">
        <v>30</v>
      </c>
      <c r="I92" s="219">
        <v>150</v>
      </c>
      <c r="J92" s="246">
        <f t="shared" ref="J92:J114" si="18">I92*H92</f>
        <v>4500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43864</v>
      </c>
      <c r="D93" s="161" t="s">
        <v>8</v>
      </c>
      <c r="E93" s="161" t="s">
        <v>39</v>
      </c>
      <c r="F93" s="207">
        <v>11690</v>
      </c>
      <c r="G93" s="207">
        <v>11650</v>
      </c>
      <c r="H93" s="161">
        <v>40</v>
      </c>
      <c r="I93" s="207">
        <v>150</v>
      </c>
      <c r="J93" s="242">
        <f t="shared" si="18"/>
        <v>6000</v>
      </c>
      <c r="K93" s="153"/>
      <c r="V93" s="25">
        <f t="shared" ref="V93:V114" si="19">IF($J93&gt;0,1,0)</f>
        <v>1</v>
      </c>
      <c r="W93" s="25">
        <f t="shared" ref="W93:W114" si="20">IF($J93&lt;0,1,0)</f>
        <v>0</v>
      </c>
    </row>
    <row r="94" spans="1:23" x14ac:dyDescent="0.3">
      <c r="A94" s="147"/>
      <c r="B94" s="205">
        <f t="shared" ref="B94:B114" si="21">B93+1</f>
        <v>3</v>
      </c>
      <c r="C94" s="206">
        <v>43865</v>
      </c>
      <c r="D94" s="161" t="s">
        <v>8</v>
      </c>
      <c r="E94" s="161" t="s">
        <v>39</v>
      </c>
      <c r="F94" s="207">
        <v>11860</v>
      </c>
      <c r="G94" s="207">
        <v>11890</v>
      </c>
      <c r="H94" s="161">
        <v>-30</v>
      </c>
      <c r="I94" s="207">
        <v>150</v>
      </c>
      <c r="J94" s="242">
        <f t="shared" si="18"/>
        <v>-4500</v>
      </c>
      <c r="K94" s="153"/>
      <c r="V94" s="25">
        <f t="shared" si="19"/>
        <v>0</v>
      </c>
      <c r="W94" s="25">
        <f t="shared" si="20"/>
        <v>1</v>
      </c>
    </row>
    <row r="95" spans="1:23" x14ac:dyDescent="0.3">
      <c r="A95" s="147"/>
      <c r="B95" s="205">
        <f t="shared" si="21"/>
        <v>4</v>
      </c>
      <c r="C95" s="206">
        <v>43866</v>
      </c>
      <c r="D95" s="161" t="s">
        <v>8</v>
      </c>
      <c r="E95" s="161" t="s">
        <v>39</v>
      </c>
      <c r="F95" s="207">
        <v>12010</v>
      </c>
      <c r="G95" s="207">
        <v>11960</v>
      </c>
      <c r="H95" s="161">
        <v>50</v>
      </c>
      <c r="I95" s="207">
        <v>150</v>
      </c>
      <c r="J95" s="242">
        <f t="shared" si="18"/>
        <v>7500</v>
      </c>
      <c r="K95" s="153"/>
      <c r="V95" s="25">
        <f t="shared" si="19"/>
        <v>1</v>
      </c>
      <c r="W95" s="25">
        <f t="shared" si="20"/>
        <v>0</v>
      </c>
    </row>
    <row r="96" spans="1:23" x14ac:dyDescent="0.3">
      <c r="A96" s="147"/>
      <c r="B96" s="205">
        <f t="shared" si="21"/>
        <v>5</v>
      </c>
      <c r="C96" s="206">
        <v>43867</v>
      </c>
      <c r="D96" s="161" t="s">
        <v>8</v>
      </c>
      <c r="E96" s="161" t="s">
        <v>39</v>
      </c>
      <c r="F96" s="207">
        <v>12120</v>
      </c>
      <c r="G96" s="207">
        <v>12090</v>
      </c>
      <c r="H96" s="161">
        <v>30</v>
      </c>
      <c r="I96" s="207">
        <v>150</v>
      </c>
      <c r="J96" s="242">
        <f t="shared" si="18"/>
        <v>4500</v>
      </c>
      <c r="K96" s="153"/>
      <c r="V96" s="25">
        <f t="shared" si="19"/>
        <v>1</v>
      </c>
      <c r="W96" s="25">
        <f t="shared" si="20"/>
        <v>0</v>
      </c>
    </row>
    <row r="97" spans="1:23" x14ac:dyDescent="0.3">
      <c r="A97" s="147"/>
      <c r="B97" s="205">
        <f t="shared" si="21"/>
        <v>6</v>
      </c>
      <c r="C97" s="206">
        <v>43868</v>
      </c>
      <c r="D97" s="161" t="s">
        <v>8</v>
      </c>
      <c r="E97" s="161" t="s">
        <v>39</v>
      </c>
      <c r="F97" s="207">
        <v>12095</v>
      </c>
      <c r="G97" s="207">
        <v>12077</v>
      </c>
      <c r="H97" s="161">
        <v>18</v>
      </c>
      <c r="I97" s="207">
        <v>150</v>
      </c>
      <c r="J97" s="242">
        <f t="shared" si="18"/>
        <v>2700</v>
      </c>
      <c r="K97" s="153"/>
      <c r="V97" s="25">
        <f t="shared" si="19"/>
        <v>1</v>
      </c>
      <c r="W97" s="25">
        <f t="shared" si="20"/>
        <v>0</v>
      </c>
    </row>
    <row r="98" spans="1:23" x14ac:dyDescent="0.3">
      <c r="A98" s="147"/>
      <c r="B98" s="205">
        <f t="shared" si="21"/>
        <v>7</v>
      </c>
      <c r="C98" s="206">
        <v>43871</v>
      </c>
      <c r="D98" s="161" t="s">
        <v>8</v>
      </c>
      <c r="E98" s="161" t="s">
        <v>39</v>
      </c>
      <c r="F98" s="207">
        <v>12025</v>
      </c>
      <c r="G98" s="207">
        <v>11985</v>
      </c>
      <c r="H98" s="161">
        <v>40</v>
      </c>
      <c r="I98" s="207">
        <v>150</v>
      </c>
      <c r="J98" s="242">
        <f t="shared" si="18"/>
        <v>6000</v>
      </c>
      <c r="K98" s="153"/>
      <c r="V98" s="25">
        <f t="shared" si="19"/>
        <v>1</v>
      </c>
      <c r="W98" s="25">
        <f t="shared" si="20"/>
        <v>0</v>
      </c>
    </row>
    <row r="99" spans="1:23" x14ac:dyDescent="0.3">
      <c r="A99" s="147"/>
      <c r="B99" s="205">
        <f t="shared" si="21"/>
        <v>8</v>
      </c>
      <c r="C99" s="206">
        <v>43872</v>
      </c>
      <c r="D99" s="161" t="s">
        <v>8</v>
      </c>
      <c r="E99" s="161" t="s">
        <v>39</v>
      </c>
      <c r="F99" s="207">
        <v>12170</v>
      </c>
      <c r="G99" s="207">
        <v>12125</v>
      </c>
      <c r="H99" s="161">
        <v>45</v>
      </c>
      <c r="I99" s="207">
        <v>150</v>
      </c>
      <c r="J99" s="242">
        <f t="shared" si="18"/>
        <v>6750</v>
      </c>
      <c r="K99" s="153"/>
      <c r="V99" s="25">
        <f t="shared" si="19"/>
        <v>1</v>
      </c>
      <c r="W99" s="25">
        <f t="shared" si="20"/>
        <v>0</v>
      </c>
    </row>
    <row r="100" spans="1:23" x14ac:dyDescent="0.3">
      <c r="A100" s="147"/>
      <c r="B100" s="205">
        <f t="shared" si="21"/>
        <v>9</v>
      </c>
      <c r="C100" s="206">
        <v>43873</v>
      </c>
      <c r="D100" s="161" t="s">
        <v>8</v>
      </c>
      <c r="E100" s="161" t="s">
        <v>39</v>
      </c>
      <c r="F100" s="207">
        <v>12220</v>
      </c>
      <c r="G100" s="207">
        <v>12220</v>
      </c>
      <c r="H100" s="161">
        <v>0</v>
      </c>
      <c r="I100" s="207">
        <v>150</v>
      </c>
      <c r="J100" s="242">
        <f t="shared" si="18"/>
        <v>0</v>
      </c>
      <c r="K100" s="153"/>
      <c r="V100" s="25">
        <f t="shared" si="19"/>
        <v>0</v>
      </c>
      <c r="W100" s="25">
        <f t="shared" si="20"/>
        <v>0</v>
      </c>
    </row>
    <row r="101" spans="1:23" x14ac:dyDescent="0.3">
      <c r="A101" s="147"/>
      <c r="B101" s="205">
        <f t="shared" si="21"/>
        <v>10</v>
      </c>
      <c r="C101" s="206">
        <v>43874</v>
      </c>
      <c r="D101" s="161" t="s">
        <v>8</v>
      </c>
      <c r="E101" s="161" t="s">
        <v>39</v>
      </c>
      <c r="F101" s="207">
        <v>12180</v>
      </c>
      <c r="G101" s="207">
        <v>12150</v>
      </c>
      <c r="H101" s="161">
        <v>30</v>
      </c>
      <c r="I101" s="207">
        <v>150</v>
      </c>
      <c r="J101" s="242">
        <f t="shared" si="18"/>
        <v>4500</v>
      </c>
      <c r="K101" s="153"/>
      <c r="V101" s="25">
        <f t="shared" si="19"/>
        <v>1</v>
      </c>
      <c r="W101" s="25">
        <f t="shared" si="20"/>
        <v>0</v>
      </c>
    </row>
    <row r="102" spans="1:23" x14ac:dyDescent="0.3">
      <c r="A102" s="147"/>
      <c r="B102" s="205">
        <f t="shared" si="21"/>
        <v>11</v>
      </c>
      <c r="C102" s="206">
        <v>43875</v>
      </c>
      <c r="D102" s="161" t="s">
        <v>8</v>
      </c>
      <c r="E102" s="161" t="s">
        <v>39</v>
      </c>
      <c r="F102" s="207">
        <v>12220</v>
      </c>
      <c r="G102" s="207">
        <v>12160</v>
      </c>
      <c r="H102" s="161">
        <v>60</v>
      </c>
      <c r="I102" s="207">
        <v>150</v>
      </c>
      <c r="J102" s="242">
        <f t="shared" si="18"/>
        <v>9000</v>
      </c>
      <c r="K102" s="153"/>
      <c r="V102" s="25">
        <f t="shared" si="19"/>
        <v>1</v>
      </c>
      <c r="W102" s="25">
        <f t="shared" si="20"/>
        <v>0</v>
      </c>
    </row>
    <row r="103" spans="1:23" x14ac:dyDescent="0.3">
      <c r="A103" s="147"/>
      <c r="B103" s="205">
        <f t="shared" si="21"/>
        <v>12</v>
      </c>
      <c r="C103" s="206">
        <v>43878</v>
      </c>
      <c r="D103" s="161" t="s">
        <v>8</v>
      </c>
      <c r="E103" s="161" t="s">
        <v>39</v>
      </c>
      <c r="F103" s="207">
        <v>12110</v>
      </c>
      <c r="G103" s="207">
        <v>12065</v>
      </c>
      <c r="H103" s="161">
        <v>45</v>
      </c>
      <c r="I103" s="207">
        <v>150</v>
      </c>
      <c r="J103" s="242">
        <f t="shared" si="18"/>
        <v>6750</v>
      </c>
      <c r="K103" s="153"/>
      <c r="V103" s="25">
        <f t="shared" si="19"/>
        <v>1</v>
      </c>
      <c r="W103" s="25">
        <f t="shared" si="20"/>
        <v>0</v>
      </c>
    </row>
    <row r="104" spans="1:23" x14ac:dyDescent="0.3">
      <c r="A104" s="147"/>
      <c r="B104" s="205">
        <f t="shared" si="21"/>
        <v>13</v>
      </c>
      <c r="C104" s="206">
        <v>43879</v>
      </c>
      <c r="D104" s="161" t="s">
        <v>8</v>
      </c>
      <c r="E104" s="161" t="s">
        <v>39</v>
      </c>
      <c r="F104" s="207">
        <v>11970</v>
      </c>
      <c r="G104" s="207">
        <v>11930</v>
      </c>
      <c r="H104" s="161">
        <v>40</v>
      </c>
      <c r="I104" s="207">
        <v>150</v>
      </c>
      <c r="J104" s="242">
        <f t="shared" si="18"/>
        <v>6000</v>
      </c>
      <c r="K104" s="153"/>
      <c r="V104" s="25">
        <f t="shared" si="19"/>
        <v>1</v>
      </c>
      <c r="W104" s="25">
        <f t="shared" si="20"/>
        <v>0</v>
      </c>
    </row>
    <row r="105" spans="1:23" x14ac:dyDescent="0.3">
      <c r="A105" s="147"/>
      <c r="B105" s="205">
        <f t="shared" si="21"/>
        <v>14</v>
      </c>
      <c r="C105" s="206">
        <v>43880</v>
      </c>
      <c r="D105" s="161" t="s">
        <v>8</v>
      </c>
      <c r="E105" s="161" t="s">
        <v>39</v>
      </c>
      <c r="F105" s="207">
        <v>12090</v>
      </c>
      <c r="G105" s="207">
        <v>12050</v>
      </c>
      <c r="H105" s="161">
        <v>40</v>
      </c>
      <c r="I105" s="207">
        <v>150</v>
      </c>
      <c r="J105" s="242">
        <f t="shared" si="18"/>
        <v>6000</v>
      </c>
      <c r="K105" s="153"/>
      <c r="V105" s="25">
        <f t="shared" si="19"/>
        <v>1</v>
      </c>
      <c r="W105" s="25">
        <f t="shared" si="20"/>
        <v>0</v>
      </c>
    </row>
    <row r="106" spans="1:23" x14ac:dyDescent="0.3">
      <c r="A106" s="147"/>
      <c r="B106" s="205">
        <f t="shared" si="21"/>
        <v>15</v>
      </c>
      <c r="C106" s="206">
        <v>43881</v>
      </c>
      <c r="D106" s="161" t="s">
        <v>8</v>
      </c>
      <c r="E106" s="161" t="s">
        <v>39</v>
      </c>
      <c r="F106" s="207">
        <v>12130</v>
      </c>
      <c r="G106" s="207">
        <v>12160</v>
      </c>
      <c r="H106" s="161">
        <v>-30</v>
      </c>
      <c r="I106" s="207">
        <v>150</v>
      </c>
      <c r="J106" s="242">
        <f t="shared" si="18"/>
        <v>-4500</v>
      </c>
      <c r="K106" s="153"/>
      <c r="V106" s="25">
        <f t="shared" si="19"/>
        <v>0</v>
      </c>
      <c r="W106" s="25">
        <f t="shared" si="20"/>
        <v>1</v>
      </c>
    </row>
    <row r="107" spans="1:23" x14ac:dyDescent="0.3">
      <c r="A107" s="147"/>
      <c r="B107" s="205">
        <f t="shared" si="21"/>
        <v>16</v>
      </c>
      <c r="C107" s="206">
        <v>43885</v>
      </c>
      <c r="D107" s="161" t="s">
        <v>8</v>
      </c>
      <c r="E107" s="161" t="s">
        <v>39</v>
      </c>
      <c r="F107" s="207">
        <v>11930</v>
      </c>
      <c r="G107" s="207">
        <v>11960</v>
      </c>
      <c r="H107" s="161">
        <v>-30</v>
      </c>
      <c r="I107" s="207">
        <v>150</v>
      </c>
      <c r="J107" s="242">
        <f t="shared" si="18"/>
        <v>-4500</v>
      </c>
      <c r="K107" s="153"/>
      <c r="V107" s="25">
        <f t="shared" si="19"/>
        <v>0</v>
      </c>
      <c r="W107" s="25">
        <f t="shared" si="20"/>
        <v>1</v>
      </c>
    </row>
    <row r="108" spans="1:23" x14ac:dyDescent="0.3">
      <c r="A108" s="147"/>
      <c r="B108" s="205">
        <f t="shared" si="21"/>
        <v>17</v>
      </c>
      <c r="C108" s="206">
        <v>43886</v>
      </c>
      <c r="D108" s="161" t="s">
        <v>8</v>
      </c>
      <c r="E108" s="161" t="s">
        <v>39</v>
      </c>
      <c r="F108" s="207">
        <v>11850</v>
      </c>
      <c r="G108" s="207">
        <v>11835</v>
      </c>
      <c r="H108" s="161">
        <v>15</v>
      </c>
      <c r="I108" s="207">
        <v>150</v>
      </c>
      <c r="J108" s="242">
        <f t="shared" si="18"/>
        <v>2250</v>
      </c>
      <c r="K108" s="153"/>
      <c r="V108" s="25">
        <f t="shared" si="19"/>
        <v>1</v>
      </c>
      <c r="W108" s="25">
        <f t="shared" si="20"/>
        <v>0</v>
      </c>
    </row>
    <row r="109" spans="1:23" x14ac:dyDescent="0.3">
      <c r="A109" s="147"/>
      <c r="B109" s="205">
        <f t="shared" si="21"/>
        <v>18</v>
      </c>
      <c r="C109" s="206">
        <v>43887</v>
      </c>
      <c r="D109" s="161" t="s">
        <v>8</v>
      </c>
      <c r="E109" s="161" t="s">
        <v>39</v>
      </c>
      <c r="F109" s="207">
        <v>11725</v>
      </c>
      <c r="G109" s="207">
        <v>11710</v>
      </c>
      <c r="H109" s="161">
        <v>15</v>
      </c>
      <c r="I109" s="207">
        <v>150</v>
      </c>
      <c r="J109" s="242">
        <f t="shared" si="18"/>
        <v>2250</v>
      </c>
      <c r="K109" s="153"/>
      <c r="V109" s="25">
        <f t="shared" si="19"/>
        <v>1</v>
      </c>
      <c r="W109" s="25">
        <f t="shared" si="20"/>
        <v>0</v>
      </c>
    </row>
    <row r="110" spans="1:23" x14ac:dyDescent="0.3">
      <c r="A110" s="147"/>
      <c r="B110" s="205">
        <f t="shared" si="21"/>
        <v>19</v>
      </c>
      <c r="C110" s="206">
        <v>43888</v>
      </c>
      <c r="D110" s="161" t="s">
        <v>8</v>
      </c>
      <c r="E110" s="161" t="s">
        <v>39</v>
      </c>
      <c r="F110" s="207">
        <v>11610</v>
      </c>
      <c r="G110" s="207">
        <v>11550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9"/>
        <v>1</v>
      </c>
      <c r="W110" s="25">
        <f t="shared" si="20"/>
        <v>0</v>
      </c>
    </row>
    <row r="111" spans="1:23" x14ac:dyDescent="0.3">
      <c r="A111" s="147"/>
      <c r="B111" s="205">
        <f t="shared" si="21"/>
        <v>20</v>
      </c>
      <c r="C111" s="206">
        <v>43889</v>
      </c>
      <c r="D111" s="161" t="s">
        <v>8</v>
      </c>
      <c r="E111" s="161" t="s">
        <v>39</v>
      </c>
      <c r="F111" s="207">
        <v>11300</v>
      </c>
      <c r="G111" s="207">
        <v>11240</v>
      </c>
      <c r="H111" s="161">
        <v>60</v>
      </c>
      <c r="I111" s="207">
        <v>150</v>
      </c>
      <c r="J111" s="242">
        <f t="shared" si="18"/>
        <v>9000</v>
      </c>
      <c r="K111" s="153"/>
      <c r="V111" s="25">
        <f t="shared" si="19"/>
        <v>1</v>
      </c>
      <c r="W111" s="25">
        <f t="shared" si="20"/>
        <v>0</v>
      </c>
    </row>
    <row r="112" spans="1:23" x14ac:dyDescent="0.3">
      <c r="A112" s="147"/>
      <c r="B112" s="205">
        <f t="shared" si="21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8"/>
        <v>0</v>
      </c>
      <c r="K112" s="153"/>
      <c r="V112" s="25">
        <f t="shared" si="19"/>
        <v>0</v>
      </c>
      <c r="W112" s="25">
        <f t="shared" si="20"/>
        <v>0</v>
      </c>
    </row>
    <row r="113" spans="1:23" x14ac:dyDescent="0.3">
      <c r="A113" s="147"/>
      <c r="B113" s="205">
        <f t="shared" si="21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8"/>
        <v>0</v>
      </c>
      <c r="K113" s="153"/>
      <c r="V113" s="25">
        <f t="shared" si="19"/>
        <v>0</v>
      </c>
      <c r="W113" s="25">
        <f t="shared" si="20"/>
        <v>0</v>
      </c>
    </row>
    <row r="114" spans="1:23" ht="15" thickBot="1" x14ac:dyDescent="0.35">
      <c r="A114" s="147"/>
      <c r="B114" s="208">
        <f t="shared" si="21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8"/>
        <v>0</v>
      </c>
      <c r="K114" s="153"/>
      <c r="V114" s="25">
        <f t="shared" si="19"/>
        <v>0</v>
      </c>
      <c r="W114" s="25">
        <f t="shared" si="20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76200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2931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43862</v>
      </c>
      <c r="D123" s="185" t="s">
        <v>9</v>
      </c>
      <c r="E123" s="185" t="s">
        <v>2732</v>
      </c>
      <c r="F123" s="219">
        <v>120</v>
      </c>
      <c r="G123" s="219">
        <v>100</v>
      </c>
      <c r="H123" s="185">
        <v>-20</v>
      </c>
      <c r="I123" s="219">
        <v>300</v>
      </c>
      <c r="J123" s="246">
        <f t="shared" ref="J123:J145" si="22">I123*H123</f>
        <v>-6000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43864</v>
      </c>
      <c r="D124" s="161" t="s">
        <v>9</v>
      </c>
      <c r="E124" s="161" t="s">
        <v>2555</v>
      </c>
      <c r="F124" s="207">
        <v>100</v>
      </c>
      <c r="G124" s="207">
        <v>120</v>
      </c>
      <c r="H124" s="161">
        <v>20</v>
      </c>
      <c r="I124" s="207">
        <v>300</v>
      </c>
      <c r="J124" s="242">
        <f t="shared" si="22"/>
        <v>6000</v>
      </c>
      <c r="K124" s="153"/>
      <c r="V124" s="25">
        <f t="shared" ref="V124:V145" si="23">IF($J124&gt;0,1,0)</f>
        <v>1</v>
      </c>
      <c r="W124" s="25">
        <f t="shared" ref="W124:W145" si="24">IF($J124&lt;0,1,0)</f>
        <v>0</v>
      </c>
    </row>
    <row r="125" spans="1:23" x14ac:dyDescent="0.3">
      <c r="A125" s="147"/>
      <c r="B125" s="205">
        <f t="shared" ref="B125:B145" si="25">B124+1</f>
        <v>3</v>
      </c>
      <c r="C125" s="206">
        <v>43865</v>
      </c>
      <c r="D125" s="161" t="s">
        <v>9</v>
      </c>
      <c r="E125" s="161" t="s">
        <v>2739</v>
      </c>
      <c r="F125" s="207">
        <v>110</v>
      </c>
      <c r="G125" s="207">
        <v>120</v>
      </c>
      <c r="H125" s="161">
        <v>10</v>
      </c>
      <c r="I125" s="207">
        <v>300</v>
      </c>
      <c r="J125" s="242">
        <f t="shared" si="22"/>
        <v>3000</v>
      </c>
      <c r="K125" s="153"/>
      <c r="V125" s="25">
        <f t="shared" si="23"/>
        <v>1</v>
      </c>
      <c r="W125" s="25">
        <f t="shared" si="24"/>
        <v>0</v>
      </c>
    </row>
    <row r="126" spans="1:23" x14ac:dyDescent="0.3">
      <c r="A126" s="147"/>
      <c r="B126" s="205">
        <f t="shared" si="25"/>
        <v>4</v>
      </c>
      <c r="C126" s="206">
        <v>43866</v>
      </c>
      <c r="D126" s="161" t="s">
        <v>9</v>
      </c>
      <c r="E126" s="161" t="s">
        <v>2725</v>
      </c>
      <c r="F126" s="207">
        <v>110</v>
      </c>
      <c r="G126" s="207">
        <v>150</v>
      </c>
      <c r="H126" s="161">
        <v>40</v>
      </c>
      <c r="I126" s="207">
        <v>300</v>
      </c>
      <c r="J126" s="242">
        <f t="shared" si="22"/>
        <v>12000</v>
      </c>
      <c r="K126" s="153"/>
      <c r="V126" s="25">
        <f t="shared" si="23"/>
        <v>1</v>
      </c>
      <c r="W126" s="25">
        <f t="shared" si="24"/>
        <v>0</v>
      </c>
    </row>
    <row r="127" spans="1:23" x14ac:dyDescent="0.3">
      <c r="A127" s="147"/>
      <c r="B127" s="205">
        <f t="shared" si="25"/>
        <v>5</v>
      </c>
      <c r="C127" s="206">
        <v>43867</v>
      </c>
      <c r="D127" s="161" t="s">
        <v>9</v>
      </c>
      <c r="E127" s="161" t="s">
        <v>2866</v>
      </c>
      <c r="F127" s="207">
        <v>85</v>
      </c>
      <c r="G127" s="207">
        <v>105</v>
      </c>
      <c r="H127" s="161">
        <v>20</v>
      </c>
      <c r="I127" s="207">
        <v>300</v>
      </c>
      <c r="J127" s="242">
        <f t="shared" si="22"/>
        <v>6000</v>
      </c>
      <c r="K127" s="153"/>
      <c r="M127" s="25" t="s">
        <v>2008</v>
      </c>
      <c r="V127" s="25">
        <f t="shared" si="23"/>
        <v>1</v>
      </c>
      <c r="W127" s="25">
        <f t="shared" si="24"/>
        <v>0</v>
      </c>
    </row>
    <row r="128" spans="1:23" x14ac:dyDescent="0.3">
      <c r="A128" s="147"/>
      <c r="B128" s="205">
        <f t="shared" si="25"/>
        <v>6</v>
      </c>
      <c r="C128" s="206">
        <v>43868</v>
      </c>
      <c r="D128" s="161" t="s">
        <v>9</v>
      </c>
      <c r="E128" s="161" t="s">
        <v>2881</v>
      </c>
      <c r="F128" s="207">
        <v>115</v>
      </c>
      <c r="G128" s="222">
        <v>124</v>
      </c>
      <c r="H128" s="222">
        <v>9</v>
      </c>
      <c r="I128" s="207">
        <v>300</v>
      </c>
      <c r="J128" s="242">
        <f t="shared" si="22"/>
        <v>2700</v>
      </c>
      <c r="K128" s="153"/>
      <c r="V128" s="25">
        <f t="shared" si="23"/>
        <v>1</v>
      </c>
      <c r="W128" s="25">
        <f t="shared" si="24"/>
        <v>0</v>
      </c>
    </row>
    <row r="129" spans="1:23" x14ac:dyDescent="0.3">
      <c r="A129" s="147"/>
      <c r="B129" s="205">
        <f t="shared" si="25"/>
        <v>7</v>
      </c>
      <c r="C129" s="206">
        <v>43871</v>
      </c>
      <c r="D129" s="161" t="s">
        <v>9</v>
      </c>
      <c r="E129" s="161" t="s">
        <v>2725</v>
      </c>
      <c r="F129" s="207">
        <v>120</v>
      </c>
      <c r="G129" s="207">
        <v>140</v>
      </c>
      <c r="H129" s="161">
        <v>20</v>
      </c>
      <c r="I129" s="207">
        <v>300</v>
      </c>
      <c r="J129" s="242">
        <f t="shared" si="22"/>
        <v>6000</v>
      </c>
      <c r="K129" s="153"/>
      <c r="V129" s="25">
        <f t="shared" si="23"/>
        <v>1</v>
      </c>
      <c r="W129" s="25">
        <f t="shared" si="24"/>
        <v>0</v>
      </c>
    </row>
    <row r="130" spans="1:23" x14ac:dyDescent="0.3">
      <c r="A130" s="147"/>
      <c r="B130" s="205">
        <f t="shared" si="25"/>
        <v>8</v>
      </c>
      <c r="C130" s="206">
        <v>43872</v>
      </c>
      <c r="D130" s="161" t="s">
        <v>9</v>
      </c>
      <c r="E130" s="161" t="s">
        <v>2923</v>
      </c>
      <c r="F130" s="207">
        <v>110</v>
      </c>
      <c r="G130" s="207">
        <v>150</v>
      </c>
      <c r="H130" s="161">
        <v>40</v>
      </c>
      <c r="I130" s="207">
        <v>300</v>
      </c>
      <c r="J130" s="242">
        <f t="shared" si="22"/>
        <v>12000</v>
      </c>
      <c r="K130" s="153"/>
      <c r="V130" s="25">
        <f t="shared" si="23"/>
        <v>1</v>
      </c>
      <c r="W130" s="25">
        <f t="shared" si="24"/>
        <v>0</v>
      </c>
    </row>
    <row r="131" spans="1:23" x14ac:dyDescent="0.3">
      <c r="A131" s="147"/>
      <c r="B131" s="205">
        <f t="shared" si="25"/>
        <v>9</v>
      </c>
      <c r="C131" s="206">
        <v>43873</v>
      </c>
      <c r="D131" s="161" t="s">
        <v>9</v>
      </c>
      <c r="E131" s="161" t="s">
        <v>2899</v>
      </c>
      <c r="F131" s="207">
        <v>100</v>
      </c>
      <c r="G131" s="207">
        <v>110</v>
      </c>
      <c r="H131" s="161">
        <v>10</v>
      </c>
      <c r="I131" s="207">
        <v>300</v>
      </c>
      <c r="J131" s="242">
        <f t="shared" si="22"/>
        <v>3000</v>
      </c>
      <c r="K131" s="153"/>
      <c r="V131" s="25">
        <f t="shared" si="23"/>
        <v>1</v>
      </c>
      <c r="W131" s="25">
        <f t="shared" si="24"/>
        <v>0</v>
      </c>
    </row>
    <row r="132" spans="1:23" x14ac:dyDescent="0.3">
      <c r="A132" s="147"/>
      <c r="B132" s="205">
        <f t="shared" si="25"/>
        <v>10</v>
      </c>
      <c r="C132" s="206">
        <v>43874</v>
      </c>
      <c r="D132" s="161" t="s">
        <v>9</v>
      </c>
      <c r="E132" s="161" t="s">
        <v>2923</v>
      </c>
      <c r="F132" s="207">
        <v>95</v>
      </c>
      <c r="G132" s="222">
        <v>105</v>
      </c>
      <c r="H132" s="222">
        <v>10</v>
      </c>
      <c r="I132" s="207">
        <v>300</v>
      </c>
      <c r="J132" s="242">
        <f t="shared" si="22"/>
        <v>3000</v>
      </c>
      <c r="K132" s="153"/>
      <c r="V132" s="25">
        <f t="shared" si="23"/>
        <v>1</v>
      </c>
      <c r="W132" s="25">
        <f t="shared" si="24"/>
        <v>0</v>
      </c>
    </row>
    <row r="133" spans="1:23" x14ac:dyDescent="0.3">
      <c r="A133" s="147"/>
      <c r="B133" s="205">
        <f t="shared" si="25"/>
        <v>11</v>
      </c>
      <c r="C133" s="206">
        <v>43875</v>
      </c>
      <c r="D133" s="161" t="s">
        <v>9</v>
      </c>
      <c r="E133" s="161" t="s">
        <v>2899</v>
      </c>
      <c r="F133" s="207">
        <v>115</v>
      </c>
      <c r="G133" s="207">
        <v>155</v>
      </c>
      <c r="H133" s="161">
        <v>40</v>
      </c>
      <c r="I133" s="207">
        <v>300</v>
      </c>
      <c r="J133" s="242">
        <f t="shared" si="22"/>
        <v>12000</v>
      </c>
      <c r="K133" s="153"/>
      <c r="V133" s="25">
        <f t="shared" si="23"/>
        <v>1</v>
      </c>
      <c r="W133" s="25">
        <f t="shared" si="24"/>
        <v>0</v>
      </c>
    </row>
    <row r="134" spans="1:23" x14ac:dyDescent="0.3">
      <c r="A134" s="147"/>
      <c r="B134" s="205">
        <f t="shared" si="25"/>
        <v>12</v>
      </c>
      <c r="C134" s="206">
        <v>43878</v>
      </c>
      <c r="D134" s="161" t="s">
        <v>9</v>
      </c>
      <c r="E134" s="161" t="s">
        <v>2881</v>
      </c>
      <c r="F134" s="207">
        <v>95</v>
      </c>
      <c r="G134" s="222">
        <v>125</v>
      </c>
      <c r="H134" s="222">
        <v>30</v>
      </c>
      <c r="I134" s="207">
        <v>300</v>
      </c>
      <c r="J134" s="242">
        <f t="shared" si="22"/>
        <v>9000</v>
      </c>
      <c r="K134" s="153"/>
      <c r="V134" s="25">
        <f t="shared" si="23"/>
        <v>1</v>
      </c>
      <c r="W134" s="25">
        <f t="shared" si="24"/>
        <v>0</v>
      </c>
    </row>
    <row r="135" spans="1:23" x14ac:dyDescent="0.3">
      <c r="A135" s="147"/>
      <c r="B135" s="205">
        <f t="shared" si="25"/>
        <v>13</v>
      </c>
      <c r="C135" s="206">
        <v>43879</v>
      </c>
      <c r="D135" s="161" t="s">
        <v>9</v>
      </c>
      <c r="E135" s="161" t="s">
        <v>2764</v>
      </c>
      <c r="F135" s="207">
        <v>110</v>
      </c>
      <c r="G135" s="207">
        <v>140</v>
      </c>
      <c r="H135" s="161">
        <v>30</v>
      </c>
      <c r="I135" s="207">
        <v>300</v>
      </c>
      <c r="J135" s="242">
        <f t="shared" si="22"/>
        <v>9000</v>
      </c>
      <c r="K135" s="153"/>
      <c r="V135" s="25">
        <f t="shared" si="23"/>
        <v>1</v>
      </c>
      <c r="W135" s="25">
        <f t="shared" si="24"/>
        <v>0</v>
      </c>
    </row>
    <row r="136" spans="1:23" x14ac:dyDescent="0.3">
      <c r="A136" s="147"/>
      <c r="B136" s="205">
        <f t="shared" si="25"/>
        <v>14</v>
      </c>
      <c r="C136" s="206">
        <v>43880</v>
      </c>
      <c r="D136" s="161" t="s">
        <v>9</v>
      </c>
      <c r="E136" s="161" t="s">
        <v>2881</v>
      </c>
      <c r="F136" s="207">
        <v>90</v>
      </c>
      <c r="G136" s="207">
        <v>110</v>
      </c>
      <c r="H136" s="161">
        <v>20</v>
      </c>
      <c r="I136" s="207">
        <v>300</v>
      </c>
      <c r="J136" s="242">
        <f>I136*H136</f>
        <v>6000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5"/>
        <v>15</v>
      </c>
      <c r="C137" s="206">
        <v>43881</v>
      </c>
      <c r="D137" s="161" t="s">
        <v>9</v>
      </c>
      <c r="E137" s="161" t="s">
        <v>2923</v>
      </c>
      <c r="F137" s="207">
        <v>100</v>
      </c>
      <c r="G137" s="207">
        <v>140</v>
      </c>
      <c r="H137" s="161">
        <v>40</v>
      </c>
      <c r="I137" s="207">
        <v>300</v>
      </c>
      <c r="J137" s="242">
        <f t="shared" si="22"/>
        <v>12000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5"/>
        <v>16</v>
      </c>
      <c r="C138" s="206">
        <v>43885</v>
      </c>
      <c r="D138" s="161" t="s">
        <v>9</v>
      </c>
      <c r="E138" s="161" t="s">
        <v>2739</v>
      </c>
      <c r="F138" s="207">
        <v>110</v>
      </c>
      <c r="G138" s="207">
        <v>90</v>
      </c>
      <c r="H138" s="161">
        <v>-20</v>
      </c>
      <c r="I138" s="207">
        <v>300</v>
      </c>
      <c r="J138" s="242">
        <f t="shared" si="22"/>
        <v>-6000</v>
      </c>
      <c r="K138" s="153"/>
      <c r="V138" s="25">
        <f t="shared" si="23"/>
        <v>0</v>
      </c>
      <c r="W138" s="25">
        <f t="shared" si="24"/>
        <v>1</v>
      </c>
    </row>
    <row r="139" spans="1:23" x14ac:dyDescent="0.3">
      <c r="A139" s="147"/>
      <c r="B139" s="205">
        <f t="shared" si="25"/>
        <v>17</v>
      </c>
      <c r="C139" s="206">
        <v>43886</v>
      </c>
      <c r="D139" s="161" t="s">
        <v>9</v>
      </c>
      <c r="E139" s="161" t="s">
        <v>2455</v>
      </c>
      <c r="F139" s="207">
        <v>105</v>
      </c>
      <c r="G139" s="207">
        <v>85</v>
      </c>
      <c r="H139" s="161">
        <v>-20</v>
      </c>
      <c r="I139" s="207">
        <v>300</v>
      </c>
      <c r="J139" s="242">
        <f t="shared" si="22"/>
        <v>-6000</v>
      </c>
      <c r="K139" s="153"/>
      <c r="V139" s="25">
        <f t="shared" si="23"/>
        <v>0</v>
      </c>
      <c r="W139" s="25">
        <f t="shared" si="24"/>
        <v>1</v>
      </c>
    </row>
    <row r="140" spans="1:23" x14ac:dyDescent="0.3">
      <c r="A140" s="147"/>
      <c r="B140" s="205">
        <f t="shared" si="25"/>
        <v>18</v>
      </c>
      <c r="C140" s="206">
        <v>43887</v>
      </c>
      <c r="D140" s="161" t="s">
        <v>9</v>
      </c>
      <c r="E140" s="161" t="s">
        <v>2566</v>
      </c>
      <c r="F140" s="207">
        <v>105</v>
      </c>
      <c r="G140" s="207">
        <v>85</v>
      </c>
      <c r="H140" s="161">
        <v>-20</v>
      </c>
      <c r="I140" s="207">
        <v>300</v>
      </c>
      <c r="J140" s="242">
        <f t="shared" si="22"/>
        <v>-6000</v>
      </c>
      <c r="K140" s="153"/>
      <c r="V140" s="25">
        <f t="shared" si="23"/>
        <v>0</v>
      </c>
      <c r="W140" s="25">
        <f t="shared" si="24"/>
        <v>1</v>
      </c>
    </row>
    <row r="141" spans="1:23" x14ac:dyDescent="0.3">
      <c r="A141" s="147"/>
      <c r="B141" s="205">
        <f t="shared" si="25"/>
        <v>19</v>
      </c>
      <c r="C141" s="206">
        <v>43888</v>
      </c>
      <c r="D141" s="161" t="s">
        <v>9</v>
      </c>
      <c r="E141" s="161" t="s">
        <v>2770</v>
      </c>
      <c r="F141" s="207">
        <v>85</v>
      </c>
      <c r="G141" s="207">
        <v>105</v>
      </c>
      <c r="H141" s="161">
        <v>20</v>
      </c>
      <c r="I141" s="207">
        <v>300</v>
      </c>
      <c r="J141" s="242">
        <f t="shared" si="22"/>
        <v>6000</v>
      </c>
      <c r="K141" s="153"/>
      <c r="V141" s="25">
        <f t="shared" si="23"/>
        <v>1</v>
      </c>
      <c r="W141" s="25">
        <f t="shared" si="24"/>
        <v>0</v>
      </c>
    </row>
    <row r="142" spans="1:23" x14ac:dyDescent="0.3">
      <c r="A142" s="147"/>
      <c r="B142" s="205">
        <f t="shared" si="25"/>
        <v>20</v>
      </c>
      <c r="C142" s="206">
        <v>43889</v>
      </c>
      <c r="D142" s="161" t="s">
        <v>9</v>
      </c>
      <c r="E142" s="161" t="s">
        <v>2531</v>
      </c>
      <c r="F142" s="207">
        <v>140</v>
      </c>
      <c r="G142" s="207">
        <v>180</v>
      </c>
      <c r="H142" s="161">
        <v>40</v>
      </c>
      <c r="I142" s="207">
        <v>300</v>
      </c>
      <c r="J142" s="242">
        <f t="shared" si="22"/>
        <v>12000</v>
      </c>
      <c r="K142" s="153"/>
      <c r="V142" s="25">
        <f t="shared" si="23"/>
        <v>1</v>
      </c>
      <c r="W142" s="25">
        <f t="shared" si="24"/>
        <v>0</v>
      </c>
    </row>
    <row r="143" spans="1:23" x14ac:dyDescent="0.3">
      <c r="A143" s="147"/>
      <c r="B143" s="205">
        <f t="shared" si="25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2"/>
        <v>0</v>
      </c>
      <c r="K143" s="153"/>
      <c r="V143" s="25">
        <f t="shared" si="23"/>
        <v>0</v>
      </c>
      <c r="W143" s="25">
        <f t="shared" si="24"/>
        <v>0</v>
      </c>
    </row>
    <row r="144" spans="1:23" x14ac:dyDescent="0.3">
      <c r="A144" s="147"/>
      <c r="B144" s="205">
        <f t="shared" si="25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2"/>
        <v>0</v>
      </c>
      <c r="K144" s="153"/>
      <c r="V144" s="25">
        <f t="shared" si="23"/>
        <v>0</v>
      </c>
      <c r="W144" s="25">
        <f t="shared" si="24"/>
        <v>0</v>
      </c>
    </row>
    <row r="145" spans="1:23" ht="15" thickBot="1" x14ac:dyDescent="0.35">
      <c r="A145" s="147"/>
      <c r="B145" s="208">
        <f t="shared" si="25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2"/>
        <v>0</v>
      </c>
      <c r="K145" s="153"/>
      <c r="V145" s="25">
        <f t="shared" si="23"/>
        <v>0</v>
      </c>
      <c r="W145" s="25">
        <f t="shared" si="24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95700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2931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43862</v>
      </c>
      <c r="D154" s="185" t="s">
        <v>9</v>
      </c>
      <c r="E154" s="185" t="s">
        <v>301</v>
      </c>
      <c r="F154" s="219">
        <v>30880</v>
      </c>
      <c r="G154" s="219">
        <v>30750</v>
      </c>
      <c r="H154" s="185">
        <v>-100</v>
      </c>
      <c r="I154" s="219">
        <v>40</v>
      </c>
      <c r="J154" s="246">
        <f t="shared" ref="J154:J176" si="26">I154*H154</f>
        <v>-4000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06">
        <v>43864</v>
      </c>
      <c r="D155" s="161" t="s">
        <v>8</v>
      </c>
      <c r="E155" s="161" t="s">
        <v>301</v>
      </c>
      <c r="F155" s="207">
        <v>29950</v>
      </c>
      <c r="G155" s="207">
        <v>29850</v>
      </c>
      <c r="H155" s="161">
        <v>100</v>
      </c>
      <c r="I155" s="207">
        <v>40</v>
      </c>
      <c r="J155" s="242">
        <f t="shared" si="26"/>
        <v>4000</v>
      </c>
      <c r="K155" s="153"/>
      <c r="V155" s="25">
        <f t="shared" ref="V155:V176" si="27">IF($J155&gt;0,1,0)</f>
        <v>1</v>
      </c>
      <c r="W155" s="25">
        <f t="shared" ref="W155:W176" si="28">IF($J155&lt;0,1,0)</f>
        <v>0</v>
      </c>
    </row>
    <row r="156" spans="1:23" x14ac:dyDescent="0.3">
      <c r="A156" s="147"/>
      <c r="B156" s="205">
        <f t="shared" ref="B156:B176" si="29">B155+1</f>
        <v>3</v>
      </c>
      <c r="C156" s="206">
        <v>43865</v>
      </c>
      <c r="D156" s="161" t="s">
        <v>8</v>
      </c>
      <c r="E156" s="161" t="s">
        <v>301</v>
      </c>
      <c r="F156" s="207">
        <v>30730</v>
      </c>
      <c r="G156" s="207">
        <v>30590</v>
      </c>
      <c r="H156" s="161">
        <v>140</v>
      </c>
      <c r="I156" s="207">
        <v>40</v>
      </c>
      <c r="J156" s="242">
        <f t="shared" si="26"/>
        <v>5600</v>
      </c>
      <c r="K156" s="153"/>
      <c r="V156" s="25">
        <f t="shared" si="27"/>
        <v>1</v>
      </c>
      <c r="W156" s="25">
        <f t="shared" si="28"/>
        <v>0</v>
      </c>
    </row>
    <row r="157" spans="1:23" x14ac:dyDescent="0.3">
      <c r="A157" s="147"/>
      <c r="B157" s="205">
        <f t="shared" si="29"/>
        <v>4</v>
      </c>
      <c r="C157" s="206">
        <v>43866</v>
      </c>
      <c r="D157" s="161" t="s">
        <v>8</v>
      </c>
      <c r="E157" s="161" t="s">
        <v>301</v>
      </c>
      <c r="F157" s="207">
        <v>30880</v>
      </c>
      <c r="G157" s="207">
        <v>30680</v>
      </c>
      <c r="H157" s="161">
        <v>200</v>
      </c>
      <c r="I157" s="207">
        <v>40</v>
      </c>
      <c r="J157" s="242">
        <f t="shared" si="26"/>
        <v>8000</v>
      </c>
      <c r="K157" s="153"/>
      <c r="V157" s="25">
        <f t="shared" si="27"/>
        <v>1</v>
      </c>
      <c r="W157" s="25">
        <f t="shared" si="28"/>
        <v>0</v>
      </c>
    </row>
    <row r="158" spans="1:23" x14ac:dyDescent="0.3">
      <c r="A158" s="147"/>
      <c r="B158" s="205">
        <f t="shared" si="29"/>
        <v>5</v>
      </c>
      <c r="C158" s="206">
        <v>43867</v>
      </c>
      <c r="D158" s="161" t="s">
        <v>8</v>
      </c>
      <c r="E158" s="161" t="s">
        <v>301</v>
      </c>
      <c r="F158" s="207">
        <v>31060</v>
      </c>
      <c r="G158" s="207">
        <v>30960</v>
      </c>
      <c r="H158" s="161">
        <v>100</v>
      </c>
      <c r="I158" s="207">
        <v>40</v>
      </c>
      <c r="J158" s="242">
        <f t="shared" si="26"/>
        <v>4000</v>
      </c>
      <c r="K158" s="153"/>
      <c r="V158" s="25">
        <f t="shared" si="27"/>
        <v>1</v>
      </c>
      <c r="W158" s="25">
        <f t="shared" si="28"/>
        <v>0</v>
      </c>
    </row>
    <row r="159" spans="1:23" x14ac:dyDescent="0.3">
      <c r="A159" s="147"/>
      <c r="B159" s="205">
        <f t="shared" si="29"/>
        <v>6</v>
      </c>
      <c r="C159" s="206">
        <v>43868</v>
      </c>
      <c r="D159" s="161" t="s">
        <v>8</v>
      </c>
      <c r="E159" s="161" t="s">
        <v>301</v>
      </c>
      <c r="F159" s="207">
        <v>31150</v>
      </c>
      <c r="G159" s="207">
        <v>31250</v>
      </c>
      <c r="H159" s="161">
        <v>-100</v>
      </c>
      <c r="I159" s="207">
        <v>40</v>
      </c>
      <c r="J159" s="242">
        <f t="shared" si="26"/>
        <v>-4000</v>
      </c>
      <c r="K159" s="153"/>
      <c r="V159" s="25">
        <f t="shared" si="27"/>
        <v>0</v>
      </c>
      <c r="W159" s="25">
        <f t="shared" si="28"/>
        <v>1</v>
      </c>
    </row>
    <row r="160" spans="1:23" x14ac:dyDescent="0.3">
      <c r="A160" s="147"/>
      <c r="B160" s="205">
        <f t="shared" si="29"/>
        <v>7</v>
      </c>
      <c r="C160" s="206">
        <v>43871</v>
      </c>
      <c r="D160" s="161" t="s">
        <v>8</v>
      </c>
      <c r="E160" s="161" t="s">
        <v>301</v>
      </c>
      <c r="F160" s="207">
        <v>31060</v>
      </c>
      <c r="G160" s="207">
        <v>31010</v>
      </c>
      <c r="H160" s="161">
        <v>50</v>
      </c>
      <c r="I160" s="207">
        <v>40</v>
      </c>
      <c r="J160" s="242">
        <f t="shared" si="26"/>
        <v>2000</v>
      </c>
      <c r="K160" s="153"/>
      <c r="V160" s="25">
        <f t="shared" si="27"/>
        <v>1</v>
      </c>
      <c r="W160" s="25">
        <f t="shared" si="28"/>
        <v>0</v>
      </c>
    </row>
    <row r="161" spans="1:23" x14ac:dyDescent="0.3">
      <c r="A161" s="147"/>
      <c r="B161" s="205">
        <f t="shared" si="29"/>
        <v>8</v>
      </c>
      <c r="C161" s="206">
        <v>43872</v>
      </c>
      <c r="D161" s="161" t="s">
        <v>8</v>
      </c>
      <c r="E161" s="161" t="s">
        <v>301</v>
      </c>
      <c r="F161" s="207">
        <v>31470</v>
      </c>
      <c r="G161" s="207">
        <v>31370</v>
      </c>
      <c r="H161" s="161">
        <v>100</v>
      </c>
      <c r="I161" s="207">
        <v>40</v>
      </c>
      <c r="J161" s="242">
        <f t="shared" si="26"/>
        <v>4000</v>
      </c>
      <c r="K161" s="153"/>
      <c r="V161" s="25">
        <f t="shared" si="27"/>
        <v>1</v>
      </c>
      <c r="W161" s="25">
        <f t="shared" si="28"/>
        <v>0</v>
      </c>
    </row>
    <row r="162" spans="1:23" x14ac:dyDescent="0.3">
      <c r="A162" s="147"/>
      <c r="B162" s="205">
        <f t="shared" si="29"/>
        <v>9</v>
      </c>
      <c r="C162" s="206">
        <v>43873</v>
      </c>
      <c r="D162" s="161" t="s">
        <v>8</v>
      </c>
      <c r="E162" s="161" t="s">
        <v>301</v>
      </c>
      <c r="F162" s="207">
        <v>31560</v>
      </c>
      <c r="G162" s="207">
        <v>31500</v>
      </c>
      <c r="H162" s="161">
        <v>60</v>
      </c>
      <c r="I162" s="207">
        <v>40</v>
      </c>
      <c r="J162" s="242">
        <f t="shared" si="26"/>
        <v>2400</v>
      </c>
      <c r="K162" s="153"/>
      <c r="V162" s="25">
        <f t="shared" si="27"/>
        <v>1</v>
      </c>
      <c r="W162" s="25">
        <f t="shared" si="28"/>
        <v>0</v>
      </c>
    </row>
    <row r="163" spans="1:23" x14ac:dyDescent="0.3">
      <c r="A163" s="147"/>
      <c r="B163" s="205">
        <f t="shared" si="29"/>
        <v>10</v>
      </c>
      <c r="C163" s="206">
        <v>43874</v>
      </c>
      <c r="D163" s="161" t="s">
        <v>8</v>
      </c>
      <c r="E163" s="161" t="s">
        <v>301</v>
      </c>
      <c r="F163" s="207">
        <v>31400</v>
      </c>
      <c r="G163" s="207">
        <v>31200</v>
      </c>
      <c r="H163" s="161">
        <v>200</v>
      </c>
      <c r="I163" s="207">
        <v>40</v>
      </c>
      <c r="J163" s="242">
        <f t="shared" si="26"/>
        <v>8000</v>
      </c>
      <c r="K163" s="153"/>
      <c r="V163" s="25">
        <f t="shared" si="27"/>
        <v>1</v>
      </c>
      <c r="W163" s="25">
        <f t="shared" si="28"/>
        <v>0</v>
      </c>
    </row>
    <row r="164" spans="1:23" x14ac:dyDescent="0.3">
      <c r="A164" s="147"/>
      <c r="B164" s="205">
        <f t="shared" si="29"/>
        <v>11</v>
      </c>
      <c r="C164" s="206">
        <v>43875</v>
      </c>
      <c r="D164" s="161" t="s">
        <v>8</v>
      </c>
      <c r="E164" s="161" t="s">
        <v>301</v>
      </c>
      <c r="F164" s="207">
        <v>31370</v>
      </c>
      <c r="G164" s="207">
        <v>31170</v>
      </c>
      <c r="H164" s="161">
        <v>200</v>
      </c>
      <c r="I164" s="207">
        <v>40</v>
      </c>
      <c r="J164" s="242">
        <f t="shared" si="26"/>
        <v>8000</v>
      </c>
      <c r="K164" s="153"/>
      <c r="V164" s="25">
        <f t="shared" si="27"/>
        <v>1</v>
      </c>
      <c r="W164" s="25">
        <f t="shared" si="28"/>
        <v>0</v>
      </c>
    </row>
    <row r="165" spans="1:23" x14ac:dyDescent="0.3">
      <c r="A165" s="147"/>
      <c r="B165" s="205">
        <f t="shared" si="29"/>
        <v>12</v>
      </c>
      <c r="C165" s="206">
        <v>43878</v>
      </c>
      <c r="D165" s="161" t="s">
        <v>8</v>
      </c>
      <c r="E165" s="161" t="s">
        <v>301</v>
      </c>
      <c r="F165" s="207">
        <v>30820</v>
      </c>
      <c r="G165" s="207">
        <v>30720</v>
      </c>
      <c r="H165" s="161">
        <v>100</v>
      </c>
      <c r="I165" s="207">
        <v>40</v>
      </c>
      <c r="J165" s="242">
        <f t="shared" si="26"/>
        <v>4000</v>
      </c>
      <c r="K165" s="153"/>
      <c r="V165" s="25">
        <f t="shared" si="27"/>
        <v>1</v>
      </c>
      <c r="W165" s="25">
        <f t="shared" si="28"/>
        <v>0</v>
      </c>
    </row>
    <row r="166" spans="1:23" x14ac:dyDescent="0.3">
      <c r="A166" s="147"/>
      <c r="B166" s="205">
        <f t="shared" si="29"/>
        <v>13</v>
      </c>
      <c r="C166" s="206">
        <v>43879</v>
      </c>
      <c r="D166" s="161" t="s">
        <v>8</v>
      </c>
      <c r="E166" s="161" t="s">
        <v>301</v>
      </c>
      <c r="F166" s="207">
        <v>30520</v>
      </c>
      <c r="G166" s="207">
        <v>30320</v>
      </c>
      <c r="H166" s="161">
        <v>200</v>
      </c>
      <c r="I166" s="207">
        <v>40</v>
      </c>
      <c r="J166" s="242">
        <f t="shared" si="26"/>
        <v>8000</v>
      </c>
      <c r="K166" s="153"/>
      <c r="V166" s="25">
        <f t="shared" si="27"/>
        <v>1</v>
      </c>
      <c r="W166" s="25">
        <f t="shared" si="28"/>
        <v>0</v>
      </c>
    </row>
    <row r="167" spans="1:23" x14ac:dyDescent="0.3">
      <c r="A167" s="147"/>
      <c r="B167" s="205">
        <f t="shared" si="29"/>
        <v>14</v>
      </c>
      <c r="C167" s="206">
        <v>43880</v>
      </c>
      <c r="D167" s="161" t="s">
        <v>8</v>
      </c>
      <c r="E167" s="161" t="s">
        <v>301</v>
      </c>
      <c r="F167" s="207">
        <v>30760</v>
      </c>
      <c r="G167" s="207">
        <v>30660</v>
      </c>
      <c r="H167" s="161">
        <v>100</v>
      </c>
      <c r="I167" s="207">
        <v>40</v>
      </c>
      <c r="J167" s="242">
        <f t="shared" si="26"/>
        <v>4000</v>
      </c>
      <c r="K167" s="153"/>
      <c r="V167" s="25">
        <f t="shared" si="27"/>
        <v>1</v>
      </c>
      <c r="W167" s="25">
        <f t="shared" si="28"/>
        <v>0</v>
      </c>
    </row>
    <row r="168" spans="1:23" x14ac:dyDescent="0.3">
      <c r="A168" s="147"/>
      <c r="B168" s="205">
        <f t="shared" si="29"/>
        <v>15</v>
      </c>
      <c r="C168" s="206">
        <v>43881</v>
      </c>
      <c r="D168" s="161" t="s">
        <v>8</v>
      </c>
      <c r="E168" s="161" t="s">
        <v>301</v>
      </c>
      <c r="F168" s="207">
        <v>31050</v>
      </c>
      <c r="G168" s="207">
        <v>30890</v>
      </c>
      <c r="H168" s="161">
        <v>160</v>
      </c>
      <c r="I168" s="207">
        <v>40</v>
      </c>
      <c r="J168" s="242">
        <f t="shared" si="26"/>
        <v>6400</v>
      </c>
      <c r="K168" s="153"/>
      <c r="V168" s="25">
        <f t="shared" si="27"/>
        <v>1</v>
      </c>
      <c r="W168" s="25">
        <f t="shared" si="28"/>
        <v>0</v>
      </c>
    </row>
    <row r="169" spans="1:23" x14ac:dyDescent="0.3">
      <c r="A169" s="147"/>
      <c r="B169" s="205">
        <f t="shared" si="29"/>
        <v>16</v>
      </c>
      <c r="C169" s="206">
        <v>43885</v>
      </c>
      <c r="D169" s="161" t="s">
        <v>8</v>
      </c>
      <c r="E169" s="161" t="s">
        <v>301</v>
      </c>
      <c r="F169" s="207">
        <v>30520</v>
      </c>
      <c r="G169" s="207">
        <v>30620</v>
      </c>
      <c r="H169" s="161">
        <v>-100</v>
      </c>
      <c r="I169" s="207">
        <v>40</v>
      </c>
      <c r="J169" s="242">
        <f t="shared" si="26"/>
        <v>-4000</v>
      </c>
      <c r="K169" s="153"/>
      <c r="V169" s="25">
        <f t="shared" si="27"/>
        <v>0</v>
      </c>
      <c r="W169" s="25">
        <f t="shared" si="28"/>
        <v>1</v>
      </c>
    </row>
    <row r="170" spans="1:23" x14ac:dyDescent="0.3">
      <c r="A170" s="147"/>
      <c r="B170" s="205">
        <f t="shared" si="29"/>
        <v>17</v>
      </c>
      <c r="C170" s="206">
        <v>43886</v>
      </c>
      <c r="D170" s="161" t="s">
        <v>8</v>
      </c>
      <c r="E170" s="161" t="s">
        <v>301</v>
      </c>
      <c r="F170" s="207">
        <v>30530</v>
      </c>
      <c r="G170" s="207">
        <v>30480</v>
      </c>
      <c r="H170" s="161">
        <v>50</v>
      </c>
      <c r="I170" s="207">
        <v>40</v>
      </c>
      <c r="J170" s="242">
        <f t="shared" si="26"/>
        <v>2000</v>
      </c>
      <c r="K170" s="153"/>
      <c r="V170" s="25">
        <f t="shared" si="27"/>
        <v>1</v>
      </c>
      <c r="W170" s="25">
        <f t="shared" si="28"/>
        <v>0</v>
      </c>
    </row>
    <row r="171" spans="1:23" x14ac:dyDescent="0.3">
      <c r="A171" s="147"/>
      <c r="B171" s="205">
        <f t="shared" si="29"/>
        <v>18</v>
      </c>
      <c r="C171" s="206">
        <v>43887</v>
      </c>
      <c r="D171" s="161" t="s">
        <v>8</v>
      </c>
      <c r="E171" s="161" t="s">
        <v>301</v>
      </c>
      <c r="F171" s="207">
        <v>30250</v>
      </c>
      <c r="G171" s="207">
        <v>30210</v>
      </c>
      <c r="H171" s="161">
        <v>40</v>
      </c>
      <c r="I171" s="207">
        <v>40</v>
      </c>
      <c r="J171" s="242">
        <f t="shared" si="26"/>
        <v>1600</v>
      </c>
      <c r="K171" s="153"/>
      <c r="V171" s="25">
        <f t="shared" si="27"/>
        <v>1</v>
      </c>
      <c r="W171" s="25">
        <f t="shared" si="28"/>
        <v>0</v>
      </c>
    </row>
    <row r="172" spans="1:23" x14ac:dyDescent="0.3">
      <c r="A172" s="147"/>
      <c r="B172" s="205">
        <f t="shared" si="29"/>
        <v>19</v>
      </c>
      <c r="C172" s="206">
        <v>43888</v>
      </c>
      <c r="D172" s="161" t="s">
        <v>8</v>
      </c>
      <c r="E172" s="161" t="s">
        <v>301</v>
      </c>
      <c r="F172" s="207">
        <v>30020</v>
      </c>
      <c r="G172" s="207">
        <v>29980</v>
      </c>
      <c r="H172" s="161">
        <v>40</v>
      </c>
      <c r="I172" s="207">
        <v>40</v>
      </c>
      <c r="J172" s="242">
        <f t="shared" si="26"/>
        <v>1600</v>
      </c>
      <c r="K172" s="153"/>
      <c r="V172" s="25">
        <f t="shared" si="27"/>
        <v>1</v>
      </c>
      <c r="W172" s="25">
        <f t="shared" si="28"/>
        <v>0</v>
      </c>
    </row>
    <row r="173" spans="1:23" x14ac:dyDescent="0.3">
      <c r="A173" s="147"/>
      <c r="B173" s="205">
        <f t="shared" si="29"/>
        <v>20</v>
      </c>
      <c r="C173" s="206">
        <v>43889</v>
      </c>
      <c r="D173" s="161" t="s">
        <v>8</v>
      </c>
      <c r="E173" s="161" t="s">
        <v>301</v>
      </c>
      <c r="F173" s="207">
        <v>29450</v>
      </c>
      <c r="G173" s="207">
        <v>29250</v>
      </c>
      <c r="H173" s="161">
        <v>200</v>
      </c>
      <c r="I173" s="207">
        <v>40</v>
      </c>
      <c r="J173" s="242">
        <f t="shared" si="26"/>
        <v>8000</v>
      </c>
      <c r="K173" s="153"/>
      <c r="V173" s="25">
        <f t="shared" si="27"/>
        <v>1</v>
      </c>
      <c r="W173" s="25">
        <f t="shared" si="28"/>
        <v>0</v>
      </c>
    </row>
    <row r="174" spans="1:23" x14ac:dyDescent="0.3">
      <c r="A174" s="147"/>
      <c r="B174" s="205">
        <f t="shared" si="29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6"/>
        <v>0</v>
      </c>
      <c r="K174" s="153"/>
      <c r="V174" s="25">
        <f t="shared" si="27"/>
        <v>0</v>
      </c>
      <c r="W174" s="25">
        <f t="shared" si="28"/>
        <v>0</v>
      </c>
    </row>
    <row r="175" spans="1:23" x14ac:dyDescent="0.3">
      <c r="A175" s="147"/>
      <c r="B175" s="205">
        <f t="shared" si="29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6"/>
        <v>0</v>
      </c>
      <c r="K175" s="153"/>
      <c r="V175" s="25">
        <f t="shared" si="27"/>
        <v>0</v>
      </c>
      <c r="W175" s="25">
        <f t="shared" si="28"/>
        <v>0</v>
      </c>
    </row>
    <row r="176" spans="1:23" ht="15" thickBot="1" x14ac:dyDescent="0.35">
      <c r="A176" s="147"/>
      <c r="B176" s="208">
        <f t="shared" si="29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6"/>
        <v>0</v>
      </c>
      <c r="K176" s="153"/>
      <c r="V176" s="25">
        <f t="shared" si="27"/>
        <v>0</v>
      </c>
      <c r="W176" s="25">
        <f t="shared" si="28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69600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2931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43862</v>
      </c>
      <c r="D185" s="185" t="s">
        <v>9</v>
      </c>
      <c r="E185" s="185" t="s">
        <v>2750</v>
      </c>
      <c r="F185" s="219">
        <v>380</v>
      </c>
      <c r="G185" s="219">
        <v>320</v>
      </c>
      <c r="H185" s="185">
        <v>-60</v>
      </c>
      <c r="I185" s="219">
        <v>80</v>
      </c>
      <c r="J185" s="246">
        <f t="shared" ref="J185:J207" si="30">I185*H185</f>
        <v>-4800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06">
        <v>43864</v>
      </c>
      <c r="D186" s="161" t="s">
        <v>9</v>
      </c>
      <c r="E186" s="161" t="s">
        <v>2685</v>
      </c>
      <c r="F186" s="207">
        <v>300</v>
      </c>
      <c r="G186" s="207">
        <v>330</v>
      </c>
      <c r="H186" s="161">
        <v>30</v>
      </c>
      <c r="I186" s="207">
        <v>80</v>
      </c>
      <c r="J186" s="242">
        <f t="shared" si="30"/>
        <v>2400</v>
      </c>
      <c r="K186" s="153"/>
      <c r="V186" s="25">
        <f t="shared" ref="V186:V207" si="31">IF($J186&gt;0,1,0)</f>
        <v>1</v>
      </c>
      <c r="W186" s="25">
        <f t="shared" ref="W186:W207" si="32">IF($J186&lt;0,1,0)</f>
        <v>0</v>
      </c>
    </row>
    <row r="187" spans="1:23" x14ac:dyDescent="0.3">
      <c r="A187" s="147"/>
      <c r="B187" s="205">
        <f t="shared" ref="B187:B207" si="33">B186+1</f>
        <v>3</v>
      </c>
      <c r="C187" s="206">
        <v>43865</v>
      </c>
      <c r="D187" s="161" t="s">
        <v>9</v>
      </c>
      <c r="E187" s="161" t="s">
        <v>2717</v>
      </c>
      <c r="F187" s="207">
        <v>200</v>
      </c>
      <c r="G187" s="207">
        <v>260</v>
      </c>
      <c r="H187" s="161">
        <v>60</v>
      </c>
      <c r="I187" s="207">
        <v>80</v>
      </c>
      <c r="J187" s="242">
        <f t="shared" si="30"/>
        <v>4800</v>
      </c>
      <c r="K187" s="153"/>
      <c r="V187" s="25">
        <f t="shared" si="31"/>
        <v>1</v>
      </c>
      <c r="W187" s="25">
        <f t="shared" si="32"/>
        <v>0</v>
      </c>
    </row>
    <row r="188" spans="1:23" x14ac:dyDescent="0.3">
      <c r="A188" s="147"/>
      <c r="B188" s="205">
        <f t="shared" si="33"/>
        <v>4</v>
      </c>
      <c r="C188" s="206">
        <v>43866</v>
      </c>
      <c r="D188" s="161" t="s">
        <v>9</v>
      </c>
      <c r="E188" s="161" t="s">
        <v>2737</v>
      </c>
      <c r="F188" s="207">
        <v>160</v>
      </c>
      <c r="G188" s="207">
        <v>280</v>
      </c>
      <c r="H188" s="161">
        <v>120</v>
      </c>
      <c r="I188" s="207">
        <v>80</v>
      </c>
      <c r="J188" s="242">
        <f t="shared" si="30"/>
        <v>9600</v>
      </c>
      <c r="K188" s="153"/>
      <c r="V188" s="25">
        <f t="shared" si="31"/>
        <v>1</v>
      </c>
      <c r="W188" s="25">
        <f t="shared" si="32"/>
        <v>0</v>
      </c>
    </row>
    <row r="189" spans="1:23" x14ac:dyDescent="0.3">
      <c r="A189" s="147"/>
      <c r="B189" s="205">
        <f t="shared" si="33"/>
        <v>5</v>
      </c>
      <c r="C189" s="206">
        <v>43867</v>
      </c>
      <c r="D189" s="161" t="s">
        <v>9</v>
      </c>
      <c r="E189" s="161" t="s">
        <v>2740</v>
      </c>
      <c r="F189" s="207">
        <v>160</v>
      </c>
      <c r="G189" s="207">
        <v>192</v>
      </c>
      <c r="H189" s="161">
        <v>32</v>
      </c>
      <c r="I189" s="207">
        <v>80</v>
      </c>
      <c r="J189" s="242">
        <f t="shared" si="30"/>
        <v>2560</v>
      </c>
      <c r="K189" s="153"/>
      <c r="O189" s="25" t="s">
        <v>2008</v>
      </c>
      <c r="V189" s="25">
        <f t="shared" si="31"/>
        <v>1</v>
      </c>
      <c r="W189" s="25">
        <f t="shared" si="32"/>
        <v>0</v>
      </c>
    </row>
    <row r="190" spans="1:23" x14ac:dyDescent="0.3">
      <c r="A190" s="147"/>
      <c r="B190" s="205">
        <f t="shared" si="33"/>
        <v>6</v>
      </c>
      <c r="C190" s="206">
        <v>43868</v>
      </c>
      <c r="D190" s="161" t="s">
        <v>9</v>
      </c>
      <c r="E190" s="161" t="s">
        <v>2740</v>
      </c>
      <c r="F190" s="207">
        <v>270</v>
      </c>
      <c r="G190" s="207">
        <v>210</v>
      </c>
      <c r="H190" s="161">
        <v>-60</v>
      </c>
      <c r="I190" s="207">
        <v>80</v>
      </c>
      <c r="J190" s="242">
        <f t="shared" si="30"/>
        <v>-4800</v>
      </c>
      <c r="K190" s="153"/>
      <c r="V190" s="25">
        <f t="shared" si="31"/>
        <v>0</v>
      </c>
      <c r="W190" s="25">
        <f t="shared" si="32"/>
        <v>1</v>
      </c>
    </row>
    <row r="191" spans="1:23" x14ac:dyDescent="0.3">
      <c r="A191" s="147"/>
      <c r="B191" s="205">
        <f t="shared" si="33"/>
        <v>7</v>
      </c>
      <c r="C191" s="206">
        <v>43871</v>
      </c>
      <c r="D191" s="161" t="s">
        <v>9</v>
      </c>
      <c r="E191" s="161" t="s">
        <v>2740</v>
      </c>
      <c r="F191" s="207">
        <v>250</v>
      </c>
      <c r="G191" s="207">
        <v>280</v>
      </c>
      <c r="H191" s="161">
        <v>30</v>
      </c>
      <c r="I191" s="207">
        <v>80</v>
      </c>
      <c r="J191" s="242">
        <f t="shared" si="30"/>
        <v>2400</v>
      </c>
      <c r="K191" s="153"/>
      <c r="V191" s="25">
        <f t="shared" si="31"/>
        <v>1</v>
      </c>
      <c r="W191" s="25">
        <f t="shared" si="32"/>
        <v>0</v>
      </c>
    </row>
    <row r="192" spans="1:23" x14ac:dyDescent="0.3">
      <c r="A192" s="147"/>
      <c r="B192" s="205">
        <f t="shared" si="33"/>
        <v>8</v>
      </c>
      <c r="C192" s="206">
        <v>43872</v>
      </c>
      <c r="D192" s="161" t="s">
        <v>9</v>
      </c>
      <c r="E192" s="161" t="s">
        <v>2735</v>
      </c>
      <c r="F192" s="207">
        <v>220</v>
      </c>
      <c r="G192" s="207">
        <v>280</v>
      </c>
      <c r="H192" s="161">
        <v>60</v>
      </c>
      <c r="I192" s="207">
        <v>80</v>
      </c>
      <c r="J192" s="242">
        <f t="shared" si="30"/>
        <v>4800</v>
      </c>
      <c r="K192" s="153"/>
      <c r="V192" s="25">
        <f t="shared" si="31"/>
        <v>1</v>
      </c>
      <c r="W192" s="25">
        <f t="shared" si="32"/>
        <v>0</v>
      </c>
    </row>
    <row r="193" spans="1:23" x14ac:dyDescent="0.3">
      <c r="A193" s="147"/>
      <c r="B193" s="205">
        <f t="shared" si="33"/>
        <v>9</v>
      </c>
      <c r="C193" s="206">
        <v>43873</v>
      </c>
      <c r="D193" s="161" t="s">
        <v>9</v>
      </c>
      <c r="E193" s="161" t="s">
        <v>2765</v>
      </c>
      <c r="F193" s="207">
        <v>160</v>
      </c>
      <c r="G193" s="207">
        <v>190</v>
      </c>
      <c r="H193" s="161">
        <v>30</v>
      </c>
      <c r="I193" s="207">
        <v>80</v>
      </c>
      <c r="J193" s="242">
        <f t="shared" si="30"/>
        <v>2400</v>
      </c>
      <c r="K193" s="153"/>
      <c r="V193" s="25">
        <f t="shared" si="31"/>
        <v>1</v>
      </c>
      <c r="W193" s="25">
        <f t="shared" si="32"/>
        <v>0</v>
      </c>
    </row>
    <row r="194" spans="1:23" x14ac:dyDescent="0.3">
      <c r="A194" s="147"/>
      <c r="B194" s="205">
        <f t="shared" si="33"/>
        <v>10</v>
      </c>
      <c r="C194" s="206">
        <v>43874</v>
      </c>
      <c r="D194" s="161" t="s">
        <v>9</v>
      </c>
      <c r="E194" s="161" t="s">
        <v>2762</v>
      </c>
      <c r="F194" s="207">
        <v>130</v>
      </c>
      <c r="G194" s="207">
        <v>215</v>
      </c>
      <c r="H194" s="161">
        <v>85</v>
      </c>
      <c r="I194" s="207">
        <v>80</v>
      </c>
      <c r="J194" s="242">
        <f t="shared" si="30"/>
        <v>6800</v>
      </c>
      <c r="K194" s="153"/>
      <c r="V194" s="25">
        <f t="shared" si="31"/>
        <v>1</v>
      </c>
      <c r="W194" s="25">
        <f t="shared" si="32"/>
        <v>0</v>
      </c>
    </row>
    <row r="195" spans="1:23" x14ac:dyDescent="0.3">
      <c r="A195" s="147"/>
      <c r="B195" s="205">
        <f t="shared" si="33"/>
        <v>11</v>
      </c>
      <c r="C195" s="206">
        <v>43875</v>
      </c>
      <c r="D195" s="161" t="s">
        <v>9</v>
      </c>
      <c r="E195" s="161" t="s">
        <v>2762</v>
      </c>
      <c r="F195" s="207">
        <v>250</v>
      </c>
      <c r="G195" s="207">
        <v>370</v>
      </c>
      <c r="H195" s="161">
        <v>120</v>
      </c>
      <c r="I195" s="207">
        <v>80</v>
      </c>
      <c r="J195" s="242">
        <f t="shared" si="30"/>
        <v>9600</v>
      </c>
      <c r="K195" s="153"/>
      <c r="V195" s="25">
        <f t="shared" si="31"/>
        <v>1</v>
      </c>
      <c r="W195" s="25">
        <f t="shared" si="32"/>
        <v>0</v>
      </c>
    </row>
    <row r="196" spans="1:23" x14ac:dyDescent="0.3">
      <c r="A196" s="147"/>
      <c r="B196" s="205">
        <f t="shared" si="33"/>
        <v>12</v>
      </c>
      <c r="C196" s="206">
        <v>43878</v>
      </c>
      <c r="D196" s="161" t="s">
        <v>9</v>
      </c>
      <c r="E196" s="161" t="s">
        <v>2741</v>
      </c>
      <c r="F196" s="207">
        <v>240</v>
      </c>
      <c r="G196" s="207">
        <v>262</v>
      </c>
      <c r="H196" s="161">
        <v>22</v>
      </c>
      <c r="I196" s="207">
        <v>80</v>
      </c>
      <c r="J196" s="242">
        <f t="shared" si="30"/>
        <v>1760</v>
      </c>
      <c r="K196" s="153"/>
      <c r="V196" s="25">
        <f t="shared" si="31"/>
        <v>1</v>
      </c>
      <c r="W196" s="25">
        <f t="shared" si="32"/>
        <v>0</v>
      </c>
    </row>
    <row r="197" spans="1:23" x14ac:dyDescent="0.3">
      <c r="A197" s="147"/>
      <c r="B197" s="205">
        <f t="shared" si="33"/>
        <v>13</v>
      </c>
      <c r="C197" s="206">
        <v>43879</v>
      </c>
      <c r="D197" s="161" t="s">
        <v>9</v>
      </c>
      <c r="E197" s="161" t="s">
        <v>2689</v>
      </c>
      <c r="F197" s="207">
        <v>200</v>
      </c>
      <c r="G197" s="207">
        <v>310</v>
      </c>
      <c r="H197" s="161">
        <v>110</v>
      </c>
      <c r="I197" s="207">
        <v>80</v>
      </c>
      <c r="J197" s="242">
        <f t="shared" si="30"/>
        <v>8800</v>
      </c>
      <c r="K197" s="153"/>
      <c r="V197" s="25">
        <f t="shared" si="31"/>
        <v>1</v>
      </c>
      <c r="W197" s="25">
        <f t="shared" si="32"/>
        <v>0</v>
      </c>
    </row>
    <row r="198" spans="1:23" x14ac:dyDescent="0.3">
      <c r="A198" s="147"/>
      <c r="B198" s="205">
        <f t="shared" si="33"/>
        <v>14</v>
      </c>
      <c r="C198" s="206">
        <v>43880</v>
      </c>
      <c r="D198" s="161" t="s">
        <v>9</v>
      </c>
      <c r="E198" s="161" t="s">
        <v>2717</v>
      </c>
      <c r="F198" s="207">
        <v>130</v>
      </c>
      <c r="G198" s="207">
        <v>160</v>
      </c>
      <c r="H198" s="161">
        <v>30</v>
      </c>
      <c r="I198" s="207">
        <v>80</v>
      </c>
      <c r="J198" s="242">
        <f t="shared" si="30"/>
        <v>2400</v>
      </c>
      <c r="K198" s="153"/>
      <c r="V198" s="25">
        <f t="shared" si="31"/>
        <v>1</v>
      </c>
      <c r="W198" s="25">
        <f t="shared" si="32"/>
        <v>0</v>
      </c>
    </row>
    <row r="199" spans="1:23" x14ac:dyDescent="0.3">
      <c r="A199" s="147"/>
      <c r="B199" s="205">
        <f t="shared" si="33"/>
        <v>15</v>
      </c>
      <c r="C199" s="206">
        <v>43881</v>
      </c>
      <c r="D199" s="161" t="s">
        <v>9</v>
      </c>
      <c r="E199" s="161" t="s">
        <v>2768</v>
      </c>
      <c r="F199" s="207">
        <v>50</v>
      </c>
      <c r="G199" s="207">
        <v>65</v>
      </c>
      <c r="H199" s="161">
        <v>15</v>
      </c>
      <c r="I199" s="207">
        <v>80</v>
      </c>
      <c r="J199" s="242">
        <f t="shared" si="30"/>
        <v>1200</v>
      </c>
      <c r="K199" s="153"/>
      <c r="V199" s="25">
        <f t="shared" si="31"/>
        <v>1</v>
      </c>
      <c r="W199" s="25">
        <f t="shared" si="32"/>
        <v>0</v>
      </c>
    </row>
    <row r="200" spans="1:23" x14ac:dyDescent="0.3">
      <c r="A200" s="147"/>
      <c r="B200" s="205">
        <f t="shared" si="33"/>
        <v>16</v>
      </c>
      <c r="C200" s="206">
        <v>43885</v>
      </c>
      <c r="D200" s="161" t="s">
        <v>9</v>
      </c>
      <c r="E200" s="161" t="s">
        <v>2746</v>
      </c>
      <c r="F200" s="207">
        <v>250</v>
      </c>
      <c r="G200" s="207">
        <v>190</v>
      </c>
      <c r="H200" s="161">
        <v>-60</v>
      </c>
      <c r="I200" s="207">
        <v>80</v>
      </c>
      <c r="J200" s="242">
        <f t="shared" si="30"/>
        <v>-4800</v>
      </c>
      <c r="K200" s="153"/>
      <c r="V200" s="25">
        <f t="shared" si="31"/>
        <v>0</v>
      </c>
      <c r="W200" s="25">
        <f t="shared" si="32"/>
        <v>1</v>
      </c>
    </row>
    <row r="201" spans="1:23" x14ac:dyDescent="0.3">
      <c r="A201" s="147"/>
      <c r="B201" s="205">
        <f t="shared" si="33"/>
        <v>17</v>
      </c>
      <c r="C201" s="206">
        <v>43886</v>
      </c>
      <c r="D201" s="161" t="s">
        <v>9</v>
      </c>
      <c r="E201" s="161" t="s">
        <v>2689</v>
      </c>
      <c r="F201" s="207">
        <v>210</v>
      </c>
      <c r="G201" s="207">
        <v>150</v>
      </c>
      <c r="H201" s="161">
        <v>-60</v>
      </c>
      <c r="I201" s="207">
        <v>80</v>
      </c>
      <c r="J201" s="242">
        <f t="shared" si="30"/>
        <v>-4800</v>
      </c>
      <c r="K201" s="153"/>
      <c r="V201" s="25">
        <f t="shared" si="31"/>
        <v>0</v>
      </c>
      <c r="W201" s="25">
        <f t="shared" si="32"/>
        <v>1</v>
      </c>
    </row>
    <row r="202" spans="1:23" x14ac:dyDescent="0.3">
      <c r="A202" s="147"/>
      <c r="B202" s="205">
        <f t="shared" si="33"/>
        <v>18</v>
      </c>
      <c r="C202" s="206">
        <v>43887</v>
      </c>
      <c r="D202" s="161" t="s">
        <v>9</v>
      </c>
      <c r="E202" s="161" t="s">
        <v>2849</v>
      </c>
      <c r="F202" s="207">
        <v>190</v>
      </c>
      <c r="G202" s="207">
        <v>130</v>
      </c>
      <c r="H202" s="161">
        <v>-60</v>
      </c>
      <c r="I202" s="207">
        <v>80</v>
      </c>
      <c r="J202" s="242">
        <f t="shared" si="30"/>
        <v>-4800</v>
      </c>
      <c r="K202" s="153"/>
      <c r="V202" s="25">
        <f t="shared" si="31"/>
        <v>0</v>
      </c>
      <c r="W202" s="25">
        <f t="shared" si="32"/>
        <v>1</v>
      </c>
    </row>
    <row r="203" spans="1:23" x14ac:dyDescent="0.3">
      <c r="A203" s="147"/>
      <c r="B203" s="205">
        <f t="shared" si="33"/>
        <v>19</v>
      </c>
      <c r="C203" s="206">
        <v>43888</v>
      </c>
      <c r="D203" s="161" t="s">
        <v>9</v>
      </c>
      <c r="E203" s="161" t="s">
        <v>2946</v>
      </c>
      <c r="F203" s="207">
        <v>140</v>
      </c>
      <c r="G203" s="207">
        <v>170</v>
      </c>
      <c r="H203" s="161">
        <v>30</v>
      </c>
      <c r="I203" s="207">
        <v>80</v>
      </c>
      <c r="J203" s="242">
        <f t="shared" si="30"/>
        <v>2400</v>
      </c>
      <c r="K203" s="153"/>
      <c r="V203" s="25">
        <f t="shared" si="31"/>
        <v>1</v>
      </c>
      <c r="W203" s="25">
        <f t="shared" si="32"/>
        <v>0</v>
      </c>
    </row>
    <row r="204" spans="1:23" x14ac:dyDescent="0.3">
      <c r="A204" s="147"/>
      <c r="B204" s="205">
        <f t="shared" si="33"/>
        <v>20</v>
      </c>
      <c r="C204" s="206">
        <v>43889</v>
      </c>
      <c r="D204" s="161" t="s">
        <v>9</v>
      </c>
      <c r="E204" s="161" t="s">
        <v>2777</v>
      </c>
      <c r="F204" s="207">
        <v>400</v>
      </c>
      <c r="G204" s="207">
        <v>520</v>
      </c>
      <c r="H204" s="161">
        <v>120</v>
      </c>
      <c r="I204" s="207">
        <v>80</v>
      </c>
      <c r="J204" s="242">
        <f t="shared" si="30"/>
        <v>9600</v>
      </c>
      <c r="K204" s="153"/>
      <c r="V204" s="25">
        <f t="shared" si="31"/>
        <v>1</v>
      </c>
      <c r="W204" s="25">
        <f t="shared" si="32"/>
        <v>0</v>
      </c>
    </row>
    <row r="205" spans="1:23" x14ac:dyDescent="0.3">
      <c r="A205" s="147"/>
      <c r="B205" s="205">
        <f t="shared" si="33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0"/>
        <v>0</v>
      </c>
      <c r="K205" s="153"/>
      <c r="V205" s="25">
        <f t="shared" si="31"/>
        <v>0</v>
      </c>
      <c r="W205" s="25">
        <f t="shared" si="32"/>
        <v>0</v>
      </c>
    </row>
    <row r="206" spans="1:23" x14ac:dyDescent="0.3">
      <c r="A206" s="147"/>
      <c r="B206" s="205">
        <f t="shared" si="33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0"/>
        <v>0</v>
      </c>
      <c r="K206" s="153"/>
      <c r="V206" s="25">
        <f t="shared" si="31"/>
        <v>0</v>
      </c>
      <c r="W206" s="25">
        <f t="shared" si="32"/>
        <v>0</v>
      </c>
    </row>
    <row r="207" spans="1:23" ht="15" thickBot="1" x14ac:dyDescent="0.35">
      <c r="A207" s="147"/>
      <c r="B207" s="208">
        <f t="shared" si="33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0"/>
        <v>0</v>
      </c>
      <c r="K207" s="153"/>
      <c r="V207" s="25">
        <f t="shared" si="31"/>
        <v>0</v>
      </c>
      <c r="W207" s="25">
        <f t="shared" si="32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47520</v>
      </c>
      <c r="K208" s="153"/>
      <c r="V208" s="25">
        <f>SUM(V185:V207)</f>
        <v>15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2931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43862</v>
      </c>
      <c r="D216" s="185" t="s">
        <v>9</v>
      </c>
      <c r="E216" s="185" t="s">
        <v>2934</v>
      </c>
      <c r="F216" s="231">
        <v>50</v>
      </c>
      <c r="G216" s="231">
        <v>53</v>
      </c>
      <c r="H216" s="231">
        <v>30</v>
      </c>
      <c r="I216" s="219">
        <v>500</v>
      </c>
      <c r="J216" s="246">
        <f t="shared" ref="J216:J239" si="34">I216*H216</f>
        <v>15000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43864</v>
      </c>
      <c r="D217" s="161" t="s">
        <v>9</v>
      </c>
      <c r="E217" s="161" t="s">
        <v>2681</v>
      </c>
      <c r="F217" s="222">
        <v>39</v>
      </c>
      <c r="G217" s="222">
        <v>45</v>
      </c>
      <c r="H217" s="255">
        <v>6</v>
      </c>
      <c r="I217" s="207">
        <v>500</v>
      </c>
      <c r="J217" s="242">
        <f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5">B217+1</f>
        <v>3</v>
      </c>
      <c r="C218" s="206">
        <v>43865</v>
      </c>
      <c r="D218" s="161" t="s">
        <v>9</v>
      </c>
      <c r="E218" s="161" t="s">
        <v>2935</v>
      </c>
      <c r="F218" s="222">
        <v>19</v>
      </c>
      <c r="G218" s="222">
        <v>21</v>
      </c>
      <c r="H218" s="222">
        <v>3</v>
      </c>
      <c r="I218" s="207">
        <v>1200</v>
      </c>
      <c r="J218" s="242">
        <f t="shared" si="34"/>
        <v>3600</v>
      </c>
      <c r="K218" s="153"/>
      <c r="V218" s="25">
        <f t="shared" ref="V218:V239" si="36">IF($J218&gt;0,1,0)</f>
        <v>1</v>
      </c>
      <c r="W218" s="25">
        <f t="shared" ref="W218:W239" si="37">IF($J218&lt;0,1,0)</f>
        <v>0</v>
      </c>
    </row>
    <row r="219" spans="1:23" x14ac:dyDescent="0.3">
      <c r="A219" s="147"/>
      <c r="B219" s="205">
        <f t="shared" si="35"/>
        <v>4</v>
      </c>
      <c r="C219" s="206">
        <v>43866</v>
      </c>
      <c r="D219" s="161" t="s">
        <v>9</v>
      </c>
      <c r="E219" s="161" t="s">
        <v>2850</v>
      </c>
      <c r="F219" s="222">
        <v>34</v>
      </c>
      <c r="G219" s="222">
        <v>38</v>
      </c>
      <c r="H219" s="222">
        <v>4</v>
      </c>
      <c r="I219" s="207">
        <v>500</v>
      </c>
      <c r="J219" s="242">
        <f t="shared" si="34"/>
        <v>2000</v>
      </c>
      <c r="K219" s="153"/>
      <c r="V219" s="25">
        <f t="shared" si="36"/>
        <v>1</v>
      </c>
      <c r="W219" s="25">
        <f t="shared" si="37"/>
        <v>0</v>
      </c>
    </row>
    <row r="220" spans="1:23" x14ac:dyDescent="0.3">
      <c r="A220" s="147"/>
      <c r="B220" s="205">
        <f t="shared" si="35"/>
        <v>5</v>
      </c>
      <c r="C220" s="206">
        <v>43867</v>
      </c>
      <c r="D220" s="161" t="s">
        <v>9</v>
      </c>
      <c r="E220" s="161" t="s">
        <v>2936</v>
      </c>
      <c r="F220" s="222">
        <v>12.5</v>
      </c>
      <c r="G220" s="222">
        <v>10</v>
      </c>
      <c r="H220" s="222">
        <v>-2.5</v>
      </c>
      <c r="I220" s="207">
        <v>1375</v>
      </c>
      <c r="J220" s="242">
        <f t="shared" si="34"/>
        <v>-3437.5</v>
      </c>
      <c r="K220" s="153"/>
      <c r="V220" s="25">
        <f t="shared" si="36"/>
        <v>0</v>
      </c>
      <c r="W220" s="25">
        <f t="shared" si="37"/>
        <v>1</v>
      </c>
    </row>
    <row r="221" spans="1:23" x14ac:dyDescent="0.3">
      <c r="A221" s="147"/>
      <c r="B221" s="205">
        <f t="shared" si="35"/>
        <v>6</v>
      </c>
      <c r="C221" s="206">
        <v>43868</v>
      </c>
      <c r="D221" s="161" t="s">
        <v>9</v>
      </c>
      <c r="E221" s="161" t="s">
        <v>2937</v>
      </c>
      <c r="F221" s="222">
        <v>24</v>
      </c>
      <c r="G221" s="222">
        <v>18</v>
      </c>
      <c r="H221" s="222">
        <v>-6</v>
      </c>
      <c r="I221" s="207">
        <v>500</v>
      </c>
      <c r="J221" s="242">
        <f t="shared" si="34"/>
        <v>-3000</v>
      </c>
      <c r="K221" s="153"/>
      <c r="V221" s="25">
        <f t="shared" si="36"/>
        <v>0</v>
      </c>
      <c r="W221" s="25">
        <f t="shared" si="37"/>
        <v>1</v>
      </c>
    </row>
    <row r="222" spans="1:23" x14ac:dyDescent="0.3">
      <c r="A222" s="147"/>
      <c r="B222" s="205">
        <f t="shared" si="35"/>
        <v>7</v>
      </c>
      <c r="C222" s="206">
        <v>43871</v>
      </c>
      <c r="D222" s="161" t="s">
        <v>9</v>
      </c>
      <c r="E222" s="161" t="s">
        <v>2938</v>
      </c>
      <c r="F222" s="222">
        <v>29</v>
      </c>
      <c r="G222" s="222">
        <v>32</v>
      </c>
      <c r="H222" s="222">
        <v>3</v>
      </c>
      <c r="I222" s="207">
        <v>500</v>
      </c>
      <c r="J222" s="242">
        <f t="shared" si="34"/>
        <v>1500</v>
      </c>
      <c r="K222" s="153"/>
      <c r="V222" s="25">
        <f t="shared" si="36"/>
        <v>1</v>
      </c>
      <c r="W222" s="25">
        <f t="shared" si="37"/>
        <v>0</v>
      </c>
    </row>
    <row r="223" spans="1:23" x14ac:dyDescent="0.3">
      <c r="A223" s="147"/>
      <c r="B223" s="205">
        <f t="shared" si="35"/>
        <v>8</v>
      </c>
      <c r="C223" s="206">
        <v>43872</v>
      </c>
      <c r="D223" s="161" t="s">
        <v>9</v>
      </c>
      <c r="E223" s="161" t="s">
        <v>2939</v>
      </c>
      <c r="F223" s="222">
        <v>9.5</v>
      </c>
      <c r="G223" s="222">
        <v>10</v>
      </c>
      <c r="H223" s="222">
        <v>0.5</v>
      </c>
      <c r="I223" s="207">
        <v>3000</v>
      </c>
      <c r="J223" s="242">
        <f t="shared" si="34"/>
        <v>1500</v>
      </c>
      <c r="K223" s="153"/>
      <c r="V223" s="25">
        <f t="shared" si="36"/>
        <v>1</v>
      </c>
      <c r="W223" s="25">
        <f t="shared" si="37"/>
        <v>0</v>
      </c>
    </row>
    <row r="224" spans="1:23" x14ac:dyDescent="0.3">
      <c r="A224" s="147"/>
      <c r="B224" s="205">
        <f t="shared" si="35"/>
        <v>9</v>
      </c>
      <c r="C224" s="206">
        <v>43873</v>
      </c>
      <c r="D224" s="161" t="s">
        <v>9</v>
      </c>
      <c r="E224" s="161" t="s">
        <v>2848</v>
      </c>
      <c r="F224" s="222">
        <v>23</v>
      </c>
      <c r="G224" s="222">
        <v>25</v>
      </c>
      <c r="H224" s="255">
        <v>2</v>
      </c>
      <c r="I224" s="207">
        <v>500</v>
      </c>
      <c r="J224" s="242">
        <f t="shared" si="34"/>
        <v>1000</v>
      </c>
      <c r="K224" s="153"/>
      <c r="V224" s="25">
        <f t="shared" si="36"/>
        <v>1</v>
      </c>
      <c r="W224" s="25">
        <f t="shared" si="37"/>
        <v>0</v>
      </c>
    </row>
    <row r="225" spans="1:23" x14ac:dyDescent="0.3">
      <c r="A225" s="147"/>
      <c r="B225" s="205">
        <f t="shared" si="35"/>
        <v>10</v>
      </c>
      <c r="C225" s="206">
        <v>43874</v>
      </c>
      <c r="D225" s="161" t="s">
        <v>9</v>
      </c>
      <c r="E225" s="161" t="s">
        <v>2940</v>
      </c>
      <c r="F225" s="222">
        <v>38</v>
      </c>
      <c r="G225" s="222">
        <v>54</v>
      </c>
      <c r="H225" s="255">
        <v>16</v>
      </c>
      <c r="I225" s="207">
        <v>300</v>
      </c>
      <c r="J225" s="242">
        <f t="shared" si="34"/>
        <v>4800</v>
      </c>
      <c r="K225" s="153"/>
      <c r="V225" s="25">
        <f t="shared" si="36"/>
        <v>1</v>
      </c>
      <c r="W225" s="25">
        <f t="shared" si="37"/>
        <v>0</v>
      </c>
    </row>
    <row r="226" spans="1:23" x14ac:dyDescent="0.3">
      <c r="A226" s="147"/>
      <c r="B226" s="205">
        <f t="shared" si="35"/>
        <v>11</v>
      </c>
      <c r="C226" s="206">
        <v>43875</v>
      </c>
      <c r="D226" s="161" t="s">
        <v>9</v>
      </c>
      <c r="E226" s="161" t="s">
        <v>2941</v>
      </c>
      <c r="F226" s="222">
        <v>29</v>
      </c>
      <c r="G226" s="222">
        <v>38</v>
      </c>
      <c r="H226" s="255">
        <v>9</v>
      </c>
      <c r="I226" s="207">
        <v>500</v>
      </c>
      <c r="J226" s="242">
        <f t="shared" si="34"/>
        <v>4500</v>
      </c>
      <c r="K226" s="153"/>
      <c r="V226" s="25">
        <f t="shared" si="36"/>
        <v>1</v>
      </c>
      <c r="W226" s="25">
        <f t="shared" si="37"/>
        <v>0</v>
      </c>
    </row>
    <row r="227" spans="1:23" x14ac:dyDescent="0.3">
      <c r="A227" s="147"/>
      <c r="B227" s="205">
        <f t="shared" si="35"/>
        <v>12</v>
      </c>
      <c r="C227" s="206">
        <v>43878</v>
      </c>
      <c r="D227" s="161" t="s">
        <v>9</v>
      </c>
      <c r="E227" s="161" t="s">
        <v>2942</v>
      </c>
      <c r="F227" s="222">
        <v>30</v>
      </c>
      <c r="G227" s="222">
        <v>24</v>
      </c>
      <c r="H227" s="255">
        <v>-6</v>
      </c>
      <c r="I227" s="207">
        <v>250</v>
      </c>
      <c r="J227" s="242">
        <f t="shared" si="34"/>
        <v>-1500</v>
      </c>
      <c r="K227" s="153"/>
      <c r="V227" s="25">
        <f t="shared" si="36"/>
        <v>0</v>
      </c>
      <c r="W227" s="25">
        <f t="shared" si="37"/>
        <v>1</v>
      </c>
    </row>
    <row r="228" spans="1:23" x14ac:dyDescent="0.3">
      <c r="A228" s="147"/>
      <c r="B228" s="205">
        <f t="shared" si="35"/>
        <v>13</v>
      </c>
      <c r="C228" s="206">
        <v>43879</v>
      </c>
      <c r="D228" s="161" t="s">
        <v>9</v>
      </c>
      <c r="E228" s="161" t="s">
        <v>2943</v>
      </c>
      <c r="F228" s="222">
        <v>4.8</v>
      </c>
      <c r="G228" s="222">
        <v>6.2</v>
      </c>
      <c r="H228" s="255">
        <v>1.4</v>
      </c>
      <c r="I228" s="207">
        <v>2600</v>
      </c>
      <c r="J228" s="242">
        <f t="shared" si="34"/>
        <v>3639.9999999999995</v>
      </c>
      <c r="K228" s="153"/>
      <c r="V228" s="25">
        <f t="shared" si="36"/>
        <v>1</v>
      </c>
      <c r="W228" s="25">
        <f t="shared" si="37"/>
        <v>0</v>
      </c>
    </row>
    <row r="229" spans="1:23" x14ac:dyDescent="0.3">
      <c r="A229" s="147"/>
      <c r="B229" s="205">
        <f t="shared" si="35"/>
        <v>14</v>
      </c>
      <c r="C229" s="206">
        <v>43880</v>
      </c>
      <c r="D229" s="161" t="s">
        <v>9</v>
      </c>
      <c r="E229" s="161" t="s">
        <v>2943</v>
      </c>
      <c r="F229" s="222">
        <v>2.8</v>
      </c>
      <c r="G229" s="222">
        <v>3.8</v>
      </c>
      <c r="H229" s="255">
        <v>1</v>
      </c>
      <c r="I229" s="207">
        <v>2600</v>
      </c>
      <c r="J229" s="242">
        <f>I229*H229</f>
        <v>2600</v>
      </c>
      <c r="K229" s="153"/>
      <c r="V229" s="25">
        <f t="shared" si="36"/>
        <v>1</v>
      </c>
      <c r="W229" s="25">
        <f t="shared" si="37"/>
        <v>0</v>
      </c>
    </row>
    <row r="230" spans="1:23" x14ac:dyDescent="0.3">
      <c r="A230" s="147"/>
      <c r="B230" s="205">
        <f t="shared" si="35"/>
        <v>15</v>
      </c>
      <c r="C230" s="206">
        <v>43881</v>
      </c>
      <c r="D230" s="161" t="s">
        <v>9</v>
      </c>
      <c r="E230" s="161" t="s">
        <v>2928</v>
      </c>
      <c r="F230" s="222">
        <v>18</v>
      </c>
      <c r="G230" s="222">
        <v>24</v>
      </c>
      <c r="H230" s="255">
        <v>6</v>
      </c>
      <c r="I230" s="207">
        <v>500</v>
      </c>
      <c r="J230" s="242">
        <f t="shared" si="34"/>
        <v>3000</v>
      </c>
      <c r="K230" s="153"/>
      <c r="V230" s="25">
        <f t="shared" si="36"/>
        <v>1</v>
      </c>
      <c r="W230" s="25">
        <f t="shared" si="37"/>
        <v>0</v>
      </c>
    </row>
    <row r="231" spans="1:23" x14ac:dyDescent="0.3">
      <c r="A231" s="147"/>
      <c r="B231" s="205">
        <f t="shared" si="35"/>
        <v>16</v>
      </c>
      <c r="C231" s="206">
        <v>43885</v>
      </c>
      <c r="D231" s="161" t="s">
        <v>9</v>
      </c>
      <c r="E231" s="161" t="s">
        <v>2941</v>
      </c>
      <c r="F231" s="222">
        <v>22</v>
      </c>
      <c r="G231" s="222">
        <v>30.5</v>
      </c>
      <c r="H231" s="222">
        <v>8.5</v>
      </c>
      <c r="I231" s="207">
        <v>500</v>
      </c>
      <c r="J231" s="242">
        <f t="shared" si="34"/>
        <v>4250</v>
      </c>
      <c r="K231" s="153"/>
      <c r="V231" s="25">
        <f t="shared" si="36"/>
        <v>1</v>
      </c>
      <c r="W231" s="25">
        <f t="shared" si="37"/>
        <v>0</v>
      </c>
    </row>
    <row r="232" spans="1:23" x14ac:dyDescent="0.3">
      <c r="A232" s="147"/>
      <c r="B232" s="205">
        <f t="shared" si="35"/>
        <v>17</v>
      </c>
      <c r="C232" s="206">
        <v>43886</v>
      </c>
      <c r="D232" s="161" t="s">
        <v>9</v>
      </c>
      <c r="E232" s="161" t="s">
        <v>2848</v>
      </c>
      <c r="F232" s="222">
        <v>23</v>
      </c>
      <c r="G232" s="222">
        <v>35</v>
      </c>
      <c r="H232" s="222">
        <v>12</v>
      </c>
      <c r="I232" s="207">
        <v>500</v>
      </c>
      <c r="J232" s="242">
        <f t="shared" si="34"/>
        <v>6000</v>
      </c>
      <c r="K232" s="153"/>
      <c r="V232" s="25">
        <f t="shared" si="36"/>
        <v>1</v>
      </c>
      <c r="W232" s="25">
        <f t="shared" si="37"/>
        <v>0</v>
      </c>
    </row>
    <row r="233" spans="1:23" x14ac:dyDescent="0.3">
      <c r="A233" s="147"/>
      <c r="B233" s="205">
        <f t="shared" si="35"/>
        <v>18</v>
      </c>
      <c r="C233" s="206">
        <v>43887</v>
      </c>
      <c r="D233" s="161" t="s">
        <v>9</v>
      </c>
      <c r="E233" s="161" t="s">
        <v>2945</v>
      </c>
      <c r="F233" s="222">
        <v>10</v>
      </c>
      <c r="G233" s="222">
        <v>15</v>
      </c>
      <c r="H233" s="222">
        <v>5</v>
      </c>
      <c r="I233" s="207">
        <v>500</v>
      </c>
      <c r="J233" s="242">
        <f t="shared" si="34"/>
        <v>2500</v>
      </c>
      <c r="K233" s="153"/>
      <c r="V233" s="25">
        <f t="shared" si="36"/>
        <v>1</v>
      </c>
      <c r="W233" s="25">
        <f t="shared" si="37"/>
        <v>0</v>
      </c>
    </row>
    <row r="234" spans="1:23" x14ac:dyDescent="0.3">
      <c r="A234" s="147"/>
      <c r="B234" s="205">
        <f t="shared" si="35"/>
        <v>19</v>
      </c>
      <c r="C234" s="206">
        <v>43888</v>
      </c>
      <c r="D234" s="161" t="s">
        <v>9</v>
      </c>
      <c r="E234" s="161" t="s">
        <v>2947</v>
      </c>
      <c r="F234" s="222">
        <v>4.5</v>
      </c>
      <c r="G234" s="222">
        <v>6.5</v>
      </c>
      <c r="H234" s="222">
        <v>2</v>
      </c>
      <c r="I234" s="207">
        <v>1375</v>
      </c>
      <c r="J234" s="242">
        <f t="shared" si="34"/>
        <v>2750</v>
      </c>
      <c r="K234" s="153"/>
      <c r="V234" s="25">
        <f t="shared" si="36"/>
        <v>1</v>
      </c>
      <c r="W234" s="25">
        <f t="shared" si="37"/>
        <v>0</v>
      </c>
    </row>
    <row r="235" spans="1:23" x14ac:dyDescent="0.3">
      <c r="A235" s="147"/>
      <c r="B235" s="205">
        <f t="shared" si="35"/>
        <v>20</v>
      </c>
      <c r="C235" s="206">
        <v>43889</v>
      </c>
      <c r="D235" s="161" t="s">
        <v>9</v>
      </c>
      <c r="E235" s="161" t="s">
        <v>2657</v>
      </c>
      <c r="F235" s="222">
        <v>47</v>
      </c>
      <c r="G235" s="222">
        <v>60</v>
      </c>
      <c r="H235" s="222">
        <v>13</v>
      </c>
      <c r="I235" s="207">
        <v>500</v>
      </c>
      <c r="J235" s="242">
        <f t="shared" si="34"/>
        <v>6500</v>
      </c>
      <c r="K235" s="153"/>
      <c r="V235" s="25">
        <f t="shared" si="36"/>
        <v>1</v>
      </c>
      <c r="W235" s="25">
        <f t="shared" si="37"/>
        <v>0</v>
      </c>
    </row>
    <row r="236" spans="1:23" x14ac:dyDescent="0.3">
      <c r="A236" s="147"/>
      <c r="B236" s="205">
        <f t="shared" si="35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4"/>
        <v>0</v>
      </c>
      <c r="K236" s="153"/>
      <c r="V236" s="25">
        <f t="shared" si="36"/>
        <v>0</v>
      </c>
      <c r="W236" s="25">
        <f t="shared" si="37"/>
        <v>0</v>
      </c>
    </row>
    <row r="237" spans="1:23" x14ac:dyDescent="0.3">
      <c r="A237" s="147"/>
      <c r="B237" s="205">
        <f t="shared" si="35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4"/>
        <v>0</v>
      </c>
      <c r="K237" s="153"/>
      <c r="V237" s="25">
        <f t="shared" si="36"/>
        <v>0</v>
      </c>
      <c r="W237" s="25">
        <f t="shared" si="37"/>
        <v>0</v>
      </c>
    </row>
    <row r="238" spans="1:23" x14ac:dyDescent="0.3">
      <c r="A238" s="147"/>
      <c r="B238" s="205">
        <f t="shared" si="35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4"/>
        <v>0</v>
      </c>
      <c r="K238" s="153"/>
      <c r="V238" s="25">
        <f t="shared" si="36"/>
        <v>0</v>
      </c>
      <c r="W238" s="25">
        <f t="shared" si="37"/>
        <v>0</v>
      </c>
    </row>
    <row r="239" spans="1:23" ht="15" thickBot="1" x14ac:dyDescent="0.35">
      <c r="A239" s="147"/>
      <c r="B239" s="208">
        <f t="shared" si="35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4"/>
        <v>0</v>
      </c>
      <c r="K239" s="153"/>
      <c r="V239" s="25">
        <f t="shared" si="36"/>
        <v>0</v>
      </c>
      <c r="W239" s="25">
        <f t="shared" si="37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60202.5</v>
      </c>
      <c r="K240" s="153"/>
      <c r="V240" s="25">
        <f>SUM(V216:V239)</f>
        <v>17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200-000000000000}"/>
    <hyperlink ref="B84" r:id="rId2" xr:uid="{00000000-0004-0000-5200-000001000000}"/>
    <hyperlink ref="B115" r:id="rId3" xr:uid="{00000000-0004-0000-5200-000002000000}"/>
    <hyperlink ref="B146" r:id="rId4" xr:uid="{00000000-0004-0000-5200-000003000000}"/>
    <hyperlink ref="B177" r:id="rId5" xr:uid="{00000000-0004-0000-5200-000004000000}"/>
    <hyperlink ref="B208" r:id="rId6" xr:uid="{00000000-0004-0000-5200-000005000000}"/>
    <hyperlink ref="B240" r:id="rId7" xr:uid="{00000000-0004-0000-5200-000006000000}"/>
    <hyperlink ref="M1" location="'MASTER '!A1" display="Back" xr:uid="{00000000-0004-0000-5200-000007000000}"/>
    <hyperlink ref="M8:M9" location="'FEB 2020'!A108" display="NIFTY FUTURE" xr:uid="{00000000-0004-0000-5200-000008000000}"/>
    <hyperlink ref="M10:M11" location="'FEB 2020'!A139" display="NF. OPTION" xr:uid="{00000000-0004-0000-5200-000009000000}"/>
    <hyperlink ref="M12:M13" location="'FEB 2020'!A170" display="BANK NIFTY" xr:uid="{00000000-0004-0000-5200-00000A000000}"/>
    <hyperlink ref="M14:M15" location="'FEB 2020'!A201" display="B.NIFTY OPTION" xr:uid="{00000000-0004-0000-5200-00000B000000}"/>
    <hyperlink ref="M16:M17" location="'FEB 2020'!A232" display="STOCK OPTION" xr:uid="{00000000-0004-0000-5200-00000C000000}"/>
    <hyperlink ref="M6:M7" location="'FEB 2020'!A77" display="STOCK FUTURE" xr:uid="{00000000-0004-0000-5200-00000D000000}"/>
    <hyperlink ref="M4:M5" location="'FEB 2020'!A1" display="CASH" xr:uid="{00000000-0004-0000-5200-00000E000000}"/>
  </hyperlinks>
  <pageMargins left="0" right="0" top="0" bottom="0" header="0" footer="0"/>
  <pageSetup scale="95" orientation="portrait" r:id="rId8"/>
  <drawing r:id="rId9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W241"/>
  <sheetViews>
    <sheetView topLeftCell="A34" workbookViewId="0">
      <selection activeCell="O53" sqref="O53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2948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31</v>
      </c>
      <c r="P4" s="386">
        <f>W52</f>
        <v>7</v>
      </c>
      <c r="Q4" s="387">
        <f>N4-O4-P4</f>
        <v>0</v>
      </c>
      <c r="R4" s="380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43892</v>
      </c>
      <c r="D6" s="158" t="s">
        <v>9</v>
      </c>
      <c r="E6" s="158" t="s">
        <v>95</v>
      </c>
      <c r="F6" s="230">
        <v>516</v>
      </c>
      <c r="G6" s="222">
        <v>517.70000000000005</v>
      </c>
      <c r="H6" s="222">
        <v>1.7</v>
      </c>
      <c r="I6" s="204">
        <f>300000/F6</f>
        <v>581.39534883720933</v>
      </c>
      <c r="J6" s="241">
        <f>H6*I6</f>
        <v>988.37209302325584</v>
      </c>
      <c r="K6" s="153"/>
      <c r="M6" s="394" t="s">
        <v>450</v>
      </c>
      <c r="N6" s="344">
        <f>COUNT(C60:C83)</f>
        <v>19</v>
      </c>
      <c r="O6" s="346">
        <f>V84</f>
        <v>13</v>
      </c>
      <c r="P6" s="346">
        <f>W84</f>
        <v>6</v>
      </c>
      <c r="Q6" s="374">
        <f>N6-O6-P6</f>
        <v>0</v>
      </c>
      <c r="R6" s="376">
        <f t="shared" ref="R6" si="0">O6/N6</f>
        <v>0.68421052631578949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43892</v>
      </c>
      <c r="D7" s="161" t="s">
        <v>8</v>
      </c>
      <c r="E7" s="161" t="s">
        <v>107</v>
      </c>
      <c r="F7" s="222">
        <v>2870</v>
      </c>
      <c r="G7" s="231">
        <v>2830</v>
      </c>
      <c r="H7" s="255">
        <v>40</v>
      </c>
      <c r="I7" s="207">
        <f t="shared" ref="I7" si="1">300000/F7</f>
        <v>104.52961672473867</v>
      </c>
      <c r="J7" s="242">
        <f>H7*I7</f>
        <v>4181.1846689895465</v>
      </c>
      <c r="K7" s="153"/>
      <c r="M7" s="396"/>
      <c r="N7" s="385"/>
      <c r="O7" s="382"/>
      <c r="P7" s="382"/>
      <c r="Q7" s="383"/>
      <c r="R7" s="384"/>
      <c r="V7" s="25">
        <f t="shared" ref="V7:V51" si="2">IF($J7&gt;0,1,0)</f>
        <v>1</v>
      </c>
      <c r="W7" s="25">
        <f t="shared" ref="W7:W51" si="3">IF($J7&lt;0,1,0)</f>
        <v>0</v>
      </c>
    </row>
    <row r="8" spans="1:23" x14ac:dyDescent="0.3">
      <c r="A8" s="147"/>
      <c r="B8" s="205">
        <f t="shared" ref="B8:B51" si="4">B7+1</f>
        <v>3</v>
      </c>
      <c r="C8" s="206">
        <v>43893</v>
      </c>
      <c r="D8" s="161" t="s">
        <v>9</v>
      </c>
      <c r="E8" s="161" t="s">
        <v>95</v>
      </c>
      <c r="F8" s="222">
        <v>518</v>
      </c>
      <c r="G8" s="222">
        <v>514</v>
      </c>
      <c r="H8" s="222">
        <v>-4</v>
      </c>
      <c r="I8" s="207">
        <f t="shared" ref="I8:I37" si="5">300000/F8</f>
        <v>579.15057915057912</v>
      </c>
      <c r="J8" s="242">
        <f t="shared" ref="J8:J37" si="6">H8*I8</f>
        <v>-2316.6023166023165</v>
      </c>
      <c r="K8" s="153"/>
      <c r="M8" s="394" t="s">
        <v>451</v>
      </c>
      <c r="N8" s="344">
        <f>COUNT(C92:C114)</f>
        <v>17</v>
      </c>
      <c r="O8" s="346">
        <f>V115</f>
        <v>15</v>
      </c>
      <c r="P8" s="346">
        <f>W115</f>
        <v>2</v>
      </c>
      <c r="Q8" s="374">
        <f>N8-O8-P8</f>
        <v>0</v>
      </c>
      <c r="R8" s="376">
        <f t="shared" ref="R8" si="7">O8/N8</f>
        <v>0.88235294117647056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4"/>
        <v>4</v>
      </c>
      <c r="C9" s="206">
        <v>43893</v>
      </c>
      <c r="D9" s="161" t="s">
        <v>8</v>
      </c>
      <c r="E9" s="161" t="s">
        <v>31</v>
      </c>
      <c r="F9" s="222">
        <v>1342</v>
      </c>
      <c r="G9" s="222">
        <v>1322</v>
      </c>
      <c r="H9" s="222">
        <v>20</v>
      </c>
      <c r="I9" s="207">
        <f t="shared" si="5"/>
        <v>223.54694485842026</v>
      </c>
      <c r="J9" s="242">
        <f t="shared" si="6"/>
        <v>4470.9388971684057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4"/>
        <v>5</v>
      </c>
      <c r="C10" s="206">
        <v>43894</v>
      </c>
      <c r="D10" s="161" t="s">
        <v>9</v>
      </c>
      <c r="E10" s="161" t="s">
        <v>122</v>
      </c>
      <c r="F10" s="222">
        <v>1625</v>
      </c>
      <c r="G10" s="222">
        <v>1610</v>
      </c>
      <c r="H10" s="222">
        <v>-15</v>
      </c>
      <c r="I10" s="207">
        <f t="shared" si="5"/>
        <v>184.61538461538461</v>
      </c>
      <c r="J10" s="242">
        <f t="shared" si="6"/>
        <v>-2769.2307692307691</v>
      </c>
      <c r="K10" s="153"/>
      <c r="M10" s="394" t="s">
        <v>1176</v>
      </c>
      <c r="N10" s="344">
        <f>COUNT(C123:C145)</f>
        <v>18</v>
      </c>
      <c r="O10" s="346">
        <f>V146</f>
        <v>13</v>
      </c>
      <c r="P10" s="346">
        <f>W146</f>
        <v>5</v>
      </c>
      <c r="Q10" s="374">
        <f>N10-O10-P10</f>
        <v>0</v>
      </c>
      <c r="R10" s="376">
        <f t="shared" ref="R10:R16" si="8">O10/N10</f>
        <v>0.72222222222222221</v>
      </c>
      <c r="V10" s="25">
        <f t="shared" si="2"/>
        <v>0</v>
      </c>
      <c r="W10" s="25">
        <f t="shared" si="3"/>
        <v>1</v>
      </c>
    </row>
    <row r="11" spans="1:23" x14ac:dyDescent="0.3">
      <c r="A11" s="147"/>
      <c r="B11" s="205">
        <f t="shared" si="4"/>
        <v>6</v>
      </c>
      <c r="C11" s="206">
        <v>43894</v>
      </c>
      <c r="D11" s="161" t="s">
        <v>8</v>
      </c>
      <c r="E11" s="161" t="s">
        <v>502</v>
      </c>
      <c r="F11" s="222">
        <v>1200</v>
      </c>
      <c r="G11" s="222">
        <v>1170</v>
      </c>
      <c r="H11" s="255">
        <v>30</v>
      </c>
      <c r="I11" s="207">
        <f t="shared" si="5"/>
        <v>250</v>
      </c>
      <c r="J11" s="242">
        <f t="shared" si="6"/>
        <v>7500</v>
      </c>
      <c r="K11" s="153"/>
      <c r="M11" s="396"/>
      <c r="N11" s="385"/>
      <c r="O11" s="382"/>
      <c r="P11" s="382"/>
      <c r="Q11" s="383"/>
      <c r="R11" s="384"/>
      <c r="V11" s="25">
        <f t="shared" si="2"/>
        <v>1</v>
      </c>
      <c r="W11" s="25">
        <f t="shared" si="3"/>
        <v>0</v>
      </c>
    </row>
    <row r="12" spans="1:23" x14ac:dyDescent="0.3">
      <c r="A12" s="147"/>
      <c r="B12" s="205">
        <f t="shared" si="4"/>
        <v>7</v>
      </c>
      <c r="C12" s="206">
        <v>43895</v>
      </c>
      <c r="D12" s="161" t="s">
        <v>9</v>
      </c>
      <c r="E12" s="161" t="s">
        <v>52</v>
      </c>
      <c r="F12" s="222">
        <v>1170</v>
      </c>
      <c r="G12" s="222">
        <v>1181</v>
      </c>
      <c r="H12" s="222">
        <v>11</v>
      </c>
      <c r="I12" s="207">
        <f t="shared" si="5"/>
        <v>256.41025641025641</v>
      </c>
      <c r="J12" s="242">
        <f t="shared" si="6"/>
        <v>2820.5128205128203</v>
      </c>
      <c r="K12" s="153"/>
      <c r="M12" s="394" t="s">
        <v>41</v>
      </c>
      <c r="N12" s="344">
        <f>COUNT(C154:C176)</f>
        <v>19</v>
      </c>
      <c r="O12" s="346">
        <f>V177</f>
        <v>15</v>
      </c>
      <c r="P12" s="346">
        <f>W177</f>
        <v>4</v>
      </c>
      <c r="Q12" s="374">
        <f t="shared" ref="Q12" si="9">N12-O12-P12</f>
        <v>0</v>
      </c>
      <c r="R12" s="376">
        <f t="shared" si="8"/>
        <v>0.78947368421052633</v>
      </c>
      <c r="V12" s="25">
        <f t="shared" si="2"/>
        <v>1</v>
      </c>
      <c r="W12" s="25">
        <f t="shared" si="3"/>
        <v>0</v>
      </c>
    </row>
    <row r="13" spans="1:23" x14ac:dyDescent="0.3">
      <c r="A13" s="147"/>
      <c r="B13" s="205">
        <f t="shared" si="4"/>
        <v>8</v>
      </c>
      <c r="C13" s="206">
        <v>43895</v>
      </c>
      <c r="D13" s="161" t="s">
        <v>8</v>
      </c>
      <c r="E13" s="161" t="s">
        <v>31</v>
      </c>
      <c r="F13" s="222">
        <v>1335</v>
      </c>
      <c r="G13" s="222">
        <v>1315</v>
      </c>
      <c r="H13" s="255">
        <v>20</v>
      </c>
      <c r="I13" s="207">
        <f t="shared" si="5"/>
        <v>224.71910112359549</v>
      </c>
      <c r="J13" s="242">
        <f t="shared" si="6"/>
        <v>4494.3820224719102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2"/>
        <v>1</v>
      </c>
      <c r="W13" s="25">
        <f t="shared" si="3"/>
        <v>0</v>
      </c>
    </row>
    <row r="14" spans="1:23" x14ac:dyDescent="0.3">
      <c r="A14" s="147"/>
      <c r="B14" s="205">
        <f t="shared" si="4"/>
        <v>9</v>
      </c>
      <c r="C14" s="206">
        <v>43896</v>
      </c>
      <c r="D14" s="161" t="s">
        <v>8</v>
      </c>
      <c r="E14" s="161" t="s">
        <v>31</v>
      </c>
      <c r="F14" s="222">
        <v>1280</v>
      </c>
      <c r="G14" s="222">
        <v>1266</v>
      </c>
      <c r="H14" s="222">
        <v>14</v>
      </c>
      <c r="I14" s="207">
        <f t="shared" si="5"/>
        <v>234.375</v>
      </c>
      <c r="J14" s="242">
        <f t="shared" si="6"/>
        <v>3281.25</v>
      </c>
      <c r="K14" s="153"/>
      <c r="M14" s="394" t="s">
        <v>1175</v>
      </c>
      <c r="N14" s="344">
        <f>COUNT(C185:C207)</f>
        <v>18</v>
      </c>
      <c r="O14" s="346">
        <f>V208</f>
        <v>15</v>
      </c>
      <c r="P14" s="346">
        <f>W208</f>
        <v>3</v>
      </c>
      <c r="Q14" s="374">
        <f t="shared" ref="Q14" si="10">N14-O14-P14</f>
        <v>0</v>
      </c>
      <c r="R14" s="376">
        <f t="shared" si="8"/>
        <v>0.83333333333333337</v>
      </c>
      <c r="V14" s="25">
        <f t="shared" si="2"/>
        <v>1</v>
      </c>
      <c r="W14" s="25">
        <f t="shared" si="3"/>
        <v>0</v>
      </c>
    </row>
    <row r="15" spans="1:23" x14ac:dyDescent="0.3">
      <c r="A15" s="147"/>
      <c r="B15" s="205">
        <f t="shared" si="4"/>
        <v>10</v>
      </c>
      <c r="C15" s="206">
        <v>43899</v>
      </c>
      <c r="D15" s="161" t="s">
        <v>9</v>
      </c>
      <c r="E15" s="161" t="s">
        <v>192</v>
      </c>
      <c r="F15" s="222">
        <v>125</v>
      </c>
      <c r="G15" s="222">
        <v>127.8</v>
      </c>
      <c r="H15" s="222">
        <v>2.8</v>
      </c>
      <c r="I15" s="207">
        <f t="shared" si="5"/>
        <v>2400</v>
      </c>
      <c r="J15" s="242">
        <f t="shared" si="6"/>
        <v>6720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4"/>
        <v>11</v>
      </c>
      <c r="C16" s="206">
        <v>43899</v>
      </c>
      <c r="D16" s="161" t="s">
        <v>8</v>
      </c>
      <c r="E16" s="161" t="s">
        <v>95</v>
      </c>
      <c r="F16" s="222">
        <v>462</v>
      </c>
      <c r="G16" s="222">
        <v>454</v>
      </c>
      <c r="H16" s="222">
        <v>8</v>
      </c>
      <c r="I16" s="207">
        <f t="shared" si="5"/>
        <v>649.35064935064941</v>
      </c>
      <c r="J16" s="242">
        <f t="shared" si="6"/>
        <v>5194.8051948051952</v>
      </c>
      <c r="K16" s="153"/>
      <c r="L16" s="25" t="s">
        <v>2008</v>
      </c>
      <c r="M16" s="394" t="s">
        <v>1090</v>
      </c>
      <c r="N16" s="344">
        <f>COUNT(C216:C239)</f>
        <v>19</v>
      </c>
      <c r="O16" s="346">
        <f>V240</f>
        <v>16</v>
      </c>
      <c r="P16" s="346">
        <f>W240</f>
        <v>3</v>
      </c>
      <c r="Q16" s="374">
        <f t="shared" ref="Q16" si="11">N16-O16-P16</f>
        <v>0</v>
      </c>
      <c r="R16" s="376">
        <f t="shared" si="8"/>
        <v>0.84210526315789469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4"/>
        <v>12</v>
      </c>
      <c r="C17" s="206">
        <v>43901</v>
      </c>
      <c r="D17" s="161" t="s">
        <v>9</v>
      </c>
      <c r="E17" s="161" t="s">
        <v>2107</v>
      </c>
      <c r="F17" s="222">
        <v>1225</v>
      </c>
      <c r="G17" s="222">
        <v>1244</v>
      </c>
      <c r="H17" s="222">
        <v>19</v>
      </c>
      <c r="I17" s="207">
        <f t="shared" si="5"/>
        <v>244.89795918367346</v>
      </c>
      <c r="J17" s="242">
        <f t="shared" si="6"/>
        <v>4653.0612244897957</v>
      </c>
      <c r="K17" s="153"/>
      <c r="M17" s="395"/>
      <c r="N17" s="381"/>
      <c r="O17" s="373"/>
      <c r="P17" s="373"/>
      <c r="Q17" s="375"/>
      <c r="R17" s="377"/>
      <c r="V17" s="25">
        <f t="shared" si="2"/>
        <v>1</v>
      </c>
      <c r="W17" s="25">
        <f t="shared" si="3"/>
        <v>0</v>
      </c>
    </row>
    <row r="18" spans="1:23" x14ac:dyDescent="0.3">
      <c r="A18" s="147"/>
      <c r="B18" s="205">
        <f t="shared" si="4"/>
        <v>13</v>
      </c>
      <c r="C18" s="206">
        <v>43901</v>
      </c>
      <c r="D18" s="161" t="s">
        <v>8</v>
      </c>
      <c r="E18" s="161" t="s">
        <v>192</v>
      </c>
      <c r="F18" s="222">
        <v>121</v>
      </c>
      <c r="G18" s="222">
        <v>117</v>
      </c>
      <c r="H18" s="222">
        <v>4</v>
      </c>
      <c r="I18" s="207">
        <f t="shared" si="5"/>
        <v>2479.3388429752067</v>
      </c>
      <c r="J18" s="242">
        <f t="shared" si="6"/>
        <v>9917.3553719008269</v>
      </c>
      <c r="K18" s="153"/>
      <c r="M18" s="392" t="s">
        <v>946</v>
      </c>
      <c r="N18" s="378">
        <f>SUM(N4:N17)</f>
        <v>148</v>
      </c>
      <c r="O18" s="378">
        <f t="shared" ref="O18:Q18" si="12">SUM(O4:O17)</f>
        <v>118</v>
      </c>
      <c r="P18" s="378">
        <f t="shared" si="12"/>
        <v>30</v>
      </c>
      <c r="Q18" s="378">
        <f t="shared" si="12"/>
        <v>0</v>
      </c>
      <c r="R18" s="380">
        <f t="shared" ref="R18" si="13">O18/N18</f>
        <v>0.79729729729729726</v>
      </c>
      <c r="V18" s="25">
        <f t="shared" si="2"/>
        <v>1</v>
      </c>
      <c r="W18" s="25">
        <f t="shared" si="3"/>
        <v>0</v>
      </c>
    </row>
    <row r="19" spans="1:23" ht="15" thickBot="1" x14ac:dyDescent="0.35">
      <c r="A19" s="147"/>
      <c r="B19" s="205">
        <f t="shared" si="4"/>
        <v>14</v>
      </c>
      <c r="C19" s="206">
        <v>43902</v>
      </c>
      <c r="D19" s="161" t="s">
        <v>9</v>
      </c>
      <c r="E19" s="161" t="s">
        <v>552</v>
      </c>
      <c r="F19" s="222">
        <v>825</v>
      </c>
      <c r="G19" s="222">
        <v>829</v>
      </c>
      <c r="H19" s="222">
        <v>4</v>
      </c>
      <c r="I19" s="207">
        <f t="shared" si="5"/>
        <v>363.63636363636363</v>
      </c>
      <c r="J19" s="242">
        <f t="shared" si="6"/>
        <v>1454.5454545454545</v>
      </c>
      <c r="K19" s="153"/>
      <c r="M19" s="393"/>
      <c r="N19" s="379"/>
      <c r="O19" s="379"/>
      <c r="P19" s="379"/>
      <c r="Q19" s="379"/>
      <c r="R19" s="377"/>
      <c r="V19" s="25">
        <f t="shared" si="2"/>
        <v>1</v>
      </c>
      <c r="W19" s="25">
        <f t="shared" si="3"/>
        <v>0</v>
      </c>
    </row>
    <row r="20" spans="1:23" ht="15" customHeight="1" x14ac:dyDescent="0.3">
      <c r="A20" s="147"/>
      <c r="B20" s="205">
        <f t="shared" si="4"/>
        <v>15</v>
      </c>
      <c r="C20" s="206">
        <v>43902</v>
      </c>
      <c r="D20" s="161" t="s">
        <v>8</v>
      </c>
      <c r="E20" s="161" t="s">
        <v>31</v>
      </c>
      <c r="F20" s="222">
        <v>1087</v>
      </c>
      <c r="G20" s="222">
        <v>1067</v>
      </c>
      <c r="H20" s="222">
        <v>20</v>
      </c>
      <c r="I20" s="207">
        <f t="shared" si="5"/>
        <v>275.98896044158232</v>
      </c>
      <c r="J20" s="242">
        <f t="shared" si="6"/>
        <v>5519.7792088316464</v>
      </c>
      <c r="K20" s="153"/>
      <c r="M20" s="316" t="s">
        <v>2253</v>
      </c>
      <c r="N20" s="317"/>
      <c r="O20" s="318"/>
      <c r="P20" s="325">
        <f>R18</f>
        <v>0.79729729729729726</v>
      </c>
      <c r="Q20" s="326"/>
      <c r="R20" s="327"/>
      <c r="V20" s="25">
        <f t="shared" si="2"/>
        <v>1</v>
      </c>
      <c r="W20" s="25">
        <f t="shared" si="3"/>
        <v>0</v>
      </c>
    </row>
    <row r="21" spans="1:23" ht="15" customHeight="1" x14ac:dyDescent="0.3">
      <c r="A21" s="147"/>
      <c r="B21" s="205">
        <f t="shared" si="4"/>
        <v>16</v>
      </c>
      <c r="C21" s="206">
        <v>43906</v>
      </c>
      <c r="D21" s="161" t="s">
        <v>9</v>
      </c>
      <c r="E21" s="161" t="s">
        <v>395</v>
      </c>
      <c r="F21" s="222">
        <v>2835</v>
      </c>
      <c r="G21" s="222">
        <v>2875</v>
      </c>
      <c r="H21" s="222">
        <v>40</v>
      </c>
      <c r="I21" s="207">
        <f t="shared" si="5"/>
        <v>105.82010582010582</v>
      </c>
      <c r="J21" s="242">
        <f t="shared" si="6"/>
        <v>4232.8042328042329</v>
      </c>
      <c r="K21" s="153"/>
      <c r="M21" s="319"/>
      <c r="N21" s="320"/>
      <c r="O21" s="321"/>
      <c r="P21" s="328"/>
      <c r="Q21" s="329"/>
      <c r="R21" s="330"/>
      <c r="V21" s="25">
        <f t="shared" si="2"/>
        <v>1</v>
      </c>
      <c r="W21" s="25">
        <f t="shared" si="3"/>
        <v>0</v>
      </c>
    </row>
    <row r="22" spans="1:23" ht="15" customHeight="1" thickBot="1" x14ac:dyDescent="0.35">
      <c r="A22" s="147"/>
      <c r="B22" s="205">
        <f t="shared" si="4"/>
        <v>17</v>
      </c>
      <c r="C22" s="206">
        <v>43906</v>
      </c>
      <c r="D22" s="161" t="s">
        <v>8</v>
      </c>
      <c r="E22" s="161" t="s">
        <v>31</v>
      </c>
      <c r="F22" s="222">
        <v>1060</v>
      </c>
      <c r="G22" s="222">
        <v>1054</v>
      </c>
      <c r="H22" s="222">
        <v>6</v>
      </c>
      <c r="I22" s="207">
        <f t="shared" si="5"/>
        <v>283.01886792452831</v>
      </c>
      <c r="J22" s="242">
        <f t="shared" si="6"/>
        <v>1698.1132075471698</v>
      </c>
      <c r="K22" s="153"/>
      <c r="M22" s="322"/>
      <c r="N22" s="323"/>
      <c r="O22" s="324"/>
      <c r="P22" s="331"/>
      <c r="Q22" s="332"/>
      <c r="R22" s="333"/>
      <c r="V22" s="25">
        <f t="shared" si="2"/>
        <v>1</v>
      </c>
      <c r="W22" s="25">
        <f t="shared" si="3"/>
        <v>0</v>
      </c>
    </row>
    <row r="23" spans="1:23" ht="15" customHeight="1" x14ac:dyDescent="0.3">
      <c r="A23" s="147"/>
      <c r="B23" s="205">
        <f t="shared" si="4"/>
        <v>18</v>
      </c>
      <c r="C23" s="206">
        <v>43907</v>
      </c>
      <c r="D23" s="161" t="s">
        <v>9</v>
      </c>
      <c r="E23" s="161" t="s">
        <v>552</v>
      </c>
      <c r="F23" s="222">
        <v>690</v>
      </c>
      <c r="G23" s="222">
        <v>697</v>
      </c>
      <c r="H23" s="222">
        <v>7</v>
      </c>
      <c r="I23" s="207">
        <f t="shared" si="5"/>
        <v>434.78260869565219</v>
      </c>
      <c r="J23" s="242">
        <f t="shared" si="6"/>
        <v>3043.4782608695655</v>
      </c>
      <c r="K23" s="153"/>
      <c r="V23" s="25">
        <f t="shared" si="2"/>
        <v>1</v>
      </c>
      <c r="W23" s="25">
        <f t="shared" si="3"/>
        <v>0</v>
      </c>
    </row>
    <row r="24" spans="1:23" ht="15.75" customHeight="1" x14ac:dyDescent="0.3">
      <c r="A24" s="147"/>
      <c r="B24" s="205">
        <f t="shared" si="4"/>
        <v>19</v>
      </c>
      <c r="C24" s="206">
        <v>43907</v>
      </c>
      <c r="D24" s="161" t="s">
        <v>8</v>
      </c>
      <c r="E24" s="161" t="s">
        <v>31</v>
      </c>
      <c r="F24" s="222">
        <v>1045</v>
      </c>
      <c r="G24" s="222">
        <v>1028</v>
      </c>
      <c r="H24" s="222">
        <v>27</v>
      </c>
      <c r="I24" s="207">
        <f t="shared" si="5"/>
        <v>287.08133971291863</v>
      </c>
      <c r="J24" s="242">
        <f t="shared" si="6"/>
        <v>7751.1961722488031</v>
      </c>
      <c r="K24" s="153"/>
      <c r="V24" s="25">
        <f t="shared" si="2"/>
        <v>1</v>
      </c>
      <c r="W24" s="25">
        <f t="shared" si="3"/>
        <v>0</v>
      </c>
    </row>
    <row r="25" spans="1:23" x14ac:dyDescent="0.3">
      <c r="A25" s="147"/>
      <c r="B25" s="205">
        <f t="shared" si="4"/>
        <v>20</v>
      </c>
      <c r="C25" s="206">
        <v>43908</v>
      </c>
      <c r="D25" s="161" t="s">
        <v>9</v>
      </c>
      <c r="E25" s="161" t="s">
        <v>95</v>
      </c>
      <c r="F25" s="222">
        <v>360</v>
      </c>
      <c r="G25" s="222">
        <v>361.8</v>
      </c>
      <c r="H25" s="222">
        <v>1.8</v>
      </c>
      <c r="I25" s="207">
        <f t="shared" si="5"/>
        <v>833.33333333333337</v>
      </c>
      <c r="J25" s="242">
        <f t="shared" si="6"/>
        <v>1500</v>
      </c>
      <c r="K25" s="153"/>
      <c r="V25" s="25">
        <f t="shared" si="2"/>
        <v>1</v>
      </c>
      <c r="W25" s="25">
        <f t="shared" si="3"/>
        <v>0</v>
      </c>
    </row>
    <row r="26" spans="1:23" x14ac:dyDescent="0.3">
      <c r="A26" s="147"/>
      <c r="B26" s="205">
        <f t="shared" si="4"/>
        <v>21</v>
      </c>
      <c r="C26" s="206">
        <v>43908</v>
      </c>
      <c r="D26" s="161" t="s">
        <v>8</v>
      </c>
      <c r="E26" s="161" t="s">
        <v>552</v>
      </c>
      <c r="F26" s="222">
        <v>590</v>
      </c>
      <c r="G26" s="222">
        <v>570</v>
      </c>
      <c r="H26" s="222">
        <v>20</v>
      </c>
      <c r="I26" s="207">
        <f t="shared" si="5"/>
        <v>508.47457627118644</v>
      </c>
      <c r="J26" s="242">
        <f t="shared" si="6"/>
        <v>10169.491525423729</v>
      </c>
      <c r="K26" s="153"/>
      <c r="V26" s="25">
        <f t="shared" si="2"/>
        <v>1</v>
      </c>
      <c r="W26" s="25">
        <f t="shared" si="3"/>
        <v>0</v>
      </c>
    </row>
    <row r="27" spans="1:23" x14ac:dyDescent="0.3">
      <c r="A27" s="147"/>
      <c r="B27" s="205">
        <f t="shared" si="4"/>
        <v>22</v>
      </c>
      <c r="C27" s="206">
        <v>43909</v>
      </c>
      <c r="D27" s="161" t="s">
        <v>9</v>
      </c>
      <c r="E27" s="161" t="s">
        <v>192</v>
      </c>
      <c r="F27" s="222">
        <v>96</v>
      </c>
      <c r="G27" s="222">
        <v>102</v>
      </c>
      <c r="H27" s="222">
        <v>6</v>
      </c>
      <c r="I27" s="207">
        <f t="shared" si="5"/>
        <v>3125</v>
      </c>
      <c r="J27" s="242">
        <f t="shared" si="6"/>
        <v>18750</v>
      </c>
      <c r="K27" s="153"/>
      <c r="V27" s="25">
        <f t="shared" si="2"/>
        <v>1</v>
      </c>
      <c r="W27" s="25">
        <f t="shared" si="3"/>
        <v>0</v>
      </c>
    </row>
    <row r="28" spans="1:23" x14ac:dyDescent="0.3">
      <c r="A28" s="147"/>
      <c r="B28" s="205">
        <f t="shared" si="4"/>
        <v>23</v>
      </c>
      <c r="C28" s="206">
        <v>43909</v>
      </c>
      <c r="D28" s="161" t="s">
        <v>8</v>
      </c>
      <c r="E28" s="161" t="s">
        <v>95</v>
      </c>
      <c r="F28" s="222">
        <v>325</v>
      </c>
      <c r="G28" s="222">
        <v>330</v>
      </c>
      <c r="H28" s="222">
        <v>-5</v>
      </c>
      <c r="I28" s="207">
        <f t="shared" si="5"/>
        <v>923.07692307692309</v>
      </c>
      <c r="J28" s="242">
        <f t="shared" si="6"/>
        <v>-4615.3846153846152</v>
      </c>
      <c r="K28" s="153"/>
      <c r="M28" s="25" t="s">
        <v>2008</v>
      </c>
      <c r="V28" s="25">
        <f t="shared" si="2"/>
        <v>0</v>
      </c>
      <c r="W28" s="25">
        <f t="shared" si="3"/>
        <v>1</v>
      </c>
    </row>
    <row r="29" spans="1:23" x14ac:dyDescent="0.3">
      <c r="A29" s="147"/>
      <c r="B29" s="205">
        <f t="shared" si="4"/>
        <v>24</v>
      </c>
      <c r="C29" s="206">
        <v>43910</v>
      </c>
      <c r="D29" s="161" t="s">
        <v>9</v>
      </c>
      <c r="E29" s="161" t="s">
        <v>95</v>
      </c>
      <c r="F29" s="222">
        <v>332</v>
      </c>
      <c r="G29" s="222">
        <v>334.5</v>
      </c>
      <c r="H29" s="222">
        <v>2.5</v>
      </c>
      <c r="I29" s="207">
        <f t="shared" si="5"/>
        <v>903.61445783132535</v>
      </c>
      <c r="J29" s="242">
        <f t="shared" si="6"/>
        <v>2259.0361445783133</v>
      </c>
      <c r="K29" s="153"/>
      <c r="V29" s="25">
        <f t="shared" si="2"/>
        <v>1</v>
      </c>
      <c r="W29" s="25">
        <f t="shared" si="3"/>
        <v>0</v>
      </c>
    </row>
    <row r="30" spans="1:23" x14ac:dyDescent="0.3">
      <c r="A30" s="147"/>
      <c r="B30" s="205">
        <f t="shared" si="4"/>
        <v>25</v>
      </c>
      <c r="C30" s="206">
        <v>43910</v>
      </c>
      <c r="D30" s="161" t="s">
        <v>8</v>
      </c>
      <c r="E30" s="161" t="s">
        <v>78</v>
      </c>
      <c r="F30" s="222">
        <v>842</v>
      </c>
      <c r="G30" s="222">
        <v>832</v>
      </c>
      <c r="H30" s="222">
        <v>10</v>
      </c>
      <c r="I30" s="207">
        <f t="shared" si="5"/>
        <v>356.29453681710214</v>
      </c>
      <c r="J30" s="242">
        <f t="shared" si="6"/>
        <v>3562.9453681710215</v>
      </c>
      <c r="K30" s="153"/>
      <c r="V30" s="25">
        <f t="shared" si="2"/>
        <v>1</v>
      </c>
      <c r="W30" s="25">
        <f t="shared" si="3"/>
        <v>0</v>
      </c>
    </row>
    <row r="31" spans="1:23" x14ac:dyDescent="0.3">
      <c r="A31" s="147"/>
      <c r="B31" s="205">
        <f t="shared" si="4"/>
        <v>26</v>
      </c>
      <c r="C31" s="206">
        <v>43913</v>
      </c>
      <c r="D31" s="161" t="s">
        <v>8</v>
      </c>
      <c r="E31" s="161" t="s">
        <v>192</v>
      </c>
      <c r="F31" s="222">
        <v>87</v>
      </c>
      <c r="G31" s="222">
        <v>82</v>
      </c>
      <c r="H31" s="222">
        <v>5</v>
      </c>
      <c r="I31" s="207">
        <f t="shared" si="5"/>
        <v>3448.2758620689656</v>
      </c>
      <c r="J31" s="242">
        <f t="shared" si="6"/>
        <v>17241.379310344826</v>
      </c>
      <c r="K31" s="153"/>
      <c r="V31" s="25">
        <f t="shared" si="2"/>
        <v>1</v>
      </c>
      <c r="W31" s="25">
        <f t="shared" si="3"/>
        <v>0</v>
      </c>
    </row>
    <row r="32" spans="1:23" x14ac:dyDescent="0.3">
      <c r="A32" s="147"/>
      <c r="B32" s="205">
        <f t="shared" si="4"/>
        <v>27</v>
      </c>
      <c r="C32" s="206">
        <v>43914</v>
      </c>
      <c r="D32" s="161" t="s">
        <v>9</v>
      </c>
      <c r="E32" s="161" t="s">
        <v>578</v>
      </c>
      <c r="F32" s="222">
        <v>567</v>
      </c>
      <c r="G32" s="222">
        <v>560</v>
      </c>
      <c r="H32" s="222">
        <v>-6</v>
      </c>
      <c r="I32" s="207">
        <f t="shared" si="5"/>
        <v>529.10052910052912</v>
      </c>
      <c r="J32" s="242">
        <f t="shared" si="6"/>
        <v>-3174.6031746031749</v>
      </c>
      <c r="K32" s="153"/>
      <c r="V32" s="25">
        <f t="shared" si="2"/>
        <v>0</v>
      </c>
      <c r="W32" s="25">
        <f t="shared" si="3"/>
        <v>1</v>
      </c>
    </row>
    <row r="33" spans="1:23" x14ac:dyDescent="0.3">
      <c r="A33" s="147"/>
      <c r="B33" s="205">
        <f t="shared" si="4"/>
        <v>28</v>
      </c>
      <c r="C33" s="206">
        <v>43914</v>
      </c>
      <c r="D33" s="161" t="s">
        <v>8</v>
      </c>
      <c r="E33" s="161" t="s">
        <v>78</v>
      </c>
      <c r="F33" s="222">
        <v>690</v>
      </c>
      <c r="G33" s="222">
        <v>680</v>
      </c>
      <c r="H33" s="222">
        <v>10</v>
      </c>
      <c r="I33" s="207">
        <f t="shared" si="5"/>
        <v>434.78260869565219</v>
      </c>
      <c r="J33" s="242">
        <f t="shared" si="6"/>
        <v>4347.826086956522</v>
      </c>
      <c r="K33" s="153"/>
      <c r="V33" s="25">
        <f t="shared" si="2"/>
        <v>1</v>
      </c>
      <c r="W33" s="25">
        <f t="shared" si="3"/>
        <v>0</v>
      </c>
    </row>
    <row r="34" spans="1:23" x14ac:dyDescent="0.3">
      <c r="A34" s="147"/>
      <c r="B34" s="205">
        <f t="shared" si="4"/>
        <v>29</v>
      </c>
      <c r="C34" s="206">
        <v>43915</v>
      </c>
      <c r="D34" s="161" t="s">
        <v>9</v>
      </c>
      <c r="E34" s="161" t="s">
        <v>192</v>
      </c>
      <c r="F34" s="222">
        <v>79</v>
      </c>
      <c r="G34" s="222">
        <v>83</v>
      </c>
      <c r="H34" s="222">
        <v>4</v>
      </c>
      <c r="I34" s="207">
        <f t="shared" si="5"/>
        <v>3797.4683544303798</v>
      </c>
      <c r="J34" s="242">
        <f t="shared" si="6"/>
        <v>15189.873417721519</v>
      </c>
      <c r="K34" s="153"/>
      <c r="V34" s="25">
        <f t="shared" si="2"/>
        <v>1</v>
      </c>
      <c r="W34" s="25">
        <f t="shared" si="3"/>
        <v>0</v>
      </c>
    </row>
    <row r="35" spans="1:23" x14ac:dyDescent="0.3">
      <c r="A35" s="147"/>
      <c r="B35" s="205">
        <f t="shared" si="4"/>
        <v>30</v>
      </c>
      <c r="C35" s="206">
        <v>43915</v>
      </c>
      <c r="D35" s="161" t="s">
        <v>8</v>
      </c>
      <c r="E35" s="161" t="s">
        <v>78</v>
      </c>
      <c r="F35" s="222">
        <v>682</v>
      </c>
      <c r="G35" s="222">
        <v>662</v>
      </c>
      <c r="H35" s="222">
        <v>20</v>
      </c>
      <c r="I35" s="207">
        <f t="shared" si="5"/>
        <v>439.88269794721407</v>
      </c>
      <c r="J35" s="242">
        <f t="shared" si="6"/>
        <v>8797.6539589442818</v>
      </c>
      <c r="K35" s="153"/>
      <c r="V35" s="25">
        <f t="shared" si="2"/>
        <v>1</v>
      </c>
      <c r="W35" s="25">
        <f t="shared" si="3"/>
        <v>0</v>
      </c>
    </row>
    <row r="36" spans="1:23" x14ac:dyDescent="0.3">
      <c r="A36" s="147"/>
      <c r="B36" s="205">
        <f t="shared" si="4"/>
        <v>31</v>
      </c>
      <c r="C36" s="206">
        <v>43916</v>
      </c>
      <c r="D36" s="161" t="s">
        <v>9</v>
      </c>
      <c r="E36" s="161" t="s">
        <v>192</v>
      </c>
      <c r="F36" s="222">
        <v>85</v>
      </c>
      <c r="G36" s="222">
        <v>88.2</v>
      </c>
      <c r="H36" s="222">
        <v>3.2</v>
      </c>
      <c r="I36" s="207">
        <f t="shared" si="5"/>
        <v>3529.4117647058824</v>
      </c>
      <c r="J36" s="242">
        <f t="shared" si="6"/>
        <v>11294.117647058825</v>
      </c>
      <c r="K36" s="153"/>
      <c r="V36" s="25">
        <f t="shared" si="2"/>
        <v>1</v>
      </c>
      <c r="W36" s="25">
        <f t="shared" si="3"/>
        <v>0</v>
      </c>
    </row>
    <row r="37" spans="1:23" x14ac:dyDescent="0.3">
      <c r="A37" s="147"/>
      <c r="B37" s="205">
        <f t="shared" si="4"/>
        <v>32</v>
      </c>
      <c r="C37" s="206">
        <v>43916</v>
      </c>
      <c r="D37" s="161" t="s">
        <v>8</v>
      </c>
      <c r="E37" s="161" t="s">
        <v>90</v>
      </c>
      <c r="F37" s="222">
        <v>528</v>
      </c>
      <c r="G37" s="222">
        <v>515</v>
      </c>
      <c r="H37" s="222">
        <v>13</v>
      </c>
      <c r="I37" s="207">
        <f t="shared" si="5"/>
        <v>568.18181818181813</v>
      </c>
      <c r="J37" s="242">
        <f t="shared" si="6"/>
        <v>7386.363636363636</v>
      </c>
      <c r="K37" s="153"/>
      <c r="V37" s="25">
        <f t="shared" si="2"/>
        <v>1</v>
      </c>
      <c r="W37" s="25">
        <f t="shared" si="3"/>
        <v>0</v>
      </c>
    </row>
    <row r="38" spans="1:23" x14ac:dyDescent="0.3">
      <c r="A38" s="147"/>
      <c r="B38" s="205">
        <f t="shared" si="4"/>
        <v>33</v>
      </c>
      <c r="C38" s="206">
        <v>43917</v>
      </c>
      <c r="D38" s="161" t="s">
        <v>9</v>
      </c>
      <c r="E38" s="161" t="s">
        <v>192</v>
      </c>
      <c r="F38" s="222">
        <v>95</v>
      </c>
      <c r="G38" s="222">
        <v>92</v>
      </c>
      <c r="H38" s="222">
        <v>-3</v>
      </c>
      <c r="I38" s="207">
        <f t="shared" ref="I38:I43" si="14">300000/F38</f>
        <v>3157.8947368421054</v>
      </c>
      <c r="J38" s="242">
        <f t="shared" ref="J38:J43" si="15">H38*I38</f>
        <v>-9473.6842105263167</v>
      </c>
      <c r="K38" s="153"/>
      <c r="V38" s="25">
        <f t="shared" si="2"/>
        <v>0</v>
      </c>
      <c r="W38" s="25">
        <f t="shared" si="3"/>
        <v>1</v>
      </c>
    </row>
    <row r="39" spans="1:23" x14ac:dyDescent="0.3">
      <c r="A39" s="147"/>
      <c r="B39" s="205">
        <f t="shared" si="4"/>
        <v>34</v>
      </c>
      <c r="C39" s="206">
        <v>43917</v>
      </c>
      <c r="D39" s="161" t="s">
        <v>8</v>
      </c>
      <c r="E39" s="161" t="s">
        <v>31</v>
      </c>
      <c r="F39" s="222">
        <v>1075</v>
      </c>
      <c r="G39" s="222">
        <v>1050</v>
      </c>
      <c r="H39" s="222">
        <v>25</v>
      </c>
      <c r="I39" s="207">
        <f t="shared" si="14"/>
        <v>279.06976744186045</v>
      </c>
      <c r="J39" s="242">
        <f t="shared" si="15"/>
        <v>6976.7441860465115</v>
      </c>
      <c r="K39" s="153"/>
      <c r="V39" s="25">
        <f t="shared" si="2"/>
        <v>1</v>
      </c>
      <c r="W39" s="25">
        <f t="shared" si="3"/>
        <v>0</v>
      </c>
    </row>
    <row r="40" spans="1:23" x14ac:dyDescent="0.3">
      <c r="A40" s="147"/>
      <c r="B40" s="205">
        <f t="shared" si="4"/>
        <v>35</v>
      </c>
      <c r="C40" s="206">
        <v>43920</v>
      </c>
      <c r="D40" s="161" t="s">
        <v>9</v>
      </c>
      <c r="E40" s="161" t="s">
        <v>133</v>
      </c>
      <c r="F40" s="222">
        <v>560</v>
      </c>
      <c r="G40" s="222">
        <v>573</v>
      </c>
      <c r="H40" s="222">
        <v>13</v>
      </c>
      <c r="I40" s="207">
        <f t="shared" si="14"/>
        <v>535.71428571428567</v>
      </c>
      <c r="J40" s="242">
        <f t="shared" si="15"/>
        <v>6964.2857142857138</v>
      </c>
      <c r="K40" s="153"/>
      <c r="V40" s="25">
        <f t="shared" si="2"/>
        <v>1</v>
      </c>
      <c r="W40" s="25">
        <f t="shared" si="3"/>
        <v>0</v>
      </c>
    </row>
    <row r="41" spans="1:23" x14ac:dyDescent="0.3">
      <c r="A41" s="147"/>
      <c r="B41" s="205">
        <f t="shared" si="4"/>
        <v>36</v>
      </c>
      <c r="C41" s="206">
        <v>43920</v>
      </c>
      <c r="D41" s="161" t="s">
        <v>8</v>
      </c>
      <c r="E41" s="161" t="s">
        <v>31</v>
      </c>
      <c r="F41" s="222">
        <v>1047</v>
      </c>
      <c r="G41" s="223">
        <v>1057</v>
      </c>
      <c r="H41" s="222">
        <v>-10</v>
      </c>
      <c r="I41" s="207">
        <f t="shared" si="14"/>
        <v>286.53295128939828</v>
      </c>
      <c r="J41" s="242">
        <f t="shared" si="15"/>
        <v>-2865.3295128939826</v>
      </c>
      <c r="K41" s="153"/>
      <c r="V41" s="25">
        <f t="shared" si="2"/>
        <v>0</v>
      </c>
      <c r="W41" s="25">
        <f t="shared" si="3"/>
        <v>1</v>
      </c>
    </row>
    <row r="42" spans="1:23" x14ac:dyDescent="0.3">
      <c r="A42" s="147"/>
      <c r="B42" s="205">
        <f t="shared" si="4"/>
        <v>37</v>
      </c>
      <c r="C42" s="206">
        <v>43921</v>
      </c>
      <c r="D42" s="161" t="s">
        <v>9</v>
      </c>
      <c r="E42" s="161" t="s">
        <v>133</v>
      </c>
      <c r="F42" s="222">
        <v>572</v>
      </c>
      <c r="G42" s="222">
        <v>585</v>
      </c>
      <c r="H42" s="222">
        <v>13</v>
      </c>
      <c r="I42" s="207">
        <f t="shared" si="14"/>
        <v>524.47552447552448</v>
      </c>
      <c r="J42" s="242">
        <f t="shared" si="15"/>
        <v>6818.181818181818</v>
      </c>
      <c r="K42" s="153"/>
      <c r="V42" s="25">
        <f t="shared" si="2"/>
        <v>1</v>
      </c>
      <c r="W42" s="25">
        <f t="shared" si="3"/>
        <v>0</v>
      </c>
    </row>
    <row r="43" spans="1:23" x14ac:dyDescent="0.3">
      <c r="A43" s="147"/>
      <c r="B43" s="205">
        <f t="shared" si="4"/>
        <v>38</v>
      </c>
      <c r="C43" s="206">
        <v>43921</v>
      </c>
      <c r="D43" s="161" t="s">
        <v>8</v>
      </c>
      <c r="E43" s="161" t="s">
        <v>192</v>
      </c>
      <c r="F43" s="222">
        <v>87.5</v>
      </c>
      <c r="G43" s="222">
        <v>90</v>
      </c>
      <c r="H43" s="222">
        <v>-2.5</v>
      </c>
      <c r="I43" s="207">
        <f t="shared" si="14"/>
        <v>3428.5714285714284</v>
      </c>
      <c r="J43" s="242">
        <f t="shared" si="15"/>
        <v>-8571.4285714285706</v>
      </c>
      <c r="K43" s="153"/>
      <c r="V43" s="25">
        <f t="shared" si="2"/>
        <v>0</v>
      </c>
      <c r="W43" s="25">
        <f t="shared" si="3"/>
        <v>1</v>
      </c>
    </row>
    <row r="44" spans="1:23" x14ac:dyDescent="0.3">
      <c r="A44" s="147"/>
      <c r="B44" s="205">
        <f t="shared" si="4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2"/>
        <v>0</v>
      </c>
      <c r="W44" s="25">
        <f t="shared" si="3"/>
        <v>0</v>
      </c>
    </row>
    <row r="45" spans="1:23" x14ac:dyDescent="0.3">
      <c r="A45" s="147"/>
      <c r="B45" s="205">
        <f t="shared" si="4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2"/>
        <v>0</v>
      </c>
      <c r="W45" s="25">
        <f t="shared" si="3"/>
        <v>0</v>
      </c>
    </row>
    <row r="46" spans="1:23" x14ac:dyDescent="0.3">
      <c r="A46" s="147"/>
      <c r="B46" s="205">
        <f t="shared" si="4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2"/>
        <v>0</v>
      </c>
      <c r="W46" s="25">
        <f t="shared" si="3"/>
        <v>0</v>
      </c>
    </row>
    <row r="47" spans="1:23" x14ac:dyDescent="0.3">
      <c r="A47" s="147"/>
      <c r="B47" s="205">
        <f t="shared" si="4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2"/>
        <v>0</v>
      </c>
      <c r="W47" s="25">
        <f t="shared" si="3"/>
        <v>0</v>
      </c>
    </row>
    <row r="48" spans="1:23" x14ac:dyDescent="0.3">
      <c r="A48" s="147"/>
      <c r="B48" s="205">
        <f t="shared" si="4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2"/>
        <v>0</v>
      </c>
      <c r="W48" s="25">
        <f t="shared" si="3"/>
        <v>0</v>
      </c>
    </row>
    <row r="49" spans="1:23" x14ac:dyDescent="0.3">
      <c r="A49" s="147"/>
      <c r="B49" s="205">
        <f t="shared" si="4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2"/>
        <v>0</v>
      </c>
      <c r="W49" s="25">
        <f t="shared" si="3"/>
        <v>0</v>
      </c>
    </row>
    <row r="50" spans="1:23" x14ac:dyDescent="0.3">
      <c r="A50" s="147"/>
      <c r="B50" s="205">
        <f t="shared" si="4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2"/>
        <v>0</v>
      </c>
      <c r="W50" s="25">
        <f t="shared" si="3"/>
        <v>0</v>
      </c>
    </row>
    <row r="51" spans="1:23" ht="15" thickBot="1" x14ac:dyDescent="0.35">
      <c r="A51" s="147"/>
      <c r="B51" s="208">
        <f t="shared" si="4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2"/>
        <v>0</v>
      </c>
      <c r="W51" s="25">
        <f t="shared" si="3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165393.41447361562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2949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3">
        <v>43892</v>
      </c>
      <c r="D60" s="158" t="s">
        <v>8</v>
      </c>
      <c r="E60" s="158" t="s">
        <v>31</v>
      </c>
      <c r="F60" s="230">
        <v>1348</v>
      </c>
      <c r="G60" s="230">
        <v>1328</v>
      </c>
      <c r="H60" s="230">
        <v>20</v>
      </c>
      <c r="I60" s="204">
        <v>500</v>
      </c>
      <c r="J60" s="241">
        <f t="shared" ref="J60:J83" si="16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43893</v>
      </c>
      <c r="D61" s="161" t="s">
        <v>8</v>
      </c>
      <c r="E61" s="161" t="s">
        <v>58</v>
      </c>
      <c r="F61" s="207">
        <v>693</v>
      </c>
      <c r="G61" s="222">
        <v>679</v>
      </c>
      <c r="H61" s="222">
        <v>14</v>
      </c>
      <c r="I61" s="207">
        <v>1200</v>
      </c>
      <c r="J61" s="242">
        <f t="shared" si="16"/>
        <v>16800</v>
      </c>
      <c r="K61" s="153"/>
      <c r="O61" s="25" t="s">
        <v>2008</v>
      </c>
      <c r="V61" s="25">
        <f t="shared" ref="V61:V83" si="17">IF($J61&gt;0,1,0)</f>
        <v>1</v>
      </c>
      <c r="W61" s="25">
        <f t="shared" ref="W61:W83" si="18">IF($J61&lt;0,1,0)</f>
        <v>0</v>
      </c>
    </row>
    <row r="62" spans="1:23" x14ac:dyDescent="0.3">
      <c r="A62" s="147"/>
      <c r="B62" s="205">
        <f t="shared" ref="B62:B83" si="19">B61+1</f>
        <v>3</v>
      </c>
      <c r="C62" s="206">
        <v>43894</v>
      </c>
      <c r="D62" s="161" t="s">
        <v>8</v>
      </c>
      <c r="E62" s="161" t="s">
        <v>58</v>
      </c>
      <c r="F62" s="222">
        <v>693</v>
      </c>
      <c r="G62" s="222">
        <v>679</v>
      </c>
      <c r="H62" s="222">
        <v>14</v>
      </c>
      <c r="I62" s="207">
        <v>1200</v>
      </c>
      <c r="J62" s="242">
        <f t="shared" si="16"/>
        <v>16800</v>
      </c>
      <c r="K62" s="153"/>
      <c r="V62" s="25">
        <f t="shared" si="17"/>
        <v>1</v>
      </c>
      <c r="W62" s="25">
        <f t="shared" si="18"/>
        <v>0</v>
      </c>
    </row>
    <row r="63" spans="1:23" x14ac:dyDescent="0.3">
      <c r="A63" s="147"/>
      <c r="B63" s="205">
        <f t="shared" si="19"/>
        <v>4</v>
      </c>
      <c r="C63" s="206">
        <v>43895</v>
      </c>
      <c r="D63" s="161" t="s">
        <v>8</v>
      </c>
      <c r="E63" s="161" t="s">
        <v>58</v>
      </c>
      <c r="F63" s="222">
        <v>689</v>
      </c>
      <c r="G63" s="222">
        <v>681</v>
      </c>
      <c r="H63" s="222">
        <v>8</v>
      </c>
      <c r="I63" s="207">
        <v>1200</v>
      </c>
      <c r="J63" s="242">
        <f t="shared" si="16"/>
        <v>9600</v>
      </c>
      <c r="K63" s="153"/>
      <c r="L63" s="25" t="s">
        <v>2008</v>
      </c>
      <c r="V63" s="25">
        <f t="shared" si="17"/>
        <v>1</v>
      </c>
      <c r="W63" s="25">
        <f t="shared" si="18"/>
        <v>0</v>
      </c>
    </row>
    <row r="64" spans="1:23" x14ac:dyDescent="0.3">
      <c r="A64" s="147"/>
      <c r="B64" s="205">
        <f t="shared" si="19"/>
        <v>5</v>
      </c>
      <c r="C64" s="206">
        <v>43896</v>
      </c>
      <c r="D64" s="161" t="s">
        <v>8</v>
      </c>
      <c r="E64" s="161" t="s">
        <v>58</v>
      </c>
      <c r="F64" s="222">
        <v>653</v>
      </c>
      <c r="G64" s="222">
        <v>650.5</v>
      </c>
      <c r="H64" s="222">
        <v>2.5</v>
      </c>
      <c r="I64" s="207">
        <v>1200</v>
      </c>
      <c r="J64" s="242">
        <f t="shared" si="16"/>
        <v>3000</v>
      </c>
      <c r="K64" s="153"/>
      <c r="V64" s="25">
        <f t="shared" si="17"/>
        <v>1</v>
      </c>
      <c r="W64" s="25">
        <f t="shared" si="18"/>
        <v>0</v>
      </c>
    </row>
    <row r="65" spans="1:23" x14ac:dyDescent="0.3">
      <c r="A65" s="147"/>
      <c r="B65" s="205">
        <f t="shared" si="19"/>
        <v>6</v>
      </c>
      <c r="C65" s="206">
        <v>43899</v>
      </c>
      <c r="D65" s="161" t="s">
        <v>8</v>
      </c>
      <c r="E65" s="161" t="s">
        <v>58</v>
      </c>
      <c r="F65" s="207">
        <v>639</v>
      </c>
      <c r="G65" s="222">
        <v>627</v>
      </c>
      <c r="H65" s="222">
        <v>12</v>
      </c>
      <c r="I65" s="207">
        <v>1200</v>
      </c>
      <c r="J65" s="242">
        <f t="shared" si="16"/>
        <v>14400</v>
      </c>
      <c r="K65" s="153"/>
      <c r="V65" s="25">
        <f t="shared" si="17"/>
        <v>1</v>
      </c>
      <c r="W65" s="25">
        <f t="shared" si="18"/>
        <v>0</v>
      </c>
    </row>
    <row r="66" spans="1:23" x14ac:dyDescent="0.3">
      <c r="A66" s="147"/>
      <c r="B66" s="205">
        <f t="shared" si="19"/>
        <v>7</v>
      </c>
      <c r="C66" s="206">
        <v>43901</v>
      </c>
      <c r="D66" s="161" t="s">
        <v>8</v>
      </c>
      <c r="E66" s="161" t="s">
        <v>58</v>
      </c>
      <c r="F66" s="207">
        <v>623</v>
      </c>
      <c r="G66" s="222">
        <v>617</v>
      </c>
      <c r="H66" s="222">
        <v>6</v>
      </c>
      <c r="I66" s="207">
        <v>1200</v>
      </c>
      <c r="J66" s="242">
        <f t="shared" si="16"/>
        <v>7200</v>
      </c>
      <c r="K66" s="153"/>
      <c r="V66" s="25">
        <f t="shared" si="17"/>
        <v>1</v>
      </c>
      <c r="W66" s="25">
        <f t="shared" si="18"/>
        <v>0</v>
      </c>
    </row>
    <row r="67" spans="1:23" x14ac:dyDescent="0.3">
      <c r="A67" s="147"/>
      <c r="B67" s="205">
        <f t="shared" si="19"/>
        <v>8</v>
      </c>
      <c r="C67" s="206">
        <v>43902</v>
      </c>
      <c r="D67" s="161" t="s">
        <v>8</v>
      </c>
      <c r="E67" s="161" t="s">
        <v>58</v>
      </c>
      <c r="F67" s="222">
        <v>572</v>
      </c>
      <c r="G67" s="222">
        <v>560</v>
      </c>
      <c r="H67" s="222">
        <v>12</v>
      </c>
      <c r="I67" s="207">
        <v>1200</v>
      </c>
      <c r="J67" s="242">
        <f t="shared" si="16"/>
        <v>14400</v>
      </c>
      <c r="K67" s="153"/>
      <c r="V67" s="25">
        <f t="shared" si="17"/>
        <v>1</v>
      </c>
      <c r="W67" s="25">
        <f t="shared" si="18"/>
        <v>0</v>
      </c>
    </row>
    <row r="68" spans="1:23" x14ac:dyDescent="0.3">
      <c r="A68" s="147"/>
      <c r="B68" s="205">
        <f t="shared" si="19"/>
        <v>9</v>
      </c>
      <c r="C68" s="206">
        <v>43906</v>
      </c>
      <c r="D68" s="161" t="s">
        <v>8</v>
      </c>
      <c r="E68" s="161" t="s">
        <v>58</v>
      </c>
      <c r="F68" s="222">
        <v>523</v>
      </c>
      <c r="G68" s="222">
        <v>530</v>
      </c>
      <c r="H68" s="222">
        <v>-7</v>
      </c>
      <c r="I68" s="207">
        <v>1200</v>
      </c>
      <c r="J68" s="242">
        <f t="shared" si="16"/>
        <v>-8400</v>
      </c>
      <c r="K68" s="153"/>
      <c r="V68" s="25">
        <f t="shared" si="17"/>
        <v>0</v>
      </c>
      <c r="W68" s="25">
        <f t="shared" si="18"/>
        <v>1</v>
      </c>
    </row>
    <row r="69" spans="1:23" x14ac:dyDescent="0.3">
      <c r="A69" s="147"/>
      <c r="B69" s="205">
        <f t="shared" si="19"/>
        <v>10</v>
      </c>
      <c r="C69" s="206">
        <v>43907</v>
      </c>
      <c r="D69" s="161" t="s">
        <v>8</v>
      </c>
      <c r="E69" s="161" t="s">
        <v>58</v>
      </c>
      <c r="F69" s="222">
        <v>523</v>
      </c>
      <c r="G69" s="222">
        <v>510</v>
      </c>
      <c r="H69" s="222">
        <v>13</v>
      </c>
      <c r="I69" s="207">
        <v>1200</v>
      </c>
      <c r="J69" s="242">
        <f t="shared" si="16"/>
        <v>15600</v>
      </c>
      <c r="K69" s="153"/>
      <c r="V69" s="25">
        <f t="shared" si="17"/>
        <v>1</v>
      </c>
      <c r="W69" s="25">
        <f t="shared" si="18"/>
        <v>0</v>
      </c>
    </row>
    <row r="70" spans="1:23" x14ac:dyDescent="0.3">
      <c r="A70" s="147"/>
      <c r="B70" s="205">
        <f t="shared" si="19"/>
        <v>11</v>
      </c>
      <c r="C70" s="206">
        <v>43908</v>
      </c>
      <c r="D70" s="161" t="s">
        <v>8</v>
      </c>
      <c r="E70" s="161" t="s">
        <v>31</v>
      </c>
      <c r="F70" s="161">
        <v>995</v>
      </c>
      <c r="G70" s="222">
        <v>1005</v>
      </c>
      <c r="H70" s="222">
        <v>-10</v>
      </c>
      <c r="I70" s="207">
        <v>500</v>
      </c>
      <c r="J70" s="242">
        <f t="shared" si="16"/>
        <v>-5000</v>
      </c>
      <c r="K70" s="153"/>
      <c r="V70" s="25">
        <f t="shared" si="17"/>
        <v>0</v>
      </c>
      <c r="W70" s="25">
        <f t="shared" si="18"/>
        <v>1</v>
      </c>
    </row>
    <row r="71" spans="1:23" x14ac:dyDescent="0.3">
      <c r="A71" s="147"/>
      <c r="B71" s="205">
        <f t="shared" si="19"/>
        <v>12</v>
      </c>
      <c r="C71" s="206">
        <v>43909</v>
      </c>
      <c r="D71" s="161" t="s">
        <v>8</v>
      </c>
      <c r="E71" s="161" t="s">
        <v>31</v>
      </c>
      <c r="F71" s="222">
        <v>900</v>
      </c>
      <c r="G71" s="222">
        <v>915</v>
      </c>
      <c r="H71" s="222">
        <v>-15</v>
      </c>
      <c r="I71" s="207">
        <v>500</v>
      </c>
      <c r="J71" s="242">
        <f t="shared" si="16"/>
        <v>-7500</v>
      </c>
      <c r="K71" s="153"/>
      <c r="V71" s="25">
        <f t="shared" si="17"/>
        <v>0</v>
      </c>
      <c r="W71" s="25">
        <f t="shared" si="18"/>
        <v>1</v>
      </c>
    </row>
    <row r="72" spans="1:23" x14ac:dyDescent="0.3">
      <c r="A72" s="147"/>
      <c r="B72" s="205">
        <f t="shared" si="19"/>
        <v>13</v>
      </c>
      <c r="C72" s="206">
        <v>43910</v>
      </c>
      <c r="D72" s="161" t="s">
        <v>8</v>
      </c>
      <c r="E72" s="161" t="s">
        <v>58</v>
      </c>
      <c r="F72" s="222">
        <v>418</v>
      </c>
      <c r="G72" s="222">
        <v>416</v>
      </c>
      <c r="H72" s="222">
        <v>2</v>
      </c>
      <c r="I72" s="207">
        <v>1200</v>
      </c>
      <c r="J72" s="242">
        <f t="shared" si="16"/>
        <v>2400</v>
      </c>
      <c r="K72" s="153"/>
      <c r="V72" s="25">
        <f t="shared" si="17"/>
        <v>1</v>
      </c>
      <c r="W72" s="25">
        <f t="shared" si="18"/>
        <v>0</v>
      </c>
    </row>
    <row r="73" spans="1:23" x14ac:dyDescent="0.3">
      <c r="A73" s="147"/>
      <c r="B73" s="205">
        <f t="shared" si="19"/>
        <v>14</v>
      </c>
      <c r="C73" s="206">
        <v>43914</v>
      </c>
      <c r="D73" s="161" t="s">
        <v>8</v>
      </c>
      <c r="E73" s="161" t="s">
        <v>31</v>
      </c>
      <c r="F73" s="223">
        <v>902</v>
      </c>
      <c r="G73" s="222">
        <v>895</v>
      </c>
      <c r="H73" s="255">
        <v>7</v>
      </c>
      <c r="I73" s="207">
        <v>500</v>
      </c>
      <c r="J73" s="242">
        <f t="shared" si="16"/>
        <v>3500</v>
      </c>
      <c r="K73" s="153"/>
      <c r="V73" s="25">
        <f t="shared" si="17"/>
        <v>1</v>
      </c>
      <c r="W73" s="25">
        <f t="shared" si="18"/>
        <v>0</v>
      </c>
    </row>
    <row r="74" spans="1:23" x14ac:dyDescent="0.3">
      <c r="A74" s="147"/>
      <c r="B74" s="205">
        <f t="shared" si="19"/>
        <v>15</v>
      </c>
      <c r="C74" s="206">
        <v>43915</v>
      </c>
      <c r="D74" s="161" t="s">
        <v>9</v>
      </c>
      <c r="E74" s="161" t="s">
        <v>58</v>
      </c>
      <c r="F74" s="222">
        <v>304</v>
      </c>
      <c r="G74" s="222">
        <v>316</v>
      </c>
      <c r="H74" s="255">
        <v>12</v>
      </c>
      <c r="I74" s="207">
        <v>1200</v>
      </c>
      <c r="J74" s="242">
        <f t="shared" si="16"/>
        <v>14400</v>
      </c>
      <c r="K74" s="153"/>
      <c r="V74" s="25">
        <f t="shared" si="17"/>
        <v>1</v>
      </c>
      <c r="W74" s="25">
        <f t="shared" si="18"/>
        <v>0</v>
      </c>
    </row>
    <row r="75" spans="1:23" x14ac:dyDescent="0.3">
      <c r="A75" s="147"/>
      <c r="B75" s="205">
        <f t="shared" si="19"/>
        <v>16</v>
      </c>
      <c r="C75" s="206">
        <v>43916</v>
      </c>
      <c r="D75" s="161" t="s">
        <v>9</v>
      </c>
      <c r="E75" s="161" t="s">
        <v>78</v>
      </c>
      <c r="F75" s="222">
        <v>800</v>
      </c>
      <c r="G75" s="222">
        <v>790</v>
      </c>
      <c r="H75" s="222">
        <v>-10</v>
      </c>
      <c r="I75" s="207">
        <v>375</v>
      </c>
      <c r="J75" s="242">
        <f t="shared" si="16"/>
        <v>-3750</v>
      </c>
      <c r="K75" s="153"/>
      <c r="V75" s="25">
        <f t="shared" si="17"/>
        <v>0</v>
      </c>
      <c r="W75" s="25">
        <f t="shared" si="18"/>
        <v>1</v>
      </c>
    </row>
    <row r="76" spans="1:23" x14ac:dyDescent="0.3">
      <c r="A76" s="147"/>
      <c r="B76" s="205">
        <f t="shared" si="19"/>
        <v>17</v>
      </c>
      <c r="C76" s="206">
        <v>43917</v>
      </c>
      <c r="D76" s="161" t="s">
        <v>8</v>
      </c>
      <c r="E76" s="161" t="s">
        <v>31</v>
      </c>
      <c r="F76" s="222">
        <v>1080</v>
      </c>
      <c r="G76" s="222">
        <v>1055</v>
      </c>
      <c r="H76" s="222">
        <v>25</v>
      </c>
      <c r="I76" s="207">
        <v>500</v>
      </c>
      <c r="J76" s="242">
        <f t="shared" si="16"/>
        <v>12500</v>
      </c>
      <c r="K76" s="153"/>
      <c r="V76" s="25">
        <f t="shared" si="17"/>
        <v>1</v>
      </c>
      <c r="W76" s="25">
        <f t="shared" si="18"/>
        <v>0</v>
      </c>
    </row>
    <row r="77" spans="1:23" x14ac:dyDescent="0.3">
      <c r="A77" s="147"/>
      <c r="B77" s="205">
        <f t="shared" si="19"/>
        <v>18</v>
      </c>
      <c r="C77" s="206">
        <v>43920</v>
      </c>
      <c r="D77" s="161" t="s">
        <v>9</v>
      </c>
      <c r="E77" s="161" t="s">
        <v>58</v>
      </c>
      <c r="F77" s="222">
        <v>375</v>
      </c>
      <c r="G77" s="222">
        <v>370</v>
      </c>
      <c r="H77" s="222">
        <v>-5</v>
      </c>
      <c r="I77" s="207">
        <v>1200</v>
      </c>
      <c r="J77" s="242">
        <f t="shared" si="16"/>
        <v>-6000</v>
      </c>
      <c r="K77" s="153"/>
      <c r="V77" s="25">
        <f t="shared" si="17"/>
        <v>0</v>
      </c>
      <c r="W77" s="25">
        <f t="shared" si="18"/>
        <v>1</v>
      </c>
    </row>
    <row r="78" spans="1:23" x14ac:dyDescent="0.3">
      <c r="A78" s="147"/>
      <c r="B78" s="205">
        <f t="shared" si="19"/>
        <v>19</v>
      </c>
      <c r="C78" s="206">
        <v>43921</v>
      </c>
      <c r="D78" s="161" t="s">
        <v>8</v>
      </c>
      <c r="E78" s="161" t="s">
        <v>78</v>
      </c>
      <c r="F78" s="222">
        <v>805</v>
      </c>
      <c r="G78" s="222">
        <v>815</v>
      </c>
      <c r="H78" s="222">
        <v>-10</v>
      </c>
      <c r="I78" s="207">
        <v>375</v>
      </c>
      <c r="J78" s="242">
        <f t="shared" si="16"/>
        <v>-3750</v>
      </c>
      <c r="K78" s="153"/>
      <c r="V78" s="25">
        <f t="shared" si="17"/>
        <v>0</v>
      </c>
      <c r="W78" s="25">
        <f t="shared" si="18"/>
        <v>1</v>
      </c>
    </row>
    <row r="79" spans="1:23" x14ac:dyDescent="0.3">
      <c r="A79" s="147"/>
      <c r="B79" s="205">
        <f t="shared" si="19"/>
        <v>20</v>
      </c>
      <c r="C79" s="206"/>
      <c r="D79" s="161"/>
      <c r="E79" s="161"/>
      <c r="F79" s="222"/>
      <c r="G79" s="222"/>
      <c r="H79" s="222"/>
      <c r="I79" s="207"/>
      <c r="J79" s="242">
        <f t="shared" si="16"/>
        <v>0</v>
      </c>
      <c r="K79" s="153"/>
      <c r="V79" s="25">
        <f t="shared" si="17"/>
        <v>0</v>
      </c>
      <c r="W79" s="25">
        <f t="shared" si="18"/>
        <v>0</v>
      </c>
    </row>
    <row r="80" spans="1:23" x14ac:dyDescent="0.3">
      <c r="A80" s="147"/>
      <c r="B80" s="205">
        <f t="shared" si="19"/>
        <v>21</v>
      </c>
      <c r="C80" s="206"/>
      <c r="D80" s="161"/>
      <c r="E80" s="161"/>
      <c r="F80" s="222"/>
      <c r="G80" s="222"/>
      <c r="H80" s="222"/>
      <c r="I80" s="207"/>
      <c r="J80" s="242">
        <f t="shared" si="16"/>
        <v>0</v>
      </c>
      <c r="K80" s="153"/>
      <c r="V80" s="25">
        <f t="shared" si="17"/>
        <v>0</v>
      </c>
      <c r="W80" s="25">
        <f t="shared" si="18"/>
        <v>0</v>
      </c>
    </row>
    <row r="81" spans="1:23" x14ac:dyDescent="0.3">
      <c r="A81" s="147"/>
      <c r="B81" s="205">
        <f t="shared" si="19"/>
        <v>22</v>
      </c>
      <c r="C81" s="206"/>
      <c r="D81" s="161"/>
      <c r="E81" s="161"/>
      <c r="F81" s="222"/>
      <c r="G81" s="222"/>
      <c r="H81" s="222"/>
      <c r="I81" s="207"/>
      <c r="J81" s="242">
        <f t="shared" si="16"/>
        <v>0</v>
      </c>
      <c r="K81" s="153"/>
    </row>
    <row r="82" spans="1:23" x14ac:dyDescent="0.3">
      <c r="A82" s="147"/>
      <c r="B82" s="205">
        <f t="shared" si="19"/>
        <v>23</v>
      </c>
      <c r="C82" s="206"/>
      <c r="D82" s="161"/>
      <c r="E82" s="161"/>
      <c r="F82" s="222"/>
      <c r="G82" s="222"/>
      <c r="H82" s="222"/>
      <c r="I82" s="207"/>
      <c r="J82" s="242">
        <f t="shared" si="16"/>
        <v>0</v>
      </c>
      <c r="K82" s="153"/>
      <c r="V82" s="25">
        <f t="shared" si="17"/>
        <v>0</v>
      </c>
      <c r="W82" s="25">
        <f t="shared" si="18"/>
        <v>0</v>
      </c>
    </row>
    <row r="83" spans="1:23" ht="15" thickBot="1" x14ac:dyDescent="0.35">
      <c r="A83" s="147"/>
      <c r="B83" s="205">
        <f t="shared" si="19"/>
        <v>24</v>
      </c>
      <c r="C83" s="209"/>
      <c r="D83" s="166"/>
      <c r="E83" s="166"/>
      <c r="F83" s="210"/>
      <c r="G83" s="210"/>
      <c r="H83" s="166"/>
      <c r="I83" s="210"/>
      <c r="J83" s="244">
        <f t="shared" si="16"/>
        <v>0</v>
      </c>
      <c r="K83" s="153"/>
      <c r="V83" s="25">
        <f t="shared" si="17"/>
        <v>0</v>
      </c>
      <c r="W83" s="25">
        <f t="shared" si="18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106200</v>
      </c>
      <c r="K84" s="153"/>
      <c r="V84" s="25">
        <f>SUM(V60:V83)</f>
        <v>13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2950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43892</v>
      </c>
      <c r="D92" s="185" t="s">
        <v>8</v>
      </c>
      <c r="E92" s="185" t="s">
        <v>39</v>
      </c>
      <c r="F92" s="219">
        <v>11345</v>
      </c>
      <c r="G92" s="219">
        <v>11330</v>
      </c>
      <c r="H92" s="185">
        <v>15</v>
      </c>
      <c r="I92" s="219">
        <v>150</v>
      </c>
      <c r="J92" s="246">
        <f t="shared" ref="J92:J114" si="20">I92*H92</f>
        <v>2250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06">
        <v>43893</v>
      </c>
      <c r="D93" s="161" t="s">
        <v>8</v>
      </c>
      <c r="E93" s="161" t="s">
        <v>39</v>
      </c>
      <c r="F93" s="207">
        <v>11220</v>
      </c>
      <c r="G93" s="207">
        <v>11160</v>
      </c>
      <c r="H93" s="161">
        <v>60</v>
      </c>
      <c r="I93" s="207">
        <v>150</v>
      </c>
      <c r="J93" s="242">
        <f t="shared" si="20"/>
        <v>9000</v>
      </c>
      <c r="K93" s="153"/>
      <c r="V93" s="25">
        <f t="shared" ref="V93:V114" si="21">IF($J93&gt;0,1,0)</f>
        <v>1</v>
      </c>
      <c r="W93" s="25">
        <f t="shared" ref="W93:W114" si="22">IF($J93&lt;0,1,0)</f>
        <v>0</v>
      </c>
    </row>
    <row r="94" spans="1:23" x14ac:dyDescent="0.3">
      <c r="A94" s="147"/>
      <c r="B94" s="205">
        <f t="shared" ref="B94:B114" si="23">B93+1</f>
        <v>3</v>
      </c>
      <c r="C94" s="206">
        <v>43894</v>
      </c>
      <c r="D94" s="161" t="s">
        <v>8</v>
      </c>
      <c r="E94" s="161" t="s">
        <v>39</v>
      </c>
      <c r="F94" s="207">
        <v>11270</v>
      </c>
      <c r="G94" s="207">
        <v>11300</v>
      </c>
      <c r="H94" s="161">
        <v>-30</v>
      </c>
      <c r="I94" s="207">
        <v>150</v>
      </c>
      <c r="J94" s="242">
        <f t="shared" si="20"/>
        <v>-4500</v>
      </c>
      <c r="K94" s="153"/>
      <c r="V94" s="25">
        <f t="shared" si="21"/>
        <v>0</v>
      </c>
      <c r="W94" s="25">
        <f t="shared" si="22"/>
        <v>1</v>
      </c>
    </row>
    <row r="95" spans="1:23" x14ac:dyDescent="0.3">
      <c r="A95" s="147"/>
      <c r="B95" s="205">
        <f t="shared" si="23"/>
        <v>4</v>
      </c>
      <c r="C95" s="206">
        <v>43895</v>
      </c>
      <c r="D95" s="161" t="s">
        <v>8</v>
      </c>
      <c r="E95" s="161" t="s">
        <v>39</v>
      </c>
      <c r="F95" s="207">
        <v>11330</v>
      </c>
      <c r="G95" s="207">
        <v>11270</v>
      </c>
      <c r="H95" s="161">
        <v>60</v>
      </c>
      <c r="I95" s="207">
        <v>150</v>
      </c>
      <c r="J95" s="242">
        <f t="shared" si="20"/>
        <v>9000</v>
      </c>
      <c r="K95" s="153"/>
      <c r="V95" s="25">
        <f t="shared" si="21"/>
        <v>1</v>
      </c>
      <c r="W95" s="25">
        <f t="shared" si="22"/>
        <v>0</v>
      </c>
    </row>
    <row r="96" spans="1:23" x14ac:dyDescent="0.3">
      <c r="A96" s="147"/>
      <c r="B96" s="205">
        <f t="shared" si="23"/>
        <v>5</v>
      </c>
      <c r="C96" s="206">
        <v>43896</v>
      </c>
      <c r="D96" s="161" t="s">
        <v>8</v>
      </c>
      <c r="E96" s="161" t="s">
        <v>39</v>
      </c>
      <c r="F96" s="207">
        <v>10870</v>
      </c>
      <c r="G96" s="207">
        <v>10840</v>
      </c>
      <c r="H96" s="161">
        <v>30</v>
      </c>
      <c r="I96" s="207">
        <v>150</v>
      </c>
      <c r="J96" s="242">
        <f t="shared" si="20"/>
        <v>4500</v>
      </c>
      <c r="K96" s="153"/>
      <c r="V96" s="25">
        <f t="shared" si="21"/>
        <v>1</v>
      </c>
      <c r="W96" s="25">
        <f t="shared" si="22"/>
        <v>0</v>
      </c>
    </row>
    <row r="97" spans="1:23" x14ac:dyDescent="0.3">
      <c r="A97" s="147"/>
      <c r="B97" s="205">
        <f t="shared" si="23"/>
        <v>6</v>
      </c>
      <c r="C97" s="206">
        <v>43899</v>
      </c>
      <c r="D97" s="161" t="s">
        <v>8</v>
      </c>
      <c r="E97" s="161" t="s">
        <v>39</v>
      </c>
      <c r="F97" s="207">
        <v>10550</v>
      </c>
      <c r="G97" s="207">
        <v>10490</v>
      </c>
      <c r="H97" s="161">
        <v>60</v>
      </c>
      <c r="I97" s="207">
        <v>150</v>
      </c>
      <c r="J97" s="242">
        <f t="shared" si="20"/>
        <v>9000</v>
      </c>
      <c r="K97" s="153"/>
      <c r="V97" s="25">
        <f t="shared" si="21"/>
        <v>1</v>
      </c>
      <c r="W97" s="25">
        <f t="shared" si="22"/>
        <v>0</v>
      </c>
    </row>
    <row r="98" spans="1:23" x14ac:dyDescent="0.3">
      <c r="A98" s="147"/>
      <c r="B98" s="205">
        <f t="shared" si="23"/>
        <v>7</v>
      </c>
      <c r="C98" s="206">
        <v>43901</v>
      </c>
      <c r="D98" s="161" t="s">
        <v>8</v>
      </c>
      <c r="E98" s="161" t="s">
        <v>39</v>
      </c>
      <c r="F98" s="207">
        <v>10430</v>
      </c>
      <c r="G98" s="207">
        <v>10370</v>
      </c>
      <c r="H98" s="161">
        <v>60</v>
      </c>
      <c r="I98" s="207">
        <v>150</v>
      </c>
      <c r="J98" s="242">
        <f t="shared" si="20"/>
        <v>9000</v>
      </c>
      <c r="K98" s="153"/>
      <c r="V98" s="25">
        <f t="shared" si="21"/>
        <v>1</v>
      </c>
      <c r="W98" s="25">
        <f t="shared" si="22"/>
        <v>0</v>
      </c>
    </row>
    <row r="99" spans="1:23" x14ac:dyDescent="0.3">
      <c r="A99" s="147"/>
      <c r="B99" s="205">
        <f t="shared" si="23"/>
        <v>8</v>
      </c>
      <c r="C99" s="206">
        <v>43902</v>
      </c>
      <c r="D99" s="161" t="s">
        <v>8</v>
      </c>
      <c r="E99" s="161" t="s">
        <v>39</v>
      </c>
      <c r="F99" s="207">
        <v>9890</v>
      </c>
      <c r="G99" s="207">
        <v>9830</v>
      </c>
      <c r="H99" s="161">
        <v>60</v>
      </c>
      <c r="I99" s="207">
        <v>150</v>
      </c>
      <c r="J99" s="242">
        <f t="shared" si="20"/>
        <v>9000</v>
      </c>
      <c r="K99" s="153"/>
      <c r="V99" s="25">
        <f t="shared" si="21"/>
        <v>1</v>
      </c>
      <c r="W99" s="25">
        <f t="shared" si="22"/>
        <v>0</v>
      </c>
    </row>
    <row r="100" spans="1:23" x14ac:dyDescent="0.3">
      <c r="A100" s="147"/>
      <c r="B100" s="205">
        <f t="shared" si="23"/>
        <v>9</v>
      </c>
      <c r="C100" s="206">
        <v>43906</v>
      </c>
      <c r="D100" s="161" t="s">
        <v>8</v>
      </c>
      <c r="E100" s="161" t="s">
        <v>39</v>
      </c>
      <c r="F100" s="207">
        <v>9400</v>
      </c>
      <c r="G100" s="207">
        <v>9320</v>
      </c>
      <c r="H100" s="161">
        <v>80</v>
      </c>
      <c r="I100" s="207">
        <v>150</v>
      </c>
      <c r="J100" s="242">
        <f t="shared" si="20"/>
        <v>12000</v>
      </c>
      <c r="K100" s="153"/>
      <c r="V100" s="25">
        <f t="shared" si="21"/>
        <v>1</v>
      </c>
      <c r="W100" s="25">
        <f t="shared" si="22"/>
        <v>0</v>
      </c>
    </row>
    <row r="101" spans="1:23" x14ac:dyDescent="0.3">
      <c r="A101" s="147"/>
      <c r="B101" s="205">
        <f t="shared" si="23"/>
        <v>10</v>
      </c>
      <c r="C101" s="206">
        <v>43907</v>
      </c>
      <c r="D101" s="161" t="s">
        <v>8</v>
      </c>
      <c r="E101" s="161" t="s">
        <v>39</v>
      </c>
      <c r="F101" s="207">
        <v>9300</v>
      </c>
      <c r="G101" s="207">
        <v>9220</v>
      </c>
      <c r="H101" s="161">
        <v>80</v>
      </c>
      <c r="I101" s="207">
        <v>150</v>
      </c>
      <c r="J101" s="242">
        <f t="shared" si="20"/>
        <v>12000</v>
      </c>
      <c r="K101" s="153"/>
      <c r="V101" s="25">
        <f t="shared" si="21"/>
        <v>1</v>
      </c>
      <c r="W101" s="25">
        <f t="shared" si="22"/>
        <v>0</v>
      </c>
    </row>
    <row r="102" spans="1:23" x14ac:dyDescent="0.3">
      <c r="A102" s="147"/>
      <c r="B102" s="205">
        <f t="shared" si="23"/>
        <v>11</v>
      </c>
      <c r="C102" s="206">
        <v>43908</v>
      </c>
      <c r="D102" s="161" t="s">
        <v>8</v>
      </c>
      <c r="E102" s="161" t="s">
        <v>39</v>
      </c>
      <c r="F102" s="207">
        <v>8820</v>
      </c>
      <c r="G102" s="207">
        <v>8780</v>
      </c>
      <c r="H102" s="161">
        <v>40</v>
      </c>
      <c r="I102" s="207">
        <v>150</v>
      </c>
      <c r="J102" s="242">
        <f t="shared" si="20"/>
        <v>6000</v>
      </c>
      <c r="K102" s="153"/>
      <c r="V102" s="25">
        <f t="shared" si="21"/>
        <v>1</v>
      </c>
      <c r="W102" s="25">
        <f t="shared" si="22"/>
        <v>0</v>
      </c>
    </row>
    <row r="103" spans="1:23" x14ac:dyDescent="0.3">
      <c r="A103" s="147"/>
      <c r="B103" s="205">
        <f t="shared" si="23"/>
        <v>12</v>
      </c>
      <c r="C103" s="206">
        <v>43909</v>
      </c>
      <c r="D103" s="161" t="s">
        <v>8</v>
      </c>
      <c r="E103" s="161" t="s">
        <v>39</v>
      </c>
      <c r="F103" s="207">
        <v>7950</v>
      </c>
      <c r="G103" s="207">
        <v>7930</v>
      </c>
      <c r="H103" s="161">
        <v>20</v>
      </c>
      <c r="I103" s="207">
        <v>150</v>
      </c>
      <c r="J103" s="242">
        <f t="shared" si="20"/>
        <v>3000</v>
      </c>
      <c r="K103" s="153"/>
      <c r="V103" s="25">
        <f t="shared" si="21"/>
        <v>1</v>
      </c>
      <c r="W103" s="25">
        <f t="shared" si="22"/>
        <v>0</v>
      </c>
    </row>
    <row r="104" spans="1:23" x14ac:dyDescent="0.3">
      <c r="A104" s="147"/>
      <c r="B104" s="205">
        <f t="shared" si="23"/>
        <v>13</v>
      </c>
      <c r="C104" s="206">
        <v>43914</v>
      </c>
      <c r="D104" s="161" t="s">
        <v>8</v>
      </c>
      <c r="E104" s="161" t="s">
        <v>39</v>
      </c>
      <c r="F104" s="207">
        <v>7780</v>
      </c>
      <c r="G104" s="207">
        <v>7745</v>
      </c>
      <c r="H104" s="161">
        <v>35</v>
      </c>
      <c r="I104" s="207">
        <v>150</v>
      </c>
      <c r="J104" s="242">
        <f t="shared" si="20"/>
        <v>5250</v>
      </c>
      <c r="K104" s="153"/>
      <c r="V104" s="25">
        <f t="shared" si="21"/>
        <v>1</v>
      </c>
      <c r="W104" s="25">
        <f t="shared" si="22"/>
        <v>0</v>
      </c>
    </row>
    <row r="105" spans="1:23" x14ac:dyDescent="0.3">
      <c r="A105" s="147"/>
      <c r="B105" s="205">
        <f t="shared" si="23"/>
        <v>14</v>
      </c>
      <c r="C105" s="206">
        <v>43916</v>
      </c>
      <c r="D105" s="161" t="s">
        <v>8</v>
      </c>
      <c r="E105" s="161" t="s">
        <v>39</v>
      </c>
      <c r="F105" s="207">
        <v>8640</v>
      </c>
      <c r="G105" s="207">
        <v>8600</v>
      </c>
      <c r="H105" s="161">
        <v>40</v>
      </c>
      <c r="I105" s="207">
        <v>150</v>
      </c>
      <c r="J105" s="242">
        <f t="shared" si="20"/>
        <v>6000</v>
      </c>
      <c r="K105" s="153"/>
      <c r="V105" s="25">
        <f t="shared" si="21"/>
        <v>1</v>
      </c>
      <c r="W105" s="25">
        <f t="shared" si="22"/>
        <v>0</v>
      </c>
    </row>
    <row r="106" spans="1:23" x14ac:dyDescent="0.3">
      <c r="A106" s="147"/>
      <c r="B106" s="205">
        <f t="shared" si="23"/>
        <v>15</v>
      </c>
      <c r="C106" s="206">
        <v>43917</v>
      </c>
      <c r="D106" s="161" t="s">
        <v>8</v>
      </c>
      <c r="E106" s="161" t="s">
        <v>39</v>
      </c>
      <c r="F106" s="207">
        <v>8650</v>
      </c>
      <c r="G106" s="207">
        <v>8550</v>
      </c>
      <c r="H106" s="161">
        <v>100</v>
      </c>
      <c r="I106" s="207">
        <v>150</v>
      </c>
      <c r="J106" s="242">
        <f t="shared" si="20"/>
        <v>15000</v>
      </c>
      <c r="K106" s="153"/>
      <c r="V106" s="25">
        <f t="shared" si="21"/>
        <v>1</v>
      </c>
      <c r="W106" s="25">
        <f t="shared" si="22"/>
        <v>0</v>
      </c>
    </row>
    <row r="107" spans="1:23" x14ac:dyDescent="0.3">
      <c r="A107" s="147"/>
      <c r="B107" s="205">
        <f t="shared" si="23"/>
        <v>16</v>
      </c>
      <c r="C107" s="206">
        <v>43920</v>
      </c>
      <c r="D107" s="161" t="s">
        <v>8</v>
      </c>
      <c r="E107" s="161" t="s">
        <v>39</v>
      </c>
      <c r="F107" s="207">
        <v>8610</v>
      </c>
      <c r="G107" s="207">
        <v>8530</v>
      </c>
      <c r="H107" s="161">
        <v>80</v>
      </c>
      <c r="I107" s="207">
        <v>150</v>
      </c>
      <c r="J107" s="242">
        <f t="shared" si="20"/>
        <v>12000</v>
      </c>
      <c r="K107" s="153"/>
      <c r="V107" s="25">
        <f t="shared" si="21"/>
        <v>1</v>
      </c>
      <c r="W107" s="25">
        <f t="shared" si="22"/>
        <v>0</v>
      </c>
    </row>
    <row r="108" spans="1:23" x14ac:dyDescent="0.3">
      <c r="A108" s="147"/>
      <c r="B108" s="205">
        <f t="shared" si="23"/>
        <v>17</v>
      </c>
      <c r="C108" s="206">
        <v>43921</v>
      </c>
      <c r="D108" s="161" t="s">
        <v>8</v>
      </c>
      <c r="E108" s="161" t="s">
        <v>39</v>
      </c>
      <c r="F108" s="207">
        <v>8500</v>
      </c>
      <c r="G108" s="207">
        <v>8470</v>
      </c>
      <c r="H108" s="161">
        <v>-30</v>
      </c>
      <c r="I108" s="207">
        <v>150</v>
      </c>
      <c r="J108" s="242">
        <f t="shared" si="20"/>
        <v>-4500</v>
      </c>
      <c r="K108" s="153"/>
      <c r="V108" s="25">
        <f t="shared" si="21"/>
        <v>0</v>
      </c>
      <c r="W108" s="25">
        <f t="shared" si="22"/>
        <v>1</v>
      </c>
    </row>
    <row r="109" spans="1:23" x14ac:dyDescent="0.3">
      <c r="A109" s="147"/>
      <c r="B109" s="205">
        <f t="shared" si="23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20"/>
        <v>0</v>
      </c>
      <c r="K109" s="153"/>
      <c r="V109" s="25">
        <f t="shared" si="21"/>
        <v>0</v>
      </c>
      <c r="W109" s="25">
        <f t="shared" si="22"/>
        <v>0</v>
      </c>
    </row>
    <row r="110" spans="1:23" x14ac:dyDescent="0.3">
      <c r="A110" s="147"/>
      <c r="B110" s="205">
        <f t="shared" si="23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1"/>
        <v>0</v>
      </c>
      <c r="W110" s="25">
        <f t="shared" si="22"/>
        <v>0</v>
      </c>
    </row>
    <row r="111" spans="1:23" x14ac:dyDescent="0.3">
      <c r="A111" s="147"/>
      <c r="B111" s="205">
        <f t="shared" si="23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0"/>
        <v>0</v>
      </c>
      <c r="K111" s="153"/>
      <c r="V111" s="25">
        <f t="shared" si="21"/>
        <v>0</v>
      </c>
      <c r="W111" s="25">
        <f t="shared" si="22"/>
        <v>0</v>
      </c>
    </row>
    <row r="112" spans="1:23" x14ac:dyDescent="0.3">
      <c r="A112" s="147"/>
      <c r="B112" s="205">
        <f t="shared" si="23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0"/>
        <v>0</v>
      </c>
      <c r="K112" s="153"/>
      <c r="V112" s="25">
        <f t="shared" si="21"/>
        <v>0</v>
      </c>
      <c r="W112" s="25">
        <f t="shared" si="22"/>
        <v>0</v>
      </c>
    </row>
    <row r="113" spans="1:23" x14ac:dyDescent="0.3">
      <c r="A113" s="147"/>
      <c r="B113" s="205">
        <f t="shared" si="23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0"/>
        <v>0</v>
      </c>
      <c r="K113" s="153"/>
      <c r="V113" s="25">
        <f t="shared" si="21"/>
        <v>0</v>
      </c>
      <c r="W113" s="25">
        <f t="shared" si="22"/>
        <v>0</v>
      </c>
    </row>
    <row r="114" spans="1:23" ht="15" thickBot="1" x14ac:dyDescent="0.35">
      <c r="A114" s="147"/>
      <c r="B114" s="208">
        <f t="shared" si="23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0"/>
        <v>0</v>
      </c>
      <c r="K114" s="153"/>
      <c r="V114" s="25">
        <f t="shared" si="21"/>
        <v>0</v>
      </c>
      <c r="W114" s="25">
        <f t="shared" si="22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114000</v>
      </c>
      <c r="K115" s="153"/>
      <c r="V115" s="25">
        <f>SUM(V92:V114)</f>
        <v>15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2948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43892</v>
      </c>
      <c r="D123" s="185" t="s">
        <v>9</v>
      </c>
      <c r="E123" s="185" t="s">
        <v>2531</v>
      </c>
      <c r="F123" s="219">
        <v>100</v>
      </c>
      <c r="G123" s="219">
        <v>80</v>
      </c>
      <c r="H123" s="185">
        <v>-20</v>
      </c>
      <c r="I123" s="219">
        <v>300</v>
      </c>
      <c r="J123" s="246">
        <f t="shared" ref="J123:J145" si="24">I123*H123</f>
        <v>-6000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06">
        <v>43893</v>
      </c>
      <c r="D124" s="161" t="s">
        <v>9</v>
      </c>
      <c r="E124" s="161" t="s">
        <v>2785</v>
      </c>
      <c r="F124" s="207">
        <v>125</v>
      </c>
      <c r="G124" s="207">
        <v>155</v>
      </c>
      <c r="H124" s="161">
        <v>30</v>
      </c>
      <c r="I124" s="207">
        <v>300</v>
      </c>
      <c r="J124" s="242">
        <f t="shared" si="24"/>
        <v>9000</v>
      </c>
      <c r="K124" s="153"/>
      <c r="V124" s="25">
        <f t="shared" ref="V124:V145" si="25">IF($J124&gt;0,1,0)</f>
        <v>1</v>
      </c>
      <c r="W124" s="25">
        <f t="shared" ref="W124:W145" si="26">IF($J124&lt;0,1,0)</f>
        <v>0</v>
      </c>
    </row>
    <row r="125" spans="1:23" x14ac:dyDescent="0.3">
      <c r="A125" s="147"/>
      <c r="B125" s="205">
        <f t="shared" ref="B125:B145" si="27">B124+1</f>
        <v>3</v>
      </c>
      <c r="C125" s="206">
        <v>43894</v>
      </c>
      <c r="D125" s="161" t="s">
        <v>9</v>
      </c>
      <c r="E125" s="161" t="s">
        <v>2531</v>
      </c>
      <c r="F125" s="207">
        <v>105</v>
      </c>
      <c r="G125" s="207">
        <v>145</v>
      </c>
      <c r="H125" s="161">
        <v>40</v>
      </c>
      <c r="I125" s="207">
        <v>300</v>
      </c>
      <c r="J125" s="242">
        <f t="shared" si="24"/>
        <v>12000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si="27"/>
        <v>4</v>
      </c>
      <c r="C126" s="206">
        <v>43895</v>
      </c>
      <c r="D126" s="161" t="s">
        <v>9</v>
      </c>
      <c r="E126" s="161" t="s">
        <v>2776</v>
      </c>
      <c r="F126" s="207">
        <v>90</v>
      </c>
      <c r="G126" s="207">
        <v>130</v>
      </c>
      <c r="H126" s="161">
        <v>40</v>
      </c>
      <c r="I126" s="207">
        <v>300</v>
      </c>
      <c r="J126" s="242">
        <f t="shared" si="24"/>
        <v>12000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43896</v>
      </c>
      <c r="D127" s="161" t="s">
        <v>9</v>
      </c>
      <c r="E127" s="161" t="s">
        <v>2429</v>
      </c>
      <c r="F127" s="207">
        <v>140</v>
      </c>
      <c r="G127" s="207">
        <v>120</v>
      </c>
      <c r="H127" s="161">
        <v>-20</v>
      </c>
      <c r="I127" s="207">
        <v>300</v>
      </c>
      <c r="J127" s="242">
        <f t="shared" si="24"/>
        <v>-6000</v>
      </c>
      <c r="K127" s="153"/>
      <c r="M127" s="25" t="s">
        <v>2008</v>
      </c>
      <c r="V127" s="25">
        <f t="shared" si="25"/>
        <v>0</v>
      </c>
      <c r="W127" s="25">
        <f t="shared" si="26"/>
        <v>1</v>
      </c>
    </row>
    <row r="128" spans="1:23" x14ac:dyDescent="0.3">
      <c r="A128" s="147"/>
      <c r="B128" s="205">
        <f t="shared" si="27"/>
        <v>6</v>
      </c>
      <c r="C128" s="206">
        <v>43899</v>
      </c>
      <c r="D128" s="161" t="s">
        <v>9</v>
      </c>
      <c r="E128" s="161" t="s">
        <v>2412</v>
      </c>
      <c r="F128" s="207">
        <v>160</v>
      </c>
      <c r="G128" s="222">
        <v>200</v>
      </c>
      <c r="H128" s="222">
        <v>40</v>
      </c>
      <c r="I128" s="207">
        <v>300</v>
      </c>
      <c r="J128" s="242">
        <f t="shared" si="24"/>
        <v>12000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43901</v>
      </c>
      <c r="D129" s="161" t="s">
        <v>9</v>
      </c>
      <c r="E129" s="161" t="s">
        <v>2376</v>
      </c>
      <c r="F129" s="207">
        <v>115</v>
      </c>
      <c r="G129" s="207">
        <v>135</v>
      </c>
      <c r="H129" s="161">
        <v>20</v>
      </c>
      <c r="I129" s="207">
        <v>300</v>
      </c>
      <c r="J129" s="242">
        <f t="shared" si="24"/>
        <v>6000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43902</v>
      </c>
      <c r="D130" s="161" t="s">
        <v>9</v>
      </c>
      <c r="E130" s="161" t="s">
        <v>2205</v>
      </c>
      <c r="F130" s="207">
        <v>100</v>
      </c>
      <c r="G130" s="207">
        <v>140</v>
      </c>
      <c r="H130" s="161">
        <v>40</v>
      </c>
      <c r="I130" s="207">
        <v>300</v>
      </c>
      <c r="J130" s="242">
        <f t="shared" si="24"/>
        <v>12000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43906</v>
      </c>
      <c r="D131" s="161" t="s">
        <v>9</v>
      </c>
      <c r="E131" s="161" t="s">
        <v>2048</v>
      </c>
      <c r="F131" s="207">
        <v>310</v>
      </c>
      <c r="G131" s="207">
        <v>370</v>
      </c>
      <c r="H131" s="161">
        <v>60</v>
      </c>
      <c r="I131" s="207">
        <v>300</v>
      </c>
      <c r="J131" s="242">
        <f t="shared" si="24"/>
        <v>18000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43907</v>
      </c>
      <c r="D132" s="161" t="s">
        <v>9</v>
      </c>
      <c r="E132" s="161" t="s">
        <v>2047</v>
      </c>
      <c r="F132" s="207">
        <v>260</v>
      </c>
      <c r="G132" s="222">
        <v>320</v>
      </c>
      <c r="H132" s="222">
        <v>60</v>
      </c>
      <c r="I132" s="207">
        <v>300</v>
      </c>
      <c r="J132" s="242">
        <f t="shared" si="24"/>
        <v>18000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43908</v>
      </c>
      <c r="D133" s="161" t="s">
        <v>9</v>
      </c>
      <c r="E133" s="161" t="s">
        <v>1719</v>
      </c>
      <c r="F133" s="207">
        <v>180</v>
      </c>
      <c r="G133" s="207">
        <v>240</v>
      </c>
      <c r="H133" s="161">
        <v>60</v>
      </c>
      <c r="I133" s="207">
        <v>300</v>
      </c>
      <c r="J133" s="242">
        <f t="shared" si="24"/>
        <v>18000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43909</v>
      </c>
      <c r="D134" s="161" t="s">
        <v>9</v>
      </c>
      <c r="E134" s="161" t="s">
        <v>960</v>
      </c>
      <c r="F134" s="207">
        <v>90</v>
      </c>
      <c r="G134" s="222">
        <v>60</v>
      </c>
      <c r="H134" s="222">
        <v>-30</v>
      </c>
      <c r="I134" s="207">
        <v>300</v>
      </c>
      <c r="J134" s="242">
        <f t="shared" si="24"/>
        <v>-9000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13</v>
      </c>
      <c r="C135" s="206">
        <v>43914</v>
      </c>
      <c r="D135" s="161" t="s">
        <v>9</v>
      </c>
      <c r="E135" s="161" t="s">
        <v>935</v>
      </c>
      <c r="F135" s="207">
        <v>340</v>
      </c>
      <c r="G135" s="207">
        <v>300</v>
      </c>
      <c r="H135" s="161">
        <v>-40</v>
      </c>
      <c r="I135" s="207">
        <v>300</v>
      </c>
      <c r="J135" s="242">
        <f t="shared" si="24"/>
        <v>-12000</v>
      </c>
      <c r="K135" s="153"/>
      <c r="V135" s="25">
        <f t="shared" si="25"/>
        <v>0</v>
      </c>
      <c r="W135" s="25">
        <f t="shared" si="26"/>
        <v>1</v>
      </c>
    </row>
    <row r="136" spans="1:23" x14ac:dyDescent="0.3">
      <c r="A136" s="147"/>
      <c r="B136" s="205">
        <f t="shared" si="27"/>
        <v>14</v>
      </c>
      <c r="C136" s="206">
        <v>43915</v>
      </c>
      <c r="D136" s="161" t="s">
        <v>9</v>
      </c>
      <c r="E136" s="161" t="s">
        <v>935</v>
      </c>
      <c r="F136" s="207">
        <v>190</v>
      </c>
      <c r="G136" s="207">
        <v>150</v>
      </c>
      <c r="H136" s="161">
        <v>-40</v>
      </c>
      <c r="I136" s="207">
        <v>300</v>
      </c>
      <c r="J136" s="242">
        <f>I136*H136</f>
        <v>-12000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7"/>
        <v>15</v>
      </c>
      <c r="C137" s="206">
        <v>43916</v>
      </c>
      <c r="D137" s="161" t="s">
        <v>9</v>
      </c>
      <c r="E137" s="161" t="s">
        <v>1639</v>
      </c>
      <c r="F137" s="207">
        <v>100</v>
      </c>
      <c r="G137" s="207">
        <v>160</v>
      </c>
      <c r="H137" s="161">
        <v>60</v>
      </c>
      <c r="I137" s="207">
        <v>300</v>
      </c>
      <c r="J137" s="242">
        <f t="shared" si="24"/>
        <v>18000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43917</v>
      </c>
      <c r="D138" s="161" t="s">
        <v>9</v>
      </c>
      <c r="E138" s="161" t="s">
        <v>1639</v>
      </c>
      <c r="F138" s="207">
        <v>400</v>
      </c>
      <c r="G138" s="207">
        <v>440</v>
      </c>
      <c r="H138" s="161">
        <v>40</v>
      </c>
      <c r="I138" s="207">
        <v>300</v>
      </c>
      <c r="J138" s="242">
        <f t="shared" si="24"/>
        <v>12000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43920</v>
      </c>
      <c r="D139" s="161" t="s">
        <v>9</v>
      </c>
      <c r="E139" s="161" t="s">
        <v>1876</v>
      </c>
      <c r="F139" s="207">
        <v>290</v>
      </c>
      <c r="G139" s="207">
        <v>370</v>
      </c>
      <c r="H139" s="161">
        <v>80</v>
      </c>
      <c r="I139" s="207">
        <v>300</v>
      </c>
      <c r="J139" s="242">
        <f t="shared" si="24"/>
        <v>24000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43921</v>
      </c>
      <c r="D140" s="161" t="s">
        <v>9</v>
      </c>
      <c r="E140" s="161" t="s">
        <v>1876</v>
      </c>
      <c r="F140" s="207">
        <v>125</v>
      </c>
      <c r="G140" s="207">
        <v>137</v>
      </c>
      <c r="H140" s="161">
        <v>12</v>
      </c>
      <c r="I140" s="207">
        <v>300</v>
      </c>
      <c r="J140" s="242">
        <f t="shared" si="24"/>
        <v>3600</v>
      </c>
      <c r="K140" s="153"/>
      <c r="V140" s="25">
        <f t="shared" si="25"/>
        <v>1</v>
      </c>
      <c r="W140" s="25">
        <f t="shared" si="26"/>
        <v>0</v>
      </c>
    </row>
    <row r="141" spans="1:23" x14ac:dyDescent="0.3">
      <c r="A141" s="147"/>
      <c r="B141" s="205">
        <f t="shared" si="27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4"/>
        <v>0</v>
      </c>
      <c r="K141" s="153"/>
      <c r="V141" s="25">
        <f t="shared" si="25"/>
        <v>0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4"/>
        <v>0</v>
      </c>
      <c r="K142" s="153"/>
      <c r="V142" s="25">
        <f t="shared" si="25"/>
        <v>0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15" thickBot="1" x14ac:dyDescent="0.35">
      <c r="A145" s="147"/>
      <c r="B145" s="208">
        <f t="shared" si="27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129600</v>
      </c>
      <c r="K146" s="153"/>
      <c r="V146" s="25">
        <f>SUM(V123:V145)</f>
        <v>13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2948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43892</v>
      </c>
      <c r="D154" s="185" t="s">
        <v>8</v>
      </c>
      <c r="E154" s="185" t="s">
        <v>301</v>
      </c>
      <c r="F154" s="219">
        <v>29500</v>
      </c>
      <c r="G154" s="219">
        <v>29400</v>
      </c>
      <c r="H154" s="185">
        <v>100</v>
      </c>
      <c r="I154" s="219">
        <v>40</v>
      </c>
      <c r="J154" s="246">
        <f t="shared" ref="J154:J176" si="28">I154*H154</f>
        <v>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06">
        <v>43893</v>
      </c>
      <c r="D155" s="161" t="s">
        <v>8</v>
      </c>
      <c r="E155" s="161" t="s">
        <v>301</v>
      </c>
      <c r="F155" s="207">
        <v>29000</v>
      </c>
      <c r="G155" s="207">
        <v>28800</v>
      </c>
      <c r="H155" s="161">
        <v>200</v>
      </c>
      <c r="I155" s="207">
        <v>40</v>
      </c>
      <c r="J155" s="242">
        <f t="shared" si="28"/>
        <v>8000</v>
      </c>
      <c r="K155" s="153"/>
      <c r="V155" s="25">
        <f t="shared" ref="V155:V176" si="29">IF($J155&gt;0,1,0)</f>
        <v>1</v>
      </c>
      <c r="W155" s="25">
        <f t="shared" ref="W155:W176" si="30">IF($J155&lt;0,1,0)</f>
        <v>0</v>
      </c>
    </row>
    <row r="156" spans="1:23" x14ac:dyDescent="0.3">
      <c r="A156" s="147"/>
      <c r="B156" s="205">
        <f t="shared" ref="B156:B176" si="31">B155+1</f>
        <v>3</v>
      </c>
      <c r="C156" s="206">
        <v>43894</v>
      </c>
      <c r="D156" s="161" t="s">
        <v>8</v>
      </c>
      <c r="E156" s="161" t="s">
        <v>301</v>
      </c>
      <c r="F156" s="207">
        <v>29050</v>
      </c>
      <c r="G156" s="207">
        <v>28850</v>
      </c>
      <c r="H156" s="161">
        <v>200</v>
      </c>
      <c r="I156" s="207">
        <v>40</v>
      </c>
      <c r="J156" s="242">
        <f t="shared" si="28"/>
        <v>8000</v>
      </c>
      <c r="K156" s="153"/>
      <c r="V156" s="25">
        <f t="shared" si="29"/>
        <v>1</v>
      </c>
      <c r="W156" s="25">
        <f t="shared" si="30"/>
        <v>0</v>
      </c>
    </row>
    <row r="157" spans="1:23" x14ac:dyDescent="0.3">
      <c r="A157" s="147"/>
      <c r="B157" s="205">
        <f t="shared" si="31"/>
        <v>4</v>
      </c>
      <c r="C157" s="206">
        <v>43895</v>
      </c>
      <c r="D157" s="161" t="s">
        <v>8</v>
      </c>
      <c r="E157" s="161" t="s">
        <v>301</v>
      </c>
      <c r="F157" s="207">
        <v>28650</v>
      </c>
      <c r="G157" s="207">
        <v>28550</v>
      </c>
      <c r="H157" s="161">
        <v>100</v>
      </c>
      <c r="I157" s="207">
        <v>40</v>
      </c>
      <c r="J157" s="242">
        <f t="shared" si="28"/>
        <v>4000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5</v>
      </c>
      <c r="C158" s="206">
        <v>43896</v>
      </c>
      <c r="D158" s="161" t="s">
        <v>8</v>
      </c>
      <c r="E158" s="161" t="s">
        <v>301</v>
      </c>
      <c r="F158" s="207">
        <v>27580</v>
      </c>
      <c r="G158" s="207">
        <v>27525</v>
      </c>
      <c r="H158" s="161">
        <v>55</v>
      </c>
      <c r="I158" s="207">
        <v>40</v>
      </c>
      <c r="J158" s="242">
        <f t="shared" si="28"/>
        <v>2200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6</v>
      </c>
      <c r="C159" s="206">
        <v>43899</v>
      </c>
      <c r="D159" s="161" t="s">
        <v>8</v>
      </c>
      <c r="E159" s="161" t="s">
        <v>301</v>
      </c>
      <c r="F159" s="207">
        <v>26700</v>
      </c>
      <c r="G159" s="207">
        <v>26800</v>
      </c>
      <c r="H159" s="161">
        <v>-100</v>
      </c>
      <c r="I159" s="207">
        <v>40</v>
      </c>
      <c r="J159" s="242">
        <f t="shared" si="28"/>
        <v>-4000</v>
      </c>
      <c r="K159" s="153"/>
      <c r="V159" s="25">
        <f t="shared" si="29"/>
        <v>0</v>
      </c>
      <c r="W159" s="25">
        <f t="shared" si="30"/>
        <v>1</v>
      </c>
    </row>
    <row r="160" spans="1:23" x14ac:dyDescent="0.3">
      <c r="A160" s="147"/>
      <c r="B160" s="205">
        <f t="shared" si="31"/>
        <v>7</v>
      </c>
      <c r="C160" s="206">
        <v>43901</v>
      </c>
      <c r="D160" s="161" t="s">
        <v>8</v>
      </c>
      <c r="E160" s="161" t="s">
        <v>301</v>
      </c>
      <c r="F160" s="207">
        <v>26400</v>
      </c>
      <c r="G160" s="207">
        <v>26355</v>
      </c>
      <c r="H160" s="161">
        <v>45</v>
      </c>
      <c r="I160" s="207">
        <v>40</v>
      </c>
      <c r="J160" s="242">
        <f t="shared" si="28"/>
        <v>1800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8</v>
      </c>
      <c r="C161" s="206">
        <v>43902</v>
      </c>
      <c r="D161" s="161" t="s">
        <v>8</v>
      </c>
      <c r="E161" s="161" t="s">
        <v>301</v>
      </c>
      <c r="F161" s="207">
        <v>24750</v>
      </c>
      <c r="G161" s="207">
        <v>24550</v>
      </c>
      <c r="H161" s="161">
        <v>200</v>
      </c>
      <c r="I161" s="207">
        <v>40</v>
      </c>
      <c r="J161" s="242">
        <f t="shared" si="28"/>
        <v>8000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9</v>
      </c>
      <c r="C162" s="206">
        <v>43906</v>
      </c>
      <c r="D162" s="161" t="s">
        <v>8</v>
      </c>
      <c r="E162" s="161" t="s">
        <v>301</v>
      </c>
      <c r="F162" s="207">
        <v>23550</v>
      </c>
      <c r="G162" s="207">
        <v>23505</v>
      </c>
      <c r="H162" s="161">
        <v>45</v>
      </c>
      <c r="I162" s="207">
        <v>40</v>
      </c>
      <c r="J162" s="242">
        <f t="shared" si="28"/>
        <v>1800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10</v>
      </c>
      <c r="C163" s="206">
        <v>43907</v>
      </c>
      <c r="D163" s="161" t="s">
        <v>8</v>
      </c>
      <c r="E163" s="161" t="s">
        <v>301</v>
      </c>
      <c r="F163" s="207">
        <v>23200</v>
      </c>
      <c r="G163" s="207">
        <v>23000</v>
      </c>
      <c r="H163" s="161">
        <v>200</v>
      </c>
      <c r="I163" s="207">
        <v>40</v>
      </c>
      <c r="J163" s="242">
        <f t="shared" si="28"/>
        <v>8000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11</v>
      </c>
      <c r="C164" s="206">
        <v>43908</v>
      </c>
      <c r="D164" s="161" t="s">
        <v>8</v>
      </c>
      <c r="E164" s="161" t="s">
        <v>301</v>
      </c>
      <c r="F164" s="207">
        <v>21500</v>
      </c>
      <c r="G164" s="207">
        <v>21400</v>
      </c>
      <c r="H164" s="161">
        <v>100</v>
      </c>
      <c r="I164" s="207">
        <v>40</v>
      </c>
      <c r="J164" s="242">
        <f t="shared" si="28"/>
        <v>4000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12</v>
      </c>
      <c r="C165" s="206">
        <v>43909</v>
      </c>
      <c r="D165" s="161" t="s">
        <v>8</v>
      </c>
      <c r="E165" s="161" t="s">
        <v>301</v>
      </c>
      <c r="F165" s="207">
        <v>19150</v>
      </c>
      <c r="G165" s="207">
        <v>19300</v>
      </c>
      <c r="H165" s="161">
        <v>-150</v>
      </c>
      <c r="I165" s="207">
        <v>40</v>
      </c>
      <c r="J165" s="242">
        <f t="shared" si="28"/>
        <v>-6000</v>
      </c>
      <c r="K165" s="153"/>
      <c r="V165" s="25">
        <f t="shared" si="29"/>
        <v>0</v>
      </c>
      <c r="W165" s="25">
        <f t="shared" si="30"/>
        <v>1</v>
      </c>
    </row>
    <row r="166" spans="1:23" x14ac:dyDescent="0.3">
      <c r="A166" s="147"/>
      <c r="B166" s="205">
        <f t="shared" si="31"/>
        <v>13</v>
      </c>
      <c r="C166" s="206">
        <v>43910</v>
      </c>
      <c r="D166" s="161" t="s">
        <v>8</v>
      </c>
      <c r="E166" s="161" t="s">
        <v>301</v>
      </c>
      <c r="F166" s="207">
        <v>19550</v>
      </c>
      <c r="G166" s="207">
        <v>19700</v>
      </c>
      <c r="H166" s="161">
        <v>-150</v>
      </c>
      <c r="I166" s="207">
        <v>40</v>
      </c>
      <c r="J166" s="242">
        <f t="shared" si="28"/>
        <v>-6000</v>
      </c>
      <c r="K166" s="153"/>
      <c r="V166" s="25">
        <f t="shared" si="29"/>
        <v>0</v>
      </c>
      <c r="W166" s="25">
        <f t="shared" si="30"/>
        <v>1</v>
      </c>
    </row>
    <row r="167" spans="1:23" x14ac:dyDescent="0.3">
      <c r="A167" s="147"/>
      <c r="B167" s="205">
        <f t="shared" si="31"/>
        <v>14</v>
      </c>
      <c r="C167" s="206">
        <v>43914</v>
      </c>
      <c r="D167" s="161" t="s">
        <v>9</v>
      </c>
      <c r="E167" s="161" t="s">
        <v>301</v>
      </c>
      <c r="F167" s="207">
        <v>17500</v>
      </c>
      <c r="G167" s="207">
        <v>17580</v>
      </c>
      <c r="H167" s="161">
        <v>80</v>
      </c>
      <c r="I167" s="207">
        <v>40</v>
      </c>
      <c r="J167" s="242">
        <f t="shared" si="28"/>
        <v>3200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15</v>
      </c>
      <c r="C168" s="206">
        <v>43915</v>
      </c>
      <c r="D168" s="161" t="s">
        <v>9</v>
      </c>
      <c r="E168" s="161" t="s">
        <v>301</v>
      </c>
      <c r="F168" s="207">
        <v>17700</v>
      </c>
      <c r="G168" s="207">
        <v>17900</v>
      </c>
      <c r="H168" s="161">
        <v>200</v>
      </c>
      <c r="I168" s="207">
        <v>40</v>
      </c>
      <c r="J168" s="242">
        <f t="shared" si="28"/>
        <v>8000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16</v>
      </c>
      <c r="C169" s="206">
        <v>43916</v>
      </c>
      <c r="D169" s="161" t="s">
        <v>8</v>
      </c>
      <c r="E169" s="161" t="s">
        <v>301</v>
      </c>
      <c r="F169" s="207">
        <v>19700</v>
      </c>
      <c r="G169" s="207">
        <v>19500</v>
      </c>
      <c r="H169" s="161">
        <v>200</v>
      </c>
      <c r="I169" s="207">
        <v>40</v>
      </c>
      <c r="J169" s="242">
        <f t="shared" si="28"/>
        <v>8000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17</v>
      </c>
      <c r="C170" s="206">
        <v>43917</v>
      </c>
      <c r="D170" s="161" t="s">
        <v>9</v>
      </c>
      <c r="E170" s="161" t="s">
        <v>301</v>
      </c>
      <c r="F170" s="207">
        <v>20250</v>
      </c>
      <c r="G170" s="207">
        <v>20410</v>
      </c>
      <c r="H170" s="161">
        <v>160</v>
      </c>
      <c r="I170" s="207">
        <v>40</v>
      </c>
      <c r="J170" s="242">
        <f t="shared" si="28"/>
        <v>6400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18</v>
      </c>
      <c r="C171" s="206">
        <v>43920</v>
      </c>
      <c r="D171" s="161" t="s">
        <v>8</v>
      </c>
      <c r="E171" s="161" t="s">
        <v>301</v>
      </c>
      <c r="F171" s="207">
        <v>19450</v>
      </c>
      <c r="G171" s="207">
        <v>19390</v>
      </c>
      <c r="H171" s="161">
        <v>60</v>
      </c>
      <c r="I171" s="207">
        <v>40</v>
      </c>
      <c r="J171" s="242">
        <f t="shared" si="28"/>
        <v>2400</v>
      </c>
      <c r="K171" s="153"/>
      <c r="V171" s="25">
        <f t="shared" si="29"/>
        <v>1</v>
      </c>
      <c r="W171" s="25">
        <f t="shared" si="30"/>
        <v>0</v>
      </c>
    </row>
    <row r="172" spans="1:23" x14ac:dyDescent="0.3">
      <c r="A172" s="147"/>
      <c r="B172" s="205">
        <f t="shared" si="31"/>
        <v>19</v>
      </c>
      <c r="C172" s="206">
        <v>43921</v>
      </c>
      <c r="D172" s="161" t="s">
        <v>8</v>
      </c>
      <c r="E172" s="161" t="s">
        <v>301</v>
      </c>
      <c r="F172" s="207">
        <v>18950</v>
      </c>
      <c r="G172" s="207">
        <v>19100</v>
      </c>
      <c r="H172" s="161">
        <v>-150</v>
      </c>
      <c r="I172" s="207">
        <v>40</v>
      </c>
      <c r="J172" s="242">
        <f t="shared" si="28"/>
        <v>-6000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8"/>
        <v>0</v>
      </c>
      <c r="K173" s="153"/>
      <c r="V173" s="25">
        <f t="shared" si="29"/>
        <v>0</v>
      </c>
      <c r="W173" s="25">
        <f t="shared" si="30"/>
        <v>0</v>
      </c>
    </row>
    <row r="174" spans="1:23" x14ac:dyDescent="0.3">
      <c r="A174" s="147"/>
      <c r="B174" s="205">
        <f t="shared" si="31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x14ac:dyDescent="0.3">
      <c r="A175" s="147"/>
      <c r="B175" s="205">
        <f t="shared" si="31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15" thickBot="1" x14ac:dyDescent="0.35">
      <c r="A176" s="147"/>
      <c r="B176" s="208">
        <f t="shared" si="31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8"/>
        <v>0</v>
      </c>
      <c r="K176" s="153"/>
      <c r="V176" s="25">
        <f t="shared" si="29"/>
        <v>0</v>
      </c>
      <c r="W176" s="25">
        <f t="shared" si="30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55800</v>
      </c>
      <c r="K177" s="153"/>
      <c r="V177" s="25">
        <f>SUM(V154:V176)</f>
        <v>15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2948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43892</v>
      </c>
      <c r="D185" s="185" t="s">
        <v>9</v>
      </c>
      <c r="E185" s="185" t="s">
        <v>2783</v>
      </c>
      <c r="F185" s="219">
        <v>330</v>
      </c>
      <c r="G185" s="219">
        <v>375</v>
      </c>
      <c r="H185" s="185">
        <v>45</v>
      </c>
      <c r="I185" s="219">
        <v>80</v>
      </c>
      <c r="J185" s="246">
        <f t="shared" ref="J185:J207" si="32">I185*H185</f>
        <v>3600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06">
        <v>43893</v>
      </c>
      <c r="D186" s="161" t="s">
        <v>9</v>
      </c>
      <c r="E186" s="161" t="s">
        <v>2706</v>
      </c>
      <c r="F186" s="207">
        <v>360</v>
      </c>
      <c r="G186" s="207">
        <v>460</v>
      </c>
      <c r="H186" s="161">
        <v>100</v>
      </c>
      <c r="I186" s="207">
        <v>80</v>
      </c>
      <c r="J186" s="242">
        <f t="shared" si="32"/>
        <v>8000</v>
      </c>
      <c r="K186" s="153"/>
      <c r="V186" s="25">
        <f t="shared" ref="V186:V207" si="33">IF($J186&gt;0,1,0)</f>
        <v>1</v>
      </c>
      <c r="W186" s="25">
        <f t="shared" ref="W186:W207" si="34">IF($J186&lt;0,1,0)</f>
        <v>0</v>
      </c>
    </row>
    <row r="187" spans="1:23" x14ac:dyDescent="0.3">
      <c r="A187" s="147"/>
      <c r="B187" s="205">
        <f t="shared" ref="B187:B207" si="35">B186+1</f>
        <v>3</v>
      </c>
      <c r="C187" s="206">
        <v>43894</v>
      </c>
      <c r="D187" s="161" t="s">
        <v>9</v>
      </c>
      <c r="E187" s="161" t="s">
        <v>2706</v>
      </c>
      <c r="F187" s="207">
        <v>290</v>
      </c>
      <c r="G187" s="207">
        <v>410</v>
      </c>
      <c r="H187" s="161">
        <v>120</v>
      </c>
      <c r="I187" s="207">
        <v>80</v>
      </c>
      <c r="J187" s="242">
        <f t="shared" si="32"/>
        <v>9600</v>
      </c>
      <c r="K187" s="153"/>
      <c r="V187" s="25">
        <f t="shared" si="33"/>
        <v>1</v>
      </c>
      <c r="W187" s="25">
        <f t="shared" si="34"/>
        <v>0</v>
      </c>
    </row>
    <row r="188" spans="1:23" x14ac:dyDescent="0.3">
      <c r="A188" s="147"/>
      <c r="B188" s="205">
        <f t="shared" si="35"/>
        <v>4</v>
      </c>
      <c r="C188" s="206">
        <v>43895</v>
      </c>
      <c r="D188" s="161" t="s">
        <v>9</v>
      </c>
      <c r="E188" s="161" t="s">
        <v>2711</v>
      </c>
      <c r="F188" s="207">
        <v>190</v>
      </c>
      <c r="G188" s="207">
        <v>235</v>
      </c>
      <c r="H188" s="161">
        <v>45</v>
      </c>
      <c r="I188" s="207">
        <v>80</v>
      </c>
      <c r="J188" s="242">
        <f t="shared" si="32"/>
        <v>3600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5</v>
      </c>
      <c r="C189" s="206">
        <v>43896</v>
      </c>
      <c r="D189" s="161" t="s">
        <v>9</v>
      </c>
      <c r="E189" s="161" t="s">
        <v>2627</v>
      </c>
      <c r="F189" s="207">
        <v>560</v>
      </c>
      <c r="G189" s="207">
        <v>590</v>
      </c>
      <c r="H189" s="161">
        <v>30</v>
      </c>
      <c r="I189" s="207">
        <v>80</v>
      </c>
      <c r="J189" s="242">
        <f t="shared" si="32"/>
        <v>2400</v>
      </c>
      <c r="K189" s="153"/>
      <c r="O189" s="25" t="s">
        <v>2008</v>
      </c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6</v>
      </c>
      <c r="C190" s="206">
        <v>43899</v>
      </c>
      <c r="D190" s="161" t="s">
        <v>9</v>
      </c>
      <c r="E190" s="161" t="s">
        <v>2433</v>
      </c>
      <c r="F190" s="207">
        <v>420</v>
      </c>
      <c r="G190" s="207">
        <v>540</v>
      </c>
      <c r="H190" s="161">
        <v>120</v>
      </c>
      <c r="I190" s="207">
        <v>80</v>
      </c>
      <c r="J190" s="242">
        <f t="shared" si="32"/>
        <v>9600</v>
      </c>
      <c r="K190" s="153"/>
      <c r="V190" s="25">
        <f t="shared" si="33"/>
        <v>1</v>
      </c>
      <c r="W190" s="25">
        <f t="shared" si="34"/>
        <v>0</v>
      </c>
    </row>
    <row r="191" spans="1:23" x14ac:dyDescent="0.3">
      <c r="A191" s="147"/>
      <c r="B191" s="205">
        <f t="shared" si="35"/>
        <v>7</v>
      </c>
      <c r="C191" s="206">
        <v>43901</v>
      </c>
      <c r="D191" s="161" t="s">
        <v>9</v>
      </c>
      <c r="E191" s="161" t="s">
        <v>2515</v>
      </c>
      <c r="F191" s="207">
        <v>380</v>
      </c>
      <c r="G191" s="207">
        <v>408</v>
      </c>
      <c r="H191" s="161">
        <v>28</v>
      </c>
      <c r="I191" s="207">
        <v>80</v>
      </c>
      <c r="J191" s="242">
        <f t="shared" si="32"/>
        <v>2240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8</v>
      </c>
      <c r="C192" s="206">
        <v>43902</v>
      </c>
      <c r="D192" s="161" t="s">
        <v>9</v>
      </c>
      <c r="E192" s="161" t="s">
        <v>2328</v>
      </c>
      <c r="F192" s="207">
        <v>260</v>
      </c>
      <c r="G192" s="207">
        <v>380</v>
      </c>
      <c r="H192" s="161">
        <v>120</v>
      </c>
      <c r="I192" s="207">
        <v>80</v>
      </c>
      <c r="J192" s="242">
        <f t="shared" si="32"/>
        <v>9600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9</v>
      </c>
      <c r="C193" s="206">
        <v>43906</v>
      </c>
      <c r="D193" s="161" t="s">
        <v>9</v>
      </c>
      <c r="E193" s="161" t="s">
        <v>2216</v>
      </c>
      <c r="F193" s="207">
        <v>900</v>
      </c>
      <c r="G193" s="207">
        <v>1100</v>
      </c>
      <c r="H193" s="161">
        <v>200</v>
      </c>
      <c r="I193" s="207">
        <v>80</v>
      </c>
      <c r="J193" s="242">
        <f t="shared" si="32"/>
        <v>16000</v>
      </c>
      <c r="K193" s="153"/>
      <c r="V193" s="25">
        <f t="shared" si="33"/>
        <v>1</v>
      </c>
      <c r="W193" s="25">
        <f t="shared" si="34"/>
        <v>0</v>
      </c>
    </row>
    <row r="194" spans="1:23" x14ac:dyDescent="0.3">
      <c r="A194" s="147"/>
      <c r="B194" s="205">
        <f t="shared" si="35"/>
        <v>10</v>
      </c>
      <c r="C194" s="206">
        <v>43907</v>
      </c>
      <c r="D194" s="161" t="s">
        <v>9</v>
      </c>
      <c r="E194" s="161" t="s">
        <v>2162</v>
      </c>
      <c r="F194" s="207">
        <v>900</v>
      </c>
      <c r="G194" s="207">
        <v>940</v>
      </c>
      <c r="H194" s="161">
        <v>40</v>
      </c>
      <c r="I194" s="207">
        <v>80</v>
      </c>
      <c r="J194" s="242">
        <f t="shared" si="32"/>
        <v>3200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11</v>
      </c>
      <c r="C195" s="206">
        <v>43908</v>
      </c>
      <c r="D195" s="161" t="s">
        <v>9</v>
      </c>
      <c r="E195" s="161" t="s">
        <v>2062</v>
      </c>
      <c r="F195" s="207">
        <v>600</v>
      </c>
      <c r="G195" s="207">
        <v>800</v>
      </c>
      <c r="H195" s="161">
        <v>200</v>
      </c>
      <c r="I195" s="207">
        <v>80</v>
      </c>
      <c r="J195" s="242">
        <f t="shared" si="32"/>
        <v>16000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12</v>
      </c>
      <c r="C196" s="206">
        <v>43909</v>
      </c>
      <c r="D196" s="161" t="s">
        <v>9</v>
      </c>
      <c r="E196" s="161" t="s">
        <v>1769</v>
      </c>
      <c r="F196" s="207">
        <v>500</v>
      </c>
      <c r="G196" s="207">
        <v>400</v>
      </c>
      <c r="H196" s="161">
        <v>-100</v>
      </c>
      <c r="I196" s="207">
        <v>80</v>
      </c>
      <c r="J196" s="242">
        <f t="shared" si="32"/>
        <v>-8000</v>
      </c>
      <c r="K196" s="153"/>
      <c r="V196" s="25">
        <f t="shared" si="33"/>
        <v>0</v>
      </c>
      <c r="W196" s="25">
        <f t="shared" si="34"/>
        <v>1</v>
      </c>
    </row>
    <row r="197" spans="1:23" x14ac:dyDescent="0.3">
      <c r="A197" s="147"/>
      <c r="B197" s="205">
        <f t="shared" si="35"/>
        <v>13</v>
      </c>
      <c r="C197" s="206">
        <v>43914</v>
      </c>
      <c r="D197" s="161" t="s">
        <v>9</v>
      </c>
      <c r="E197" s="161" t="s">
        <v>2954</v>
      </c>
      <c r="F197" s="207">
        <v>1000</v>
      </c>
      <c r="G197" s="207">
        <v>1100</v>
      </c>
      <c r="H197" s="161">
        <v>100</v>
      </c>
      <c r="I197" s="207">
        <v>80</v>
      </c>
      <c r="J197" s="242">
        <f t="shared" si="32"/>
        <v>8000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14</v>
      </c>
      <c r="C198" s="206">
        <v>43915</v>
      </c>
      <c r="D198" s="161" t="s">
        <v>9</v>
      </c>
      <c r="E198" s="161" t="s">
        <v>1389</v>
      </c>
      <c r="F198" s="207">
        <v>800</v>
      </c>
      <c r="G198" s="207">
        <v>700</v>
      </c>
      <c r="H198" s="161">
        <v>-100</v>
      </c>
      <c r="I198" s="207">
        <v>80</v>
      </c>
      <c r="J198" s="242">
        <f t="shared" si="32"/>
        <v>-8000</v>
      </c>
      <c r="K198" s="153"/>
      <c r="V198" s="25">
        <f t="shared" si="33"/>
        <v>0</v>
      </c>
      <c r="W198" s="25">
        <f t="shared" si="34"/>
        <v>1</v>
      </c>
    </row>
    <row r="199" spans="1:23" x14ac:dyDescent="0.3">
      <c r="A199" s="147"/>
      <c r="B199" s="205">
        <f t="shared" si="35"/>
        <v>15</v>
      </c>
      <c r="C199" s="206">
        <v>43916</v>
      </c>
      <c r="D199" s="161" t="s">
        <v>9</v>
      </c>
      <c r="E199" s="161" t="s">
        <v>1765</v>
      </c>
      <c r="F199" s="207">
        <v>300</v>
      </c>
      <c r="G199" s="207">
        <v>500</v>
      </c>
      <c r="H199" s="161">
        <v>200</v>
      </c>
      <c r="I199" s="207">
        <v>80</v>
      </c>
      <c r="J199" s="242">
        <f t="shared" si="32"/>
        <v>16000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16</v>
      </c>
      <c r="C200" s="206">
        <v>43917</v>
      </c>
      <c r="D200" s="161" t="s">
        <v>9</v>
      </c>
      <c r="E200" s="161" t="s">
        <v>1800</v>
      </c>
      <c r="F200" s="207">
        <v>1170</v>
      </c>
      <c r="G200" s="207">
        <v>1070</v>
      </c>
      <c r="H200" s="161">
        <v>-100</v>
      </c>
      <c r="I200" s="207">
        <v>80</v>
      </c>
      <c r="J200" s="242">
        <f t="shared" si="32"/>
        <v>-8000</v>
      </c>
      <c r="K200" s="153"/>
      <c r="V200" s="25">
        <f t="shared" si="33"/>
        <v>0</v>
      </c>
      <c r="W200" s="25">
        <f t="shared" si="34"/>
        <v>1</v>
      </c>
    </row>
    <row r="201" spans="1:23" x14ac:dyDescent="0.3">
      <c r="A201" s="147"/>
      <c r="B201" s="205">
        <f t="shared" si="35"/>
        <v>17</v>
      </c>
      <c r="C201" s="206">
        <v>43920</v>
      </c>
      <c r="D201" s="161" t="s">
        <v>9</v>
      </c>
      <c r="E201" s="161" t="s">
        <v>1764</v>
      </c>
      <c r="F201" s="207">
        <v>950</v>
      </c>
      <c r="G201" s="207">
        <v>1150</v>
      </c>
      <c r="H201" s="161">
        <v>200</v>
      </c>
      <c r="I201" s="207">
        <v>80</v>
      </c>
      <c r="J201" s="242">
        <f t="shared" si="32"/>
        <v>16000</v>
      </c>
      <c r="K201" s="153"/>
      <c r="V201" s="25">
        <f t="shared" si="33"/>
        <v>1</v>
      </c>
      <c r="W201" s="25">
        <f t="shared" si="34"/>
        <v>0</v>
      </c>
    </row>
    <row r="202" spans="1:23" x14ac:dyDescent="0.3">
      <c r="A202" s="147"/>
      <c r="B202" s="205">
        <f t="shared" si="35"/>
        <v>18</v>
      </c>
      <c r="C202" s="206">
        <v>43921</v>
      </c>
      <c r="D202" s="161" t="s">
        <v>9</v>
      </c>
      <c r="E202" s="161" t="s">
        <v>1692</v>
      </c>
      <c r="F202" s="207">
        <v>500</v>
      </c>
      <c r="G202" s="207">
        <v>600</v>
      </c>
      <c r="H202" s="161">
        <v>100</v>
      </c>
      <c r="I202" s="207">
        <v>80</v>
      </c>
      <c r="J202" s="242">
        <f t="shared" si="32"/>
        <v>8000</v>
      </c>
      <c r="K202" s="153"/>
      <c r="V202" s="25">
        <f t="shared" si="33"/>
        <v>1</v>
      </c>
      <c r="W202" s="25">
        <f t="shared" si="34"/>
        <v>0</v>
      </c>
    </row>
    <row r="203" spans="1:23" x14ac:dyDescent="0.3">
      <c r="A203" s="147"/>
      <c r="B203" s="205">
        <f t="shared" si="35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2"/>
        <v>0</v>
      </c>
      <c r="K203" s="153"/>
      <c r="V203" s="25">
        <f t="shared" si="33"/>
        <v>0</v>
      </c>
      <c r="W203" s="25">
        <f t="shared" si="34"/>
        <v>0</v>
      </c>
    </row>
    <row r="204" spans="1:23" x14ac:dyDescent="0.3">
      <c r="A204" s="147"/>
      <c r="B204" s="205">
        <f t="shared" si="35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2"/>
        <v>0</v>
      </c>
      <c r="K204" s="153"/>
      <c r="V204" s="25">
        <f t="shared" si="33"/>
        <v>0</v>
      </c>
      <c r="W204" s="25">
        <f t="shared" si="34"/>
        <v>0</v>
      </c>
    </row>
    <row r="205" spans="1:23" x14ac:dyDescent="0.3">
      <c r="A205" s="147"/>
      <c r="B205" s="205">
        <f t="shared" si="35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x14ac:dyDescent="0.3">
      <c r="A206" s="147"/>
      <c r="B206" s="205">
        <f t="shared" si="35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15" thickBot="1" x14ac:dyDescent="0.35">
      <c r="A207" s="147"/>
      <c r="B207" s="208">
        <f t="shared" si="35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2"/>
        <v>0</v>
      </c>
      <c r="K207" s="153"/>
      <c r="V207" s="25">
        <f t="shared" si="33"/>
        <v>0</v>
      </c>
      <c r="W207" s="25">
        <f t="shared" si="34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107840</v>
      </c>
      <c r="K208" s="153"/>
      <c r="V208" s="25">
        <f>SUM(V185:V207)</f>
        <v>15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2948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43892</v>
      </c>
      <c r="D216" s="185" t="s">
        <v>9</v>
      </c>
      <c r="E216" s="185" t="s">
        <v>2100</v>
      </c>
      <c r="F216" s="231">
        <v>48</v>
      </c>
      <c r="G216" s="231">
        <v>60</v>
      </c>
      <c r="H216" s="231">
        <v>12</v>
      </c>
      <c r="I216" s="219">
        <v>500</v>
      </c>
      <c r="J216" s="246">
        <f t="shared" ref="J216:J239" si="36">I216*H216</f>
        <v>6000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06">
        <v>43893</v>
      </c>
      <c r="D217" s="161" t="s">
        <v>9</v>
      </c>
      <c r="E217" s="161" t="s">
        <v>2657</v>
      </c>
      <c r="F217" s="222">
        <v>45</v>
      </c>
      <c r="G217" s="222">
        <v>55</v>
      </c>
      <c r="H217" s="255">
        <v>10</v>
      </c>
      <c r="I217" s="207">
        <v>500</v>
      </c>
      <c r="J217" s="242">
        <f>I217*H217</f>
        <v>5000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7">B217+1</f>
        <v>3</v>
      </c>
      <c r="C218" s="206">
        <v>43894</v>
      </c>
      <c r="D218" s="161" t="s">
        <v>9</v>
      </c>
      <c r="E218" s="161" t="s">
        <v>2657</v>
      </c>
      <c r="F218" s="222">
        <v>48</v>
      </c>
      <c r="G218" s="222">
        <v>60</v>
      </c>
      <c r="H218" s="222">
        <v>12</v>
      </c>
      <c r="I218" s="207">
        <v>500</v>
      </c>
      <c r="J218" s="242">
        <f t="shared" si="36"/>
        <v>6000</v>
      </c>
      <c r="K218" s="153"/>
      <c r="V218" s="25">
        <f t="shared" ref="V218:V239" si="38">IF($J218&gt;0,1,0)</f>
        <v>1</v>
      </c>
      <c r="W218" s="25">
        <f t="shared" ref="W218:W239" si="39">IF($J218&lt;0,1,0)</f>
        <v>0</v>
      </c>
    </row>
    <row r="219" spans="1:23" x14ac:dyDescent="0.3">
      <c r="A219" s="147"/>
      <c r="B219" s="205">
        <f t="shared" si="37"/>
        <v>4</v>
      </c>
      <c r="C219" s="206">
        <v>43895</v>
      </c>
      <c r="D219" s="161" t="s">
        <v>9</v>
      </c>
      <c r="E219" s="161" t="s">
        <v>2657</v>
      </c>
      <c r="F219" s="222">
        <v>49</v>
      </c>
      <c r="G219" s="222">
        <v>60</v>
      </c>
      <c r="H219" s="222">
        <v>11</v>
      </c>
      <c r="I219" s="207">
        <v>500</v>
      </c>
      <c r="J219" s="242">
        <f t="shared" si="36"/>
        <v>5500</v>
      </c>
      <c r="K219" s="153"/>
      <c r="V219" s="25">
        <f t="shared" si="38"/>
        <v>1</v>
      </c>
      <c r="W219" s="25">
        <f t="shared" si="39"/>
        <v>0</v>
      </c>
    </row>
    <row r="220" spans="1:23" x14ac:dyDescent="0.3">
      <c r="A220" s="147"/>
      <c r="B220" s="205">
        <f t="shared" si="37"/>
        <v>5</v>
      </c>
      <c r="C220" s="206">
        <v>43896</v>
      </c>
      <c r="D220" s="161" t="s">
        <v>9</v>
      </c>
      <c r="E220" s="161" t="s">
        <v>2639</v>
      </c>
      <c r="F220" s="222">
        <v>49</v>
      </c>
      <c r="G220" s="222">
        <v>57.8</v>
      </c>
      <c r="H220" s="222">
        <v>8.8000000000000007</v>
      </c>
      <c r="I220" s="207">
        <v>500</v>
      </c>
      <c r="J220" s="242">
        <f t="shared" si="36"/>
        <v>4400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6</v>
      </c>
      <c r="C221" s="206">
        <v>43899</v>
      </c>
      <c r="D221" s="161" t="s">
        <v>9</v>
      </c>
      <c r="E221" s="161" t="s">
        <v>2817</v>
      </c>
      <c r="F221" s="222">
        <v>57</v>
      </c>
      <c r="G221" s="222">
        <v>70</v>
      </c>
      <c r="H221" s="222">
        <v>13</v>
      </c>
      <c r="I221" s="207">
        <v>500</v>
      </c>
      <c r="J221" s="242">
        <f t="shared" si="36"/>
        <v>6500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7</v>
      </c>
      <c r="C222" s="206">
        <v>43901</v>
      </c>
      <c r="D222" s="161" t="s">
        <v>9</v>
      </c>
      <c r="E222" s="161" t="s">
        <v>2608</v>
      </c>
      <c r="F222" s="222">
        <v>64</v>
      </c>
      <c r="G222" s="222">
        <v>70</v>
      </c>
      <c r="H222" s="222">
        <v>6</v>
      </c>
      <c r="I222" s="207">
        <v>500</v>
      </c>
      <c r="J222" s="242">
        <f t="shared" si="36"/>
        <v>3000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8</v>
      </c>
      <c r="C223" s="206">
        <v>43902</v>
      </c>
      <c r="D223" s="161" t="s">
        <v>9</v>
      </c>
      <c r="E223" s="161" t="s">
        <v>2951</v>
      </c>
      <c r="F223" s="222">
        <v>26</v>
      </c>
      <c r="G223" s="222">
        <v>34</v>
      </c>
      <c r="H223" s="222">
        <v>8</v>
      </c>
      <c r="I223" s="207">
        <v>1200</v>
      </c>
      <c r="J223" s="242">
        <f t="shared" si="36"/>
        <v>9600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9</v>
      </c>
      <c r="C224" s="206">
        <v>43906</v>
      </c>
      <c r="D224" s="161" t="s">
        <v>9</v>
      </c>
      <c r="E224" s="161" t="s">
        <v>2581</v>
      </c>
      <c r="F224" s="222">
        <v>78</v>
      </c>
      <c r="G224" s="222">
        <v>84</v>
      </c>
      <c r="H224" s="255">
        <v>6</v>
      </c>
      <c r="I224" s="207">
        <v>500</v>
      </c>
      <c r="J224" s="242">
        <f t="shared" si="36"/>
        <v>3000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10</v>
      </c>
      <c r="C225" s="206">
        <v>43907</v>
      </c>
      <c r="D225" s="161" t="s">
        <v>9</v>
      </c>
      <c r="E225" s="161" t="s">
        <v>1963</v>
      </c>
      <c r="F225" s="222">
        <v>72</v>
      </c>
      <c r="G225" s="222">
        <v>80</v>
      </c>
      <c r="H225" s="255">
        <v>8</v>
      </c>
      <c r="I225" s="207">
        <v>500</v>
      </c>
      <c r="J225" s="242">
        <f t="shared" si="36"/>
        <v>4000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11</v>
      </c>
      <c r="C226" s="206">
        <v>43908</v>
      </c>
      <c r="D226" s="161" t="s">
        <v>9</v>
      </c>
      <c r="E226" s="161" t="s">
        <v>2952</v>
      </c>
      <c r="F226" s="222">
        <v>90</v>
      </c>
      <c r="G226" s="222">
        <v>75</v>
      </c>
      <c r="H226" s="255">
        <v>-15</v>
      </c>
      <c r="I226" s="207">
        <v>400</v>
      </c>
      <c r="J226" s="242">
        <f t="shared" si="36"/>
        <v>-6000</v>
      </c>
      <c r="K226" s="153"/>
      <c r="V226" s="25">
        <f t="shared" si="38"/>
        <v>0</v>
      </c>
      <c r="W226" s="25">
        <f t="shared" si="39"/>
        <v>1</v>
      </c>
    </row>
    <row r="227" spans="1:23" x14ac:dyDescent="0.3">
      <c r="A227" s="147"/>
      <c r="B227" s="205">
        <f t="shared" si="37"/>
        <v>12</v>
      </c>
      <c r="C227" s="206">
        <v>43909</v>
      </c>
      <c r="D227" s="161" t="s">
        <v>9</v>
      </c>
      <c r="E227" s="161" t="s">
        <v>2199</v>
      </c>
      <c r="F227" s="222">
        <v>26.5</v>
      </c>
      <c r="G227" s="222">
        <v>21.5</v>
      </c>
      <c r="H227" s="255">
        <v>-5</v>
      </c>
      <c r="I227" s="207">
        <v>1375</v>
      </c>
      <c r="J227" s="242">
        <f t="shared" si="36"/>
        <v>-6875</v>
      </c>
      <c r="K227" s="153"/>
      <c r="V227" s="25">
        <f t="shared" si="38"/>
        <v>0</v>
      </c>
      <c r="W227" s="25">
        <f t="shared" si="39"/>
        <v>1</v>
      </c>
    </row>
    <row r="228" spans="1:23" x14ac:dyDescent="0.3">
      <c r="A228" s="147"/>
      <c r="B228" s="205">
        <f t="shared" si="37"/>
        <v>13</v>
      </c>
      <c r="C228" s="206">
        <v>43910</v>
      </c>
      <c r="D228" s="161" t="s">
        <v>9</v>
      </c>
      <c r="E228" s="161" t="s">
        <v>2953</v>
      </c>
      <c r="F228" s="222">
        <v>30</v>
      </c>
      <c r="G228" s="222">
        <v>25</v>
      </c>
      <c r="H228" s="255">
        <v>-5</v>
      </c>
      <c r="I228" s="207">
        <v>1200</v>
      </c>
      <c r="J228" s="242">
        <f t="shared" si="36"/>
        <v>-6000</v>
      </c>
      <c r="K228" s="153"/>
      <c r="V228" s="25">
        <f t="shared" si="38"/>
        <v>0</v>
      </c>
      <c r="W228" s="25">
        <f t="shared" si="39"/>
        <v>1</v>
      </c>
    </row>
    <row r="229" spans="1:23" x14ac:dyDescent="0.3">
      <c r="A229" s="147"/>
      <c r="B229" s="205">
        <f t="shared" si="37"/>
        <v>14</v>
      </c>
      <c r="C229" s="206">
        <v>43914</v>
      </c>
      <c r="D229" s="161" t="s">
        <v>9</v>
      </c>
      <c r="E229" s="161" t="s">
        <v>2386</v>
      </c>
      <c r="F229" s="222">
        <v>48</v>
      </c>
      <c r="G229" s="222">
        <v>52</v>
      </c>
      <c r="H229" s="255">
        <v>4</v>
      </c>
      <c r="I229" s="207">
        <v>500</v>
      </c>
      <c r="J229" s="242">
        <f>I229*H229</f>
        <v>2000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15</v>
      </c>
      <c r="C230" s="206">
        <v>43915</v>
      </c>
      <c r="D230" s="161" t="s">
        <v>9</v>
      </c>
      <c r="E230" s="161" t="s">
        <v>1891</v>
      </c>
      <c r="F230" s="222">
        <v>32</v>
      </c>
      <c r="G230" s="222">
        <v>35.799999999999997</v>
      </c>
      <c r="H230" s="255">
        <v>3.8</v>
      </c>
      <c r="I230" s="207">
        <v>500</v>
      </c>
      <c r="J230" s="242">
        <f t="shared" si="36"/>
        <v>1900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16</v>
      </c>
      <c r="C231" s="206">
        <v>43916</v>
      </c>
      <c r="D231" s="161" t="s">
        <v>9</v>
      </c>
      <c r="E231" s="161" t="s">
        <v>2522</v>
      </c>
      <c r="F231" s="222">
        <v>26</v>
      </c>
      <c r="G231" s="222">
        <v>32</v>
      </c>
      <c r="H231" s="222">
        <v>6</v>
      </c>
      <c r="I231" s="207">
        <v>500</v>
      </c>
      <c r="J231" s="242">
        <f t="shared" si="36"/>
        <v>3000</v>
      </c>
      <c r="K231" s="153"/>
      <c r="V231" s="25">
        <f t="shared" si="38"/>
        <v>1</v>
      </c>
      <c r="W231" s="25">
        <f t="shared" si="39"/>
        <v>0</v>
      </c>
    </row>
    <row r="232" spans="1:23" x14ac:dyDescent="0.3">
      <c r="A232" s="147"/>
      <c r="B232" s="205">
        <f t="shared" si="37"/>
        <v>17</v>
      </c>
      <c r="C232" s="206">
        <v>43917</v>
      </c>
      <c r="D232" s="161" t="s">
        <v>9</v>
      </c>
      <c r="E232" s="161" t="s">
        <v>2955</v>
      </c>
      <c r="F232" s="222">
        <v>40</v>
      </c>
      <c r="G232" s="222">
        <v>47</v>
      </c>
      <c r="H232" s="222">
        <v>7</v>
      </c>
      <c r="I232" s="207">
        <v>1375</v>
      </c>
      <c r="J232" s="242">
        <f t="shared" si="36"/>
        <v>9625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18</v>
      </c>
      <c r="C233" s="206">
        <v>43920</v>
      </c>
      <c r="D233" s="161" t="s">
        <v>9</v>
      </c>
      <c r="E233" s="161" t="s">
        <v>2955</v>
      </c>
      <c r="F233" s="222">
        <v>41</v>
      </c>
      <c r="G233" s="222">
        <v>48</v>
      </c>
      <c r="H233" s="222">
        <v>7</v>
      </c>
      <c r="I233" s="207">
        <v>1375</v>
      </c>
      <c r="J233" s="242">
        <f t="shared" si="36"/>
        <v>9625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19</v>
      </c>
      <c r="C234" s="206">
        <v>43921</v>
      </c>
      <c r="D234" s="161" t="s">
        <v>9</v>
      </c>
      <c r="E234" s="161" t="s">
        <v>2199</v>
      </c>
      <c r="F234" s="222">
        <v>36</v>
      </c>
      <c r="G234" s="222">
        <v>37.5</v>
      </c>
      <c r="H234" s="222">
        <v>1.5</v>
      </c>
      <c r="I234" s="207">
        <v>1375</v>
      </c>
      <c r="J234" s="242">
        <f t="shared" si="36"/>
        <v>2062.5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6"/>
        <v>0</v>
      </c>
      <c r="K235" s="153"/>
      <c r="V235" s="25">
        <f t="shared" si="38"/>
        <v>0</v>
      </c>
      <c r="W235" s="25">
        <f t="shared" si="39"/>
        <v>0</v>
      </c>
    </row>
    <row r="236" spans="1:23" x14ac:dyDescent="0.3">
      <c r="A236" s="147"/>
      <c r="B236" s="205">
        <f t="shared" si="37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x14ac:dyDescent="0.3">
      <c r="A237" s="147"/>
      <c r="B237" s="205">
        <f t="shared" si="37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x14ac:dyDescent="0.3">
      <c r="A238" s="147"/>
      <c r="B238" s="205">
        <f t="shared" si="37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ht="15" thickBot="1" x14ac:dyDescent="0.35">
      <c r="A239" s="147"/>
      <c r="B239" s="208">
        <f t="shared" si="37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62337.5</v>
      </c>
      <c r="K240" s="153"/>
      <c r="V240" s="25">
        <f>SUM(V216:V239)</f>
        <v>16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300-000000000000}"/>
    <hyperlink ref="B84" r:id="rId2" xr:uid="{00000000-0004-0000-5300-000001000000}"/>
    <hyperlink ref="B115" r:id="rId3" xr:uid="{00000000-0004-0000-5300-000002000000}"/>
    <hyperlink ref="B146" r:id="rId4" xr:uid="{00000000-0004-0000-5300-000003000000}"/>
    <hyperlink ref="B177" r:id="rId5" xr:uid="{00000000-0004-0000-5300-000004000000}"/>
    <hyperlink ref="B208" r:id="rId6" xr:uid="{00000000-0004-0000-5300-000005000000}"/>
    <hyperlink ref="B240" r:id="rId7" xr:uid="{00000000-0004-0000-5300-000006000000}"/>
    <hyperlink ref="M1" location="'MASTER '!A1" display="Back" xr:uid="{00000000-0004-0000-5300-000007000000}"/>
    <hyperlink ref="M6:M7" location="'MARCH 2020'!A77" display="STOCK FUTURE" xr:uid="{00000000-0004-0000-5300-000008000000}"/>
    <hyperlink ref="M14:M15" location="'MARCH 2020'!A201" display="B.NIFTY OPTION" xr:uid="{00000000-0004-0000-5300-000009000000}"/>
    <hyperlink ref="M12:M13" location="'MARCH 2020'!A170" display="BANK NIFTY" xr:uid="{00000000-0004-0000-5300-00000A000000}"/>
    <hyperlink ref="M10:M11" location="'MARCH 2020'!A139" display="NF. OPTION" xr:uid="{00000000-0004-0000-5300-00000B000000}"/>
    <hyperlink ref="M8:M9" location="'MARCH 2020'!A108" display="NIFTY FUTURE" xr:uid="{00000000-0004-0000-5300-00000C000000}"/>
  </hyperlinks>
  <pageMargins left="0" right="0" top="0" bottom="0" header="0" footer="0"/>
  <pageSetup scale="95" orientation="portrait" r:id="rId8"/>
  <drawing r:id="rId9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2956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36</v>
      </c>
      <c r="O4" s="386">
        <f>V52</f>
        <v>29</v>
      </c>
      <c r="P4" s="386">
        <f>W52</f>
        <v>7</v>
      </c>
      <c r="Q4" s="387">
        <f>N4-O4-P4</f>
        <v>0</v>
      </c>
      <c r="R4" s="380">
        <f>O4/N4</f>
        <v>0.80555555555555558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43922</v>
      </c>
      <c r="D6" s="158" t="s">
        <v>9</v>
      </c>
      <c r="E6" s="158" t="s">
        <v>133</v>
      </c>
      <c r="F6" s="230">
        <v>583</v>
      </c>
      <c r="G6" s="222">
        <v>589</v>
      </c>
      <c r="H6" s="222">
        <v>6</v>
      </c>
      <c r="I6" s="207">
        <f>300000/F6</f>
        <v>514.5797598627787</v>
      </c>
      <c r="J6" s="161">
        <f>H6*I6</f>
        <v>3087.4785591766722</v>
      </c>
      <c r="K6" s="153"/>
      <c r="M6" s="394" t="s">
        <v>450</v>
      </c>
      <c r="N6" s="344">
        <f>COUNT(C60:C83)</f>
        <v>18</v>
      </c>
      <c r="O6" s="346">
        <f>V84</f>
        <v>14</v>
      </c>
      <c r="P6" s="346">
        <f>W84</f>
        <v>4</v>
      </c>
      <c r="Q6" s="374">
        <f>N6-O6-P6</f>
        <v>0</v>
      </c>
      <c r="R6" s="376">
        <f t="shared" ref="R6" si="0">O6/N6</f>
        <v>0.77777777777777779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43922</v>
      </c>
      <c r="D7" s="161" t="s">
        <v>8</v>
      </c>
      <c r="E7" s="161" t="s">
        <v>78</v>
      </c>
      <c r="F7" s="222">
        <v>797</v>
      </c>
      <c r="G7" s="231">
        <v>777</v>
      </c>
      <c r="H7" s="255">
        <v>20</v>
      </c>
      <c r="I7" s="207">
        <f>300000/F7</f>
        <v>376.4115432873275</v>
      </c>
      <c r="J7" s="161">
        <f>H7*I7</f>
        <v>7528.2308657465501</v>
      </c>
      <c r="K7" s="153"/>
      <c r="M7" s="396"/>
      <c r="N7" s="385"/>
      <c r="O7" s="382"/>
      <c r="P7" s="382"/>
      <c r="Q7" s="383"/>
      <c r="R7" s="384"/>
      <c r="V7" s="25">
        <f t="shared" ref="V7:V51" si="1">IF($J7&gt;0,1,0)</f>
        <v>1</v>
      </c>
      <c r="W7" s="25">
        <f t="shared" ref="W7:W51" si="2">IF($J7&lt;0,1,0)</f>
        <v>0</v>
      </c>
    </row>
    <row r="8" spans="1:23" x14ac:dyDescent="0.3">
      <c r="A8" s="147"/>
      <c r="B8" s="205">
        <f t="shared" ref="B8:B51" si="3">B7+1</f>
        <v>3</v>
      </c>
      <c r="C8" s="206">
        <v>43924</v>
      </c>
      <c r="D8" s="161" t="s">
        <v>9</v>
      </c>
      <c r="E8" s="161" t="s">
        <v>133</v>
      </c>
      <c r="F8" s="222">
        <v>587</v>
      </c>
      <c r="G8" s="222">
        <v>600</v>
      </c>
      <c r="H8" s="222">
        <v>13</v>
      </c>
      <c r="I8" s="207">
        <f t="shared" ref="I8:I10" si="4">300000/F8</f>
        <v>511.07325383304942</v>
      </c>
      <c r="J8" s="242">
        <f t="shared" ref="J8:J10" si="5">H8*I8</f>
        <v>6643.9522998296425</v>
      </c>
      <c r="K8" s="153"/>
      <c r="M8" s="394" t="s">
        <v>451</v>
      </c>
      <c r="N8" s="344">
        <f>COUNT(C92:C114)</f>
        <v>18</v>
      </c>
      <c r="O8" s="346">
        <f>V115</f>
        <v>12</v>
      </c>
      <c r="P8" s="346">
        <f>W115</f>
        <v>6</v>
      </c>
      <c r="Q8" s="374">
        <f>N8-O8-P8</f>
        <v>0</v>
      </c>
      <c r="R8" s="376">
        <f t="shared" ref="R8" si="6">O8/N8</f>
        <v>0.66666666666666663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3"/>
        <v>4</v>
      </c>
      <c r="C9" s="206">
        <v>43924</v>
      </c>
      <c r="D9" s="161" t="s">
        <v>8</v>
      </c>
      <c r="E9" s="161" t="s">
        <v>19</v>
      </c>
      <c r="F9" s="222">
        <v>181</v>
      </c>
      <c r="G9" s="231">
        <v>175</v>
      </c>
      <c r="H9" s="255">
        <v>6</v>
      </c>
      <c r="I9" s="207">
        <f t="shared" si="4"/>
        <v>1657.4585635359117</v>
      </c>
      <c r="J9" s="242">
        <f t="shared" si="5"/>
        <v>9944.7513812154702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3"/>
        <v>5</v>
      </c>
      <c r="C10" s="206">
        <v>43928</v>
      </c>
      <c r="D10" s="161" t="s">
        <v>9</v>
      </c>
      <c r="E10" s="161" t="s">
        <v>133</v>
      </c>
      <c r="F10" s="222">
        <v>690</v>
      </c>
      <c r="G10" s="222">
        <v>706</v>
      </c>
      <c r="H10" s="222">
        <v>16</v>
      </c>
      <c r="I10" s="207">
        <f t="shared" si="4"/>
        <v>434.78260869565219</v>
      </c>
      <c r="J10" s="242">
        <f t="shared" si="5"/>
        <v>6956.521739130435</v>
      </c>
      <c r="K10" s="153"/>
      <c r="M10" s="394" t="s">
        <v>1176</v>
      </c>
      <c r="N10" s="344">
        <f>COUNT(C123:C145)</f>
        <v>18</v>
      </c>
      <c r="O10" s="346">
        <f>V146</f>
        <v>11</v>
      </c>
      <c r="P10" s="346">
        <f>W146</f>
        <v>7</v>
      </c>
      <c r="Q10" s="374">
        <f>N10-O10-P10</f>
        <v>0</v>
      </c>
      <c r="R10" s="376">
        <f t="shared" ref="R10:R16" si="7">O10/N10</f>
        <v>0.61111111111111116</v>
      </c>
      <c r="V10" s="25">
        <f t="shared" si="1"/>
        <v>1</v>
      </c>
      <c r="W10" s="25">
        <f t="shared" si="2"/>
        <v>0</v>
      </c>
    </row>
    <row r="11" spans="1:23" x14ac:dyDescent="0.3">
      <c r="A11" s="147"/>
      <c r="B11" s="205">
        <f t="shared" si="3"/>
        <v>6</v>
      </c>
      <c r="C11" s="206">
        <v>43928</v>
      </c>
      <c r="D11" s="161" t="s">
        <v>8</v>
      </c>
      <c r="E11" s="161" t="s">
        <v>192</v>
      </c>
      <c r="F11" s="222">
        <v>85.5</v>
      </c>
      <c r="G11" s="222">
        <v>83.5</v>
      </c>
      <c r="H11" s="255">
        <v>2</v>
      </c>
      <c r="I11" s="207">
        <f t="shared" ref="I11:I41" si="8">300000/F11</f>
        <v>3508.7719298245615</v>
      </c>
      <c r="J11" s="242">
        <f t="shared" ref="J11:J41" si="9">H11*I11</f>
        <v>7017.5438596491231</v>
      </c>
      <c r="K11" s="153"/>
      <c r="M11" s="396"/>
      <c r="N11" s="385"/>
      <c r="O11" s="382"/>
      <c r="P11" s="382"/>
      <c r="Q11" s="383"/>
      <c r="R11" s="384"/>
      <c r="V11" s="25">
        <f t="shared" si="1"/>
        <v>1</v>
      </c>
      <c r="W11" s="25">
        <f t="shared" si="2"/>
        <v>0</v>
      </c>
    </row>
    <row r="12" spans="1:23" x14ac:dyDescent="0.3">
      <c r="A12" s="147"/>
      <c r="B12" s="205">
        <f t="shared" si="3"/>
        <v>7</v>
      </c>
      <c r="C12" s="206">
        <v>43929</v>
      </c>
      <c r="D12" s="161" t="s">
        <v>9</v>
      </c>
      <c r="E12" s="161" t="s">
        <v>133</v>
      </c>
      <c r="F12" s="222">
        <v>718</v>
      </c>
      <c r="G12" s="222">
        <v>721.5</v>
      </c>
      <c r="H12" s="222">
        <v>3.5</v>
      </c>
      <c r="I12" s="207">
        <f t="shared" si="8"/>
        <v>417.82729805013929</v>
      </c>
      <c r="J12" s="242">
        <f t="shared" si="9"/>
        <v>1462.3955431754875</v>
      </c>
      <c r="K12" s="153"/>
      <c r="M12" s="394" t="s">
        <v>41</v>
      </c>
      <c r="N12" s="344">
        <f>COUNT(C154:C176)</f>
        <v>18</v>
      </c>
      <c r="O12" s="346">
        <f>V177</f>
        <v>13</v>
      </c>
      <c r="P12" s="346">
        <f>W177</f>
        <v>5</v>
      </c>
      <c r="Q12" s="374">
        <f t="shared" ref="Q12" si="10">N12-O12-P12</f>
        <v>0</v>
      </c>
      <c r="R12" s="376">
        <f t="shared" si="7"/>
        <v>0.72222222222222221</v>
      </c>
      <c r="V12" s="25">
        <f t="shared" si="1"/>
        <v>1</v>
      </c>
      <c r="W12" s="25">
        <f t="shared" si="2"/>
        <v>0</v>
      </c>
    </row>
    <row r="13" spans="1:23" x14ac:dyDescent="0.3">
      <c r="A13" s="147"/>
      <c r="B13" s="205">
        <f t="shared" si="3"/>
        <v>8</v>
      </c>
      <c r="C13" s="206">
        <v>43929</v>
      </c>
      <c r="D13" s="161" t="s">
        <v>8</v>
      </c>
      <c r="E13" s="161" t="s">
        <v>552</v>
      </c>
      <c r="F13" s="222">
        <v>427</v>
      </c>
      <c r="G13" s="222">
        <v>410</v>
      </c>
      <c r="H13" s="255">
        <v>17</v>
      </c>
      <c r="I13" s="207">
        <f t="shared" si="8"/>
        <v>702.57611241217796</v>
      </c>
      <c r="J13" s="242">
        <f t="shared" si="9"/>
        <v>11943.793911007026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1"/>
        <v>1</v>
      </c>
      <c r="W13" s="25">
        <f t="shared" si="2"/>
        <v>0</v>
      </c>
    </row>
    <row r="14" spans="1:23" x14ac:dyDescent="0.3">
      <c r="A14" s="147"/>
      <c r="B14" s="205">
        <f t="shared" si="3"/>
        <v>9</v>
      </c>
      <c r="C14" s="206">
        <v>43930</v>
      </c>
      <c r="D14" s="161" t="s">
        <v>9</v>
      </c>
      <c r="E14" s="161" t="s">
        <v>94</v>
      </c>
      <c r="F14" s="222">
        <v>922</v>
      </c>
      <c r="G14" s="222">
        <v>910</v>
      </c>
      <c r="H14" s="222">
        <v>-12</v>
      </c>
      <c r="I14" s="207">
        <f t="shared" si="8"/>
        <v>325.37960954446856</v>
      </c>
      <c r="J14" s="242">
        <f t="shared" si="9"/>
        <v>-3904.5553145336225</v>
      </c>
      <c r="K14" s="153"/>
      <c r="M14" s="394" t="s">
        <v>1175</v>
      </c>
      <c r="N14" s="344">
        <f>COUNT(C185:C207)</f>
        <v>18</v>
      </c>
      <c r="O14" s="346">
        <f>V208</f>
        <v>10</v>
      </c>
      <c r="P14" s="346">
        <f>W208</f>
        <v>8</v>
      </c>
      <c r="Q14" s="374">
        <f t="shared" ref="Q14" si="11">N14-O14-P14</f>
        <v>0</v>
      </c>
      <c r="R14" s="376">
        <f t="shared" si="7"/>
        <v>0.55555555555555558</v>
      </c>
      <c r="V14" s="25">
        <f t="shared" si="1"/>
        <v>0</v>
      </c>
      <c r="W14" s="25">
        <f t="shared" si="2"/>
        <v>1</v>
      </c>
    </row>
    <row r="15" spans="1:23" x14ac:dyDescent="0.3">
      <c r="A15" s="147"/>
      <c r="B15" s="205">
        <f t="shared" si="3"/>
        <v>10</v>
      </c>
      <c r="C15" s="206">
        <v>43930</v>
      </c>
      <c r="D15" s="161" t="s">
        <v>8</v>
      </c>
      <c r="E15" s="161" t="s">
        <v>31</v>
      </c>
      <c r="F15" s="222">
        <v>1204</v>
      </c>
      <c r="G15" s="222">
        <v>1194</v>
      </c>
      <c r="H15" s="222">
        <v>10</v>
      </c>
      <c r="I15" s="207">
        <f t="shared" si="8"/>
        <v>249.16943521594683</v>
      </c>
      <c r="J15" s="242">
        <f t="shared" si="9"/>
        <v>2491.6943521594685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3"/>
        <v>11</v>
      </c>
      <c r="C16" s="206">
        <v>43934</v>
      </c>
      <c r="D16" s="161" t="s">
        <v>9</v>
      </c>
      <c r="E16" s="161" t="s">
        <v>133</v>
      </c>
      <c r="F16" s="222">
        <v>822</v>
      </c>
      <c r="G16" s="222">
        <v>840</v>
      </c>
      <c r="H16" s="222">
        <v>18</v>
      </c>
      <c r="I16" s="207">
        <f t="shared" si="8"/>
        <v>364.96350364963502</v>
      </c>
      <c r="J16" s="242">
        <f t="shared" si="9"/>
        <v>6569.3430656934306</v>
      </c>
      <c r="K16" s="153"/>
      <c r="L16" s="25" t="s">
        <v>2008</v>
      </c>
      <c r="M16" s="394" t="s">
        <v>1090</v>
      </c>
      <c r="N16" s="344">
        <f>COUNT(C216:C239)</f>
        <v>18</v>
      </c>
      <c r="O16" s="346">
        <f>V240</f>
        <v>12</v>
      </c>
      <c r="P16" s="346">
        <f>W240</f>
        <v>6</v>
      </c>
      <c r="Q16" s="374">
        <f t="shared" ref="Q16" si="12">N16-O16-P16</f>
        <v>0</v>
      </c>
      <c r="R16" s="376">
        <f t="shared" si="7"/>
        <v>0.66666666666666663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3"/>
        <v>12</v>
      </c>
      <c r="C17" s="206">
        <v>43934</v>
      </c>
      <c r="D17" s="161" t="s">
        <v>8</v>
      </c>
      <c r="E17" s="161" t="s">
        <v>31</v>
      </c>
      <c r="F17" s="222">
        <v>1186</v>
      </c>
      <c r="G17" s="222">
        <v>1181</v>
      </c>
      <c r="H17" s="222">
        <v>5</v>
      </c>
      <c r="I17" s="207">
        <f t="shared" si="8"/>
        <v>252.95109612141653</v>
      </c>
      <c r="J17" s="242">
        <f t="shared" si="9"/>
        <v>1264.7554806070825</v>
      </c>
      <c r="K17" s="153"/>
      <c r="M17" s="395"/>
      <c r="N17" s="381"/>
      <c r="O17" s="373"/>
      <c r="P17" s="373"/>
      <c r="Q17" s="375"/>
      <c r="R17" s="377"/>
      <c r="V17" s="25">
        <f t="shared" si="1"/>
        <v>1</v>
      </c>
      <c r="W17" s="25">
        <f t="shared" si="2"/>
        <v>0</v>
      </c>
    </row>
    <row r="18" spans="1:23" x14ac:dyDescent="0.3">
      <c r="A18" s="147"/>
      <c r="B18" s="205">
        <f t="shared" si="3"/>
        <v>13</v>
      </c>
      <c r="C18" s="206">
        <v>43936</v>
      </c>
      <c r="D18" s="161" t="s">
        <v>9</v>
      </c>
      <c r="E18" s="161" t="s">
        <v>19</v>
      </c>
      <c r="F18" s="222">
        <v>188</v>
      </c>
      <c r="G18" s="222">
        <v>191</v>
      </c>
      <c r="H18" s="222">
        <v>3</v>
      </c>
      <c r="I18" s="207">
        <f t="shared" si="8"/>
        <v>1595.7446808510638</v>
      </c>
      <c r="J18" s="242">
        <f t="shared" si="9"/>
        <v>4787.2340425531911</v>
      </c>
      <c r="K18" s="153"/>
      <c r="M18" s="392" t="s">
        <v>946</v>
      </c>
      <c r="N18" s="378">
        <f>SUM(N4:N17)</f>
        <v>144</v>
      </c>
      <c r="O18" s="378">
        <f t="shared" ref="O18:Q18" si="13">SUM(O4:O17)</f>
        <v>101</v>
      </c>
      <c r="P18" s="378">
        <f t="shared" si="13"/>
        <v>43</v>
      </c>
      <c r="Q18" s="378">
        <f t="shared" si="13"/>
        <v>0</v>
      </c>
      <c r="R18" s="380">
        <f t="shared" ref="R18" si="14">O18/N18</f>
        <v>0.70138888888888884</v>
      </c>
      <c r="V18" s="25">
        <f t="shared" si="1"/>
        <v>1</v>
      </c>
      <c r="W18" s="25">
        <f t="shared" si="2"/>
        <v>0</v>
      </c>
    </row>
    <row r="19" spans="1:23" ht="15" thickBot="1" x14ac:dyDescent="0.35">
      <c r="A19" s="147"/>
      <c r="B19" s="205">
        <f t="shared" si="3"/>
        <v>14</v>
      </c>
      <c r="C19" s="206">
        <v>43936</v>
      </c>
      <c r="D19" s="161" t="s">
        <v>8</v>
      </c>
      <c r="E19" s="161" t="s">
        <v>31</v>
      </c>
      <c r="F19" s="222">
        <v>1223</v>
      </c>
      <c r="G19" s="222">
        <v>1203</v>
      </c>
      <c r="H19" s="222">
        <v>20</v>
      </c>
      <c r="I19" s="207">
        <f t="shared" si="8"/>
        <v>245.29844644317254</v>
      </c>
      <c r="J19" s="242">
        <f t="shared" si="9"/>
        <v>4905.9689288634509</v>
      </c>
      <c r="K19" s="153"/>
      <c r="M19" s="393"/>
      <c r="N19" s="379"/>
      <c r="O19" s="379"/>
      <c r="P19" s="379"/>
      <c r="Q19" s="379"/>
      <c r="R19" s="377"/>
      <c r="V19" s="25">
        <f t="shared" si="1"/>
        <v>1</v>
      </c>
      <c r="W19" s="25">
        <f t="shared" si="2"/>
        <v>0</v>
      </c>
    </row>
    <row r="20" spans="1:23" ht="15" customHeight="1" x14ac:dyDescent="0.3">
      <c r="A20" s="147"/>
      <c r="B20" s="205">
        <f t="shared" si="3"/>
        <v>15</v>
      </c>
      <c r="C20" s="206">
        <v>43937</v>
      </c>
      <c r="D20" s="161" t="s">
        <v>9</v>
      </c>
      <c r="E20" s="161" t="s">
        <v>78</v>
      </c>
      <c r="F20" s="222">
        <v>895</v>
      </c>
      <c r="G20" s="222">
        <v>915</v>
      </c>
      <c r="H20" s="222">
        <v>20</v>
      </c>
      <c r="I20" s="207">
        <f t="shared" si="8"/>
        <v>335.195530726257</v>
      </c>
      <c r="J20" s="242">
        <f t="shared" si="9"/>
        <v>6703.9106145251399</v>
      </c>
      <c r="K20" s="153"/>
      <c r="M20" s="316" t="s">
        <v>2253</v>
      </c>
      <c r="N20" s="317"/>
      <c r="O20" s="318"/>
      <c r="P20" s="325">
        <f>R18</f>
        <v>0.70138888888888884</v>
      </c>
      <c r="Q20" s="326"/>
      <c r="R20" s="327"/>
      <c r="V20" s="25">
        <f t="shared" si="1"/>
        <v>1</v>
      </c>
      <c r="W20" s="25">
        <f t="shared" si="2"/>
        <v>0</v>
      </c>
    </row>
    <row r="21" spans="1:23" ht="15" customHeight="1" x14ac:dyDescent="0.3">
      <c r="A21" s="147"/>
      <c r="B21" s="205">
        <f t="shared" si="3"/>
        <v>16</v>
      </c>
      <c r="C21" s="206">
        <v>43937</v>
      </c>
      <c r="D21" s="161" t="s">
        <v>8</v>
      </c>
      <c r="E21" s="161" t="s">
        <v>31</v>
      </c>
      <c r="F21" s="222">
        <v>1173</v>
      </c>
      <c r="G21" s="222">
        <v>1163</v>
      </c>
      <c r="H21" s="222">
        <v>10</v>
      </c>
      <c r="I21" s="207">
        <f t="shared" si="8"/>
        <v>255.7544757033248</v>
      </c>
      <c r="J21" s="242">
        <f t="shared" si="9"/>
        <v>2557.5447570332481</v>
      </c>
      <c r="K21" s="153"/>
      <c r="M21" s="319"/>
      <c r="N21" s="320"/>
      <c r="O21" s="321"/>
      <c r="P21" s="328"/>
      <c r="Q21" s="329"/>
      <c r="R21" s="330"/>
      <c r="V21" s="25">
        <f t="shared" si="1"/>
        <v>1</v>
      </c>
      <c r="W21" s="25">
        <f t="shared" si="2"/>
        <v>0</v>
      </c>
    </row>
    <row r="22" spans="1:23" ht="15" customHeight="1" thickBot="1" x14ac:dyDescent="0.35">
      <c r="A22" s="147"/>
      <c r="B22" s="205">
        <f t="shared" si="3"/>
        <v>17</v>
      </c>
      <c r="C22" s="206">
        <v>43938</v>
      </c>
      <c r="D22" s="161" t="s">
        <v>9</v>
      </c>
      <c r="E22" s="161" t="s">
        <v>78</v>
      </c>
      <c r="F22" s="222">
        <v>933</v>
      </c>
      <c r="G22" s="222">
        <v>938.5</v>
      </c>
      <c r="H22" s="222">
        <v>5.5</v>
      </c>
      <c r="I22" s="207">
        <f t="shared" si="8"/>
        <v>321.54340836012864</v>
      </c>
      <c r="J22" s="242">
        <f t="shared" si="9"/>
        <v>1768.4887459807076</v>
      </c>
      <c r="K22" s="153"/>
      <c r="M22" s="322"/>
      <c r="N22" s="323"/>
      <c r="O22" s="324"/>
      <c r="P22" s="331"/>
      <c r="Q22" s="332"/>
      <c r="R22" s="333"/>
      <c r="V22" s="25">
        <f t="shared" si="1"/>
        <v>1</v>
      </c>
      <c r="W22" s="25">
        <f t="shared" si="2"/>
        <v>0</v>
      </c>
    </row>
    <row r="23" spans="1:23" ht="15" customHeight="1" x14ac:dyDescent="0.3">
      <c r="A23" s="147"/>
      <c r="B23" s="205">
        <f t="shared" si="3"/>
        <v>18</v>
      </c>
      <c r="C23" s="206">
        <v>43938</v>
      </c>
      <c r="D23" s="161" t="s">
        <v>8</v>
      </c>
      <c r="E23" s="161" t="s">
        <v>31</v>
      </c>
      <c r="F23" s="222">
        <v>1200</v>
      </c>
      <c r="G23" s="222">
        <v>1193.5</v>
      </c>
      <c r="H23" s="222">
        <v>6.5</v>
      </c>
      <c r="I23" s="207">
        <f t="shared" si="8"/>
        <v>250</v>
      </c>
      <c r="J23" s="242">
        <f t="shared" si="9"/>
        <v>1625</v>
      </c>
      <c r="K23" s="153"/>
      <c r="V23" s="25">
        <f t="shared" si="1"/>
        <v>1</v>
      </c>
      <c r="W23" s="25">
        <f t="shared" si="2"/>
        <v>0</v>
      </c>
    </row>
    <row r="24" spans="1:23" ht="15.75" customHeight="1" x14ac:dyDescent="0.3">
      <c r="A24" s="147"/>
      <c r="B24" s="205">
        <f t="shared" si="3"/>
        <v>19</v>
      </c>
      <c r="C24" s="206">
        <v>43941</v>
      </c>
      <c r="D24" s="161" t="s">
        <v>9</v>
      </c>
      <c r="E24" s="161" t="s">
        <v>192</v>
      </c>
      <c r="F24" s="222">
        <v>88</v>
      </c>
      <c r="G24" s="222">
        <v>92</v>
      </c>
      <c r="H24" s="222">
        <v>4</v>
      </c>
      <c r="I24" s="207">
        <f t="shared" si="8"/>
        <v>3409.090909090909</v>
      </c>
      <c r="J24" s="242">
        <f t="shared" si="9"/>
        <v>13636.363636363636</v>
      </c>
      <c r="K24" s="153"/>
      <c r="V24" s="25">
        <f t="shared" si="1"/>
        <v>1</v>
      </c>
      <c r="W24" s="25">
        <f t="shared" si="2"/>
        <v>0</v>
      </c>
    </row>
    <row r="25" spans="1:23" x14ac:dyDescent="0.3">
      <c r="A25" s="147"/>
      <c r="B25" s="205">
        <f t="shared" si="3"/>
        <v>20</v>
      </c>
      <c r="C25" s="206">
        <v>43941</v>
      </c>
      <c r="D25" s="161" t="s">
        <v>8</v>
      </c>
      <c r="E25" s="161" t="s">
        <v>31</v>
      </c>
      <c r="F25" s="222">
        <v>1207</v>
      </c>
      <c r="G25" s="222">
        <v>1202</v>
      </c>
      <c r="H25" s="222">
        <v>5</v>
      </c>
      <c r="I25" s="207">
        <f t="shared" si="8"/>
        <v>248.55012427506213</v>
      </c>
      <c r="J25" s="242">
        <f t="shared" si="9"/>
        <v>1242.7506213753106</v>
      </c>
      <c r="K25" s="153"/>
      <c r="V25" s="25">
        <f t="shared" si="1"/>
        <v>1</v>
      </c>
      <c r="W25" s="25">
        <f t="shared" si="2"/>
        <v>0</v>
      </c>
    </row>
    <row r="26" spans="1:23" x14ac:dyDescent="0.3">
      <c r="A26" s="147"/>
      <c r="B26" s="205">
        <f t="shared" si="3"/>
        <v>21</v>
      </c>
      <c r="C26" s="206">
        <v>43942</v>
      </c>
      <c r="D26" s="161" t="s">
        <v>9</v>
      </c>
      <c r="E26" s="161" t="s">
        <v>26</v>
      </c>
      <c r="F26" s="222">
        <v>133</v>
      </c>
      <c r="G26" s="222">
        <v>130</v>
      </c>
      <c r="H26" s="222">
        <v>-3</v>
      </c>
      <c r="I26" s="207">
        <f t="shared" si="8"/>
        <v>2255.6390977443607</v>
      </c>
      <c r="J26" s="242">
        <f t="shared" si="9"/>
        <v>-6766.9172932330821</v>
      </c>
      <c r="K26" s="153"/>
      <c r="V26" s="25">
        <f t="shared" si="1"/>
        <v>0</v>
      </c>
      <c r="W26" s="25">
        <f t="shared" si="2"/>
        <v>1</v>
      </c>
    </row>
    <row r="27" spans="1:23" x14ac:dyDescent="0.3">
      <c r="A27" s="147"/>
      <c r="B27" s="205">
        <f t="shared" si="3"/>
        <v>22</v>
      </c>
      <c r="C27" s="206">
        <v>43942</v>
      </c>
      <c r="D27" s="161" t="s">
        <v>8</v>
      </c>
      <c r="E27" s="161" t="s">
        <v>119</v>
      </c>
      <c r="F27" s="222">
        <v>1140</v>
      </c>
      <c r="G27" s="222">
        <v>1150</v>
      </c>
      <c r="H27" s="222">
        <v>-10</v>
      </c>
      <c r="I27" s="207">
        <f t="shared" si="8"/>
        <v>263.15789473684208</v>
      </c>
      <c r="J27" s="242">
        <f t="shared" si="9"/>
        <v>-2631.5789473684208</v>
      </c>
      <c r="K27" s="153"/>
      <c r="V27" s="25">
        <f t="shared" si="1"/>
        <v>0</v>
      </c>
      <c r="W27" s="25">
        <f t="shared" si="2"/>
        <v>1</v>
      </c>
    </row>
    <row r="28" spans="1:23" x14ac:dyDescent="0.3">
      <c r="A28" s="147"/>
      <c r="B28" s="205">
        <f t="shared" si="3"/>
        <v>23</v>
      </c>
      <c r="C28" s="206">
        <v>43943</v>
      </c>
      <c r="D28" s="161" t="s">
        <v>9</v>
      </c>
      <c r="E28" s="161" t="s">
        <v>29</v>
      </c>
      <c r="F28" s="222">
        <v>460</v>
      </c>
      <c r="G28" s="222">
        <v>455</v>
      </c>
      <c r="H28" s="222">
        <v>-5</v>
      </c>
      <c r="I28" s="207">
        <f t="shared" si="8"/>
        <v>652.17391304347825</v>
      </c>
      <c r="J28" s="242">
        <f t="shared" si="9"/>
        <v>-3260.869565217391</v>
      </c>
      <c r="K28" s="153"/>
      <c r="M28" s="25" t="s">
        <v>2008</v>
      </c>
      <c r="V28" s="25">
        <f t="shared" si="1"/>
        <v>0</v>
      </c>
      <c r="W28" s="25">
        <f t="shared" si="2"/>
        <v>1</v>
      </c>
    </row>
    <row r="29" spans="1:23" x14ac:dyDescent="0.3">
      <c r="A29" s="147"/>
      <c r="B29" s="205">
        <f t="shared" si="3"/>
        <v>24</v>
      </c>
      <c r="C29" s="206">
        <v>43943</v>
      </c>
      <c r="D29" s="161" t="s">
        <v>8</v>
      </c>
      <c r="E29" s="161" t="s">
        <v>192</v>
      </c>
      <c r="F29" s="222">
        <v>82.5</v>
      </c>
      <c r="G29" s="222">
        <v>80</v>
      </c>
      <c r="H29" s="222">
        <v>2.5</v>
      </c>
      <c r="I29" s="207">
        <f t="shared" si="8"/>
        <v>3636.3636363636365</v>
      </c>
      <c r="J29" s="242">
        <f t="shared" si="9"/>
        <v>9090.9090909090919</v>
      </c>
      <c r="K29" s="153"/>
      <c r="V29" s="25">
        <f t="shared" si="1"/>
        <v>1</v>
      </c>
      <c r="W29" s="25">
        <f t="shared" si="2"/>
        <v>0</v>
      </c>
    </row>
    <row r="30" spans="1:23" x14ac:dyDescent="0.3">
      <c r="A30" s="147"/>
      <c r="B30" s="205">
        <f t="shared" si="3"/>
        <v>25</v>
      </c>
      <c r="C30" s="206">
        <v>43944</v>
      </c>
      <c r="D30" s="161" t="s">
        <v>9</v>
      </c>
      <c r="E30" s="161" t="s">
        <v>2944</v>
      </c>
      <c r="F30" s="222">
        <v>770</v>
      </c>
      <c r="G30" s="222">
        <v>774.5</v>
      </c>
      <c r="H30" s="222">
        <v>4.5</v>
      </c>
      <c r="I30" s="207">
        <f t="shared" si="8"/>
        <v>389.61038961038963</v>
      </c>
      <c r="J30" s="242">
        <f t="shared" si="9"/>
        <v>1753.2467532467533</v>
      </c>
      <c r="K30" s="153"/>
      <c r="V30" s="25">
        <f t="shared" si="1"/>
        <v>1</v>
      </c>
      <c r="W30" s="25">
        <f t="shared" si="2"/>
        <v>0</v>
      </c>
    </row>
    <row r="31" spans="1:23" x14ac:dyDescent="0.3">
      <c r="A31" s="147"/>
      <c r="B31" s="205">
        <f t="shared" si="3"/>
        <v>26</v>
      </c>
      <c r="C31" s="206">
        <v>43944</v>
      </c>
      <c r="D31" s="161" t="s">
        <v>8</v>
      </c>
      <c r="E31" s="161" t="s">
        <v>94</v>
      </c>
      <c r="F31" s="222">
        <v>923</v>
      </c>
      <c r="G31" s="222">
        <v>933</v>
      </c>
      <c r="H31" s="222">
        <v>-10</v>
      </c>
      <c r="I31" s="207">
        <f t="shared" si="8"/>
        <v>325.02708559046584</v>
      </c>
      <c r="J31" s="242">
        <f t="shared" si="9"/>
        <v>-3250.2708559046587</v>
      </c>
      <c r="K31" s="153"/>
      <c r="V31" s="25">
        <f t="shared" si="1"/>
        <v>0</v>
      </c>
      <c r="W31" s="25">
        <f t="shared" si="2"/>
        <v>1</v>
      </c>
    </row>
    <row r="32" spans="1:23" x14ac:dyDescent="0.3">
      <c r="A32" s="147"/>
      <c r="B32" s="205">
        <f t="shared" si="3"/>
        <v>27</v>
      </c>
      <c r="C32" s="206">
        <v>43945</v>
      </c>
      <c r="D32" s="161" t="s">
        <v>9</v>
      </c>
      <c r="E32" s="161" t="s">
        <v>78</v>
      </c>
      <c r="F32" s="222">
        <v>854</v>
      </c>
      <c r="G32" s="222">
        <v>868</v>
      </c>
      <c r="H32" s="222">
        <v>14</v>
      </c>
      <c r="I32" s="207">
        <f t="shared" si="8"/>
        <v>351.28805620608898</v>
      </c>
      <c r="J32" s="242">
        <f t="shared" si="9"/>
        <v>4918.0327868852455</v>
      </c>
      <c r="K32" s="153"/>
      <c r="V32" s="25">
        <f t="shared" si="1"/>
        <v>1</v>
      </c>
      <c r="W32" s="25">
        <f t="shared" si="2"/>
        <v>0</v>
      </c>
    </row>
    <row r="33" spans="1:23" x14ac:dyDescent="0.3">
      <c r="A33" s="147"/>
      <c r="B33" s="205">
        <f t="shared" si="3"/>
        <v>28</v>
      </c>
      <c r="C33" s="206">
        <v>43945</v>
      </c>
      <c r="D33" s="161" t="s">
        <v>8</v>
      </c>
      <c r="E33" s="161" t="s">
        <v>2023</v>
      </c>
      <c r="F33" s="222">
        <v>2060</v>
      </c>
      <c r="G33" s="222">
        <v>2010</v>
      </c>
      <c r="H33" s="222">
        <v>50</v>
      </c>
      <c r="I33" s="207">
        <f t="shared" si="8"/>
        <v>145.63106796116506</v>
      </c>
      <c r="J33" s="242">
        <f t="shared" si="9"/>
        <v>7281.5533980582532</v>
      </c>
      <c r="K33" s="153"/>
      <c r="V33" s="25">
        <f t="shared" si="1"/>
        <v>1</v>
      </c>
      <c r="W33" s="25">
        <f t="shared" si="2"/>
        <v>0</v>
      </c>
    </row>
    <row r="34" spans="1:23" x14ac:dyDescent="0.3">
      <c r="A34" s="147"/>
      <c r="B34" s="205">
        <f t="shared" si="3"/>
        <v>29</v>
      </c>
      <c r="C34" s="206">
        <v>43948</v>
      </c>
      <c r="D34" s="161" t="s">
        <v>9</v>
      </c>
      <c r="E34" s="161" t="s">
        <v>78</v>
      </c>
      <c r="F34" s="222">
        <v>865</v>
      </c>
      <c r="G34" s="222">
        <v>870</v>
      </c>
      <c r="H34" s="222">
        <v>5</v>
      </c>
      <c r="I34" s="207">
        <f t="shared" si="8"/>
        <v>346.82080924855489</v>
      </c>
      <c r="J34" s="242">
        <f t="shared" si="9"/>
        <v>1734.1040462427745</v>
      </c>
      <c r="K34" s="153"/>
      <c r="V34" s="25">
        <f t="shared" si="1"/>
        <v>1</v>
      </c>
      <c r="W34" s="25">
        <f t="shared" si="2"/>
        <v>0</v>
      </c>
    </row>
    <row r="35" spans="1:23" x14ac:dyDescent="0.3">
      <c r="A35" s="147"/>
      <c r="B35" s="205">
        <f t="shared" si="3"/>
        <v>30</v>
      </c>
      <c r="C35" s="206">
        <v>43948</v>
      </c>
      <c r="D35" s="161" t="s">
        <v>8</v>
      </c>
      <c r="E35" s="161" t="s">
        <v>2023</v>
      </c>
      <c r="F35" s="222">
        <v>1990</v>
      </c>
      <c r="G35" s="222">
        <v>1950</v>
      </c>
      <c r="H35" s="222">
        <v>40</v>
      </c>
      <c r="I35" s="207">
        <f t="shared" si="8"/>
        <v>150.7537688442211</v>
      </c>
      <c r="J35" s="242">
        <f t="shared" si="9"/>
        <v>6030.150753768844</v>
      </c>
      <c r="K35" s="153"/>
      <c r="V35" s="25">
        <f t="shared" si="1"/>
        <v>1</v>
      </c>
      <c r="W35" s="25">
        <f t="shared" si="2"/>
        <v>0</v>
      </c>
    </row>
    <row r="36" spans="1:23" x14ac:dyDescent="0.3">
      <c r="A36" s="147"/>
      <c r="B36" s="205">
        <f t="shared" si="3"/>
        <v>31</v>
      </c>
      <c r="C36" s="206">
        <v>43949</v>
      </c>
      <c r="D36" s="161" t="s">
        <v>9</v>
      </c>
      <c r="E36" s="161" t="s">
        <v>95</v>
      </c>
      <c r="F36" s="222">
        <v>354</v>
      </c>
      <c r="G36" s="222">
        <v>359.5</v>
      </c>
      <c r="H36" s="222">
        <v>5.5</v>
      </c>
      <c r="I36" s="207">
        <f t="shared" si="8"/>
        <v>847.45762711864404</v>
      </c>
      <c r="J36" s="242">
        <f t="shared" si="9"/>
        <v>4661.0169491525421</v>
      </c>
      <c r="K36" s="153"/>
      <c r="V36" s="25">
        <f t="shared" si="1"/>
        <v>1</v>
      </c>
      <c r="W36" s="25">
        <f t="shared" si="2"/>
        <v>0</v>
      </c>
    </row>
    <row r="37" spans="1:23" x14ac:dyDescent="0.3">
      <c r="A37" s="147"/>
      <c r="B37" s="205">
        <f t="shared" si="3"/>
        <v>32</v>
      </c>
      <c r="C37" s="206">
        <v>43949</v>
      </c>
      <c r="D37" s="161" t="s">
        <v>8</v>
      </c>
      <c r="E37" s="161" t="s">
        <v>2023</v>
      </c>
      <c r="F37" s="222">
        <v>2060</v>
      </c>
      <c r="G37" s="222">
        <v>2050</v>
      </c>
      <c r="H37" s="222">
        <v>10</v>
      </c>
      <c r="I37" s="207">
        <f t="shared" si="8"/>
        <v>145.63106796116506</v>
      </c>
      <c r="J37" s="242">
        <f t="shared" si="9"/>
        <v>1456.3106796116506</v>
      </c>
      <c r="K37" s="153"/>
      <c r="V37" s="25">
        <f t="shared" si="1"/>
        <v>1</v>
      </c>
      <c r="W37" s="25">
        <f t="shared" si="2"/>
        <v>0</v>
      </c>
    </row>
    <row r="38" spans="1:23" x14ac:dyDescent="0.3">
      <c r="A38" s="147"/>
      <c r="B38" s="205">
        <f t="shared" si="3"/>
        <v>33</v>
      </c>
      <c r="C38" s="206">
        <v>43950</v>
      </c>
      <c r="D38" s="161" t="s">
        <v>9</v>
      </c>
      <c r="E38" s="161" t="s">
        <v>31</v>
      </c>
      <c r="F38" s="222">
        <v>1442</v>
      </c>
      <c r="G38" s="222">
        <v>1432</v>
      </c>
      <c r="H38" s="222">
        <v>-10</v>
      </c>
      <c r="I38" s="207">
        <f t="shared" si="8"/>
        <v>208.04438280166437</v>
      </c>
      <c r="J38" s="242">
        <f t="shared" si="9"/>
        <v>-2080.4438280166437</v>
      </c>
      <c r="K38" s="153"/>
      <c r="V38" s="25">
        <f t="shared" si="1"/>
        <v>0</v>
      </c>
      <c r="W38" s="25">
        <f t="shared" si="2"/>
        <v>1</v>
      </c>
    </row>
    <row r="39" spans="1:23" x14ac:dyDescent="0.3">
      <c r="A39" s="147"/>
      <c r="B39" s="205">
        <f t="shared" si="3"/>
        <v>34</v>
      </c>
      <c r="C39" s="206">
        <v>43950</v>
      </c>
      <c r="D39" s="161" t="s">
        <v>8</v>
      </c>
      <c r="E39" s="161" t="s">
        <v>78</v>
      </c>
      <c r="F39" s="222">
        <v>858</v>
      </c>
      <c r="G39" s="222">
        <v>868</v>
      </c>
      <c r="H39" s="222">
        <v>-10</v>
      </c>
      <c r="I39" s="207">
        <f t="shared" si="8"/>
        <v>349.65034965034965</v>
      </c>
      <c r="J39" s="242">
        <f t="shared" si="9"/>
        <v>-3496.5034965034965</v>
      </c>
      <c r="K39" s="153"/>
      <c r="V39" s="25">
        <f t="shared" si="1"/>
        <v>0</v>
      </c>
      <c r="W39" s="25">
        <f t="shared" si="2"/>
        <v>1</v>
      </c>
    </row>
    <row r="40" spans="1:23" x14ac:dyDescent="0.3">
      <c r="A40" s="147"/>
      <c r="B40" s="205">
        <f t="shared" si="3"/>
        <v>35</v>
      </c>
      <c r="C40" s="206">
        <v>43951</v>
      </c>
      <c r="D40" s="161" t="s">
        <v>9</v>
      </c>
      <c r="E40" s="161" t="s">
        <v>163</v>
      </c>
      <c r="F40" s="222">
        <v>238</v>
      </c>
      <c r="G40" s="222">
        <v>244</v>
      </c>
      <c r="H40" s="222">
        <v>6</v>
      </c>
      <c r="I40" s="207">
        <f t="shared" si="8"/>
        <v>1260.5042016806722</v>
      </c>
      <c r="J40" s="242">
        <f t="shared" si="9"/>
        <v>7563.0252100840335</v>
      </c>
      <c r="K40" s="153"/>
      <c r="V40" s="25">
        <f t="shared" si="1"/>
        <v>1</v>
      </c>
      <c r="W40" s="25">
        <f t="shared" si="2"/>
        <v>0</v>
      </c>
    </row>
    <row r="41" spans="1:23" x14ac:dyDescent="0.3">
      <c r="A41" s="147"/>
      <c r="B41" s="205">
        <f t="shared" si="3"/>
        <v>36</v>
      </c>
      <c r="C41" s="206">
        <v>43951</v>
      </c>
      <c r="D41" s="161" t="s">
        <v>8</v>
      </c>
      <c r="E41" s="161" t="s">
        <v>133</v>
      </c>
      <c r="F41" s="222">
        <v>847</v>
      </c>
      <c r="G41" s="223">
        <v>827</v>
      </c>
      <c r="H41" s="222">
        <v>20</v>
      </c>
      <c r="I41" s="207">
        <f t="shared" si="8"/>
        <v>354.19126328217237</v>
      </c>
      <c r="J41" s="242">
        <f t="shared" si="9"/>
        <v>7083.825265643447</v>
      </c>
      <c r="K41" s="153"/>
      <c r="V41" s="25">
        <f t="shared" si="1"/>
        <v>1</v>
      </c>
      <c r="W41" s="25">
        <f t="shared" si="2"/>
        <v>0</v>
      </c>
    </row>
    <row r="42" spans="1:23" x14ac:dyDescent="0.3">
      <c r="A42" s="147"/>
      <c r="B42" s="205">
        <f t="shared" si="3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1"/>
        <v>0</v>
      </c>
      <c r="W42" s="25">
        <f t="shared" si="2"/>
        <v>0</v>
      </c>
    </row>
    <row r="43" spans="1:23" x14ac:dyDescent="0.3">
      <c r="A43" s="147"/>
      <c r="B43" s="205">
        <f t="shared" si="3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1"/>
        <v>0</v>
      </c>
      <c r="W43" s="25">
        <f t="shared" si="2"/>
        <v>0</v>
      </c>
    </row>
    <row r="44" spans="1:23" x14ac:dyDescent="0.3">
      <c r="A44" s="147"/>
      <c r="B44" s="205">
        <f t="shared" si="3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1"/>
        <v>0</v>
      </c>
      <c r="W44" s="25">
        <f t="shared" si="2"/>
        <v>0</v>
      </c>
    </row>
    <row r="45" spans="1:23" x14ac:dyDescent="0.3">
      <c r="A45" s="147"/>
      <c r="B45" s="205">
        <f t="shared" si="3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1"/>
        <v>0</v>
      </c>
      <c r="W45" s="25">
        <f t="shared" si="2"/>
        <v>0</v>
      </c>
    </row>
    <row r="46" spans="1:23" x14ac:dyDescent="0.3">
      <c r="A46" s="147"/>
      <c r="B46" s="205">
        <f t="shared" si="3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1"/>
        <v>0</v>
      </c>
      <c r="W46" s="25">
        <f t="shared" si="2"/>
        <v>0</v>
      </c>
    </row>
    <row r="47" spans="1:23" x14ac:dyDescent="0.3">
      <c r="A47" s="147"/>
      <c r="B47" s="205">
        <f t="shared" si="3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1"/>
        <v>0</v>
      </c>
      <c r="W47" s="25">
        <f t="shared" si="2"/>
        <v>0</v>
      </c>
    </row>
    <row r="48" spans="1:23" x14ac:dyDescent="0.3">
      <c r="A48" s="147"/>
      <c r="B48" s="205">
        <f t="shared" si="3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1"/>
        <v>0</v>
      </c>
      <c r="W48" s="25">
        <f t="shared" si="2"/>
        <v>0</v>
      </c>
    </row>
    <row r="49" spans="1:23" x14ac:dyDescent="0.3">
      <c r="A49" s="147"/>
      <c r="B49" s="205">
        <f t="shared" si="3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1"/>
        <v>0</v>
      </c>
      <c r="W49" s="25">
        <f t="shared" si="2"/>
        <v>0</v>
      </c>
    </row>
    <row r="50" spans="1:23" x14ac:dyDescent="0.3">
      <c r="A50" s="147"/>
      <c r="B50" s="205">
        <f t="shared" si="3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1"/>
        <v>0</v>
      </c>
      <c r="W50" s="25">
        <f t="shared" si="2"/>
        <v>0</v>
      </c>
    </row>
    <row r="51" spans="1:23" ht="15" thickBot="1" x14ac:dyDescent="0.35">
      <c r="A51" s="147"/>
      <c r="B51" s="208">
        <f t="shared" si="3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1"/>
        <v>0</v>
      </c>
      <c r="W51" s="25">
        <f t="shared" si="2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128318.75803691037</v>
      </c>
      <c r="K52" s="153"/>
      <c r="V52" s="25">
        <f>SUM(V6:V51)</f>
        <v>29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2958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43922</v>
      </c>
      <c r="D60" s="161" t="s">
        <v>8</v>
      </c>
      <c r="E60" s="161" t="s">
        <v>58</v>
      </c>
      <c r="F60" s="222">
        <v>376</v>
      </c>
      <c r="G60" s="222">
        <v>364</v>
      </c>
      <c r="H60" s="222">
        <v>12</v>
      </c>
      <c r="I60" s="207">
        <v>1200</v>
      </c>
      <c r="J60" s="241">
        <f t="shared" ref="J60:J83" si="15">I60*H60</f>
        <v>14400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43924</v>
      </c>
      <c r="D61" s="161" t="s">
        <v>8</v>
      </c>
      <c r="E61" s="161" t="s">
        <v>31</v>
      </c>
      <c r="F61" s="222">
        <v>1075</v>
      </c>
      <c r="G61" s="222">
        <v>1060</v>
      </c>
      <c r="H61" s="222">
        <v>15</v>
      </c>
      <c r="I61" s="207">
        <v>500</v>
      </c>
      <c r="J61" s="242">
        <f t="shared" si="15"/>
        <v>7500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43928</v>
      </c>
      <c r="D62" s="161" t="s">
        <v>8</v>
      </c>
      <c r="E62" s="161" t="s">
        <v>78</v>
      </c>
      <c r="F62" s="222">
        <v>796</v>
      </c>
      <c r="G62" s="222">
        <v>806</v>
      </c>
      <c r="H62" s="222">
        <v>-10</v>
      </c>
      <c r="I62" s="207">
        <v>375</v>
      </c>
      <c r="J62" s="242">
        <f t="shared" si="15"/>
        <v>-3750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43929</v>
      </c>
      <c r="D63" s="161" t="s">
        <v>9</v>
      </c>
      <c r="E63" s="161" t="s">
        <v>58</v>
      </c>
      <c r="F63" s="222">
        <v>405</v>
      </c>
      <c r="G63" s="222">
        <v>420</v>
      </c>
      <c r="H63" s="222">
        <v>15</v>
      </c>
      <c r="I63" s="207">
        <v>1200</v>
      </c>
      <c r="J63" s="242">
        <f t="shared" si="15"/>
        <v>18000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43930</v>
      </c>
      <c r="D64" s="161" t="s">
        <v>8</v>
      </c>
      <c r="E64" s="161" t="s">
        <v>31</v>
      </c>
      <c r="F64" s="222">
        <v>1202</v>
      </c>
      <c r="G64" s="222">
        <v>1196</v>
      </c>
      <c r="H64" s="222">
        <v>6</v>
      </c>
      <c r="I64" s="207">
        <v>500</v>
      </c>
      <c r="J64" s="242">
        <f t="shared" si="15"/>
        <v>3000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43934</v>
      </c>
      <c r="D65" s="161" t="s">
        <v>8</v>
      </c>
      <c r="E65" s="161" t="s">
        <v>31</v>
      </c>
      <c r="F65" s="207">
        <v>1188</v>
      </c>
      <c r="G65" s="222">
        <v>1184</v>
      </c>
      <c r="H65" s="222">
        <v>4</v>
      </c>
      <c r="I65" s="207">
        <v>500</v>
      </c>
      <c r="J65" s="242">
        <f t="shared" si="15"/>
        <v>2000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43936</v>
      </c>
      <c r="D66" s="161" t="s">
        <v>9</v>
      </c>
      <c r="E66" s="161" t="s">
        <v>58</v>
      </c>
      <c r="F66" s="207">
        <v>441</v>
      </c>
      <c r="G66" s="222">
        <v>450.5</v>
      </c>
      <c r="H66" s="222">
        <v>9.5</v>
      </c>
      <c r="I66" s="207">
        <v>1200</v>
      </c>
      <c r="J66" s="242">
        <f t="shared" si="15"/>
        <v>11400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43937</v>
      </c>
      <c r="D67" s="161" t="s">
        <v>9</v>
      </c>
      <c r="E67" s="161" t="s">
        <v>58</v>
      </c>
      <c r="F67" s="222">
        <v>413</v>
      </c>
      <c r="G67" s="222">
        <v>405</v>
      </c>
      <c r="H67" s="222">
        <v>-8</v>
      </c>
      <c r="I67" s="207">
        <v>1200</v>
      </c>
      <c r="J67" s="242">
        <f t="shared" si="15"/>
        <v>-9600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43938</v>
      </c>
      <c r="D68" s="161" t="s">
        <v>8</v>
      </c>
      <c r="E68" s="161" t="s">
        <v>58</v>
      </c>
      <c r="F68" s="222">
        <v>438</v>
      </c>
      <c r="G68" s="222">
        <v>436</v>
      </c>
      <c r="H68" s="222">
        <v>2</v>
      </c>
      <c r="I68" s="207">
        <v>1200</v>
      </c>
      <c r="J68" s="242">
        <f t="shared" si="15"/>
        <v>2400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43941</v>
      </c>
      <c r="D69" s="161" t="s">
        <v>9</v>
      </c>
      <c r="E69" s="161" t="s">
        <v>19</v>
      </c>
      <c r="F69" s="222">
        <v>197</v>
      </c>
      <c r="G69" s="222">
        <v>198</v>
      </c>
      <c r="H69" s="222">
        <v>1</v>
      </c>
      <c r="I69" s="207">
        <v>3000</v>
      </c>
      <c r="J69" s="242">
        <f t="shared" si="15"/>
        <v>3000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43942</v>
      </c>
      <c r="D70" s="161" t="s">
        <v>8</v>
      </c>
      <c r="E70" s="161" t="s">
        <v>31</v>
      </c>
      <c r="F70" s="161">
        <v>1200</v>
      </c>
      <c r="G70" s="222">
        <v>1170</v>
      </c>
      <c r="H70" s="222">
        <v>30</v>
      </c>
      <c r="I70" s="207">
        <v>500</v>
      </c>
      <c r="J70" s="242">
        <f t="shared" si="15"/>
        <v>15000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43943</v>
      </c>
      <c r="D71" s="161" t="s">
        <v>8</v>
      </c>
      <c r="E71" s="161" t="s">
        <v>58</v>
      </c>
      <c r="F71" s="222">
        <v>415</v>
      </c>
      <c r="G71" s="222">
        <v>422</v>
      </c>
      <c r="H71" s="222">
        <v>-7</v>
      </c>
      <c r="I71" s="207">
        <v>1200</v>
      </c>
      <c r="J71" s="242">
        <f t="shared" si="15"/>
        <v>-8400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43944</v>
      </c>
      <c r="D72" s="161" t="s">
        <v>9</v>
      </c>
      <c r="E72" s="161" t="s">
        <v>31</v>
      </c>
      <c r="F72" s="222">
        <v>1365</v>
      </c>
      <c r="G72" s="222">
        <v>1380</v>
      </c>
      <c r="H72" s="222">
        <v>15</v>
      </c>
      <c r="I72" s="207">
        <v>500</v>
      </c>
      <c r="J72" s="242">
        <f t="shared" si="15"/>
        <v>7500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43945</v>
      </c>
      <c r="D73" s="161" t="s">
        <v>9</v>
      </c>
      <c r="E73" s="161" t="s">
        <v>31</v>
      </c>
      <c r="F73" s="223">
        <v>1357</v>
      </c>
      <c r="G73" s="222">
        <v>1385</v>
      </c>
      <c r="H73" s="255">
        <v>28</v>
      </c>
      <c r="I73" s="207">
        <v>500</v>
      </c>
      <c r="J73" s="242">
        <f t="shared" si="15"/>
        <v>14000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43948</v>
      </c>
      <c r="D74" s="161" t="s">
        <v>9</v>
      </c>
      <c r="E74" s="161" t="s">
        <v>31</v>
      </c>
      <c r="F74" s="222">
        <v>1450</v>
      </c>
      <c r="G74" s="222">
        <v>1472</v>
      </c>
      <c r="H74" s="255">
        <v>22</v>
      </c>
      <c r="I74" s="207">
        <v>500</v>
      </c>
      <c r="J74" s="242">
        <f t="shared" si="15"/>
        <v>11000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43949</v>
      </c>
      <c r="D75" s="161" t="s">
        <v>8</v>
      </c>
      <c r="E75" s="161" t="s">
        <v>31</v>
      </c>
      <c r="F75" s="222">
        <v>1405</v>
      </c>
      <c r="G75" s="222">
        <v>1398.5</v>
      </c>
      <c r="H75" s="222">
        <v>6.5</v>
      </c>
      <c r="I75" s="207">
        <v>500</v>
      </c>
      <c r="J75" s="242">
        <f t="shared" si="15"/>
        <v>3250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43950</v>
      </c>
      <c r="D76" s="161" t="s">
        <v>9</v>
      </c>
      <c r="E76" s="161" t="s">
        <v>2023</v>
      </c>
      <c r="F76" s="222">
        <v>2330</v>
      </c>
      <c r="G76" s="222">
        <v>2375</v>
      </c>
      <c r="H76" s="222">
        <v>35</v>
      </c>
      <c r="I76" s="207">
        <v>250</v>
      </c>
      <c r="J76" s="242">
        <f t="shared" si="15"/>
        <v>8750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43951</v>
      </c>
      <c r="D77" s="161" t="s">
        <v>9</v>
      </c>
      <c r="E77" s="161" t="s">
        <v>2023</v>
      </c>
      <c r="F77" s="222">
        <v>2380</v>
      </c>
      <c r="G77" s="222">
        <v>2350</v>
      </c>
      <c r="H77" s="222">
        <v>-30</v>
      </c>
      <c r="I77" s="207">
        <v>250</v>
      </c>
      <c r="J77" s="242">
        <f t="shared" si="15"/>
        <v>-7500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91950</v>
      </c>
      <c r="K84" s="153"/>
      <c r="V84" s="25">
        <f>SUM(V60:V83)</f>
        <v>14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2957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43922</v>
      </c>
      <c r="D92" s="185" t="s">
        <v>8</v>
      </c>
      <c r="E92" s="185" t="s">
        <v>39</v>
      </c>
      <c r="F92" s="219">
        <v>8290</v>
      </c>
      <c r="G92" s="219">
        <v>8190</v>
      </c>
      <c r="H92" s="185">
        <v>100</v>
      </c>
      <c r="I92" s="219">
        <v>150</v>
      </c>
      <c r="J92" s="246">
        <f t="shared" ref="J92:J114" si="19">I92*H92</f>
        <v>15000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43924</v>
      </c>
      <c r="D93" s="185" t="s">
        <v>8</v>
      </c>
      <c r="E93" s="185" t="s">
        <v>39</v>
      </c>
      <c r="F93" s="219">
        <v>8130</v>
      </c>
      <c r="G93" s="219">
        <v>8090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43928</v>
      </c>
      <c r="D94" s="161" t="s">
        <v>8</v>
      </c>
      <c r="E94" s="161" t="s">
        <v>39</v>
      </c>
      <c r="F94" s="207">
        <v>8560</v>
      </c>
      <c r="G94" s="207">
        <v>8600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43929</v>
      </c>
      <c r="D95" s="161" t="s">
        <v>8</v>
      </c>
      <c r="E95" s="161" t="s">
        <v>39</v>
      </c>
      <c r="F95" s="207">
        <v>9000</v>
      </c>
      <c r="G95" s="207">
        <v>8975</v>
      </c>
      <c r="H95" s="161">
        <v>25</v>
      </c>
      <c r="I95" s="207">
        <v>150</v>
      </c>
      <c r="J95" s="242">
        <f t="shared" si="19"/>
        <v>3750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43930</v>
      </c>
      <c r="D96" s="161" t="s">
        <v>8</v>
      </c>
      <c r="E96" s="161" t="s">
        <v>39</v>
      </c>
      <c r="F96" s="207">
        <v>8920</v>
      </c>
      <c r="G96" s="207">
        <v>8970</v>
      </c>
      <c r="H96" s="161">
        <v>-50</v>
      </c>
      <c r="I96" s="207">
        <v>150</v>
      </c>
      <c r="J96" s="242">
        <f t="shared" si="19"/>
        <v>-7500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43934</v>
      </c>
      <c r="D97" s="161" t="s">
        <v>8</v>
      </c>
      <c r="E97" s="161" t="s">
        <v>39</v>
      </c>
      <c r="F97" s="207">
        <v>9040</v>
      </c>
      <c r="G97" s="207">
        <v>8960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43936</v>
      </c>
      <c r="D98" s="161" t="s">
        <v>8</v>
      </c>
      <c r="E98" s="161" t="s">
        <v>39</v>
      </c>
      <c r="F98" s="207">
        <v>9200</v>
      </c>
      <c r="G98" s="207">
        <v>9240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43937</v>
      </c>
      <c r="D99" s="161" t="s">
        <v>8</v>
      </c>
      <c r="E99" s="161" t="s">
        <v>39</v>
      </c>
      <c r="F99" s="207">
        <v>8930</v>
      </c>
      <c r="G99" s="207">
        <v>8980</v>
      </c>
      <c r="H99" s="161">
        <v>-50</v>
      </c>
      <c r="I99" s="207">
        <v>150</v>
      </c>
      <c r="J99" s="242">
        <f t="shared" si="19"/>
        <v>-7500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43938</v>
      </c>
      <c r="D100" s="161" t="s">
        <v>9</v>
      </c>
      <c r="E100" s="161" t="s">
        <v>39</v>
      </c>
      <c r="F100" s="207">
        <v>9220</v>
      </c>
      <c r="G100" s="207">
        <v>9243</v>
      </c>
      <c r="H100" s="161">
        <v>23</v>
      </c>
      <c r="I100" s="207">
        <v>150</v>
      </c>
      <c r="J100" s="242">
        <f t="shared" si="19"/>
        <v>3450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43941</v>
      </c>
      <c r="D101" s="161" t="s">
        <v>9</v>
      </c>
      <c r="E101" s="161" t="s">
        <v>39</v>
      </c>
      <c r="F101" s="207">
        <v>9320</v>
      </c>
      <c r="G101" s="207">
        <v>9280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43942</v>
      </c>
      <c r="D102" s="161" t="s">
        <v>8</v>
      </c>
      <c r="E102" s="161" t="s">
        <v>39</v>
      </c>
      <c r="F102" s="207">
        <v>9030</v>
      </c>
      <c r="G102" s="207">
        <v>8350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43943</v>
      </c>
      <c r="D103" s="161" t="s">
        <v>9</v>
      </c>
      <c r="E103" s="161" t="s">
        <v>39</v>
      </c>
      <c r="F103" s="207">
        <v>9100</v>
      </c>
      <c r="G103" s="207">
        <v>9060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43944</v>
      </c>
      <c r="D104" s="161" t="s">
        <v>8</v>
      </c>
      <c r="E104" s="161" t="s">
        <v>39</v>
      </c>
      <c r="F104" s="207">
        <v>9260</v>
      </c>
      <c r="G104" s="207">
        <v>9240</v>
      </c>
      <c r="H104" s="161">
        <v>20</v>
      </c>
      <c r="I104" s="207">
        <v>150</v>
      </c>
      <c r="J104" s="242">
        <f t="shared" si="19"/>
        <v>3000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43945</v>
      </c>
      <c r="D105" s="161" t="s">
        <v>9</v>
      </c>
      <c r="E105" s="161" t="s">
        <v>39</v>
      </c>
      <c r="F105" s="207">
        <v>9240</v>
      </c>
      <c r="G105" s="207">
        <v>9258</v>
      </c>
      <c r="H105" s="161">
        <v>18</v>
      </c>
      <c r="I105" s="207">
        <v>150</v>
      </c>
      <c r="J105" s="242">
        <f t="shared" si="19"/>
        <v>2700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43948</v>
      </c>
      <c r="D106" s="161" t="s">
        <v>8</v>
      </c>
      <c r="E106" s="161" t="s">
        <v>39</v>
      </c>
      <c r="F106" s="207">
        <v>9335</v>
      </c>
      <c r="G106" s="207">
        <v>9295</v>
      </c>
      <c r="H106" s="161">
        <v>40</v>
      </c>
      <c r="I106" s="207">
        <v>150</v>
      </c>
      <c r="J106" s="242">
        <f t="shared" si="19"/>
        <v>6000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43949</v>
      </c>
      <c r="D107" s="161" t="s">
        <v>8</v>
      </c>
      <c r="E107" s="161" t="s">
        <v>39</v>
      </c>
      <c r="F107" s="207">
        <v>9300</v>
      </c>
      <c r="G107" s="207">
        <v>9276</v>
      </c>
      <c r="H107" s="161">
        <v>24</v>
      </c>
      <c r="I107" s="207">
        <v>150</v>
      </c>
      <c r="J107" s="242">
        <f t="shared" si="19"/>
        <v>3600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43950</v>
      </c>
      <c r="D108" s="161" t="s">
        <v>9</v>
      </c>
      <c r="E108" s="161" t="s">
        <v>39</v>
      </c>
      <c r="F108" s="207">
        <v>9455</v>
      </c>
      <c r="G108" s="207">
        <v>9515</v>
      </c>
      <c r="H108" s="161">
        <v>60</v>
      </c>
      <c r="I108" s="207">
        <v>150</v>
      </c>
      <c r="J108" s="242">
        <f t="shared" si="19"/>
        <v>9000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43951</v>
      </c>
      <c r="D109" s="161" t="s">
        <v>9</v>
      </c>
      <c r="E109" s="161" t="s">
        <v>39</v>
      </c>
      <c r="F109" s="207">
        <v>9820</v>
      </c>
      <c r="G109" s="207">
        <v>9875</v>
      </c>
      <c r="H109" s="161">
        <v>55</v>
      </c>
      <c r="I109" s="207">
        <v>150</v>
      </c>
      <c r="J109" s="242">
        <f t="shared" si="19"/>
        <v>8250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45750</v>
      </c>
      <c r="K115" s="153"/>
      <c r="V115" s="25">
        <f>SUM(V92:V114)</f>
        <v>12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2956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43922</v>
      </c>
      <c r="D123" s="185" t="s">
        <v>9</v>
      </c>
      <c r="E123" s="185" t="s">
        <v>984</v>
      </c>
      <c r="F123" s="219">
        <v>140</v>
      </c>
      <c r="G123" s="219">
        <v>200</v>
      </c>
      <c r="H123" s="185">
        <v>60</v>
      </c>
      <c r="I123" s="219">
        <v>300</v>
      </c>
      <c r="J123" s="246">
        <f t="shared" ref="J123:J145" si="23">I123*H123</f>
        <v>18000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43924</v>
      </c>
      <c r="D124" s="185" t="s">
        <v>9</v>
      </c>
      <c r="E124" s="185" t="s">
        <v>980</v>
      </c>
      <c r="F124" s="219">
        <v>240</v>
      </c>
      <c r="G124" s="219">
        <v>200</v>
      </c>
      <c r="H124" s="185">
        <v>-40</v>
      </c>
      <c r="I124" s="219">
        <v>300</v>
      </c>
      <c r="J124" s="242">
        <f t="shared" si="23"/>
        <v>-12000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 t="shared" ref="B125:B145" si="26">B124+1</f>
        <v>3</v>
      </c>
      <c r="C125" s="206">
        <v>43928</v>
      </c>
      <c r="D125" s="161" t="s">
        <v>9</v>
      </c>
      <c r="E125" s="161" t="s">
        <v>2960</v>
      </c>
      <c r="F125" s="207">
        <v>170</v>
      </c>
      <c r="G125" s="207">
        <v>230</v>
      </c>
      <c r="H125" s="161">
        <v>60</v>
      </c>
      <c r="I125" s="207">
        <v>300</v>
      </c>
      <c r="J125" s="242">
        <f t="shared" si="23"/>
        <v>18000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43929</v>
      </c>
      <c r="D126" s="161" t="s">
        <v>9</v>
      </c>
      <c r="E126" s="161" t="s">
        <v>1791</v>
      </c>
      <c r="F126" s="207">
        <v>170</v>
      </c>
      <c r="G126" s="207">
        <v>140</v>
      </c>
      <c r="H126" s="161">
        <v>-30</v>
      </c>
      <c r="I126" s="207">
        <v>300</v>
      </c>
      <c r="J126" s="242">
        <f t="shared" si="23"/>
        <v>-9000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43930</v>
      </c>
      <c r="D127" s="161" t="s">
        <v>9</v>
      </c>
      <c r="E127" s="161" t="s">
        <v>1805</v>
      </c>
      <c r="F127" s="207">
        <v>80</v>
      </c>
      <c r="G127" s="207">
        <v>50</v>
      </c>
      <c r="H127" s="161">
        <v>-30</v>
      </c>
      <c r="I127" s="207">
        <v>300</v>
      </c>
      <c r="J127" s="242">
        <f t="shared" si="23"/>
        <v>-9000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43934</v>
      </c>
      <c r="D128" s="161" t="s">
        <v>9</v>
      </c>
      <c r="E128" s="161" t="s">
        <v>1791</v>
      </c>
      <c r="F128" s="207">
        <v>200</v>
      </c>
      <c r="G128" s="222">
        <v>240</v>
      </c>
      <c r="H128" s="222">
        <v>40</v>
      </c>
      <c r="I128" s="207">
        <v>300</v>
      </c>
      <c r="J128" s="242">
        <f t="shared" si="23"/>
        <v>12000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43936</v>
      </c>
      <c r="D129" s="161" t="s">
        <v>9</v>
      </c>
      <c r="E129" s="161" t="s">
        <v>2084</v>
      </c>
      <c r="F129" s="207">
        <v>120</v>
      </c>
      <c r="G129" s="207">
        <v>95</v>
      </c>
      <c r="H129" s="161">
        <v>-25</v>
      </c>
      <c r="I129" s="207">
        <v>300</v>
      </c>
      <c r="J129" s="242">
        <f t="shared" si="23"/>
        <v>-7500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43937</v>
      </c>
      <c r="D130" s="161" t="s">
        <v>9</v>
      </c>
      <c r="E130" s="161" t="s">
        <v>1790</v>
      </c>
      <c r="F130" s="207">
        <v>105</v>
      </c>
      <c r="G130" s="207">
        <v>145</v>
      </c>
      <c r="H130" s="161">
        <v>40</v>
      </c>
      <c r="I130" s="207">
        <v>300</v>
      </c>
      <c r="J130" s="242">
        <f t="shared" si="23"/>
        <v>12000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43938</v>
      </c>
      <c r="D131" s="161" t="s">
        <v>9</v>
      </c>
      <c r="E131" s="161" t="s">
        <v>2967</v>
      </c>
      <c r="F131" s="207">
        <v>170</v>
      </c>
      <c r="G131" s="207">
        <v>200</v>
      </c>
      <c r="H131" s="161">
        <v>30</v>
      </c>
      <c r="I131" s="207">
        <v>300</v>
      </c>
      <c r="J131" s="242">
        <f t="shared" si="23"/>
        <v>9000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43941</v>
      </c>
      <c r="D132" s="161" t="s">
        <v>9</v>
      </c>
      <c r="E132" s="161" t="s">
        <v>2135</v>
      </c>
      <c r="F132" s="207">
        <v>160</v>
      </c>
      <c r="G132" s="222">
        <v>130</v>
      </c>
      <c r="H132" s="222">
        <v>-30</v>
      </c>
      <c r="I132" s="207">
        <v>300</v>
      </c>
      <c r="J132" s="242">
        <f t="shared" si="23"/>
        <v>-9000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43942</v>
      </c>
      <c r="D133" s="161" t="s">
        <v>9</v>
      </c>
      <c r="E133" s="161" t="s">
        <v>1791</v>
      </c>
      <c r="F133" s="207">
        <v>130</v>
      </c>
      <c r="G133" s="207">
        <v>190</v>
      </c>
      <c r="H133" s="161">
        <v>60</v>
      </c>
      <c r="I133" s="207">
        <v>300</v>
      </c>
      <c r="J133" s="242">
        <f t="shared" si="23"/>
        <v>18000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43943</v>
      </c>
      <c r="D134" s="161" t="s">
        <v>9</v>
      </c>
      <c r="E134" s="161" t="s">
        <v>2094</v>
      </c>
      <c r="F134" s="207">
        <v>100</v>
      </c>
      <c r="G134" s="222">
        <v>80</v>
      </c>
      <c r="H134" s="222">
        <v>-20</v>
      </c>
      <c r="I134" s="207">
        <v>300</v>
      </c>
      <c r="J134" s="242">
        <f t="shared" si="23"/>
        <v>-6000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43944</v>
      </c>
      <c r="D135" s="161" t="s">
        <v>9</v>
      </c>
      <c r="E135" s="161" t="s">
        <v>2048</v>
      </c>
      <c r="F135" s="207">
        <v>45</v>
      </c>
      <c r="G135" s="207">
        <v>80</v>
      </c>
      <c r="H135" s="161">
        <v>35</v>
      </c>
      <c r="I135" s="207">
        <v>300</v>
      </c>
      <c r="J135" s="242">
        <f t="shared" si="23"/>
        <v>10500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43945</v>
      </c>
      <c r="D136" s="161" t="s">
        <v>9</v>
      </c>
      <c r="E136" s="161" t="s">
        <v>2084</v>
      </c>
      <c r="F136" s="207">
        <v>190</v>
      </c>
      <c r="G136" s="207">
        <v>160</v>
      </c>
      <c r="H136" s="161">
        <v>-30</v>
      </c>
      <c r="I136" s="207">
        <v>300</v>
      </c>
      <c r="J136" s="242">
        <f>I136*H136</f>
        <v>-9000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43948</v>
      </c>
      <c r="D137" s="161" t="s">
        <v>9</v>
      </c>
      <c r="E137" s="161" t="s">
        <v>2048</v>
      </c>
      <c r="F137" s="207">
        <v>110</v>
      </c>
      <c r="G137" s="207">
        <v>130</v>
      </c>
      <c r="H137" s="161">
        <v>20</v>
      </c>
      <c r="I137" s="207">
        <v>300</v>
      </c>
      <c r="J137" s="242">
        <f t="shared" si="23"/>
        <v>6000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43949</v>
      </c>
      <c r="D138" s="161" t="s">
        <v>9</v>
      </c>
      <c r="E138" s="161" t="s">
        <v>2048</v>
      </c>
      <c r="F138" s="207">
        <v>105</v>
      </c>
      <c r="G138" s="207">
        <v>115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43950</v>
      </c>
      <c r="D139" s="161" t="s">
        <v>9</v>
      </c>
      <c r="E139" s="161" t="s">
        <v>2152</v>
      </c>
      <c r="F139" s="207">
        <v>100</v>
      </c>
      <c r="G139" s="207">
        <v>140</v>
      </c>
      <c r="H139" s="161">
        <v>40</v>
      </c>
      <c r="I139" s="207">
        <v>300</v>
      </c>
      <c r="J139" s="242">
        <f t="shared" si="23"/>
        <v>12000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43951</v>
      </c>
      <c r="D140" s="161" t="s">
        <v>9</v>
      </c>
      <c r="E140" s="161" t="s">
        <v>2281</v>
      </c>
      <c r="F140" s="207">
        <v>60</v>
      </c>
      <c r="G140" s="207">
        <v>88</v>
      </c>
      <c r="H140" s="161">
        <v>28</v>
      </c>
      <c r="I140" s="207">
        <v>300</v>
      </c>
      <c r="J140" s="242">
        <f t="shared" si="23"/>
        <v>8400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65400</v>
      </c>
      <c r="K146" s="153"/>
      <c r="V146" s="25">
        <f>SUM(V123:V145)</f>
        <v>11</v>
      </c>
      <c r="W146" s="25">
        <f>SUM(W123:W145)</f>
        <v>7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2956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43922</v>
      </c>
      <c r="D154" s="185" t="s">
        <v>8</v>
      </c>
      <c r="E154" s="185" t="s">
        <v>301</v>
      </c>
      <c r="F154" s="219">
        <v>18200</v>
      </c>
      <c r="G154" s="219">
        <v>18070</v>
      </c>
      <c r="H154" s="185">
        <v>130</v>
      </c>
      <c r="I154" s="219">
        <v>40</v>
      </c>
      <c r="J154" s="246">
        <f t="shared" ref="J154:J176" si="27">I154*H154</f>
        <v>5200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43924</v>
      </c>
      <c r="D155" s="185" t="s">
        <v>8</v>
      </c>
      <c r="E155" s="185" t="s">
        <v>301</v>
      </c>
      <c r="F155" s="219">
        <v>17600</v>
      </c>
      <c r="G155" s="219">
        <v>17400</v>
      </c>
      <c r="H155" s="185">
        <v>200</v>
      </c>
      <c r="I155" s="219">
        <v>40</v>
      </c>
      <c r="J155" s="242">
        <f t="shared" si="27"/>
        <v>8000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43928</v>
      </c>
      <c r="D156" s="161" t="s">
        <v>8</v>
      </c>
      <c r="E156" s="161" t="s">
        <v>301</v>
      </c>
      <c r="F156" s="207">
        <v>18050</v>
      </c>
      <c r="G156" s="207">
        <v>18200</v>
      </c>
      <c r="H156" s="161">
        <v>-150</v>
      </c>
      <c r="I156" s="207">
        <v>40</v>
      </c>
      <c r="J156" s="242">
        <f t="shared" si="27"/>
        <v>-6000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43929</v>
      </c>
      <c r="D157" s="161" t="s">
        <v>8</v>
      </c>
      <c r="E157" s="161" t="s">
        <v>301</v>
      </c>
      <c r="F157" s="207">
        <v>19200</v>
      </c>
      <c r="G157" s="207">
        <v>18800</v>
      </c>
      <c r="H157" s="161">
        <v>400</v>
      </c>
      <c r="I157" s="207">
        <v>40</v>
      </c>
      <c r="J157" s="242">
        <f t="shared" si="27"/>
        <v>16000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43930</v>
      </c>
      <c r="D158" s="161" t="s">
        <v>8</v>
      </c>
      <c r="E158" s="161" t="s">
        <v>301</v>
      </c>
      <c r="F158" s="207">
        <v>29600</v>
      </c>
      <c r="G158" s="207">
        <v>19300</v>
      </c>
      <c r="H158" s="161">
        <v>300</v>
      </c>
      <c r="I158" s="207">
        <v>40</v>
      </c>
      <c r="J158" s="242">
        <f t="shared" si="27"/>
        <v>12000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43934</v>
      </c>
      <c r="D159" s="161" t="s">
        <v>8</v>
      </c>
      <c r="E159" s="161" t="s">
        <v>301</v>
      </c>
      <c r="F159" s="207">
        <v>19400</v>
      </c>
      <c r="G159" s="207">
        <v>19550</v>
      </c>
      <c r="H159" s="161">
        <v>-150</v>
      </c>
      <c r="I159" s="207">
        <v>40</v>
      </c>
      <c r="J159" s="242">
        <f t="shared" si="27"/>
        <v>-6000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43936</v>
      </c>
      <c r="D160" s="161" t="s">
        <v>9</v>
      </c>
      <c r="E160" s="161" t="s">
        <v>301</v>
      </c>
      <c r="F160" s="207">
        <v>20100</v>
      </c>
      <c r="G160" s="207">
        <v>19950</v>
      </c>
      <c r="H160" s="161">
        <v>-150</v>
      </c>
      <c r="I160" s="207">
        <v>40</v>
      </c>
      <c r="J160" s="242">
        <f t="shared" si="27"/>
        <v>-6000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43937</v>
      </c>
      <c r="D161" s="161" t="s">
        <v>8</v>
      </c>
      <c r="E161" s="161" t="s">
        <v>301</v>
      </c>
      <c r="F161" s="207">
        <v>19150</v>
      </c>
      <c r="G161" s="207">
        <v>19080</v>
      </c>
      <c r="H161" s="161">
        <v>70</v>
      </c>
      <c r="I161" s="207">
        <v>40</v>
      </c>
      <c r="J161" s="242">
        <f t="shared" si="27"/>
        <v>2800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43938</v>
      </c>
      <c r="D162" s="161" t="s">
        <v>9</v>
      </c>
      <c r="E162" s="161" t="s">
        <v>301</v>
      </c>
      <c r="F162" s="207">
        <v>20000</v>
      </c>
      <c r="G162" s="207">
        <v>20100</v>
      </c>
      <c r="H162" s="161">
        <v>100</v>
      </c>
      <c r="I162" s="207">
        <v>40</v>
      </c>
      <c r="J162" s="242">
        <f t="shared" si="27"/>
        <v>4000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43941</v>
      </c>
      <c r="D163" s="161" t="s">
        <v>9</v>
      </c>
      <c r="E163" s="161" t="s">
        <v>301</v>
      </c>
      <c r="F163" s="207">
        <v>20900</v>
      </c>
      <c r="G163" s="207">
        <v>20960</v>
      </c>
      <c r="H163" s="161">
        <v>60</v>
      </c>
      <c r="I163" s="207">
        <v>40</v>
      </c>
      <c r="J163" s="242">
        <f t="shared" si="27"/>
        <v>2400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43942</v>
      </c>
      <c r="D164" s="161" t="s">
        <v>8</v>
      </c>
      <c r="E164" s="161" t="s">
        <v>301</v>
      </c>
      <c r="F164" s="207">
        <v>19600</v>
      </c>
      <c r="G164" s="207">
        <v>19300</v>
      </c>
      <c r="H164" s="161">
        <v>300</v>
      </c>
      <c r="I164" s="207">
        <v>40</v>
      </c>
      <c r="J164" s="242">
        <f t="shared" si="27"/>
        <v>12000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43943</v>
      </c>
      <c r="D165" s="161" t="s">
        <v>8</v>
      </c>
      <c r="E165" s="161" t="s">
        <v>301</v>
      </c>
      <c r="F165" s="207">
        <v>19050</v>
      </c>
      <c r="G165" s="207">
        <v>19200</v>
      </c>
      <c r="H165" s="161">
        <v>-150</v>
      </c>
      <c r="I165" s="207">
        <v>40</v>
      </c>
      <c r="J165" s="242">
        <f t="shared" si="27"/>
        <v>-6000</v>
      </c>
      <c r="K165" s="153"/>
      <c r="V165" s="25">
        <f t="shared" si="28"/>
        <v>0</v>
      </c>
      <c r="W165" s="25">
        <f t="shared" si="29"/>
        <v>1</v>
      </c>
    </row>
    <row r="166" spans="1:23" x14ac:dyDescent="0.3">
      <c r="A166" s="147"/>
      <c r="B166" s="205">
        <f t="shared" si="30"/>
        <v>13</v>
      </c>
      <c r="C166" s="206">
        <v>43944</v>
      </c>
      <c r="D166" s="161" t="s">
        <v>8</v>
      </c>
      <c r="E166" s="161" t="s">
        <v>301</v>
      </c>
      <c r="F166" s="207">
        <v>19950</v>
      </c>
      <c r="G166" s="207">
        <v>19890</v>
      </c>
      <c r="H166" s="161">
        <v>60</v>
      </c>
      <c r="I166" s="207">
        <v>40</v>
      </c>
      <c r="J166" s="242">
        <f t="shared" si="27"/>
        <v>2400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43945</v>
      </c>
      <c r="D167" s="161" t="s">
        <v>8</v>
      </c>
      <c r="E167" s="161" t="s">
        <v>301</v>
      </c>
      <c r="F167" s="207">
        <v>19550</v>
      </c>
      <c r="G167" s="207">
        <v>19700</v>
      </c>
      <c r="H167" s="161">
        <v>-150</v>
      </c>
      <c r="I167" s="207">
        <v>40</v>
      </c>
      <c r="J167" s="242">
        <f t="shared" si="27"/>
        <v>-6000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43948</v>
      </c>
      <c r="D168" s="161" t="s">
        <v>8</v>
      </c>
      <c r="E168" s="161" t="s">
        <v>301</v>
      </c>
      <c r="F168" s="207">
        <v>20150</v>
      </c>
      <c r="G168" s="207">
        <v>20000</v>
      </c>
      <c r="H168" s="161">
        <v>150</v>
      </c>
      <c r="I168" s="207">
        <v>40</v>
      </c>
      <c r="J168" s="242">
        <f t="shared" si="27"/>
        <v>6000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43949</v>
      </c>
      <c r="D169" s="161" t="s">
        <v>8</v>
      </c>
      <c r="E169" s="161" t="s">
        <v>301</v>
      </c>
      <c r="F169" s="207">
        <v>20450</v>
      </c>
      <c r="G169" s="207">
        <v>20390</v>
      </c>
      <c r="H169" s="161">
        <v>60</v>
      </c>
      <c r="I169" s="207">
        <v>40</v>
      </c>
      <c r="J169" s="242">
        <f t="shared" si="27"/>
        <v>2400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43950</v>
      </c>
      <c r="D170" s="161" t="s">
        <v>9</v>
      </c>
      <c r="E170" s="161" t="s">
        <v>301</v>
      </c>
      <c r="F170" s="207">
        <v>20700</v>
      </c>
      <c r="G170" s="207">
        <v>21000</v>
      </c>
      <c r="H170" s="161">
        <v>300</v>
      </c>
      <c r="I170" s="207">
        <v>40</v>
      </c>
      <c r="J170" s="242">
        <f t="shared" si="27"/>
        <v>12000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43951</v>
      </c>
      <c r="D171" s="161" t="s">
        <v>9</v>
      </c>
      <c r="E171" s="161" t="s">
        <v>301</v>
      </c>
      <c r="F171" s="207">
        <v>21930</v>
      </c>
      <c r="G171" s="207">
        <v>21980</v>
      </c>
      <c r="H171" s="161">
        <v>50</v>
      </c>
      <c r="I171" s="207">
        <v>40</v>
      </c>
      <c r="J171" s="242">
        <f t="shared" si="27"/>
        <v>2000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57200</v>
      </c>
      <c r="K177" s="153"/>
      <c r="V177" s="25">
        <f>SUM(V154:V176)</f>
        <v>13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2956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43922</v>
      </c>
      <c r="D185" s="185" t="s">
        <v>9</v>
      </c>
      <c r="E185" s="185" t="s">
        <v>1909</v>
      </c>
      <c r="F185" s="219">
        <v>180</v>
      </c>
      <c r="G185" s="219">
        <v>220</v>
      </c>
      <c r="H185" s="185">
        <v>40</v>
      </c>
      <c r="I185" s="219">
        <v>80</v>
      </c>
      <c r="J185" s="246">
        <f t="shared" ref="J185:J207" si="31">I185*H185</f>
        <v>3200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43924</v>
      </c>
      <c r="D186" s="185" t="s">
        <v>9</v>
      </c>
      <c r="E186" s="185" t="s">
        <v>1539</v>
      </c>
      <c r="F186" s="219">
        <v>620</v>
      </c>
      <c r="G186" s="219">
        <v>665</v>
      </c>
      <c r="H186" s="185">
        <v>45</v>
      </c>
      <c r="I186" s="219">
        <v>80</v>
      </c>
      <c r="J186" s="242">
        <f t="shared" si="31"/>
        <v>3600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43928</v>
      </c>
      <c r="D187" s="161" t="s">
        <v>9</v>
      </c>
      <c r="E187" s="161" t="s">
        <v>1605</v>
      </c>
      <c r="F187" s="207">
        <v>400</v>
      </c>
      <c r="G187" s="207">
        <v>300</v>
      </c>
      <c r="H187" s="161">
        <v>-100</v>
      </c>
      <c r="I187" s="207">
        <v>80</v>
      </c>
      <c r="J187" s="242">
        <f t="shared" si="31"/>
        <v>-8000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43929</v>
      </c>
      <c r="D188" s="161" t="s">
        <v>9</v>
      </c>
      <c r="E188" s="161" t="s">
        <v>1765</v>
      </c>
      <c r="F188" s="207">
        <v>500</v>
      </c>
      <c r="G188" s="207">
        <v>400</v>
      </c>
      <c r="H188" s="161">
        <v>-100</v>
      </c>
      <c r="I188" s="207">
        <v>80</v>
      </c>
      <c r="J188" s="242">
        <f t="shared" si="31"/>
        <v>-8000</v>
      </c>
      <c r="K188" s="153"/>
      <c r="V188" s="25">
        <f t="shared" si="32"/>
        <v>0</v>
      </c>
      <c r="W188" s="25">
        <f t="shared" si="33"/>
        <v>1</v>
      </c>
    </row>
    <row r="189" spans="1:23" x14ac:dyDescent="0.3">
      <c r="A189" s="147"/>
      <c r="B189" s="205">
        <f t="shared" si="34"/>
        <v>5</v>
      </c>
      <c r="C189" s="206">
        <v>43930</v>
      </c>
      <c r="D189" s="161" t="s">
        <v>9</v>
      </c>
      <c r="E189" s="161" t="s">
        <v>1765</v>
      </c>
      <c r="F189" s="207">
        <v>280</v>
      </c>
      <c r="G189" s="207">
        <v>440</v>
      </c>
      <c r="H189" s="161">
        <v>160</v>
      </c>
      <c r="I189" s="207">
        <v>80</v>
      </c>
      <c r="J189" s="242">
        <f t="shared" si="31"/>
        <v>12800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43934</v>
      </c>
      <c r="D190" s="161" t="s">
        <v>9</v>
      </c>
      <c r="E190" s="161" t="s">
        <v>1761</v>
      </c>
      <c r="F190" s="207">
        <v>600</v>
      </c>
      <c r="G190" s="207">
        <v>650</v>
      </c>
      <c r="H190" s="161">
        <v>50</v>
      </c>
      <c r="I190" s="207">
        <v>80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43936</v>
      </c>
      <c r="D191" s="161" t="s">
        <v>9</v>
      </c>
      <c r="E191" s="161" t="s">
        <v>2963</v>
      </c>
      <c r="F191" s="207">
        <v>360</v>
      </c>
      <c r="G191" s="207">
        <v>280</v>
      </c>
      <c r="H191" s="161">
        <v>-80</v>
      </c>
      <c r="I191" s="207">
        <v>80</v>
      </c>
      <c r="J191" s="242">
        <f t="shared" si="31"/>
        <v>-6400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43937</v>
      </c>
      <c r="D192" s="161" t="s">
        <v>9</v>
      </c>
      <c r="E192" s="161" t="s">
        <v>2965</v>
      </c>
      <c r="F192" s="207">
        <v>170</v>
      </c>
      <c r="G192" s="207">
        <v>270</v>
      </c>
      <c r="H192" s="161">
        <v>100</v>
      </c>
      <c r="I192" s="207">
        <v>80</v>
      </c>
      <c r="J192" s="242">
        <f t="shared" si="31"/>
        <v>8000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43938</v>
      </c>
      <c r="D193" s="161" t="s">
        <v>9</v>
      </c>
      <c r="E193" s="161" t="s">
        <v>1816</v>
      </c>
      <c r="F193" s="207">
        <v>600</v>
      </c>
      <c r="G193" s="207">
        <v>660</v>
      </c>
      <c r="H193" s="161">
        <v>60</v>
      </c>
      <c r="I193" s="207">
        <v>80</v>
      </c>
      <c r="J193" s="242">
        <f t="shared" si="31"/>
        <v>4800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43941</v>
      </c>
      <c r="D194" s="161" t="s">
        <v>9</v>
      </c>
      <c r="E194" s="161" t="s">
        <v>2968</v>
      </c>
      <c r="F194" s="207">
        <v>550</v>
      </c>
      <c r="G194" s="207">
        <v>450</v>
      </c>
      <c r="H194" s="161">
        <v>-100</v>
      </c>
      <c r="I194" s="207">
        <v>80</v>
      </c>
      <c r="J194" s="242">
        <f t="shared" si="31"/>
        <v>-8000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43942</v>
      </c>
      <c r="D195" s="161" t="s">
        <v>9</v>
      </c>
      <c r="E195" s="161" t="s">
        <v>1765</v>
      </c>
      <c r="F195" s="207">
        <v>480</v>
      </c>
      <c r="G195" s="207">
        <v>680</v>
      </c>
      <c r="H195" s="161">
        <v>200</v>
      </c>
      <c r="I195" s="207">
        <v>80</v>
      </c>
      <c r="J195" s="242">
        <f t="shared" si="31"/>
        <v>16000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43943</v>
      </c>
      <c r="D196" s="161" t="s">
        <v>9</v>
      </c>
      <c r="E196" s="161" t="s">
        <v>1759</v>
      </c>
      <c r="F196" s="207">
        <v>400</v>
      </c>
      <c r="G196" s="207">
        <v>300</v>
      </c>
      <c r="H196" s="161">
        <v>-100</v>
      </c>
      <c r="I196" s="207">
        <v>80</v>
      </c>
      <c r="J196" s="242">
        <f t="shared" si="31"/>
        <v>-8000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43944</v>
      </c>
      <c r="D197" s="161" t="s">
        <v>9</v>
      </c>
      <c r="E197" s="161" t="s">
        <v>1816</v>
      </c>
      <c r="F197" s="207">
        <v>100</v>
      </c>
      <c r="G197" s="207">
        <v>30</v>
      </c>
      <c r="H197" s="161">
        <v>-70</v>
      </c>
      <c r="I197" s="207">
        <v>80</v>
      </c>
      <c r="J197" s="242">
        <f t="shared" si="31"/>
        <v>-5600</v>
      </c>
      <c r="K197" s="153"/>
      <c r="V197" s="25">
        <f t="shared" si="32"/>
        <v>0</v>
      </c>
      <c r="W197" s="25">
        <f t="shared" si="33"/>
        <v>1</v>
      </c>
    </row>
    <row r="198" spans="1:23" x14ac:dyDescent="0.3">
      <c r="A198" s="147"/>
      <c r="B198" s="205">
        <f t="shared" si="34"/>
        <v>14</v>
      </c>
      <c r="C198" s="206">
        <v>43945</v>
      </c>
      <c r="D198" s="161" t="s">
        <v>9</v>
      </c>
      <c r="E198" s="161" t="s">
        <v>1764</v>
      </c>
      <c r="F198" s="207">
        <v>570</v>
      </c>
      <c r="G198" s="207">
        <v>470</v>
      </c>
      <c r="H198" s="161">
        <v>-100</v>
      </c>
      <c r="I198" s="207">
        <v>80</v>
      </c>
      <c r="J198" s="242">
        <f t="shared" si="31"/>
        <v>-8000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43948</v>
      </c>
      <c r="D199" s="161" t="s">
        <v>9</v>
      </c>
      <c r="E199" s="161" t="s">
        <v>1986</v>
      </c>
      <c r="F199" s="207">
        <v>420</v>
      </c>
      <c r="G199" s="207">
        <v>480</v>
      </c>
      <c r="H199" s="161">
        <v>60</v>
      </c>
      <c r="I199" s="207">
        <v>80</v>
      </c>
      <c r="J199" s="242">
        <f t="shared" si="31"/>
        <v>4800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43949</v>
      </c>
      <c r="D200" s="161" t="s">
        <v>9</v>
      </c>
      <c r="E200" s="161" t="s">
        <v>1998</v>
      </c>
      <c r="F200" s="207">
        <v>330</v>
      </c>
      <c r="G200" s="207">
        <v>364</v>
      </c>
      <c r="H200" s="161">
        <v>34</v>
      </c>
      <c r="I200" s="207">
        <v>80</v>
      </c>
      <c r="J200" s="242">
        <f t="shared" si="31"/>
        <v>2720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43950</v>
      </c>
      <c r="D201" s="161" t="s">
        <v>9</v>
      </c>
      <c r="E201" s="161" t="s">
        <v>2974</v>
      </c>
      <c r="F201" s="207">
        <v>250</v>
      </c>
      <c r="G201" s="207">
        <v>350</v>
      </c>
      <c r="H201" s="161">
        <v>100</v>
      </c>
      <c r="I201" s="207">
        <v>80</v>
      </c>
      <c r="J201" s="242">
        <f t="shared" si="31"/>
        <v>8000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43951</v>
      </c>
      <c r="D202" s="161" t="s">
        <v>9</v>
      </c>
      <c r="E202" s="161" t="s">
        <v>2975</v>
      </c>
      <c r="F202" s="207">
        <v>160</v>
      </c>
      <c r="G202" s="207">
        <v>100</v>
      </c>
      <c r="H202" s="161">
        <v>-60</v>
      </c>
      <c r="I202" s="207">
        <v>80</v>
      </c>
      <c r="J202" s="242">
        <f t="shared" si="31"/>
        <v>-4800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11120</v>
      </c>
      <c r="K208" s="153"/>
      <c r="V208" s="25">
        <f>SUM(V185:V207)</f>
        <v>10</v>
      </c>
      <c r="W208" s="25">
        <f>SUM(W185:W207)</f>
        <v>8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2956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43922</v>
      </c>
      <c r="D216" s="185" t="s">
        <v>9</v>
      </c>
      <c r="E216" s="185" t="s">
        <v>2406</v>
      </c>
      <c r="F216" s="231">
        <v>33</v>
      </c>
      <c r="G216" s="231">
        <v>34.5</v>
      </c>
      <c r="H216" s="231">
        <v>1.5</v>
      </c>
      <c r="I216" s="219">
        <v>1375</v>
      </c>
      <c r="J216" s="246">
        <f t="shared" ref="J216:J239" si="35">I216*H216</f>
        <v>2062.5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43924</v>
      </c>
      <c r="D217" s="185" t="s">
        <v>9</v>
      </c>
      <c r="E217" s="185" t="s">
        <v>2959</v>
      </c>
      <c r="F217" s="231">
        <v>43</v>
      </c>
      <c r="G217" s="231">
        <v>55</v>
      </c>
      <c r="H217" s="231">
        <v>12</v>
      </c>
      <c r="I217" s="219">
        <v>1200</v>
      </c>
      <c r="J217" s="242">
        <f>I217*H217</f>
        <v>14400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43928</v>
      </c>
      <c r="D218" s="161" t="s">
        <v>9</v>
      </c>
      <c r="E218" s="161" t="s">
        <v>1173</v>
      </c>
      <c r="F218" s="222">
        <v>14.8</v>
      </c>
      <c r="G218" s="222">
        <v>15.75</v>
      </c>
      <c r="H218" s="222">
        <v>0.95</v>
      </c>
      <c r="I218" s="207">
        <v>3000</v>
      </c>
      <c r="J218" s="242">
        <f t="shared" si="35"/>
        <v>2850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43929</v>
      </c>
      <c r="D219" s="161" t="s">
        <v>9</v>
      </c>
      <c r="E219" s="161" t="s">
        <v>2961</v>
      </c>
      <c r="F219" s="222">
        <v>40</v>
      </c>
      <c r="G219" s="222">
        <v>45</v>
      </c>
      <c r="H219" s="222">
        <v>5</v>
      </c>
      <c r="I219" s="207">
        <v>1200</v>
      </c>
      <c r="J219" s="242">
        <f t="shared" si="35"/>
        <v>6000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43930</v>
      </c>
      <c r="D220" s="161" t="s">
        <v>9</v>
      </c>
      <c r="E220" s="161" t="s">
        <v>2962</v>
      </c>
      <c r="F220" s="222">
        <v>54</v>
      </c>
      <c r="G220" s="222">
        <v>66</v>
      </c>
      <c r="H220" s="222">
        <v>12</v>
      </c>
      <c r="I220" s="207">
        <v>700</v>
      </c>
      <c r="J220" s="242">
        <f t="shared" si="35"/>
        <v>8400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43934</v>
      </c>
      <c r="D221" s="161" t="s">
        <v>9</v>
      </c>
      <c r="E221" s="161" t="s">
        <v>2817</v>
      </c>
      <c r="F221" s="222">
        <v>65</v>
      </c>
      <c r="G221" s="222">
        <v>68.7</v>
      </c>
      <c r="H221" s="222">
        <v>3.7</v>
      </c>
      <c r="I221" s="207">
        <v>500</v>
      </c>
      <c r="J221" s="242">
        <f t="shared" si="35"/>
        <v>1850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43936</v>
      </c>
      <c r="D222" s="161" t="s">
        <v>9</v>
      </c>
      <c r="E222" s="161" t="s">
        <v>2964</v>
      </c>
      <c r="F222" s="222">
        <v>66</v>
      </c>
      <c r="G222" s="222">
        <v>56</v>
      </c>
      <c r="H222" s="222">
        <v>-10</v>
      </c>
      <c r="I222" s="207">
        <v>700</v>
      </c>
      <c r="J222" s="242">
        <f t="shared" si="35"/>
        <v>-7000</v>
      </c>
      <c r="K222" s="153"/>
      <c r="V222" s="25">
        <f t="shared" si="37"/>
        <v>0</v>
      </c>
      <c r="W222" s="25">
        <f t="shared" si="38"/>
        <v>1</v>
      </c>
    </row>
    <row r="223" spans="1:23" x14ac:dyDescent="0.3">
      <c r="A223" s="147"/>
      <c r="B223" s="205">
        <f t="shared" si="36"/>
        <v>8</v>
      </c>
      <c r="C223" s="206">
        <v>43937</v>
      </c>
      <c r="D223" s="161" t="s">
        <v>9</v>
      </c>
      <c r="E223" s="161" t="s">
        <v>2966</v>
      </c>
      <c r="F223" s="222">
        <v>45</v>
      </c>
      <c r="G223" s="222">
        <v>55</v>
      </c>
      <c r="H223" s="222">
        <v>10</v>
      </c>
      <c r="I223" s="207">
        <v>375</v>
      </c>
      <c r="J223" s="242">
        <f t="shared" si="35"/>
        <v>3750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43938</v>
      </c>
      <c r="D224" s="161" t="s">
        <v>9</v>
      </c>
      <c r="E224" s="161" t="s">
        <v>2808</v>
      </c>
      <c r="F224" s="222">
        <v>60</v>
      </c>
      <c r="G224" s="222">
        <v>50</v>
      </c>
      <c r="H224" s="255">
        <v>-10</v>
      </c>
      <c r="I224" s="207">
        <v>500</v>
      </c>
      <c r="J224" s="242">
        <f t="shared" si="35"/>
        <v>-5000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43941</v>
      </c>
      <c r="D225" s="161" t="s">
        <v>9</v>
      </c>
      <c r="E225" s="161" t="s">
        <v>2808</v>
      </c>
      <c r="F225" s="222">
        <v>50</v>
      </c>
      <c r="G225" s="222">
        <v>42</v>
      </c>
      <c r="H225" s="255">
        <v>-8</v>
      </c>
      <c r="I225" s="207">
        <v>500</v>
      </c>
      <c r="J225" s="242">
        <f t="shared" si="35"/>
        <v>-4000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43942</v>
      </c>
      <c r="D226" s="161" t="s">
        <v>9</v>
      </c>
      <c r="E226" s="161" t="s">
        <v>2966</v>
      </c>
      <c r="F226" s="222">
        <v>34</v>
      </c>
      <c r="G226" s="222">
        <v>27</v>
      </c>
      <c r="H226" s="255">
        <v>-7</v>
      </c>
      <c r="I226" s="207">
        <v>375</v>
      </c>
      <c r="J226" s="242">
        <f t="shared" si="35"/>
        <v>-2625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12</v>
      </c>
      <c r="C227" s="206">
        <v>43943</v>
      </c>
      <c r="D227" s="161" t="s">
        <v>9</v>
      </c>
      <c r="E227" s="161" t="s">
        <v>2969</v>
      </c>
      <c r="F227" s="222">
        <v>30</v>
      </c>
      <c r="G227" s="222">
        <v>24</v>
      </c>
      <c r="H227" s="255">
        <v>-6</v>
      </c>
      <c r="I227" s="207">
        <v>400</v>
      </c>
      <c r="J227" s="242">
        <f t="shared" si="35"/>
        <v>-2400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43944</v>
      </c>
      <c r="D228" s="161" t="s">
        <v>9</v>
      </c>
      <c r="E228" s="161" t="s">
        <v>2970</v>
      </c>
      <c r="F228" s="222">
        <v>17</v>
      </c>
      <c r="G228" s="222">
        <v>18.5</v>
      </c>
      <c r="H228" s="255">
        <v>1.5</v>
      </c>
      <c r="I228" s="207">
        <v>1200</v>
      </c>
      <c r="J228" s="242">
        <f t="shared" si="35"/>
        <v>1800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43945</v>
      </c>
      <c r="D229" s="161" t="s">
        <v>9</v>
      </c>
      <c r="E229" s="161" t="s">
        <v>2655</v>
      </c>
      <c r="F229" s="222">
        <v>45</v>
      </c>
      <c r="G229" s="222">
        <v>60</v>
      </c>
      <c r="H229" s="255">
        <v>15</v>
      </c>
      <c r="I229" s="207">
        <v>500</v>
      </c>
      <c r="J229" s="242">
        <f>I229*H229</f>
        <v>7500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43948</v>
      </c>
      <c r="D230" s="161" t="s">
        <v>9</v>
      </c>
      <c r="E230" s="161" t="s">
        <v>2971</v>
      </c>
      <c r="F230" s="222">
        <v>42</v>
      </c>
      <c r="G230" s="222">
        <v>35</v>
      </c>
      <c r="H230" s="255">
        <v>-7</v>
      </c>
      <c r="I230" s="207">
        <v>500</v>
      </c>
      <c r="J230" s="242">
        <f t="shared" si="35"/>
        <v>-3500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43949</v>
      </c>
      <c r="D231" s="161" t="s">
        <v>9</v>
      </c>
      <c r="E231" s="161" t="s">
        <v>2972</v>
      </c>
      <c r="F231" s="222">
        <v>11</v>
      </c>
      <c r="G231" s="222">
        <v>13.85</v>
      </c>
      <c r="H231" s="222">
        <v>2.85</v>
      </c>
      <c r="I231" s="207">
        <v>1375</v>
      </c>
      <c r="J231" s="242">
        <f t="shared" si="35"/>
        <v>3918.75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43950</v>
      </c>
      <c r="D232" s="161" t="s">
        <v>9</v>
      </c>
      <c r="E232" s="161" t="s">
        <v>2973</v>
      </c>
      <c r="F232" s="222">
        <v>5.5</v>
      </c>
      <c r="G232" s="222">
        <v>8.5</v>
      </c>
      <c r="H232" s="222">
        <v>3</v>
      </c>
      <c r="I232" s="207">
        <v>1500</v>
      </c>
      <c r="J232" s="242">
        <f t="shared" si="35"/>
        <v>4500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43951</v>
      </c>
      <c r="D233" s="161" t="s">
        <v>9</v>
      </c>
      <c r="E233" s="161" t="s">
        <v>2966</v>
      </c>
      <c r="F233" s="222">
        <v>8</v>
      </c>
      <c r="G233" s="222">
        <v>16</v>
      </c>
      <c r="H233" s="222">
        <v>8</v>
      </c>
      <c r="I233" s="207">
        <v>375</v>
      </c>
      <c r="J233" s="242">
        <f t="shared" si="35"/>
        <v>3000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35506.25</v>
      </c>
      <c r="K240" s="153"/>
      <c r="V240" s="25">
        <f>SUM(V216:V239)</f>
        <v>12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400-000000000000}"/>
    <hyperlink ref="B84" r:id="rId2" xr:uid="{00000000-0004-0000-5400-000001000000}"/>
    <hyperlink ref="B115" r:id="rId3" xr:uid="{00000000-0004-0000-5400-000002000000}"/>
    <hyperlink ref="B146" r:id="rId4" xr:uid="{00000000-0004-0000-5400-000003000000}"/>
    <hyperlink ref="B177" r:id="rId5" xr:uid="{00000000-0004-0000-5400-000004000000}"/>
    <hyperlink ref="B208" r:id="rId6" xr:uid="{00000000-0004-0000-5400-000005000000}"/>
    <hyperlink ref="B240" r:id="rId7" xr:uid="{00000000-0004-0000-5400-000006000000}"/>
    <hyperlink ref="M1" location="'MASTER '!A1" display="Back" xr:uid="{00000000-0004-0000-5400-000007000000}"/>
    <hyperlink ref="M6:M7" location="'APRIL 2020'!A77" display="STOCK FUTURE" xr:uid="{00000000-0004-0000-5400-000008000000}"/>
    <hyperlink ref="M14:M15" location="'APRIL 2020'!A201" display="B.NIFTY OPTION" xr:uid="{00000000-0004-0000-5400-000009000000}"/>
    <hyperlink ref="M12:M13" location="'APRIL 2020'!A170" display="BANK NIFTY" xr:uid="{00000000-0004-0000-5400-00000A000000}"/>
    <hyperlink ref="M10:M11" location="'APRIL 2020'!A139" display="NF. OPTION" xr:uid="{00000000-0004-0000-5400-00000B000000}"/>
    <hyperlink ref="M8:M9" location="'APRIL 2020'!A108" display="NIFTY FUTURE" xr:uid="{00000000-0004-0000-5400-00000C000000}"/>
    <hyperlink ref="M4:M5" location="'APRIL 2020'!A1" display="CASH" xr:uid="{00000000-0004-0000-5400-00000D000000}"/>
    <hyperlink ref="M16:M17" location="'APRIL 2020'!A1" display="STOCK OPTION" xr:uid="{00000000-0004-0000-5400-00000E000000}"/>
  </hyperlinks>
  <pageMargins left="0" right="0" top="0" bottom="0" header="0" footer="0"/>
  <pageSetup scale="95" orientation="portrait" r:id="rId8"/>
  <drawing r:id="rId9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2976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31</v>
      </c>
      <c r="P4" s="386">
        <f>W52</f>
        <v>7</v>
      </c>
      <c r="Q4" s="387">
        <f>N4-O4-P4</f>
        <v>0</v>
      </c>
      <c r="R4" s="380">
        <f>O4/N4</f>
        <v>0.81578947368421051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43955</v>
      </c>
      <c r="D6" s="158" t="s">
        <v>9</v>
      </c>
      <c r="E6" s="158" t="s">
        <v>2979</v>
      </c>
      <c r="F6" s="230">
        <v>332</v>
      </c>
      <c r="G6" s="222">
        <v>328</v>
      </c>
      <c r="H6" s="222">
        <v>-4</v>
      </c>
      <c r="I6" s="207">
        <f>300000/F6</f>
        <v>903.61445783132535</v>
      </c>
      <c r="J6" s="161">
        <f>H6*I6</f>
        <v>-3614.4578313253014</v>
      </c>
      <c r="K6" s="153"/>
      <c r="M6" s="394" t="s">
        <v>450</v>
      </c>
      <c r="N6" s="344">
        <f>COUNT(C60:C83)</f>
        <v>19</v>
      </c>
      <c r="O6" s="346">
        <f>V84</f>
        <v>17</v>
      </c>
      <c r="P6" s="346">
        <f>W84</f>
        <v>2</v>
      </c>
      <c r="Q6" s="374">
        <f>N6-O6-P6</f>
        <v>0</v>
      </c>
      <c r="R6" s="376">
        <f t="shared" ref="R6" si="0">O6/N6</f>
        <v>0.89473684210526316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43955</v>
      </c>
      <c r="D7" s="161" t="s">
        <v>8</v>
      </c>
      <c r="E7" s="161" t="s">
        <v>78</v>
      </c>
      <c r="F7" s="222">
        <v>853</v>
      </c>
      <c r="G7" s="231">
        <v>846</v>
      </c>
      <c r="H7" s="255">
        <v>7</v>
      </c>
      <c r="I7" s="207">
        <f>300000/F7</f>
        <v>351.69988276670574</v>
      </c>
      <c r="J7" s="161">
        <f>H7*I7</f>
        <v>2461.8991793669402</v>
      </c>
      <c r="K7" s="153"/>
      <c r="M7" s="396"/>
      <c r="N7" s="385"/>
      <c r="O7" s="382"/>
      <c r="P7" s="382"/>
      <c r="Q7" s="383"/>
      <c r="R7" s="384"/>
      <c r="V7" s="25">
        <f t="shared" ref="V7:V51" si="1">IF($J7&gt;0,1,0)</f>
        <v>1</v>
      </c>
      <c r="W7" s="25">
        <f t="shared" ref="W7:W51" si="2">IF($J7&lt;0,1,0)</f>
        <v>0</v>
      </c>
    </row>
    <row r="8" spans="1:23" x14ac:dyDescent="0.3">
      <c r="A8" s="147"/>
      <c r="B8" s="205">
        <f t="shared" ref="B8:B51" si="3">B7+1</f>
        <v>3</v>
      </c>
      <c r="C8" s="206">
        <v>43956</v>
      </c>
      <c r="D8" s="161" t="s">
        <v>9</v>
      </c>
      <c r="E8" s="161" t="s">
        <v>688</v>
      </c>
      <c r="F8" s="222">
        <v>278</v>
      </c>
      <c r="G8" s="222">
        <v>274</v>
      </c>
      <c r="H8" s="222">
        <v>-4</v>
      </c>
      <c r="I8" s="207">
        <f t="shared" ref="I8:I10" si="4">300000/F8</f>
        <v>1079.1366906474821</v>
      </c>
      <c r="J8" s="161">
        <f t="shared" ref="J8:J10" si="5">H8*I8</f>
        <v>-4316.5467625899282</v>
      </c>
      <c r="K8" s="153"/>
      <c r="M8" s="394" t="s">
        <v>451</v>
      </c>
      <c r="N8" s="344">
        <f>COUNT(C92:C114)</f>
        <v>19</v>
      </c>
      <c r="O8" s="346">
        <f>V115</f>
        <v>16</v>
      </c>
      <c r="P8" s="346">
        <f>W115</f>
        <v>3</v>
      </c>
      <c r="Q8" s="374">
        <f>N8-O8-P8</f>
        <v>0</v>
      </c>
      <c r="R8" s="376">
        <f t="shared" ref="R8" si="6">O8/N8</f>
        <v>0.84210526315789469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3"/>
        <v>4</v>
      </c>
      <c r="C9" s="206">
        <v>43956</v>
      </c>
      <c r="D9" s="161" t="s">
        <v>8</v>
      </c>
      <c r="E9" s="161" t="s">
        <v>1064</v>
      </c>
      <c r="F9" s="222">
        <v>1400</v>
      </c>
      <c r="G9" s="231">
        <v>1394</v>
      </c>
      <c r="H9" s="255">
        <v>6</v>
      </c>
      <c r="I9" s="207">
        <f t="shared" si="4"/>
        <v>214.28571428571428</v>
      </c>
      <c r="J9" s="161">
        <f t="shared" si="5"/>
        <v>1285.7142857142858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3"/>
        <v>5</v>
      </c>
      <c r="C10" s="206">
        <v>43957</v>
      </c>
      <c r="D10" s="161" t="s">
        <v>9</v>
      </c>
      <c r="E10" s="161" t="s">
        <v>31</v>
      </c>
      <c r="F10" s="222">
        <v>1475</v>
      </c>
      <c r="G10" s="222">
        <v>1482</v>
      </c>
      <c r="H10" s="222">
        <v>7</v>
      </c>
      <c r="I10" s="207">
        <f t="shared" si="4"/>
        <v>203.38983050847457</v>
      </c>
      <c r="J10" s="161">
        <f t="shared" si="5"/>
        <v>1423.7288135593221</v>
      </c>
      <c r="K10" s="153"/>
      <c r="M10" s="394" t="s">
        <v>1176</v>
      </c>
      <c r="N10" s="344">
        <f>COUNT(C123:C145)</f>
        <v>19</v>
      </c>
      <c r="O10" s="346">
        <f>V146</f>
        <v>17</v>
      </c>
      <c r="P10" s="346">
        <f>W146</f>
        <v>2</v>
      </c>
      <c r="Q10" s="374">
        <f>N10-O10-P10</f>
        <v>0</v>
      </c>
      <c r="R10" s="376">
        <f t="shared" ref="R10:R16" si="7">O10/N10</f>
        <v>0.89473684210526316</v>
      </c>
      <c r="V10" s="25">
        <f t="shared" si="1"/>
        <v>1</v>
      </c>
      <c r="W10" s="25">
        <f t="shared" si="2"/>
        <v>0</v>
      </c>
    </row>
    <row r="11" spans="1:23" x14ac:dyDescent="0.3">
      <c r="A11" s="147"/>
      <c r="B11" s="205">
        <f t="shared" si="3"/>
        <v>6</v>
      </c>
      <c r="C11" s="206">
        <v>43957</v>
      </c>
      <c r="D11" s="161" t="s">
        <v>8</v>
      </c>
      <c r="E11" s="161" t="s">
        <v>95</v>
      </c>
      <c r="F11" s="222">
        <v>327</v>
      </c>
      <c r="G11" s="222">
        <v>332</v>
      </c>
      <c r="H11" s="255">
        <v>-5</v>
      </c>
      <c r="I11" s="207">
        <f t="shared" ref="I11:I23" si="8">300000/F11</f>
        <v>917.43119266055044</v>
      </c>
      <c r="J11" s="161">
        <f t="shared" ref="J11:J23" si="9">H11*I11</f>
        <v>-4587.1559633027518</v>
      </c>
      <c r="K11" s="153"/>
      <c r="M11" s="396"/>
      <c r="N11" s="385"/>
      <c r="O11" s="382"/>
      <c r="P11" s="382"/>
      <c r="Q11" s="383"/>
      <c r="R11" s="384"/>
      <c r="V11" s="25">
        <f t="shared" si="1"/>
        <v>0</v>
      </c>
      <c r="W11" s="25">
        <f t="shared" si="2"/>
        <v>1</v>
      </c>
    </row>
    <row r="12" spans="1:23" x14ac:dyDescent="0.3">
      <c r="A12" s="147"/>
      <c r="B12" s="205">
        <f t="shared" si="3"/>
        <v>7</v>
      </c>
      <c r="C12" s="206">
        <v>43958</v>
      </c>
      <c r="D12" s="161" t="s">
        <v>9</v>
      </c>
      <c r="E12" s="161" t="s">
        <v>37</v>
      </c>
      <c r="F12" s="222">
        <v>120</v>
      </c>
      <c r="G12" s="222">
        <v>122</v>
      </c>
      <c r="H12" s="222">
        <v>2</v>
      </c>
      <c r="I12" s="207">
        <f t="shared" si="8"/>
        <v>2500</v>
      </c>
      <c r="J12" s="242">
        <f t="shared" si="9"/>
        <v>5000</v>
      </c>
      <c r="K12" s="153"/>
      <c r="M12" s="394" t="s">
        <v>41</v>
      </c>
      <c r="N12" s="344">
        <f>COUNT(C154:C176)</f>
        <v>19</v>
      </c>
      <c r="O12" s="346">
        <f>V177</f>
        <v>15</v>
      </c>
      <c r="P12" s="346">
        <f>W177</f>
        <v>4</v>
      </c>
      <c r="Q12" s="374">
        <f t="shared" ref="Q12" si="10">N12-O12-P12</f>
        <v>0</v>
      </c>
      <c r="R12" s="376">
        <f t="shared" si="7"/>
        <v>0.78947368421052633</v>
      </c>
      <c r="V12" s="25">
        <f t="shared" si="1"/>
        <v>1</v>
      </c>
      <c r="W12" s="25">
        <f t="shared" si="2"/>
        <v>0</v>
      </c>
    </row>
    <row r="13" spans="1:23" x14ac:dyDescent="0.3">
      <c r="A13" s="147"/>
      <c r="B13" s="205">
        <f t="shared" si="3"/>
        <v>8</v>
      </c>
      <c r="C13" s="206">
        <v>43958</v>
      </c>
      <c r="D13" s="161" t="s">
        <v>8</v>
      </c>
      <c r="E13" s="161" t="s">
        <v>2921</v>
      </c>
      <c r="F13" s="222">
        <v>455</v>
      </c>
      <c r="G13" s="222">
        <v>444</v>
      </c>
      <c r="H13" s="255">
        <v>11</v>
      </c>
      <c r="I13" s="207">
        <f t="shared" si="8"/>
        <v>659.34065934065939</v>
      </c>
      <c r="J13" s="242">
        <f t="shared" si="9"/>
        <v>7252.7472527472528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1"/>
        <v>1</v>
      </c>
      <c r="W13" s="25">
        <f t="shared" si="2"/>
        <v>0</v>
      </c>
    </row>
    <row r="14" spans="1:23" x14ac:dyDescent="0.3">
      <c r="A14" s="147"/>
      <c r="B14" s="205">
        <f t="shared" si="3"/>
        <v>9</v>
      </c>
      <c r="C14" s="206">
        <v>43959</v>
      </c>
      <c r="D14" s="161" t="s">
        <v>9</v>
      </c>
      <c r="E14" s="161" t="s">
        <v>31</v>
      </c>
      <c r="F14" s="222">
        <v>1540</v>
      </c>
      <c r="G14" s="222">
        <v>1570</v>
      </c>
      <c r="H14" s="222">
        <v>30</v>
      </c>
      <c r="I14" s="207">
        <f t="shared" si="8"/>
        <v>194.80519480519482</v>
      </c>
      <c r="J14" s="242">
        <f t="shared" si="9"/>
        <v>5844.1558441558445</v>
      </c>
      <c r="K14" s="153"/>
      <c r="M14" s="394" t="s">
        <v>1175</v>
      </c>
      <c r="N14" s="344">
        <f>COUNT(C185:C207)</f>
        <v>19</v>
      </c>
      <c r="O14" s="346">
        <f>V208</f>
        <v>15</v>
      </c>
      <c r="P14" s="346">
        <f>W208</f>
        <v>4</v>
      </c>
      <c r="Q14" s="374">
        <f t="shared" ref="Q14" si="11">N14-O14-P14</f>
        <v>0</v>
      </c>
      <c r="R14" s="376">
        <f t="shared" si="7"/>
        <v>0.78947368421052633</v>
      </c>
      <c r="V14" s="25">
        <f t="shared" si="1"/>
        <v>1</v>
      </c>
      <c r="W14" s="25">
        <f t="shared" si="2"/>
        <v>0</v>
      </c>
    </row>
    <row r="15" spans="1:23" x14ac:dyDescent="0.3">
      <c r="A15" s="147"/>
      <c r="B15" s="205">
        <f t="shared" si="3"/>
        <v>10</v>
      </c>
      <c r="C15" s="206">
        <v>43959</v>
      </c>
      <c r="D15" s="161" t="s">
        <v>8</v>
      </c>
      <c r="E15" s="161" t="s">
        <v>78</v>
      </c>
      <c r="F15" s="222">
        <v>820</v>
      </c>
      <c r="G15" s="222">
        <v>810</v>
      </c>
      <c r="H15" s="222">
        <v>10</v>
      </c>
      <c r="I15" s="207">
        <f t="shared" si="8"/>
        <v>365.85365853658539</v>
      </c>
      <c r="J15" s="242">
        <f t="shared" si="9"/>
        <v>3658.5365853658541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3"/>
        <v>11</v>
      </c>
      <c r="C16" s="206">
        <v>43962</v>
      </c>
      <c r="D16" s="161" t="s">
        <v>9</v>
      </c>
      <c r="E16" s="161" t="s">
        <v>31</v>
      </c>
      <c r="F16" s="222">
        <v>1600</v>
      </c>
      <c r="G16" s="222">
        <v>1607</v>
      </c>
      <c r="H16" s="222">
        <v>7</v>
      </c>
      <c r="I16" s="207">
        <f t="shared" si="8"/>
        <v>187.5</v>
      </c>
      <c r="J16" s="242">
        <f t="shared" si="9"/>
        <v>1312.5</v>
      </c>
      <c r="K16" s="153"/>
      <c r="L16" s="25" t="s">
        <v>2008</v>
      </c>
      <c r="M16" s="394" t="s">
        <v>1090</v>
      </c>
      <c r="N16" s="344">
        <f>COUNT(C216:C239)</f>
        <v>20</v>
      </c>
      <c r="O16" s="346">
        <f>V240</f>
        <v>16</v>
      </c>
      <c r="P16" s="346">
        <f>W240</f>
        <v>4</v>
      </c>
      <c r="Q16" s="374">
        <f t="shared" ref="Q16" si="12">N16-O16-P16</f>
        <v>0</v>
      </c>
      <c r="R16" s="376">
        <f t="shared" si="7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3"/>
        <v>12</v>
      </c>
      <c r="C17" s="206">
        <v>43962</v>
      </c>
      <c r="D17" s="161" t="s">
        <v>8</v>
      </c>
      <c r="E17" s="161" t="s">
        <v>19</v>
      </c>
      <c r="F17" s="222">
        <v>167</v>
      </c>
      <c r="G17" s="222">
        <v>165</v>
      </c>
      <c r="H17" s="222">
        <v>2</v>
      </c>
      <c r="I17" s="207">
        <f t="shared" si="8"/>
        <v>1796.4071856287426</v>
      </c>
      <c r="J17" s="242">
        <f t="shared" si="9"/>
        <v>3592.8143712574852</v>
      </c>
      <c r="K17" s="153"/>
      <c r="M17" s="395"/>
      <c r="N17" s="381"/>
      <c r="O17" s="373"/>
      <c r="P17" s="373"/>
      <c r="Q17" s="375"/>
      <c r="R17" s="377"/>
      <c r="V17" s="25">
        <f t="shared" si="1"/>
        <v>1</v>
      </c>
      <c r="W17" s="25">
        <f t="shared" si="2"/>
        <v>0</v>
      </c>
    </row>
    <row r="18" spans="1:23" x14ac:dyDescent="0.3">
      <c r="A18" s="147"/>
      <c r="B18" s="205">
        <f t="shared" si="3"/>
        <v>13</v>
      </c>
      <c r="C18" s="206">
        <v>43963</v>
      </c>
      <c r="D18" s="161" t="s">
        <v>9</v>
      </c>
      <c r="E18" s="161" t="s">
        <v>552</v>
      </c>
      <c r="F18" s="222">
        <v>436</v>
      </c>
      <c r="G18" s="222">
        <v>439</v>
      </c>
      <c r="H18" s="222">
        <v>3</v>
      </c>
      <c r="I18" s="207">
        <f t="shared" si="8"/>
        <v>688.0733944954128</v>
      </c>
      <c r="J18" s="242">
        <f t="shared" si="9"/>
        <v>2064.2201834862385</v>
      </c>
      <c r="K18" s="153"/>
      <c r="M18" s="392" t="s">
        <v>946</v>
      </c>
      <c r="N18" s="378">
        <f>SUM(N4:N17)</f>
        <v>153</v>
      </c>
      <c r="O18" s="378">
        <f t="shared" ref="O18:Q18" si="13">SUM(O4:O17)</f>
        <v>127</v>
      </c>
      <c r="P18" s="378">
        <f t="shared" si="13"/>
        <v>26</v>
      </c>
      <c r="Q18" s="378">
        <f t="shared" si="13"/>
        <v>0</v>
      </c>
      <c r="R18" s="380">
        <f t="shared" ref="R18" si="14">O18/N18</f>
        <v>0.83006535947712423</v>
      </c>
      <c r="V18" s="25">
        <f t="shared" si="1"/>
        <v>1</v>
      </c>
      <c r="W18" s="25">
        <f t="shared" si="2"/>
        <v>0</v>
      </c>
    </row>
    <row r="19" spans="1:23" ht="15" thickBot="1" x14ac:dyDescent="0.35">
      <c r="A19" s="147"/>
      <c r="B19" s="205">
        <f t="shared" si="3"/>
        <v>14</v>
      </c>
      <c r="C19" s="206">
        <v>43963</v>
      </c>
      <c r="D19" s="161" t="s">
        <v>8</v>
      </c>
      <c r="E19" s="161" t="s">
        <v>19</v>
      </c>
      <c r="F19" s="222">
        <v>162</v>
      </c>
      <c r="G19" s="222">
        <v>161.19999999999999</v>
      </c>
      <c r="H19" s="222">
        <v>0.8</v>
      </c>
      <c r="I19" s="207">
        <f t="shared" si="8"/>
        <v>1851.851851851852</v>
      </c>
      <c r="J19" s="242">
        <f t="shared" si="9"/>
        <v>1481.4814814814818</v>
      </c>
      <c r="K19" s="153"/>
      <c r="M19" s="393"/>
      <c r="N19" s="379"/>
      <c r="O19" s="379"/>
      <c r="P19" s="379"/>
      <c r="Q19" s="379"/>
      <c r="R19" s="377"/>
      <c r="V19" s="25">
        <f t="shared" si="1"/>
        <v>1</v>
      </c>
      <c r="W19" s="25">
        <f t="shared" si="2"/>
        <v>0</v>
      </c>
    </row>
    <row r="20" spans="1:23" ht="15" customHeight="1" x14ac:dyDescent="0.3">
      <c r="A20" s="147"/>
      <c r="B20" s="205">
        <f t="shared" si="3"/>
        <v>15</v>
      </c>
      <c r="C20" s="206">
        <v>43964</v>
      </c>
      <c r="D20" s="161" t="s">
        <v>9</v>
      </c>
      <c r="E20" s="161" t="s">
        <v>31</v>
      </c>
      <c r="F20" s="222">
        <v>1475</v>
      </c>
      <c r="G20" s="222">
        <v>1490</v>
      </c>
      <c r="H20" s="222">
        <v>15</v>
      </c>
      <c r="I20" s="207">
        <f t="shared" si="8"/>
        <v>203.38983050847457</v>
      </c>
      <c r="J20" s="242">
        <f t="shared" si="9"/>
        <v>3050.8474576271187</v>
      </c>
      <c r="K20" s="153"/>
      <c r="M20" s="316" t="s">
        <v>2253</v>
      </c>
      <c r="N20" s="317"/>
      <c r="O20" s="318"/>
      <c r="P20" s="325">
        <f>R18</f>
        <v>0.83006535947712423</v>
      </c>
      <c r="Q20" s="326"/>
      <c r="R20" s="327"/>
      <c r="V20" s="25">
        <f t="shared" si="1"/>
        <v>1</v>
      </c>
      <c r="W20" s="25">
        <f t="shared" si="2"/>
        <v>0</v>
      </c>
    </row>
    <row r="21" spans="1:23" ht="15" customHeight="1" x14ac:dyDescent="0.3">
      <c r="A21" s="147"/>
      <c r="B21" s="205">
        <f t="shared" si="3"/>
        <v>16</v>
      </c>
      <c r="C21" s="206">
        <v>43964</v>
      </c>
      <c r="D21" s="161" t="s">
        <v>8</v>
      </c>
      <c r="E21" s="161" t="s">
        <v>2925</v>
      </c>
      <c r="F21" s="222">
        <v>395</v>
      </c>
      <c r="G21" s="222">
        <v>397</v>
      </c>
      <c r="H21" s="222">
        <v>2</v>
      </c>
      <c r="I21" s="207">
        <f t="shared" si="8"/>
        <v>759.49367088607596</v>
      </c>
      <c r="J21" s="242">
        <f t="shared" si="9"/>
        <v>1518.9873417721519</v>
      </c>
      <c r="K21" s="153"/>
      <c r="M21" s="319"/>
      <c r="N21" s="320"/>
      <c r="O21" s="321"/>
      <c r="P21" s="328"/>
      <c r="Q21" s="329"/>
      <c r="R21" s="330"/>
      <c r="V21" s="25">
        <f t="shared" si="1"/>
        <v>1</v>
      </c>
      <c r="W21" s="25">
        <f t="shared" si="2"/>
        <v>0</v>
      </c>
    </row>
    <row r="22" spans="1:23" ht="15" customHeight="1" thickBot="1" x14ac:dyDescent="0.35">
      <c r="A22" s="147"/>
      <c r="B22" s="205">
        <f t="shared" si="3"/>
        <v>17</v>
      </c>
      <c r="C22" s="206">
        <v>43965</v>
      </c>
      <c r="D22" s="161" t="s">
        <v>9</v>
      </c>
      <c r="E22" s="161" t="s">
        <v>31</v>
      </c>
      <c r="F22" s="222">
        <v>1490</v>
      </c>
      <c r="G22" s="222">
        <v>1496.5</v>
      </c>
      <c r="H22" s="222">
        <v>6.5</v>
      </c>
      <c r="I22" s="207">
        <f t="shared" si="8"/>
        <v>201.34228187919464</v>
      </c>
      <c r="J22" s="242">
        <f t="shared" si="9"/>
        <v>1308.7248322147652</v>
      </c>
      <c r="K22" s="153"/>
      <c r="M22" s="322"/>
      <c r="N22" s="323"/>
      <c r="O22" s="324"/>
      <c r="P22" s="331"/>
      <c r="Q22" s="332"/>
      <c r="R22" s="333"/>
      <c r="V22" s="25">
        <f t="shared" si="1"/>
        <v>1</v>
      </c>
      <c r="W22" s="25">
        <f t="shared" si="2"/>
        <v>0</v>
      </c>
    </row>
    <row r="23" spans="1:23" ht="15" customHeight="1" x14ac:dyDescent="0.3">
      <c r="A23" s="147"/>
      <c r="B23" s="205">
        <f t="shared" si="3"/>
        <v>18</v>
      </c>
      <c r="C23" s="206">
        <v>43965</v>
      </c>
      <c r="D23" s="161" t="s">
        <v>8</v>
      </c>
      <c r="E23" s="161" t="s">
        <v>95</v>
      </c>
      <c r="F23" s="222">
        <v>329</v>
      </c>
      <c r="G23" s="222">
        <v>326.5</v>
      </c>
      <c r="H23" s="222">
        <v>2.5</v>
      </c>
      <c r="I23" s="207">
        <f t="shared" si="8"/>
        <v>911.854103343465</v>
      </c>
      <c r="J23" s="242">
        <f t="shared" si="9"/>
        <v>2279.6352583586627</v>
      </c>
      <c r="K23" s="153"/>
      <c r="V23" s="25">
        <f t="shared" si="1"/>
        <v>1</v>
      </c>
      <c r="W23" s="25">
        <f t="shared" si="2"/>
        <v>0</v>
      </c>
    </row>
    <row r="24" spans="1:23" ht="15.75" customHeight="1" x14ac:dyDescent="0.3">
      <c r="A24" s="147"/>
      <c r="B24" s="205">
        <f t="shared" si="3"/>
        <v>19</v>
      </c>
      <c r="C24" s="206">
        <v>43966</v>
      </c>
      <c r="D24" s="161" t="s">
        <v>9</v>
      </c>
      <c r="E24" s="161" t="s">
        <v>864</v>
      </c>
      <c r="F24" s="222">
        <v>3670</v>
      </c>
      <c r="G24" s="222">
        <v>3640</v>
      </c>
      <c r="H24" s="222">
        <v>-30</v>
      </c>
      <c r="I24" s="207">
        <f t="shared" ref="I24" si="15">300000/F24</f>
        <v>81.743869209809262</v>
      </c>
      <c r="J24" s="242">
        <f t="shared" ref="J24" si="16">H24*I24</f>
        <v>-2452.316076294278</v>
      </c>
      <c r="K24" s="153"/>
      <c r="V24" s="25">
        <f t="shared" si="1"/>
        <v>0</v>
      </c>
      <c r="W24" s="25">
        <f t="shared" si="2"/>
        <v>1</v>
      </c>
    </row>
    <row r="25" spans="1:23" x14ac:dyDescent="0.3">
      <c r="A25" s="147"/>
      <c r="B25" s="205">
        <f t="shared" si="3"/>
        <v>20</v>
      </c>
      <c r="C25" s="206">
        <v>43966</v>
      </c>
      <c r="D25" s="161" t="s">
        <v>8</v>
      </c>
      <c r="E25" s="161" t="s">
        <v>19</v>
      </c>
      <c r="F25" s="222">
        <v>166.5</v>
      </c>
      <c r="G25" s="222">
        <v>165.5</v>
      </c>
      <c r="H25" s="222">
        <v>1</v>
      </c>
      <c r="I25" s="207">
        <f t="shared" ref="I25:I35" si="17">300000/F25</f>
        <v>1801.8018018018017</v>
      </c>
      <c r="J25" s="242">
        <f t="shared" ref="J25:J35" si="18">H25*I25</f>
        <v>1801.8018018018017</v>
      </c>
      <c r="K25" s="153"/>
      <c r="V25" s="25">
        <f t="shared" si="1"/>
        <v>1</v>
      </c>
      <c r="W25" s="25">
        <f t="shared" si="2"/>
        <v>0</v>
      </c>
    </row>
    <row r="26" spans="1:23" x14ac:dyDescent="0.3">
      <c r="A26" s="147"/>
      <c r="B26" s="205">
        <f t="shared" si="3"/>
        <v>21</v>
      </c>
      <c r="C26" s="206">
        <v>43969</v>
      </c>
      <c r="D26" s="161" t="s">
        <v>9</v>
      </c>
      <c r="E26" s="161" t="s">
        <v>31</v>
      </c>
      <c r="F26" s="222">
        <v>1450</v>
      </c>
      <c r="G26" s="222">
        <v>1465</v>
      </c>
      <c r="H26" s="222">
        <v>15</v>
      </c>
      <c r="I26" s="207">
        <f t="shared" si="17"/>
        <v>206.89655172413794</v>
      </c>
      <c r="J26" s="242">
        <f t="shared" si="18"/>
        <v>3103.4482758620688</v>
      </c>
      <c r="K26" s="153"/>
      <c r="V26" s="25">
        <f t="shared" si="1"/>
        <v>1</v>
      </c>
      <c r="W26" s="25">
        <f t="shared" si="2"/>
        <v>0</v>
      </c>
    </row>
    <row r="27" spans="1:23" x14ac:dyDescent="0.3">
      <c r="A27" s="147"/>
      <c r="B27" s="205">
        <f t="shared" si="3"/>
        <v>22</v>
      </c>
      <c r="C27" s="206">
        <v>43969</v>
      </c>
      <c r="D27" s="161" t="s">
        <v>8</v>
      </c>
      <c r="E27" s="161" t="s">
        <v>19</v>
      </c>
      <c r="F27" s="222">
        <v>159</v>
      </c>
      <c r="G27" s="222">
        <v>155</v>
      </c>
      <c r="H27" s="222">
        <v>4</v>
      </c>
      <c r="I27" s="207">
        <f t="shared" si="17"/>
        <v>1886.7924528301887</v>
      </c>
      <c r="J27" s="242">
        <f t="shared" si="18"/>
        <v>7547.1698113207549</v>
      </c>
      <c r="K27" s="153"/>
      <c r="V27" s="25">
        <f t="shared" si="1"/>
        <v>1</v>
      </c>
      <c r="W27" s="25">
        <f t="shared" si="2"/>
        <v>0</v>
      </c>
    </row>
    <row r="28" spans="1:23" x14ac:dyDescent="0.3">
      <c r="A28" s="147"/>
      <c r="B28" s="205">
        <f t="shared" si="3"/>
        <v>23</v>
      </c>
      <c r="C28" s="206">
        <v>43970</v>
      </c>
      <c r="D28" s="161" t="s">
        <v>9</v>
      </c>
      <c r="E28" s="161" t="s">
        <v>496</v>
      </c>
      <c r="F28" s="222">
        <v>230</v>
      </c>
      <c r="G28" s="222">
        <v>232</v>
      </c>
      <c r="H28" s="222">
        <v>2</v>
      </c>
      <c r="I28" s="207">
        <f t="shared" si="17"/>
        <v>1304.3478260869565</v>
      </c>
      <c r="J28" s="242">
        <f t="shared" si="18"/>
        <v>2608.695652173913</v>
      </c>
      <c r="K28" s="153"/>
      <c r="M28" s="25" t="s">
        <v>2008</v>
      </c>
      <c r="V28" s="25">
        <f t="shared" si="1"/>
        <v>1</v>
      </c>
      <c r="W28" s="25">
        <f t="shared" si="2"/>
        <v>0</v>
      </c>
    </row>
    <row r="29" spans="1:23" x14ac:dyDescent="0.3">
      <c r="A29" s="147"/>
      <c r="B29" s="205">
        <f t="shared" si="3"/>
        <v>24</v>
      </c>
      <c r="C29" s="206">
        <v>43970</v>
      </c>
      <c r="D29" s="161" t="s">
        <v>8</v>
      </c>
      <c r="E29" s="161" t="s">
        <v>19</v>
      </c>
      <c r="F29" s="222">
        <v>153.5</v>
      </c>
      <c r="G29" s="222">
        <v>155.5</v>
      </c>
      <c r="H29" s="222">
        <v>-2</v>
      </c>
      <c r="I29" s="207">
        <f t="shared" si="17"/>
        <v>1954.3973941368079</v>
      </c>
      <c r="J29" s="242">
        <f t="shared" si="18"/>
        <v>-3908.7947882736157</v>
      </c>
      <c r="K29" s="153"/>
      <c r="V29" s="25">
        <f t="shared" si="1"/>
        <v>0</v>
      </c>
      <c r="W29" s="25">
        <f t="shared" si="2"/>
        <v>1</v>
      </c>
    </row>
    <row r="30" spans="1:23" x14ac:dyDescent="0.3">
      <c r="A30" s="147"/>
      <c r="B30" s="205">
        <f t="shared" si="3"/>
        <v>25</v>
      </c>
      <c r="C30" s="206">
        <v>43971</v>
      </c>
      <c r="D30" s="161" t="s">
        <v>9</v>
      </c>
      <c r="E30" s="161" t="s">
        <v>31</v>
      </c>
      <c r="F30" s="222">
        <v>1430</v>
      </c>
      <c r="G30" s="222">
        <v>1445</v>
      </c>
      <c r="H30" s="222">
        <v>15</v>
      </c>
      <c r="I30" s="207">
        <f t="shared" si="17"/>
        <v>209.79020979020979</v>
      </c>
      <c r="J30" s="242">
        <f t="shared" si="18"/>
        <v>3146.8531468531469</v>
      </c>
      <c r="K30" s="153"/>
      <c r="V30" s="25">
        <f t="shared" si="1"/>
        <v>1</v>
      </c>
      <c r="W30" s="25">
        <f t="shared" si="2"/>
        <v>0</v>
      </c>
    </row>
    <row r="31" spans="1:23" x14ac:dyDescent="0.3">
      <c r="A31" s="147"/>
      <c r="B31" s="205">
        <f t="shared" si="3"/>
        <v>26</v>
      </c>
      <c r="C31" s="206">
        <v>43971</v>
      </c>
      <c r="D31" s="161" t="s">
        <v>8</v>
      </c>
      <c r="E31" s="161" t="s">
        <v>2987</v>
      </c>
      <c r="F31" s="222">
        <v>2350</v>
      </c>
      <c r="G31" s="222">
        <v>2317</v>
      </c>
      <c r="H31" s="222">
        <v>33</v>
      </c>
      <c r="I31" s="207">
        <f t="shared" si="17"/>
        <v>127.65957446808511</v>
      </c>
      <c r="J31" s="242">
        <f t="shared" si="18"/>
        <v>4212.7659574468089</v>
      </c>
      <c r="K31" s="153"/>
      <c r="V31" s="25">
        <f t="shared" si="1"/>
        <v>1</v>
      </c>
      <c r="W31" s="25">
        <f t="shared" si="2"/>
        <v>0</v>
      </c>
    </row>
    <row r="32" spans="1:23" x14ac:dyDescent="0.3">
      <c r="A32" s="147"/>
      <c r="B32" s="205">
        <f t="shared" si="3"/>
        <v>27</v>
      </c>
      <c r="C32" s="206">
        <v>43972</v>
      </c>
      <c r="D32" s="161" t="s">
        <v>9</v>
      </c>
      <c r="E32" s="161" t="s">
        <v>31</v>
      </c>
      <c r="F32" s="222">
        <v>1440</v>
      </c>
      <c r="G32" s="222">
        <v>1460</v>
      </c>
      <c r="H32" s="222">
        <v>20</v>
      </c>
      <c r="I32" s="207">
        <f t="shared" si="17"/>
        <v>208.33333333333334</v>
      </c>
      <c r="J32" s="242">
        <f t="shared" si="18"/>
        <v>4166.666666666667</v>
      </c>
      <c r="K32" s="153"/>
      <c r="V32" s="25">
        <f t="shared" si="1"/>
        <v>1</v>
      </c>
      <c r="W32" s="25">
        <f t="shared" si="2"/>
        <v>0</v>
      </c>
    </row>
    <row r="33" spans="1:23" x14ac:dyDescent="0.3">
      <c r="A33" s="147"/>
      <c r="B33" s="205">
        <f t="shared" si="3"/>
        <v>28</v>
      </c>
      <c r="C33" s="206">
        <v>43972</v>
      </c>
      <c r="D33" s="161" t="s">
        <v>8</v>
      </c>
      <c r="E33" s="161" t="s">
        <v>78</v>
      </c>
      <c r="F33" s="222">
        <v>830</v>
      </c>
      <c r="G33" s="222">
        <v>820</v>
      </c>
      <c r="H33" s="222">
        <v>10</v>
      </c>
      <c r="I33" s="207">
        <f t="shared" si="17"/>
        <v>361.4457831325301</v>
      </c>
      <c r="J33" s="242">
        <f t="shared" si="18"/>
        <v>3614.457831325301</v>
      </c>
      <c r="K33" s="153"/>
      <c r="V33" s="25">
        <f t="shared" si="1"/>
        <v>1</v>
      </c>
      <c r="W33" s="25">
        <f t="shared" si="2"/>
        <v>0</v>
      </c>
    </row>
    <row r="34" spans="1:23" x14ac:dyDescent="0.3">
      <c r="A34" s="147"/>
      <c r="B34" s="205">
        <f t="shared" si="3"/>
        <v>29</v>
      </c>
      <c r="C34" s="206">
        <v>43973</v>
      </c>
      <c r="D34" s="161" t="s">
        <v>9</v>
      </c>
      <c r="E34" s="161" t="s">
        <v>31</v>
      </c>
      <c r="F34" s="222">
        <v>1442</v>
      </c>
      <c r="G34" s="222">
        <v>1452</v>
      </c>
      <c r="H34" s="222">
        <v>10</v>
      </c>
      <c r="I34" s="207">
        <f t="shared" si="17"/>
        <v>208.04438280166437</v>
      </c>
      <c r="J34" s="242">
        <f t="shared" si="18"/>
        <v>2080.4438280166437</v>
      </c>
      <c r="K34" s="153"/>
      <c r="V34" s="25">
        <f t="shared" si="1"/>
        <v>1</v>
      </c>
      <c r="W34" s="25">
        <f t="shared" si="2"/>
        <v>0</v>
      </c>
    </row>
    <row r="35" spans="1:23" x14ac:dyDescent="0.3">
      <c r="A35" s="147"/>
      <c r="B35" s="205">
        <f t="shared" si="3"/>
        <v>30</v>
      </c>
      <c r="C35" s="206">
        <v>43977</v>
      </c>
      <c r="D35" s="161" t="s">
        <v>8</v>
      </c>
      <c r="E35" s="161" t="s">
        <v>37</v>
      </c>
      <c r="F35" s="222">
        <v>125</v>
      </c>
      <c r="G35" s="222">
        <v>124.1</v>
      </c>
      <c r="H35" s="222">
        <v>0.9</v>
      </c>
      <c r="I35" s="207">
        <f t="shared" si="17"/>
        <v>2400</v>
      </c>
      <c r="J35" s="242">
        <f t="shared" si="18"/>
        <v>2160</v>
      </c>
      <c r="K35" s="153"/>
      <c r="V35" s="25">
        <f t="shared" si="1"/>
        <v>1</v>
      </c>
      <c r="W35" s="25">
        <f t="shared" si="2"/>
        <v>0</v>
      </c>
    </row>
    <row r="36" spans="1:23" x14ac:dyDescent="0.3">
      <c r="A36" s="147"/>
      <c r="B36" s="205">
        <f t="shared" si="3"/>
        <v>31</v>
      </c>
      <c r="C36" s="206">
        <v>43977</v>
      </c>
      <c r="D36" s="161" t="s">
        <v>9</v>
      </c>
      <c r="E36" s="161" t="s">
        <v>78</v>
      </c>
      <c r="F36" s="222">
        <v>827</v>
      </c>
      <c r="G36" s="222">
        <v>841.5</v>
      </c>
      <c r="H36" s="222">
        <v>14.5</v>
      </c>
      <c r="I36" s="207">
        <f t="shared" ref="I36:I43" si="19">300000/F36</f>
        <v>362.7569528415961</v>
      </c>
      <c r="J36" s="242">
        <f t="shared" ref="J36:J43" si="20">H36*I36</f>
        <v>5259.975816203143</v>
      </c>
      <c r="K36" s="153"/>
      <c r="V36" s="25">
        <f t="shared" si="1"/>
        <v>1</v>
      </c>
      <c r="W36" s="25">
        <f t="shared" si="2"/>
        <v>0</v>
      </c>
    </row>
    <row r="37" spans="1:23" x14ac:dyDescent="0.3">
      <c r="A37" s="147"/>
      <c r="B37" s="205">
        <f t="shared" si="3"/>
        <v>32</v>
      </c>
      <c r="C37" s="206">
        <v>43977</v>
      </c>
      <c r="D37" s="161" t="s">
        <v>8</v>
      </c>
      <c r="E37" s="161" t="s">
        <v>2023</v>
      </c>
      <c r="F37" s="222">
        <v>1885</v>
      </c>
      <c r="G37" s="222">
        <v>1845</v>
      </c>
      <c r="H37" s="222">
        <v>40</v>
      </c>
      <c r="I37" s="207">
        <f t="shared" si="19"/>
        <v>159.15119363395226</v>
      </c>
      <c r="J37" s="242">
        <f t="shared" si="20"/>
        <v>6366.0477453580907</v>
      </c>
      <c r="K37" s="153"/>
      <c r="V37" s="25">
        <f t="shared" si="1"/>
        <v>1</v>
      </c>
      <c r="W37" s="25">
        <f t="shared" si="2"/>
        <v>0</v>
      </c>
    </row>
    <row r="38" spans="1:23" x14ac:dyDescent="0.3">
      <c r="A38" s="147"/>
      <c r="B38" s="205">
        <f t="shared" si="3"/>
        <v>33</v>
      </c>
      <c r="C38" s="206">
        <v>43978</v>
      </c>
      <c r="D38" s="161" t="s">
        <v>9</v>
      </c>
      <c r="E38" s="161" t="s">
        <v>78</v>
      </c>
      <c r="F38" s="222">
        <v>834</v>
      </c>
      <c r="G38" s="222">
        <v>854</v>
      </c>
      <c r="H38" s="222">
        <v>20</v>
      </c>
      <c r="I38" s="207">
        <f t="shared" si="19"/>
        <v>359.71223021582733</v>
      </c>
      <c r="J38" s="242">
        <f t="shared" si="20"/>
        <v>7194.2446043165464</v>
      </c>
      <c r="K38" s="153"/>
      <c r="V38" s="25">
        <f t="shared" si="1"/>
        <v>1</v>
      </c>
      <c r="W38" s="25">
        <f t="shared" si="2"/>
        <v>0</v>
      </c>
    </row>
    <row r="39" spans="1:23" x14ac:dyDescent="0.3">
      <c r="A39" s="147"/>
      <c r="B39" s="205">
        <f t="shared" si="3"/>
        <v>34</v>
      </c>
      <c r="C39" s="206">
        <v>43978</v>
      </c>
      <c r="D39" s="161" t="s">
        <v>8</v>
      </c>
      <c r="E39" s="161" t="s">
        <v>496</v>
      </c>
      <c r="F39" s="222">
        <v>235</v>
      </c>
      <c r="G39" s="222">
        <v>239</v>
      </c>
      <c r="H39" s="222">
        <v>-4</v>
      </c>
      <c r="I39" s="207">
        <f t="shared" si="19"/>
        <v>1276.5957446808511</v>
      </c>
      <c r="J39" s="242">
        <f t="shared" si="20"/>
        <v>-5106.3829787234044</v>
      </c>
      <c r="K39" s="153"/>
      <c r="V39" s="25">
        <f t="shared" si="1"/>
        <v>0</v>
      </c>
      <c r="W39" s="25">
        <f t="shared" si="2"/>
        <v>1</v>
      </c>
    </row>
    <row r="40" spans="1:23" x14ac:dyDescent="0.3">
      <c r="A40" s="147"/>
      <c r="B40" s="205">
        <f t="shared" si="3"/>
        <v>35</v>
      </c>
      <c r="C40" s="206">
        <v>43979</v>
      </c>
      <c r="D40" s="161" t="s">
        <v>9</v>
      </c>
      <c r="E40" s="161" t="s">
        <v>2023</v>
      </c>
      <c r="F40" s="222">
        <v>1965</v>
      </c>
      <c r="G40" s="222">
        <v>1975</v>
      </c>
      <c r="H40" s="222">
        <v>10</v>
      </c>
      <c r="I40" s="207">
        <f t="shared" si="19"/>
        <v>152.67175572519085</v>
      </c>
      <c r="J40" s="242">
        <f t="shared" si="20"/>
        <v>1526.7175572519086</v>
      </c>
      <c r="K40" s="153"/>
      <c r="V40" s="25">
        <f t="shared" si="1"/>
        <v>1</v>
      </c>
      <c r="W40" s="25">
        <f t="shared" si="2"/>
        <v>0</v>
      </c>
    </row>
    <row r="41" spans="1:23" x14ac:dyDescent="0.3">
      <c r="A41" s="147"/>
      <c r="B41" s="205">
        <f t="shared" si="3"/>
        <v>36</v>
      </c>
      <c r="C41" s="206">
        <v>43979</v>
      </c>
      <c r="D41" s="161" t="s">
        <v>8</v>
      </c>
      <c r="E41" s="161" t="s">
        <v>496</v>
      </c>
      <c r="F41" s="222">
        <v>247</v>
      </c>
      <c r="G41" s="223">
        <v>245.5</v>
      </c>
      <c r="H41" s="222">
        <v>1.5</v>
      </c>
      <c r="I41" s="207">
        <f t="shared" si="19"/>
        <v>1214.5748987854251</v>
      </c>
      <c r="J41" s="242">
        <f t="shared" si="20"/>
        <v>1821.8623481781378</v>
      </c>
      <c r="K41" s="153"/>
      <c r="V41" s="25">
        <f t="shared" si="1"/>
        <v>1</v>
      </c>
      <c r="W41" s="25">
        <f t="shared" si="2"/>
        <v>0</v>
      </c>
    </row>
    <row r="42" spans="1:23" x14ac:dyDescent="0.3">
      <c r="A42" s="147"/>
      <c r="B42" s="205">
        <f t="shared" si="3"/>
        <v>37</v>
      </c>
      <c r="C42" s="206">
        <v>43980</v>
      </c>
      <c r="D42" s="161" t="s">
        <v>9</v>
      </c>
      <c r="E42" s="161" t="s">
        <v>78</v>
      </c>
      <c r="F42" s="222">
        <v>908</v>
      </c>
      <c r="G42" s="222">
        <v>928</v>
      </c>
      <c r="H42" s="222">
        <v>20</v>
      </c>
      <c r="I42" s="207">
        <f t="shared" si="19"/>
        <v>330.39647577092512</v>
      </c>
      <c r="J42" s="242">
        <f t="shared" si="20"/>
        <v>6607.929515418502</v>
      </c>
      <c r="K42" s="153"/>
      <c r="V42" s="25">
        <f t="shared" si="1"/>
        <v>1</v>
      </c>
      <c r="W42" s="25">
        <f t="shared" si="2"/>
        <v>0</v>
      </c>
    </row>
    <row r="43" spans="1:23" x14ac:dyDescent="0.3">
      <c r="A43" s="147"/>
      <c r="B43" s="205">
        <f t="shared" si="3"/>
        <v>38</v>
      </c>
      <c r="C43" s="206">
        <v>43980</v>
      </c>
      <c r="D43" s="161" t="s">
        <v>8</v>
      </c>
      <c r="E43" s="161" t="s">
        <v>2023</v>
      </c>
      <c r="F43" s="222">
        <v>1900</v>
      </c>
      <c r="G43" s="222">
        <v>1920</v>
      </c>
      <c r="H43" s="222">
        <v>-20</v>
      </c>
      <c r="I43" s="207">
        <f t="shared" si="19"/>
        <v>157.89473684210526</v>
      </c>
      <c r="J43" s="242">
        <f t="shared" si="20"/>
        <v>-3157.894736842105</v>
      </c>
      <c r="K43" s="153"/>
      <c r="V43" s="25">
        <f t="shared" si="1"/>
        <v>0</v>
      </c>
      <c r="W43" s="25">
        <f t="shared" si="2"/>
        <v>1</v>
      </c>
    </row>
    <row r="44" spans="1:23" x14ac:dyDescent="0.3">
      <c r="A44" s="147"/>
      <c r="B44" s="205">
        <f t="shared" si="3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1"/>
        <v>0</v>
      </c>
      <c r="W44" s="25">
        <f t="shared" si="2"/>
        <v>0</v>
      </c>
    </row>
    <row r="45" spans="1:23" x14ac:dyDescent="0.3">
      <c r="A45" s="147"/>
      <c r="B45" s="205">
        <f t="shared" si="3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1"/>
        <v>0</v>
      </c>
      <c r="W45" s="25">
        <f t="shared" si="2"/>
        <v>0</v>
      </c>
    </row>
    <row r="46" spans="1:23" x14ac:dyDescent="0.3">
      <c r="A46" s="147"/>
      <c r="B46" s="205">
        <f t="shared" si="3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1"/>
        <v>0</v>
      </c>
      <c r="W46" s="25">
        <f t="shared" si="2"/>
        <v>0</v>
      </c>
    </row>
    <row r="47" spans="1:23" x14ac:dyDescent="0.3">
      <c r="A47" s="147"/>
      <c r="B47" s="205">
        <f t="shared" si="3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1"/>
        <v>0</v>
      </c>
      <c r="W47" s="25">
        <f t="shared" si="2"/>
        <v>0</v>
      </c>
    </row>
    <row r="48" spans="1:23" x14ac:dyDescent="0.3">
      <c r="A48" s="147"/>
      <c r="B48" s="205">
        <f t="shared" si="3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1"/>
        <v>0</v>
      </c>
      <c r="W48" s="25">
        <f t="shared" si="2"/>
        <v>0</v>
      </c>
    </row>
    <row r="49" spans="1:23" x14ac:dyDescent="0.3">
      <c r="A49" s="147"/>
      <c r="B49" s="205">
        <f t="shared" si="3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1"/>
        <v>0</v>
      </c>
      <c r="W49" s="25">
        <f t="shared" si="2"/>
        <v>0</v>
      </c>
    </row>
    <row r="50" spans="1:23" x14ac:dyDescent="0.3">
      <c r="A50" s="147"/>
      <c r="B50" s="205">
        <f t="shared" si="3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1"/>
        <v>0</v>
      </c>
      <c r="W50" s="25">
        <f t="shared" si="2"/>
        <v>0</v>
      </c>
    </row>
    <row r="51" spans="1:23" ht="15" thickBot="1" x14ac:dyDescent="0.35">
      <c r="A51" s="147"/>
      <c r="B51" s="208">
        <f t="shared" si="3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1"/>
        <v>0</v>
      </c>
      <c r="W51" s="25">
        <f t="shared" si="2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79611.524307949439</v>
      </c>
      <c r="K52" s="153"/>
      <c r="V52" s="25">
        <f>SUM(V6:V51)</f>
        <v>31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2977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43955</v>
      </c>
      <c r="D60" s="161" t="s">
        <v>8</v>
      </c>
      <c r="E60" s="161" t="s">
        <v>58</v>
      </c>
      <c r="F60" s="222">
        <v>417</v>
      </c>
      <c r="G60" s="222">
        <v>404</v>
      </c>
      <c r="H60" s="222">
        <v>13</v>
      </c>
      <c r="I60" s="207">
        <v>1200</v>
      </c>
      <c r="J60" s="241">
        <f t="shared" ref="J60:J83" si="21">I60*H60</f>
        <v>15600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43956</v>
      </c>
      <c r="D61" s="161" t="s">
        <v>8</v>
      </c>
      <c r="E61" s="161" t="s">
        <v>58</v>
      </c>
      <c r="F61" s="222">
        <v>410</v>
      </c>
      <c r="G61" s="222">
        <v>397</v>
      </c>
      <c r="H61" s="222">
        <v>13</v>
      </c>
      <c r="I61" s="207">
        <v>1200</v>
      </c>
      <c r="J61" s="242">
        <f t="shared" si="21"/>
        <v>15600</v>
      </c>
      <c r="K61" s="153"/>
      <c r="O61" s="25" t="s">
        <v>2008</v>
      </c>
      <c r="V61" s="25">
        <f t="shared" ref="V61:V83" si="22">IF($J61&gt;0,1,0)</f>
        <v>1</v>
      </c>
      <c r="W61" s="25">
        <f t="shared" ref="W61:W83" si="23">IF($J61&lt;0,1,0)</f>
        <v>0</v>
      </c>
    </row>
    <row r="62" spans="1:23" x14ac:dyDescent="0.3">
      <c r="A62" s="147"/>
      <c r="B62" s="205">
        <f t="shared" ref="B62:B83" si="24">B61+1</f>
        <v>3</v>
      </c>
      <c r="C62" s="206">
        <v>43957</v>
      </c>
      <c r="D62" s="161" t="s">
        <v>8</v>
      </c>
      <c r="E62" s="161" t="s">
        <v>58</v>
      </c>
      <c r="F62" s="222">
        <v>371</v>
      </c>
      <c r="G62" s="222">
        <v>378</v>
      </c>
      <c r="H62" s="222">
        <v>-7</v>
      </c>
      <c r="I62" s="207">
        <v>1200</v>
      </c>
      <c r="J62" s="242">
        <f t="shared" si="21"/>
        <v>-8400</v>
      </c>
      <c r="K62" s="153"/>
      <c r="V62" s="25">
        <f t="shared" si="22"/>
        <v>0</v>
      </c>
      <c r="W62" s="25">
        <f t="shared" si="23"/>
        <v>1</v>
      </c>
    </row>
    <row r="63" spans="1:23" x14ac:dyDescent="0.3">
      <c r="A63" s="147"/>
      <c r="B63" s="205">
        <f t="shared" si="24"/>
        <v>4</v>
      </c>
      <c r="C63" s="206">
        <v>43958</v>
      </c>
      <c r="D63" s="161" t="s">
        <v>8</v>
      </c>
      <c r="E63" s="161" t="s">
        <v>1064</v>
      </c>
      <c r="F63" s="222">
        <v>1370</v>
      </c>
      <c r="G63" s="222">
        <v>1348</v>
      </c>
      <c r="H63" s="222">
        <v>22</v>
      </c>
      <c r="I63" s="207">
        <v>500</v>
      </c>
      <c r="J63" s="242">
        <f t="shared" si="21"/>
        <v>11000</v>
      </c>
      <c r="K63" s="153"/>
      <c r="L63" s="25" t="s">
        <v>2008</v>
      </c>
      <c r="V63" s="25">
        <f t="shared" si="22"/>
        <v>1</v>
      </c>
      <c r="W63" s="25">
        <f t="shared" si="23"/>
        <v>0</v>
      </c>
    </row>
    <row r="64" spans="1:23" x14ac:dyDescent="0.3">
      <c r="A64" s="147"/>
      <c r="B64" s="205">
        <f t="shared" si="24"/>
        <v>5</v>
      </c>
      <c r="C64" s="206">
        <v>43959</v>
      </c>
      <c r="D64" s="161" t="s">
        <v>9</v>
      </c>
      <c r="E64" s="161" t="s">
        <v>95</v>
      </c>
      <c r="F64" s="222">
        <v>348</v>
      </c>
      <c r="G64" s="222">
        <v>353.4</v>
      </c>
      <c r="H64" s="222">
        <v>5.4</v>
      </c>
      <c r="I64" s="207">
        <v>1375</v>
      </c>
      <c r="J64" s="242">
        <f t="shared" si="21"/>
        <v>7425.0000000000009</v>
      </c>
      <c r="K64" s="153"/>
      <c r="V64" s="25">
        <f t="shared" si="22"/>
        <v>1</v>
      </c>
      <c r="W64" s="25">
        <f t="shared" si="23"/>
        <v>0</v>
      </c>
    </row>
    <row r="65" spans="1:23" x14ac:dyDescent="0.3">
      <c r="A65" s="147"/>
      <c r="B65" s="205">
        <f t="shared" si="24"/>
        <v>6</v>
      </c>
      <c r="C65" s="206">
        <v>43962</v>
      </c>
      <c r="D65" s="161" t="s">
        <v>8</v>
      </c>
      <c r="E65" s="161" t="s">
        <v>58</v>
      </c>
      <c r="F65" s="207">
        <v>387</v>
      </c>
      <c r="G65" s="222">
        <v>381</v>
      </c>
      <c r="H65" s="222">
        <v>6</v>
      </c>
      <c r="I65" s="207">
        <v>1200</v>
      </c>
      <c r="J65" s="242">
        <f t="shared" si="21"/>
        <v>7200</v>
      </c>
      <c r="K65" s="153"/>
      <c r="V65" s="25">
        <f t="shared" si="22"/>
        <v>1</v>
      </c>
      <c r="W65" s="25">
        <f t="shared" si="23"/>
        <v>0</v>
      </c>
    </row>
    <row r="66" spans="1:23" x14ac:dyDescent="0.3">
      <c r="A66" s="147"/>
      <c r="B66" s="205">
        <f t="shared" si="24"/>
        <v>7</v>
      </c>
      <c r="C66" s="206">
        <v>43963</v>
      </c>
      <c r="D66" s="161" t="s">
        <v>8</v>
      </c>
      <c r="E66" s="161" t="s">
        <v>95</v>
      </c>
      <c r="F66" s="207">
        <v>312</v>
      </c>
      <c r="G66" s="222">
        <v>309.64999999999998</v>
      </c>
      <c r="H66" s="222">
        <v>2.35</v>
      </c>
      <c r="I66" s="207">
        <v>1375</v>
      </c>
      <c r="J66" s="242">
        <f t="shared" si="21"/>
        <v>3231.25</v>
      </c>
      <c r="K66" s="153"/>
      <c r="V66" s="25">
        <f t="shared" si="22"/>
        <v>1</v>
      </c>
      <c r="W66" s="25">
        <f t="shared" si="23"/>
        <v>0</v>
      </c>
    </row>
    <row r="67" spans="1:23" x14ac:dyDescent="0.3">
      <c r="A67" s="147"/>
      <c r="B67" s="205">
        <f t="shared" si="24"/>
        <v>8</v>
      </c>
      <c r="C67" s="206">
        <v>43964</v>
      </c>
      <c r="D67" s="161" t="s">
        <v>9</v>
      </c>
      <c r="E67" s="161" t="s">
        <v>31</v>
      </c>
      <c r="F67" s="222">
        <v>1485</v>
      </c>
      <c r="G67" s="222">
        <v>1490.5</v>
      </c>
      <c r="H67" s="222">
        <v>5.5</v>
      </c>
      <c r="I67" s="207">
        <v>500</v>
      </c>
      <c r="J67" s="242">
        <f t="shared" si="21"/>
        <v>2750</v>
      </c>
      <c r="K67" s="153"/>
      <c r="V67" s="25">
        <f t="shared" si="22"/>
        <v>1</v>
      </c>
      <c r="W67" s="25">
        <f t="shared" si="23"/>
        <v>0</v>
      </c>
    </row>
    <row r="68" spans="1:23" x14ac:dyDescent="0.3">
      <c r="A68" s="147"/>
      <c r="B68" s="205">
        <f t="shared" si="24"/>
        <v>9</v>
      </c>
      <c r="C68" s="206">
        <v>43965</v>
      </c>
      <c r="D68" s="161" t="s">
        <v>8</v>
      </c>
      <c r="E68" s="161" t="s">
        <v>496</v>
      </c>
      <c r="F68" s="222">
        <v>263</v>
      </c>
      <c r="G68" s="222">
        <v>253</v>
      </c>
      <c r="H68" s="222">
        <v>10</v>
      </c>
      <c r="I68" s="207">
        <v>1300</v>
      </c>
      <c r="J68" s="242">
        <f t="shared" si="21"/>
        <v>13000</v>
      </c>
      <c r="K68" s="153"/>
      <c r="V68" s="25">
        <f t="shared" si="22"/>
        <v>1</v>
      </c>
      <c r="W68" s="25">
        <f t="shared" si="23"/>
        <v>0</v>
      </c>
    </row>
    <row r="69" spans="1:23" x14ac:dyDescent="0.3">
      <c r="A69" s="147"/>
      <c r="B69" s="205">
        <f t="shared" si="24"/>
        <v>10</v>
      </c>
      <c r="C69" s="206">
        <v>43966</v>
      </c>
      <c r="D69" s="161" t="s">
        <v>9</v>
      </c>
      <c r="E69" s="161" t="s">
        <v>95</v>
      </c>
      <c r="F69" s="222">
        <v>322</v>
      </c>
      <c r="G69" s="222">
        <v>319.5</v>
      </c>
      <c r="H69" s="222">
        <v>2.5</v>
      </c>
      <c r="I69" s="207">
        <v>1375</v>
      </c>
      <c r="J69" s="242">
        <f t="shared" si="21"/>
        <v>3437.5</v>
      </c>
      <c r="K69" s="153"/>
      <c r="V69" s="25">
        <f t="shared" si="22"/>
        <v>1</v>
      </c>
      <c r="W69" s="25">
        <f t="shared" si="23"/>
        <v>0</v>
      </c>
    </row>
    <row r="70" spans="1:23" x14ac:dyDescent="0.3">
      <c r="A70" s="147"/>
      <c r="B70" s="205">
        <f t="shared" si="24"/>
        <v>11</v>
      </c>
      <c r="C70" s="206">
        <v>43969</v>
      </c>
      <c r="D70" s="161" t="s">
        <v>8</v>
      </c>
      <c r="E70" s="161" t="s">
        <v>496</v>
      </c>
      <c r="F70" s="161">
        <v>234.5</v>
      </c>
      <c r="G70" s="222">
        <v>225</v>
      </c>
      <c r="H70" s="222">
        <v>9.5</v>
      </c>
      <c r="I70" s="207">
        <v>1300</v>
      </c>
      <c r="J70" s="242">
        <f t="shared" si="21"/>
        <v>12350</v>
      </c>
      <c r="K70" s="153"/>
      <c r="V70" s="25">
        <f t="shared" si="22"/>
        <v>1</v>
      </c>
      <c r="W70" s="25">
        <f t="shared" si="23"/>
        <v>0</v>
      </c>
    </row>
    <row r="71" spans="1:23" x14ac:dyDescent="0.3">
      <c r="A71" s="147"/>
      <c r="B71" s="205">
        <f t="shared" si="24"/>
        <v>12</v>
      </c>
      <c r="C71" s="206">
        <v>43970</v>
      </c>
      <c r="D71" s="161" t="s">
        <v>9</v>
      </c>
      <c r="E71" s="161" t="s">
        <v>496</v>
      </c>
      <c r="F71" s="222">
        <v>230</v>
      </c>
      <c r="G71" s="222">
        <v>235</v>
      </c>
      <c r="H71" s="222">
        <v>5</v>
      </c>
      <c r="I71" s="207">
        <v>1300</v>
      </c>
      <c r="J71" s="242">
        <f t="shared" si="21"/>
        <v>6500</v>
      </c>
      <c r="K71" s="153"/>
      <c r="V71" s="25">
        <f t="shared" si="22"/>
        <v>1</v>
      </c>
      <c r="W71" s="25">
        <f t="shared" si="23"/>
        <v>0</v>
      </c>
    </row>
    <row r="72" spans="1:23" x14ac:dyDescent="0.3">
      <c r="A72" s="147"/>
      <c r="B72" s="205">
        <f t="shared" si="24"/>
        <v>13</v>
      </c>
      <c r="C72" s="206">
        <v>43971</v>
      </c>
      <c r="D72" s="161" t="s">
        <v>8</v>
      </c>
      <c r="E72" s="161" t="s">
        <v>58</v>
      </c>
      <c r="F72" s="222">
        <v>355</v>
      </c>
      <c r="G72" s="222">
        <v>352.5</v>
      </c>
      <c r="H72" s="222">
        <v>2.5</v>
      </c>
      <c r="I72" s="207">
        <v>1200</v>
      </c>
      <c r="J72" s="242">
        <f t="shared" si="21"/>
        <v>3000</v>
      </c>
      <c r="K72" s="153"/>
      <c r="V72" s="25">
        <f t="shared" si="22"/>
        <v>1</v>
      </c>
      <c r="W72" s="25">
        <f t="shared" si="23"/>
        <v>0</v>
      </c>
    </row>
    <row r="73" spans="1:23" x14ac:dyDescent="0.3">
      <c r="A73" s="147"/>
      <c r="B73" s="205">
        <f t="shared" si="24"/>
        <v>14</v>
      </c>
      <c r="C73" s="206">
        <v>43972</v>
      </c>
      <c r="D73" s="161" t="s">
        <v>9</v>
      </c>
      <c r="E73" s="161" t="s">
        <v>95</v>
      </c>
      <c r="F73" s="223">
        <v>309</v>
      </c>
      <c r="G73" s="222">
        <v>303</v>
      </c>
      <c r="H73" s="255">
        <v>4</v>
      </c>
      <c r="I73" s="207">
        <v>1375</v>
      </c>
      <c r="J73" s="242">
        <f t="shared" si="21"/>
        <v>5500</v>
      </c>
      <c r="K73" s="153"/>
      <c r="V73" s="25">
        <f t="shared" si="22"/>
        <v>1</v>
      </c>
      <c r="W73" s="25">
        <f t="shared" si="23"/>
        <v>0</v>
      </c>
    </row>
    <row r="74" spans="1:23" x14ac:dyDescent="0.3">
      <c r="A74" s="147"/>
      <c r="B74" s="205">
        <f t="shared" si="24"/>
        <v>15</v>
      </c>
      <c r="C74" s="206">
        <v>43973</v>
      </c>
      <c r="D74" s="161" t="s">
        <v>8</v>
      </c>
      <c r="E74" s="161" t="s">
        <v>496</v>
      </c>
      <c r="F74" s="222">
        <v>236</v>
      </c>
      <c r="G74" s="222">
        <v>228.5</v>
      </c>
      <c r="H74" s="255">
        <v>7.5</v>
      </c>
      <c r="I74" s="207">
        <v>1300</v>
      </c>
      <c r="J74" s="242">
        <f t="shared" si="21"/>
        <v>9750</v>
      </c>
      <c r="K74" s="153"/>
      <c r="V74" s="25">
        <f t="shared" si="22"/>
        <v>1</v>
      </c>
      <c r="W74" s="25">
        <f t="shared" si="23"/>
        <v>0</v>
      </c>
    </row>
    <row r="75" spans="1:23" x14ac:dyDescent="0.3">
      <c r="A75" s="147"/>
      <c r="B75" s="205">
        <f t="shared" si="24"/>
        <v>16</v>
      </c>
      <c r="C75" s="206">
        <v>43977</v>
      </c>
      <c r="D75" s="161" t="s">
        <v>8</v>
      </c>
      <c r="E75" s="161" t="s">
        <v>31</v>
      </c>
      <c r="F75" s="222">
        <v>1434</v>
      </c>
      <c r="G75" s="222">
        <v>1419</v>
      </c>
      <c r="H75" s="255">
        <v>15</v>
      </c>
      <c r="I75" s="207">
        <v>500</v>
      </c>
      <c r="J75" s="242">
        <f t="shared" si="21"/>
        <v>7500</v>
      </c>
      <c r="K75" s="153"/>
      <c r="V75" s="25">
        <f t="shared" si="22"/>
        <v>1</v>
      </c>
      <c r="W75" s="25">
        <f t="shared" si="23"/>
        <v>0</v>
      </c>
    </row>
    <row r="76" spans="1:23" x14ac:dyDescent="0.3">
      <c r="A76" s="147"/>
      <c r="B76" s="205">
        <f t="shared" si="24"/>
        <v>17</v>
      </c>
      <c r="C76" s="206">
        <v>43978</v>
      </c>
      <c r="D76" s="161" t="s">
        <v>8</v>
      </c>
      <c r="E76" s="161" t="s">
        <v>31</v>
      </c>
      <c r="F76" s="222">
        <v>1424</v>
      </c>
      <c r="G76" s="222">
        <v>1414</v>
      </c>
      <c r="H76" s="222">
        <v>10</v>
      </c>
      <c r="I76" s="207">
        <v>500</v>
      </c>
      <c r="J76" s="242">
        <f t="shared" si="21"/>
        <v>5000</v>
      </c>
      <c r="K76" s="153"/>
      <c r="V76" s="25">
        <f t="shared" si="22"/>
        <v>1</v>
      </c>
      <c r="W76" s="25">
        <f t="shared" si="23"/>
        <v>0</v>
      </c>
    </row>
    <row r="77" spans="1:23" x14ac:dyDescent="0.3">
      <c r="A77" s="147"/>
      <c r="B77" s="205">
        <f t="shared" si="24"/>
        <v>18</v>
      </c>
      <c r="C77" s="206">
        <v>43979</v>
      </c>
      <c r="D77" s="161" t="s">
        <v>8</v>
      </c>
      <c r="E77" s="161" t="s">
        <v>31</v>
      </c>
      <c r="F77" s="222">
        <v>1455</v>
      </c>
      <c r="G77" s="222">
        <v>1465</v>
      </c>
      <c r="H77" s="222">
        <v>-10</v>
      </c>
      <c r="I77" s="207">
        <v>500</v>
      </c>
      <c r="J77" s="242">
        <f t="shared" si="21"/>
        <v>-5000</v>
      </c>
      <c r="K77" s="153"/>
      <c r="V77" s="25">
        <f t="shared" si="22"/>
        <v>0</v>
      </c>
      <c r="W77" s="25">
        <f t="shared" si="23"/>
        <v>1</v>
      </c>
    </row>
    <row r="78" spans="1:23" x14ac:dyDescent="0.3">
      <c r="A78" s="147"/>
      <c r="B78" s="205">
        <f t="shared" si="24"/>
        <v>19</v>
      </c>
      <c r="C78" s="206">
        <v>43980</v>
      </c>
      <c r="D78" s="161" t="s">
        <v>9</v>
      </c>
      <c r="E78" s="161" t="s">
        <v>78</v>
      </c>
      <c r="F78" s="222">
        <v>906</v>
      </c>
      <c r="G78" s="222">
        <v>926</v>
      </c>
      <c r="H78" s="222">
        <v>20</v>
      </c>
      <c r="I78" s="207">
        <v>375</v>
      </c>
      <c r="J78" s="242">
        <f t="shared" si="21"/>
        <v>7500</v>
      </c>
      <c r="K78" s="153"/>
      <c r="V78" s="25">
        <f t="shared" si="22"/>
        <v>1</v>
      </c>
      <c r="W78" s="25">
        <f t="shared" si="23"/>
        <v>0</v>
      </c>
    </row>
    <row r="79" spans="1:23" x14ac:dyDescent="0.3">
      <c r="A79" s="147"/>
      <c r="B79" s="205">
        <f t="shared" si="24"/>
        <v>20</v>
      </c>
      <c r="C79" s="206"/>
      <c r="D79" s="161"/>
      <c r="E79" s="161"/>
      <c r="F79" s="222"/>
      <c r="G79" s="222"/>
      <c r="H79" s="222"/>
      <c r="I79" s="207"/>
      <c r="J79" s="242">
        <f t="shared" si="21"/>
        <v>0</v>
      </c>
      <c r="K79" s="153"/>
      <c r="V79" s="25">
        <f t="shared" si="22"/>
        <v>0</v>
      </c>
      <c r="W79" s="25">
        <f t="shared" si="23"/>
        <v>0</v>
      </c>
    </row>
    <row r="80" spans="1:23" x14ac:dyDescent="0.3">
      <c r="A80" s="147"/>
      <c r="B80" s="205">
        <f t="shared" si="24"/>
        <v>21</v>
      </c>
      <c r="C80" s="206"/>
      <c r="D80" s="161"/>
      <c r="E80" s="161"/>
      <c r="F80" s="222"/>
      <c r="G80" s="222"/>
      <c r="H80" s="222"/>
      <c r="I80" s="207"/>
      <c r="J80" s="242">
        <f t="shared" si="21"/>
        <v>0</v>
      </c>
      <c r="K80" s="153"/>
      <c r="V80" s="25">
        <f t="shared" si="22"/>
        <v>0</v>
      </c>
      <c r="W80" s="25">
        <f t="shared" si="23"/>
        <v>0</v>
      </c>
    </row>
    <row r="81" spans="1:23" x14ac:dyDescent="0.3">
      <c r="A81" s="147"/>
      <c r="B81" s="205">
        <f t="shared" si="24"/>
        <v>22</v>
      </c>
      <c r="C81" s="206"/>
      <c r="D81" s="161"/>
      <c r="E81" s="161"/>
      <c r="F81" s="222"/>
      <c r="G81" s="222"/>
      <c r="H81" s="222"/>
      <c r="I81" s="207"/>
      <c r="J81" s="242">
        <f t="shared" si="21"/>
        <v>0</v>
      </c>
      <c r="K81" s="153"/>
    </row>
    <row r="82" spans="1:23" x14ac:dyDescent="0.3">
      <c r="A82" s="147"/>
      <c r="B82" s="205">
        <f t="shared" si="24"/>
        <v>23</v>
      </c>
      <c r="C82" s="206"/>
      <c r="D82" s="161"/>
      <c r="E82" s="161"/>
      <c r="F82" s="222"/>
      <c r="G82" s="222"/>
      <c r="H82" s="222"/>
      <c r="I82" s="207"/>
      <c r="J82" s="242">
        <f t="shared" si="21"/>
        <v>0</v>
      </c>
      <c r="K82" s="153"/>
      <c r="V82" s="25">
        <f t="shared" si="22"/>
        <v>0</v>
      </c>
      <c r="W82" s="25">
        <f t="shared" si="23"/>
        <v>0</v>
      </c>
    </row>
    <row r="83" spans="1:23" ht="15" thickBot="1" x14ac:dyDescent="0.35">
      <c r="A83" s="147"/>
      <c r="B83" s="205">
        <f t="shared" si="24"/>
        <v>24</v>
      </c>
      <c r="C83" s="209"/>
      <c r="D83" s="166"/>
      <c r="E83" s="166"/>
      <c r="F83" s="210"/>
      <c r="G83" s="210"/>
      <c r="H83" s="166"/>
      <c r="I83" s="210"/>
      <c r="J83" s="244">
        <f t="shared" si="21"/>
        <v>0</v>
      </c>
      <c r="K83" s="153"/>
      <c r="V83" s="25">
        <f t="shared" si="22"/>
        <v>0</v>
      </c>
      <c r="W83" s="25">
        <f t="shared" si="23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122943.75</v>
      </c>
      <c r="K84" s="153"/>
      <c r="V84" s="25">
        <f>SUM(V60:V83)</f>
        <v>17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2978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43955</v>
      </c>
      <c r="D92" s="185" t="s">
        <v>8</v>
      </c>
      <c r="E92" s="185" t="s">
        <v>39</v>
      </c>
      <c r="F92" s="219">
        <v>9360</v>
      </c>
      <c r="G92" s="219">
        <v>9280</v>
      </c>
      <c r="H92" s="185">
        <v>80</v>
      </c>
      <c r="I92" s="219">
        <v>150</v>
      </c>
      <c r="J92" s="246">
        <f t="shared" ref="J92:J114" si="25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43956</v>
      </c>
      <c r="D93" s="185" t="s">
        <v>8</v>
      </c>
      <c r="E93" s="185" t="s">
        <v>39</v>
      </c>
      <c r="F93" s="219">
        <v>9360</v>
      </c>
      <c r="G93" s="219">
        <v>9300</v>
      </c>
      <c r="H93" s="185">
        <v>60</v>
      </c>
      <c r="I93" s="219">
        <v>150</v>
      </c>
      <c r="J93" s="242">
        <f t="shared" si="25"/>
        <v>9000</v>
      </c>
      <c r="K93" s="153"/>
      <c r="V93" s="25">
        <f t="shared" ref="V93:V114" si="26">IF($J93&gt;0,1,0)</f>
        <v>1</v>
      </c>
      <c r="W93" s="25">
        <f t="shared" ref="W93:W114" si="27">IF($J93&lt;0,1,0)</f>
        <v>0</v>
      </c>
    </row>
    <row r="94" spans="1:23" x14ac:dyDescent="0.3">
      <c r="A94" s="147"/>
      <c r="B94" s="205">
        <f t="shared" ref="B94:B114" si="28">B93+1</f>
        <v>3</v>
      </c>
      <c r="C94" s="206">
        <v>43957</v>
      </c>
      <c r="D94" s="161" t="s">
        <v>8</v>
      </c>
      <c r="E94" s="161" t="s">
        <v>39</v>
      </c>
      <c r="F94" s="207">
        <v>9310</v>
      </c>
      <c r="G94" s="207">
        <v>9230</v>
      </c>
      <c r="H94" s="161">
        <v>80</v>
      </c>
      <c r="I94" s="207">
        <v>150</v>
      </c>
      <c r="J94" s="242">
        <f t="shared" si="25"/>
        <v>12000</v>
      </c>
      <c r="K94" s="153"/>
      <c r="V94" s="25">
        <f t="shared" si="26"/>
        <v>1</v>
      </c>
      <c r="W94" s="25">
        <f t="shared" si="27"/>
        <v>0</v>
      </c>
    </row>
    <row r="95" spans="1:23" x14ac:dyDescent="0.3">
      <c r="A95" s="147"/>
      <c r="B95" s="205">
        <f t="shared" si="28"/>
        <v>4</v>
      </c>
      <c r="C95" s="206">
        <v>43958</v>
      </c>
      <c r="D95" s="161" t="s">
        <v>8</v>
      </c>
      <c r="E95" s="161" t="s">
        <v>39</v>
      </c>
      <c r="F95" s="207">
        <v>9200</v>
      </c>
      <c r="G95" s="207">
        <v>9180</v>
      </c>
      <c r="H95" s="161">
        <v>20</v>
      </c>
      <c r="I95" s="207">
        <v>150</v>
      </c>
      <c r="J95" s="242">
        <f t="shared" si="25"/>
        <v>3000</v>
      </c>
      <c r="K95" s="153"/>
      <c r="V95" s="25">
        <f t="shared" si="26"/>
        <v>1</v>
      </c>
      <c r="W95" s="25">
        <f t="shared" si="27"/>
        <v>0</v>
      </c>
    </row>
    <row r="96" spans="1:23" x14ac:dyDescent="0.3">
      <c r="A96" s="147"/>
      <c r="B96" s="205">
        <f t="shared" si="28"/>
        <v>5</v>
      </c>
      <c r="C96" s="206">
        <v>43959</v>
      </c>
      <c r="D96" s="161" t="s">
        <v>8</v>
      </c>
      <c r="E96" s="161" t="s">
        <v>39</v>
      </c>
      <c r="F96" s="207">
        <v>9310</v>
      </c>
      <c r="G96" s="207">
        <v>9230</v>
      </c>
      <c r="H96" s="161">
        <v>80</v>
      </c>
      <c r="I96" s="207">
        <v>150</v>
      </c>
      <c r="J96" s="242">
        <f t="shared" si="25"/>
        <v>12000</v>
      </c>
      <c r="K96" s="153"/>
      <c r="V96" s="25">
        <f t="shared" si="26"/>
        <v>1</v>
      </c>
      <c r="W96" s="25">
        <f t="shared" si="27"/>
        <v>0</v>
      </c>
    </row>
    <row r="97" spans="1:23" x14ac:dyDescent="0.3">
      <c r="A97" s="147"/>
      <c r="B97" s="205">
        <f t="shared" si="28"/>
        <v>6</v>
      </c>
      <c r="C97" s="206">
        <v>43962</v>
      </c>
      <c r="D97" s="161" t="s">
        <v>8</v>
      </c>
      <c r="E97" s="161" t="s">
        <v>39</v>
      </c>
      <c r="F97" s="207">
        <v>9320</v>
      </c>
      <c r="G97" s="207">
        <v>9360</v>
      </c>
      <c r="H97" s="161">
        <v>-40</v>
      </c>
      <c r="I97" s="207">
        <v>150</v>
      </c>
      <c r="J97" s="242">
        <f t="shared" si="25"/>
        <v>-6000</v>
      </c>
      <c r="K97" s="153"/>
      <c r="V97" s="25">
        <f t="shared" si="26"/>
        <v>0</v>
      </c>
      <c r="W97" s="25">
        <f t="shared" si="27"/>
        <v>1</v>
      </c>
    </row>
    <row r="98" spans="1:23" x14ac:dyDescent="0.3">
      <c r="A98" s="147"/>
      <c r="B98" s="205">
        <f t="shared" si="28"/>
        <v>7</v>
      </c>
      <c r="C98" s="206">
        <v>43963</v>
      </c>
      <c r="D98" s="161" t="s">
        <v>8</v>
      </c>
      <c r="E98" s="161" t="s">
        <v>39</v>
      </c>
      <c r="F98" s="207">
        <v>9100</v>
      </c>
      <c r="G98" s="207">
        <v>9044</v>
      </c>
      <c r="H98" s="161">
        <v>56</v>
      </c>
      <c r="I98" s="207">
        <v>150</v>
      </c>
      <c r="J98" s="242">
        <f t="shared" si="25"/>
        <v>8400</v>
      </c>
      <c r="K98" s="153"/>
      <c r="V98" s="25">
        <f t="shared" si="26"/>
        <v>1</v>
      </c>
      <c r="W98" s="25">
        <f t="shared" si="27"/>
        <v>0</v>
      </c>
    </row>
    <row r="99" spans="1:23" x14ac:dyDescent="0.3">
      <c r="A99" s="147"/>
      <c r="B99" s="205">
        <f t="shared" si="28"/>
        <v>8</v>
      </c>
      <c r="C99" s="206">
        <v>43964</v>
      </c>
      <c r="D99" s="161" t="s">
        <v>9</v>
      </c>
      <c r="E99" s="161" t="s">
        <v>39</v>
      </c>
      <c r="F99" s="207">
        <v>9440</v>
      </c>
      <c r="G99" s="207">
        <v>9400</v>
      </c>
      <c r="H99" s="161">
        <v>-40</v>
      </c>
      <c r="I99" s="207">
        <v>150</v>
      </c>
      <c r="J99" s="242">
        <f t="shared" si="25"/>
        <v>-6000</v>
      </c>
      <c r="K99" s="153"/>
      <c r="V99" s="25">
        <f t="shared" si="26"/>
        <v>0</v>
      </c>
      <c r="W99" s="25">
        <f t="shared" si="27"/>
        <v>1</v>
      </c>
    </row>
    <row r="100" spans="1:23" x14ac:dyDescent="0.3">
      <c r="A100" s="147"/>
      <c r="B100" s="205">
        <f t="shared" si="28"/>
        <v>9</v>
      </c>
      <c r="C100" s="206">
        <v>43965</v>
      </c>
      <c r="D100" s="161" t="s">
        <v>9</v>
      </c>
      <c r="E100" s="161" t="s">
        <v>39</v>
      </c>
      <c r="F100" s="207">
        <v>9210</v>
      </c>
      <c r="G100" s="207">
        <v>9230</v>
      </c>
      <c r="H100" s="161">
        <v>20</v>
      </c>
      <c r="I100" s="207">
        <v>150</v>
      </c>
      <c r="J100" s="242">
        <f t="shared" si="25"/>
        <v>3000</v>
      </c>
      <c r="K100" s="153"/>
      <c r="V100" s="25">
        <f t="shared" si="26"/>
        <v>1</v>
      </c>
      <c r="W100" s="25">
        <f t="shared" si="27"/>
        <v>0</v>
      </c>
    </row>
    <row r="101" spans="1:23" x14ac:dyDescent="0.3">
      <c r="A101" s="147"/>
      <c r="B101" s="205">
        <f t="shared" si="28"/>
        <v>10</v>
      </c>
      <c r="C101" s="206">
        <v>43966</v>
      </c>
      <c r="D101" s="161" t="s">
        <v>8</v>
      </c>
      <c r="E101" s="161" t="s">
        <v>39</v>
      </c>
      <c r="F101" s="207">
        <v>9080</v>
      </c>
      <c r="G101" s="207">
        <v>9120</v>
      </c>
      <c r="H101" s="161">
        <v>-40</v>
      </c>
      <c r="I101" s="207">
        <v>150</v>
      </c>
      <c r="J101" s="242">
        <f t="shared" si="25"/>
        <v>-6000</v>
      </c>
      <c r="K101" s="153"/>
      <c r="V101" s="25">
        <f t="shared" si="26"/>
        <v>0</v>
      </c>
      <c r="W101" s="25">
        <f t="shared" si="27"/>
        <v>1</v>
      </c>
    </row>
    <row r="102" spans="1:23" x14ac:dyDescent="0.3">
      <c r="A102" s="147"/>
      <c r="B102" s="205">
        <f t="shared" si="28"/>
        <v>11</v>
      </c>
      <c r="C102" s="206">
        <v>43969</v>
      </c>
      <c r="D102" s="161" t="s">
        <v>8</v>
      </c>
      <c r="E102" s="161" t="s">
        <v>39</v>
      </c>
      <c r="F102" s="207">
        <v>8870</v>
      </c>
      <c r="G102" s="207">
        <v>8830</v>
      </c>
      <c r="H102" s="161">
        <v>40</v>
      </c>
      <c r="I102" s="207">
        <v>150</v>
      </c>
      <c r="J102" s="242">
        <f t="shared" si="25"/>
        <v>6000</v>
      </c>
      <c r="K102" s="153"/>
      <c r="V102" s="25">
        <f t="shared" si="26"/>
        <v>1</v>
      </c>
      <c r="W102" s="25">
        <f t="shared" si="27"/>
        <v>0</v>
      </c>
    </row>
    <row r="103" spans="1:23" x14ac:dyDescent="0.3">
      <c r="A103" s="147"/>
      <c r="B103" s="205">
        <f t="shared" si="28"/>
        <v>12</v>
      </c>
      <c r="C103" s="206">
        <v>43970</v>
      </c>
      <c r="D103" s="161" t="s">
        <v>8</v>
      </c>
      <c r="E103" s="161" t="s">
        <v>39</v>
      </c>
      <c r="F103" s="207">
        <v>8960</v>
      </c>
      <c r="G103" s="207">
        <v>8940</v>
      </c>
      <c r="H103" s="161">
        <v>20</v>
      </c>
      <c r="I103" s="207">
        <v>150</v>
      </c>
      <c r="J103" s="242">
        <f t="shared" si="25"/>
        <v>3000</v>
      </c>
      <c r="K103" s="153"/>
      <c r="V103" s="25">
        <f t="shared" si="26"/>
        <v>1</v>
      </c>
      <c r="W103" s="25">
        <f t="shared" si="27"/>
        <v>0</v>
      </c>
    </row>
    <row r="104" spans="1:23" x14ac:dyDescent="0.3">
      <c r="A104" s="147"/>
      <c r="B104" s="205">
        <f t="shared" si="28"/>
        <v>13</v>
      </c>
      <c r="C104" s="206">
        <v>43971</v>
      </c>
      <c r="D104" s="161" t="s">
        <v>8</v>
      </c>
      <c r="E104" s="161" t="s">
        <v>39</v>
      </c>
      <c r="F104" s="207">
        <v>8950</v>
      </c>
      <c r="G104" s="207">
        <v>8930</v>
      </c>
      <c r="H104" s="161">
        <v>20</v>
      </c>
      <c r="I104" s="207">
        <v>150</v>
      </c>
      <c r="J104" s="242">
        <f t="shared" si="25"/>
        <v>3000</v>
      </c>
      <c r="K104" s="153"/>
      <c r="V104" s="25">
        <f t="shared" si="26"/>
        <v>1</v>
      </c>
      <c r="W104" s="25">
        <f t="shared" si="27"/>
        <v>0</v>
      </c>
    </row>
    <row r="105" spans="1:23" x14ac:dyDescent="0.3">
      <c r="A105" s="147"/>
      <c r="B105" s="205">
        <f t="shared" si="28"/>
        <v>14</v>
      </c>
      <c r="C105" s="206">
        <v>43972</v>
      </c>
      <c r="D105" s="161" t="s">
        <v>8</v>
      </c>
      <c r="E105" s="161" t="s">
        <v>39</v>
      </c>
      <c r="F105" s="207">
        <v>9120</v>
      </c>
      <c r="G105" s="207">
        <v>9100</v>
      </c>
      <c r="H105" s="161">
        <v>20</v>
      </c>
      <c r="I105" s="207">
        <v>150</v>
      </c>
      <c r="J105" s="242">
        <f t="shared" si="25"/>
        <v>3000</v>
      </c>
      <c r="K105" s="153"/>
      <c r="V105" s="25">
        <f t="shared" si="26"/>
        <v>1</v>
      </c>
      <c r="W105" s="25">
        <f t="shared" si="27"/>
        <v>0</v>
      </c>
    </row>
    <row r="106" spans="1:23" x14ac:dyDescent="0.3">
      <c r="A106" s="147"/>
      <c r="B106" s="205">
        <f t="shared" si="28"/>
        <v>15</v>
      </c>
      <c r="C106" s="206">
        <v>43973</v>
      </c>
      <c r="D106" s="161" t="s">
        <v>8</v>
      </c>
      <c r="E106" s="161" t="s">
        <v>39</v>
      </c>
      <c r="F106" s="207">
        <v>8960</v>
      </c>
      <c r="G106" s="207">
        <v>8960</v>
      </c>
      <c r="H106" s="161">
        <v>30</v>
      </c>
      <c r="I106" s="207">
        <v>150</v>
      </c>
      <c r="J106" s="242">
        <f t="shared" si="25"/>
        <v>4500</v>
      </c>
      <c r="K106" s="153"/>
      <c r="V106" s="25">
        <f t="shared" si="26"/>
        <v>1</v>
      </c>
      <c r="W106" s="25">
        <f t="shared" si="27"/>
        <v>0</v>
      </c>
    </row>
    <row r="107" spans="1:23" x14ac:dyDescent="0.3">
      <c r="A107" s="147"/>
      <c r="B107" s="205">
        <f t="shared" si="28"/>
        <v>16</v>
      </c>
      <c r="C107" s="206">
        <v>43977</v>
      </c>
      <c r="D107" s="161" t="s">
        <v>8</v>
      </c>
      <c r="E107" s="161" t="s">
        <v>39</v>
      </c>
      <c r="F107" s="207">
        <v>9100</v>
      </c>
      <c r="G107" s="207">
        <v>9020</v>
      </c>
      <c r="H107" s="161">
        <v>80</v>
      </c>
      <c r="I107" s="207">
        <v>150</v>
      </c>
      <c r="J107" s="242">
        <f t="shared" si="25"/>
        <v>12000</v>
      </c>
      <c r="K107" s="153"/>
      <c r="V107" s="25">
        <f t="shared" si="26"/>
        <v>1</v>
      </c>
      <c r="W107" s="25">
        <f t="shared" si="27"/>
        <v>0</v>
      </c>
    </row>
    <row r="108" spans="1:23" x14ac:dyDescent="0.3">
      <c r="A108" s="147"/>
      <c r="B108" s="205">
        <f t="shared" si="28"/>
        <v>17</v>
      </c>
      <c r="C108" s="206">
        <v>43978</v>
      </c>
      <c r="D108" s="161" t="s">
        <v>8</v>
      </c>
      <c r="E108" s="161" t="s">
        <v>39</v>
      </c>
      <c r="F108" s="207">
        <v>9010</v>
      </c>
      <c r="G108" s="207">
        <v>8990</v>
      </c>
      <c r="H108" s="161">
        <v>20</v>
      </c>
      <c r="I108" s="207">
        <v>150</v>
      </c>
      <c r="J108" s="242">
        <f t="shared" si="25"/>
        <v>3000</v>
      </c>
      <c r="K108" s="153"/>
      <c r="V108" s="25">
        <f t="shared" si="26"/>
        <v>1</v>
      </c>
      <c r="W108" s="25">
        <f t="shared" si="27"/>
        <v>0</v>
      </c>
    </row>
    <row r="109" spans="1:23" x14ac:dyDescent="0.3">
      <c r="A109" s="147"/>
      <c r="B109" s="205">
        <f t="shared" si="28"/>
        <v>18</v>
      </c>
      <c r="C109" s="206">
        <v>43979</v>
      </c>
      <c r="D109" s="161" t="s">
        <v>9</v>
      </c>
      <c r="E109" s="161" t="s">
        <v>39</v>
      </c>
      <c r="F109" s="207">
        <v>9400</v>
      </c>
      <c r="G109" s="207">
        <v>9480</v>
      </c>
      <c r="H109" s="161">
        <v>80</v>
      </c>
      <c r="I109" s="207">
        <v>150</v>
      </c>
      <c r="J109" s="242">
        <f t="shared" si="25"/>
        <v>12000</v>
      </c>
      <c r="K109" s="153"/>
      <c r="V109" s="25">
        <f t="shared" si="26"/>
        <v>1</v>
      </c>
      <c r="W109" s="25">
        <f t="shared" si="27"/>
        <v>0</v>
      </c>
    </row>
    <row r="110" spans="1:23" x14ac:dyDescent="0.3">
      <c r="A110" s="147"/>
      <c r="B110" s="205">
        <f t="shared" si="28"/>
        <v>19</v>
      </c>
      <c r="C110" s="206">
        <v>43980</v>
      </c>
      <c r="D110" s="161" t="s">
        <v>9</v>
      </c>
      <c r="E110" s="161" t="s">
        <v>39</v>
      </c>
      <c r="F110" s="207">
        <v>9440</v>
      </c>
      <c r="G110" s="207">
        <v>9460</v>
      </c>
      <c r="H110" s="161">
        <v>20</v>
      </c>
      <c r="I110" s="207">
        <v>150</v>
      </c>
      <c r="J110" s="242">
        <f>I110*H110</f>
        <v>3000</v>
      </c>
      <c r="K110" s="153"/>
      <c r="V110" s="25">
        <f t="shared" si="26"/>
        <v>1</v>
      </c>
      <c r="W110" s="25">
        <f t="shared" si="27"/>
        <v>0</v>
      </c>
    </row>
    <row r="111" spans="1:23" x14ac:dyDescent="0.3">
      <c r="A111" s="147"/>
      <c r="B111" s="205">
        <f t="shared" si="28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25"/>
        <v>0</v>
      </c>
      <c r="K111" s="153"/>
      <c r="V111" s="25">
        <f t="shared" si="26"/>
        <v>0</v>
      </c>
      <c r="W111" s="25">
        <f t="shared" si="27"/>
        <v>0</v>
      </c>
    </row>
    <row r="112" spans="1:23" x14ac:dyDescent="0.3">
      <c r="A112" s="147"/>
      <c r="B112" s="205">
        <f t="shared" si="28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25"/>
        <v>0</v>
      </c>
      <c r="K112" s="153"/>
      <c r="V112" s="25">
        <f t="shared" si="26"/>
        <v>0</v>
      </c>
      <c r="W112" s="25">
        <f t="shared" si="27"/>
        <v>0</v>
      </c>
    </row>
    <row r="113" spans="1:23" x14ac:dyDescent="0.3">
      <c r="A113" s="147"/>
      <c r="B113" s="205">
        <f t="shared" si="28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5"/>
        <v>0</v>
      </c>
      <c r="K113" s="153"/>
      <c r="V113" s="25">
        <f t="shared" si="26"/>
        <v>0</v>
      </c>
      <c r="W113" s="25">
        <f t="shared" si="27"/>
        <v>0</v>
      </c>
    </row>
    <row r="114" spans="1:23" ht="15" thickBot="1" x14ac:dyDescent="0.35">
      <c r="A114" s="147"/>
      <c r="B114" s="208">
        <f t="shared" si="28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5"/>
        <v>0</v>
      </c>
      <c r="K114" s="153"/>
      <c r="V114" s="25">
        <f t="shared" si="26"/>
        <v>0</v>
      </c>
      <c r="W114" s="25">
        <f t="shared" si="27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90900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2976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43955</v>
      </c>
      <c r="D123" s="185" t="s">
        <v>9</v>
      </c>
      <c r="E123" s="185" t="s">
        <v>2110</v>
      </c>
      <c r="F123" s="219">
        <v>200</v>
      </c>
      <c r="G123" s="219">
        <v>260</v>
      </c>
      <c r="H123" s="185">
        <v>60</v>
      </c>
      <c r="I123" s="219">
        <v>300</v>
      </c>
      <c r="J123" s="246">
        <f t="shared" ref="J123:J145" si="29">I123*H123</f>
        <v>18000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43956</v>
      </c>
      <c r="D124" s="185" t="s">
        <v>9</v>
      </c>
      <c r="E124" s="185" t="s">
        <v>2110</v>
      </c>
      <c r="F124" s="219">
        <v>170</v>
      </c>
      <c r="G124" s="219">
        <v>182</v>
      </c>
      <c r="H124" s="185">
        <v>12</v>
      </c>
      <c r="I124" s="219">
        <v>300</v>
      </c>
      <c r="J124" s="242">
        <f t="shared" si="29"/>
        <v>3600</v>
      </c>
      <c r="K124" s="153"/>
      <c r="V124" s="25">
        <f t="shared" ref="V124:V145" si="30">IF($J124&gt;0,1,0)</f>
        <v>1</v>
      </c>
      <c r="W124" s="25">
        <f t="shared" ref="W124:W145" si="31">IF($J124&lt;0,1,0)</f>
        <v>0</v>
      </c>
    </row>
    <row r="125" spans="1:23" x14ac:dyDescent="0.3">
      <c r="A125" s="147"/>
      <c r="B125" s="205">
        <f t="shared" ref="B125:B145" si="32">B124+1</f>
        <v>3</v>
      </c>
      <c r="C125" s="206">
        <v>43957</v>
      </c>
      <c r="D125" s="161" t="s">
        <v>9</v>
      </c>
      <c r="E125" s="161" t="s">
        <v>2048</v>
      </c>
      <c r="F125" s="207">
        <v>90</v>
      </c>
      <c r="G125" s="207">
        <v>130</v>
      </c>
      <c r="H125" s="161">
        <v>40</v>
      </c>
      <c r="I125" s="207">
        <v>300</v>
      </c>
      <c r="J125" s="242">
        <f t="shared" si="29"/>
        <v>12000</v>
      </c>
      <c r="K125" s="153"/>
      <c r="V125" s="25">
        <f t="shared" si="30"/>
        <v>1</v>
      </c>
      <c r="W125" s="25">
        <f t="shared" si="31"/>
        <v>0</v>
      </c>
    </row>
    <row r="126" spans="1:23" x14ac:dyDescent="0.3">
      <c r="A126" s="147"/>
      <c r="B126" s="205">
        <f t="shared" si="32"/>
        <v>4</v>
      </c>
      <c r="C126" s="206">
        <v>43958</v>
      </c>
      <c r="D126" s="161" t="s">
        <v>9</v>
      </c>
      <c r="E126" s="161" t="s">
        <v>2048</v>
      </c>
      <c r="F126" s="207">
        <v>105</v>
      </c>
      <c r="G126" s="207">
        <v>118.5</v>
      </c>
      <c r="H126" s="161">
        <v>14</v>
      </c>
      <c r="I126" s="207">
        <v>300</v>
      </c>
      <c r="J126" s="242">
        <f t="shared" si="29"/>
        <v>4200</v>
      </c>
      <c r="K126" s="153"/>
      <c r="V126" s="25">
        <f t="shared" si="30"/>
        <v>1</v>
      </c>
      <c r="W126" s="25">
        <f t="shared" si="31"/>
        <v>0</v>
      </c>
    </row>
    <row r="127" spans="1:23" x14ac:dyDescent="0.3">
      <c r="A127" s="147"/>
      <c r="B127" s="205">
        <f t="shared" si="32"/>
        <v>5</v>
      </c>
      <c r="C127" s="206">
        <v>43959</v>
      </c>
      <c r="D127" s="161" t="s">
        <v>9</v>
      </c>
      <c r="E127" s="161" t="s">
        <v>2048</v>
      </c>
      <c r="F127" s="207">
        <v>155</v>
      </c>
      <c r="G127" s="207">
        <v>192</v>
      </c>
      <c r="H127" s="161">
        <v>37</v>
      </c>
      <c r="I127" s="207">
        <v>300</v>
      </c>
      <c r="J127" s="242">
        <f t="shared" si="29"/>
        <v>11100</v>
      </c>
      <c r="K127" s="153"/>
      <c r="M127" s="25" t="s">
        <v>2008</v>
      </c>
      <c r="V127" s="25">
        <f t="shared" si="30"/>
        <v>1</v>
      </c>
      <c r="W127" s="25">
        <f t="shared" si="31"/>
        <v>0</v>
      </c>
    </row>
    <row r="128" spans="1:23" x14ac:dyDescent="0.3">
      <c r="A128" s="147"/>
      <c r="B128" s="205">
        <f t="shared" si="32"/>
        <v>6</v>
      </c>
      <c r="C128" s="206">
        <v>43962</v>
      </c>
      <c r="D128" s="161" t="s">
        <v>9</v>
      </c>
      <c r="E128" s="161" t="s">
        <v>2048</v>
      </c>
      <c r="F128" s="207">
        <v>120</v>
      </c>
      <c r="G128" s="222">
        <v>100</v>
      </c>
      <c r="H128" s="222">
        <v>20</v>
      </c>
      <c r="I128" s="207">
        <v>300</v>
      </c>
      <c r="J128" s="242">
        <f t="shared" si="29"/>
        <v>6000</v>
      </c>
      <c r="K128" s="153"/>
      <c r="V128" s="25">
        <f t="shared" si="30"/>
        <v>1</v>
      </c>
      <c r="W128" s="25">
        <f t="shared" si="31"/>
        <v>0</v>
      </c>
    </row>
    <row r="129" spans="1:23" x14ac:dyDescent="0.3">
      <c r="A129" s="147"/>
      <c r="B129" s="205">
        <f t="shared" si="32"/>
        <v>7</v>
      </c>
      <c r="C129" s="206">
        <v>43963</v>
      </c>
      <c r="D129" s="161" t="s">
        <v>9</v>
      </c>
      <c r="E129" s="161" t="s">
        <v>2967</v>
      </c>
      <c r="F129" s="207">
        <v>135</v>
      </c>
      <c r="G129" s="207">
        <v>147</v>
      </c>
      <c r="H129" s="161">
        <v>12</v>
      </c>
      <c r="I129" s="207">
        <v>300</v>
      </c>
      <c r="J129" s="242">
        <f t="shared" si="29"/>
        <v>3600</v>
      </c>
      <c r="K129" s="153"/>
      <c r="V129" s="25">
        <f t="shared" si="30"/>
        <v>1</v>
      </c>
      <c r="W129" s="25">
        <f t="shared" si="31"/>
        <v>0</v>
      </c>
    </row>
    <row r="130" spans="1:23" x14ac:dyDescent="0.3">
      <c r="A130" s="147"/>
      <c r="B130" s="205">
        <f t="shared" si="32"/>
        <v>8</v>
      </c>
      <c r="C130" s="206">
        <v>43964</v>
      </c>
      <c r="D130" s="161" t="s">
        <v>9</v>
      </c>
      <c r="E130" s="161" t="s">
        <v>2152</v>
      </c>
      <c r="F130" s="207">
        <v>120</v>
      </c>
      <c r="G130" s="207">
        <v>95</v>
      </c>
      <c r="H130" s="161">
        <v>-25</v>
      </c>
      <c r="I130" s="207">
        <v>300</v>
      </c>
      <c r="J130" s="242">
        <f t="shared" si="29"/>
        <v>-7500</v>
      </c>
      <c r="K130" s="153"/>
      <c r="V130" s="25">
        <f t="shared" si="30"/>
        <v>0</v>
      </c>
      <c r="W130" s="25">
        <f t="shared" si="31"/>
        <v>1</v>
      </c>
    </row>
    <row r="131" spans="1:23" x14ac:dyDescent="0.3">
      <c r="A131" s="147"/>
      <c r="B131" s="205">
        <f t="shared" si="32"/>
        <v>9</v>
      </c>
      <c r="C131" s="206">
        <v>43965</v>
      </c>
      <c r="D131" s="161" t="s">
        <v>9</v>
      </c>
      <c r="E131" s="161" t="s">
        <v>2048</v>
      </c>
      <c r="F131" s="207">
        <v>95</v>
      </c>
      <c r="G131" s="207">
        <v>112</v>
      </c>
      <c r="H131" s="161">
        <v>17</v>
      </c>
      <c r="I131" s="207">
        <v>300</v>
      </c>
      <c r="J131" s="242">
        <f t="shared" si="29"/>
        <v>5100</v>
      </c>
      <c r="K131" s="153"/>
      <c r="V131" s="25">
        <f t="shared" si="30"/>
        <v>1</v>
      </c>
      <c r="W131" s="25">
        <f t="shared" si="31"/>
        <v>0</v>
      </c>
    </row>
    <row r="132" spans="1:23" x14ac:dyDescent="0.3">
      <c r="A132" s="147"/>
      <c r="B132" s="205">
        <f t="shared" si="32"/>
        <v>10</v>
      </c>
      <c r="C132" s="206">
        <v>43966</v>
      </c>
      <c r="D132" s="161" t="s">
        <v>9</v>
      </c>
      <c r="E132" s="161" t="s">
        <v>2967</v>
      </c>
      <c r="F132" s="207">
        <v>180</v>
      </c>
      <c r="G132" s="222">
        <v>192</v>
      </c>
      <c r="H132" s="222">
        <v>12</v>
      </c>
      <c r="I132" s="207">
        <v>300</v>
      </c>
      <c r="J132" s="242">
        <f t="shared" si="29"/>
        <v>3600</v>
      </c>
      <c r="K132" s="153"/>
      <c r="V132" s="25">
        <f t="shared" si="30"/>
        <v>1</v>
      </c>
      <c r="W132" s="25">
        <f t="shared" si="31"/>
        <v>0</v>
      </c>
    </row>
    <row r="133" spans="1:23" x14ac:dyDescent="0.3">
      <c r="A133" s="147"/>
      <c r="B133" s="205">
        <f t="shared" si="32"/>
        <v>11</v>
      </c>
      <c r="C133" s="206">
        <v>43969</v>
      </c>
      <c r="D133" s="161" t="s">
        <v>9</v>
      </c>
      <c r="E133" s="161" t="s">
        <v>1805</v>
      </c>
      <c r="F133" s="207">
        <v>170</v>
      </c>
      <c r="G133" s="207">
        <v>188</v>
      </c>
      <c r="H133" s="161">
        <v>18</v>
      </c>
      <c r="I133" s="207">
        <v>300</v>
      </c>
      <c r="J133" s="242">
        <f t="shared" si="29"/>
        <v>5400</v>
      </c>
      <c r="K133" s="153"/>
      <c r="V133" s="25">
        <f t="shared" si="30"/>
        <v>1</v>
      </c>
      <c r="W133" s="25">
        <f t="shared" si="31"/>
        <v>0</v>
      </c>
    </row>
    <row r="134" spans="1:23" x14ac:dyDescent="0.3">
      <c r="A134" s="147"/>
      <c r="B134" s="205">
        <f t="shared" si="32"/>
        <v>12</v>
      </c>
      <c r="C134" s="206">
        <v>43970</v>
      </c>
      <c r="D134" s="161" t="s">
        <v>9</v>
      </c>
      <c r="E134" s="161" t="s">
        <v>1791</v>
      </c>
      <c r="F134" s="207">
        <v>140</v>
      </c>
      <c r="G134" s="222">
        <v>200</v>
      </c>
      <c r="H134" s="222">
        <v>60</v>
      </c>
      <c r="I134" s="207">
        <v>300</v>
      </c>
      <c r="J134" s="242">
        <f t="shared" si="29"/>
        <v>18000</v>
      </c>
      <c r="K134" s="153"/>
      <c r="V134" s="25">
        <f t="shared" si="30"/>
        <v>1</v>
      </c>
      <c r="W134" s="25">
        <f t="shared" si="31"/>
        <v>0</v>
      </c>
    </row>
    <row r="135" spans="1:23" x14ac:dyDescent="0.3">
      <c r="A135" s="147"/>
      <c r="B135" s="205">
        <f t="shared" si="32"/>
        <v>13</v>
      </c>
      <c r="C135" s="206">
        <v>43971</v>
      </c>
      <c r="D135" s="161" t="s">
        <v>9</v>
      </c>
      <c r="E135" s="161" t="s">
        <v>1791</v>
      </c>
      <c r="F135" s="207">
        <v>110</v>
      </c>
      <c r="G135" s="207">
        <v>80</v>
      </c>
      <c r="H135" s="161">
        <v>20</v>
      </c>
      <c r="I135" s="207">
        <v>300</v>
      </c>
      <c r="J135" s="242">
        <f t="shared" si="29"/>
        <v>6000</v>
      </c>
      <c r="K135" s="153"/>
      <c r="V135" s="25">
        <f t="shared" si="30"/>
        <v>1</v>
      </c>
      <c r="W135" s="25">
        <f t="shared" si="31"/>
        <v>0</v>
      </c>
    </row>
    <row r="136" spans="1:23" x14ac:dyDescent="0.3">
      <c r="A136" s="147"/>
      <c r="B136" s="205">
        <f t="shared" si="32"/>
        <v>14</v>
      </c>
      <c r="C136" s="206">
        <v>43972</v>
      </c>
      <c r="D136" s="161" t="s">
        <v>9</v>
      </c>
      <c r="E136" s="161" t="s">
        <v>2047</v>
      </c>
      <c r="F136" s="207">
        <v>75</v>
      </c>
      <c r="G136" s="207">
        <v>85</v>
      </c>
      <c r="H136" s="161">
        <v>10</v>
      </c>
      <c r="I136" s="207">
        <v>300</v>
      </c>
      <c r="J136" s="242">
        <f>I136*H136</f>
        <v>3000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2"/>
        <v>15</v>
      </c>
      <c r="C137" s="206">
        <v>43973</v>
      </c>
      <c r="D137" s="161" t="s">
        <v>9</v>
      </c>
      <c r="E137" s="161" t="s">
        <v>1791</v>
      </c>
      <c r="F137" s="207">
        <v>130</v>
      </c>
      <c r="G137" s="207">
        <v>142</v>
      </c>
      <c r="H137" s="161">
        <v>12</v>
      </c>
      <c r="I137" s="207">
        <v>300</v>
      </c>
      <c r="J137" s="242">
        <f t="shared" si="29"/>
        <v>3600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2"/>
        <v>16</v>
      </c>
      <c r="C138" s="206">
        <v>43977</v>
      </c>
      <c r="D138" s="161" t="s">
        <v>9</v>
      </c>
      <c r="E138" s="161" t="s">
        <v>2047</v>
      </c>
      <c r="F138" s="207">
        <v>120</v>
      </c>
      <c r="G138" s="207">
        <v>180</v>
      </c>
      <c r="H138" s="161">
        <v>60</v>
      </c>
      <c r="I138" s="207">
        <v>300</v>
      </c>
      <c r="J138" s="242">
        <f t="shared" si="29"/>
        <v>18000</v>
      </c>
      <c r="K138" s="153"/>
      <c r="V138" s="25">
        <f t="shared" si="30"/>
        <v>1</v>
      </c>
      <c r="W138" s="25">
        <f t="shared" si="31"/>
        <v>0</v>
      </c>
    </row>
    <row r="139" spans="1:23" x14ac:dyDescent="0.3">
      <c r="A139" s="147"/>
      <c r="B139" s="205">
        <f t="shared" si="32"/>
        <v>17</v>
      </c>
      <c r="C139" s="206">
        <v>43978</v>
      </c>
      <c r="D139" s="161" t="s">
        <v>9</v>
      </c>
      <c r="E139" s="161" t="s">
        <v>2967</v>
      </c>
      <c r="F139" s="207">
        <v>130</v>
      </c>
      <c r="G139" s="207">
        <v>100</v>
      </c>
      <c r="H139" s="161">
        <v>-30</v>
      </c>
      <c r="I139" s="207">
        <v>300</v>
      </c>
      <c r="J139" s="242">
        <f t="shared" si="29"/>
        <v>-9000</v>
      </c>
      <c r="K139" s="153"/>
      <c r="V139" s="25">
        <f t="shared" si="30"/>
        <v>0</v>
      </c>
      <c r="W139" s="25">
        <f t="shared" si="31"/>
        <v>1</v>
      </c>
    </row>
    <row r="140" spans="1:23" x14ac:dyDescent="0.3">
      <c r="A140" s="147"/>
      <c r="B140" s="205">
        <f t="shared" si="32"/>
        <v>18</v>
      </c>
      <c r="C140" s="206">
        <v>43979</v>
      </c>
      <c r="D140" s="161" t="s">
        <v>9</v>
      </c>
      <c r="E140" s="161" t="s">
        <v>2135</v>
      </c>
      <c r="F140" s="207">
        <v>110</v>
      </c>
      <c r="G140" s="207">
        <v>170</v>
      </c>
      <c r="H140" s="161">
        <v>60</v>
      </c>
      <c r="I140" s="207">
        <v>300</v>
      </c>
      <c r="J140" s="242">
        <f t="shared" si="29"/>
        <v>18000</v>
      </c>
      <c r="K140" s="153"/>
      <c r="V140" s="25">
        <f t="shared" si="30"/>
        <v>1</v>
      </c>
      <c r="W140" s="25">
        <f t="shared" si="31"/>
        <v>0</v>
      </c>
    </row>
    <row r="141" spans="1:23" x14ac:dyDescent="0.3">
      <c r="A141" s="147"/>
      <c r="B141" s="205">
        <f t="shared" si="32"/>
        <v>19</v>
      </c>
      <c r="C141" s="206">
        <v>43980</v>
      </c>
      <c r="D141" s="161" t="s">
        <v>9</v>
      </c>
      <c r="E141" s="161" t="s">
        <v>2161</v>
      </c>
      <c r="F141" s="207">
        <v>105</v>
      </c>
      <c r="G141" s="207">
        <v>117</v>
      </c>
      <c r="H141" s="161">
        <v>12</v>
      </c>
      <c r="I141" s="207">
        <v>300</v>
      </c>
      <c r="J141" s="242">
        <f t="shared" si="29"/>
        <v>3600</v>
      </c>
      <c r="K141" s="153"/>
      <c r="V141" s="25">
        <f t="shared" si="30"/>
        <v>1</v>
      </c>
      <c r="W141" s="25">
        <f t="shared" si="31"/>
        <v>0</v>
      </c>
    </row>
    <row r="142" spans="1:23" x14ac:dyDescent="0.3">
      <c r="A142" s="147"/>
      <c r="B142" s="205">
        <f t="shared" si="32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9"/>
        <v>0</v>
      </c>
      <c r="K142" s="153"/>
      <c r="V142" s="25">
        <f t="shared" si="30"/>
        <v>0</v>
      </c>
      <c r="W142" s="25">
        <f t="shared" si="31"/>
        <v>0</v>
      </c>
    </row>
    <row r="143" spans="1:23" x14ac:dyDescent="0.3">
      <c r="A143" s="147"/>
      <c r="B143" s="205">
        <f t="shared" si="32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9"/>
        <v>0</v>
      </c>
      <c r="K143" s="153"/>
      <c r="V143" s="25">
        <f t="shared" si="30"/>
        <v>0</v>
      </c>
      <c r="W143" s="25">
        <f t="shared" si="31"/>
        <v>0</v>
      </c>
    </row>
    <row r="144" spans="1:23" x14ac:dyDescent="0.3">
      <c r="A144" s="147"/>
      <c r="B144" s="205">
        <f t="shared" si="32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9"/>
        <v>0</v>
      </c>
      <c r="K144" s="153"/>
      <c r="V144" s="25">
        <f t="shared" si="30"/>
        <v>0</v>
      </c>
      <c r="W144" s="25">
        <f t="shared" si="31"/>
        <v>0</v>
      </c>
    </row>
    <row r="145" spans="1:23" ht="15" thickBot="1" x14ac:dyDescent="0.35">
      <c r="A145" s="147"/>
      <c r="B145" s="208">
        <f t="shared" si="32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9"/>
        <v>0</v>
      </c>
      <c r="K145" s="153"/>
      <c r="V145" s="25">
        <f t="shared" si="30"/>
        <v>0</v>
      </c>
      <c r="W145" s="25">
        <f t="shared" si="31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126300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2976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43955</v>
      </c>
      <c r="D154" s="185" t="s">
        <v>8</v>
      </c>
      <c r="E154" s="185" t="s">
        <v>301</v>
      </c>
      <c r="F154" s="219">
        <v>19900</v>
      </c>
      <c r="G154" s="219">
        <v>19600</v>
      </c>
      <c r="H154" s="185">
        <v>300</v>
      </c>
      <c r="I154" s="219">
        <v>40</v>
      </c>
      <c r="J154" s="246">
        <f t="shared" ref="J154:J176" si="33">I154*H154</f>
        <v>12000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43956</v>
      </c>
      <c r="D155" s="185" t="s">
        <v>8</v>
      </c>
      <c r="E155" s="185" t="s">
        <v>301</v>
      </c>
      <c r="F155" s="219">
        <v>19800</v>
      </c>
      <c r="G155" s="219">
        <v>19500</v>
      </c>
      <c r="H155" s="185">
        <v>300</v>
      </c>
      <c r="I155" s="219">
        <v>40</v>
      </c>
      <c r="J155" s="242">
        <f t="shared" si="33"/>
        <v>12000</v>
      </c>
      <c r="K155" s="153"/>
      <c r="V155" s="25">
        <f t="shared" ref="V155:V176" si="34">IF($J155&gt;0,1,0)</f>
        <v>1</v>
      </c>
      <c r="W155" s="25">
        <f t="shared" ref="W155:W176" si="35">IF($J155&lt;0,1,0)</f>
        <v>0</v>
      </c>
    </row>
    <row r="156" spans="1:23" x14ac:dyDescent="0.3">
      <c r="A156" s="147"/>
      <c r="B156" s="205">
        <f t="shared" ref="B156:B176" si="36">B155+1</f>
        <v>3</v>
      </c>
      <c r="C156" s="206">
        <v>43957</v>
      </c>
      <c r="D156" s="161" t="s">
        <v>8</v>
      </c>
      <c r="E156" s="161" t="s">
        <v>301</v>
      </c>
      <c r="F156" s="207">
        <v>19600</v>
      </c>
      <c r="G156" s="207">
        <v>19490</v>
      </c>
      <c r="H156" s="161">
        <v>110</v>
      </c>
      <c r="I156" s="207">
        <v>40</v>
      </c>
      <c r="J156" s="242">
        <f t="shared" si="33"/>
        <v>4400</v>
      </c>
      <c r="K156" s="153"/>
      <c r="V156" s="25">
        <f t="shared" si="34"/>
        <v>1</v>
      </c>
      <c r="W156" s="25">
        <f t="shared" si="35"/>
        <v>0</v>
      </c>
    </row>
    <row r="157" spans="1:23" x14ac:dyDescent="0.3">
      <c r="A157" s="147"/>
      <c r="B157" s="205">
        <f t="shared" si="36"/>
        <v>4</v>
      </c>
      <c r="C157" s="206">
        <v>43958</v>
      </c>
      <c r="D157" s="161" t="s">
        <v>8</v>
      </c>
      <c r="E157" s="161" t="s">
        <v>301</v>
      </c>
      <c r="F157" s="207">
        <v>19450</v>
      </c>
      <c r="G157" s="207">
        <v>19350</v>
      </c>
      <c r="H157" s="161">
        <v>100</v>
      </c>
      <c r="I157" s="207">
        <v>40</v>
      </c>
      <c r="J157" s="242">
        <f t="shared" si="33"/>
        <v>4000</v>
      </c>
      <c r="K157" s="153"/>
      <c r="V157" s="25">
        <f t="shared" si="34"/>
        <v>1</v>
      </c>
      <c r="W157" s="25">
        <f t="shared" si="35"/>
        <v>0</v>
      </c>
    </row>
    <row r="158" spans="1:23" x14ac:dyDescent="0.3">
      <c r="A158" s="147"/>
      <c r="B158" s="205">
        <f t="shared" si="36"/>
        <v>5</v>
      </c>
      <c r="C158" s="206">
        <v>43959</v>
      </c>
      <c r="D158" s="161" t="s">
        <v>8</v>
      </c>
      <c r="E158" s="161" t="s">
        <v>301</v>
      </c>
      <c r="F158" s="207">
        <v>19800</v>
      </c>
      <c r="G158" s="207">
        <v>19500</v>
      </c>
      <c r="H158" s="161">
        <v>300</v>
      </c>
      <c r="I158" s="207">
        <v>40</v>
      </c>
      <c r="J158" s="242">
        <f t="shared" si="33"/>
        <v>12000</v>
      </c>
      <c r="K158" s="153"/>
      <c r="V158" s="25">
        <f t="shared" si="34"/>
        <v>1</v>
      </c>
      <c r="W158" s="25">
        <f t="shared" si="35"/>
        <v>0</v>
      </c>
    </row>
    <row r="159" spans="1:23" x14ac:dyDescent="0.3">
      <c r="A159" s="147"/>
      <c r="B159" s="205">
        <f t="shared" si="36"/>
        <v>6</v>
      </c>
      <c r="C159" s="206">
        <v>43962</v>
      </c>
      <c r="D159" s="161" t="s">
        <v>8</v>
      </c>
      <c r="E159" s="161" t="s">
        <v>301</v>
      </c>
      <c r="F159" s="207">
        <v>19300</v>
      </c>
      <c r="G159" s="207">
        <v>19000</v>
      </c>
      <c r="H159" s="161">
        <v>300</v>
      </c>
      <c r="I159" s="207">
        <v>40</v>
      </c>
      <c r="J159" s="242">
        <f t="shared" si="33"/>
        <v>12000</v>
      </c>
      <c r="K159" s="153"/>
      <c r="V159" s="25">
        <f t="shared" si="34"/>
        <v>1</v>
      </c>
      <c r="W159" s="25">
        <f t="shared" si="35"/>
        <v>0</v>
      </c>
    </row>
    <row r="160" spans="1:23" x14ac:dyDescent="0.3">
      <c r="A160" s="147"/>
      <c r="B160" s="205">
        <f t="shared" si="36"/>
        <v>7</v>
      </c>
      <c r="C160" s="206">
        <v>43963</v>
      </c>
      <c r="D160" s="161" t="s">
        <v>8</v>
      </c>
      <c r="E160" s="161" t="s">
        <v>301</v>
      </c>
      <c r="F160" s="207">
        <v>18300</v>
      </c>
      <c r="G160" s="207">
        <v>18450</v>
      </c>
      <c r="H160" s="161">
        <v>-150</v>
      </c>
      <c r="I160" s="207">
        <v>40</v>
      </c>
      <c r="J160" s="242">
        <f t="shared" si="33"/>
        <v>-6000</v>
      </c>
      <c r="K160" s="153"/>
      <c r="V160" s="25">
        <f t="shared" si="34"/>
        <v>0</v>
      </c>
      <c r="W160" s="25">
        <f t="shared" si="35"/>
        <v>1</v>
      </c>
    </row>
    <row r="161" spans="1:23" x14ac:dyDescent="0.3">
      <c r="A161" s="147"/>
      <c r="B161" s="205">
        <f t="shared" si="36"/>
        <v>8</v>
      </c>
      <c r="C161" s="206">
        <v>43964</v>
      </c>
      <c r="D161" s="161" t="s">
        <v>8</v>
      </c>
      <c r="E161" s="161" t="s">
        <v>301</v>
      </c>
      <c r="F161" s="207">
        <v>19550</v>
      </c>
      <c r="G161" s="207">
        <v>19430</v>
      </c>
      <c r="H161" s="161">
        <v>120</v>
      </c>
      <c r="I161" s="207">
        <v>40</v>
      </c>
      <c r="J161" s="242">
        <f t="shared" si="33"/>
        <v>4800</v>
      </c>
      <c r="K161" s="153"/>
      <c r="V161" s="25">
        <f t="shared" si="34"/>
        <v>1</v>
      </c>
      <c r="W161" s="25">
        <f t="shared" si="35"/>
        <v>0</v>
      </c>
    </row>
    <row r="162" spans="1:23" x14ac:dyDescent="0.3">
      <c r="A162" s="147"/>
      <c r="B162" s="205">
        <f t="shared" si="36"/>
        <v>9</v>
      </c>
      <c r="C162" s="206">
        <v>43965</v>
      </c>
      <c r="D162" s="161" t="s">
        <v>9</v>
      </c>
      <c r="E162" s="161" t="s">
        <v>301</v>
      </c>
      <c r="F162" s="207">
        <v>19200</v>
      </c>
      <c r="G162" s="207">
        <v>19315</v>
      </c>
      <c r="H162" s="161">
        <v>115</v>
      </c>
      <c r="I162" s="207">
        <v>40</v>
      </c>
      <c r="J162" s="242">
        <f t="shared" si="33"/>
        <v>4600</v>
      </c>
      <c r="K162" s="153"/>
      <c r="V162" s="25">
        <f t="shared" si="34"/>
        <v>1</v>
      </c>
      <c r="W162" s="25">
        <f t="shared" si="35"/>
        <v>0</v>
      </c>
    </row>
    <row r="163" spans="1:23" x14ac:dyDescent="0.3">
      <c r="A163" s="147"/>
      <c r="B163" s="205">
        <f t="shared" si="36"/>
        <v>10</v>
      </c>
      <c r="C163" s="206">
        <v>43966</v>
      </c>
      <c r="D163" s="161" t="s">
        <v>8</v>
      </c>
      <c r="E163" s="161" t="s">
        <v>301</v>
      </c>
      <c r="F163" s="207">
        <v>18700</v>
      </c>
      <c r="G163" s="207">
        <v>18850</v>
      </c>
      <c r="H163" s="161">
        <v>-150</v>
      </c>
      <c r="I163" s="207">
        <v>40</v>
      </c>
      <c r="J163" s="242">
        <f t="shared" si="33"/>
        <v>-6000</v>
      </c>
      <c r="K163" s="153"/>
      <c r="V163" s="25">
        <f t="shared" si="34"/>
        <v>0</v>
      </c>
      <c r="W163" s="25">
        <f t="shared" si="35"/>
        <v>1</v>
      </c>
    </row>
    <row r="164" spans="1:23" x14ac:dyDescent="0.3">
      <c r="A164" s="147"/>
      <c r="B164" s="205">
        <f t="shared" si="36"/>
        <v>11</v>
      </c>
      <c r="C164" s="206">
        <v>43969</v>
      </c>
      <c r="D164" s="161" t="s">
        <v>8</v>
      </c>
      <c r="E164" s="161" t="s">
        <v>301</v>
      </c>
      <c r="F164" s="207">
        <v>17600</v>
      </c>
      <c r="G164" s="207">
        <v>17520</v>
      </c>
      <c r="H164" s="161">
        <v>80</v>
      </c>
      <c r="I164" s="207">
        <v>40</v>
      </c>
      <c r="J164" s="242">
        <f t="shared" si="33"/>
        <v>3200</v>
      </c>
      <c r="K164" s="153"/>
      <c r="V164" s="25">
        <f t="shared" si="34"/>
        <v>1</v>
      </c>
      <c r="W164" s="25">
        <f t="shared" si="35"/>
        <v>0</v>
      </c>
    </row>
    <row r="165" spans="1:23" x14ac:dyDescent="0.3">
      <c r="A165" s="147"/>
      <c r="B165" s="205">
        <f t="shared" si="36"/>
        <v>12</v>
      </c>
      <c r="C165" s="206">
        <v>43970</v>
      </c>
      <c r="D165" s="161" t="s">
        <v>9</v>
      </c>
      <c r="E165" s="161" t="s">
        <v>301</v>
      </c>
      <c r="F165" s="207">
        <v>17850</v>
      </c>
      <c r="G165" s="207">
        <v>18150</v>
      </c>
      <c r="H165" s="161">
        <v>300</v>
      </c>
      <c r="I165" s="207">
        <v>40</v>
      </c>
      <c r="J165" s="242">
        <f t="shared" si="33"/>
        <v>12000</v>
      </c>
      <c r="K165" s="153"/>
      <c r="V165" s="25">
        <f t="shared" si="34"/>
        <v>1</v>
      </c>
      <c r="W165" s="25">
        <f t="shared" si="35"/>
        <v>0</v>
      </c>
    </row>
    <row r="166" spans="1:23" x14ac:dyDescent="0.3">
      <c r="A166" s="147"/>
      <c r="B166" s="205">
        <f t="shared" si="36"/>
        <v>13</v>
      </c>
      <c r="C166" s="206">
        <v>43971</v>
      </c>
      <c r="D166" s="161" t="s">
        <v>8</v>
      </c>
      <c r="E166" s="161" t="s">
        <v>301</v>
      </c>
      <c r="F166" s="207">
        <v>17550</v>
      </c>
      <c r="G166" s="207">
        <v>17480</v>
      </c>
      <c r="H166" s="161">
        <v>70</v>
      </c>
      <c r="I166" s="207">
        <v>40</v>
      </c>
      <c r="J166" s="242">
        <f t="shared" si="33"/>
        <v>2800</v>
      </c>
      <c r="K166" s="153"/>
      <c r="V166" s="25">
        <f t="shared" si="34"/>
        <v>1</v>
      </c>
      <c r="W166" s="25">
        <f t="shared" si="35"/>
        <v>0</v>
      </c>
    </row>
    <row r="167" spans="1:23" x14ac:dyDescent="0.3">
      <c r="A167" s="147"/>
      <c r="B167" s="205">
        <f t="shared" si="36"/>
        <v>14</v>
      </c>
      <c r="C167" s="206">
        <v>43972</v>
      </c>
      <c r="D167" s="161" t="s">
        <v>8</v>
      </c>
      <c r="E167" s="161" t="s">
        <v>301</v>
      </c>
      <c r="F167" s="207">
        <v>18050</v>
      </c>
      <c r="G167" s="207">
        <v>17750</v>
      </c>
      <c r="H167" s="161">
        <v>300</v>
      </c>
      <c r="I167" s="207">
        <v>40</v>
      </c>
      <c r="J167" s="242">
        <f t="shared" si="33"/>
        <v>12000</v>
      </c>
      <c r="K167" s="153"/>
      <c r="V167" s="25">
        <f t="shared" si="34"/>
        <v>1</v>
      </c>
      <c r="W167" s="25">
        <f t="shared" si="35"/>
        <v>0</v>
      </c>
    </row>
    <row r="168" spans="1:23" x14ac:dyDescent="0.3">
      <c r="A168" s="147"/>
      <c r="B168" s="205">
        <f t="shared" si="36"/>
        <v>15</v>
      </c>
      <c r="C168" s="206">
        <v>43973</v>
      </c>
      <c r="D168" s="161" t="s">
        <v>8</v>
      </c>
      <c r="E168" s="161" t="s">
        <v>301</v>
      </c>
      <c r="F168" s="207">
        <v>17100</v>
      </c>
      <c r="G168" s="207">
        <v>17040</v>
      </c>
      <c r="H168" s="161">
        <v>60</v>
      </c>
      <c r="I168" s="207">
        <v>40</v>
      </c>
      <c r="J168" s="242">
        <f t="shared" si="33"/>
        <v>2400</v>
      </c>
      <c r="K168" s="153"/>
      <c r="V168" s="25">
        <f t="shared" si="34"/>
        <v>1</v>
      </c>
      <c r="W168" s="25">
        <f t="shared" si="35"/>
        <v>0</v>
      </c>
    </row>
    <row r="169" spans="1:23" x14ac:dyDescent="0.3">
      <c r="A169" s="147"/>
      <c r="B169" s="205">
        <f t="shared" si="36"/>
        <v>16</v>
      </c>
      <c r="C169" s="206">
        <v>43977</v>
      </c>
      <c r="D169" s="161" t="s">
        <v>8</v>
      </c>
      <c r="E169" s="161" t="s">
        <v>301</v>
      </c>
      <c r="F169" s="207">
        <v>17500</v>
      </c>
      <c r="G169" s="207">
        <v>17430</v>
      </c>
      <c r="H169" s="161">
        <v>80</v>
      </c>
      <c r="I169" s="207">
        <v>40</v>
      </c>
      <c r="J169" s="242">
        <f t="shared" si="33"/>
        <v>3200</v>
      </c>
      <c r="K169" s="153"/>
      <c r="V169" s="25">
        <f t="shared" si="34"/>
        <v>1</v>
      </c>
      <c r="W169" s="25">
        <f t="shared" si="35"/>
        <v>0</v>
      </c>
    </row>
    <row r="170" spans="1:23" x14ac:dyDescent="0.3">
      <c r="A170" s="147"/>
      <c r="B170" s="205">
        <f t="shared" si="36"/>
        <v>17</v>
      </c>
      <c r="C170" s="206">
        <v>43978</v>
      </c>
      <c r="D170" s="161" t="s">
        <v>8</v>
      </c>
      <c r="E170" s="161" t="s">
        <v>301</v>
      </c>
      <c r="F170" s="207">
        <v>17800</v>
      </c>
      <c r="G170" s="207">
        <v>17950</v>
      </c>
      <c r="H170" s="161">
        <v>-150</v>
      </c>
      <c r="I170" s="207">
        <v>40</v>
      </c>
      <c r="J170" s="242">
        <f t="shared" si="33"/>
        <v>-6000</v>
      </c>
      <c r="K170" s="153"/>
      <c r="V170" s="25">
        <f t="shared" si="34"/>
        <v>0</v>
      </c>
      <c r="W170" s="25">
        <f t="shared" si="35"/>
        <v>1</v>
      </c>
    </row>
    <row r="171" spans="1:23" x14ac:dyDescent="0.3">
      <c r="A171" s="147"/>
      <c r="B171" s="205">
        <f t="shared" si="36"/>
        <v>18</v>
      </c>
      <c r="C171" s="206">
        <v>43979</v>
      </c>
      <c r="D171" s="161" t="s">
        <v>9</v>
      </c>
      <c r="E171" s="161" t="s">
        <v>301</v>
      </c>
      <c r="F171" s="207">
        <v>19150</v>
      </c>
      <c r="G171" s="207">
        <v>19400</v>
      </c>
      <c r="H171" s="161">
        <v>250</v>
      </c>
      <c r="I171" s="207">
        <v>40</v>
      </c>
      <c r="J171" s="242">
        <f t="shared" si="33"/>
        <v>10000</v>
      </c>
      <c r="K171" s="153"/>
      <c r="V171" s="25">
        <f t="shared" si="34"/>
        <v>1</v>
      </c>
      <c r="W171" s="25">
        <f t="shared" si="35"/>
        <v>0</v>
      </c>
    </row>
    <row r="172" spans="1:23" x14ac:dyDescent="0.3">
      <c r="A172" s="147"/>
      <c r="B172" s="205">
        <f t="shared" si="36"/>
        <v>19</v>
      </c>
      <c r="C172" s="206">
        <v>43980</v>
      </c>
      <c r="D172" s="161" t="s">
        <v>9</v>
      </c>
      <c r="E172" s="161" t="s">
        <v>301</v>
      </c>
      <c r="F172" s="207">
        <v>18700</v>
      </c>
      <c r="G172" s="207">
        <v>18850</v>
      </c>
      <c r="H172" s="161">
        <v>-150</v>
      </c>
      <c r="I172" s="207">
        <v>40</v>
      </c>
      <c r="J172" s="242">
        <f t="shared" si="33"/>
        <v>-6000</v>
      </c>
      <c r="K172" s="153"/>
      <c r="V172" s="25">
        <f t="shared" si="34"/>
        <v>0</v>
      </c>
      <c r="W172" s="25">
        <f t="shared" si="35"/>
        <v>1</v>
      </c>
    </row>
    <row r="173" spans="1:23" x14ac:dyDescent="0.3">
      <c r="A173" s="147"/>
      <c r="B173" s="205">
        <f t="shared" si="36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33"/>
        <v>0</v>
      </c>
      <c r="K173" s="153"/>
      <c r="V173" s="25">
        <f t="shared" si="34"/>
        <v>0</v>
      </c>
      <c r="W173" s="25">
        <f t="shared" si="35"/>
        <v>0</v>
      </c>
    </row>
    <row r="174" spans="1:23" x14ac:dyDescent="0.3">
      <c r="A174" s="147"/>
      <c r="B174" s="205">
        <f t="shared" si="36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33"/>
        <v>0</v>
      </c>
      <c r="K174" s="153"/>
      <c r="V174" s="25">
        <f t="shared" si="34"/>
        <v>0</v>
      </c>
      <c r="W174" s="25">
        <f t="shared" si="35"/>
        <v>0</v>
      </c>
    </row>
    <row r="175" spans="1:23" x14ac:dyDescent="0.3">
      <c r="A175" s="147"/>
      <c r="B175" s="205">
        <f t="shared" si="36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33"/>
        <v>0</v>
      </c>
      <c r="K175" s="153"/>
      <c r="V175" s="25">
        <f t="shared" si="34"/>
        <v>0</v>
      </c>
      <c r="W175" s="25">
        <f t="shared" si="35"/>
        <v>0</v>
      </c>
    </row>
    <row r="176" spans="1:23" ht="15" thickBot="1" x14ac:dyDescent="0.35">
      <c r="A176" s="147"/>
      <c r="B176" s="208">
        <f t="shared" si="36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3"/>
        <v>0</v>
      </c>
      <c r="K176" s="153"/>
      <c r="V176" s="25">
        <f t="shared" si="34"/>
        <v>0</v>
      </c>
      <c r="W176" s="25">
        <f t="shared" si="35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87400</v>
      </c>
      <c r="K177" s="153"/>
      <c r="V177" s="25">
        <f>SUM(V154:V176)</f>
        <v>15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2976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43955</v>
      </c>
      <c r="D185" s="185" t="s">
        <v>9</v>
      </c>
      <c r="E185" s="185" t="s">
        <v>1799</v>
      </c>
      <c r="F185" s="219">
        <v>600</v>
      </c>
      <c r="G185" s="219">
        <v>800</v>
      </c>
      <c r="H185" s="185">
        <v>200</v>
      </c>
      <c r="I185" s="219">
        <v>80</v>
      </c>
      <c r="J185" s="246">
        <f t="shared" ref="J185:J207" si="37">I185*H185</f>
        <v>16000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43956</v>
      </c>
      <c r="D186" s="185" t="s">
        <v>9</v>
      </c>
      <c r="E186" s="185" t="s">
        <v>1816</v>
      </c>
      <c r="F186" s="219">
        <v>500</v>
      </c>
      <c r="G186" s="219">
        <v>610</v>
      </c>
      <c r="H186" s="185">
        <v>110</v>
      </c>
      <c r="I186" s="219">
        <v>80</v>
      </c>
      <c r="J186" s="242">
        <f t="shared" si="37"/>
        <v>8800</v>
      </c>
      <c r="K186" s="153"/>
      <c r="V186" s="25">
        <f t="shared" ref="V186:V207" si="38">IF($J186&gt;0,1,0)</f>
        <v>1</v>
      </c>
      <c r="W186" s="25">
        <f t="shared" ref="W186:W207" si="39">IF($J186&lt;0,1,0)</f>
        <v>0</v>
      </c>
    </row>
    <row r="187" spans="1:23" x14ac:dyDescent="0.3">
      <c r="A187" s="147"/>
      <c r="B187" s="205">
        <f t="shared" ref="B187:B207" si="40">B186+1</f>
        <v>3</v>
      </c>
      <c r="C187" s="206">
        <v>43957</v>
      </c>
      <c r="D187" s="161" t="s">
        <v>9</v>
      </c>
      <c r="E187" s="161" t="s">
        <v>1765</v>
      </c>
      <c r="F187" s="207">
        <v>350</v>
      </c>
      <c r="G187" s="207">
        <v>420</v>
      </c>
      <c r="H187" s="161">
        <v>70</v>
      </c>
      <c r="I187" s="207">
        <v>80</v>
      </c>
      <c r="J187" s="242">
        <f t="shared" si="37"/>
        <v>5600</v>
      </c>
      <c r="K187" s="153"/>
      <c r="V187" s="25">
        <f t="shared" si="38"/>
        <v>1</v>
      </c>
      <c r="W187" s="25">
        <f t="shared" si="39"/>
        <v>0</v>
      </c>
    </row>
    <row r="188" spans="1:23" x14ac:dyDescent="0.3">
      <c r="A188" s="147"/>
      <c r="B188" s="205">
        <f t="shared" si="40"/>
        <v>4</v>
      </c>
      <c r="C188" s="206">
        <v>43958</v>
      </c>
      <c r="D188" s="161" t="s">
        <v>9</v>
      </c>
      <c r="E188" s="161" t="s">
        <v>1764</v>
      </c>
      <c r="F188" s="207">
        <v>150</v>
      </c>
      <c r="G188" s="207">
        <v>220</v>
      </c>
      <c r="H188" s="161">
        <v>70</v>
      </c>
      <c r="I188" s="207">
        <v>80</v>
      </c>
      <c r="J188" s="242">
        <f t="shared" si="37"/>
        <v>5600</v>
      </c>
      <c r="K188" s="153"/>
      <c r="V188" s="25">
        <f t="shared" si="38"/>
        <v>1</v>
      </c>
      <c r="W188" s="25">
        <f t="shared" si="39"/>
        <v>0</v>
      </c>
    </row>
    <row r="189" spans="1:23" x14ac:dyDescent="0.3">
      <c r="A189" s="147"/>
      <c r="B189" s="205">
        <f t="shared" si="40"/>
        <v>5</v>
      </c>
      <c r="C189" s="206">
        <v>43959</v>
      </c>
      <c r="D189" s="161" t="s">
        <v>9</v>
      </c>
      <c r="E189" s="161" t="s">
        <v>1817</v>
      </c>
      <c r="F189" s="207">
        <v>470</v>
      </c>
      <c r="G189" s="207">
        <v>670</v>
      </c>
      <c r="H189" s="161">
        <v>200</v>
      </c>
      <c r="I189" s="207">
        <v>80</v>
      </c>
      <c r="J189" s="242">
        <f t="shared" si="37"/>
        <v>16000</v>
      </c>
      <c r="K189" s="153"/>
      <c r="O189" s="25" t="s">
        <v>2008</v>
      </c>
      <c r="V189" s="25">
        <f t="shared" si="38"/>
        <v>1</v>
      </c>
      <c r="W189" s="25">
        <f t="shared" si="39"/>
        <v>0</v>
      </c>
    </row>
    <row r="190" spans="1:23" x14ac:dyDescent="0.3">
      <c r="A190" s="147"/>
      <c r="B190" s="205">
        <f t="shared" si="40"/>
        <v>6</v>
      </c>
      <c r="C190" s="206">
        <v>43962</v>
      </c>
      <c r="D190" s="161" t="s">
        <v>9</v>
      </c>
      <c r="E190" s="161" t="s">
        <v>1769</v>
      </c>
      <c r="F190" s="207">
        <v>420</v>
      </c>
      <c r="G190" s="207">
        <v>555</v>
      </c>
      <c r="H190" s="161">
        <v>135</v>
      </c>
      <c r="I190" s="207">
        <v>80</v>
      </c>
      <c r="J190" s="242">
        <f t="shared" si="37"/>
        <v>10800</v>
      </c>
      <c r="K190" s="153"/>
      <c r="V190" s="25">
        <f t="shared" si="38"/>
        <v>1</v>
      </c>
      <c r="W190" s="25">
        <f t="shared" si="39"/>
        <v>0</v>
      </c>
    </row>
    <row r="191" spans="1:23" x14ac:dyDescent="0.3">
      <c r="A191" s="147"/>
      <c r="B191" s="205">
        <f t="shared" si="40"/>
        <v>7</v>
      </c>
      <c r="C191" s="206">
        <v>43963</v>
      </c>
      <c r="D191" s="161" t="s">
        <v>9</v>
      </c>
      <c r="E191" s="161" t="s">
        <v>1888</v>
      </c>
      <c r="F191" s="207">
        <v>340</v>
      </c>
      <c r="G191" s="207">
        <v>390</v>
      </c>
      <c r="H191" s="161">
        <v>50</v>
      </c>
      <c r="I191" s="207">
        <v>80</v>
      </c>
      <c r="J191" s="242">
        <f t="shared" si="37"/>
        <v>4000</v>
      </c>
      <c r="K191" s="153"/>
      <c r="V191" s="25">
        <f t="shared" si="38"/>
        <v>1</v>
      </c>
      <c r="W191" s="25">
        <f t="shared" si="39"/>
        <v>0</v>
      </c>
    </row>
    <row r="192" spans="1:23" x14ac:dyDescent="0.3">
      <c r="A192" s="147"/>
      <c r="B192" s="205">
        <f t="shared" si="40"/>
        <v>8</v>
      </c>
      <c r="C192" s="206">
        <v>43964</v>
      </c>
      <c r="D192" s="161" t="s">
        <v>9</v>
      </c>
      <c r="E192" s="161" t="s">
        <v>1764</v>
      </c>
      <c r="F192" s="207">
        <v>330</v>
      </c>
      <c r="G192" s="207">
        <v>365</v>
      </c>
      <c r="H192" s="161">
        <v>35</v>
      </c>
      <c r="I192" s="207">
        <v>80</v>
      </c>
      <c r="J192" s="242">
        <f t="shared" si="37"/>
        <v>2800</v>
      </c>
      <c r="K192" s="153"/>
      <c r="V192" s="25">
        <f t="shared" si="38"/>
        <v>1</v>
      </c>
      <c r="W192" s="25">
        <f t="shared" si="39"/>
        <v>0</v>
      </c>
    </row>
    <row r="193" spans="1:23" x14ac:dyDescent="0.3">
      <c r="A193" s="147"/>
      <c r="B193" s="205">
        <f t="shared" si="40"/>
        <v>9</v>
      </c>
      <c r="C193" s="206">
        <v>43965</v>
      </c>
      <c r="D193" s="161" t="s">
        <v>9</v>
      </c>
      <c r="E193" s="161" t="s">
        <v>1769</v>
      </c>
      <c r="F193" s="207">
        <v>140</v>
      </c>
      <c r="G193" s="207">
        <v>165</v>
      </c>
      <c r="H193" s="161">
        <v>25</v>
      </c>
      <c r="I193" s="207">
        <v>80</v>
      </c>
      <c r="J193" s="242">
        <f t="shared" si="37"/>
        <v>2000</v>
      </c>
      <c r="K193" s="153"/>
      <c r="V193" s="25">
        <f t="shared" si="38"/>
        <v>1</v>
      </c>
      <c r="W193" s="25">
        <f t="shared" si="39"/>
        <v>0</v>
      </c>
    </row>
    <row r="194" spans="1:23" x14ac:dyDescent="0.3">
      <c r="A194" s="147"/>
      <c r="B194" s="205">
        <f t="shared" si="40"/>
        <v>10</v>
      </c>
      <c r="C194" s="206">
        <v>43966</v>
      </c>
      <c r="D194" s="161" t="s">
        <v>9</v>
      </c>
      <c r="E194" s="161" t="s">
        <v>2985</v>
      </c>
      <c r="F194" s="207">
        <v>520</v>
      </c>
      <c r="G194" s="207">
        <v>420</v>
      </c>
      <c r="H194" s="161">
        <v>-100</v>
      </c>
      <c r="I194" s="207">
        <v>80</v>
      </c>
      <c r="J194" s="242">
        <f t="shared" si="37"/>
        <v>-8000</v>
      </c>
      <c r="K194" s="153"/>
      <c r="V194" s="25">
        <f t="shared" si="38"/>
        <v>0</v>
      </c>
      <c r="W194" s="25">
        <f t="shared" si="39"/>
        <v>1</v>
      </c>
    </row>
    <row r="195" spans="1:23" x14ac:dyDescent="0.3">
      <c r="A195" s="147"/>
      <c r="B195" s="205">
        <f t="shared" si="40"/>
        <v>11</v>
      </c>
      <c r="C195" s="206">
        <v>43969</v>
      </c>
      <c r="D195" s="161" t="s">
        <v>9</v>
      </c>
      <c r="E195" s="161" t="s">
        <v>1540</v>
      </c>
      <c r="F195" s="207">
        <v>470</v>
      </c>
      <c r="G195" s="207">
        <v>520</v>
      </c>
      <c r="H195" s="161">
        <v>50</v>
      </c>
      <c r="I195" s="207">
        <v>80</v>
      </c>
      <c r="J195" s="242">
        <f t="shared" si="37"/>
        <v>4000</v>
      </c>
      <c r="K195" s="153"/>
      <c r="V195" s="25">
        <f t="shared" si="38"/>
        <v>1</v>
      </c>
      <c r="W195" s="25">
        <f t="shared" si="39"/>
        <v>0</v>
      </c>
    </row>
    <row r="196" spans="1:23" x14ac:dyDescent="0.3">
      <c r="A196" s="147"/>
      <c r="B196" s="205">
        <f t="shared" si="40"/>
        <v>12</v>
      </c>
      <c r="C196" s="206">
        <v>43970</v>
      </c>
      <c r="D196" s="161" t="s">
        <v>9</v>
      </c>
      <c r="E196" s="161" t="s">
        <v>1541</v>
      </c>
      <c r="F196" s="207">
        <v>440</v>
      </c>
      <c r="G196" s="207">
        <v>575</v>
      </c>
      <c r="H196" s="161">
        <v>135</v>
      </c>
      <c r="I196" s="207">
        <v>80</v>
      </c>
      <c r="J196" s="242">
        <f t="shared" si="37"/>
        <v>10800</v>
      </c>
      <c r="K196" s="153"/>
      <c r="V196" s="25">
        <f t="shared" si="38"/>
        <v>1</v>
      </c>
      <c r="W196" s="25">
        <f t="shared" si="39"/>
        <v>0</v>
      </c>
    </row>
    <row r="197" spans="1:23" x14ac:dyDescent="0.3">
      <c r="A197" s="147"/>
      <c r="B197" s="205">
        <f t="shared" si="40"/>
        <v>13</v>
      </c>
      <c r="C197" s="206">
        <v>43971</v>
      </c>
      <c r="D197" s="161" t="s">
        <v>9</v>
      </c>
      <c r="E197" s="161" t="s">
        <v>1539</v>
      </c>
      <c r="F197" s="207">
        <v>260</v>
      </c>
      <c r="G197" s="207">
        <v>190</v>
      </c>
      <c r="H197" s="161">
        <v>-70</v>
      </c>
      <c r="I197" s="207">
        <v>80</v>
      </c>
      <c r="J197" s="242">
        <f t="shared" si="37"/>
        <v>-5600</v>
      </c>
      <c r="K197" s="153"/>
      <c r="V197" s="25">
        <f t="shared" si="38"/>
        <v>0</v>
      </c>
      <c r="W197" s="25">
        <f t="shared" si="39"/>
        <v>1</v>
      </c>
    </row>
    <row r="198" spans="1:23" x14ac:dyDescent="0.3">
      <c r="A198" s="147"/>
      <c r="B198" s="205">
        <f t="shared" si="40"/>
        <v>14</v>
      </c>
      <c r="C198" s="206">
        <v>43972</v>
      </c>
      <c r="D198" s="161" t="s">
        <v>9</v>
      </c>
      <c r="E198" s="161" t="s">
        <v>1918</v>
      </c>
      <c r="F198" s="207">
        <v>80</v>
      </c>
      <c r="G198" s="207">
        <v>200</v>
      </c>
      <c r="H198" s="161">
        <v>120</v>
      </c>
      <c r="I198" s="207">
        <v>80</v>
      </c>
      <c r="J198" s="242">
        <f t="shared" si="37"/>
        <v>9600</v>
      </c>
      <c r="K198" s="153"/>
      <c r="V198" s="25">
        <f t="shared" si="38"/>
        <v>1</v>
      </c>
      <c r="W198" s="25">
        <f t="shared" si="39"/>
        <v>0</v>
      </c>
    </row>
    <row r="199" spans="1:23" x14ac:dyDescent="0.3">
      <c r="A199" s="147"/>
      <c r="B199" s="205">
        <f t="shared" si="40"/>
        <v>15</v>
      </c>
      <c r="C199" s="206">
        <v>43973</v>
      </c>
      <c r="D199" s="161" t="s">
        <v>9</v>
      </c>
      <c r="E199" s="161" t="s">
        <v>2989</v>
      </c>
      <c r="F199" s="207">
        <v>400</v>
      </c>
      <c r="G199" s="207">
        <v>500</v>
      </c>
      <c r="H199" s="161">
        <v>100</v>
      </c>
      <c r="I199" s="207">
        <v>80</v>
      </c>
      <c r="J199" s="242">
        <f t="shared" si="37"/>
        <v>8000</v>
      </c>
      <c r="K199" s="153"/>
      <c r="V199" s="25">
        <f t="shared" si="38"/>
        <v>1</v>
      </c>
      <c r="W199" s="25">
        <f t="shared" si="39"/>
        <v>0</v>
      </c>
    </row>
    <row r="200" spans="1:23" x14ac:dyDescent="0.3">
      <c r="A200" s="147"/>
      <c r="B200" s="205">
        <f t="shared" si="40"/>
        <v>16</v>
      </c>
      <c r="C200" s="206">
        <v>43977</v>
      </c>
      <c r="D200" s="161" t="s">
        <v>9</v>
      </c>
      <c r="E200" s="161" t="s">
        <v>1539</v>
      </c>
      <c r="F200" s="207">
        <v>280</v>
      </c>
      <c r="G200" s="207">
        <v>400</v>
      </c>
      <c r="H200" s="161">
        <v>120</v>
      </c>
      <c r="I200" s="207">
        <v>80</v>
      </c>
      <c r="J200" s="242">
        <f t="shared" si="37"/>
        <v>9600</v>
      </c>
      <c r="K200" s="153"/>
      <c r="V200" s="25">
        <f t="shared" si="38"/>
        <v>1</v>
      </c>
      <c r="W200" s="25">
        <f t="shared" si="39"/>
        <v>0</v>
      </c>
    </row>
    <row r="201" spans="1:23" x14ac:dyDescent="0.3">
      <c r="A201" s="147"/>
      <c r="B201" s="205">
        <f t="shared" si="40"/>
        <v>17</v>
      </c>
      <c r="C201" s="206">
        <v>43978</v>
      </c>
      <c r="D201" s="161" t="s">
        <v>9</v>
      </c>
      <c r="E201" s="161" t="s">
        <v>1604</v>
      </c>
      <c r="F201" s="207">
        <v>200</v>
      </c>
      <c r="G201" s="207">
        <v>120</v>
      </c>
      <c r="H201" s="161">
        <v>-80</v>
      </c>
      <c r="I201" s="207">
        <v>80</v>
      </c>
      <c r="J201" s="242">
        <f t="shared" si="37"/>
        <v>-6400</v>
      </c>
      <c r="K201" s="153"/>
      <c r="V201" s="25">
        <f t="shared" si="38"/>
        <v>0</v>
      </c>
      <c r="W201" s="25">
        <f t="shared" si="39"/>
        <v>1</v>
      </c>
    </row>
    <row r="202" spans="1:23" x14ac:dyDescent="0.3">
      <c r="A202" s="147"/>
      <c r="B202" s="205">
        <f t="shared" si="40"/>
        <v>18</v>
      </c>
      <c r="C202" s="206">
        <v>43979</v>
      </c>
      <c r="D202" s="161" t="s">
        <v>9</v>
      </c>
      <c r="E202" s="161" t="s">
        <v>1691</v>
      </c>
      <c r="F202" s="207">
        <v>180</v>
      </c>
      <c r="G202" s="207">
        <v>340</v>
      </c>
      <c r="H202" s="161">
        <v>160</v>
      </c>
      <c r="I202" s="207">
        <v>80</v>
      </c>
      <c r="J202" s="242">
        <f t="shared" si="37"/>
        <v>12800</v>
      </c>
      <c r="K202" s="153"/>
      <c r="V202" s="25">
        <f t="shared" si="38"/>
        <v>1</v>
      </c>
      <c r="W202" s="25">
        <f t="shared" si="39"/>
        <v>0</v>
      </c>
    </row>
    <row r="203" spans="1:23" x14ac:dyDescent="0.3">
      <c r="A203" s="147"/>
      <c r="B203" s="205">
        <f t="shared" si="40"/>
        <v>19</v>
      </c>
      <c r="C203" s="206">
        <v>43980</v>
      </c>
      <c r="D203" s="161" t="s">
        <v>9</v>
      </c>
      <c r="E203" s="161" t="s">
        <v>2985</v>
      </c>
      <c r="F203" s="207">
        <v>430</v>
      </c>
      <c r="G203" s="207">
        <v>330</v>
      </c>
      <c r="H203" s="161">
        <v>-100</v>
      </c>
      <c r="I203" s="207">
        <v>80</v>
      </c>
      <c r="J203" s="242">
        <f t="shared" si="37"/>
        <v>-8000</v>
      </c>
      <c r="K203" s="153"/>
      <c r="V203" s="25">
        <f t="shared" si="38"/>
        <v>0</v>
      </c>
      <c r="W203" s="25">
        <f t="shared" si="39"/>
        <v>1</v>
      </c>
    </row>
    <row r="204" spans="1:23" x14ac:dyDescent="0.3">
      <c r="A204" s="147"/>
      <c r="B204" s="205">
        <f t="shared" si="40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7"/>
        <v>0</v>
      </c>
      <c r="K204" s="153"/>
      <c r="V204" s="25">
        <f t="shared" si="38"/>
        <v>0</v>
      </c>
      <c r="W204" s="25">
        <f t="shared" si="39"/>
        <v>0</v>
      </c>
    </row>
    <row r="205" spans="1:23" x14ac:dyDescent="0.3">
      <c r="A205" s="147"/>
      <c r="B205" s="205">
        <f t="shared" si="40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7"/>
        <v>0</v>
      </c>
      <c r="K205" s="153"/>
      <c r="V205" s="25">
        <f t="shared" si="38"/>
        <v>0</v>
      </c>
      <c r="W205" s="25">
        <f t="shared" si="39"/>
        <v>0</v>
      </c>
    </row>
    <row r="206" spans="1:23" x14ac:dyDescent="0.3">
      <c r="A206" s="147"/>
      <c r="B206" s="205">
        <f t="shared" si="40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7"/>
        <v>0</v>
      </c>
      <c r="K206" s="153"/>
      <c r="V206" s="25">
        <f t="shared" si="38"/>
        <v>0</v>
      </c>
      <c r="W206" s="25">
        <f t="shared" si="39"/>
        <v>0</v>
      </c>
    </row>
    <row r="207" spans="1:23" ht="15" thickBot="1" x14ac:dyDescent="0.35">
      <c r="A207" s="147"/>
      <c r="B207" s="208">
        <f t="shared" si="40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7"/>
        <v>0</v>
      </c>
      <c r="K207" s="153"/>
      <c r="V207" s="25">
        <f t="shared" si="38"/>
        <v>0</v>
      </c>
      <c r="W207" s="25">
        <f t="shared" si="39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98400</v>
      </c>
      <c r="K208" s="153"/>
      <c r="V208" s="25">
        <f>SUM(V185:V207)</f>
        <v>15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2976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43955</v>
      </c>
      <c r="D216" s="185" t="s">
        <v>9</v>
      </c>
      <c r="E216" s="185" t="s">
        <v>2970</v>
      </c>
      <c r="F216" s="231">
        <v>40</v>
      </c>
      <c r="G216" s="231">
        <v>47.2</v>
      </c>
      <c r="H216" s="231">
        <v>7</v>
      </c>
      <c r="I216" s="219">
        <v>1200</v>
      </c>
      <c r="J216" s="246">
        <f t="shared" ref="J216:J239" si="41">I216*H216</f>
        <v>8400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43956</v>
      </c>
      <c r="D217" s="185" t="s">
        <v>9</v>
      </c>
      <c r="E217" s="185" t="s">
        <v>2970</v>
      </c>
      <c r="F217" s="231">
        <v>39</v>
      </c>
      <c r="G217" s="231">
        <v>49</v>
      </c>
      <c r="H217" s="231">
        <v>10</v>
      </c>
      <c r="I217" s="219">
        <v>1200</v>
      </c>
      <c r="J217" s="242">
        <f>I217*H217</f>
        <v>12000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2">B217+1</f>
        <v>3</v>
      </c>
      <c r="C218" s="206">
        <v>43957</v>
      </c>
      <c r="D218" s="161" t="s">
        <v>9</v>
      </c>
      <c r="E218" s="161" t="s">
        <v>2980</v>
      </c>
      <c r="F218" s="222">
        <v>38</v>
      </c>
      <c r="G218" s="222">
        <v>40.700000000000003</v>
      </c>
      <c r="H218" s="222">
        <v>2.7</v>
      </c>
      <c r="I218" s="207">
        <v>1200</v>
      </c>
      <c r="J218" s="242">
        <f t="shared" si="41"/>
        <v>3240</v>
      </c>
      <c r="K218" s="153"/>
      <c r="V218" s="25">
        <f t="shared" ref="V218:V239" si="43">IF($J218&gt;0,1,0)</f>
        <v>1</v>
      </c>
      <c r="W218" s="25">
        <f t="shared" ref="W218:W239" si="44">IF($J218&lt;0,1,0)</f>
        <v>0</v>
      </c>
    </row>
    <row r="219" spans="1:23" x14ac:dyDescent="0.3">
      <c r="A219" s="147"/>
      <c r="B219" s="205">
        <f t="shared" si="42"/>
        <v>4</v>
      </c>
      <c r="C219" s="206">
        <v>43958</v>
      </c>
      <c r="D219" s="161" t="s">
        <v>9</v>
      </c>
      <c r="E219" s="161" t="s">
        <v>2981</v>
      </c>
      <c r="F219" s="222">
        <v>86</v>
      </c>
      <c r="G219" s="222">
        <v>76</v>
      </c>
      <c r="H219" s="222">
        <v>-10</v>
      </c>
      <c r="I219" s="207">
        <v>300</v>
      </c>
      <c r="J219" s="242">
        <f t="shared" si="41"/>
        <v>-3000</v>
      </c>
      <c r="K219" s="153"/>
      <c r="V219" s="25">
        <f t="shared" si="43"/>
        <v>0</v>
      </c>
      <c r="W219" s="25">
        <f t="shared" si="44"/>
        <v>1</v>
      </c>
    </row>
    <row r="220" spans="1:23" x14ac:dyDescent="0.3">
      <c r="A220" s="147"/>
      <c r="B220" s="205">
        <f t="shared" si="42"/>
        <v>5</v>
      </c>
      <c r="C220" s="206">
        <v>43959</v>
      </c>
      <c r="D220" s="161" t="s">
        <v>9</v>
      </c>
      <c r="E220" s="161" t="s">
        <v>2868</v>
      </c>
      <c r="F220" s="222">
        <v>65</v>
      </c>
      <c r="G220" s="222">
        <v>75</v>
      </c>
      <c r="H220" s="222">
        <v>10</v>
      </c>
      <c r="I220" s="207">
        <v>300</v>
      </c>
      <c r="J220" s="242">
        <f t="shared" si="41"/>
        <v>3000</v>
      </c>
      <c r="K220" s="153"/>
      <c r="V220" s="25">
        <f t="shared" si="43"/>
        <v>1</v>
      </c>
      <c r="W220" s="25">
        <f t="shared" si="44"/>
        <v>0</v>
      </c>
    </row>
    <row r="221" spans="1:23" x14ac:dyDescent="0.3">
      <c r="A221" s="147"/>
      <c r="B221" s="205">
        <f t="shared" si="42"/>
        <v>6</v>
      </c>
      <c r="C221" s="206">
        <v>43962</v>
      </c>
      <c r="D221" s="161" t="s">
        <v>9</v>
      </c>
      <c r="E221" s="161" t="s">
        <v>2878</v>
      </c>
      <c r="F221" s="222">
        <v>60</v>
      </c>
      <c r="G221" s="222">
        <v>50</v>
      </c>
      <c r="H221" s="222">
        <v>-10</v>
      </c>
      <c r="I221" s="207">
        <v>300</v>
      </c>
      <c r="J221" s="242">
        <f t="shared" si="41"/>
        <v>-3000</v>
      </c>
      <c r="K221" s="153"/>
      <c r="V221" s="25">
        <f t="shared" si="43"/>
        <v>0</v>
      </c>
      <c r="W221" s="25">
        <f t="shared" si="44"/>
        <v>1</v>
      </c>
    </row>
    <row r="222" spans="1:23" x14ac:dyDescent="0.3">
      <c r="A222" s="147"/>
      <c r="B222" s="205">
        <f t="shared" si="42"/>
        <v>7</v>
      </c>
      <c r="C222" s="206">
        <v>43963</v>
      </c>
      <c r="D222" s="161" t="s">
        <v>9</v>
      </c>
      <c r="E222" s="161" t="s">
        <v>2982</v>
      </c>
      <c r="F222" s="222">
        <v>180</v>
      </c>
      <c r="G222" s="222">
        <v>210</v>
      </c>
      <c r="H222" s="222">
        <v>30</v>
      </c>
      <c r="I222" s="207">
        <v>250</v>
      </c>
      <c r="J222" s="242">
        <f t="shared" si="41"/>
        <v>7500</v>
      </c>
      <c r="K222" s="153"/>
      <c r="V222" s="25">
        <f t="shared" si="43"/>
        <v>1</v>
      </c>
      <c r="W222" s="25">
        <f t="shared" si="44"/>
        <v>0</v>
      </c>
    </row>
    <row r="223" spans="1:23" x14ac:dyDescent="0.3">
      <c r="A223" s="147"/>
      <c r="B223" s="205">
        <f t="shared" si="42"/>
        <v>8</v>
      </c>
      <c r="C223" s="206">
        <v>43964</v>
      </c>
      <c r="D223" s="161" t="s">
        <v>9</v>
      </c>
      <c r="E223" s="161" t="s">
        <v>2983</v>
      </c>
      <c r="F223" s="222">
        <v>165</v>
      </c>
      <c r="G223" s="222">
        <v>155</v>
      </c>
      <c r="H223" s="222">
        <v>10</v>
      </c>
      <c r="I223" s="207">
        <v>250</v>
      </c>
      <c r="J223" s="242">
        <f t="shared" si="41"/>
        <v>2500</v>
      </c>
      <c r="K223" s="153"/>
      <c r="V223" s="25">
        <f t="shared" si="43"/>
        <v>1</v>
      </c>
      <c r="W223" s="25">
        <f t="shared" si="44"/>
        <v>0</v>
      </c>
    </row>
    <row r="224" spans="1:23" x14ac:dyDescent="0.3">
      <c r="A224" s="147"/>
      <c r="B224" s="205">
        <f t="shared" si="42"/>
        <v>9</v>
      </c>
      <c r="C224" s="206">
        <v>43965</v>
      </c>
      <c r="D224" s="161" t="s">
        <v>9</v>
      </c>
      <c r="E224" s="161" t="s">
        <v>2984</v>
      </c>
      <c r="F224" s="222">
        <v>31</v>
      </c>
      <c r="G224" s="222">
        <v>33</v>
      </c>
      <c r="H224" s="255">
        <v>2</v>
      </c>
      <c r="I224" s="207">
        <v>400</v>
      </c>
      <c r="J224" s="242">
        <f t="shared" si="41"/>
        <v>800</v>
      </c>
      <c r="K224" s="153"/>
      <c r="V224" s="25">
        <f t="shared" si="43"/>
        <v>1</v>
      </c>
      <c r="W224" s="25">
        <f t="shared" si="44"/>
        <v>0</v>
      </c>
    </row>
    <row r="225" spans="1:23" x14ac:dyDescent="0.3">
      <c r="A225" s="147"/>
      <c r="B225" s="205">
        <f t="shared" si="42"/>
        <v>10</v>
      </c>
      <c r="C225" s="206">
        <v>43966</v>
      </c>
      <c r="D225" s="161" t="s">
        <v>9</v>
      </c>
      <c r="E225" s="161" t="s">
        <v>2199</v>
      </c>
      <c r="F225" s="222">
        <v>15</v>
      </c>
      <c r="G225" s="222">
        <v>17</v>
      </c>
      <c r="H225" s="255">
        <v>2</v>
      </c>
      <c r="I225" s="207">
        <v>1375</v>
      </c>
      <c r="J225" s="242">
        <f t="shared" si="41"/>
        <v>2750</v>
      </c>
      <c r="K225" s="153"/>
      <c r="V225" s="25">
        <f t="shared" si="43"/>
        <v>1</v>
      </c>
      <c r="W225" s="25">
        <f t="shared" si="44"/>
        <v>0</v>
      </c>
    </row>
    <row r="226" spans="1:23" x14ac:dyDescent="0.3">
      <c r="A226" s="147"/>
      <c r="B226" s="205">
        <f t="shared" si="42"/>
        <v>11</v>
      </c>
      <c r="C226" s="206">
        <v>43969</v>
      </c>
      <c r="D226" s="161" t="s">
        <v>9</v>
      </c>
      <c r="E226" s="161" t="s">
        <v>2971</v>
      </c>
      <c r="F226" s="222">
        <v>50</v>
      </c>
      <c r="G226" s="222">
        <v>58</v>
      </c>
      <c r="H226" s="255">
        <v>8</v>
      </c>
      <c r="I226" s="207">
        <v>500</v>
      </c>
      <c r="J226" s="242">
        <f t="shared" si="41"/>
        <v>4000</v>
      </c>
      <c r="K226" s="153"/>
      <c r="V226" s="25">
        <f t="shared" si="43"/>
        <v>1</v>
      </c>
      <c r="W226" s="25">
        <f t="shared" si="44"/>
        <v>0</v>
      </c>
    </row>
    <row r="227" spans="1:23" x14ac:dyDescent="0.3">
      <c r="A227" s="147"/>
      <c r="B227" s="205">
        <f t="shared" si="42"/>
        <v>12</v>
      </c>
      <c r="C227" s="206">
        <v>43969</v>
      </c>
      <c r="D227" s="161" t="s">
        <v>9</v>
      </c>
      <c r="E227" s="161" t="s">
        <v>2339</v>
      </c>
      <c r="F227" s="222">
        <v>15</v>
      </c>
      <c r="G227" s="222">
        <v>18</v>
      </c>
      <c r="H227" s="255">
        <v>3</v>
      </c>
      <c r="I227" s="207">
        <v>1375</v>
      </c>
      <c r="J227" s="242">
        <f t="shared" si="41"/>
        <v>4125</v>
      </c>
      <c r="K227" s="153"/>
      <c r="V227" s="25">
        <f t="shared" si="43"/>
        <v>1</v>
      </c>
      <c r="W227" s="25">
        <f t="shared" si="44"/>
        <v>0</v>
      </c>
    </row>
    <row r="228" spans="1:23" x14ac:dyDescent="0.3">
      <c r="A228" s="147"/>
      <c r="B228" s="205">
        <f t="shared" si="42"/>
        <v>13</v>
      </c>
      <c r="C228" s="206">
        <v>43970</v>
      </c>
      <c r="D228" s="161" t="s">
        <v>9</v>
      </c>
      <c r="E228" s="161" t="s">
        <v>2986</v>
      </c>
      <c r="F228" s="222">
        <v>135</v>
      </c>
      <c r="G228" s="222">
        <v>105</v>
      </c>
      <c r="H228" s="255">
        <v>-30</v>
      </c>
      <c r="I228" s="207">
        <v>250</v>
      </c>
      <c r="J228" s="242">
        <f t="shared" si="41"/>
        <v>-7500</v>
      </c>
      <c r="K228" s="153"/>
      <c r="V228" s="25">
        <f t="shared" si="43"/>
        <v>0</v>
      </c>
      <c r="W228" s="25">
        <f t="shared" si="44"/>
        <v>1</v>
      </c>
    </row>
    <row r="229" spans="1:23" x14ac:dyDescent="0.3">
      <c r="A229" s="147"/>
      <c r="B229" s="205">
        <f t="shared" si="42"/>
        <v>14</v>
      </c>
      <c r="C229" s="206">
        <v>43971</v>
      </c>
      <c r="D229" s="161" t="s">
        <v>9</v>
      </c>
      <c r="E229" s="161" t="s">
        <v>2988</v>
      </c>
      <c r="F229" s="222">
        <v>25</v>
      </c>
      <c r="G229" s="222">
        <v>26.5</v>
      </c>
      <c r="H229" s="255">
        <v>1.5</v>
      </c>
      <c r="I229" s="207">
        <v>400</v>
      </c>
      <c r="J229" s="242">
        <f>I229*H229</f>
        <v>600</v>
      </c>
      <c r="K229" s="153"/>
      <c r="V229" s="25">
        <f t="shared" si="43"/>
        <v>1</v>
      </c>
      <c r="W229" s="25">
        <f t="shared" si="44"/>
        <v>0</v>
      </c>
    </row>
    <row r="230" spans="1:23" x14ac:dyDescent="0.3">
      <c r="A230" s="147"/>
      <c r="B230" s="205">
        <f t="shared" si="42"/>
        <v>15</v>
      </c>
      <c r="C230" s="206">
        <v>43972</v>
      </c>
      <c r="D230" s="161" t="s">
        <v>9</v>
      </c>
      <c r="E230" s="161" t="s">
        <v>2988</v>
      </c>
      <c r="F230" s="222">
        <v>21</v>
      </c>
      <c r="G230" s="222">
        <v>27</v>
      </c>
      <c r="H230" s="255">
        <v>6</v>
      </c>
      <c r="I230" s="207">
        <v>400</v>
      </c>
      <c r="J230" s="242">
        <f t="shared" si="41"/>
        <v>2400</v>
      </c>
      <c r="K230" s="153"/>
      <c r="V230" s="25">
        <f t="shared" si="43"/>
        <v>1</v>
      </c>
      <c r="W230" s="25">
        <f t="shared" si="44"/>
        <v>0</v>
      </c>
    </row>
    <row r="231" spans="1:23" x14ac:dyDescent="0.3">
      <c r="A231" s="147"/>
      <c r="B231" s="205">
        <f t="shared" si="42"/>
        <v>16</v>
      </c>
      <c r="C231" s="206">
        <v>43973</v>
      </c>
      <c r="D231" s="161" t="s">
        <v>9</v>
      </c>
      <c r="E231" s="161" t="s">
        <v>2339</v>
      </c>
      <c r="F231" s="222">
        <v>12</v>
      </c>
      <c r="G231" s="222">
        <v>16.399999999999999</v>
      </c>
      <c r="H231" s="222">
        <v>4.4000000000000004</v>
      </c>
      <c r="I231" s="207">
        <v>1375</v>
      </c>
      <c r="J231" s="242">
        <f t="shared" si="41"/>
        <v>6050.0000000000009</v>
      </c>
      <c r="K231" s="153"/>
      <c r="V231" s="25">
        <f t="shared" si="43"/>
        <v>1</v>
      </c>
      <c r="W231" s="25">
        <f t="shared" si="44"/>
        <v>0</v>
      </c>
    </row>
    <row r="232" spans="1:23" x14ac:dyDescent="0.3">
      <c r="A232" s="147"/>
      <c r="B232" s="205">
        <f t="shared" si="42"/>
        <v>17</v>
      </c>
      <c r="C232" s="206">
        <v>43977</v>
      </c>
      <c r="D232" s="161" t="s">
        <v>9</v>
      </c>
      <c r="E232" s="161" t="s">
        <v>2990</v>
      </c>
      <c r="F232" s="222">
        <v>8.5</v>
      </c>
      <c r="G232" s="222">
        <v>6</v>
      </c>
      <c r="H232" s="222">
        <v>-2.5</v>
      </c>
      <c r="I232" s="207">
        <v>1200</v>
      </c>
      <c r="J232" s="242">
        <f t="shared" si="41"/>
        <v>-3000</v>
      </c>
      <c r="K232" s="153"/>
      <c r="V232" s="25">
        <f t="shared" si="43"/>
        <v>0</v>
      </c>
      <c r="W232" s="25">
        <f t="shared" si="44"/>
        <v>1</v>
      </c>
    </row>
    <row r="233" spans="1:23" x14ac:dyDescent="0.3">
      <c r="A233" s="147"/>
      <c r="B233" s="205">
        <f t="shared" si="42"/>
        <v>18</v>
      </c>
      <c r="C233" s="206">
        <v>43978</v>
      </c>
      <c r="D233" s="161" t="s">
        <v>9</v>
      </c>
      <c r="E233" s="161" t="s">
        <v>2938</v>
      </c>
      <c r="F233" s="222">
        <v>14</v>
      </c>
      <c r="G233" s="222">
        <v>16.2</v>
      </c>
      <c r="H233" s="222">
        <v>2.2000000000000002</v>
      </c>
      <c r="I233" s="207">
        <v>500</v>
      </c>
      <c r="J233" s="242">
        <f t="shared" si="41"/>
        <v>1100</v>
      </c>
      <c r="K233" s="153"/>
      <c r="V233" s="25">
        <f t="shared" si="43"/>
        <v>1</v>
      </c>
      <c r="W233" s="25">
        <f t="shared" si="44"/>
        <v>0</v>
      </c>
    </row>
    <row r="234" spans="1:23" x14ac:dyDescent="0.3">
      <c r="A234" s="147"/>
      <c r="B234" s="205">
        <f t="shared" si="42"/>
        <v>19</v>
      </c>
      <c r="C234" s="206">
        <v>43979</v>
      </c>
      <c r="D234" s="161" t="s">
        <v>9</v>
      </c>
      <c r="E234" s="161" t="s">
        <v>2991</v>
      </c>
      <c r="F234" s="222">
        <v>8</v>
      </c>
      <c r="G234" s="222">
        <v>9.5</v>
      </c>
      <c r="H234" s="222">
        <v>1.5</v>
      </c>
      <c r="I234" s="207">
        <v>1200</v>
      </c>
      <c r="J234" s="242">
        <f t="shared" si="41"/>
        <v>1800</v>
      </c>
      <c r="K234" s="153"/>
      <c r="V234" s="25">
        <f t="shared" si="43"/>
        <v>1</v>
      </c>
      <c r="W234" s="25">
        <f t="shared" si="44"/>
        <v>0</v>
      </c>
    </row>
    <row r="235" spans="1:23" x14ac:dyDescent="0.3">
      <c r="A235" s="147"/>
      <c r="B235" s="205">
        <f t="shared" si="42"/>
        <v>20</v>
      </c>
      <c r="C235" s="206">
        <v>43980</v>
      </c>
      <c r="D235" s="161" t="s">
        <v>9</v>
      </c>
      <c r="E235" s="161" t="s">
        <v>2848</v>
      </c>
      <c r="F235" s="222">
        <v>58</v>
      </c>
      <c r="G235" s="222">
        <v>61.3</v>
      </c>
      <c r="H235" s="222">
        <v>3.3</v>
      </c>
      <c r="I235" s="207">
        <v>500</v>
      </c>
      <c r="J235" s="242">
        <f t="shared" si="41"/>
        <v>1650</v>
      </c>
      <c r="K235" s="153"/>
      <c r="V235" s="25">
        <f t="shared" si="43"/>
        <v>1</v>
      </c>
      <c r="W235" s="25">
        <f t="shared" si="44"/>
        <v>0</v>
      </c>
    </row>
    <row r="236" spans="1:23" x14ac:dyDescent="0.3">
      <c r="A236" s="147"/>
      <c r="B236" s="205">
        <f t="shared" si="42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41"/>
        <v>0</v>
      </c>
      <c r="K236" s="153"/>
      <c r="V236" s="25">
        <f t="shared" si="43"/>
        <v>0</v>
      </c>
      <c r="W236" s="25">
        <f t="shared" si="44"/>
        <v>0</v>
      </c>
    </row>
    <row r="237" spans="1:23" x14ac:dyDescent="0.3">
      <c r="A237" s="147"/>
      <c r="B237" s="205">
        <f t="shared" si="42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41"/>
        <v>0</v>
      </c>
      <c r="K237" s="153"/>
      <c r="V237" s="25">
        <f t="shared" si="43"/>
        <v>0</v>
      </c>
      <c r="W237" s="25">
        <f t="shared" si="44"/>
        <v>0</v>
      </c>
    </row>
    <row r="238" spans="1:23" x14ac:dyDescent="0.3">
      <c r="A238" s="147"/>
      <c r="B238" s="205">
        <f t="shared" si="42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41"/>
        <v>0</v>
      </c>
      <c r="K238" s="153"/>
      <c r="V238" s="25">
        <f t="shared" si="43"/>
        <v>0</v>
      </c>
      <c r="W238" s="25">
        <f t="shared" si="44"/>
        <v>0</v>
      </c>
    </row>
    <row r="239" spans="1:23" ht="15" thickBot="1" x14ac:dyDescent="0.35">
      <c r="A239" s="147"/>
      <c r="B239" s="208">
        <f t="shared" si="42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41"/>
        <v>0</v>
      </c>
      <c r="K239" s="153"/>
      <c r="V239" s="25">
        <f t="shared" si="43"/>
        <v>0</v>
      </c>
      <c r="W239" s="25">
        <f t="shared" si="44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45415</v>
      </c>
      <c r="K240" s="153"/>
      <c r="V240" s="25">
        <f>SUM(V216:V239)</f>
        <v>16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500-000000000000}"/>
    <hyperlink ref="B84" r:id="rId2" xr:uid="{00000000-0004-0000-5500-000001000000}"/>
    <hyperlink ref="B115" r:id="rId3" xr:uid="{00000000-0004-0000-5500-000002000000}"/>
    <hyperlink ref="B146" r:id="rId4" xr:uid="{00000000-0004-0000-5500-000003000000}"/>
    <hyperlink ref="B177" r:id="rId5" xr:uid="{00000000-0004-0000-5500-000004000000}"/>
    <hyperlink ref="B208" r:id="rId6" xr:uid="{00000000-0004-0000-5500-000005000000}"/>
    <hyperlink ref="B240" r:id="rId7" xr:uid="{00000000-0004-0000-5500-000006000000}"/>
    <hyperlink ref="M1" location="'MASTER '!A1" display="Back" xr:uid="{00000000-0004-0000-5500-000007000000}"/>
    <hyperlink ref="M6:M7" location="'MAY 2020'!A77" display="STOCK FUTURE" xr:uid="{00000000-0004-0000-5500-000008000000}"/>
    <hyperlink ref="M14:M15" location="'MAY 2020'!A201" display="B.NIFTY OPTION" xr:uid="{00000000-0004-0000-5500-000009000000}"/>
    <hyperlink ref="M12:M13" location="'MAY 2020'!A170" display="BANK NIFTY" xr:uid="{00000000-0004-0000-5500-00000A000000}"/>
    <hyperlink ref="M10:M11" location="'MAY 2020'!A139" display="NF. OPTION" xr:uid="{00000000-0004-0000-5500-00000B000000}"/>
    <hyperlink ref="M8:M9" location="'MAY 2020'!A108" display="NIFTY FUTURE" xr:uid="{00000000-0004-0000-5500-00000C000000}"/>
    <hyperlink ref="M4:M5" location="'MAY 2020'!A1" display="CASH" xr:uid="{00000000-0004-0000-5500-00000D000000}"/>
    <hyperlink ref="M16:M17" location="'MAY 2020'!A1" display="STOCK OPTION" xr:uid="{00000000-0004-0000-5500-00000E000000}"/>
  </hyperlinks>
  <pageMargins left="0" right="0" top="0" bottom="0" header="0" footer="0"/>
  <pageSetup scale="95" orientation="portrait" r:id="rId8"/>
  <drawing r:id="rId9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2992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33</v>
      </c>
      <c r="P4" s="386">
        <f>W52</f>
        <v>11</v>
      </c>
      <c r="Q4" s="387">
        <f>N4-O4-P4</f>
        <v>0</v>
      </c>
      <c r="R4" s="380">
        <f>O4/N4</f>
        <v>0.75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43983</v>
      </c>
      <c r="D6" s="158" t="s">
        <v>9</v>
      </c>
      <c r="E6" s="158" t="s">
        <v>1064</v>
      </c>
      <c r="F6" s="230">
        <v>1497</v>
      </c>
      <c r="G6" s="222">
        <v>1502.2</v>
      </c>
      <c r="H6" s="222">
        <v>5.2</v>
      </c>
      <c r="I6" s="207">
        <f t="shared" ref="I6:I49" si="0">300000/F6</f>
        <v>200.40080160320642</v>
      </c>
      <c r="J6" s="161">
        <f t="shared" ref="J6:J49" si="1">H6*I6</f>
        <v>1042.0841683366734</v>
      </c>
      <c r="K6" s="153"/>
      <c r="M6" s="394" t="s">
        <v>450</v>
      </c>
      <c r="N6" s="344">
        <f>COUNT(C60:C83)</f>
        <v>23</v>
      </c>
      <c r="O6" s="346">
        <v>22</v>
      </c>
      <c r="P6" s="346">
        <f>W84</f>
        <v>1</v>
      </c>
      <c r="Q6" s="374">
        <v>0</v>
      </c>
      <c r="R6" s="376">
        <f t="shared" ref="R6" si="2">O6/N6</f>
        <v>0.95652173913043481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43983</v>
      </c>
      <c r="D7" s="161" t="s">
        <v>8</v>
      </c>
      <c r="E7" s="161" t="s">
        <v>175</v>
      </c>
      <c r="F7" s="222">
        <v>734</v>
      </c>
      <c r="G7" s="231">
        <v>725</v>
      </c>
      <c r="H7" s="255">
        <v>9</v>
      </c>
      <c r="I7" s="207">
        <f t="shared" si="0"/>
        <v>408.71934604904629</v>
      </c>
      <c r="J7" s="161">
        <f t="shared" si="1"/>
        <v>3678.4741144414165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43984</v>
      </c>
      <c r="D8" s="161" t="s">
        <v>9</v>
      </c>
      <c r="E8" s="161" t="s">
        <v>31</v>
      </c>
      <c r="F8" s="222">
        <v>1532</v>
      </c>
      <c r="G8" s="222">
        <v>1538</v>
      </c>
      <c r="H8" s="222">
        <v>6</v>
      </c>
      <c r="I8" s="207">
        <f t="shared" si="0"/>
        <v>195.822454308094</v>
      </c>
      <c r="J8" s="161">
        <f t="shared" si="1"/>
        <v>1174.9347258485641</v>
      </c>
      <c r="K8" s="153"/>
      <c r="M8" s="394" t="s">
        <v>451</v>
      </c>
      <c r="N8" s="344">
        <f>COUNT(C92:C114)</f>
        <v>21</v>
      </c>
      <c r="O8" s="346">
        <f>V115</f>
        <v>17</v>
      </c>
      <c r="P8" s="346">
        <f>W115</f>
        <v>4</v>
      </c>
      <c r="Q8" s="374">
        <f>N8-O8-P8</f>
        <v>0</v>
      </c>
      <c r="R8" s="376">
        <f t="shared" ref="R8" si="6">O8/N8</f>
        <v>0.80952380952380953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43984</v>
      </c>
      <c r="D9" s="161" t="s">
        <v>8</v>
      </c>
      <c r="E9" s="161" t="s">
        <v>2999</v>
      </c>
      <c r="F9" s="222">
        <v>510</v>
      </c>
      <c r="G9" s="231">
        <v>500</v>
      </c>
      <c r="H9" s="255">
        <v>10</v>
      </c>
      <c r="I9" s="207">
        <f t="shared" si="0"/>
        <v>588.23529411764707</v>
      </c>
      <c r="J9" s="161">
        <f t="shared" si="1"/>
        <v>5882.3529411764703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43985</v>
      </c>
      <c r="D10" s="161" t="s">
        <v>9</v>
      </c>
      <c r="E10" s="161" t="s">
        <v>2023</v>
      </c>
      <c r="F10" s="222">
        <v>2465</v>
      </c>
      <c r="G10" s="222">
        <v>2480</v>
      </c>
      <c r="H10" s="222">
        <v>15</v>
      </c>
      <c r="I10" s="207">
        <f t="shared" si="0"/>
        <v>121.70385395537525</v>
      </c>
      <c r="J10" s="161">
        <f t="shared" si="1"/>
        <v>1825.5578093306287</v>
      </c>
      <c r="K10" s="153"/>
      <c r="M10" s="394" t="s">
        <v>1176</v>
      </c>
      <c r="N10" s="344">
        <f>COUNT(C123:C145)</f>
        <v>22</v>
      </c>
      <c r="O10" s="346">
        <f>V146</f>
        <v>18</v>
      </c>
      <c r="P10" s="346">
        <f>W146</f>
        <v>4</v>
      </c>
      <c r="Q10" s="374">
        <f>N10-O10-P10</f>
        <v>0</v>
      </c>
      <c r="R10" s="376">
        <f t="shared" ref="R10:R16" si="7">O10/N10</f>
        <v>0.81818181818181823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43985</v>
      </c>
      <c r="D11" s="161" t="s">
        <v>8</v>
      </c>
      <c r="E11" s="161" t="s">
        <v>31</v>
      </c>
      <c r="F11" s="222">
        <v>1540</v>
      </c>
      <c r="G11" s="222">
        <v>1535</v>
      </c>
      <c r="H11" s="255">
        <v>5</v>
      </c>
      <c r="I11" s="207">
        <f t="shared" si="0"/>
        <v>194.80519480519482</v>
      </c>
      <c r="J11" s="161">
        <f t="shared" si="1"/>
        <v>974.02597402597405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43986</v>
      </c>
      <c r="D12" s="161" t="s">
        <v>9</v>
      </c>
      <c r="E12" s="161" t="s">
        <v>25</v>
      </c>
      <c r="F12" s="222">
        <v>322</v>
      </c>
      <c r="G12" s="222">
        <v>318</v>
      </c>
      <c r="H12" s="222">
        <v>-4</v>
      </c>
      <c r="I12" s="207">
        <f t="shared" si="0"/>
        <v>931.67701863354034</v>
      </c>
      <c r="J12" s="242">
        <f t="shared" si="1"/>
        <v>-3726.7080745341614</v>
      </c>
      <c r="K12" s="153"/>
      <c r="M12" s="394" t="s">
        <v>41</v>
      </c>
      <c r="N12" s="344">
        <f>COUNT(C154:C176)</f>
        <v>22</v>
      </c>
      <c r="O12" s="346">
        <f>V177</f>
        <v>16</v>
      </c>
      <c r="P12" s="346">
        <f>W177</f>
        <v>6</v>
      </c>
      <c r="Q12" s="374">
        <f t="shared" ref="Q12" si="8">N12-O12-P12</f>
        <v>0</v>
      </c>
      <c r="R12" s="376">
        <f t="shared" si="7"/>
        <v>0.72727272727272729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43986</v>
      </c>
      <c r="D13" s="161" t="s">
        <v>8</v>
      </c>
      <c r="E13" s="161" t="s">
        <v>3002</v>
      </c>
      <c r="F13" s="222">
        <v>1385</v>
      </c>
      <c r="G13" s="222">
        <v>1370.5</v>
      </c>
      <c r="H13" s="255">
        <v>14.5</v>
      </c>
      <c r="I13" s="207">
        <f t="shared" si="0"/>
        <v>216.60649819494586</v>
      </c>
      <c r="J13" s="242">
        <f t="shared" si="1"/>
        <v>3140.7942238267151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43987</v>
      </c>
      <c r="D14" s="161" t="s">
        <v>9</v>
      </c>
      <c r="E14" s="161" t="s">
        <v>31</v>
      </c>
      <c r="F14" s="222">
        <v>1593</v>
      </c>
      <c r="G14" s="222">
        <v>1603</v>
      </c>
      <c r="H14" s="222">
        <v>10</v>
      </c>
      <c r="I14" s="207">
        <f t="shared" si="0"/>
        <v>188.32391713747646</v>
      </c>
      <c r="J14" s="242">
        <f t="shared" si="1"/>
        <v>1883.2391713747645</v>
      </c>
      <c r="K14" s="153"/>
      <c r="M14" s="394" t="s">
        <v>1175</v>
      </c>
      <c r="N14" s="344">
        <f>COUNT(C185:C207)</f>
        <v>22</v>
      </c>
      <c r="O14" s="346">
        <f>V208</f>
        <v>16</v>
      </c>
      <c r="P14" s="346">
        <f>W208</f>
        <v>6</v>
      </c>
      <c r="Q14" s="374">
        <f t="shared" ref="Q14" si="9">N14-O14-P14</f>
        <v>0</v>
      </c>
      <c r="R14" s="376">
        <f t="shared" si="7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43987</v>
      </c>
      <c r="D15" s="161" t="s">
        <v>8</v>
      </c>
      <c r="E15" s="161" t="s">
        <v>2203</v>
      </c>
      <c r="F15" s="222">
        <v>1015</v>
      </c>
      <c r="G15" s="222">
        <v>1002</v>
      </c>
      <c r="H15" s="222">
        <v>13</v>
      </c>
      <c r="I15" s="207">
        <f t="shared" si="0"/>
        <v>295.56650246305418</v>
      </c>
      <c r="J15" s="242">
        <f t="shared" si="1"/>
        <v>3842.3645320197043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43990</v>
      </c>
      <c r="D16" s="161" t="s">
        <v>9</v>
      </c>
      <c r="E16" s="161" t="s">
        <v>2023</v>
      </c>
      <c r="F16" s="222">
        <v>2530</v>
      </c>
      <c r="G16" s="222">
        <v>2545</v>
      </c>
      <c r="H16" s="222">
        <v>15</v>
      </c>
      <c r="I16" s="207">
        <f t="shared" si="0"/>
        <v>118.57707509881423</v>
      </c>
      <c r="J16" s="242">
        <f t="shared" si="1"/>
        <v>1778.6561264822135</v>
      </c>
      <c r="K16" s="153"/>
      <c r="L16" s="25" t="s">
        <v>2008</v>
      </c>
      <c r="M16" s="394" t="s">
        <v>1090</v>
      </c>
      <c r="N16" s="344">
        <f>COUNT(C216:C239)</f>
        <v>22</v>
      </c>
      <c r="O16" s="346">
        <f>V240</f>
        <v>15</v>
      </c>
      <c r="P16" s="346">
        <f>W240</f>
        <v>7</v>
      </c>
      <c r="Q16" s="374">
        <f t="shared" ref="Q16" si="10">N16-O16-P16</f>
        <v>0</v>
      </c>
      <c r="R16" s="376">
        <f t="shared" si="7"/>
        <v>0.68181818181818177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43990</v>
      </c>
      <c r="D17" s="161" t="s">
        <v>8</v>
      </c>
      <c r="E17" s="161" t="s">
        <v>78</v>
      </c>
      <c r="F17" s="222">
        <v>970</v>
      </c>
      <c r="G17" s="222">
        <v>950</v>
      </c>
      <c r="H17" s="222">
        <v>20</v>
      </c>
      <c r="I17" s="207">
        <f t="shared" si="0"/>
        <v>309.2783505154639</v>
      </c>
      <c r="J17" s="242">
        <f t="shared" si="1"/>
        <v>6185.567010309278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43991</v>
      </c>
      <c r="D18" s="161" t="s">
        <v>9</v>
      </c>
      <c r="E18" s="161" t="s">
        <v>78</v>
      </c>
      <c r="F18" s="222">
        <v>965</v>
      </c>
      <c r="G18" s="222">
        <v>970</v>
      </c>
      <c r="H18" s="222">
        <v>5</v>
      </c>
      <c r="I18" s="207">
        <f t="shared" si="0"/>
        <v>310.88082901554407</v>
      </c>
      <c r="J18" s="242">
        <f t="shared" si="1"/>
        <v>1554.4041450777204</v>
      </c>
      <c r="K18" s="153"/>
      <c r="M18" s="392" t="s">
        <v>946</v>
      </c>
      <c r="N18" s="378">
        <f>SUM(N4:N17)</f>
        <v>176</v>
      </c>
      <c r="O18" s="378">
        <f t="shared" ref="O18:Q18" si="11">SUM(O4:O17)</f>
        <v>137</v>
      </c>
      <c r="P18" s="378">
        <f t="shared" si="11"/>
        <v>39</v>
      </c>
      <c r="Q18" s="378">
        <f t="shared" si="11"/>
        <v>0</v>
      </c>
      <c r="R18" s="380">
        <f t="shared" ref="R18" si="12">O18/N18</f>
        <v>0.77840909090909094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43991</v>
      </c>
      <c r="D19" s="161" t="s">
        <v>8</v>
      </c>
      <c r="E19" s="161" t="s">
        <v>667</v>
      </c>
      <c r="F19" s="222">
        <v>96</v>
      </c>
      <c r="G19" s="222">
        <v>98</v>
      </c>
      <c r="H19" s="222">
        <v>-2</v>
      </c>
      <c r="I19" s="207">
        <f t="shared" si="0"/>
        <v>3125</v>
      </c>
      <c r="J19" s="242">
        <f t="shared" si="1"/>
        <v>-6250</v>
      </c>
      <c r="K19" s="153"/>
      <c r="M19" s="393"/>
      <c r="N19" s="379"/>
      <c r="O19" s="379"/>
      <c r="P19" s="379"/>
      <c r="Q19" s="379"/>
      <c r="R19" s="377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43992</v>
      </c>
      <c r="D20" s="161" t="s">
        <v>9</v>
      </c>
      <c r="E20" s="161" t="s">
        <v>137</v>
      </c>
      <c r="F20" s="222">
        <v>2115</v>
      </c>
      <c r="G20" s="222">
        <v>2130</v>
      </c>
      <c r="H20" s="222">
        <v>15</v>
      </c>
      <c r="I20" s="207">
        <f t="shared" si="0"/>
        <v>141.84397163120568</v>
      </c>
      <c r="J20" s="242">
        <f t="shared" si="1"/>
        <v>2127.6595744680853</v>
      </c>
      <c r="K20" s="153"/>
      <c r="M20" s="316" t="s">
        <v>2253</v>
      </c>
      <c r="N20" s="317"/>
      <c r="O20" s="318"/>
      <c r="P20" s="325">
        <f>R18</f>
        <v>0.77840909090909094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43992</v>
      </c>
      <c r="D21" s="161" t="s">
        <v>8</v>
      </c>
      <c r="E21" s="161" t="s">
        <v>78</v>
      </c>
      <c r="F21" s="222">
        <v>943</v>
      </c>
      <c r="G21" s="222">
        <v>938</v>
      </c>
      <c r="H21" s="222">
        <v>5</v>
      </c>
      <c r="I21" s="207">
        <f t="shared" si="0"/>
        <v>318.13361611876991</v>
      </c>
      <c r="J21" s="242">
        <f t="shared" si="1"/>
        <v>1590.6680805938495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43993</v>
      </c>
      <c r="D22" s="161" t="s">
        <v>9</v>
      </c>
      <c r="E22" s="161" t="s">
        <v>310</v>
      </c>
      <c r="F22" s="222">
        <v>620</v>
      </c>
      <c r="G22" s="222">
        <v>612</v>
      </c>
      <c r="H22" s="222">
        <v>-8</v>
      </c>
      <c r="I22" s="207">
        <f t="shared" si="0"/>
        <v>483.87096774193549</v>
      </c>
      <c r="J22" s="242">
        <f t="shared" si="1"/>
        <v>-3870.9677419354839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43993</v>
      </c>
      <c r="D23" s="161" t="s">
        <v>8</v>
      </c>
      <c r="E23" s="161" t="s">
        <v>31</v>
      </c>
      <c r="F23" s="222">
        <v>1555</v>
      </c>
      <c r="G23" s="222">
        <v>1535</v>
      </c>
      <c r="H23" s="222">
        <v>20</v>
      </c>
      <c r="I23" s="207">
        <f t="shared" si="0"/>
        <v>192.92604501607718</v>
      </c>
      <c r="J23" s="242">
        <f t="shared" si="1"/>
        <v>3858.5209003215436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43994</v>
      </c>
      <c r="D24" s="161" t="s">
        <v>9</v>
      </c>
      <c r="E24" s="161" t="s">
        <v>2158</v>
      </c>
      <c r="F24" s="222">
        <v>925</v>
      </c>
      <c r="G24" s="222">
        <v>945</v>
      </c>
      <c r="H24" s="222">
        <v>20</v>
      </c>
      <c r="I24" s="207">
        <f t="shared" si="0"/>
        <v>324.32432432432432</v>
      </c>
      <c r="J24" s="242">
        <f t="shared" si="1"/>
        <v>6486.4864864864867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43994</v>
      </c>
      <c r="D25" s="161" t="s">
        <v>8</v>
      </c>
      <c r="E25" s="161" t="s">
        <v>78</v>
      </c>
      <c r="F25" s="222">
        <v>897</v>
      </c>
      <c r="G25" s="222">
        <v>907</v>
      </c>
      <c r="H25" s="222">
        <v>10</v>
      </c>
      <c r="I25" s="207">
        <f t="shared" si="0"/>
        <v>334.44816053511704</v>
      </c>
      <c r="J25" s="242">
        <f t="shared" si="1"/>
        <v>3344.4816053511704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43997</v>
      </c>
      <c r="D26" s="161" t="s">
        <v>9</v>
      </c>
      <c r="E26" s="161" t="s">
        <v>109</v>
      </c>
      <c r="F26" s="222">
        <v>516</v>
      </c>
      <c r="G26" s="222">
        <v>518.5</v>
      </c>
      <c r="H26" s="222">
        <v>2.5</v>
      </c>
      <c r="I26" s="207">
        <f t="shared" si="0"/>
        <v>581.39534883720933</v>
      </c>
      <c r="J26" s="242">
        <f t="shared" si="1"/>
        <v>1453.4883720930234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43997</v>
      </c>
      <c r="D27" s="161" t="s">
        <v>8</v>
      </c>
      <c r="E27" s="161" t="s">
        <v>95</v>
      </c>
      <c r="F27" s="222">
        <v>331.5</v>
      </c>
      <c r="G27" s="222">
        <v>325.5</v>
      </c>
      <c r="H27" s="222">
        <v>6</v>
      </c>
      <c r="I27" s="207">
        <f t="shared" si="0"/>
        <v>904.97737556561083</v>
      </c>
      <c r="J27" s="242">
        <f t="shared" si="1"/>
        <v>5429.8642533936654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43998</v>
      </c>
      <c r="D28" s="161" t="s">
        <v>9</v>
      </c>
      <c r="E28" s="161" t="s">
        <v>95</v>
      </c>
      <c r="F28" s="222">
        <v>346</v>
      </c>
      <c r="G28" s="222">
        <v>342</v>
      </c>
      <c r="H28" s="222">
        <v>-4</v>
      </c>
      <c r="I28" s="207">
        <f t="shared" si="0"/>
        <v>867.05202312138726</v>
      </c>
      <c r="J28" s="242">
        <f t="shared" si="1"/>
        <v>-3468.2080924855491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43998</v>
      </c>
      <c r="D29" s="161" t="s">
        <v>8</v>
      </c>
      <c r="E29" s="161" t="s">
        <v>49</v>
      </c>
      <c r="F29" s="222">
        <v>1700</v>
      </c>
      <c r="G29" s="222">
        <v>1670</v>
      </c>
      <c r="H29" s="222">
        <v>30</v>
      </c>
      <c r="I29" s="207">
        <f t="shared" si="0"/>
        <v>176.47058823529412</v>
      </c>
      <c r="J29" s="242">
        <f t="shared" si="1"/>
        <v>5294.1176470588234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43999</v>
      </c>
      <c r="D30" s="161" t="s">
        <v>9</v>
      </c>
      <c r="E30" s="161" t="s">
        <v>31</v>
      </c>
      <c r="F30" s="222">
        <v>1620</v>
      </c>
      <c r="G30" s="222">
        <v>1610</v>
      </c>
      <c r="H30" s="222">
        <v>-10</v>
      </c>
      <c r="I30" s="207">
        <f t="shared" si="0"/>
        <v>185.18518518518519</v>
      </c>
      <c r="J30" s="242">
        <f t="shared" si="1"/>
        <v>-1851.851851851852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43999</v>
      </c>
      <c r="D31" s="161" t="s">
        <v>8</v>
      </c>
      <c r="E31" s="161" t="s">
        <v>98</v>
      </c>
      <c r="F31" s="222">
        <v>2360</v>
      </c>
      <c r="G31" s="222">
        <v>2350</v>
      </c>
      <c r="H31" s="222">
        <v>10</v>
      </c>
      <c r="I31" s="207">
        <f t="shared" si="0"/>
        <v>127.11864406779661</v>
      </c>
      <c r="J31" s="242">
        <f t="shared" si="1"/>
        <v>1271.1864406779662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44000</v>
      </c>
      <c r="D32" s="161" t="s">
        <v>9</v>
      </c>
      <c r="E32" s="161" t="s">
        <v>99</v>
      </c>
      <c r="F32" s="222">
        <v>185</v>
      </c>
      <c r="G32" s="222">
        <v>187</v>
      </c>
      <c r="H32" s="222">
        <v>2</v>
      </c>
      <c r="I32" s="207">
        <f t="shared" si="0"/>
        <v>1621.6216216216217</v>
      </c>
      <c r="J32" s="242">
        <f t="shared" si="1"/>
        <v>3243.2432432432433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44000</v>
      </c>
      <c r="D33" s="161" t="s">
        <v>8</v>
      </c>
      <c r="E33" s="161" t="s">
        <v>95</v>
      </c>
      <c r="F33" s="222">
        <v>338</v>
      </c>
      <c r="G33" s="222">
        <v>342</v>
      </c>
      <c r="H33" s="222">
        <v>-4</v>
      </c>
      <c r="I33" s="207">
        <f t="shared" si="0"/>
        <v>887.5739644970414</v>
      </c>
      <c r="J33" s="242">
        <f t="shared" si="1"/>
        <v>-3550.2958579881656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44001</v>
      </c>
      <c r="D34" s="161" t="s">
        <v>9</v>
      </c>
      <c r="E34" s="161" t="s">
        <v>31</v>
      </c>
      <c r="F34" s="222">
        <v>1685</v>
      </c>
      <c r="G34" s="222">
        <v>1715</v>
      </c>
      <c r="H34" s="222">
        <v>30</v>
      </c>
      <c r="I34" s="207">
        <f t="shared" si="0"/>
        <v>178.04154302670622</v>
      </c>
      <c r="J34" s="242">
        <f t="shared" si="1"/>
        <v>5341.2462908011867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44001</v>
      </c>
      <c r="D35" s="161" t="s">
        <v>8</v>
      </c>
      <c r="E35" s="161" t="s">
        <v>109</v>
      </c>
      <c r="F35" s="222">
        <v>498</v>
      </c>
      <c r="G35" s="222">
        <v>503</v>
      </c>
      <c r="H35" s="222">
        <v>-5</v>
      </c>
      <c r="I35" s="207">
        <f t="shared" si="0"/>
        <v>602.40963855421683</v>
      </c>
      <c r="J35" s="242">
        <f t="shared" si="1"/>
        <v>-3012.0481927710844</v>
      </c>
      <c r="K35" s="153"/>
      <c r="V35" s="25">
        <f t="shared" si="3"/>
        <v>0</v>
      </c>
      <c r="W35" s="25">
        <f t="shared" si="4"/>
        <v>1</v>
      </c>
    </row>
    <row r="36" spans="1:23" x14ac:dyDescent="0.3">
      <c r="A36" s="147"/>
      <c r="B36" s="205">
        <f t="shared" si="5"/>
        <v>31</v>
      </c>
      <c r="C36" s="206">
        <v>44004</v>
      </c>
      <c r="D36" s="161" t="s">
        <v>9</v>
      </c>
      <c r="E36" s="161" t="s">
        <v>78</v>
      </c>
      <c r="F36" s="222">
        <v>910</v>
      </c>
      <c r="G36" s="222">
        <v>900</v>
      </c>
      <c r="H36" s="222">
        <v>-10</v>
      </c>
      <c r="I36" s="207">
        <f t="shared" si="0"/>
        <v>329.67032967032969</v>
      </c>
      <c r="J36" s="242">
        <f t="shared" si="1"/>
        <v>-3296.7032967032969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44004</v>
      </c>
      <c r="D37" s="161" t="s">
        <v>8</v>
      </c>
      <c r="E37" s="161" t="s">
        <v>496</v>
      </c>
      <c r="F37" s="222">
        <v>273</v>
      </c>
      <c r="G37" s="222">
        <v>267</v>
      </c>
      <c r="H37" s="222">
        <v>8</v>
      </c>
      <c r="I37" s="207">
        <f t="shared" si="0"/>
        <v>1098.901098901099</v>
      </c>
      <c r="J37" s="242">
        <f t="shared" si="1"/>
        <v>8791.2087912087918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44005</v>
      </c>
      <c r="D38" s="161" t="s">
        <v>9</v>
      </c>
      <c r="E38" s="161" t="s">
        <v>168</v>
      </c>
      <c r="F38" s="222">
        <v>585</v>
      </c>
      <c r="G38" s="222">
        <v>580</v>
      </c>
      <c r="H38" s="222">
        <v>-5</v>
      </c>
      <c r="I38" s="207">
        <f t="shared" si="0"/>
        <v>512.82051282051282</v>
      </c>
      <c r="J38" s="242">
        <f t="shared" si="1"/>
        <v>-2564.102564102564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44005</v>
      </c>
      <c r="D39" s="161" t="s">
        <v>8</v>
      </c>
      <c r="E39" s="161" t="s">
        <v>124</v>
      </c>
      <c r="F39" s="222">
        <v>103</v>
      </c>
      <c r="G39" s="222">
        <v>102.5</v>
      </c>
      <c r="H39" s="222">
        <v>0.5</v>
      </c>
      <c r="I39" s="207">
        <f t="shared" si="0"/>
        <v>2912.6213592233012</v>
      </c>
      <c r="J39" s="242">
        <f t="shared" si="1"/>
        <v>1456.3106796116506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44006</v>
      </c>
      <c r="D40" s="161" t="s">
        <v>9</v>
      </c>
      <c r="E40" s="161" t="s">
        <v>94</v>
      </c>
      <c r="F40" s="222">
        <v>1050</v>
      </c>
      <c r="G40" s="222">
        <v>1040</v>
      </c>
      <c r="H40" s="222">
        <v>-10</v>
      </c>
      <c r="I40" s="207">
        <f t="shared" si="0"/>
        <v>285.71428571428572</v>
      </c>
      <c r="J40" s="242">
        <f t="shared" si="1"/>
        <v>-2857.1428571428573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44006</v>
      </c>
      <c r="D41" s="161" t="s">
        <v>8</v>
      </c>
      <c r="E41" s="161" t="s">
        <v>31</v>
      </c>
      <c r="F41" s="222">
        <v>1722</v>
      </c>
      <c r="G41" s="223">
        <v>1716.5</v>
      </c>
      <c r="H41" s="222">
        <v>5.5</v>
      </c>
      <c r="I41" s="207">
        <f t="shared" si="0"/>
        <v>174.21602787456445</v>
      </c>
      <c r="J41" s="242">
        <f t="shared" si="1"/>
        <v>958.18815331010444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44007</v>
      </c>
      <c r="D42" s="161" t="s">
        <v>9</v>
      </c>
      <c r="E42" s="161" t="s">
        <v>78</v>
      </c>
      <c r="F42" s="222">
        <v>950</v>
      </c>
      <c r="G42" s="222">
        <v>964</v>
      </c>
      <c r="H42" s="222">
        <v>14</v>
      </c>
      <c r="I42" s="207">
        <f t="shared" si="0"/>
        <v>315.78947368421052</v>
      </c>
      <c r="J42" s="242">
        <f t="shared" si="1"/>
        <v>4421.0526315789475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44007</v>
      </c>
      <c r="D43" s="161" t="s">
        <v>8</v>
      </c>
      <c r="E43" s="161" t="s">
        <v>31</v>
      </c>
      <c r="F43" s="222">
        <v>1735</v>
      </c>
      <c r="G43" s="222">
        <v>1720</v>
      </c>
      <c r="H43" s="222">
        <v>15</v>
      </c>
      <c r="I43" s="207">
        <f t="shared" si="0"/>
        <v>172.91066282420749</v>
      </c>
      <c r="J43" s="242">
        <f t="shared" si="1"/>
        <v>2593.6599423631123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44008</v>
      </c>
      <c r="D44" s="161" t="s">
        <v>9</v>
      </c>
      <c r="E44" s="161" t="s">
        <v>31</v>
      </c>
      <c r="F44" s="222">
        <v>1740</v>
      </c>
      <c r="G44" s="222">
        <v>1725</v>
      </c>
      <c r="H44" s="222">
        <v>-15</v>
      </c>
      <c r="I44" s="207">
        <f t="shared" si="0"/>
        <v>172.41379310344828</v>
      </c>
      <c r="J44" s="242">
        <f t="shared" si="1"/>
        <v>-2586.2068965517242</v>
      </c>
      <c r="K44" s="153"/>
      <c r="V44" s="25">
        <f t="shared" si="3"/>
        <v>0</v>
      </c>
      <c r="W44" s="25">
        <f t="shared" si="4"/>
        <v>1</v>
      </c>
    </row>
    <row r="45" spans="1:23" x14ac:dyDescent="0.3">
      <c r="A45" s="147"/>
      <c r="B45" s="205">
        <f t="shared" si="5"/>
        <v>40</v>
      </c>
      <c r="C45" s="206">
        <v>44008</v>
      </c>
      <c r="D45" s="161" t="s">
        <v>8</v>
      </c>
      <c r="E45" s="161" t="s">
        <v>94</v>
      </c>
      <c r="F45" s="222">
        <v>1035</v>
      </c>
      <c r="G45" s="222">
        <v>1030</v>
      </c>
      <c r="H45" s="222">
        <v>5</v>
      </c>
      <c r="I45" s="207">
        <f t="shared" si="0"/>
        <v>289.85507246376812</v>
      </c>
      <c r="J45" s="242">
        <f t="shared" si="1"/>
        <v>1449.2753623188405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44011</v>
      </c>
      <c r="D46" s="161" t="s">
        <v>9</v>
      </c>
      <c r="E46" s="161" t="s">
        <v>94</v>
      </c>
      <c r="F46" s="222">
        <v>1045</v>
      </c>
      <c r="G46" s="222">
        <v>1065</v>
      </c>
      <c r="H46" s="222">
        <v>20</v>
      </c>
      <c r="I46" s="207">
        <f t="shared" si="0"/>
        <v>287.08133971291863</v>
      </c>
      <c r="J46" s="242">
        <f t="shared" si="1"/>
        <v>5741.6267942583727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44011</v>
      </c>
      <c r="D47" s="161" t="s">
        <v>8</v>
      </c>
      <c r="E47" s="161" t="s">
        <v>31</v>
      </c>
      <c r="F47" s="222">
        <v>1725</v>
      </c>
      <c r="G47" s="222">
        <v>1721</v>
      </c>
      <c r="H47" s="222">
        <v>4</v>
      </c>
      <c r="I47" s="207">
        <f t="shared" si="0"/>
        <v>173.91304347826087</v>
      </c>
      <c r="J47" s="242">
        <f t="shared" si="1"/>
        <v>695.6521739130435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44012</v>
      </c>
      <c r="D48" s="161" t="s">
        <v>9</v>
      </c>
      <c r="E48" s="161" t="s">
        <v>2925</v>
      </c>
      <c r="F48" s="222">
        <v>418</v>
      </c>
      <c r="G48" s="222">
        <v>427</v>
      </c>
      <c r="H48" s="222">
        <v>9</v>
      </c>
      <c r="I48" s="207">
        <f t="shared" si="0"/>
        <v>717.7033492822967</v>
      </c>
      <c r="J48" s="242">
        <f t="shared" si="1"/>
        <v>6459.3301435406702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44012</v>
      </c>
      <c r="D49" s="161" t="s">
        <v>8</v>
      </c>
      <c r="E49" s="161" t="s">
        <v>94</v>
      </c>
      <c r="F49" s="222">
        <v>1070</v>
      </c>
      <c r="G49" s="222">
        <v>1060</v>
      </c>
      <c r="H49" s="222">
        <v>10</v>
      </c>
      <c r="I49" s="207">
        <f t="shared" si="0"/>
        <v>280.37383177570092</v>
      </c>
      <c r="J49" s="242">
        <f t="shared" si="1"/>
        <v>2803.7383177570091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70739.22540053296</v>
      </c>
      <c r="K52" s="153"/>
      <c r="V52" s="25">
        <f>SUM(V6:V51)</f>
        <v>33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2993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43983</v>
      </c>
      <c r="D60" s="161" t="s">
        <v>8</v>
      </c>
      <c r="E60" s="161" t="s">
        <v>2995</v>
      </c>
      <c r="F60" s="222">
        <v>357.5</v>
      </c>
      <c r="G60" s="222">
        <v>362</v>
      </c>
      <c r="H60" s="222">
        <v>4.5</v>
      </c>
      <c r="I60" s="207">
        <v>2700</v>
      </c>
      <c r="J60" s="241">
        <f t="shared" ref="J60:J83" si="13">I60*H60</f>
        <v>12150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43984</v>
      </c>
      <c r="D61" s="161" t="s">
        <v>9</v>
      </c>
      <c r="E61" s="161" t="s">
        <v>95</v>
      </c>
      <c r="F61" s="222">
        <v>341</v>
      </c>
      <c r="G61" s="222">
        <v>348.2</v>
      </c>
      <c r="H61" s="222">
        <v>7.2</v>
      </c>
      <c r="I61" s="207">
        <v>1375</v>
      </c>
      <c r="J61" s="242">
        <f t="shared" si="13"/>
        <v>9900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43985</v>
      </c>
      <c r="D62" s="161" t="s">
        <v>9</v>
      </c>
      <c r="E62" s="161" t="s">
        <v>95</v>
      </c>
      <c r="F62" s="222">
        <v>363</v>
      </c>
      <c r="G62" s="222">
        <v>373</v>
      </c>
      <c r="H62" s="222">
        <v>10</v>
      </c>
      <c r="I62" s="207">
        <v>1375</v>
      </c>
      <c r="J62" s="242">
        <f t="shared" si="13"/>
        <v>13750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43986</v>
      </c>
      <c r="D63" s="161" t="s">
        <v>9</v>
      </c>
      <c r="E63" s="161" t="s">
        <v>31</v>
      </c>
      <c r="F63" s="222">
        <v>1558</v>
      </c>
      <c r="G63" s="222">
        <v>1578</v>
      </c>
      <c r="H63" s="222">
        <v>20</v>
      </c>
      <c r="I63" s="207">
        <v>500</v>
      </c>
      <c r="J63" s="242">
        <f t="shared" si="13"/>
        <v>10000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43987</v>
      </c>
      <c r="D64" s="161" t="s">
        <v>9</v>
      </c>
      <c r="E64" s="161" t="s">
        <v>31</v>
      </c>
      <c r="F64" s="222">
        <v>1596</v>
      </c>
      <c r="G64" s="222">
        <v>1600</v>
      </c>
      <c r="H64" s="222">
        <v>4</v>
      </c>
      <c r="I64" s="207">
        <v>500</v>
      </c>
      <c r="J64" s="242">
        <f t="shared" si="13"/>
        <v>2000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43990</v>
      </c>
      <c r="D65" s="161" t="s">
        <v>8</v>
      </c>
      <c r="E65" s="161" t="s">
        <v>31</v>
      </c>
      <c r="F65" s="207">
        <v>1592</v>
      </c>
      <c r="G65" s="222">
        <v>1572</v>
      </c>
      <c r="H65" s="222">
        <v>20</v>
      </c>
      <c r="I65" s="207">
        <v>500</v>
      </c>
      <c r="J65" s="242">
        <f t="shared" si="13"/>
        <v>10000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43991</v>
      </c>
      <c r="D66" s="161" t="s">
        <v>8</v>
      </c>
      <c r="E66" s="161" t="s">
        <v>31</v>
      </c>
      <c r="F66" s="207">
        <v>1548</v>
      </c>
      <c r="G66" s="222">
        <v>1538</v>
      </c>
      <c r="H66" s="222">
        <v>10</v>
      </c>
      <c r="I66" s="207">
        <v>500</v>
      </c>
      <c r="J66" s="242">
        <f t="shared" si="13"/>
        <v>5000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43992</v>
      </c>
      <c r="D67" s="161" t="s">
        <v>8</v>
      </c>
      <c r="E67" s="161" t="s">
        <v>31</v>
      </c>
      <c r="F67" s="222">
        <v>1556</v>
      </c>
      <c r="G67" s="222">
        <v>1547.2</v>
      </c>
      <c r="H67" s="222">
        <v>8.8000000000000007</v>
      </c>
      <c r="I67" s="207">
        <v>500</v>
      </c>
      <c r="J67" s="242">
        <f t="shared" si="13"/>
        <v>4400</v>
      </c>
      <c r="K67" s="153"/>
      <c r="V67" s="25">
        <f t="shared" si="14"/>
        <v>1</v>
      </c>
      <c r="W67" s="25">
        <f t="shared" si="15"/>
        <v>0</v>
      </c>
    </row>
    <row r="68" spans="1:23" x14ac:dyDescent="0.3">
      <c r="A68" s="147"/>
      <c r="B68" s="205">
        <f t="shared" si="16"/>
        <v>9</v>
      </c>
      <c r="C68" s="206">
        <v>43993</v>
      </c>
      <c r="D68" s="161" t="s">
        <v>9</v>
      </c>
      <c r="E68" s="161" t="s">
        <v>95</v>
      </c>
      <c r="F68" s="222">
        <v>352</v>
      </c>
      <c r="G68" s="222">
        <v>353.65</v>
      </c>
      <c r="H68" s="222">
        <v>1.65</v>
      </c>
      <c r="I68" s="207">
        <v>1375</v>
      </c>
      <c r="J68" s="242">
        <f t="shared" si="13"/>
        <v>2268.75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43993</v>
      </c>
      <c r="D69" s="161" t="s">
        <v>8</v>
      </c>
      <c r="E69" s="161" t="s">
        <v>58</v>
      </c>
      <c r="F69" s="222">
        <v>420</v>
      </c>
      <c r="G69" s="222">
        <v>409</v>
      </c>
      <c r="H69" s="222">
        <v>14</v>
      </c>
      <c r="I69" s="207">
        <v>1200</v>
      </c>
      <c r="J69" s="242">
        <f t="shared" si="13"/>
        <v>16800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43994</v>
      </c>
      <c r="D70" s="161" t="s">
        <v>9</v>
      </c>
      <c r="E70" s="161" t="s">
        <v>31</v>
      </c>
      <c r="F70" s="161">
        <v>1533</v>
      </c>
      <c r="G70" s="222">
        <v>1537</v>
      </c>
      <c r="H70" s="222">
        <v>4</v>
      </c>
      <c r="I70" s="207">
        <v>500</v>
      </c>
      <c r="J70" s="242">
        <f t="shared" si="13"/>
        <v>2000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43997</v>
      </c>
      <c r="D71" s="161" t="s">
        <v>8</v>
      </c>
      <c r="E71" s="161" t="s">
        <v>58</v>
      </c>
      <c r="F71" s="222">
        <v>396</v>
      </c>
      <c r="G71" s="222">
        <v>384</v>
      </c>
      <c r="H71" s="222">
        <v>12</v>
      </c>
      <c r="I71" s="207">
        <v>1200</v>
      </c>
      <c r="J71" s="242">
        <f t="shared" si="13"/>
        <v>14400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43998</v>
      </c>
      <c r="D72" s="161" t="s">
        <v>8</v>
      </c>
      <c r="E72" s="161" t="s">
        <v>58</v>
      </c>
      <c r="F72" s="222">
        <v>397</v>
      </c>
      <c r="G72" s="222">
        <v>387</v>
      </c>
      <c r="H72" s="222">
        <v>10</v>
      </c>
      <c r="I72" s="207">
        <v>1200</v>
      </c>
      <c r="J72" s="242">
        <f t="shared" si="13"/>
        <v>12000</v>
      </c>
      <c r="K72" s="153"/>
      <c r="V72" s="25">
        <f t="shared" si="14"/>
        <v>1</v>
      </c>
      <c r="W72" s="25">
        <f t="shared" si="15"/>
        <v>0</v>
      </c>
    </row>
    <row r="73" spans="1:23" x14ac:dyDescent="0.3">
      <c r="A73" s="147"/>
      <c r="B73" s="205">
        <f t="shared" si="16"/>
        <v>14</v>
      </c>
      <c r="C73" s="206">
        <v>43999</v>
      </c>
      <c r="D73" s="161" t="s">
        <v>8</v>
      </c>
      <c r="E73" s="161" t="s">
        <v>58</v>
      </c>
      <c r="F73" s="223">
        <v>392</v>
      </c>
      <c r="G73" s="222">
        <v>388</v>
      </c>
      <c r="H73" s="255">
        <v>4</v>
      </c>
      <c r="I73" s="207">
        <v>1200</v>
      </c>
      <c r="J73" s="242">
        <f t="shared" si="13"/>
        <v>4800</v>
      </c>
      <c r="K73" s="153"/>
      <c r="V73" s="25">
        <f t="shared" si="14"/>
        <v>1</v>
      </c>
      <c r="W73" s="25">
        <f t="shared" si="15"/>
        <v>0</v>
      </c>
    </row>
    <row r="74" spans="1:23" x14ac:dyDescent="0.3">
      <c r="A74" s="147"/>
      <c r="B74" s="205">
        <f t="shared" si="16"/>
        <v>15</v>
      </c>
      <c r="C74" s="206">
        <v>44000</v>
      </c>
      <c r="D74" s="161" t="s">
        <v>8</v>
      </c>
      <c r="E74" s="161" t="s">
        <v>58</v>
      </c>
      <c r="F74" s="222">
        <v>391</v>
      </c>
      <c r="G74" s="222">
        <v>388.8</v>
      </c>
      <c r="H74" s="255">
        <v>2.2000000000000002</v>
      </c>
      <c r="I74" s="207">
        <v>1200</v>
      </c>
      <c r="J74" s="242">
        <f t="shared" si="13"/>
        <v>2640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44001</v>
      </c>
      <c r="D75" s="161" t="s">
        <v>8</v>
      </c>
      <c r="E75" s="161" t="s">
        <v>2925</v>
      </c>
      <c r="F75" s="222">
        <v>388</v>
      </c>
      <c r="G75" s="222">
        <v>383.6</v>
      </c>
      <c r="H75" s="255">
        <v>4.4000000000000004</v>
      </c>
      <c r="I75" s="207">
        <v>1500</v>
      </c>
      <c r="J75" s="242">
        <f t="shared" si="13"/>
        <v>6600.0000000000009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44004</v>
      </c>
      <c r="D76" s="161" t="s">
        <v>9</v>
      </c>
      <c r="E76" s="161" t="s">
        <v>58</v>
      </c>
      <c r="F76" s="222">
        <v>425</v>
      </c>
      <c r="G76" s="222">
        <v>435</v>
      </c>
      <c r="H76" s="222">
        <v>10</v>
      </c>
      <c r="I76" s="207">
        <v>1200</v>
      </c>
      <c r="J76" s="242">
        <f t="shared" si="13"/>
        <v>12000</v>
      </c>
      <c r="K76" s="153"/>
      <c r="V76" s="25">
        <f t="shared" si="14"/>
        <v>1</v>
      </c>
      <c r="W76" s="25">
        <f t="shared" si="15"/>
        <v>0</v>
      </c>
    </row>
    <row r="77" spans="1:23" x14ac:dyDescent="0.3">
      <c r="A77" s="147"/>
      <c r="B77" s="205">
        <f t="shared" si="16"/>
        <v>18</v>
      </c>
      <c r="C77" s="206">
        <v>44005</v>
      </c>
      <c r="D77" s="161" t="s">
        <v>8</v>
      </c>
      <c r="E77" s="161" t="s">
        <v>31</v>
      </c>
      <c r="F77" s="222">
        <v>1740</v>
      </c>
      <c r="G77" s="222">
        <v>1725</v>
      </c>
      <c r="H77" s="222">
        <v>15</v>
      </c>
      <c r="I77" s="207">
        <v>505</v>
      </c>
      <c r="J77" s="242">
        <f t="shared" si="13"/>
        <v>7575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44006</v>
      </c>
      <c r="D78" s="161" t="s">
        <v>8</v>
      </c>
      <c r="E78" s="161" t="s">
        <v>95</v>
      </c>
      <c r="F78" s="222">
        <v>372</v>
      </c>
      <c r="G78" s="222">
        <v>364</v>
      </c>
      <c r="H78" s="222">
        <v>8</v>
      </c>
      <c r="I78" s="207">
        <v>1375</v>
      </c>
      <c r="J78" s="242">
        <f t="shared" si="13"/>
        <v>11000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44007</v>
      </c>
      <c r="D79" s="161" t="s">
        <v>9</v>
      </c>
      <c r="E79" s="161" t="s">
        <v>95</v>
      </c>
      <c r="F79" s="222">
        <v>348</v>
      </c>
      <c r="G79" s="222">
        <v>355.2</v>
      </c>
      <c r="H79" s="222">
        <v>7.2</v>
      </c>
      <c r="I79" s="207">
        <v>1375</v>
      </c>
      <c r="J79" s="242">
        <f t="shared" si="13"/>
        <v>9900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>
        <v>44008</v>
      </c>
      <c r="D80" s="161" t="s">
        <v>8</v>
      </c>
      <c r="E80" s="161" t="s">
        <v>3017</v>
      </c>
      <c r="F80" s="222">
        <v>354</v>
      </c>
      <c r="G80" s="222">
        <v>346</v>
      </c>
      <c r="H80" s="222">
        <v>8</v>
      </c>
      <c r="I80" s="207">
        <v>1375</v>
      </c>
      <c r="J80" s="242">
        <f t="shared" si="13"/>
        <v>11000</v>
      </c>
      <c r="K80" s="153"/>
      <c r="V80" s="25">
        <f t="shared" si="14"/>
        <v>1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>
        <v>44011</v>
      </c>
      <c r="D81" s="161" t="s">
        <v>8</v>
      </c>
      <c r="E81" s="161" t="s">
        <v>3017</v>
      </c>
      <c r="F81" s="222">
        <v>340</v>
      </c>
      <c r="G81" s="222">
        <v>338</v>
      </c>
      <c r="H81" s="222">
        <v>2</v>
      </c>
      <c r="I81" s="207">
        <v>1375</v>
      </c>
      <c r="J81" s="242">
        <f t="shared" si="13"/>
        <v>2750</v>
      </c>
      <c r="K81" s="153"/>
    </row>
    <row r="82" spans="1:23" x14ac:dyDescent="0.3">
      <c r="A82" s="147"/>
      <c r="B82" s="205">
        <f t="shared" si="16"/>
        <v>23</v>
      </c>
      <c r="C82" s="206">
        <v>44012</v>
      </c>
      <c r="D82" s="161" t="s">
        <v>9</v>
      </c>
      <c r="E82" s="161" t="s">
        <v>3017</v>
      </c>
      <c r="F82" s="222">
        <v>353</v>
      </c>
      <c r="G82" s="222">
        <v>349</v>
      </c>
      <c r="H82" s="222">
        <v>-4</v>
      </c>
      <c r="I82" s="207">
        <v>1375</v>
      </c>
      <c r="J82" s="242">
        <f t="shared" si="13"/>
        <v>-5500</v>
      </c>
      <c r="K82" s="153"/>
      <c r="V82" s="25">
        <f t="shared" si="14"/>
        <v>0</v>
      </c>
      <c r="W82" s="25">
        <f t="shared" si="15"/>
        <v>1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177433.75</v>
      </c>
      <c r="K84" s="153"/>
      <c r="V84" s="25">
        <f>SUM(V60:V83)</f>
        <v>21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2994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43983</v>
      </c>
      <c r="D92" s="185" t="s">
        <v>8</v>
      </c>
      <c r="E92" s="185" t="s">
        <v>39</v>
      </c>
      <c r="F92" s="219">
        <v>9800</v>
      </c>
      <c r="G92" s="219">
        <v>9776</v>
      </c>
      <c r="H92" s="185">
        <v>24</v>
      </c>
      <c r="I92" s="219">
        <v>150</v>
      </c>
      <c r="J92" s="246">
        <f t="shared" ref="J92:J114" si="17">I92*H92</f>
        <v>3600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43984</v>
      </c>
      <c r="D93" s="185" t="s">
        <v>8</v>
      </c>
      <c r="E93" s="185" t="s">
        <v>39</v>
      </c>
      <c r="F93" s="219">
        <v>9840</v>
      </c>
      <c r="G93" s="219">
        <v>9880</v>
      </c>
      <c r="H93" s="185">
        <v>40</v>
      </c>
      <c r="I93" s="219">
        <v>150</v>
      </c>
      <c r="J93" s="242">
        <f t="shared" si="17"/>
        <v>6000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43985</v>
      </c>
      <c r="D94" s="161" t="s">
        <v>8</v>
      </c>
      <c r="E94" s="161" t="s">
        <v>39</v>
      </c>
      <c r="F94" s="207">
        <v>10080</v>
      </c>
      <c r="G94" s="207">
        <v>10160</v>
      </c>
      <c r="H94" s="161">
        <v>80</v>
      </c>
      <c r="I94" s="207">
        <v>150</v>
      </c>
      <c r="J94" s="242">
        <f t="shared" si="17"/>
        <v>12000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43986</v>
      </c>
      <c r="D95" s="161" t="s">
        <v>8</v>
      </c>
      <c r="E95" s="161" t="s">
        <v>39</v>
      </c>
      <c r="F95" s="207">
        <v>10010</v>
      </c>
      <c r="G95" s="207">
        <v>9940</v>
      </c>
      <c r="H95" s="161">
        <v>70</v>
      </c>
      <c r="I95" s="207">
        <v>150</v>
      </c>
      <c r="J95" s="242">
        <f t="shared" si="17"/>
        <v>10500</v>
      </c>
      <c r="K95" s="153"/>
      <c r="V95" s="25">
        <f t="shared" si="18"/>
        <v>1</v>
      </c>
      <c r="W95" s="25">
        <f t="shared" si="19"/>
        <v>0</v>
      </c>
    </row>
    <row r="96" spans="1:23" x14ac:dyDescent="0.3">
      <c r="A96" s="147"/>
      <c r="B96" s="205">
        <f t="shared" si="20"/>
        <v>5</v>
      </c>
      <c r="C96" s="206">
        <v>43987</v>
      </c>
      <c r="D96" s="161" t="s">
        <v>8</v>
      </c>
      <c r="E96" s="161" t="s">
        <v>39</v>
      </c>
      <c r="F96" s="207">
        <v>10080</v>
      </c>
      <c r="G96" s="207">
        <v>10040</v>
      </c>
      <c r="H96" s="161">
        <v>40</v>
      </c>
      <c r="I96" s="207">
        <v>150</v>
      </c>
      <c r="J96" s="242">
        <f t="shared" si="17"/>
        <v>6000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43990</v>
      </c>
      <c r="D97" s="161" t="s">
        <v>8</v>
      </c>
      <c r="E97" s="161" t="s">
        <v>39</v>
      </c>
      <c r="F97" s="207">
        <v>10260</v>
      </c>
      <c r="G97" s="207">
        <v>10180</v>
      </c>
      <c r="H97" s="161">
        <v>80</v>
      </c>
      <c r="I97" s="207">
        <v>150</v>
      </c>
      <c r="J97" s="242">
        <f t="shared" si="17"/>
        <v>12000</v>
      </c>
      <c r="K97" s="153"/>
      <c r="V97" s="25">
        <f t="shared" si="18"/>
        <v>1</v>
      </c>
      <c r="W97" s="25">
        <f t="shared" si="19"/>
        <v>0</v>
      </c>
    </row>
    <row r="98" spans="1:23" x14ac:dyDescent="0.3">
      <c r="A98" s="147"/>
      <c r="B98" s="205">
        <f t="shared" si="20"/>
        <v>7</v>
      </c>
      <c r="C98" s="206">
        <v>43991</v>
      </c>
      <c r="D98" s="161" t="s">
        <v>8</v>
      </c>
      <c r="E98" s="161" t="s">
        <v>39</v>
      </c>
      <c r="F98" s="207">
        <v>10220</v>
      </c>
      <c r="G98" s="207">
        <v>10140</v>
      </c>
      <c r="H98" s="161">
        <v>80</v>
      </c>
      <c r="I98" s="207">
        <v>150</v>
      </c>
      <c r="J98" s="242">
        <f t="shared" si="17"/>
        <v>12000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43992</v>
      </c>
      <c r="D99" s="161" t="s">
        <v>8</v>
      </c>
      <c r="E99" s="161" t="s">
        <v>39</v>
      </c>
      <c r="F99" s="207">
        <v>10100</v>
      </c>
      <c r="G99" s="207">
        <v>10060</v>
      </c>
      <c r="H99" s="161">
        <v>40</v>
      </c>
      <c r="I99" s="207">
        <v>150</v>
      </c>
      <c r="J99" s="242">
        <f t="shared" si="17"/>
        <v>6000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43993</v>
      </c>
      <c r="D100" s="161" t="s">
        <v>8</v>
      </c>
      <c r="E100" s="161" t="s">
        <v>39</v>
      </c>
      <c r="F100" s="207">
        <v>10020</v>
      </c>
      <c r="G100" s="207">
        <v>9940</v>
      </c>
      <c r="H100" s="161">
        <v>80</v>
      </c>
      <c r="I100" s="207">
        <v>150</v>
      </c>
      <c r="J100" s="242">
        <f t="shared" si="17"/>
        <v>12000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43997</v>
      </c>
      <c r="D101" s="161" t="s">
        <v>8</v>
      </c>
      <c r="E101" s="161" t="s">
        <v>39</v>
      </c>
      <c r="F101" s="207">
        <v>9780</v>
      </c>
      <c r="G101" s="207">
        <v>9700</v>
      </c>
      <c r="H101" s="161">
        <v>80</v>
      </c>
      <c r="I101" s="207">
        <v>150</v>
      </c>
      <c r="J101" s="242">
        <f t="shared" si="17"/>
        <v>12000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43998</v>
      </c>
      <c r="D102" s="161" t="s">
        <v>8</v>
      </c>
      <c r="E102" s="161" t="s">
        <v>39</v>
      </c>
      <c r="F102" s="207">
        <v>9970</v>
      </c>
      <c r="G102" s="207">
        <v>10010</v>
      </c>
      <c r="H102" s="161">
        <v>-40</v>
      </c>
      <c r="I102" s="207">
        <v>150</v>
      </c>
      <c r="J102" s="242">
        <f t="shared" si="17"/>
        <v>-6000</v>
      </c>
      <c r="K102" s="153"/>
      <c r="V102" s="25">
        <f t="shared" si="18"/>
        <v>0</v>
      </c>
      <c r="W102" s="25">
        <f t="shared" si="19"/>
        <v>1</v>
      </c>
    </row>
    <row r="103" spans="1:23" x14ac:dyDescent="0.3">
      <c r="A103" s="147"/>
      <c r="B103" s="205">
        <f t="shared" si="20"/>
        <v>12</v>
      </c>
      <c r="C103" s="206">
        <v>43999</v>
      </c>
      <c r="D103" s="161" t="s">
        <v>8</v>
      </c>
      <c r="E103" s="161" t="s">
        <v>39</v>
      </c>
      <c r="F103" s="207">
        <v>9950</v>
      </c>
      <c r="G103" s="207">
        <v>9870</v>
      </c>
      <c r="H103" s="161">
        <v>80</v>
      </c>
      <c r="I103" s="207">
        <v>150</v>
      </c>
      <c r="J103" s="242">
        <f t="shared" si="17"/>
        <v>12000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13</v>
      </c>
      <c r="C104" s="206">
        <v>44000</v>
      </c>
      <c r="D104" s="161" t="s">
        <v>8</v>
      </c>
      <c r="E104" s="161" t="s">
        <v>39</v>
      </c>
      <c r="F104" s="207">
        <v>9870</v>
      </c>
      <c r="G104" s="207">
        <v>9910</v>
      </c>
      <c r="H104" s="161">
        <v>-40</v>
      </c>
      <c r="I104" s="207">
        <v>150</v>
      </c>
      <c r="J104" s="242">
        <f t="shared" si="17"/>
        <v>-6000</v>
      </c>
      <c r="K104" s="153"/>
      <c r="V104" s="25">
        <f t="shared" si="18"/>
        <v>0</v>
      </c>
      <c r="W104" s="25">
        <f t="shared" si="19"/>
        <v>1</v>
      </c>
    </row>
    <row r="105" spans="1:23" x14ac:dyDescent="0.3">
      <c r="A105" s="147"/>
      <c r="B105" s="205">
        <f t="shared" si="20"/>
        <v>14</v>
      </c>
      <c r="C105" s="206">
        <v>44001</v>
      </c>
      <c r="D105" s="161" t="s">
        <v>9</v>
      </c>
      <c r="E105" s="161" t="s">
        <v>39</v>
      </c>
      <c r="F105" s="207">
        <v>10120</v>
      </c>
      <c r="G105" s="207">
        <v>10200</v>
      </c>
      <c r="H105" s="161">
        <v>80</v>
      </c>
      <c r="I105" s="207">
        <v>150</v>
      </c>
      <c r="J105" s="242">
        <f t="shared" si="17"/>
        <v>12000</v>
      </c>
      <c r="K105" s="153"/>
      <c r="V105" s="25">
        <f t="shared" si="18"/>
        <v>1</v>
      </c>
      <c r="W105" s="25">
        <f t="shared" si="19"/>
        <v>0</v>
      </c>
    </row>
    <row r="106" spans="1:23" x14ac:dyDescent="0.3">
      <c r="A106" s="147"/>
      <c r="B106" s="205">
        <f t="shared" si="20"/>
        <v>15</v>
      </c>
      <c r="C106" s="206">
        <v>44004</v>
      </c>
      <c r="D106" s="161" t="s">
        <v>9</v>
      </c>
      <c r="E106" s="161" t="s">
        <v>39</v>
      </c>
      <c r="F106" s="207">
        <v>10290</v>
      </c>
      <c r="G106" s="207">
        <v>10370</v>
      </c>
      <c r="H106" s="161">
        <v>80</v>
      </c>
      <c r="I106" s="207">
        <v>150</v>
      </c>
      <c r="J106" s="242">
        <f t="shared" si="17"/>
        <v>12000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44005</v>
      </c>
      <c r="D107" s="161" t="s">
        <v>9</v>
      </c>
      <c r="E107" s="161" t="s">
        <v>39</v>
      </c>
      <c r="F107" s="207">
        <v>10360</v>
      </c>
      <c r="G107" s="207">
        <v>10440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44006</v>
      </c>
      <c r="D108" s="161" t="s">
        <v>9</v>
      </c>
      <c r="E108" s="161" t="s">
        <v>39</v>
      </c>
      <c r="F108" s="207">
        <v>10460</v>
      </c>
      <c r="G108" s="207">
        <v>10430</v>
      </c>
      <c r="H108" s="161">
        <v>-30</v>
      </c>
      <c r="I108" s="207">
        <v>150</v>
      </c>
      <c r="J108" s="242">
        <f t="shared" si="17"/>
        <v>-4500</v>
      </c>
      <c r="K108" s="153"/>
      <c r="V108" s="25">
        <f t="shared" si="18"/>
        <v>0</v>
      </c>
      <c r="W108" s="25">
        <f t="shared" si="19"/>
        <v>1</v>
      </c>
    </row>
    <row r="109" spans="1:23" x14ac:dyDescent="0.3">
      <c r="A109" s="147"/>
      <c r="B109" s="205">
        <f t="shared" si="20"/>
        <v>18</v>
      </c>
      <c r="C109" s="206">
        <v>44007</v>
      </c>
      <c r="D109" s="161" t="s">
        <v>9</v>
      </c>
      <c r="E109" s="161" t="s">
        <v>39</v>
      </c>
      <c r="F109" s="207">
        <v>10340</v>
      </c>
      <c r="G109" s="207">
        <v>10300</v>
      </c>
      <c r="H109" s="161">
        <v>40</v>
      </c>
      <c r="I109" s="207">
        <v>150</v>
      </c>
      <c r="J109" s="242">
        <f t="shared" si="17"/>
        <v>6000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44008</v>
      </c>
      <c r="D110" s="161" t="s">
        <v>9</v>
      </c>
      <c r="E110" s="161" t="s">
        <v>39</v>
      </c>
      <c r="F110" s="207">
        <v>10340</v>
      </c>
      <c r="G110" s="207">
        <v>10300</v>
      </c>
      <c r="H110" s="161">
        <v>-40</v>
      </c>
      <c r="I110" s="207">
        <v>150</v>
      </c>
      <c r="J110" s="242">
        <f>I110*H110</f>
        <v>-6000</v>
      </c>
      <c r="K110" s="153"/>
      <c r="V110" s="25">
        <f t="shared" si="18"/>
        <v>0</v>
      </c>
      <c r="W110" s="25">
        <f t="shared" si="19"/>
        <v>1</v>
      </c>
    </row>
    <row r="111" spans="1:23" x14ac:dyDescent="0.3">
      <c r="A111" s="147"/>
      <c r="B111" s="205">
        <f t="shared" si="20"/>
        <v>20</v>
      </c>
      <c r="C111" s="206">
        <v>44011</v>
      </c>
      <c r="D111" s="161" t="s">
        <v>8</v>
      </c>
      <c r="E111" s="161" t="s">
        <v>39</v>
      </c>
      <c r="F111" s="207">
        <v>10210</v>
      </c>
      <c r="G111" s="207">
        <v>10170</v>
      </c>
      <c r="H111" s="161">
        <v>40</v>
      </c>
      <c r="I111" s="207">
        <v>150</v>
      </c>
      <c r="J111" s="242">
        <f t="shared" si="17"/>
        <v>6000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>
        <v>44012</v>
      </c>
      <c r="D112" s="161" t="s">
        <v>8</v>
      </c>
      <c r="E112" s="161" t="s">
        <v>39</v>
      </c>
      <c r="F112" s="207">
        <v>10300</v>
      </c>
      <c r="G112" s="207">
        <v>10220</v>
      </c>
      <c r="H112" s="161">
        <v>80</v>
      </c>
      <c r="I112" s="207">
        <v>150</v>
      </c>
      <c r="J112" s="242">
        <f t="shared" si="17"/>
        <v>12000</v>
      </c>
      <c r="K112" s="153"/>
      <c r="V112" s="25">
        <f t="shared" si="18"/>
        <v>1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141600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2992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43983</v>
      </c>
      <c r="D123" s="185" t="s">
        <v>9</v>
      </c>
      <c r="E123" s="185" t="s">
        <v>2205</v>
      </c>
      <c r="F123" s="219">
        <v>130</v>
      </c>
      <c r="G123" s="219">
        <v>100</v>
      </c>
      <c r="H123" s="185">
        <v>-30</v>
      </c>
      <c r="I123" s="219">
        <v>300</v>
      </c>
      <c r="J123" s="246">
        <f t="shared" ref="J123:J145" si="21">I123*H123</f>
        <v>-9000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43984</v>
      </c>
      <c r="D124" s="185" t="s">
        <v>9</v>
      </c>
      <c r="E124" s="185" t="s">
        <v>2998</v>
      </c>
      <c r="F124" s="219">
        <v>110</v>
      </c>
      <c r="G124" s="219">
        <v>140</v>
      </c>
      <c r="H124" s="185">
        <v>30</v>
      </c>
      <c r="I124" s="219">
        <v>300</v>
      </c>
      <c r="J124" s="242">
        <f t="shared" si="21"/>
        <v>9000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 t="shared" ref="B125:B145" si="24">B124+1</f>
        <v>3</v>
      </c>
      <c r="C125" s="206">
        <v>43985</v>
      </c>
      <c r="D125" s="161" t="s">
        <v>9</v>
      </c>
      <c r="E125" s="161" t="s">
        <v>2300</v>
      </c>
      <c r="F125" s="207">
        <v>140</v>
      </c>
      <c r="G125" s="207">
        <v>200</v>
      </c>
      <c r="H125" s="161">
        <v>60</v>
      </c>
      <c r="I125" s="207">
        <v>300</v>
      </c>
      <c r="J125" s="242">
        <f t="shared" si="21"/>
        <v>18000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si="24"/>
        <v>4</v>
      </c>
      <c r="C126" s="206">
        <v>43986</v>
      </c>
      <c r="D126" s="161" t="s">
        <v>9</v>
      </c>
      <c r="E126" s="161" t="s">
        <v>2299</v>
      </c>
      <c r="F126" s="207">
        <v>90</v>
      </c>
      <c r="G126" s="207">
        <v>150</v>
      </c>
      <c r="H126" s="161">
        <v>60</v>
      </c>
      <c r="I126" s="207">
        <v>300</v>
      </c>
      <c r="J126" s="242">
        <f t="shared" si="21"/>
        <v>18000</v>
      </c>
      <c r="K126" s="153"/>
      <c r="V126" s="25">
        <f t="shared" si="22"/>
        <v>1</v>
      </c>
      <c r="W126" s="25">
        <f t="shared" si="23"/>
        <v>0</v>
      </c>
    </row>
    <row r="127" spans="1:23" x14ac:dyDescent="0.3">
      <c r="A127" s="147"/>
      <c r="B127" s="205">
        <f t="shared" si="24"/>
        <v>5</v>
      </c>
      <c r="C127" s="206">
        <v>43987</v>
      </c>
      <c r="D127" s="161" t="s">
        <v>9</v>
      </c>
      <c r="E127" s="161" t="s">
        <v>2299</v>
      </c>
      <c r="F127" s="207">
        <v>170</v>
      </c>
      <c r="G127" s="207">
        <v>140</v>
      </c>
      <c r="H127" s="161">
        <v>-30</v>
      </c>
      <c r="I127" s="207">
        <v>300</v>
      </c>
      <c r="J127" s="242">
        <f t="shared" si="21"/>
        <v>-9000</v>
      </c>
      <c r="K127" s="153"/>
      <c r="M127" s="25" t="s">
        <v>2008</v>
      </c>
      <c r="V127" s="25">
        <f t="shared" si="22"/>
        <v>0</v>
      </c>
      <c r="W127" s="25">
        <f t="shared" si="23"/>
        <v>1</v>
      </c>
    </row>
    <row r="128" spans="1:23" x14ac:dyDescent="0.3">
      <c r="A128" s="147"/>
      <c r="B128" s="205">
        <f t="shared" si="24"/>
        <v>6</v>
      </c>
      <c r="C128" s="206">
        <v>43990</v>
      </c>
      <c r="D128" s="161" t="s">
        <v>9</v>
      </c>
      <c r="E128" s="161" t="s">
        <v>2348</v>
      </c>
      <c r="F128" s="207">
        <v>120</v>
      </c>
      <c r="G128" s="222">
        <v>170</v>
      </c>
      <c r="H128" s="222">
        <v>50</v>
      </c>
      <c r="I128" s="207">
        <v>300</v>
      </c>
      <c r="J128" s="242">
        <f t="shared" si="21"/>
        <v>15000</v>
      </c>
      <c r="K128" s="153"/>
      <c r="V128" s="25">
        <f t="shared" si="22"/>
        <v>1</v>
      </c>
      <c r="W128" s="25">
        <f t="shared" si="23"/>
        <v>0</v>
      </c>
    </row>
    <row r="129" spans="1:23" x14ac:dyDescent="0.3">
      <c r="A129" s="147"/>
      <c r="B129" s="205">
        <f t="shared" si="24"/>
        <v>7</v>
      </c>
      <c r="C129" s="206">
        <v>43991</v>
      </c>
      <c r="D129" s="161" t="s">
        <v>9</v>
      </c>
      <c r="E129" s="161" t="s">
        <v>2348</v>
      </c>
      <c r="F129" s="207">
        <v>120</v>
      </c>
      <c r="G129" s="207">
        <v>180</v>
      </c>
      <c r="H129" s="161">
        <v>60</v>
      </c>
      <c r="I129" s="207">
        <v>300</v>
      </c>
      <c r="J129" s="242">
        <f t="shared" si="21"/>
        <v>18000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43992</v>
      </c>
      <c r="D130" s="161" t="s">
        <v>9</v>
      </c>
      <c r="E130" s="161" t="s">
        <v>2346</v>
      </c>
      <c r="F130" s="207">
        <v>130</v>
      </c>
      <c r="G130" s="207">
        <v>160</v>
      </c>
      <c r="H130" s="161">
        <v>30</v>
      </c>
      <c r="I130" s="207">
        <v>300</v>
      </c>
      <c r="J130" s="242">
        <f t="shared" si="21"/>
        <v>9000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43993</v>
      </c>
      <c r="D131" s="161" t="s">
        <v>9</v>
      </c>
      <c r="E131" s="161" t="s">
        <v>2299</v>
      </c>
      <c r="F131" s="207">
        <v>90</v>
      </c>
      <c r="G131" s="207">
        <v>150</v>
      </c>
      <c r="H131" s="161">
        <v>60</v>
      </c>
      <c r="I131" s="207">
        <v>300</v>
      </c>
      <c r="J131" s="242">
        <f t="shared" si="21"/>
        <v>18000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43994</v>
      </c>
      <c r="D132" s="161" t="s">
        <v>9</v>
      </c>
      <c r="E132" s="161" t="s">
        <v>2192</v>
      </c>
      <c r="F132" s="207">
        <v>175</v>
      </c>
      <c r="G132" s="222">
        <v>150</v>
      </c>
      <c r="H132" s="222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11</v>
      </c>
      <c r="C133" s="206">
        <v>43997</v>
      </c>
      <c r="D133" s="161" t="s">
        <v>9</v>
      </c>
      <c r="E133" s="161" t="s">
        <v>2192</v>
      </c>
      <c r="F133" s="207">
        <v>110</v>
      </c>
      <c r="G133" s="207">
        <v>152</v>
      </c>
      <c r="H133" s="161">
        <v>42</v>
      </c>
      <c r="I133" s="207">
        <v>300</v>
      </c>
      <c r="J133" s="242">
        <f t="shared" si="21"/>
        <v>12600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43998</v>
      </c>
      <c r="D134" s="161" t="s">
        <v>9</v>
      </c>
      <c r="E134" s="161" t="s">
        <v>2290</v>
      </c>
      <c r="F134" s="207">
        <v>110</v>
      </c>
      <c r="G134" s="222">
        <v>170</v>
      </c>
      <c r="H134" s="222">
        <v>60</v>
      </c>
      <c r="I134" s="207">
        <v>300</v>
      </c>
      <c r="J134" s="242">
        <f t="shared" si="21"/>
        <v>18000</v>
      </c>
      <c r="K134" s="153"/>
      <c r="V134" s="25">
        <f t="shared" si="22"/>
        <v>1</v>
      </c>
      <c r="W134" s="25">
        <f t="shared" si="23"/>
        <v>0</v>
      </c>
    </row>
    <row r="135" spans="1:23" x14ac:dyDescent="0.3">
      <c r="A135" s="147"/>
      <c r="B135" s="205">
        <f t="shared" si="24"/>
        <v>13</v>
      </c>
      <c r="C135" s="206">
        <v>43999</v>
      </c>
      <c r="D135" s="161" t="s">
        <v>9</v>
      </c>
      <c r="E135" s="161" t="s">
        <v>2280</v>
      </c>
      <c r="F135" s="207">
        <v>105</v>
      </c>
      <c r="G135" s="207">
        <v>115</v>
      </c>
      <c r="H135" s="161">
        <v>10</v>
      </c>
      <c r="I135" s="207">
        <v>300</v>
      </c>
      <c r="J135" s="242">
        <f t="shared" si="21"/>
        <v>3000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44000</v>
      </c>
      <c r="D136" s="161" t="s">
        <v>9</v>
      </c>
      <c r="E136" s="161" t="s">
        <v>2290</v>
      </c>
      <c r="F136" s="207">
        <v>120</v>
      </c>
      <c r="G136" s="207">
        <v>132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44001</v>
      </c>
      <c r="D137" s="161" t="s">
        <v>9</v>
      </c>
      <c r="E137" s="161" t="s">
        <v>3012</v>
      </c>
      <c r="F137" s="207">
        <v>120</v>
      </c>
      <c r="G137" s="207">
        <v>164</v>
      </c>
      <c r="H137" s="161">
        <v>44</v>
      </c>
      <c r="I137" s="207">
        <v>300</v>
      </c>
      <c r="J137" s="242">
        <f t="shared" si="21"/>
        <v>13200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44004</v>
      </c>
      <c r="D138" s="161" t="s">
        <v>9</v>
      </c>
      <c r="E138" s="161" t="s">
        <v>2378</v>
      </c>
      <c r="F138" s="207">
        <v>120</v>
      </c>
      <c r="G138" s="207">
        <v>150</v>
      </c>
      <c r="H138" s="161">
        <v>30</v>
      </c>
      <c r="I138" s="207">
        <v>300</v>
      </c>
      <c r="J138" s="242">
        <f t="shared" si="21"/>
        <v>9000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44005</v>
      </c>
      <c r="D139" s="161" t="s">
        <v>9</v>
      </c>
      <c r="E139" s="161" t="s">
        <v>2378</v>
      </c>
      <c r="F139" s="207">
        <v>125</v>
      </c>
      <c r="G139" s="207">
        <v>185</v>
      </c>
      <c r="H139" s="161">
        <v>60</v>
      </c>
      <c r="I139" s="207">
        <v>300</v>
      </c>
      <c r="J139" s="242">
        <f t="shared" si="21"/>
        <v>18000</v>
      </c>
      <c r="K139" s="153"/>
      <c r="V139" s="25">
        <f t="shared" si="22"/>
        <v>1</v>
      </c>
      <c r="W139" s="25">
        <f t="shared" si="23"/>
        <v>0</v>
      </c>
    </row>
    <row r="140" spans="1:23" x14ac:dyDescent="0.3">
      <c r="A140" s="147"/>
      <c r="B140" s="205">
        <f t="shared" si="24"/>
        <v>18</v>
      </c>
      <c r="C140" s="206">
        <v>44006</v>
      </c>
      <c r="D140" s="161" t="s">
        <v>9</v>
      </c>
      <c r="E140" s="161" t="s">
        <v>2373</v>
      </c>
      <c r="F140" s="207">
        <v>105</v>
      </c>
      <c r="G140" s="207">
        <v>75</v>
      </c>
      <c r="H140" s="161">
        <v>-30</v>
      </c>
      <c r="I140" s="207">
        <v>300</v>
      </c>
      <c r="J140" s="242">
        <f t="shared" si="21"/>
        <v>-9000</v>
      </c>
      <c r="K140" s="153"/>
      <c r="V140" s="25">
        <f t="shared" si="22"/>
        <v>0</v>
      </c>
      <c r="W140" s="25">
        <f t="shared" si="23"/>
        <v>1</v>
      </c>
    </row>
    <row r="141" spans="1:23" x14ac:dyDescent="0.3">
      <c r="A141" s="147"/>
      <c r="B141" s="205">
        <f t="shared" si="24"/>
        <v>19</v>
      </c>
      <c r="C141" s="206">
        <v>44007</v>
      </c>
      <c r="D141" s="161" t="s">
        <v>9</v>
      </c>
      <c r="E141" s="161" t="s">
        <v>3018</v>
      </c>
      <c r="F141" s="207">
        <v>100</v>
      </c>
      <c r="G141" s="207">
        <v>160</v>
      </c>
      <c r="H141" s="161">
        <v>60</v>
      </c>
      <c r="I141" s="207">
        <v>300</v>
      </c>
      <c r="J141" s="242">
        <f t="shared" si="21"/>
        <v>18000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44008</v>
      </c>
      <c r="D142" s="161" t="s">
        <v>9</v>
      </c>
      <c r="E142" s="161" t="s">
        <v>2378</v>
      </c>
      <c r="F142" s="207">
        <v>150</v>
      </c>
      <c r="G142" s="207">
        <v>162</v>
      </c>
      <c r="H142" s="161">
        <v>12</v>
      </c>
      <c r="I142" s="207">
        <v>300</v>
      </c>
      <c r="J142" s="242">
        <f t="shared" si="21"/>
        <v>3600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>
        <v>44011</v>
      </c>
      <c r="D143" s="161" t="s">
        <v>9</v>
      </c>
      <c r="E143" s="161" t="s">
        <v>2346</v>
      </c>
      <c r="F143" s="207">
        <v>120</v>
      </c>
      <c r="G143" s="207">
        <v>130</v>
      </c>
      <c r="H143" s="161">
        <v>10</v>
      </c>
      <c r="I143" s="207">
        <v>300</v>
      </c>
      <c r="J143" s="242">
        <f t="shared" si="21"/>
        <v>3000</v>
      </c>
      <c r="K143" s="153"/>
      <c r="V143" s="25">
        <f t="shared" si="22"/>
        <v>1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>
        <v>44012</v>
      </c>
      <c r="D144" s="161" t="s">
        <v>9</v>
      </c>
      <c r="E144" s="161" t="s">
        <v>2348</v>
      </c>
      <c r="F144" s="207">
        <v>90</v>
      </c>
      <c r="G144" s="207">
        <v>140</v>
      </c>
      <c r="H144" s="161">
        <v>50</v>
      </c>
      <c r="I144" s="207">
        <v>300</v>
      </c>
      <c r="J144" s="242">
        <f t="shared" si="21"/>
        <v>15000</v>
      </c>
      <c r="K144" s="153"/>
      <c r="V144" s="25">
        <f t="shared" si="22"/>
        <v>1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187500</v>
      </c>
      <c r="K146" s="153"/>
      <c r="V146" s="25">
        <f>SUM(V123:V145)</f>
        <v>18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2992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43983</v>
      </c>
      <c r="D154" s="185" t="s">
        <v>8</v>
      </c>
      <c r="E154" s="185" t="s">
        <v>301</v>
      </c>
      <c r="F154" s="219">
        <v>19950</v>
      </c>
      <c r="G154" s="219">
        <v>19800</v>
      </c>
      <c r="H154" s="185">
        <v>150</v>
      </c>
      <c r="I154" s="219">
        <v>40</v>
      </c>
      <c r="J154" s="246">
        <f t="shared" ref="J154:J176" si="25">I154*H154</f>
        <v>6000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43984</v>
      </c>
      <c r="D155" s="185" t="s">
        <v>9</v>
      </c>
      <c r="E155" s="185" t="s">
        <v>301</v>
      </c>
      <c r="F155" s="219">
        <v>20100</v>
      </c>
      <c r="G155" s="219">
        <v>19950</v>
      </c>
      <c r="H155" s="185">
        <v>-150</v>
      </c>
      <c r="I155" s="219">
        <v>40</v>
      </c>
      <c r="J155" s="242">
        <f t="shared" si="25"/>
        <v>-6000</v>
      </c>
      <c r="K155" s="153"/>
      <c r="V155" s="25">
        <f t="shared" ref="V155:V176" si="26">IF($J155&gt;0,1,0)</f>
        <v>0</v>
      </c>
      <c r="W155" s="25">
        <f t="shared" ref="W155:W176" si="27">IF($J155&lt;0,1,0)</f>
        <v>1</v>
      </c>
    </row>
    <row r="156" spans="1:23" x14ac:dyDescent="0.3">
      <c r="A156" s="147"/>
      <c r="B156" s="205">
        <f t="shared" ref="B156:B176" si="28">B155+1</f>
        <v>3</v>
      </c>
      <c r="C156" s="206">
        <v>43985</v>
      </c>
      <c r="D156" s="161" t="s">
        <v>9</v>
      </c>
      <c r="E156" s="161" t="s">
        <v>301</v>
      </c>
      <c r="F156" s="207">
        <v>21000</v>
      </c>
      <c r="G156" s="207">
        <v>21300</v>
      </c>
      <c r="H156" s="161">
        <v>300</v>
      </c>
      <c r="I156" s="207">
        <v>40</v>
      </c>
      <c r="J156" s="242">
        <f t="shared" si="25"/>
        <v>12000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43986</v>
      </c>
      <c r="D157" s="161" t="s">
        <v>9</v>
      </c>
      <c r="E157" s="161" t="s">
        <v>301</v>
      </c>
      <c r="F157" s="207">
        <v>20850</v>
      </c>
      <c r="G157" s="207">
        <v>20700</v>
      </c>
      <c r="H157" s="161">
        <v>-150</v>
      </c>
      <c r="I157" s="207">
        <v>40</v>
      </c>
      <c r="J157" s="242">
        <f t="shared" si="25"/>
        <v>-6000</v>
      </c>
      <c r="K157" s="153"/>
      <c r="V157" s="25">
        <f t="shared" si="26"/>
        <v>0</v>
      </c>
      <c r="W157" s="25">
        <f t="shared" si="27"/>
        <v>1</v>
      </c>
    </row>
    <row r="158" spans="1:23" x14ac:dyDescent="0.3">
      <c r="A158" s="147"/>
      <c r="B158" s="205">
        <f t="shared" si="28"/>
        <v>5</v>
      </c>
      <c r="C158" s="206">
        <v>43987</v>
      </c>
      <c r="D158" s="161" t="s">
        <v>9</v>
      </c>
      <c r="E158" s="161" t="s">
        <v>301</v>
      </c>
      <c r="F158" s="207">
        <v>20650</v>
      </c>
      <c r="G158" s="207">
        <v>20430</v>
      </c>
      <c r="H158" s="161">
        <v>220</v>
      </c>
      <c r="I158" s="207">
        <v>40</v>
      </c>
      <c r="J158" s="242">
        <f t="shared" si="25"/>
        <v>8800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43990</v>
      </c>
      <c r="D159" s="161" t="s">
        <v>8</v>
      </c>
      <c r="E159" s="161" t="s">
        <v>301</v>
      </c>
      <c r="F159" s="207">
        <v>21500</v>
      </c>
      <c r="G159" s="207">
        <v>21650</v>
      </c>
      <c r="H159" s="161">
        <v>-150</v>
      </c>
      <c r="I159" s="207">
        <v>40</v>
      </c>
      <c r="J159" s="242">
        <f t="shared" si="25"/>
        <v>-6000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43991</v>
      </c>
      <c r="D160" s="161" t="s">
        <v>8</v>
      </c>
      <c r="E160" s="161" t="s">
        <v>301</v>
      </c>
      <c r="F160" s="207">
        <v>21300</v>
      </c>
      <c r="G160" s="207">
        <v>21000</v>
      </c>
      <c r="H160" s="161">
        <v>300</v>
      </c>
      <c r="I160" s="207">
        <v>40</v>
      </c>
      <c r="J160" s="242">
        <f t="shared" si="25"/>
        <v>12000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43992</v>
      </c>
      <c r="D161" s="161" t="s">
        <v>8</v>
      </c>
      <c r="E161" s="161" t="s">
        <v>301</v>
      </c>
      <c r="F161" s="207">
        <v>20900</v>
      </c>
      <c r="G161" s="207">
        <v>20750</v>
      </c>
      <c r="H161" s="161">
        <v>150</v>
      </c>
      <c r="I161" s="207">
        <v>40</v>
      </c>
      <c r="J161" s="242">
        <f t="shared" si="25"/>
        <v>6000</v>
      </c>
      <c r="K161" s="153"/>
      <c r="V161" s="25">
        <f t="shared" si="26"/>
        <v>1</v>
      </c>
      <c r="W161" s="25">
        <f t="shared" si="27"/>
        <v>0</v>
      </c>
    </row>
    <row r="162" spans="1:23" x14ac:dyDescent="0.3">
      <c r="A162" s="147"/>
      <c r="B162" s="205">
        <f t="shared" si="28"/>
        <v>9</v>
      </c>
      <c r="C162" s="206">
        <v>43993</v>
      </c>
      <c r="D162" s="161" t="s">
        <v>8</v>
      </c>
      <c r="E162" s="161" t="s">
        <v>301</v>
      </c>
      <c r="F162" s="207">
        <v>21000</v>
      </c>
      <c r="G162" s="207">
        <v>20700</v>
      </c>
      <c r="H162" s="161">
        <v>300</v>
      </c>
      <c r="I162" s="207">
        <v>40</v>
      </c>
      <c r="J162" s="242">
        <f t="shared" si="25"/>
        <v>12000</v>
      </c>
      <c r="K162" s="153"/>
      <c r="V162" s="25">
        <f t="shared" si="26"/>
        <v>1</v>
      </c>
      <c r="W162" s="25">
        <f t="shared" si="27"/>
        <v>0</v>
      </c>
    </row>
    <row r="163" spans="1:23" x14ac:dyDescent="0.3">
      <c r="A163" s="147"/>
      <c r="B163" s="205">
        <f t="shared" si="28"/>
        <v>10</v>
      </c>
      <c r="C163" s="206">
        <v>43994</v>
      </c>
      <c r="D163" s="161" t="s">
        <v>8</v>
      </c>
      <c r="E163" s="161" t="s">
        <v>301</v>
      </c>
      <c r="F163" s="207">
        <v>19850</v>
      </c>
      <c r="G163" s="207">
        <v>20000</v>
      </c>
      <c r="H163" s="161">
        <v>-150</v>
      </c>
      <c r="I163" s="207">
        <v>40</v>
      </c>
      <c r="J163" s="242">
        <f t="shared" si="25"/>
        <v>-6000</v>
      </c>
      <c r="K163" s="153"/>
      <c r="V163" s="25">
        <f t="shared" si="26"/>
        <v>0</v>
      </c>
      <c r="W163" s="25">
        <f t="shared" si="27"/>
        <v>1</v>
      </c>
    </row>
    <row r="164" spans="1:23" x14ac:dyDescent="0.3">
      <c r="A164" s="147"/>
      <c r="B164" s="205">
        <f t="shared" si="28"/>
        <v>11</v>
      </c>
      <c r="C164" s="206">
        <v>43997</v>
      </c>
      <c r="D164" s="161" t="s">
        <v>8</v>
      </c>
      <c r="E164" s="161" t="s">
        <v>301</v>
      </c>
      <c r="F164" s="207">
        <v>20050</v>
      </c>
      <c r="G164" s="207">
        <v>19750</v>
      </c>
      <c r="H164" s="161">
        <v>300</v>
      </c>
      <c r="I164" s="207">
        <v>40</v>
      </c>
      <c r="J164" s="242">
        <f t="shared" si="25"/>
        <v>12000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43998</v>
      </c>
      <c r="D165" s="161" t="s">
        <v>8</v>
      </c>
      <c r="E165" s="161" t="s">
        <v>301</v>
      </c>
      <c r="F165" s="207">
        <v>20450</v>
      </c>
      <c r="G165" s="207">
        <v>20150</v>
      </c>
      <c r="H165" s="161">
        <v>300</v>
      </c>
      <c r="I165" s="207">
        <v>40</v>
      </c>
      <c r="J165" s="242">
        <f t="shared" si="25"/>
        <v>12000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43999</v>
      </c>
      <c r="D166" s="161" t="s">
        <v>8</v>
      </c>
      <c r="E166" s="161" t="s">
        <v>301</v>
      </c>
      <c r="F166" s="207">
        <v>20450</v>
      </c>
      <c r="G166" s="207">
        <v>20380</v>
      </c>
      <c r="H166" s="161">
        <v>70</v>
      </c>
      <c r="I166" s="207">
        <v>40</v>
      </c>
      <c r="J166" s="242">
        <f t="shared" si="25"/>
        <v>2800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14</v>
      </c>
      <c r="C167" s="206">
        <v>44000</v>
      </c>
      <c r="D167" s="161" t="s">
        <v>8</v>
      </c>
      <c r="E167" s="161" t="s">
        <v>301</v>
      </c>
      <c r="F167" s="207">
        <v>20200</v>
      </c>
      <c r="G167" s="207">
        <v>20140</v>
      </c>
      <c r="H167" s="161">
        <v>60</v>
      </c>
      <c r="I167" s="207">
        <v>40</v>
      </c>
      <c r="J167" s="242">
        <f t="shared" si="25"/>
        <v>2400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44001</v>
      </c>
      <c r="D168" s="161" t="s">
        <v>9</v>
      </c>
      <c r="E168" s="161" t="s">
        <v>301</v>
      </c>
      <c r="F168" s="207">
        <v>21100</v>
      </c>
      <c r="G168" s="207">
        <v>21400</v>
      </c>
      <c r="H168" s="161">
        <v>300</v>
      </c>
      <c r="I168" s="207">
        <v>40</v>
      </c>
      <c r="J168" s="242">
        <f t="shared" si="25"/>
        <v>12000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44004</v>
      </c>
      <c r="D169" s="161" t="s">
        <v>9</v>
      </c>
      <c r="E169" s="161" t="s">
        <v>301</v>
      </c>
      <c r="F169" s="207">
        <v>21700</v>
      </c>
      <c r="G169" s="207">
        <v>22000</v>
      </c>
      <c r="H169" s="161">
        <v>300</v>
      </c>
      <c r="I169" s="207">
        <v>40</v>
      </c>
      <c r="J169" s="242">
        <f t="shared" si="25"/>
        <v>12000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44005</v>
      </c>
      <c r="D170" s="161" t="s">
        <v>9</v>
      </c>
      <c r="E170" s="161" t="s">
        <v>301</v>
      </c>
      <c r="F170" s="207">
        <v>21850</v>
      </c>
      <c r="G170" s="207">
        <v>22150</v>
      </c>
      <c r="H170" s="161">
        <v>300</v>
      </c>
      <c r="I170" s="207">
        <v>40</v>
      </c>
      <c r="J170" s="242">
        <f t="shared" si="25"/>
        <v>12000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44006</v>
      </c>
      <c r="D171" s="161" t="s">
        <v>9</v>
      </c>
      <c r="E171" s="161" t="s">
        <v>301</v>
      </c>
      <c r="F171" s="207">
        <v>22100</v>
      </c>
      <c r="G171" s="207">
        <v>21950</v>
      </c>
      <c r="H171" s="161">
        <v>-150</v>
      </c>
      <c r="I171" s="207">
        <v>40</v>
      </c>
      <c r="J171" s="242">
        <f t="shared" si="25"/>
        <v>-6000</v>
      </c>
      <c r="K171" s="153"/>
      <c r="V171" s="25">
        <f t="shared" si="26"/>
        <v>0</v>
      </c>
      <c r="W171" s="25">
        <f t="shared" si="27"/>
        <v>1</v>
      </c>
    </row>
    <row r="172" spans="1:23" x14ac:dyDescent="0.3">
      <c r="A172" s="147"/>
      <c r="B172" s="205">
        <f t="shared" si="28"/>
        <v>19</v>
      </c>
      <c r="C172" s="206">
        <v>44007</v>
      </c>
      <c r="D172" s="161" t="s">
        <v>9</v>
      </c>
      <c r="E172" s="161" t="s">
        <v>301</v>
      </c>
      <c r="F172" s="207">
        <v>21450</v>
      </c>
      <c r="G172" s="207">
        <v>21590</v>
      </c>
      <c r="H172" s="161">
        <v>140</v>
      </c>
      <c r="I172" s="207">
        <v>40</v>
      </c>
      <c r="J172" s="242">
        <f t="shared" si="25"/>
        <v>5600</v>
      </c>
      <c r="K172" s="153"/>
      <c r="V172" s="25">
        <f t="shared" si="26"/>
        <v>1</v>
      </c>
      <c r="W172" s="25">
        <f t="shared" si="27"/>
        <v>0</v>
      </c>
    </row>
    <row r="173" spans="1:23" x14ac:dyDescent="0.3">
      <c r="A173" s="147"/>
      <c r="B173" s="205">
        <f t="shared" si="28"/>
        <v>20</v>
      </c>
      <c r="C173" s="206">
        <v>44008</v>
      </c>
      <c r="D173" s="161" t="s">
        <v>8</v>
      </c>
      <c r="E173" s="161" t="s">
        <v>301</v>
      </c>
      <c r="F173" s="207">
        <v>21300</v>
      </c>
      <c r="G173" s="207">
        <v>21450</v>
      </c>
      <c r="H173" s="161">
        <v>-150</v>
      </c>
      <c r="I173" s="207">
        <v>40</v>
      </c>
      <c r="J173" s="242">
        <f t="shared" si="25"/>
        <v>-6000</v>
      </c>
      <c r="K173" s="153"/>
      <c r="V173" s="25">
        <f t="shared" si="26"/>
        <v>0</v>
      </c>
      <c r="W173" s="25">
        <f t="shared" si="27"/>
        <v>1</v>
      </c>
    </row>
    <row r="174" spans="1:23" x14ac:dyDescent="0.3">
      <c r="A174" s="147"/>
      <c r="B174" s="205">
        <f t="shared" si="28"/>
        <v>21</v>
      </c>
      <c r="C174" s="206">
        <v>44011</v>
      </c>
      <c r="D174" s="161" t="s">
        <v>8</v>
      </c>
      <c r="E174" s="161" t="s">
        <v>301</v>
      </c>
      <c r="F174" s="207">
        <v>20950</v>
      </c>
      <c r="G174" s="207">
        <v>20900</v>
      </c>
      <c r="H174" s="161">
        <v>50</v>
      </c>
      <c r="I174" s="207">
        <v>40</v>
      </c>
      <c r="J174" s="242">
        <f t="shared" si="25"/>
        <v>2000</v>
      </c>
      <c r="K174" s="153"/>
      <c r="V174" s="25">
        <f t="shared" si="26"/>
        <v>1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>
        <v>44012</v>
      </c>
      <c r="D175" s="161" t="s">
        <v>8</v>
      </c>
      <c r="E175" s="161" t="s">
        <v>301</v>
      </c>
      <c r="F175" s="207">
        <v>21400</v>
      </c>
      <c r="G175" s="207">
        <v>21100</v>
      </c>
      <c r="H175" s="161">
        <v>300</v>
      </c>
      <c r="I175" s="207">
        <v>40</v>
      </c>
      <c r="J175" s="242">
        <f t="shared" si="25"/>
        <v>12000</v>
      </c>
      <c r="K175" s="153"/>
      <c r="V175" s="25">
        <f t="shared" si="26"/>
        <v>1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105600</v>
      </c>
      <c r="K177" s="153"/>
      <c r="V177" s="25">
        <f>SUM(V154:V176)</f>
        <v>16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2992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43983</v>
      </c>
      <c r="D185" s="185" t="s">
        <v>9</v>
      </c>
      <c r="E185" s="185" t="s">
        <v>1799</v>
      </c>
      <c r="F185" s="219">
        <v>400</v>
      </c>
      <c r="G185" s="219">
        <v>500</v>
      </c>
      <c r="H185" s="185">
        <v>100</v>
      </c>
      <c r="I185" s="219">
        <v>80</v>
      </c>
      <c r="J185" s="246">
        <f t="shared" ref="J185:J207" si="29">I185*H185</f>
        <v>8000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43984</v>
      </c>
      <c r="D186" s="185" t="s">
        <v>9</v>
      </c>
      <c r="E186" s="185" t="s">
        <v>1799</v>
      </c>
      <c r="F186" s="219">
        <v>320</v>
      </c>
      <c r="G186" s="219">
        <v>240</v>
      </c>
      <c r="H186" s="185">
        <v>-80</v>
      </c>
      <c r="I186" s="219">
        <v>80</v>
      </c>
      <c r="J186" s="242">
        <f t="shared" si="29"/>
        <v>-6400</v>
      </c>
      <c r="K186" s="153"/>
      <c r="V186" s="25">
        <f t="shared" ref="V186:V207" si="30">IF($J186&gt;0,1,0)</f>
        <v>0</v>
      </c>
      <c r="W186" s="25">
        <f t="shared" ref="W186:W207" si="31">IF($J186&lt;0,1,0)</f>
        <v>1</v>
      </c>
    </row>
    <row r="187" spans="1:23" x14ac:dyDescent="0.3">
      <c r="A187" s="147"/>
      <c r="B187" s="205">
        <f t="shared" ref="B187:B207" si="32">B186+1</f>
        <v>3</v>
      </c>
      <c r="C187" s="206">
        <v>43985</v>
      </c>
      <c r="D187" s="161" t="s">
        <v>9</v>
      </c>
      <c r="E187" s="161" t="s">
        <v>3000</v>
      </c>
      <c r="F187" s="207">
        <v>300</v>
      </c>
      <c r="G187" s="207">
        <v>460</v>
      </c>
      <c r="H187" s="161">
        <v>160</v>
      </c>
      <c r="I187" s="207">
        <v>80</v>
      </c>
      <c r="J187" s="242">
        <f t="shared" si="29"/>
        <v>12800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43986</v>
      </c>
      <c r="D188" s="161" t="s">
        <v>9</v>
      </c>
      <c r="E188" s="161" t="s">
        <v>1801</v>
      </c>
      <c r="F188" s="207">
        <v>90</v>
      </c>
      <c r="G188" s="207">
        <v>230</v>
      </c>
      <c r="H188" s="161">
        <v>140</v>
      </c>
      <c r="I188" s="207">
        <v>80</v>
      </c>
      <c r="J188" s="242">
        <f t="shared" si="29"/>
        <v>11200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43987</v>
      </c>
      <c r="D189" s="161" t="s">
        <v>9</v>
      </c>
      <c r="E189" s="161" t="s">
        <v>1998</v>
      </c>
      <c r="F189" s="207">
        <v>540</v>
      </c>
      <c r="G189" s="207">
        <v>440</v>
      </c>
      <c r="H189" s="161">
        <v>-100</v>
      </c>
      <c r="I189" s="207">
        <v>80</v>
      </c>
      <c r="J189" s="242">
        <f t="shared" si="29"/>
        <v>-8000</v>
      </c>
      <c r="K189" s="153"/>
      <c r="O189" s="25" t="s">
        <v>2008</v>
      </c>
      <c r="V189" s="25">
        <f t="shared" si="30"/>
        <v>0</v>
      </c>
      <c r="W189" s="25">
        <f t="shared" si="31"/>
        <v>1</v>
      </c>
    </row>
    <row r="190" spans="1:23" x14ac:dyDescent="0.3">
      <c r="A190" s="147"/>
      <c r="B190" s="205">
        <f t="shared" si="32"/>
        <v>6</v>
      </c>
      <c r="C190" s="206">
        <v>43990</v>
      </c>
      <c r="D190" s="161" t="s">
        <v>9</v>
      </c>
      <c r="E190" s="161" t="s">
        <v>2062</v>
      </c>
      <c r="F190" s="207">
        <v>450</v>
      </c>
      <c r="G190" s="207">
        <v>650</v>
      </c>
      <c r="H190" s="161">
        <v>200</v>
      </c>
      <c r="I190" s="207">
        <v>80</v>
      </c>
      <c r="J190" s="242">
        <f t="shared" si="29"/>
        <v>16000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43991</v>
      </c>
      <c r="D191" s="161" t="s">
        <v>9</v>
      </c>
      <c r="E191" s="161" t="s">
        <v>2061</v>
      </c>
      <c r="F191" s="207">
        <v>400</v>
      </c>
      <c r="G191" s="207">
        <v>600</v>
      </c>
      <c r="H191" s="161">
        <v>200</v>
      </c>
      <c r="I191" s="207">
        <v>80</v>
      </c>
      <c r="J191" s="242">
        <f t="shared" si="29"/>
        <v>16000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43992</v>
      </c>
      <c r="D192" s="161" t="s">
        <v>9</v>
      </c>
      <c r="E192" s="161" t="s">
        <v>2016</v>
      </c>
      <c r="F192" s="207">
        <v>330</v>
      </c>
      <c r="G192" s="207">
        <v>400</v>
      </c>
      <c r="H192" s="161">
        <v>70</v>
      </c>
      <c r="I192" s="207">
        <v>80</v>
      </c>
      <c r="J192" s="242">
        <f t="shared" si="29"/>
        <v>5600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43993</v>
      </c>
      <c r="D193" s="161" t="s">
        <v>9</v>
      </c>
      <c r="E193" s="161" t="s">
        <v>2055</v>
      </c>
      <c r="F193" s="207">
        <v>180</v>
      </c>
      <c r="G193" s="207">
        <v>340</v>
      </c>
      <c r="H193" s="161">
        <v>160</v>
      </c>
      <c r="I193" s="207">
        <v>80</v>
      </c>
      <c r="J193" s="242">
        <f t="shared" si="29"/>
        <v>12800</v>
      </c>
      <c r="K193" s="153"/>
      <c r="V193" s="25">
        <f t="shared" si="30"/>
        <v>1</v>
      </c>
      <c r="W193" s="25">
        <f t="shared" si="31"/>
        <v>0</v>
      </c>
    </row>
    <row r="194" spans="1:23" x14ac:dyDescent="0.3">
      <c r="A194" s="147"/>
      <c r="B194" s="205">
        <f t="shared" si="32"/>
        <v>10</v>
      </c>
      <c r="C194" s="206">
        <v>43994</v>
      </c>
      <c r="D194" s="161" t="s">
        <v>9</v>
      </c>
      <c r="E194" s="161" t="s">
        <v>1816</v>
      </c>
      <c r="F194" s="207">
        <v>630</v>
      </c>
      <c r="G194" s="207">
        <v>530</v>
      </c>
      <c r="H194" s="161">
        <v>-100</v>
      </c>
      <c r="I194" s="207">
        <v>80</v>
      </c>
      <c r="J194" s="242">
        <f t="shared" si="29"/>
        <v>-8000</v>
      </c>
      <c r="K194" s="153"/>
      <c r="V194" s="25">
        <f t="shared" si="30"/>
        <v>0</v>
      </c>
      <c r="W194" s="25">
        <f t="shared" si="31"/>
        <v>1</v>
      </c>
    </row>
    <row r="195" spans="1:23" x14ac:dyDescent="0.3">
      <c r="A195" s="147"/>
      <c r="B195" s="205">
        <f t="shared" si="32"/>
        <v>11</v>
      </c>
      <c r="C195" s="206">
        <v>43997</v>
      </c>
      <c r="D195" s="161" t="s">
        <v>9</v>
      </c>
      <c r="E195" s="161" t="s">
        <v>1871</v>
      </c>
      <c r="F195" s="207">
        <v>500</v>
      </c>
      <c r="G195" s="207">
        <v>700</v>
      </c>
      <c r="H195" s="161">
        <v>200</v>
      </c>
      <c r="I195" s="207">
        <v>80</v>
      </c>
      <c r="J195" s="242">
        <f t="shared" si="29"/>
        <v>16000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12</v>
      </c>
      <c r="C196" s="206">
        <v>43998</v>
      </c>
      <c r="D196" s="161" t="s">
        <v>9</v>
      </c>
      <c r="E196" s="161" t="s">
        <v>1998</v>
      </c>
      <c r="F196" s="207">
        <v>400</v>
      </c>
      <c r="G196" s="207">
        <v>600</v>
      </c>
      <c r="H196" s="161">
        <v>200</v>
      </c>
      <c r="I196" s="207">
        <v>80</v>
      </c>
      <c r="J196" s="242">
        <f t="shared" si="29"/>
        <v>16000</v>
      </c>
      <c r="K196" s="153"/>
      <c r="V196" s="25">
        <f t="shared" si="30"/>
        <v>1</v>
      </c>
      <c r="W196" s="25">
        <f t="shared" si="31"/>
        <v>0</v>
      </c>
    </row>
    <row r="197" spans="1:23" x14ac:dyDescent="0.3">
      <c r="A197" s="147"/>
      <c r="B197" s="205">
        <f t="shared" si="32"/>
        <v>13</v>
      </c>
      <c r="C197" s="206">
        <v>43999</v>
      </c>
      <c r="D197" s="161" t="s">
        <v>9</v>
      </c>
      <c r="E197" s="161" t="s">
        <v>1810</v>
      </c>
      <c r="F197" s="207">
        <v>400</v>
      </c>
      <c r="G197" s="207">
        <v>445</v>
      </c>
      <c r="H197" s="161">
        <v>45</v>
      </c>
      <c r="I197" s="207">
        <v>80</v>
      </c>
      <c r="J197" s="242">
        <f t="shared" si="29"/>
        <v>3600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14</v>
      </c>
      <c r="C198" s="206">
        <v>44000</v>
      </c>
      <c r="D198" s="161" t="s">
        <v>9</v>
      </c>
      <c r="E198" s="161" t="s">
        <v>1803</v>
      </c>
      <c r="F198" s="207">
        <v>220</v>
      </c>
      <c r="G198" s="207">
        <v>260</v>
      </c>
      <c r="H198" s="161">
        <v>40</v>
      </c>
      <c r="I198" s="207">
        <v>80</v>
      </c>
      <c r="J198" s="242">
        <f t="shared" si="29"/>
        <v>3200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44001</v>
      </c>
      <c r="D199" s="161" t="s">
        <v>9</v>
      </c>
      <c r="E199" s="161" t="s">
        <v>3010</v>
      </c>
      <c r="F199" s="207">
        <v>500</v>
      </c>
      <c r="G199" s="207">
        <v>600</v>
      </c>
      <c r="H199" s="161">
        <v>100</v>
      </c>
      <c r="I199" s="207">
        <v>80</v>
      </c>
      <c r="J199" s="242">
        <f t="shared" si="29"/>
        <v>8000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44004</v>
      </c>
      <c r="D200" s="161" t="s">
        <v>9</v>
      </c>
      <c r="E200" s="161" t="s">
        <v>2096</v>
      </c>
      <c r="F200" s="207">
        <v>450</v>
      </c>
      <c r="G200" s="207">
        <v>650</v>
      </c>
      <c r="H200" s="161">
        <v>200</v>
      </c>
      <c r="I200" s="207">
        <v>80</v>
      </c>
      <c r="J200" s="242">
        <f t="shared" si="29"/>
        <v>16000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44005</v>
      </c>
      <c r="D201" s="161" t="s">
        <v>9</v>
      </c>
      <c r="E201" s="161" t="s">
        <v>2975</v>
      </c>
      <c r="F201" s="207">
        <v>380</v>
      </c>
      <c r="G201" s="207">
        <v>580</v>
      </c>
      <c r="H201" s="161">
        <v>200</v>
      </c>
      <c r="I201" s="207">
        <v>80</v>
      </c>
      <c r="J201" s="242">
        <f t="shared" si="29"/>
        <v>16000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44006</v>
      </c>
      <c r="D202" s="161" t="s">
        <v>9</v>
      </c>
      <c r="E202" s="161" t="s">
        <v>3016</v>
      </c>
      <c r="F202" s="207">
        <v>330</v>
      </c>
      <c r="G202" s="207">
        <v>230</v>
      </c>
      <c r="H202" s="161">
        <v>-100</v>
      </c>
      <c r="I202" s="207">
        <v>80</v>
      </c>
      <c r="J202" s="242">
        <f t="shared" si="29"/>
        <v>-8000</v>
      </c>
      <c r="K202" s="153"/>
      <c r="V202" s="25">
        <f t="shared" si="30"/>
        <v>0</v>
      </c>
      <c r="W202" s="25">
        <f t="shared" si="31"/>
        <v>1</v>
      </c>
    </row>
    <row r="203" spans="1:23" x14ac:dyDescent="0.3">
      <c r="A203" s="147"/>
      <c r="B203" s="205">
        <f t="shared" si="32"/>
        <v>19</v>
      </c>
      <c r="C203" s="206">
        <v>44007</v>
      </c>
      <c r="D203" s="161" t="s">
        <v>9</v>
      </c>
      <c r="E203" s="161" t="s">
        <v>2085</v>
      </c>
      <c r="F203" s="207">
        <v>170</v>
      </c>
      <c r="G203" s="207">
        <v>70</v>
      </c>
      <c r="H203" s="161">
        <v>-100</v>
      </c>
      <c r="I203" s="207">
        <v>80</v>
      </c>
      <c r="J203" s="242">
        <f t="shared" si="29"/>
        <v>-8000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20</v>
      </c>
      <c r="C204" s="206">
        <v>44008</v>
      </c>
      <c r="D204" s="161" t="s">
        <v>9</v>
      </c>
      <c r="E204" s="161" t="s">
        <v>2085</v>
      </c>
      <c r="F204" s="207">
        <v>560</v>
      </c>
      <c r="G204" s="207">
        <v>460</v>
      </c>
      <c r="H204" s="161">
        <v>-100</v>
      </c>
      <c r="I204" s="207">
        <v>80</v>
      </c>
      <c r="J204" s="242">
        <f t="shared" si="29"/>
        <v>-8000</v>
      </c>
      <c r="K204" s="153"/>
      <c r="V204" s="25">
        <f t="shared" si="30"/>
        <v>0</v>
      </c>
      <c r="W204" s="25">
        <f t="shared" si="31"/>
        <v>1</v>
      </c>
    </row>
    <row r="205" spans="1:23" x14ac:dyDescent="0.3">
      <c r="A205" s="147"/>
      <c r="B205" s="205">
        <f t="shared" si="32"/>
        <v>21</v>
      </c>
      <c r="C205" s="206">
        <v>44011</v>
      </c>
      <c r="D205" s="161" t="s">
        <v>9</v>
      </c>
      <c r="E205" s="161" t="s">
        <v>2055</v>
      </c>
      <c r="F205" s="207">
        <v>420</v>
      </c>
      <c r="G205" s="207">
        <v>460</v>
      </c>
      <c r="H205" s="161">
        <v>40</v>
      </c>
      <c r="I205" s="207">
        <v>80</v>
      </c>
      <c r="J205" s="242">
        <f t="shared" si="29"/>
        <v>3200</v>
      </c>
      <c r="K205" s="153"/>
      <c r="V205" s="25">
        <f t="shared" si="30"/>
        <v>1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>
        <v>44012</v>
      </c>
      <c r="D206" s="161" t="s">
        <v>9</v>
      </c>
      <c r="E206" s="161" t="s">
        <v>2061</v>
      </c>
      <c r="F206" s="207">
        <v>350</v>
      </c>
      <c r="G206" s="207">
        <v>500</v>
      </c>
      <c r="H206" s="161">
        <v>150</v>
      </c>
      <c r="I206" s="207">
        <v>80</v>
      </c>
      <c r="J206" s="242">
        <f t="shared" si="29"/>
        <v>12000</v>
      </c>
      <c r="K206" s="153"/>
      <c r="V206" s="25">
        <f t="shared" si="30"/>
        <v>1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130000</v>
      </c>
      <c r="K208" s="153"/>
      <c r="V208" s="25">
        <f>SUM(V185:V207)</f>
        <v>16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2992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43983</v>
      </c>
      <c r="D216" s="185" t="s">
        <v>9</v>
      </c>
      <c r="E216" s="185" t="s">
        <v>2996</v>
      </c>
      <c r="F216" s="231">
        <v>47</v>
      </c>
      <c r="G216" s="231">
        <v>50</v>
      </c>
      <c r="H216" s="231">
        <v>3</v>
      </c>
      <c r="I216" s="219">
        <v>500</v>
      </c>
      <c r="J216" s="246">
        <f t="shared" ref="J216:J239" si="33">I216*H216</f>
        <v>1500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43984</v>
      </c>
      <c r="D217" s="185" t="s">
        <v>9</v>
      </c>
      <c r="E217" s="185" t="s">
        <v>2997</v>
      </c>
      <c r="F217" s="231">
        <v>40</v>
      </c>
      <c r="G217" s="231">
        <v>34</v>
      </c>
      <c r="H217" s="231">
        <v>-6</v>
      </c>
      <c r="I217" s="219">
        <v>375</v>
      </c>
      <c r="J217" s="242">
        <f>I217*H217</f>
        <v>-2250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4">B217+1</f>
        <v>3</v>
      </c>
      <c r="C218" s="206">
        <v>43985</v>
      </c>
      <c r="D218" s="161" t="s">
        <v>9</v>
      </c>
      <c r="E218" s="161" t="s">
        <v>3001</v>
      </c>
      <c r="F218" s="222">
        <v>12</v>
      </c>
      <c r="G218" s="222">
        <v>13.15</v>
      </c>
      <c r="H218" s="222">
        <v>1.1499999999999999</v>
      </c>
      <c r="I218" s="207">
        <v>3000</v>
      </c>
      <c r="J218" s="242">
        <f t="shared" si="33"/>
        <v>3449.9999999999995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43986</v>
      </c>
      <c r="D219" s="161" t="s">
        <v>9</v>
      </c>
      <c r="E219" s="161" t="s">
        <v>3003</v>
      </c>
      <c r="F219" s="222">
        <v>15</v>
      </c>
      <c r="G219" s="222">
        <v>11</v>
      </c>
      <c r="H219" s="222">
        <v>-4</v>
      </c>
      <c r="I219" s="207">
        <v>1300</v>
      </c>
      <c r="J219" s="242">
        <f t="shared" si="33"/>
        <v>-5200</v>
      </c>
      <c r="K219" s="153"/>
      <c r="V219" s="25">
        <f t="shared" si="35"/>
        <v>0</v>
      </c>
      <c r="W219" s="25">
        <f t="shared" si="36"/>
        <v>1</v>
      </c>
    </row>
    <row r="220" spans="1:23" x14ac:dyDescent="0.3">
      <c r="A220" s="147"/>
      <c r="B220" s="205">
        <f t="shared" si="34"/>
        <v>5</v>
      </c>
      <c r="C220" s="206">
        <v>43987</v>
      </c>
      <c r="D220" s="161" t="s">
        <v>9</v>
      </c>
      <c r="E220" s="161" t="s">
        <v>3004</v>
      </c>
      <c r="F220" s="222">
        <v>24</v>
      </c>
      <c r="G220" s="222">
        <v>25.4</v>
      </c>
      <c r="H220" s="222">
        <v>1.4</v>
      </c>
      <c r="I220" s="207">
        <v>1200</v>
      </c>
      <c r="J220" s="242">
        <f t="shared" si="33"/>
        <v>1680</v>
      </c>
      <c r="K220" s="153"/>
      <c r="V220" s="25">
        <f t="shared" si="35"/>
        <v>1</v>
      </c>
      <c r="W220" s="25">
        <f t="shared" si="36"/>
        <v>0</v>
      </c>
    </row>
    <row r="221" spans="1:23" x14ac:dyDescent="0.3">
      <c r="A221" s="147"/>
      <c r="B221" s="205">
        <f t="shared" si="34"/>
        <v>6</v>
      </c>
      <c r="C221" s="206">
        <v>43990</v>
      </c>
      <c r="D221" s="161" t="s">
        <v>9</v>
      </c>
      <c r="E221" s="161" t="s">
        <v>3005</v>
      </c>
      <c r="F221" s="222">
        <v>150</v>
      </c>
      <c r="G221" s="222">
        <v>161.5</v>
      </c>
      <c r="H221" s="222">
        <v>11.5</v>
      </c>
      <c r="I221" s="207">
        <v>250</v>
      </c>
      <c r="J221" s="242">
        <f t="shared" si="33"/>
        <v>2875</v>
      </c>
      <c r="K221" s="153"/>
      <c r="V221" s="25">
        <f t="shared" si="35"/>
        <v>1</v>
      </c>
      <c r="W221" s="25">
        <f t="shared" si="36"/>
        <v>0</v>
      </c>
    </row>
    <row r="222" spans="1:23" x14ac:dyDescent="0.3">
      <c r="A222" s="147"/>
      <c r="B222" s="205">
        <f t="shared" si="34"/>
        <v>7</v>
      </c>
      <c r="C222" s="206">
        <v>43991</v>
      </c>
      <c r="D222" s="161" t="s">
        <v>9</v>
      </c>
      <c r="E222" s="161" t="s">
        <v>3006</v>
      </c>
      <c r="F222" s="222">
        <v>9.8000000000000007</v>
      </c>
      <c r="G222" s="222">
        <v>7.8</v>
      </c>
      <c r="H222" s="222">
        <v>-2</v>
      </c>
      <c r="I222" s="207">
        <v>3000</v>
      </c>
      <c r="J222" s="242">
        <f t="shared" si="33"/>
        <v>-6000</v>
      </c>
      <c r="K222" s="153"/>
      <c r="V222" s="25">
        <f t="shared" si="35"/>
        <v>0</v>
      </c>
      <c r="W222" s="25">
        <f t="shared" si="36"/>
        <v>1</v>
      </c>
    </row>
    <row r="223" spans="1:23" x14ac:dyDescent="0.3">
      <c r="A223" s="147"/>
      <c r="B223" s="205">
        <f t="shared" si="34"/>
        <v>8</v>
      </c>
      <c r="C223" s="206">
        <v>43992</v>
      </c>
      <c r="D223" s="161" t="s">
        <v>9</v>
      </c>
      <c r="E223" s="161" t="s">
        <v>3007</v>
      </c>
      <c r="F223" s="222">
        <v>60</v>
      </c>
      <c r="G223" s="222">
        <v>49.5</v>
      </c>
      <c r="H223" s="222">
        <v>-10.050000000000001</v>
      </c>
      <c r="I223" s="207">
        <v>309</v>
      </c>
      <c r="J223" s="242">
        <f t="shared" si="33"/>
        <v>-3105.4500000000003</v>
      </c>
      <c r="K223" s="153"/>
      <c r="V223" s="25">
        <f t="shared" si="35"/>
        <v>0</v>
      </c>
      <c r="W223" s="25">
        <f t="shared" si="36"/>
        <v>1</v>
      </c>
    </row>
    <row r="224" spans="1:23" x14ac:dyDescent="0.3">
      <c r="A224" s="147"/>
      <c r="B224" s="205">
        <f t="shared" si="34"/>
        <v>9</v>
      </c>
      <c r="C224" s="206">
        <v>43993</v>
      </c>
      <c r="D224" s="161" t="s">
        <v>9</v>
      </c>
      <c r="E224" s="161" t="s">
        <v>2297</v>
      </c>
      <c r="F224" s="222">
        <v>51</v>
      </c>
      <c r="G224" s="222">
        <v>61.3</v>
      </c>
      <c r="H224" s="255">
        <v>10.3</v>
      </c>
      <c r="I224" s="207">
        <v>500</v>
      </c>
      <c r="J224" s="242">
        <f t="shared" si="33"/>
        <v>5150</v>
      </c>
      <c r="K224" s="153"/>
      <c r="V224" s="25">
        <f t="shared" si="35"/>
        <v>1</v>
      </c>
      <c r="W224" s="25">
        <f t="shared" si="36"/>
        <v>0</v>
      </c>
    </row>
    <row r="225" spans="1:23" x14ac:dyDescent="0.3">
      <c r="A225" s="147"/>
      <c r="B225" s="205">
        <f t="shared" si="34"/>
        <v>10</v>
      </c>
      <c r="C225" s="206">
        <v>43994</v>
      </c>
      <c r="D225" s="161" t="s">
        <v>9</v>
      </c>
      <c r="E225" s="161" t="s">
        <v>3008</v>
      </c>
      <c r="F225" s="222">
        <v>135</v>
      </c>
      <c r="G225" s="222">
        <v>175</v>
      </c>
      <c r="H225" s="255">
        <v>40</v>
      </c>
      <c r="I225" s="207">
        <v>250</v>
      </c>
      <c r="J225" s="242">
        <f t="shared" si="33"/>
        <v>10000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43997</v>
      </c>
      <c r="D226" s="161" t="s">
        <v>9</v>
      </c>
      <c r="E226" s="161" t="s">
        <v>3004</v>
      </c>
      <c r="F226" s="222">
        <v>20</v>
      </c>
      <c r="G226" s="222">
        <v>25.6</v>
      </c>
      <c r="H226" s="255">
        <v>5.6</v>
      </c>
      <c r="I226" s="207">
        <v>1200</v>
      </c>
      <c r="J226" s="242">
        <f t="shared" si="33"/>
        <v>6720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43998</v>
      </c>
      <c r="D227" s="161" t="s">
        <v>9</v>
      </c>
      <c r="E227" s="161" t="s">
        <v>2953</v>
      </c>
      <c r="F227" s="222">
        <v>24</v>
      </c>
      <c r="G227" s="222">
        <v>32</v>
      </c>
      <c r="H227" s="255">
        <v>8</v>
      </c>
      <c r="I227" s="207">
        <v>1200</v>
      </c>
      <c r="J227" s="242">
        <f t="shared" si="33"/>
        <v>9600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43999</v>
      </c>
      <c r="D228" s="161" t="s">
        <v>9</v>
      </c>
      <c r="E228" s="161" t="s">
        <v>3004</v>
      </c>
      <c r="F228" s="222">
        <v>23</v>
      </c>
      <c r="G228" s="222">
        <v>24.1</v>
      </c>
      <c r="H228" s="255">
        <v>1.1000000000000001</v>
      </c>
      <c r="I228" s="207">
        <v>1200</v>
      </c>
      <c r="J228" s="242">
        <f t="shared" si="33"/>
        <v>1320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44000</v>
      </c>
      <c r="D229" s="161" t="s">
        <v>9</v>
      </c>
      <c r="E229" s="161" t="s">
        <v>3009</v>
      </c>
      <c r="F229" s="222">
        <v>45</v>
      </c>
      <c r="G229" s="222">
        <v>59</v>
      </c>
      <c r="H229" s="255">
        <v>14</v>
      </c>
      <c r="I229" s="207">
        <v>500</v>
      </c>
      <c r="J229" s="242">
        <f>I229*H229</f>
        <v>7000</v>
      </c>
      <c r="K229" s="153"/>
      <c r="V229" s="25">
        <f t="shared" si="35"/>
        <v>1</v>
      </c>
      <c r="W229" s="25">
        <f t="shared" si="36"/>
        <v>0</v>
      </c>
    </row>
    <row r="230" spans="1:23" x14ac:dyDescent="0.3">
      <c r="A230" s="147"/>
      <c r="B230" s="205">
        <f t="shared" si="34"/>
        <v>15</v>
      </c>
      <c r="C230" s="206">
        <v>44001</v>
      </c>
      <c r="D230" s="161" t="s">
        <v>9</v>
      </c>
      <c r="E230" s="161" t="s">
        <v>3011</v>
      </c>
      <c r="F230" s="222">
        <v>6.5</v>
      </c>
      <c r="G230" s="222">
        <v>6.1</v>
      </c>
      <c r="H230" s="255">
        <v>-0.4</v>
      </c>
      <c r="I230" s="207">
        <v>2600</v>
      </c>
      <c r="J230" s="242">
        <f t="shared" si="33"/>
        <v>-1040</v>
      </c>
      <c r="K230" s="153"/>
      <c r="V230" s="25">
        <f t="shared" si="35"/>
        <v>0</v>
      </c>
      <c r="W230" s="25">
        <f t="shared" si="36"/>
        <v>1</v>
      </c>
    </row>
    <row r="231" spans="1:23" x14ac:dyDescent="0.3">
      <c r="A231" s="147"/>
      <c r="B231" s="205">
        <f t="shared" si="34"/>
        <v>16</v>
      </c>
      <c r="C231" s="206">
        <v>44004</v>
      </c>
      <c r="D231" s="161" t="s">
        <v>9</v>
      </c>
      <c r="E231" s="161" t="s">
        <v>3013</v>
      </c>
      <c r="F231" s="222">
        <v>13</v>
      </c>
      <c r="G231" s="222">
        <v>16</v>
      </c>
      <c r="H231" s="222">
        <v>3</v>
      </c>
      <c r="I231" s="207">
        <v>1200</v>
      </c>
      <c r="J231" s="242">
        <f t="shared" si="33"/>
        <v>3600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44005</v>
      </c>
      <c r="D232" s="161" t="s">
        <v>9</v>
      </c>
      <c r="E232" s="161" t="s">
        <v>3014</v>
      </c>
      <c r="F232" s="222">
        <v>28</v>
      </c>
      <c r="G232" s="222">
        <v>34</v>
      </c>
      <c r="H232" s="222">
        <v>6</v>
      </c>
      <c r="I232" s="207">
        <v>505</v>
      </c>
      <c r="J232" s="242">
        <f t="shared" si="33"/>
        <v>3030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44006</v>
      </c>
      <c r="D233" s="161" t="s">
        <v>9</v>
      </c>
      <c r="E233" s="161" t="s">
        <v>3015</v>
      </c>
      <c r="F233" s="222">
        <v>5</v>
      </c>
      <c r="G233" s="222">
        <v>6</v>
      </c>
      <c r="H233" s="222">
        <v>1</v>
      </c>
      <c r="I233" s="207">
        <v>1600</v>
      </c>
      <c r="J233" s="242">
        <f t="shared" si="33"/>
        <v>1600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44007</v>
      </c>
      <c r="D234" s="161" t="s">
        <v>9</v>
      </c>
      <c r="E234" s="161" t="s">
        <v>3019</v>
      </c>
      <c r="F234" s="222">
        <v>4</v>
      </c>
      <c r="G234" s="222">
        <v>6</v>
      </c>
      <c r="H234" s="222">
        <v>2</v>
      </c>
      <c r="I234" s="207">
        <v>1375</v>
      </c>
      <c r="J234" s="242">
        <f t="shared" si="33"/>
        <v>2750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44008</v>
      </c>
      <c r="D235" s="161" t="s">
        <v>9</v>
      </c>
      <c r="E235" s="161" t="s">
        <v>3011</v>
      </c>
      <c r="F235" s="222">
        <v>10</v>
      </c>
      <c r="G235" s="222">
        <v>8</v>
      </c>
      <c r="H235" s="222">
        <v>-2</v>
      </c>
      <c r="I235" s="207">
        <v>5000</v>
      </c>
      <c r="J235" s="242">
        <f t="shared" si="33"/>
        <v>-10000</v>
      </c>
      <c r="K235" s="153"/>
      <c r="V235" s="25">
        <f t="shared" si="35"/>
        <v>0</v>
      </c>
      <c r="W235" s="25">
        <f t="shared" si="36"/>
        <v>1</v>
      </c>
    </row>
    <row r="236" spans="1:23" x14ac:dyDescent="0.3">
      <c r="A236" s="147"/>
      <c r="B236" s="205">
        <f t="shared" si="34"/>
        <v>21</v>
      </c>
      <c r="C236" s="206">
        <v>44011</v>
      </c>
      <c r="D236" s="161" t="s">
        <v>9</v>
      </c>
      <c r="E236" s="161" t="s">
        <v>2953</v>
      </c>
      <c r="F236" s="222">
        <v>29</v>
      </c>
      <c r="G236" s="222">
        <v>28</v>
      </c>
      <c r="H236" s="222">
        <v>-1</v>
      </c>
      <c r="I236" s="207">
        <v>1200</v>
      </c>
      <c r="J236" s="242">
        <f t="shared" si="33"/>
        <v>-1200</v>
      </c>
      <c r="K236" s="153"/>
      <c r="V236" s="25">
        <f t="shared" si="35"/>
        <v>0</v>
      </c>
      <c r="W236" s="25">
        <f t="shared" si="36"/>
        <v>1</v>
      </c>
    </row>
    <row r="237" spans="1:23" x14ac:dyDescent="0.3">
      <c r="A237" s="147"/>
      <c r="B237" s="205">
        <f t="shared" si="34"/>
        <v>22</v>
      </c>
      <c r="C237" s="206">
        <v>44012</v>
      </c>
      <c r="D237" s="161" t="s">
        <v>9</v>
      </c>
      <c r="E237" s="161" t="s">
        <v>3019</v>
      </c>
      <c r="F237" s="222">
        <v>22.5</v>
      </c>
      <c r="G237" s="222">
        <v>23.7</v>
      </c>
      <c r="H237" s="222">
        <v>1.2</v>
      </c>
      <c r="I237" s="207">
        <v>1375</v>
      </c>
      <c r="J237" s="242">
        <f t="shared" si="33"/>
        <v>1650</v>
      </c>
      <c r="K237" s="153"/>
      <c r="V237" s="25">
        <f t="shared" si="35"/>
        <v>1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33129.550000000003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600-000000000000}"/>
    <hyperlink ref="B84" r:id="rId2" xr:uid="{00000000-0004-0000-5600-000001000000}"/>
    <hyperlink ref="B115" r:id="rId3" xr:uid="{00000000-0004-0000-5600-000002000000}"/>
    <hyperlink ref="B146" r:id="rId4" xr:uid="{00000000-0004-0000-5600-000003000000}"/>
    <hyperlink ref="B177" r:id="rId5" xr:uid="{00000000-0004-0000-5600-000004000000}"/>
    <hyperlink ref="B208" r:id="rId6" xr:uid="{00000000-0004-0000-5600-000005000000}"/>
    <hyperlink ref="B240" r:id="rId7" xr:uid="{00000000-0004-0000-5600-000006000000}"/>
    <hyperlink ref="M1" location="'MASTER '!A1" display="Back" xr:uid="{00000000-0004-0000-5600-000007000000}"/>
    <hyperlink ref="M6:M7" location="'JUNE 2020'!A77" display="STOCK FUTURE" xr:uid="{00000000-0004-0000-5600-000008000000}"/>
    <hyperlink ref="M14:M15" location="'JUNE 2020'!A201" display="B.NIFTY OPTION" xr:uid="{00000000-0004-0000-5600-000009000000}"/>
    <hyperlink ref="M12:M13" location="'JUNE 2020'!A170" display="BANK NIFTY" xr:uid="{00000000-0004-0000-5600-00000A000000}"/>
    <hyperlink ref="M10:M11" location="'JUNE 2020'!A139" display="NF. OPTION" xr:uid="{00000000-0004-0000-5600-00000B000000}"/>
    <hyperlink ref="M8:M9" location="'JUNE 2020'!A108" display="NIFTY FUTURE" xr:uid="{00000000-0004-0000-5600-00000C000000}"/>
    <hyperlink ref="M4:M5" location="'JUNE 2020'!A1" display="CASH" xr:uid="{00000000-0004-0000-5600-00000D000000}"/>
    <hyperlink ref="M16:M17" location="'JUNE 2020'!A1" display="STOCK OPTION" xr:uid="{00000000-0004-0000-5600-00000E000000}"/>
  </hyperlinks>
  <pageMargins left="0" right="0" top="0" bottom="0" header="0" footer="0"/>
  <pageSetup scale="95" orientation="portrait" r:id="rId8"/>
  <drawing r:id="rId9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3020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37</v>
      </c>
      <c r="P4" s="386">
        <f>W52</f>
        <v>7</v>
      </c>
      <c r="Q4" s="387">
        <f>N4-O4-P4</f>
        <v>0</v>
      </c>
      <c r="R4" s="380">
        <f>O4/N4</f>
        <v>0.84090909090909094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44013</v>
      </c>
      <c r="D6" s="158" t="s">
        <v>9</v>
      </c>
      <c r="E6" s="158" t="s">
        <v>94</v>
      </c>
      <c r="F6" s="230">
        <v>1074</v>
      </c>
      <c r="G6" s="222">
        <v>1094</v>
      </c>
      <c r="H6" s="222">
        <v>20</v>
      </c>
      <c r="I6" s="207">
        <f t="shared" ref="I6:I7" si="0">300000/F6</f>
        <v>279.32960893854749</v>
      </c>
      <c r="J6" s="161">
        <f t="shared" ref="J6:J7" si="1">H6*I6</f>
        <v>5586.5921787709503</v>
      </c>
      <c r="K6" s="153"/>
      <c r="M6" s="394" t="s">
        <v>450</v>
      </c>
      <c r="N6" s="344">
        <f>COUNT(C60:C83)</f>
        <v>23</v>
      </c>
      <c r="O6" s="346">
        <v>19</v>
      </c>
      <c r="P6" s="346">
        <f>W84</f>
        <v>4</v>
      </c>
      <c r="Q6" s="374">
        <f>N6-O6-P6</f>
        <v>0</v>
      </c>
      <c r="R6" s="376">
        <f t="shared" ref="R6" si="2">O6/N6</f>
        <v>0.82608695652173914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44013</v>
      </c>
      <c r="D7" s="161" t="s">
        <v>8</v>
      </c>
      <c r="E7" s="161" t="s">
        <v>31</v>
      </c>
      <c r="F7" s="222">
        <v>1718</v>
      </c>
      <c r="G7" s="231">
        <v>1708.05</v>
      </c>
      <c r="H7" s="255">
        <v>9.9499999999999993</v>
      </c>
      <c r="I7" s="207">
        <f t="shared" si="0"/>
        <v>174.62165308498254</v>
      </c>
      <c r="J7" s="161">
        <f t="shared" si="1"/>
        <v>1737.4854481955761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44014</v>
      </c>
      <c r="D8" s="161" t="s">
        <v>9</v>
      </c>
      <c r="E8" s="161" t="s">
        <v>90</v>
      </c>
      <c r="F8" s="222">
        <v>547</v>
      </c>
      <c r="G8" s="222">
        <v>557</v>
      </c>
      <c r="H8" s="222">
        <v>10</v>
      </c>
      <c r="I8" s="207">
        <f t="shared" ref="I8:I49" si="6">300000/F8</f>
        <v>548.44606946983549</v>
      </c>
      <c r="J8" s="161">
        <f t="shared" ref="J8:J49" si="7">H8*I8</f>
        <v>5484.4606946983549</v>
      </c>
      <c r="K8" s="153"/>
      <c r="M8" s="394" t="s">
        <v>451</v>
      </c>
      <c r="N8" s="344">
        <f>COUNT(C92:C114)</f>
        <v>22</v>
      </c>
      <c r="O8" s="346">
        <f>V115</f>
        <v>16</v>
      </c>
      <c r="P8" s="346">
        <f>W115</f>
        <v>6</v>
      </c>
      <c r="Q8" s="374">
        <f>N8-O8-P8</f>
        <v>0</v>
      </c>
      <c r="R8" s="376">
        <f t="shared" ref="R8" si="8">O8/N8</f>
        <v>0.72727272727272729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44014</v>
      </c>
      <c r="D9" s="161" t="s">
        <v>8</v>
      </c>
      <c r="E9" s="161" t="s">
        <v>31</v>
      </c>
      <c r="F9" s="222">
        <v>1737</v>
      </c>
      <c r="G9" s="231">
        <v>1747</v>
      </c>
      <c r="H9" s="255">
        <v>-10</v>
      </c>
      <c r="I9" s="207">
        <f t="shared" si="6"/>
        <v>172.71157167530225</v>
      </c>
      <c r="J9" s="161">
        <f t="shared" si="7"/>
        <v>-1727.1157167530225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44015</v>
      </c>
      <c r="D10" s="161" t="s">
        <v>9</v>
      </c>
      <c r="E10" s="161" t="s">
        <v>31</v>
      </c>
      <c r="F10" s="222">
        <v>1775</v>
      </c>
      <c r="G10" s="222">
        <v>1789</v>
      </c>
      <c r="H10" s="222">
        <v>14</v>
      </c>
      <c r="I10" s="207">
        <f t="shared" si="6"/>
        <v>169.01408450704224</v>
      </c>
      <c r="J10" s="161">
        <f t="shared" si="7"/>
        <v>2366.1971830985913</v>
      </c>
      <c r="K10" s="153"/>
      <c r="M10" s="394" t="s">
        <v>1176</v>
      </c>
      <c r="N10" s="344">
        <f>COUNT(C123:C145)</f>
        <v>22</v>
      </c>
      <c r="O10" s="346">
        <f>V146</f>
        <v>17</v>
      </c>
      <c r="P10" s="346">
        <f>W146</f>
        <v>5</v>
      </c>
      <c r="Q10" s="374">
        <f>N10-O10-P10</f>
        <v>0</v>
      </c>
      <c r="R10" s="376">
        <f t="shared" ref="R10:R16" si="9">O10/N10</f>
        <v>0.77272727272727271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44015</v>
      </c>
      <c r="D11" s="161" t="s">
        <v>8</v>
      </c>
      <c r="E11" s="161" t="s">
        <v>94</v>
      </c>
      <c r="F11" s="222">
        <v>1082</v>
      </c>
      <c r="G11" s="222">
        <v>1072</v>
      </c>
      <c r="H11" s="255">
        <v>10</v>
      </c>
      <c r="I11" s="207">
        <f t="shared" si="6"/>
        <v>277.26432532347502</v>
      </c>
      <c r="J11" s="161">
        <f t="shared" si="7"/>
        <v>2772.6432532347503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44018</v>
      </c>
      <c r="D12" s="161" t="s">
        <v>9</v>
      </c>
      <c r="E12" s="161" t="s">
        <v>94</v>
      </c>
      <c r="F12" s="222">
        <v>1115</v>
      </c>
      <c r="G12" s="222">
        <v>1119</v>
      </c>
      <c r="H12" s="222">
        <v>4</v>
      </c>
      <c r="I12" s="207">
        <f t="shared" si="6"/>
        <v>269.05829596412553</v>
      </c>
      <c r="J12" s="242">
        <f t="shared" si="7"/>
        <v>1076.2331838565021</v>
      </c>
      <c r="K12" s="153"/>
      <c r="M12" s="394" t="s">
        <v>41</v>
      </c>
      <c r="N12" s="344">
        <f>COUNT(C154:C176)</f>
        <v>22</v>
      </c>
      <c r="O12" s="346">
        <f>V177</f>
        <v>18</v>
      </c>
      <c r="P12" s="346">
        <f>W177</f>
        <v>4</v>
      </c>
      <c r="Q12" s="374">
        <f t="shared" ref="Q12" si="10">N12-O12-P12</f>
        <v>0</v>
      </c>
      <c r="R12" s="376">
        <f t="shared" si="9"/>
        <v>0.81818181818181823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44018</v>
      </c>
      <c r="D13" s="161" t="s">
        <v>8</v>
      </c>
      <c r="E13" s="161" t="s">
        <v>78</v>
      </c>
      <c r="F13" s="222">
        <v>950</v>
      </c>
      <c r="G13" s="222">
        <v>946.65</v>
      </c>
      <c r="H13" s="255">
        <v>3.35</v>
      </c>
      <c r="I13" s="207">
        <f t="shared" si="6"/>
        <v>315.78947368421052</v>
      </c>
      <c r="J13" s="242">
        <f t="shared" si="7"/>
        <v>1057.8947368421052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44019</v>
      </c>
      <c r="D14" s="161" t="s">
        <v>9</v>
      </c>
      <c r="E14" s="161" t="s">
        <v>90</v>
      </c>
      <c r="F14" s="222">
        <v>591</v>
      </c>
      <c r="G14" s="222">
        <v>585</v>
      </c>
      <c r="H14" s="222">
        <v>-6</v>
      </c>
      <c r="I14" s="207">
        <f t="shared" si="6"/>
        <v>507.61421319796955</v>
      </c>
      <c r="J14" s="242">
        <f t="shared" si="7"/>
        <v>-3045.6852791878173</v>
      </c>
      <c r="K14" s="153"/>
      <c r="M14" s="394" t="s">
        <v>1175</v>
      </c>
      <c r="N14" s="344">
        <f>COUNT(C185:C207)</f>
        <v>22</v>
      </c>
      <c r="O14" s="346">
        <f>V208</f>
        <v>19</v>
      </c>
      <c r="P14" s="346">
        <f>W208</f>
        <v>3</v>
      </c>
      <c r="Q14" s="374">
        <f t="shared" ref="Q14" si="11">N14-O14-P14</f>
        <v>0</v>
      </c>
      <c r="R14" s="376">
        <f t="shared" si="9"/>
        <v>0.86363636363636365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44019</v>
      </c>
      <c r="D15" s="161" t="s">
        <v>8</v>
      </c>
      <c r="E15" s="161" t="s">
        <v>31</v>
      </c>
      <c r="F15" s="222">
        <v>1837</v>
      </c>
      <c r="G15" s="222">
        <v>1817</v>
      </c>
      <c r="H15" s="222">
        <v>20</v>
      </c>
      <c r="I15" s="207">
        <f t="shared" si="6"/>
        <v>163.30974414806749</v>
      </c>
      <c r="J15" s="242">
        <f t="shared" si="7"/>
        <v>3266.1948829613498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44020</v>
      </c>
      <c r="D16" s="161" t="s">
        <v>9</v>
      </c>
      <c r="E16" s="161" t="s">
        <v>552</v>
      </c>
      <c r="F16" s="222">
        <v>551</v>
      </c>
      <c r="G16" s="222">
        <v>563</v>
      </c>
      <c r="H16" s="222">
        <v>12</v>
      </c>
      <c r="I16" s="207">
        <f t="shared" si="6"/>
        <v>544.46460980036295</v>
      </c>
      <c r="J16" s="242">
        <f t="shared" si="7"/>
        <v>6533.5753176043554</v>
      </c>
      <c r="K16" s="153"/>
      <c r="L16" s="25" t="s">
        <v>2008</v>
      </c>
      <c r="M16" s="394" t="s">
        <v>1090</v>
      </c>
      <c r="N16" s="344">
        <f>COUNT(C216:C239)</f>
        <v>22</v>
      </c>
      <c r="O16" s="346">
        <f>V240</f>
        <v>20</v>
      </c>
      <c r="P16" s="346">
        <f>W240</f>
        <v>2</v>
      </c>
      <c r="Q16" s="374">
        <f t="shared" ref="Q16" si="12">N16-O16-P16</f>
        <v>0</v>
      </c>
      <c r="R16" s="376">
        <f t="shared" si="9"/>
        <v>0.90909090909090906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44020</v>
      </c>
      <c r="D17" s="161" t="s">
        <v>8</v>
      </c>
      <c r="E17" s="161" t="s">
        <v>31</v>
      </c>
      <c r="F17" s="222">
        <v>1820</v>
      </c>
      <c r="G17" s="222">
        <v>1800</v>
      </c>
      <c r="H17" s="222">
        <v>20</v>
      </c>
      <c r="I17" s="207">
        <f t="shared" si="6"/>
        <v>164.83516483516485</v>
      </c>
      <c r="J17" s="242">
        <f t="shared" si="7"/>
        <v>3296.7032967032969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44021</v>
      </c>
      <c r="D18" s="161" t="s">
        <v>9</v>
      </c>
      <c r="E18" s="161" t="s">
        <v>78</v>
      </c>
      <c r="F18" s="222">
        <v>947</v>
      </c>
      <c r="G18" s="222">
        <v>951.5</v>
      </c>
      <c r="H18" s="222">
        <v>4.5</v>
      </c>
      <c r="I18" s="207">
        <f t="shared" si="6"/>
        <v>316.78986272439283</v>
      </c>
      <c r="J18" s="242">
        <f t="shared" si="7"/>
        <v>1425.5543822597679</v>
      </c>
      <c r="K18" s="153"/>
      <c r="M18" s="392" t="s">
        <v>946</v>
      </c>
      <c r="N18" s="378">
        <f>SUM(N4:N17)</f>
        <v>177</v>
      </c>
      <c r="O18" s="378">
        <f t="shared" ref="O18:Q18" si="13">SUM(O4:O17)</f>
        <v>146</v>
      </c>
      <c r="P18" s="378">
        <f t="shared" si="13"/>
        <v>31</v>
      </c>
      <c r="Q18" s="378">
        <f t="shared" si="13"/>
        <v>0</v>
      </c>
      <c r="R18" s="380">
        <f t="shared" ref="R18" si="14">O18/N18</f>
        <v>0.82485875706214684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44021</v>
      </c>
      <c r="D19" s="161" t="s">
        <v>8</v>
      </c>
      <c r="E19" s="161" t="s">
        <v>31</v>
      </c>
      <c r="F19" s="222">
        <v>1793</v>
      </c>
      <c r="G19" s="222">
        <v>1805</v>
      </c>
      <c r="H19" s="222">
        <v>12</v>
      </c>
      <c r="I19" s="207">
        <f t="shared" si="6"/>
        <v>167.31734523145565</v>
      </c>
      <c r="J19" s="242">
        <f t="shared" si="7"/>
        <v>2007.8081427774678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44022</v>
      </c>
      <c r="D20" s="161" t="s">
        <v>9</v>
      </c>
      <c r="E20" s="161" t="s">
        <v>2563</v>
      </c>
      <c r="F20" s="222">
        <v>1020</v>
      </c>
      <c r="G20" s="222">
        <v>1025</v>
      </c>
      <c r="H20" s="222">
        <v>5</v>
      </c>
      <c r="I20" s="207">
        <f t="shared" si="6"/>
        <v>294.11764705882354</v>
      </c>
      <c r="J20" s="242">
        <f t="shared" si="7"/>
        <v>1470.5882352941176</v>
      </c>
      <c r="K20" s="153"/>
      <c r="M20" s="316" t="s">
        <v>2253</v>
      </c>
      <c r="N20" s="317"/>
      <c r="O20" s="318"/>
      <c r="P20" s="325">
        <f>R18</f>
        <v>0.82485875706214684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44022</v>
      </c>
      <c r="D21" s="161" t="s">
        <v>8</v>
      </c>
      <c r="E21" s="161" t="s">
        <v>16</v>
      </c>
      <c r="F21" s="222">
        <v>973</v>
      </c>
      <c r="G21" s="222">
        <v>958</v>
      </c>
      <c r="H21" s="222">
        <v>15</v>
      </c>
      <c r="I21" s="207">
        <f t="shared" si="6"/>
        <v>308.32476875642345</v>
      </c>
      <c r="J21" s="242">
        <f t="shared" si="7"/>
        <v>4624.8715313463517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44025</v>
      </c>
      <c r="D22" s="161" t="s">
        <v>9</v>
      </c>
      <c r="E22" s="161" t="s">
        <v>31</v>
      </c>
      <c r="F22" s="222">
        <v>1930</v>
      </c>
      <c r="G22" s="222">
        <v>1945</v>
      </c>
      <c r="H22" s="222">
        <v>15</v>
      </c>
      <c r="I22" s="207">
        <f t="shared" si="6"/>
        <v>155.44041450777203</v>
      </c>
      <c r="J22" s="242">
        <f t="shared" si="7"/>
        <v>2331.6062176165806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44025</v>
      </c>
      <c r="D23" s="161" t="s">
        <v>8</v>
      </c>
      <c r="E23" s="161" t="s">
        <v>58</v>
      </c>
      <c r="F23" s="222">
        <v>441</v>
      </c>
      <c r="G23" s="222">
        <v>435</v>
      </c>
      <c r="H23" s="222">
        <v>6</v>
      </c>
      <c r="I23" s="207">
        <f t="shared" si="6"/>
        <v>680.27210884353747</v>
      </c>
      <c r="J23" s="242">
        <f t="shared" si="7"/>
        <v>4081.632653061225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44026</v>
      </c>
      <c r="D24" s="161" t="s">
        <v>9</v>
      </c>
      <c r="E24" s="161" t="s">
        <v>78</v>
      </c>
      <c r="F24" s="222">
        <v>930</v>
      </c>
      <c r="G24" s="222">
        <v>934.5</v>
      </c>
      <c r="H24" s="222">
        <v>4.5</v>
      </c>
      <c r="I24" s="207">
        <f t="shared" si="6"/>
        <v>322.58064516129031</v>
      </c>
      <c r="J24" s="242">
        <f t="shared" si="7"/>
        <v>1451.6129032258063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44026</v>
      </c>
      <c r="D25" s="161" t="s">
        <v>8</v>
      </c>
      <c r="E25" s="161" t="s">
        <v>58</v>
      </c>
      <c r="F25" s="222">
        <v>431</v>
      </c>
      <c r="G25" s="222">
        <v>419</v>
      </c>
      <c r="H25" s="222">
        <v>12</v>
      </c>
      <c r="I25" s="207">
        <f t="shared" si="6"/>
        <v>696.05568445475637</v>
      </c>
      <c r="J25" s="242">
        <f t="shared" si="7"/>
        <v>8352.6682134570765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44027</v>
      </c>
      <c r="D26" s="161" t="s">
        <v>9</v>
      </c>
      <c r="E26" s="161" t="s">
        <v>31</v>
      </c>
      <c r="F26" s="222">
        <v>1940</v>
      </c>
      <c r="G26" s="222">
        <v>1970</v>
      </c>
      <c r="H26" s="222">
        <v>30</v>
      </c>
      <c r="I26" s="207">
        <f t="shared" si="6"/>
        <v>154.63917525773195</v>
      </c>
      <c r="J26" s="242">
        <f t="shared" si="7"/>
        <v>4639.1752577319585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44027</v>
      </c>
      <c r="D27" s="161" t="s">
        <v>8</v>
      </c>
      <c r="E27" s="161" t="s">
        <v>433</v>
      </c>
      <c r="F27" s="222">
        <v>412</v>
      </c>
      <c r="G27" s="222">
        <v>404.5</v>
      </c>
      <c r="H27" s="222">
        <v>7.5</v>
      </c>
      <c r="I27" s="207">
        <f t="shared" si="6"/>
        <v>728.15533980582529</v>
      </c>
      <c r="J27" s="242">
        <f t="shared" si="7"/>
        <v>5461.1650485436894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44028</v>
      </c>
      <c r="D28" s="161" t="s">
        <v>9</v>
      </c>
      <c r="E28" s="161" t="s">
        <v>2563</v>
      </c>
      <c r="F28" s="222">
        <v>976</v>
      </c>
      <c r="G28" s="222">
        <v>996</v>
      </c>
      <c r="H28" s="222">
        <v>20</v>
      </c>
      <c r="I28" s="207">
        <f t="shared" si="6"/>
        <v>307.37704918032784</v>
      </c>
      <c r="J28" s="242">
        <f t="shared" si="7"/>
        <v>6147.5409836065573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44028</v>
      </c>
      <c r="D29" s="161" t="s">
        <v>8</v>
      </c>
      <c r="E29" s="161" t="s">
        <v>795</v>
      </c>
      <c r="F29" s="222">
        <v>1387</v>
      </c>
      <c r="G29" s="222">
        <v>1397</v>
      </c>
      <c r="H29" s="222">
        <v>-10</v>
      </c>
      <c r="I29" s="207">
        <f t="shared" si="6"/>
        <v>216.29416005767845</v>
      </c>
      <c r="J29" s="242">
        <f t="shared" si="7"/>
        <v>-2162.9416005767844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44029</v>
      </c>
      <c r="D30" s="161" t="s">
        <v>9</v>
      </c>
      <c r="E30" s="161" t="s">
        <v>2563</v>
      </c>
      <c r="F30" s="222">
        <v>1000</v>
      </c>
      <c r="G30" s="222">
        <v>1007</v>
      </c>
      <c r="H30" s="222">
        <v>7</v>
      </c>
      <c r="I30" s="207">
        <f t="shared" si="6"/>
        <v>300</v>
      </c>
      <c r="J30" s="242">
        <f t="shared" si="7"/>
        <v>2100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44029</v>
      </c>
      <c r="D31" s="161" t="s">
        <v>8</v>
      </c>
      <c r="E31" s="161" t="s">
        <v>126</v>
      </c>
      <c r="F31" s="222">
        <v>2200</v>
      </c>
      <c r="G31" s="222">
        <v>2192</v>
      </c>
      <c r="H31" s="222">
        <v>8</v>
      </c>
      <c r="I31" s="207">
        <f t="shared" si="6"/>
        <v>136.36363636363637</v>
      </c>
      <c r="J31" s="242">
        <f t="shared" si="7"/>
        <v>1090.909090909091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44032</v>
      </c>
      <c r="D32" s="161" t="s">
        <v>9</v>
      </c>
      <c r="E32" s="161" t="s">
        <v>552</v>
      </c>
      <c r="F32" s="222">
        <v>538</v>
      </c>
      <c r="G32" s="222">
        <v>533</v>
      </c>
      <c r="H32" s="222">
        <v>-5</v>
      </c>
      <c r="I32" s="207">
        <f t="shared" si="6"/>
        <v>557.62081784386612</v>
      </c>
      <c r="J32" s="242">
        <f t="shared" si="7"/>
        <v>-2788.1040892193305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44032</v>
      </c>
      <c r="D33" s="161" t="s">
        <v>8</v>
      </c>
      <c r="E33" s="161" t="s">
        <v>31</v>
      </c>
      <c r="F33" s="222">
        <v>1915</v>
      </c>
      <c r="G33" s="222">
        <v>1908</v>
      </c>
      <c r="H33" s="222">
        <v>6</v>
      </c>
      <c r="I33" s="207">
        <f t="shared" si="6"/>
        <v>156.65796344647521</v>
      </c>
      <c r="J33" s="242">
        <f t="shared" si="7"/>
        <v>939.94778067885125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44033</v>
      </c>
      <c r="D34" s="161" t="s">
        <v>9</v>
      </c>
      <c r="E34" s="161" t="s">
        <v>31</v>
      </c>
      <c r="F34" s="222">
        <v>1958</v>
      </c>
      <c r="G34" s="222">
        <v>1977</v>
      </c>
      <c r="H34" s="222">
        <v>19</v>
      </c>
      <c r="I34" s="207">
        <f t="shared" si="6"/>
        <v>153.21756894790602</v>
      </c>
      <c r="J34" s="242">
        <f t="shared" si="7"/>
        <v>2911.1338100102143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44033</v>
      </c>
      <c r="D35" s="161" t="s">
        <v>8</v>
      </c>
      <c r="E35" s="161" t="s">
        <v>94</v>
      </c>
      <c r="F35" s="222">
        <v>1147</v>
      </c>
      <c r="G35" s="222">
        <v>1137</v>
      </c>
      <c r="H35" s="222">
        <v>10</v>
      </c>
      <c r="I35" s="207">
        <f t="shared" si="6"/>
        <v>261.55187445510029</v>
      </c>
      <c r="J35" s="242">
        <f t="shared" si="7"/>
        <v>2615.5187445510028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44034</v>
      </c>
      <c r="D36" s="161" t="s">
        <v>9</v>
      </c>
      <c r="E36" s="161" t="s">
        <v>31</v>
      </c>
      <c r="F36" s="222">
        <v>1985</v>
      </c>
      <c r="G36" s="222">
        <v>2000</v>
      </c>
      <c r="H36" s="222">
        <v>15</v>
      </c>
      <c r="I36" s="207">
        <f t="shared" si="6"/>
        <v>151.13350125944584</v>
      </c>
      <c r="J36" s="242">
        <f t="shared" si="7"/>
        <v>2267.0025188916875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44034</v>
      </c>
      <c r="D37" s="161" t="s">
        <v>8</v>
      </c>
      <c r="E37" s="161" t="s">
        <v>78</v>
      </c>
      <c r="F37" s="222">
        <v>925</v>
      </c>
      <c r="G37" s="222">
        <v>915</v>
      </c>
      <c r="H37" s="222">
        <v>10</v>
      </c>
      <c r="I37" s="207">
        <f t="shared" si="6"/>
        <v>324.32432432432432</v>
      </c>
      <c r="J37" s="242">
        <f t="shared" si="7"/>
        <v>3243.2432432432433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44035</v>
      </c>
      <c r="D38" s="161" t="s">
        <v>9</v>
      </c>
      <c r="E38" s="161" t="s">
        <v>31</v>
      </c>
      <c r="F38" s="222">
        <v>2010</v>
      </c>
      <c r="G38" s="222">
        <v>2040</v>
      </c>
      <c r="H38" s="222">
        <v>30</v>
      </c>
      <c r="I38" s="207">
        <f t="shared" si="6"/>
        <v>149.25373134328359</v>
      </c>
      <c r="J38" s="242">
        <f t="shared" si="7"/>
        <v>4477.6119402985078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44035</v>
      </c>
      <c r="D39" s="161" t="s">
        <v>8</v>
      </c>
      <c r="E39" s="161" t="s">
        <v>550</v>
      </c>
      <c r="F39" s="222">
        <v>173</v>
      </c>
      <c r="G39" s="222">
        <v>171</v>
      </c>
      <c r="H39" s="222">
        <v>2</v>
      </c>
      <c r="I39" s="207">
        <f t="shared" si="6"/>
        <v>1734.1040462427745</v>
      </c>
      <c r="J39" s="242">
        <f t="shared" si="7"/>
        <v>3468.2080924855491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44039</v>
      </c>
      <c r="D40" s="161" t="s">
        <v>9</v>
      </c>
      <c r="E40" s="161" t="s">
        <v>275</v>
      </c>
      <c r="F40" s="222">
        <v>458</v>
      </c>
      <c r="G40" s="222">
        <v>466</v>
      </c>
      <c r="H40" s="222">
        <v>8</v>
      </c>
      <c r="I40" s="207">
        <f t="shared" si="6"/>
        <v>655.02183406113534</v>
      </c>
      <c r="J40" s="242">
        <f t="shared" si="7"/>
        <v>5240.1746724890827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44039</v>
      </c>
      <c r="D41" s="161" t="s">
        <v>8</v>
      </c>
      <c r="E41" s="161" t="s">
        <v>58</v>
      </c>
      <c r="F41" s="222">
        <v>436</v>
      </c>
      <c r="G41" s="223">
        <v>431</v>
      </c>
      <c r="H41" s="222">
        <v>5</v>
      </c>
      <c r="I41" s="207">
        <f t="shared" si="6"/>
        <v>688.0733944954128</v>
      </c>
      <c r="J41" s="242">
        <f t="shared" si="7"/>
        <v>3440.3669724770639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44040</v>
      </c>
      <c r="D42" s="161" t="s">
        <v>9</v>
      </c>
      <c r="E42" s="161" t="s">
        <v>31</v>
      </c>
      <c r="F42" s="222">
        <v>2165</v>
      </c>
      <c r="G42" s="222">
        <v>2185</v>
      </c>
      <c r="H42" s="222">
        <v>20</v>
      </c>
      <c r="I42" s="207">
        <f t="shared" si="6"/>
        <v>138.56812933025404</v>
      </c>
      <c r="J42" s="242">
        <f t="shared" si="7"/>
        <v>2771.3625866050807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44040</v>
      </c>
      <c r="D43" s="161" t="s">
        <v>8</v>
      </c>
      <c r="E43" s="161" t="s">
        <v>78</v>
      </c>
      <c r="F43" s="222">
        <v>902</v>
      </c>
      <c r="G43" s="222">
        <v>912</v>
      </c>
      <c r="H43" s="222">
        <v>-10</v>
      </c>
      <c r="I43" s="207">
        <f t="shared" si="6"/>
        <v>332.59423503325945</v>
      </c>
      <c r="J43" s="242">
        <f t="shared" si="7"/>
        <v>-3325.9423503325943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44041</v>
      </c>
      <c r="D44" s="161" t="s">
        <v>9</v>
      </c>
      <c r="E44" s="161" t="s">
        <v>78</v>
      </c>
      <c r="F44" s="222">
        <v>927</v>
      </c>
      <c r="G44" s="222">
        <v>940.5</v>
      </c>
      <c r="H44" s="222">
        <v>13.5</v>
      </c>
      <c r="I44" s="207">
        <f t="shared" si="6"/>
        <v>323.62459546925567</v>
      </c>
      <c r="J44" s="242">
        <f t="shared" si="7"/>
        <v>4368.9320388349515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44041</v>
      </c>
      <c r="D45" s="161" t="s">
        <v>8</v>
      </c>
      <c r="E45" s="161" t="s">
        <v>94</v>
      </c>
      <c r="F45" s="222">
        <v>1072</v>
      </c>
      <c r="G45" s="222">
        <v>1056</v>
      </c>
      <c r="H45" s="222">
        <v>16</v>
      </c>
      <c r="I45" s="207">
        <f t="shared" si="6"/>
        <v>279.85074626865674</v>
      </c>
      <c r="J45" s="242">
        <f t="shared" si="7"/>
        <v>4477.6119402985078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44042</v>
      </c>
      <c r="D46" s="161" t="s">
        <v>9</v>
      </c>
      <c r="E46" s="161" t="s">
        <v>58</v>
      </c>
      <c r="F46" s="222">
        <v>443</v>
      </c>
      <c r="G46" s="222">
        <v>446</v>
      </c>
      <c r="H46" s="222">
        <v>3</v>
      </c>
      <c r="I46" s="207">
        <f t="shared" si="6"/>
        <v>677.20090293453723</v>
      </c>
      <c r="J46" s="242">
        <f t="shared" si="7"/>
        <v>2031.6027088036117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44042</v>
      </c>
      <c r="D47" s="161" t="s">
        <v>8</v>
      </c>
      <c r="E47" s="161" t="s">
        <v>502</v>
      </c>
      <c r="F47" s="222">
        <v>712</v>
      </c>
      <c r="G47" s="222">
        <v>696</v>
      </c>
      <c r="H47" s="222">
        <v>16</v>
      </c>
      <c r="I47" s="207">
        <f t="shared" si="6"/>
        <v>421.34831460674155</v>
      </c>
      <c r="J47" s="242">
        <f t="shared" si="7"/>
        <v>6741.5730337078649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44043</v>
      </c>
      <c r="D48" s="161" t="s">
        <v>9</v>
      </c>
      <c r="E48" s="161" t="s">
        <v>502</v>
      </c>
      <c r="F48" s="222">
        <v>692</v>
      </c>
      <c r="G48" s="222">
        <v>684</v>
      </c>
      <c r="H48" s="222">
        <v>-8</v>
      </c>
      <c r="I48" s="207">
        <f t="shared" si="6"/>
        <v>433.52601156069363</v>
      </c>
      <c r="J48" s="242">
        <f t="shared" si="7"/>
        <v>-3468.2080924855491</v>
      </c>
      <c r="K48" s="153"/>
      <c r="V48" s="25">
        <f t="shared" si="3"/>
        <v>0</v>
      </c>
      <c r="W48" s="25">
        <f t="shared" si="4"/>
        <v>1</v>
      </c>
    </row>
    <row r="49" spans="1:23" x14ac:dyDescent="0.3">
      <c r="A49" s="147"/>
      <c r="B49" s="205">
        <f t="shared" si="5"/>
        <v>44</v>
      </c>
      <c r="C49" s="206">
        <v>44043</v>
      </c>
      <c r="D49" s="161" t="s">
        <v>8</v>
      </c>
      <c r="E49" s="161" t="s">
        <v>31</v>
      </c>
      <c r="F49" s="222">
        <v>2080</v>
      </c>
      <c r="G49" s="222">
        <v>2060</v>
      </c>
      <c r="H49" s="222">
        <v>-20</v>
      </c>
      <c r="I49" s="207">
        <f t="shared" si="6"/>
        <v>144.23076923076923</v>
      </c>
      <c r="J49" s="242">
        <f t="shared" si="7"/>
        <v>-2884.6153846153848</v>
      </c>
      <c r="K49" s="153"/>
      <c r="V49" s="25">
        <f t="shared" si="3"/>
        <v>0</v>
      </c>
      <c r="W49" s="25">
        <f t="shared" si="4"/>
        <v>1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107954.79040600026</v>
      </c>
      <c r="K52" s="153"/>
      <c r="V52" s="25">
        <f>SUM(V6:V51)</f>
        <v>37</v>
      </c>
      <c r="W52" s="25">
        <f>SUM(W6:W51)</f>
        <v>7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3021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44013</v>
      </c>
      <c r="D60" s="161" t="s">
        <v>9</v>
      </c>
      <c r="E60" s="161" t="s">
        <v>3023</v>
      </c>
      <c r="F60" s="222">
        <v>355</v>
      </c>
      <c r="G60" s="222">
        <v>363</v>
      </c>
      <c r="H60" s="222">
        <v>8</v>
      </c>
      <c r="I60" s="207">
        <v>1375</v>
      </c>
      <c r="J60" s="241">
        <f t="shared" ref="J60:J83" si="15">I60*H60</f>
        <v>11000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44014</v>
      </c>
      <c r="D61" s="161" t="s">
        <v>8</v>
      </c>
      <c r="E61" s="161" t="s">
        <v>58</v>
      </c>
      <c r="F61" s="222">
        <v>423</v>
      </c>
      <c r="G61" s="222">
        <v>429</v>
      </c>
      <c r="H61" s="222">
        <v>-6</v>
      </c>
      <c r="I61" s="207">
        <v>1200</v>
      </c>
      <c r="J61" s="242">
        <f t="shared" si="15"/>
        <v>-7200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44015</v>
      </c>
      <c r="D62" s="161" t="s">
        <v>9</v>
      </c>
      <c r="E62" s="161" t="s">
        <v>78</v>
      </c>
      <c r="F62" s="222">
        <v>948</v>
      </c>
      <c r="G62" s="222">
        <v>952</v>
      </c>
      <c r="H62" s="222">
        <v>4</v>
      </c>
      <c r="I62" s="207">
        <v>550</v>
      </c>
      <c r="J62" s="242">
        <f t="shared" si="15"/>
        <v>2200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44018</v>
      </c>
      <c r="D63" s="161" t="s">
        <v>8</v>
      </c>
      <c r="E63" s="161" t="s">
        <v>3023</v>
      </c>
      <c r="F63" s="222">
        <v>363</v>
      </c>
      <c r="G63" s="222">
        <v>361.5</v>
      </c>
      <c r="H63" s="222">
        <v>1.95</v>
      </c>
      <c r="I63" s="207">
        <v>1375</v>
      </c>
      <c r="J63" s="242">
        <f t="shared" si="15"/>
        <v>2681.25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44019</v>
      </c>
      <c r="D64" s="161" t="s">
        <v>9</v>
      </c>
      <c r="E64" s="161" t="s">
        <v>3023</v>
      </c>
      <c r="F64" s="222">
        <v>364</v>
      </c>
      <c r="G64" s="222">
        <v>372</v>
      </c>
      <c r="H64" s="222">
        <v>8</v>
      </c>
      <c r="I64" s="207">
        <v>1375</v>
      </c>
      <c r="J64" s="242">
        <f t="shared" si="15"/>
        <v>11000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44020</v>
      </c>
      <c r="D65" s="161" t="s">
        <v>9</v>
      </c>
      <c r="E65" s="161" t="s">
        <v>3023</v>
      </c>
      <c r="F65" s="207">
        <v>375</v>
      </c>
      <c r="G65" s="222">
        <v>379</v>
      </c>
      <c r="H65" s="222">
        <v>4</v>
      </c>
      <c r="I65" s="207">
        <v>1375</v>
      </c>
      <c r="J65" s="242">
        <f t="shared" si="15"/>
        <v>5500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44021</v>
      </c>
      <c r="D66" s="161" t="s">
        <v>9</v>
      </c>
      <c r="E66" s="161" t="s">
        <v>58</v>
      </c>
      <c r="F66" s="207">
        <v>450</v>
      </c>
      <c r="G66" s="222">
        <v>456</v>
      </c>
      <c r="H66" s="222">
        <v>6</v>
      </c>
      <c r="I66" s="207">
        <v>1200</v>
      </c>
      <c r="J66" s="242">
        <f t="shared" si="15"/>
        <v>7200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44022</v>
      </c>
      <c r="D67" s="161" t="s">
        <v>8</v>
      </c>
      <c r="E67" s="161" t="s">
        <v>94</v>
      </c>
      <c r="F67" s="222">
        <v>1108</v>
      </c>
      <c r="G67" s="222">
        <v>1100</v>
      </c>
      <c r="H67" s="222">
        <v>8</v>
      </c>
      <c r="I67" s="207">
        <v>550</v>
      </c>
      <c r="J67" s="242">
        <f t="shared" si="15"/>
        <v>4400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44025</v>
      </c>
      <c r="D68" s="161" t="s">
        <v>8</v>
      </c>
      <c r="E68" s="161" t="s">
        <v>94</v>
      </c>
      <c r="F68" s="222">
        <v>1098</v>
      </c>
      <c r="G68" s="222">
        <v>1078</v>
      </c>
      <c r="H68" s="222">
        <v>20</v>
      </c>
      <c r="I68" s="207">
        <v>550</v>
      </c>
      <c r="J68" s="242">
        <f t="shared" si="15"/>
        <v>11000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44026</v>
      </c>
      <c r="D69" s="161" t="s">
        <v>8</v>
      </c>
      <c r="E69" s="161" t="s">
        <v>94</v>
      </c>
      <c r="F69" s="222">
        <v>1062</v>
      </c>
      <c r="G69" s="222">
        <v>1052</v>
      </c>
      <c r="H69" s="222">
        <v>10</v>
      </c>
      <c r="I69" s="207">
        <v>550</v>
      </c>
      <c r="J69" s="242">
        <f t="shared" si="15"/>
        <v>5500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44027</v>
      </c>
      <c r="D70" s="161" t="s">
        <v>9</v>
      </c>
      <c r="E70" s="161" t="s">
        <v>15</v>
      </c>
      <c r="F70" s="161">
        <v>1143</v>
      </c>
      <c r="G70" s="222">
        <v>1163</v>
      </c>
      <c r="H70" s="222">
        <v>20</v>
      </c>
      <c r="I70" s="207">
        <v>550</v>
      </c>
      <c r="J70" s="242">
        <f t="shared" si="15"/>
        <v>11000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44028</v>
      </c>
      <c r="D71" s="161" t="s">
        <v>8</v>
      </c>
      <c r="E71" s="161" t="s">
        <v>94</v>
      </c>
      <c r="F71" s="222">
        <v>1038</v>
      </c>
      <c r="G71" s="222">
        <v>1048</v>
      </c>
      <c r="H71" s="222">
        <v>-10</v>
      </c>
      <c r="I71" s="207">
        <v>550</v>
      </c>
      <c r="J71" s="242">
        <f t="shared" si="15"/>
        <v>-5500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44029</v>
      </c>
      <c r="D72" s="161" t="s">
        <v>9</v>
      </c>
      <c r="E72" s="161" t="s">
        <v>3023</v>
      </c>
      <c r="F72" s="222">
        <v>352</v>
      </c>
      <c r="G72" s="222">
        <v>348</v>
      </c>
      <c r="H72" s="222">
        <v>-4</v>
      </c>
      <c r="I72" s="207">
        <v>1375</v>
      </c>
      <c r="J72" s="242">
        <f t="shared" si="15"/>
        <v>-5500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44032</v>
      </c>
      <c r="D73" s="161" t="s">
        <v>8</v>
      </c>
      <c r="E73" s="161" t="s">
        <v>58</v>
      </c>
      <c r="F73" s="223">
        <v>437</v>
      </c>
      <c r="G73" s="222">
        <v>431</v>
      </c>
      <c r="H73" s="255">
        <v>6</v>
      </c>
      <c r="I73" s="207">
        <v>1200</v>
      </c>
      <c r="J73" s="242">
        <f t="shared" si="15"/>
        <v>7200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44033</v>
      </c>
      <c r="D74" s="161" t="s">
        <v>8</v>
      </c>
      <c r="E74" s="161" t="s">
        <v>94</v>
      </c>
      <c r="F74" s="222">
        <v>1143</v>
      </c>
      <c r="G74" s="222">
        <v>1134</v>
      </c>
      <c r="H74" s="255">
        <v>9</v>
      </c>
      <c r="I74" s="207">
        <v>550</v>
      </c>
      <c r="J74" s="242">
        <f t="shared" si="15"/>
        <v>4950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44034</v>
      </c>
      <c r="D75" s="161" t="s">
        <v>8</v>
      </c>
      <c r="E75" s="161" t="s">
        <v>94</v>
      </c>
      <c r="F75" s="222">
        <v>1125</v>
      </c>
      <c r="G75" s="222">
        <v>1115</v>
      </c>
      <c r="H75" s="255">
        <v>10</v>
      </c>
      <c r="I75" s="207">
        <v>550</v>
      </c>
      <c r="J75" s="242">
        <f t="shared" si="15"/>
        <v>5500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44035</v>
      </c>
      <c r="D76" s="161" t="s">
        <v>8</v>
      </c>
      <c r="E76" s="161" t="s">
        <v>94</v>
      </c>
      <c r="F76" s="222">
        <v>1120</v>
      </c>
      <c r="G76" s="222">
        <v>1130</v>
      </c>
      <c r="H76" s="222">
        <v>-10</v>
      </c>
      <c r="I76" s="207">
        <v>550</v>
      </c>
      <c r="J76" s="242">
        <f t="shared" si="15"/>
        <v>-5500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44036</v>
      </c>
      <c r="D77" s="161" t="s">
        <v>8</v>
      </c>
      <c r="E77" s="161" t="s">
        <v>58</v>
      </c>
      <c r="F77" s="222">
        <v>450</v>
      </c>
      <c r="G77" s="222">
        <v>442.8</v>
      </c>
      <c r="H77" s="222">
        <v>7.2</v>
      </c>
      <c r="I77" s="207">
        <v>1200</v>
      </c>
      <c r="J77" s="242">
        <f t="shared" si="15"/>
        <v>8640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44039</v>
      </c>
      <c r="D78" s="161" t="s">
        <v>8</v>
      </c>
      <c r="E78" s="161" t="s">
        <v>94</v>
      </c>
      <c r="F78" s="222">
        <v>1084</v>
      </c>
      <c r="G78" s="222">
        <v>1079</v>
      </c>
      <c r="H78" s="222">
        <v>5</v>
      </c>
      <c r="I78" s="207">
        <v>550</v>
      </c>
      <c r="J78" s="242">
        <f t="shared" si="15"/>
        <v>2750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44040</v>
      </c>
      <c r="D79" s="161" t="s">
        <v>8</v>
      </c>
      <c r="E79" s="161" t="s">
        <v>3023</v>
      </c>
      <c r="F79" s="222">
        <v>354</v>
      </c>
      <c r="G79" s="222">
        <v>346</v>
      </c>
      <c r="H79" s="222">
        <v>8</v>
      </c>
      <c r="I79" s="207">
        <v>1375</v>
      </c>
      <c r="J79" s="242">
        <f t="shared" si="15"/>
        <v>11000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44041</v>
      </c>
      <c r="D80" s="161" t="s">
        <v>9</v>
      </c>
      <c r="E80" s="161" t="s">
        <v>25</v>
      </c>
      <c r="F80" s="222">
        <v>366</v>
      </c>
      <c r="G80" s="222">
        <v>374</v>
      </c>
      <c r="H80" s="222">
        <v>8</v>
      </c>
      <c r="I80" s="207">
        <v>1700</v>
      </c>
      <c r="J80" s="242">
        <f t="shared" si="15"/>
        <v>13600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>
        <v>44042</v>
      </c>
      <c r="D81" s="161" t="s">
        <v>9</v>
      </c>
      <c r="E81" s="161" t="s">
        <v>58</v>
      </c>
      <c r="F81" s="222">
        <v>444</v>
      </c>
      <c r="G81" s="222">
        <v>446</v>
      </c>
      <c r="H81" s="222">
        <v>2</v>
      </c>
      <c r="I81" s="207">
        <v>1200</v>
      </c>
      <c r="J81" s="242">
        <f t="shared" si="15"/>
        <v>2400</v>
      </c>
      <c r="K81" s="153"/>
    </row>
    <row r="82" spans="1:23" x14ac:dyDescent="0.3">
      <c r="A82" s="147"/>
      <c r="B82" s="205">
        <f t="shared" si="18"/>
        <v>23</v>
      </c>
      <c r="C82" s="206">
        <v>44043</v>
      </c>
      <c r="D82" s="161" t="s">
        <v>9</v>
      </c>
      <c r="E82" s="161" t="s">
        <v>58</v>
      </c>
      <c r="F82" s="222">
        <v>431</v>
      </c>
      <c r="G82" s="222">
        <v>436</v>
      </c>
      <c r="H82" s="222">
        <v>5</v>
      </c>
      <c r="I82" s="207">
        <v>1200</v>
      </c>
      <c r="J82" s="242">
        <f t="shared" si="15"/>
        <v>6000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109821.25</v>
      </c>
      <c r="K84" s="153"/>
      <c r="V84" s="25">
        <f>SUM(V60:V83)</f>
        <v>18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3022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44013</v>
      </c>
      <c r="D92" s="185" t="s">
        <v>9</v>
      </c>
      <c r="E92" s="185" t="s">
        <v>39</v>
      </c>
      <c r="F92" s="219">
        <v>10290</v>
      </c>
      <c r="G92" s="219">
        <v>10370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44014</v>
      </c>
      <c r="D93" s="185" t="s">
        <v>8</v>
      </c>
      <c r="E93" s="185" t="s">
        <v>39</v>
      </c>
      <c r="F93" s="219">
        <v>10460</v>
      </c>
      <c r="G93" s="219">
        <v>10500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44015</v>
      </c>
      <c r="D94" s="161" t="s">
        <v>9</v>
      </c>
      <c r="E94" s="161" t="s">
        <v>39</v>
      </c>
      <c r="F94" s="207">
        <v>10560</v>
      </c>
      <c r="G94" s="207">
        <v>10600</v>
      </c>
      <c r="H94" s="161">
        <v>40</v>
      </c>
      <c r="I94" s="207">
        <v>150</v>
      </c>
      <c r="J94" s="242">
        <f t="shared" si="19"/>
        <v>6000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44018</v>
      </c>
      <c r="D95" s="161" t="s">
        <v>9</v>
      </c>
      <c r="E95" s="161" t="s">
        <v>39</v>
      </c>
      <c r="F95" s="207">
        <v>10700</v>
      </c>
      <c r="G95" s="207">
        <v>10760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44019</v>
      </c>
      <c r="D96" s="161" t="s">
        <v>9</v>
      </c>
      <c r="E96" s="161" t="s">
        <v>39</v>
      </c>
      <c r="F96" s="207">
        <v>10740</v>
      </c>
      <c r="G96" s="207">
        <v>10700</v>
      </c>
      <c r="H96" s="161">
        <v>-40</v>
      </c>
      <c r="I96" s="207">
        <v>150</v>
      </c>
      <c r="J96" s="242">
        <f t="shared" si="19"/>
        <v>-6000</v>
      </c>
      <c r="K96" s="153"/>
      <c r="V96" s="25">
        <f t="shared" si="20"/>
        <v>0</v>
      </c>
      <c r="W96" s="25">
        <f t="shared" si="21"/>
        <v>1</v>
      </c>
    </row>
    <row r="97" spans="1:23" x14ac:dyDescent="0.3">
      <c r="A97" s="147"/>
      <c r="B97" s="205">
        <f t="shared" si="22"/>
        <v>6</v>
      </c>
      <c r="C97" s="206">
        <v>44020</v>
      </c>
      <c r="D97" s="161" t="s">
        <v>9</v>
      </c>
      <c r="E97" s="161" t="s">
        <v>39</v>
      </c>
      <c r="F97" s="207">
        <v>10770</v>
      </c>
      <c r="G97" s="207">
        <v>10825</v>
      </c>
      <c r="H97" s="161">
        <v>55</v>
      </c>
      <c r="I97" s="207">
        <v>150</v>
      </c>
      <c r="J97" s="242">
        <f t="shared" si="19"/>
        <v>8250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44021</v>
      </c>
      <c r="D98" s="161" t="s">
        <v>9</v>
      </c>
      <c r="E98" s="161" t="s">
        <v>39</v>
      </c>
      <c r="F98" s="207">
        <v>10770</v>
      </c>
      <c r="G98" s="207">
        <v>10825</v>
      </c>
      <c r="H98" s="161">
        <v>55</v>
      </c>
      <c r="I98" s="207">
        <v>150</v>
      </c>
      <c r="J98" s="242">
        <f t="shared" si="19"/>
        <v>8250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44022</v>
      </c>
      <c r="D99" s="161" t="s">
        <v>9</v>
      </c>
      <c r="E99" s="161" t="s">
        <v>39</v>
      </c>
      <c r="F99" s="207">
        <v>10740</v>
      </c>
      <c r="G99" s="207">
        <v>10700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44025</v>
      </c>
      <c r="D100" s="161" t="s">
        <v>9</v>
      </c>
      <c r="E100" s="161" t="s">
        <v>39</v>
      </c>
      <c r="F100" s="207">
        <v>10860</v>
      </c>
      <c r="G100" s="207">
        <v>10820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44026</v>
      </c>
      <c r="D101" s="161" t="s">
        <v>8</v>
      </c>
      <c r="E101" s="161" t="s">
        <v>39</v>
      </c>
      <c r="F101" s="207">
        <v>10700</v>
      </c>
      <c r="G101" s="207">
        <v>10620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44027</v>
      </c>
      <c r="D102" s="161" t="s">
        <v>9</v>
      </c>
      <c r="E102" s="161" t="s">
        <v>39</v>
      </c>
      <c r="F102" s="207">
        <v>10730</v>
      </c>
      <c r="G102" s="207">
        <v>10810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44028</v>
      </c>
      <c r="D103" s="161" t="s">
        <v>8</v>
      </c>
      <c r="E103" s="161" t="s">
        <v>39</v>
      </c>
      <c r="F103" s="207">
        <v>10660</v>
      </c>
      <c r="G103" s="207">
        <v>10620</v>
      </c>
      <c r="H103" s="161">
        <v>40</v>
      </c>
      <c r="I103" s="207">
        <v>150</v>
      </c>
      <c r="J103" s="242">
        <f t="shared" si="19"/>
        <v>6000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44029</v>
      </c>
      <c r="D104" s="161" t="s">
        <v>9</v>
      </c>
      <c r="E104" s="161" t="s">
        <v>39</v>
      </c>
      <c r="F104" s="207">
        <v>10790</v>
      </c>
      <c r="G104" s="207">
        <v>10870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44032</v>
      </c>
      <c r="D105" s="161" t="s">
        <v>9</v>
      </c>
      <c r="E105" s="161" t="s">
        <v>39</v>
      </c>
      <c r="F105" s="207">
        <v>10980</v>
      </c>
      <c r="G105" s="207">
        <v>10940</v>
      </c>
      <c r="H105" s="161">
        <v>-40</v>
      </c>
      <c r="I105" s="207">
        <v>150</v>
      </c>
      <c r="J105" s="242">
        <f t="shared" si="19"/>
        <v>-6000</v>
      </c>
      <c r="K105" s="153"/>
      <c r="V105" s="25">
        <f t="shared" si="20"/>
        <v>0</v>
      </c>
      <c r="W105" s="25">
        <f t="shared" si="21"/>
        <v>1</v>
      </c>
    </row>
    <row r="106" spans="1:23" x14ac:dyDescent="0.3">
      <c r="A106" s="147"/>
      <c r="B106" s="205">
        <f t="shared" si="22"/>
        <v>15</v>
      </c>
      <c r="C106" s="206">
        <v>44033</v>
      </c>
      <c r="D106" s="161" t="s">
        <v>9</v>
      </c>
      <c r="E106" s="161" t="s">
        <v>39</v>
      </c>
      <c r="F106" s="207">
        <v>11120</v>
      </c>
      <c r="G106" s="207">
        <v>11178</v>
      </c>
      <c r="H106" s="161">
        <v>58</v>
      </c>
      <c r="I106" s="207">
        <v>150</v>
      </c>
      <c r="J106" s="242">
        <f t="shared" si="19"/>
        <v>8700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44034</v>
      </c>
      <c r="D107" s="161" t="s">
        <v>9</v>
      </c>
      <c r="E107" s="161" t="s">
        <v>39</v>
      </c>
      <c r="F107" s="207">
        <v>11140</v>
      </c>
      <c r="G107" s="207">
        <v>11160</v>
      </c>
      <c r="H107" s="161">
        <v>20</v>
      </c>
      <c r="I107" s="207">
        <v>150</v>
      </c>
      <c r="J107" s="242">
        <f t="shared" si="19"/>
        <v>3000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44035</v>
      </c>
      <c r="D108" s="161" t="s">
        <v>9</v>
      </c>
      <c r="E108" s="161" t="s">
        <v>39</v>
      </c>
      <c r="F108" s="207">
        <v>11140</v>
      </c>
      <c r="G108" s="207">
        <v>11220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44039</v>
      </c>
      <c r="D109" s="161" t="s">
        <v>9</v>
      </c>
      <c r="E109" s="161" t="s">
        <v>39</v>
      </c>
      <c r="F109" s="207">
        <v>11110</v>
      </c>
      <c r="G109" s="207">
        <v>11150</v>
      </c>
      <c r="H109" s="161">
        <v>40</v>
      </c>
      <c r="I109" s="207">
        <v>150</v>
      </c>
      <c r="J109" s="242">
        <f t="shared" si="19"/>
        <v>6000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44040</v>
      </c>
      <c r="D110" s="161" t="s">
        <v>9</v>
      </c>
      <c r="E110" s="161" t="s">
        <v>39</v>
      </c>
      <c r="F110" s="207">
        <v>11170</v>
      </c>
      <c r="G110" s="207">
        <v>11250</v>
      </c>
      <c r="H110" s="161">
        <v>80</v>
      </c>
      <c r="I110" s="207">
        <v>150</v>
      </c>
      <c r="J110" s="242">
        <f>I110*H110</f>
        <v>12000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44041</v>
      </c>
      <c r="D111" s="161" t="s">
        <v>9</v>
      </c>
      <c r="E111" s="161" t="s">
        <v>39</v>
      </c>
      <c r="F111" s="207">
        <v>11270</v>
      </c>
      <c r="G111" s="207">
        <v>11310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44042</v>
      </c>
      <c r="D112" s="161" t="s">
        <v>9</v>
      </c>
      <c r="E112" s="161" t="s">
        <v>39</v>
      </c>
      <c r="F112" s="207">
        <v>11270</v>
      </c>
      <c r="G112" s="207">
        <v>11290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44043</v>
      </c>
      <c r="D113" s="161" t="s">
        <v>9</v>
      </c>
      <c r="E113" s="161" t="s">
        <v>39</v>
      </c>
      <c r="F113" s="207">
        <v>11120</v>
      </c>
      <c r="G113" s="207">
        <v>11080</v>
      </c>
      <c r="H113" s="161">
        <v>-40</v>
      </c>
      <c r="I113" s="207">
        <v>150</v>
      </c>
      <c r="J113" s="242">
        <f t="shared" si="19"/>
        <v>-6000</v>
      </c>
      <c r="K113" s="153"/>
      <c r="V113" s="25">
        <f t="shared" si="20"/>
        <v>0</v>
      </c>
      <c r="W113" s="25">
        <f t="shared" si="21"/>
        <v>1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100200</v>
      </c>
      <c r="K115" s="153"/>
      <c r="V115" s="25">
        <f>SUM(V92:V114)</f>
        <v>16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3020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44013</v>
      </c>
      <c r="D123" s="185" t="s">
        <v>9</v>
      </c>
      <c r="E123" s="185" t="s">
        <v>2378</v>
      </c>
      <c r="F123" s="219">
        <v>97</v>
      </c>
      <c r="G123" s="219">
        <v>137</v>
      </c>
      <c r="H123" s="185">
        <v>40</v>
      </c>
      <c r="I123" s="219">
        <v>300</v>
      </c>
      <c r="J123" s="246">
        <f t="shared" ref="J123:J145" si="23">I123*H123</f>
        <v>12000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44014</v>
      </c>
      <c r="D124" s="185" t="s">
        <v>9</v>
      </c>
      <c r="E124" s="185" t="s">
        <v>2412</v>
      </c>
      <c r="F124" s="219">
        <v>105</v>
      </c>
      <c r="G124" s="219">
        <v>115</v>
      </c>
      <c r="H124" s="185">
        <v>10</v>
      </c>
      <c r="I124" s="219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44015</v>
      </c>
      <c r="D125" s="161" t="s">
        <v>9</v>
      </c>
      <c r="E125" s="161" t="s">
        <v>2499</v>
      </c>
      <c r="F125" s="207">
        <v>110</v>
      </c>
      <c r="G125" s="207">
        <v>122</v>
      </c>
      <c r="H125" s="161">
        <v>22</v>
      </c>
      <c r="I125" s="207">
        <v>300</v>
      </c>
      <c r="J125" s="242">
        <f t="shared" si="23"/>
        <v>6600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44018</v>
      </c>
      <c r="D126" s="161" t="s">
        <v>9</v>
      </c>
      <c r="E126" s="161" t="s">
        <v>2486</v>
      </c>
      <c r="F126" s="207">
        <v>100</v>
      </c>
      <c r="G126" s="207">
        <v>140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44019</v>
      </c>
      <c r="D127" s="161" t="s">
        <v>9</v>
      </c>
      <c r="E127" s="161" t="s">
        <v>2486</v>
      </c>
      <c r="F127" s="207">
        <v>105</v>
      </c>
      <c r="G127" s="207">
        <v>85</v>
      </c>
      <c r="H127" s="161">
        <v>-20</v>
      </c>
      <c r="I127" s="207">
        <v>300</v>
      </c>
      <c r="J127" s="242">
        <f t="shared" si="23"/>
        <v>-6000</v>
      </c>
      <c r="K127" s="153"/>
      <c r="M127" s="25" t="s">
        <v>2008</v>
      </c>
      <c r="V127" s="25">
        <f t="shared" si="24"/>
        <v>0</v>
      </c>
      <c r="W127" s="25">
        <f t="shared" si="25"/>
        <v>1</v>
      </c>
    </row>
    <row r="128" spans="1:23" x14ac:dyDescent="0.3">
      <c r="A128" s="147"/>
      <c r="B128" s="205">
        <f t="shared" si="26"/>
        <v>6</v>
      </c>
      <c r="C128" s="206">
        <v>44020</v>
      </c>
      <c r="D128" s="161" t="s">
        <v>9</v>
      </c>
      <c r="E128" s="161" t="s">
        <v>3032</v>
      </c>
      <c r="F128" s="207">
        <v>100</v>
      </c>
      <c r="G128" s="222">
        <v>80</v>
      </c>
      <c r="H128" s="222">
        <v>-20</v>
      </c>
      <c r="I128" s="207">
        <v>300</v>
      </c>
      <c r="J128" s="242">
        <f t="shared" si="23"/>
        <v>-6000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44021</v>
      </c>
      <c r="D129" s="161" t="s">
        <v>9</v>
      </c>
      <c r="E129" s="161" t="s">
        <v>2486</v>
      </c>
      <c r="F129" s="207">
        <v>70</v>
      </c>
      <c r="G129" s="207">
        <v>110</v>
      </c>
      <c r="H129" s="161">
        <v>40</v>
      </c>
      <c r="I129" s="207">
        <v>300</v>
      </c>
      <c r="J129" s="242">
        <f t="shared" si="23"/>
        <v>12000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44022</v>
      </c>
      <c r="D130" s="161" t="s">
        <v>9</v>
      </c>
      <c r="E130" s="161" t="s">
        <v>2423</v>
      </c>
      <c r="F130" s="207">
        <v>105</v>
      </c>
      <c r="G130" s="207">
        <v>80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44025</v>
      </c>
      <c r="D131" s="161" t="s">
        <v>9</v>
      </c>
      <c r="E131" s="161" t="s">
        <v>2429</v>
      </c>
      <c r="F131" s="207">
        <v>130</v>
      </c>
      <c r="G131" s="207">
        <v>105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44026</v>
      </c>
      <c r="D132" s="161" t="s">
        <v>9</v>
      </c>
      <c r="E132" s="161" t="s">
        <v>3039</v>
      </c>
      <c r="F132" s="207">
        <v>115</v>
      </c>
      <c r="G132" s="222">
        <v>165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44027</v>
      </c>
      <c r="D133" s="161" t="s">
        <v>9</v>
      </c>
      <c r="E133" s="161" t="s">
        <v>2486</v>
      </c>
      <c r="F133" s="207">
        <v>110</v>
      </c>
      <c r="G133" s="207">
        <v>150</v>
      </c>
      <c r="H133" s="161">
        <v>40</v>
      </c>
      <c r="I133" s="207">
        <v>300</v>
      </c>
      <c r="J133" s="242">
        <f t="shared" si="23"/>
        <v>12000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44028</v>
      </c>
      <c r="D134" s="161" t="s">
        <v>9</v>
      </c>
      <c r="E134" s="161" t="s">
        <v>3039</v>
      </c>
      <c r="F134" s="207">
        <v>105</v>
      </c>
      <c r="G134" s="222">
        <v>130</v>
      </c>
      <c r="H134" s="222">
        <v>25</v>
      </c>
      <c r="I134" s="207">
        <v>300</v>
      </c>
      <c r="J134" s="242">
        <f t="shared" si="23"/>
        <v>7500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44029</v>
      </c>
      <c r="D135" s="161" t="s">
        <v>9</v>
      </c>
      <c r="E135" s="161" t="s">
        <v>2434</v>
      </c>
      <c r="F135" s="207">
        <v>110</v>
      </c>
      <c r="G135" s="207">
        <v>160</v>
      </c>
      <c r="H135" s="161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44032</v>
      </c>
      <c r="D136" s="161" t="s">
        <v>9</v>
      </c>
      <c r="E136" s="161" t="s">
        <v>2440</v>
      </c>
      <c r="F136" s="207">
        <v>135</v>
      </c>
      <c r="G136" s="207">
        <v>147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44033</v>
      </c>
      <c r="D137" s="161" t="s">
        <v>9</v>
      </c>
      <c r="E137" s="161" t="s">
        <v>2795</v>
      </c>
      <c r="F137" s="207">
        <v>120</v>
      </c>
      <c r="G137" s="207">
        <v>165</v>
      </c>
      <c r="H137" s="161">
        <v>45</v>
      </c>
      <c r="I137" s="207">
        <v>300</v>
      </c>
      <c r="J137" s="242">
        <f t="shared" si="23"/>
        <v>13500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44034</v>
      </c>
      <c r="D138" s="161" t="s">
        <v>9</v>
      </c>
      <c r="E138" s="161" t="s">
        <v>2795</v>
      </c>
      <c r="F138" s="207">
        <v>115</v>
      </c>
      <c r="G138" s="207">
        <v>140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44035</v>
      </c>
      <c r="D139" s="161" t="s">
        <v>9</v>
      </c>
      <c r="E139" s="161" t="s">
        <v>2795</v>
      </c>
      <c r="F139" s="207">
        <v>105</v>
      </c>
      <c r="G139" s="207">
        <v>155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44039</v>
      </c>
      <c r="D140" s="161" t="s">
        <v>9</v>
      </c>
      <c r="E140" s="161" t="s">
        <v>2451</v>
      </c>
      <c r="F140" s="207">
        <v>105</v>
      </c>
      <c r="G140" s="207">
        <v>130</v>
      </c>
      <c r="H140" s="161">
        <v>25</v>
      </c>
      <c r="I140" s="207">
        <v>300</v>
      </c>
      <c r="J140" s="242">
        <f t="shared" si="23"/>
        <v>7500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44040</v>
      </c>
      <c r="D141" s="161" t="s">
        <v>9</v>
      </c>
      <c r="E141" s="161" t="s">
        <v>2451</v>
      </c>
      <c r="F141" s="207">
        <v>120</v>
      </c>
      <c r="G141" s="207">
        <v>170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44041</v>
      </c>
      <c r="D142" s="161" t="s">
        <v>9</v>
      </c>
      <c r="E142" s="161" t="s">
        <v>2445</v>
      </c>
      <c r="F142" s="207">
        <v>115</v>
      </c>
      <c r="G142" s="207">
        <v>140</v>
      </c>
      <c r="H142" s="161">
        <v>25</v>
      </c>
      <c r="I142" s="207">
        <v>300</v>
      </c>
      <c r="J142" s="242">
        <f t="shared" si="23"/>
        <v>7500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44042</v>
      </c>
      <c r="D143" s="161" t="s">
        <v>9</v>
      </c>
      <c r="E143" s="161" t="s">
        <v>2445</v>
      </c>
      <c r="F143" s="207">
        <v>85</v>
      </c>
      <c r="G143" s="207">
        <v>95</v>
      </c>
      <c r="H143" s="161">
        <v>10</v>
      </c>
      <c r="I143" s="207">
        <v>300</v>
      </c>
      <c r="J143" s="242">
        <f t="shared" si="23"/>
        <v>3000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44043</v>
      </c>
      <c r="D144" s="161" t="s">
        <v>9</v>
      </c>
      <c r="E144" s="161" t="s">
        <v>2451</v>
      </c>
      <c r="F144" s="207">
        <v>125</v>
      </c>
      <c r="G144" s="207">
        <v>100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133200</v>
      </c>
      <c r="K146" s="153"/>
      <c r="V146" s="25">
        <f>SUM(V123:V145)</f>
        <v>17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3020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44013</v>
      </c>
      <c r="D154" s="185" t="s">
        <v>8</v>
      </c>
      <c r="E154" s="185" t="s">
        <v>301</v>
      </c>
      <c r="F154" s="219">
        <v>21450</v>
      </c>
      <c r="G154" s="219">
        <v>21750</v>
      </c>
      <c r="H154" s="185">
        <v>300</v>
      </c>
      <c r="I154" s="219">
        <v>50</v>
      </c>
      <c r="J154" s="246">
        <f t="shared" ref="J154:J176" si="27">I154*H154</f>
        <v>15000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44014</v>
      </c>
      <c r="D155" s="185" t="s">
        <v>8</v>
      </c>
      <c r="E155" s="185" t="s">
        <v>301</v>
      </c>
      <c r="F155" s="219">
        <v>21900</v>
      </c>
      <c r="G155" s="219">
        <v>21850</v>
      </c>
      <c r="H155" s="185">
        <v>50</v>
      </c>
      <c r="I155" s="219">
        <v>50</v>
      </c>
      <c r="J155" s="242">
        <f t="shared" si="27"/>
        <v>2500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44015</v>
      </c>
      <c r="D156" s="161" t="s">
        <v>9</v>
      </c>
      <c r="E156" s="161" t="s">
        <v>301</v>
      </c>
      <c r="F156" s="207">
        <v>21900</v>
      </c>
      <c r="G156" s="207">
        <v>22050</v>
      </c>
      <c r="H156" s="161">
        <v>150</v>
      </c>
      <c r="I156" s="207">
        <v>50</v>
      </c>
      <c r="J156" s="242">
        <f t="shared" si="27"/>
        <v>7500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44018</v>
      </c>
      <c r="D157" s="161" t="s">
        <v>9</v>
      </c>
      <c r="E157" s="161" t="s">
        <v>301</v>
      </c>
      <c r="F157" s="207">
        <v>22200</v>
      </c>
      <c r="G157" s="207">
        <v>22350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44019</v>
      </c>
      <c r="D158" s="161" t="s">
        <v>9</v>
      </c>
      <c r="E158" s="161" t="s">
        <v>301</v>
      </c>
      <c r="F158" s="207">
        <v>22100</v>
      </c>
      <c r="G158" s="207">
        <v>22400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44020</v>
      </c>
      <c r="D159" s="161" t="s">
        <v>9</v>
      </c>
      <c r="E159" s="161" t="s">
        <v>301</v>
      </c>
      <c r="F159" s="207">
        <v>22750</v>
      </c>
      <c r="G159" s="207">
        <v>23050</v>
      </c>
      <c r="H159" s="161">
        <v>300</v>
      </c>
      <c r="I159" s="207">
        <v>50</v>
      </c>
      <c r="J159" s="242">
        <f t="shared" si="27"/>
        <v>15000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44021</v>
      </c>
      <c r="D160" s="161" t="s">
        <v>9</v>
      </c>
      <c r="E160" s="161" t="s">
        <v>301</v>
      </c>
      <c r="F160" s="207">
        <v>22800</v>
      </c>
      <c r="G160" s="207">
        <v>22850</v>
      </c>
      <c r="H160" s="161">
        <v>50</v>
      </c>
      <c r="I160" s="207">
        <v>50</v>
      </c>
      <c r="J160" s="242">
        <f t="shared" si="27"/>
        <v>2500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44022</v>
      </c>
      <c r="D161" s="161" t="s">
        <v>9</v>
      </c>
      <c r="E161" s="161" t="s">
        <v>301</v>
      </c>
      <c r="F161" s="207">
        <v>22600</v>
      </c>
      <c r="G161" s="207">
        <v>22450</v>
      </c>
      <c r="H161" s="161">
        <v>-150</v>
      </c>
      <c r="I161" s="207">
        <v>50</v>
      </c>
      <c r="J161" s="242">
        <f t="shared" si="27"/>
        <v>-7500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44025</v>
      </c>
      <c r="D162" s="161" t="s">
        <v>8</v>
      </c>
      <c r="E162" s="161" t="s">
        <v>301</v>
      </c>
      <c r="F162" s="207">
        <v>22250</v>
      </c>
      <c r="G162" s="207">
        <v>22050</v>
      </c>
      <c r="H162" s="161">
        <v>200</v>
      </c>
      <c r="I162" s="207">
        <v>50</v>
      </c>
      <c r="J162" s="242">
        <f t="shared" si="27"/>
        <v>10000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44026</v>
      </c>
      <c r="D163" s="161" t="s">
        <v>8</v>
      </c>
      <c r="E163" s="161" t="s">
        <v>301</v>
      </c>
      <c r="F163" s="207">
        <v>21750</v>
      </c>
      <c r="G163" s="207">
        <v>21450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44027</v>
      </c>
      <c r="D164" s="161" t="s">
        <v>9</v>
      </c>
      <c r="E164" s="161" t="s">
        <v>301</v>
      </c>
      <c r="F164" s="207">
        <v>21750</v>
      </c>
      <c r="G164" s="207">
        <v>21900</v>
      </c>
      <c r="H164" s="161">
        <v>150</v>
      </c>
      <c r="I164" s="207">
        <v>50</v>
      </c>
      <c r="J164" s="242">
        <f t="shared" si="27"/>
        <v>7500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44028</v>
      </c>
      <c r="D165" s="161" t="s">
        <v>8</v>
      </c>
      <c r="E165" s="161" t="s">
        <v>301</v>
      </c>
      <c r="F165" s="207">
        <v>21200</v>
      </c>
      <c r="G165" s="207">
        <v>21140</v>
      </c>
      <c r="H165" s="161">
        <v>60</v>
      </c>
      <c r="I165" s="207">
        <v>50</v>
      </c>
      <c r="J165" s="242">
        <f t="shared" si="27"/>
        <v>3000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44029</v>
      </c>
      <c r="D166" s="161" t="s">
        <v>9</v>
      </c>
      <c r="E166" s="161" t="s">
        <v>301</v>
      </c>
      <c r="F166" s="207">
        <v>21750</v>
      </c>
      <c r="G166" s="207">
        <v>21600</v>
      </c>
      <c r="H166" s="161">
        <v>-150</v>
      </c>
      <c r="I166" s="207">
        <v>50</v>
      </c>
      <c r="J166" s="242">
        <f t="shared" si="27"/>
        <v>-7500</v>
      </c>
      <c r="K166" s="153"/>
      <c r="V166" s="25">
        <f t="shared" si="28"/>
        <v>0</v>
      </c>
      <c r="W166" s="25">
        <f t="shared" si="29"/>
        <v>1</v>
      </c>
    </row>
    <row r="167" spans="1:23" x14ac:dyDescent="0.3">
      <c r="A167" s="147"/>
      <c r="B167" s="205">
        <f t="shared" si="30"/>
        <v>14</v>
      </c>
      <c r="C167" s="206">
        <v>44032</v>
      </c>
      <c r="D167" s="161" t="s">
        <v>9</v>
      </c>
      <c r="E167" s="161" t="s">
        <v>301</v>
      </c>
      <c r="F167" s="207">
        <v>22400</v>
      </c>
      <c r="G167" s="207">
        <v>22250</v>
      </c>
      <c r="H167" s="161">
        <v>-150</v>
      </c>
      <c r="I167" s="207">
        <v>50</v>
      </c>
      <c r="J167" s="242">
        <f t="shared" si="27"/>
        <v>-7500</v>
      </c>
      <c r="K167" s="153"/>
      <c r="V167" s="25">
        <f t="shared" si="28"/>
        <v>0</v>
      </c>
      <c r="W167" s="25">
        <f t="shared" si="29"/>
        <v>1</v>
      </c>
    </row>
    <row r="168" spans="1:23" x14ac:dyDescent="0.3">
      <c r="A168" s="147"/>
      <c r="B168" s="205">
        <f t="shared" si="30"/>
        <v>15</v>
      </c>
      <c r="C168" s="206">
        <v>44033</v>
      </c>
      <c r="D168" s="161" t="s">
        <v>9</v>
      </c>
      <c r="E168" s="161" t="s">
        <v>301</v>
      </c>
      <c r="F168" s="207">
        <v>22600</v>
      </c>
      <c r="G168" s="207">
        <v>22820</v>
      </c>
      <c r="H168" s="161">
        <v>220</v>
      </c>
      <c r="I168" s="207">
        <v>50</v>
      </c>
      <c r="J168" s="242">
        <f t="shared" si="27"/>
        <v>11000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44034</v>
      </c>
      <c r="D169" s="161" t="s">
        <v>9</v>
      </c>
      <c r="E169" s="161" t="s">
        <v>301</v>
      </c>
      <c r="F169" s="207">
        <v>22800</v>
      </c>
      <c r="G169" s="207">
        <v>22950</v>
      </c>
      <c r="H169" s="161">
        <v>150</v>
      </c>
      <c r="I169" s="207">
        <v>50</v>
      </c>
      <c r="J169" s="242">
        <f t="shared" si="27"/>
        <v>7500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44035</v>
      </c>
      <c r="D170" s="161" t="s">
        <v>9</v>
      </c>
      <c r="E170" s="161" t="s">
        <v>301</v>
      </c>
      <c r="F170" s="207">
        <v>22800</v>
      </c>
      <c r="G170" s="207">
        <v>23100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44039</v>
      </c>
      <c r="D171" s="161" t="s">
        <v>9</v>
      </c>
      <c r="E171" s="161" t="s">
        <v>301</v>
      </c>
      <c r="F171" s="207">
        <v>22100</v>
      </c>
      <c r="G171" s="207">
        <v>22160</v>
      </c>
      <c r="H171" s="161">
        <v>60</v>
      </c>
      <c r="I171" s="207">
        <v>50</v>
      </c>
      <c r="J171" s="242">
        <f t="shared" si="27"/>
        <v>3000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44040</v>
      </c>
      <c r="D172" s="161" t="s">
        <v>9</v>
      </c>
      <c r="E172" s="161" t="s">
        <v>301</v>
      </c>
      <c r="F172" s="207">
        <v>21700</v>
      </c>
      <c r="G172" s="207">
        <v>22000</v>
      </c>
      <c r="H172" s="161">
        <v>300</v>
      </c>
      <c r="I172" s="207">
        <v>50</v>
      </c>
      <c r="J172" s="242">
        <f t="shared" si="27"/>
        <v>15000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44041</v>
      </c>
      <c r="D173" s="161" t="s">
        <v>9</v>
      </c>
      <c r="E173" s="161" t="s">
        <v>301</v>
      </c>
      <c r="F173" s="207">
        <v>22200</v>
      </c>
      <c r="G173" s="207">
        <v>22420</v>
      </c>
      <c r="H173" s="161">
        <v>220</v>
      </c>
      <c r="I173" s="207">
        <v>50</v>
      </c>
      <c r="J173" s="242">
        <f t="shared" si="27"/>
        <v>11000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44042</v>
      </c>
      <c r="D174" s="161" t="s">
        <v>9</v>
      </c>
      <c r="E174" s="161" t="s">
        <v>301</v>
      </c>
      <c r="F174" s="207">
        <v>22200</v>
      </c>
      <c r="G174" s="207">
        <v>22250</v>
      </c>
      <c r="H174" s="161">
        <v>50</v>
      </c>
      <c r="I174" s="207">
        <v>50</v>
      </c>
      <c r="J174" s="242">
        <f t="shared" si="27"/>
        <v>2500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>
        <v>44043</v>
      </c>
      <c r="D175" s="161" t="s">
        <v>9</v>
      </c>
      <c r="E175" s="161" t="s">
        <v>301</v>
      </c>
      <c r="F175" s="207">
        <v>21700</v>
      </c>
      <c r="G175" s="207">
        <v>21550</v>
      </c>
      <c r="H175" s="161">
        <v>-150</v>
      </c>
      <c r="I175" s="207">
        <v>50</v>
      </c>
      <c r="J175" s="242">
        <f t="shared" si="27"/>
        <v>-7500</v>
      </c>
      <c r="K175" s="153"/>
      <c r="V175" s="25">
        <f t="shared" si="28"/>
        <v>0</v>
      </c>
      <c r="W175" s="25">
        <f t="shared" si="29"/>
        <v>1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135500</v>
      </c>
      <c r="K177" s="153"/>
      <c r="V177" s="25">
        <f>SUM(V154:V176)</f>
        <v>18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3020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44013</v>
      </c>
      <c r="D185" s="185" t="s">
        <v>9</v>
      </c>
      <c r="E185" s="185" t="s">
        <v>3024</v>
      </c>
      <c r="F185" s="219">
        <v>360</v>
      </c>
      <c r="G185" s="219">
        <v>560</v>
      </c>
      <c r="H185" s="185">
        <v>200</v>
      </c>
      <c r="I185" s="219">
        <v>100</v>
      </c>
      <c r="J185" s="246">
        <f t="shared" ref="J185:J207" si="31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44014</v>
      </c>
      <c r="D186" s="185" t="s">
        <v>9</v>
      </c>
      <c r="E186" s="185" t="s">
        <v>3026</v>
      </c>
      <c r="F186" s="219">
        <v>130</v>
      </c>
      <c r="G186" s="219">
        <v>180</v>
      </c>
      <c r="H186" s="185">
        <v>50</v>
      </c>
      <c r="I186" s="219">
        <v>100</v>
      </c>
      <c r="J186" s="242">
        <f t="shared" si="31"/>
        <v>5000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44015</v>
      </c>
      <c r="D187" s="161" t="s">
        <v>9</v>
      </c>
      <c r="E187" s="161" t="s">
        <v>2975</v>
      </c>
      <c r="F187" s="207">
        <v>490</v>
      </c>
      <c r="G187" s="207">
        <v>520</v>
      </c>
      <c r="H187" s="161">
        <v>30</v>
      </c>
      <c r="I187" s="207">
        <v>100</v>
      </c>
      <c r="J187" s="242">
        <f t="shared" si="31"/>
        <v>3000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44018</v>
      </c>
      <c r="D188" s="161" t="s">
        <v>9</v>
      </c>
      <c r="E188" s="161" t="s">
        <v>3029</v>
      </c>
      <c r="F188" s="207">
        <v>370</v>
      </c>
      <c r="G188" s="207">
        <v>440</v>
      </c>
      <c r="H188" s="161">
        <v>70</v>
      </c>
      <c r="I188" s="207">
        <v>100</v>
      </c>
      <c r="J188" s="242">
        <f t="shared" si="31"/>
        <v>7000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44019</v>
      </c>
      <c r="D189" s="161" t="s">
        <v>9</v>
      </c>
      <c r="E189" s="161" t="s">
        <v>3016</v>
      </c>
      <c r="F189" s="207">
        <v>300</v>
      </c>
      <c r="G189" s="207">
        <v>500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44020</v>
      </c>
      <c r="D190" s="161" t="s">
        <v>9</v>
      </c>
      <c r="E190" s="161" t="s">
        <v>2138</v>
      </c>
      <c r="F190" s="207">
        <v>300</v>
      </c>
      <c r="G190" s="207">
        <v>500</v>
      </c>
      <c r="H190" s="161">
        <v>200</v>
      </c>
      <c r="I190" s="207">
        <v>100</v>
      </c>
      <c r="J190" s="242">
        <f t="shared" si="31"/>
        <v>20000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44021</v>
      </c>
      <c r="D191" s="161" t="s">
        <v>9</v>
      </c>
      <c r="E191" s="161" t="s">
        <v>2153</v>
      </c>
      <c r="F191" s="207">
        <v>140</v>
      </c>
      <c r="G191" s="207">
        <v>80</v>
      </c>
      <c r="H191" s="161">
        <v>-60</v>
      </c>
      <c r="I191" s="207">
        <v>100</v>
      </c>
      <c r="J191" s="242">
        <f t="shared" si="31"/>
        <v>-6000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44022</v>
      </c>
      <c r="D192" s="161" t="s">
        <v>9</v>
      </c>
      <c r="E192" s="161" t="s">
        <v>3035</v>
      </c>
      <c r="F192" s="207">
        <v>400</v>
      </c>
      <c r="G192" s="207">
        <v>430</v>
      </c>
      <c r="H192" s="161">
        <v>30</v>
      </c>
      <c r="I192" s="207">
        <v>100</v>
      </c>
      <c r="J192" s="242">
        <f t="shared" si="31"/>
        <v>3000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44025</v>
      </c>
      <c r="D193" s="161" t="s">
        <v>9</v>
      </c>
      <c r="E193" s="161" t="s">
        <v>2111</v>
      </c>
      <c r="F193" s="207">
        <v>370</v>
      </c>
      <c r="G193" s="207">
        <v>500</v>
      </c>
      <c r="H193" s="161">
        <v>130</v>
      </c>
      <c r="I193" s="207">
        <v>100</v>
      </c>
      <c r="J193" s="242">
        <f t="shared" si="31"/>
        <v>13000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44026</v>
      </c>
      <c r="D194" s="161" t="s">
        <v>9</v>
      </c>
      <c r="E194" s="161" t="s">
        <v>2095</v>
      </c>
      <c r="F194" s="207">
        <v>300</v>
      </c>
      <c r="G194" s="207">
        <v>500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44027</v>
      </c>
      <c r="D195" s="161" t="s">
        <v>9</v>
      </c>
      <c r="E195" s="161" t="s">
        <v>3038</v>
      </c>
      <c r="F195" s="207">
        <v>290</v>
      </c>
      <c r="G195" s="207">
        <v>325</v>
      </c>
      <c r="H195" s="161">
        <v>35</v>
      </c>
      <c r="I195" s="207">
        <v>100</v>
      </c>
      <c r="J195" s="242">
        <f t="shared" si="31"/>
        <v>3500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44028</v>
      </c>
      <c r="D196" s="161" t="s">
        <v>9</v>
      </c>
      <c r="E196" s="161" t="s">
        <v>3041</v>
      </c>
      <c r="F196" s="207">
        <v>150</v>
      </c>
      <c r="G196" s="207">
        <v>350</v>
      </c>
      <c r="H196" s="161">
        <v>200</v>
      </c>
      <c r="I196" s="207">
        <v>100</v>
      </c>
      <c r="J196" s="242">
        <f t="shared" si="31"/>
        <v>20000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44029</v>
      </c>
      <c r="D197" s="161" t="s">
        <v>9</v>
      </c>
      <c r="E197" s="161" t="s">
        <v>2086</v>
      </c>
      <c r="F197" s="207">
        <v>420</v>
      </c>
      <c r="G197" s="207">
        <v>620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44032</v>
      </c>
      <c r="D198" s="161" t="s">
        <v>9</v>
      </c>
      <c r="E198" s="161" t="s">
        <v>3043</v>
      </c>
      <c r="F198" s="207">
        <v>390</v>
      </c>
      <c r="G198" s="207">
        <v>430</v>
      </c>
      <c r="H198" s="161">
        <v>-40</v>
      </c>
      <c r="I198" s="207">
        <v>100</v>
      </c>
      <c r="J198" s="242">
        <f t="shared" si="31"/>
        <v>-4000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44033</v>
      </c>
      <c r="D199" s="161" t="s">
        <v>9</v>
      </c>
      <c r="E199" s="161" t="s">
        <v>2137</v>
      </c>
      <c r="F199" s="207">
        <v>320</v>
      </c>
      <c r="G199" s="207">
        <v>460</v>
      </c>
      <c r="H199" s="161">
        <v>140</v>
      </c>
      <c r="I199" s="207">
        <v>100</v>
      </c>
      <c r="J199" s="242">
        <f t="shared" si="31"/>
        <v>14000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44034</v>
      </c>
      <c r="D200" s="161" t="s">
        <v>9</v>
      </c>
      <c r="E200" s="161" t="s">
        <v>2138</v>
      </c>
      <c r="F200" s="207">
        <v>300</v>
      </c>
      <c r="G200" s="207">
        <v>375</v>
      </c>
      <c r="H200" s="161"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44035</v>
      </c>
      <c r="D201" s="161" t="s">
        <v>9</v>
      </c>
      <c r="E201" s="161" t="s">
        <v>2138</v>
      </c>
      <c r="F201" s="207">
        <v>190</v>
      </c>
      <c r="G201" s="207">
        <v>390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44039</v>
      </c>
      <c r="D202" s="161" t="s">
        <v>9</v>
      </c>
      <c r="E202" s="161" t="s">
        <v>3016</v>
      </c>
      <c r="F202" s="207">
        <v>340</v>
      </c>
      <c r="G202" s="207">
        <v>375</v>
      </c>
      <c r="H202" s="161">
        <v>35</v>
      </c>
      <c r="I202" s="207">
        <v>100</v>
      </c>
      <c r="J202" s="242">
        <f t="shared" si="31"/>
        <v>3500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44040</v>
      </c>
      <c r="D203" s="161" t="s">
        <v>9</v>
      </c>
      <c r="E203" s="161" t="s">
        <v>2096</v>
      </c>
      <c r="F203" s="207">
        <v>320</v>
      </c>
      <c r="G203" s="207">
        <v>520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44041</v>
      </c>
      <c r="D204" s="161" t="s">
        <v>9</v>
      </c>
      <c r="E204" s="161" t="s">
        <v>3029</v>
      </c>
      <c r="F204" s="207">
        <v>250</v>
      </c>
      <c r="G204" s="207">
        <v>349</v>
      </c>
      <c r="H204" s="161">
        <v>99</v>
      </c>
      <c r="I204" s="207">
        <v>100</v>
      </c>
      <c r="J204" s="242">
        <f t="shared" si="31"/>
        <v>9900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44042</v>
      </c>
      <c r="D205" s="161" t="s">
        <v>9</v>
      </c>
      <c r="E205" s="161" t="s">
        <v>3029</v>
      </c>
      <c r="F205" s="207">
        <v>120</v>
      </c>
      <c r="G205" s="207">
        <v>20</v>
      </c>
      <c r="H205" s="161">
        <v>-100</v>
      </c>
      <c r="I205" s="207">
        <v>100</v>
      </c>
      <c r="J205" s="242">
        <f t="shared" si="31"/>
        <v>-10000</v>
      </c>
      <c r="K205" s="153"/>
      <c r="V205" s="25">
        <f t="shared" si="32"/>
        <v>0</v>
      </c>
      <c r="W205" s="25">
        <f t="shared" si="33"/>
        <v>1</v>
      </c>
    </row>
    <row r="206" spans="1:23" x14ac:dyDescent="0.3">
      <c r="A206" s="147"/>
      <c r="B206" s="205">
        <f t="shared" si="34"/>
        <v>22</v>
      </c>
      <c r="C206" s="206">
        <v>44043</v>
      </c>
      <c r="D206" s="161" t="s">
        <v>9</v>
      </c>
      <c r="E206" s="161" t="s">
        <v>2096</v>
      </c>
      <c r="F206" s="207">
        <v>400</v>
      </c>
      <c r="G206" s="207">
        <v>440</v>
      </c>
      <c r="H206" s="161">
        <v>40</v>
      </c>
      <c r="I206" s="207">
        <v>100</v>
      </c>
      <c r="J206" s="242">
        <f t="shared" si="31"/>
        <v>4000</v>
      </c>
      <c r="K206" s="153"/>
      <c r="V206" s="25">
        <f t="shared" si="32"/>
        <v>1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213400</v>
      </c>
      <c r="K208" s="153"/>
      <c r="V208" s="25">
        <f>SUM(V185:V207)</f>
        <v>19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3020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44013</v>
      </c>
      <c r="D216" s="185" t="s">
        <v>9</v>
      </c>
      <c r="E216" s="185" t="s">
        <v>3025</v>
      </c>
      <c r="F216" s="231">
        <v>67</v>
      </c>
      <c r="G216" s="231">
        <v>70.5</v>
      </c>
      <c r="H216" s="231">
        <v>3.5</v>
      </c>
      <c r="I216" s="219">
        <v>505</v>
      </c>
      <c r="J216" s="246">
        <f t="shared" ref="J216:J239" si="35">I216*H216</f>
        <v>1767.5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44014</v>
      </c>
      <c r="D217" s="185" t="s">
        <v>9</v>
      </c>
      <c r="E217" s="185" t="s">
        <v>3027</v>
      </c>
      <c r="F217" s="231">
        <v>19</v>
      </c>
      <c r="G217" s="231">
        <v>20</v>
      </c>
      <c r="H217" s="231">
        <v>1</v>
      </c>
      <c r="I217" s="219">
        <v>1375</v>
      </c>
      <c r="J217" s="242">
        <f>I217*H217</f>
        <v>1375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44015</v>
      </c>
      <c r="D218" s="161" t="s">
        <v>9</v>
      </c>
      <c r="E218" s="161" t="s">
        <v>3028</v>
      </c>
      <c r="F218" s="222">
        <v>36</v>
      </c>
      <c r="G218" s="222">
        <v>33.1</v>
      </c>
      <c r="H218" s="222">
        <v>-2.9</v>
      </c>
      <c r="I218" s="207">
        <v>800</v>
      </c>
      <c r="J218" s="242">
        <f t="shared" si="35"/>
        <v>-2320</v>
      </c>
      <c r="K218" s="153"/>
      <c r="V218" s="25">
        <f t="shared" ref="V218:V239" si="37">IF($J218&gt;0,1,0)</f>
        <v>0</v>
      </c>
      <c r="W218" s="25">
        <f t="shared" ref="W218:W239" si="38">IF($J218&lt;0,1,0)</f>
        <v>1</v>
      </c>
    </row>
    <row r="219" spans="1:23" x14ac:dyDescent="0.3">
      <c r="A219" s="147"/>
      <c r="B219" s="205">
        <f t="shared" si="36"/>
        <v>4</v>
      </c>
      <c r="C219" s="206">
        <v>44018</v>
      </c>
      <c r="D219" s="161" t="s">
        <v>9</v>
      </c>
      <c r="E219" s="161" t="s">
        <v>3030</v>
      </c>
      <c r="F219" s="222">
        <v>66</v>
      </c>
      <c r="G219" s="222">
        <v>80.5</v>
      </c>
      <c r="H219" s="222">
        <v>14.5</v>
      </c>
      <c r="I219" s="207">
        <v>505</v>
      </c>
      <c r="J219" s="242">
        <f t="shared" si="35"/>
        <v>7322.5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44019</v>
      </c>
      <c r="D220" s="161" t="s">
        <v>9</v>
      </c>
      <c r="E220" s="161" t="s">
        <v>3031</v>
      </c>
      <c r="F220" s="222">
        <v>195</v>
      </c>
      <c r="G220" s="222">
        <v>250</v>
      </c>
      <c r="H220" s="222">
        <v>55</v>
      </c>
      <c r="I220" s="207">
        <v>250</v>
      </c>
      <c r="J220" s="242">
        <f t="shared" si="35"/>
        <v>13750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44020</v>
      </c>
      <c r="D221" s="161" t="s">
        <v>9</v>
      </c>
      <c r="E221" s="161" t="s">
        <v>3033</v>
      </c>
      <c r="F221" s="222">
        <v>19</v>
      </c>
      <c r="G221" s="222">
        <v>21</v>
      </c>
      <c r="H221" s="222">
        <v>2</v>
      </c>
      <c r="I221" s="207">
        <v>1375</v>
      </c>
      <c r="J221" s="242">
        <f t="shared" si="35"/>
        <v>2750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44021</v>
      </c>
      <c r="D222" s="161" t="s">
        <v>9</v>
      </c>
      <c r="E222" s="161" t="s">
        <v>3034</v>
      </c>
      <c r="F222" s="222">
        <v>15</v>
      </c>
      <c r="G222" s="222">
        <v>16</v>
      </c>
      <c r="H222" s="222">
        <v>1</v>
      </c>
      <c r="I222" s="207">
        <v>1700</v>
      </c>
      <c r="J222" s="242">
        <f t="shared" si="35"/>
        <v>1700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44022</v>
      </c>
      <c r="D223" s="161" t="s">
        <v>9</v>
      </c>
      <c r="E223" s="161" t="s">
        <v>3036</v>
      </c>
      <c r="F223" s="222">
        <v>69</v>
      </c>
      <c r="G223" s="222">
        <v>59</v>
      </c>
      <c r="H223" s="222">
        <v>-10</v>
      </c>
      <c r="I223" s="207">
        <v>505</v>
      </c>
      <c r="J223" s="242">
        <f t="shared" si="35"/>
        <v>-5050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44025</v>
      </c>
      <c r="D224" s="161" t="s">
        <v>9</v>
      </c>
      <c r="E224" s="161" t="s">
        <v>3027</v>
      </c>
      <c r="F224" s="222">
        <v>18.5</v>
      </c>
      <c r="G224" s="222">
        <v>24.5</v>
      </c>
      <c r="H224" s="255">
        <v>6</v>
      </c>
      <c r="I224" s="207">
        <v>1375</v>
      </c>
      <c r="J224" s="242">
        <f t="shared" si="35"/>
        <v>8250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44026</v>
      </c>
      <c r="D225" s="161" t="s">
        <v>9</v>
      </c>
      <c r="E225" s="161" t="s">
        <v>3037</v>
      </c>
      <c r="F225" s="222">
        <v>85</v>
      </c>
      <c r="G225" s="222">
        <v>89.5</v>
      </c>
      <c r="H225" s="255">
        <v>4.5</v>
      </c>
      <c r="I225" s="207">
        <v>505</v>
      </c>
      <c r="J225" s="242">
        <f t="shared" si="35"/>
        <v>2272.5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44027</v>
      </c>
      <c r="D226" s="161" t="s">
        <v>9</v>
      </c>
      <c r="E226" s="161" t="s">
        <v>3013</v>
      </c>
      <c r="F226" s="222">
        <v>23</v>
      </c>
      <c r="G226" s="222">
        <v>29</v>
      </c>
      <c r="H226" s="255">
        <v>6</v>
      </c>
      <c r="I226" s="207">
        <v>1200</v>
      </c>
      <c r="J226" s="242">
        <f t="shared" si="35"/>
        <v>7200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44028</v>
      </c>
      <c r="D227" s="161" t="s">
        <v>9</v>
      </c>
      <c r="E227" s="161" t="s">
        <v>3040</v>
      </c>
      <c r="F227" s="222">
        <v>36</v>
      </c>
      <c r="G227" s="222">
        <v>32</v>
      </c>
      <c r="H227" s="255">
        <v>4</v>
      </c>
      <c r="I227" s="207">
        <v>550</v>
      </c>
      <c r="J227" s="242">
        <f t="shared" si="35"/>
        <v>2200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44029</v>
      </c>
      <c r="D228" s="161" t="s">
        <v>9</v>
      </c>
      <c r="E228" s="161" t="s">
        <v>3042</v>
      </c>
      <c r="F228" s="222">
        <v>58</v>
      </c>
      <c r="G228" s="222">
        <v>60.5</v>
      </c>
      <c r="H228" s="255">
        <v>2.5</v>
      </c>
      <c r="I228" s="207">
        <v>505</v>
      </c>
      <c r="J228" s="242">
        <f t="shared" si="35"/>
        <v>1262.5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44032</v>
      </c>
      <c r="D229" s="161" t="s">
        <v>9</v>
      </c>
      <c r="E229" s="161" t="s">
        <v>3027</v>
      </c>
      <c r="F229" s="222">
        <v>16</v>
      </c>
      <c r="G229" s="222">
        <v>17.5</v>
      </c>
      <c r="H229" s="255">
        <v>1.5</v>
      </c>
      <c r="I229" s="207">
        <v>1375</v>
      </c>
      <c r="J229" s="242">
        <f>I229*H229</f>
        <v>2062.5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44033</v>
      </c>
      <c r="D230" s="161" t="s">
        <v>9</v>
      </c>
      <c r="E230" s="161" t="s">
        <v>3044</v>
      </c>
      <c r="F230" s="222">
        <v>185</v>
      </c>
      <c r="G230" s="222">
        <v>196.5</v>
      </c>
      <c r="H230" s="255">
        <v>11.5</v>
      </c>
      <c r="I230" s="207">
        <v>250</v>
      </c>
      <c r="J230" s="242">
        <f t="shared" si="35"/>
        <v>2875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44034</v>
      </c>
      <c r="D231" s="161" t="s">
        <v>9</v>
      </c>
      <c r="E231" s="161" t="s">
        <v>3045</v>
      </c>
      <c r="F231" s="222">
        <v>58</v>
      </c>
      <c r="G231" s="222">
        <v>66</v>
      </c>
      <c r="H231" s="222">
        <v>8</v>
      </c>
      <c r="I231" s="207">
        <v>505</v>
      </c>
      <c r="J231" s="242">
        <f t="shared" si="35"/>
        <v>4040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44035</v>
      </c>
      <c r="D232" s="161" t="s">
        <v>9</v>
      </c>
      <c r="E232" s="161" t="s">
        <v>1886</v>
      </c>
      <c r="F232" s="222">
        <v>16</v>
      </c>
      <c r="G232" s="222">
        <v>19.100000000000001</v>
      </c>
      <c r="H232" s="222">
        <v>3.1</v>
      </c>
      <c r="I232" s="207">
        <v>1200</v>
      </c>
      <c r="J232" s="242">
        <f t="shared" si="35"/>
        <v>3720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44039</v>
      </c>
      <c r="D233" s="161" t="s">
        <v>9</v>
      </c>
      <c r="E233" s="161" t="s">
        <v>3046</v>
      </c>
      <c r="F233" s="222">
        <v>8</v>
      </c>
      <c r="G233" s="222">
        <v>10</v>
      </c>
      <c r="H233" s="222">
        <v>1</v>
      </c>
      <c r="I233" s="207">
        <v>1200</v>
      </c>
      <c r="J233" s="242">
        <f t="shared" si="35"/>
        <v>1200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44040</v>
      </c>
      <c r="D234" s="161" t="s">
        <v>9</v>
      </c>
      <c r="E234" s="161" t="s">
        <v>3047</v>
      </c>
      <c r="F234" s="222">
        <v>42</v>
      </c>
      <c r="G234" s="222">
        <v>44.3</v>
      </c>
      <c r="H234" s="222">
        <v>2.2999999999999998</v>
      </c>
      <c r="I234" s="207">
        <v>505</v>
      </c>
      <c r="J234" s="242">
        <f t="shared" si="35"/>
        <v>1161.5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44041</v>
      </c>
      <c r="D235" s="161" t="s">
        <v>9</v>
      </c>
      <c r="E235" s="161" t="s">
        <v>3048</v>
      </c>
      <c r="F235" s="222">
        <v>12</v>
      </c>
      <c r="G235" s="222">
        <v>16.100000000000001</v>
      </c>
      <c r="H235" s="222">
        <v>4.0999999999999996</v>
      </c>
      <c r="I235" s="207">
        <v>550</v>
      </c>
      <c r="J235" s="242">
        <f t="shared" si="35"/>
        <v>2255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44042</v>
      </c>
      <c r="D236" s="161" t="s">
        <v>9</v>
      </c>
      <c r="E236" s="161" t="s">
        <v>3049</v>
      </c>
      <c r="F236" s="222">
        <v>7</v>
      </c>
      <c r="G236" s="222">
        <v>15</v>
      </c>
      <c r="H236" s="222">
        <v>8</v>
      </c>
      <c r="I236" s="207">
        <v>550</v>
      </c>
      <c r="J236" s="242">
        <f t="shared" si="35"/>
        <v>4400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44043</v>
      </c>
      <c r="D237" s="161" t="s">
        <v>9</v>
      </c>
      <c r="E237" s="161" t="s">
        <v>1967</v>
      </c>
      <c r="F237" s="222">
        <v>22</v>
      </c>
      <c r="G237" s="222">
        <v>23.8</v>
      </c>
      <c r="H237" s="222">
        <v>1.8</v>
      </c>
      <c r="I237" s="207">
        <v>1200</v>
      </c>
      <c r="J237" s="242">
        <f t="shared" si="35"/>
        <v>2160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66354</v>
      </c>
      <c r="K240" s="153"/>
      <c r="V240" s="25">
        <f>SUM(V216:V239)</f>
        <v>20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700-000000000000}"/>
    <hyperlink ref="B84" r:id="rId2" xr:uid="{00000000-0004-0000-5700-000001000000}"/>
    <hyperlink ref="B115" r:id="rId3" xr:uid="{00000000-0004-0000-5700-000002000000}"/>
    <hyperlink ref="B146" r:id="rId4" xr:uid="{00000000-0004-0000-5700-000003000000}"/>
    <hyperlink ref="B177" r:id="rId5" xr:uid="{00000000-0004-0000-5700-000004000000}"/>
    <hyperlink ref="B208" r:id="rId6" xr:uid="{00000000-0004-0000-5700-000005000000}"/>
    <hyperlink ref="B240" r:id="rId7" xr:uid="{00000000-0004-0000-5700-000006000000}"/>
    <hyperlink ref="M1" location="'MASTER '!A1" display="Back" xr:uid="{00000000-0004-0000-5700-000007000000}"/>
    <hyperlink ref="M6:M7" location="'JULY 2020'!A77" display="STOCK FUTURE" xr:uid="{00000000-0004-0000-5700-000008000000}"/>
    <hyperlink ref="M14:M15" location="'JULY 2020'!A201" display="B.NIFTY OPTION" xr:uid="{00000000-0004-0000-5700-000009000000}"/>
    <hyperlink ref="M12:M13" location="'JULY 2020'!A170" display="BANK NIFTY" xr:uid="{00000000-0004-0000-5700-00000A000000}"/>
    <hyperlink ref="M10:M11" location="'JULY 2020'!A139" display="NF. OPTION" xr:uid="{00000000-0004-0000-5700-00000B000000}"/>
    <hyperlink ref="M8:M9" location="'JULY 2020'!A108" display="NIFTY FUTURE" xr:uid="{00000000-0004-0000-5700-00000C000000}"/>
    <hyperlink ref="M4:M5" location="'JULY 2020'!A1" display="CASH" xr:uid="{00000000-0004-0000-5700-00000D000000}"/>
    <hyperlink ref="M16:M17" location="'JULY 2020'!A1" display="STOCK OPTION" xr:uid="{00000000-0004-0000-5700-00000E000000}"/>
  </hyperlinks>
  <pageMargins left="0" right="0" top="0" bottom="0" header="0" footer="0"/>
  <pageSetup scale="95" orientation="portrait" r:id="rId8"/>
  <drawing r:id="rId9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236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3050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33</v>
      </c>
      <c r="P4" s="386">
        <f>W52</f>
        <v>9</v>
      </c>
      <c r="Q4" s="387">
        <f>N4-O4-P4</f>
        <v>0</v>
      </c>
      <c r="R4" s="380">
        <f>O4/N4</f>
        <v>0.7857142857142857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44046</v>
      </c>
      <c r="D6" s="158" t="s">
        <v>9</v>
      </c>
      <c r="E6" s="158" t="s">
        <v>95</v>
      </c>
      <c r="F6" s="230">
        <v>347</v>
      </c>
      <c r="G6" s="222">
        <v>349</v>
      </c>
      <c r="H6" s="222">
        <v>2</v>
      </c>
      <c r="I6" s="207">
        <f t="shared" ref="I6:I7" si="0">300000/F6</f>
        <v>864.55331412103749</v>
      </c>
      <c r="J6" s="161">
        <f t="shared" ref="J6:J7" si="1">H6*I6</f>
        <v>1729.106628242075</v>
      </c>
      <c r="K6" s="153"/>
      <c r="M6" s="394" t="s">
        <v>450</v>
      </c>
      <c r="N6" s="344">
        <f>COUNT(C60:C83)</f>
        <v>21</v>
      </c>
      <c r="O6" s="346">
        <f>V84</f>
        <v>19</v>
      </c>
      <c r="P6" s="346">
        <f>W84</f>
        <v>2</v>
      </c>
      <c r="Q6" s="374">
        <f>N6-O6-P6</f>
        <v>0</v>
      </c>
      <c r="R6" s="376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44046</v>
      </c>
      <c r="D7" s="161" t="s">
        <v>8</v>
      </c>
      <c r="E7" s="161" t="s">
        <v>31</v>
      </c>
      <c r="F7" s="222">
        <v>2042</v>
      </c>
      <c r="G7" s="231">
        <v>2012</v>
      </c>
      <c r="H7" s="255">
        <v>30</v>
      </c>
      <c r="I7" s="207">
        <f t="shared" si="0"/>
        <v>146.91478942213516</v>
      </c>
      <c r="J7" s="161">
        <f t="shared" si="1"/>
        <v>4407.4436826640549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44047</v>
      </c>
      <c r="D8" s="161" t="s">
        <v>9</v>
      </c>
      <c r="E8" s="161" t="s">
        <v>31</v>
      </c>
      <c r="F8" s="222">
        <v>2030</v>
      </c>
      <c r="G8" s="222">
        <v>2058</v>
      </c>
      <c r="H8" s="222">
        <v>28</v>
      </c>
      <c r="I8" s="207">
        <f t="shared" ref="I8:I47" si="6">300000/F8</f>
        <v>147.78325123152709</v>
      </c>
      <c r="J8" s="161">
        <f t="shared" ref="J8:J47" si="7">H8*I8</f>
        <v>4137.9310344827582</v>
      </c>
      <c r="K8" s="153"/>
      <c r="M8" s="394" t="s">
        <v>451</v>
      </c>
      <c r="N8" s="344">
        <f>COUNT(C92:C113)</f>
        <v>21</v>
      </c>
      <c r="O8" s="346">
        <f>V114</f>
        <v>19</v>
      </c>
      <c r="P8" s="346">
        <f>W114</f>
        <v>2</v>
      </c>
      <c r="Q8" s="374">
        <f>N8-O8-P8</f>
        <v>0</v>
      </c>
      <c r="R8" s="376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44047</v>
      </c>
      <c r="D9" s="161" t="s">
        <v>8</v>
      </c>
      <c r="E9" s="161" t="s">
        <v>19</v>
      </c>
      <c r="F9" s="222">
        <v>192.5</v>
      </c>
      <c r="G9" s="231">
        <v>190.5</v>
      </c>
      <c r="H9" s="255">
        <v>2</v>
      </c>
      <c r="I9" s="207">
        <f t="shared" si="6"/>
        <v>1558.4415584415585</v>
      </c>
      <c r="J9" s="161">
        <f t="shared" si="7"/>
        <v>3116.8831168831171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44048</v>
      </c>
      <c r="D10" s="161" t="s">
        <v>9</v>
      </c>
      <c r="E10" s="161" t="s">
        <v>78</v>
      </c>
      <c r="F10" s="222">
        <v>932</v>
      </c>
      <c r="G10" s="222">
        <v>922</v>
      </c>
      <c r="H10" s="222">
        <v>-10</v>
      </c>
      <c r="I10" s="207">
        <f t="shared" si="6"/>
        <v>321.88841201716735</v>
      </c>
      <c r="J10" s="161">
        <f t="shared" si="7"/>
        <v>-3218.8841201716737</v>
      </c>
      <c r="K10" s="153"/>
      <c r="M10" s="394" t="s">
        <v>1176</v>
      </c>
      <c r="N10" s="344">
        <f>COUNT(C122:C143)</f>
        <v>21</v>
      </c>
      <c r="O10" s="346">
        <f>V144</f>
        <v>17</v>
      </c>
      <c r="P10" s="346">
        <f>W144</f>
        <v>3</v>
      </c>
      <c r="Q10" s="374">
        <f>N10-O10-P10</f>
        <v>1</v>
      </c>
      <c r="R10" s="376">
        <f t="shared" ref="R10:R16" si="9">O10/N10</f>
        <v>0.80952380952380953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44048</v>
      </c>
      <c r="D11" s="161" t="s">
        <v>8</v>
      </c>
      <c r="E11" s="161" t="s">
        <v>31</v>
      </c>
      <c r="F11" s="222">
        <v>2172</v>
      </c>
      <c r="G11" s="222">
        <v>2132</v>
      </c>
      <c r="H11" s="255">
        <v>40</v>
      </c>
      <c r="I11" s="207">
        <f t="shared" si="6"/>
        <v>138.12154696132598</v>
      </c>
      <c r="J11" s="161">
        <f t="shared" si="7"/>
        <v>5524.861878453039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44049</v>
      </c>
      <c r="D12" s="161" t="s">
        <v>9</v>
      </c>
      <c r="E12" s="161" t="s">
        <v>31</v>
      </c>
      <c r="F12" s="222">
        <v>2130</v>
      </c>
      <c r="G12" s="222">
        <v>2159</v>
      </c>
      <c r="H12" s="222">
        <v>29</v>
      </c>
      <c r="I12" s="207">
        <f t="shared" si="6"/>
        <v>140.8450704225352</v>
      </c>
      <c r="J12" s="242">
        <f t="shared" si="7"/>
        <v>4084.5070422535209</v>
      </c>
      <c r="K12" s="153"/>
      <c r="M12" s="394" t="s">
        <v>41</v>
      </c>
      <c r="N12" s="344">
        <f>COUNT(C152:C173)</f>
        <v>20</v>
      </c>
      <c r="O12" s="346">
        <f>V174</f>
        <v>18</v>
      </c>
      <c r="P12" s="346">
        <f>W174</f>
        <v>2</v>
      </c>
      <c r="Q12" s="374">
        <f t="shared" ref="Q12" si="10">N12-O12-P12</f>
        <v>0</v>
      </c>
      <c r="R12" s="376">
        <f t="shared" si="9"/>
        <v>0.9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44049</v>
      </c>
      <c r="D13" s="161" t="s">
        <v>8</v>
      </c>
      <c r="E13" s="161" t="s">
        <v>192</v>
      </c>
      <c r="F13" s="222">
        <v>104</v>
      </c>
      <c r="G13" s="222">
        <v>102</v>
      </c>
      <c r="H13" s="255">
        <v>2</v>
      </c>
      <c r="I13" s="207">
        <f t="shared" si="6"/>
        <v>2884.6153846153848</v>
      </c>
      <c r="J13" s="242">
        <f t="shared" si="7"/>
        <v>5769.2307692307695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44050</v>
      </c>
      <c r="D14" s="161" t="s">
        <v>9</v>
      </c>
      <c r="E14" s="161" t="s">
        <v>796</v>
      </c>
      <c r="F14" s="222">
        <v>1730</v>
      </c>
      <c r="G14" s="222">
        <v>1749.5</v>
      </c>
      <c r="H14" s="222">
        <v>19.5</v>
      </c>
      <c r="I14" s="207">
        <f t="shared" si="6"/>
        <v>173.41040462427745</v>
      </c>
      <c r="J14" s="242">
        <f t="shared" si="7"/>
        <v>3381.5028901734104</v>
      </c>
      <c r="K14" s="153"/>
      <c r="M14" s="394" t="s">
        <v>1175</v>
      </c>
      <c r="N14" s="344">
        <f>COUNT(C182:C203)</f>
        <v>22</v>
      </c>
      <c r="O14" s="346">
        <f>V204</f>
        <v>16</v>
      </c>
      <c r="P14" s="346">
        <f>W204</f>
        <v>5</v>
      </c>
      <c r="Q14" s="374">
        <f t="shared" ref="Q14" si="11">N14-O14-P14</f>
        <v>1</v>
      </c>
      <c r="R14" s="376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44050</v>
      </c>
      <c r="D15" s="161" t="s">
        <v>8</v>
      </c>
      <c r="E15" s="161" t="s">
        <v>308</v>
      </c>
      <c r="F15" s="222">
        <v>214</v>
      </c>
      <c r="G15" s="222">
        <v>213</v>
      </c>
      <c r="H15" s="222">
        <v>1</v>
      </c>
      <c r="I15" s="207">
        <f t="shared" si="6"/>
        <v>1401.8691588785048</v>
      </c>
      <c r="J15" s="242">
        <f t="shared" si="7"/>
        <v>1401.8691588785048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44053</v>
      </c>
      <c r="D16" s="161" t="s">
        <v>9</v>
      </c>
      <c r="E16" s="161" t="s">
        <v>31</v>
      </c>
      <c r="F16" s="222">
        <v>2155</v>
      </c>
      <c r="G16" s="222">
        <v>2140</v>
      </c>
      <c r="H16" s="222">
        <v>-15</v>
      </c>
      <c r="I16" s="207">
        <f t="shared" si="6"/>
        <v>139.21113689095128</v>
      </c>
      <c r="J16" s="242">
        <f t="shared" si="7"/>
        <v>-2088.1670533642691</v>
      </c>
      <c r="K16" s="153"/>
      <c r="L16" s="25" t="s">
        <v>2008</v>
      </c>
      <c r="M16" s="394" t="s">
        <v>1090</v>
      </c>
      <c r="N16" s="344">
        <f>COUNT(C212:C234)</f>
        <v>22</v>
      </c>
      <c r="O16" s="346">
        <f>V235</f>
        <v>14</v>
      </c>
      <c r="P16" s="346">
        <f>W235</f>
        <v>8</v>
      </c>
      <c r="Q16" s="374">
        <f t="shared" ref="Q16" si="12">N16-O16-P16</f>
        <v>0</v>
      </c>
      <c r="R16" s="376">
        <f t="shared" si="9"/>
        <v>0.63636363636363635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44053</v>
      </c>
      <c r="D17" s="161" t="s">
        <v>8</v>
      </c>
      <c r="E17" s="161" t="s">
        <v>308</v>
      </c>
      <c r="F17" s="222">
        <v>175</v>
      </c>
      <c r="G17" s="222">
        <v>177</v>
      </c>
      <c r="H17" s="222">
        <v>-2</v>
      </c>
      <c r="I17" s="207">
        <f t="shared" si="6"/>
        <v>1714.2857142857142</v>
      </c>
      <c r="J17" s="242">
        <f t="shared" si="7"/>
        <v>-3428.5714285714284</v>
      </c>
      <c r="K17" s="153"/>
      <c r="M17" s="395"/>
      <c r="N17" s="381"/>
      <c r="O17" s="373"/>
      <c r="P17" s="373"/>
      <c r="Q17" s="375"/>
      <c r="R17" s="377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44054</v>
      </c>
      <c r="D18" s="161" t="s">
        <v>9</v>
      </c>
      <c r="E18" s="161" t="s">
        <v>132</v>
      </c>
      <c r="F18" s="222">
        <v>404</v>
      </c>
      <c r="G18" s="222">
        <v>406</v>
      </c>
      <c r="H18" s="222">
        <v>2</v>
      </c>
      <c r="I18" s="207">
        <f t="shared" si="6"/>
        <v>742.57425742574253</v>
      </c>
      <c r="J18" s="242">
        <f t="shared" si="7"/>
        <v>1485.1485148514851</v>
      </c>
      <c r="K18" s="153"/>
      <c r="M18" s="392" t="s">
        <v>946</v>
      </c>
      <c r="N18" s="378">
        <f>SUM(N4:N17)</f>
        <v>169</v>
      </c>
      <c r="O18" s="378">
        <f t="shared" ref="O18:Q18" si="13">SUM(O4:O17)</f>
        <v>136</v>
      </c>
      <c r="P18" s="378">
        <f t="shared" si="13"/>
        <v>31</v>
      </c>
      <c r="Q18" s="378">
        <f t="shared" si="13"/>
        <v>2</v>
      </c>
      <c r="R18" s="380">
        <f t="shared" ref="R18" si="14">O18/N18</f>
        <v>0.80473372781065089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44054</v>
      </c>
      <c r="D19" s="161" t="s">
        <v>8</v>
      </c>
      <c r="E19" s="161" t="s">
        <v>95</v>
      </c>
      <c r="F19" s="222">
        <v>368</v>
      </c>
      <c r="G19" s="222">
        <v>364.05</v>
      </c>
      <c r="H19" s="222">
        <v>3.95</v>
      </c>
      <c r="I19" s="207">
        <f t="shared" si="6"/>
        <v>815.21739130434787</v>
      </c>
      <c r="J19" s="242">
        <f t="shared" si="7"/>
        <v>3220.1086956521744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44055</v>
      </c>
      <c r="D20" s="161" t="s">
        <v>9</v>
      </c>
      <c r="E20" s="161" t="s">
        <v>95</v>
      </c>
      <c r="F20" s="222">
        <v>367</v>
      </c>
      <c r="G20" s="222">
        <v>368.5</v>
      </c>
      <c r="H20" s="222">
        <v>1.5</v>
      </c>
      <c r="I20" s="207">
        <f t="shared" si="6"/>
        <v>817.43869209809259</v>
      </c>
      <c r="J20" s="242">
        <f t="shared" si="7"/>
        <v>1226.158038147139</v>
      </c>
      <c r="K20" s="153"/>
      <c r="M20" s="316" t="s">
        <v>2253</v>
      </c>
      <c r="N20" s="317"/>
      <c r="O20" s="318"/>
      <c r="P20" s="325">
        <f>R18</f>
        <v>0.80473372781065089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44055</v>
      </c>
      <c r="D21" s="161" t="s">
        <v>8</v>
      </c>
      <c r="E21" s="161" t="s">
        <v>37</v>
      </c>
      <c r="F21" s="222">
        <v>174</v>
      </c>
      <c r="G21" s="222">
        <v>173</v>
      </c>
      <c r="H21" s="222">
        <v>1</v>
      </c>
      <c r="I21" s="207">
        <f t="shared" si="6"/>
        <v>1724.1379310344828</v>
      </c>
      <c r="J21" s="242">
        <f t="shared" si="7"/>
        <v>1724.1379310344828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44056</v>
      </c>
      <c r="D22" s="161" t="s">
        <v>9</v>
      </c>
      <c r="E22" s="161" t="s">
        <v>26</v>
      </c>
      <c r="F22" s="222">
        <v>148.5</v>
      </c>
      <c r="G22" s="222">
        <v>148</v>
      </c>
      <c r="H22" s="222">
        <v>-0.5</v>
      </c>
      <c r="I22" s="207">
        <f t="shared" si="6"/>
        <v>2020.2020202020201</v>
      </c>
      <c r="J22" s="242">
        <f t="shared" si="7"/>
        <v>-1010.10101010101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44056</v>
      </c>
      <c r="D23" s="161" t="s">
        <v>8</v>
      </c>
      <c r="E23" s="161" t="s">
        <v>19</v>
      </c>
      <c r="F23" s="222">
        <v>204</v>
      </c>
      <c r="G23" s="222">
        <v>201</v>
      </c>
      <c r="H23" s="222">
        <v>3</v>
      </c>
      <c r="I23" s="207">
        <f t="shared" si="6"/>
        <v>1470.5882352941176</v>
      </c>
      <c r="J23" s="242">
        <f t="shared" si="7"/>
        <v>4411.7647058823532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44057</v>
      </c>
      <c r="D24" s="161" t="s">
        <v>9</v>
      </c>
      <c r="E24" s="161" t="s">
        <v>31</v>
      </c>
      <c r="F24" s="222">
        <v>2150</v>
      </c>
      <c r="G24" s="222">
        <v>2157</v>
      </c>
      <c r="H24" s="222">
        <v>7</v>
      </c>
      <c r="I24" s="207">
        <f t="shared" si="6"/>
        <v>139.53488372093022</v>
      </c>
      <c r="J24" s="242">
        <f t="shared" si="7"/>
        <v>976.74418604651157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44057</v>
      </c>
      <c r="D25" s="161" t="s">
        <v>8</v>
      </c>
      <c r="E25" s="161" t="s">
        <v>3063</v>
      </c>
      <c r="F25" s="222">
        <v>845</v>
      </c>
      <c r="G25" s="222">
        <v>855</v>
      </c>
      <c r="H25" s="222">
        <v>-10</v>
      </c>
      <c r="I25" s="207">
        <f t="shared" si="6"/>
        <v>355.02958579881658</v>
      </c>
      <c r="J25" s="242">
        <f t="shared" si="7"/>
        <v>-3550.2958579881661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44060</v>
      </c>
      <c r="D26" s="161" t="s">
        <v>9</v>
      </c>
      <c r="E26" s="161" t="s">
        <v>2023</v>
      </c>
      <c r="F26" s="222">
        <v>3365</v>
      </c>
      <c r="G26" s="222">
        <v>3340</v>
      </c>
      <c r="H26" s="222">
        <v>-25</v>
      </c>
      <c r="I26" s="207">
        <f t="shared" si="6"/>
        <v>89.153046062407128</v>
      </c>
      <c r="J26" s="242">
        <f t="shared" si="7"/>
        <v>-2228.826151560178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44060</v>
      </c>
      <c r="D27" s="161" t="s">
        <v>8</v>
      </c>
      <c r="E27" s="161" t="s">
        <v>94</v>
      </c>
      <c r="F27" s="222">
        <v>1035</v>
      </c>
      <c r="G27" s="222">
        <v>1025</v>
      </c>
      <c r="H27" s="222">
        <v>10</v>
      </c>
      <c r="I27" s="207">
        <f t="shared" si="6"/>
        <v>289.85507246376812</v>
      </c>
      <c r="J27" s="242">
        <f t="shared" si="7"/>
        <v>2898.550724637681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44061</v>
      </c>
      <c r="D28" s="161" t="s">
        <v>9</v>
      </c>
      <c r="E28" s="161" t="s">
        <v>16</v>
      </c>
      <c r="F28" s="222">
        <v>1143</v>
      </c>
      <c r="G28" s="222">
        <v>1148</v>
      </c>
      <c r="H28" s="222">
        <v>5</v>
      </c>
      <c r="I28" s="207">
        <f t="shared" si="6"/>
        <v>262.46719160104988</v>
      </c>
      <c r="J28" s="242">
        <f t="shared" si="7"/>
        <v>1312.3359580052493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44061</v>
      </c>
      <c r="D29" s="161" t="s">
        <v>8</v>
      </c>
      <c r="E29" s="161" t="s">
        <v>796</v>
      </c>
      <c r="F29" s="222">
        <v>127.5</v>
      </c>
      <c r="G29" s="222">
        <v>126.8</v>
      </c>
      <c r="H29" s="222">
        <v>0.7</v>
      </c>
      <c r="I29" s="207">
        <f t="shared" si="6"/>
        <v>2352.9411764705883</v>
      </c>
      <c r="J29" s="242">
        <f t="shared" si="7"/>
        <v>1647.0588235294117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44062</v>
      </c>
      <c r="D30" s="161" t="s">
        <v>9</v>
      </c>
      <c r="E30" s="161" t="s">
        <v>173</v>
      </c>
      <c r="F30" s="222">
        <v>1892</v>
      </c>
      <c r="G30" s="222">
        <v>1898.5</v>
      </c>
      <c r="H30" s="222">
        <v>6.5</v>
      </c>
      <c r="I30" s="207">
        <f>300000/F30</f>
        <v>158.56236786469344</v>
      </c>
      <c r="J30" s="242">
        <f>H30*I30</f>
        <v>1030.6553911205074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44062</v>
      </c>
      <c r="D31" s="161" t="s">
        <v>8</v>
      </c>
      <c r="E31" s="161" t="s">
        <v>31</v>
      </c>
      <c r="F31" s="222">
        <v>2130</v>
      </c>
      <c r="G31" s="222">
        <v>2121.5</v>
      </c>
      <c r="H31" s="222">
        <v>8.5</v>
      </c>
      <c r="I31" s="207">
        <f t="shared" si="6"/>
        <v>140.8450704225352</v>
      </c>
      <c r="J31" s="242">
        <f t="shared" si="7"/>
        <v>1197.1830985915492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44063</v>
      </c>
      <c r="D32" s="161" t="s">
        <v>9</v>
      </c>
      <c r="E32" s="161" t="s">
        <v>433</v>
      </c>
      <c r="F32" s="222">
        <v>403</v>
      </c>
      <c r="G32" s="222">
        <v>413</v>
      </c>
      <c r="H32" s="222">
        <v>10</v>
      </c>
      <c r="I32" s="207">
        <f t="shared" si="6"/>
        <v>744.41687344913146</v>
      </c>
      <c r="J32" s="242">
        <f t="shared" si="7"/>
        <v>7444.1687344913144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44063</v>
      </c>
      <c r="D33" s="161" t="s">
        <v>8</v>
      </c>
      <c r="E33" s="161" t="s">
        <v>95</v>
      </c>
      <c r="F33" s="222">
        <v>367</v>
      </c>
      <c r="G33" s="222">
        <v>363</v>
      </c>
      <c r="H33" s="222">
        <v>4</v>
      </c>
      <c r="I33" s="207">
        <f t="shared" si="6"/>
        <v>817.43869209809259</v>
      </c>
      <c r="J33" s="242">
        <f t="shared" si="7"/>
        <v>3269.7547683923704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44064</v>
      </c>
      <c r="D34" s="161" t="s">
        <v>9</v>
      </c>
      <c r="E34" s="161" t="s">
        <v>50</v>
      </c>
      <c r="F34" s="222">
        <v>536</v>
      </c>
      <c r="G34" s="222">
        <v>533.5</v>
      </c>
      <c r="H34" s="222">
        <v>2.5</v>
      </c>
      <c r="I34" s="207">
        <f t="shared" si="6"/>
        <v>559.70149253731347</v>
      </c>
      <c r="J34" s="242">
        <f t="shared" si="7"/>
        <v>1399.2537313432836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44064</v>
      </c>
      <c r="D35" s="161" t="s">
        <v>8</v>
      </c>
      <c r="E35" s="161" t="s">
        <v>31</v>
      </c>
      <c r="F35" s="222">
        <v>2105</v>
      </c>
      <c r="G35" s="222">
        <v>2078</v>
      </c>
      <c r="H35" s="222">
        <v>27</v>
      </c>
      <c r="I35" s="207">
        <f t="shared" si="6"/>
        <v>142.51781472684087</v>
      </c>
      <c r="J35" s="242">
        <f t="shared" si="7"/>
        <v>3847.9809976247034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44067</v>
      </c>
      <c r="D36" s="161" t="s">
        <v>9</v>
      </c>
      <c r="E36" s="161" t="s">
        <v>157</v>
      </c>
      <c r="F36" s="222">
        <v>503</v>
      </c>
      <c r="G36" s="222">
        <v>508</v>
      </c>
      <c r="H36" s="222">
        <v>5</v>
      </c>
      <c r="I36" s="207">
        <f t="shared" si="6"/>
        <v>596.42147117296224</v>
      </c>
      <c r="J36" s="242">
        <f t="shared" si="7"/>
        <v>2982.1073558648113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44067</v>
      </c>
      <c r="D37" s="161" t="s">
        <v>8</v>
      </c>
      <c r="E37" s="161" t="s">
        <v>502</v>
      </c>
      <c r="F37" s="222">
        <v>682</v>
      </c>
      <c r="G37" s="222">
        <v>688</v>
      </c>
      <c r="H37" s="222">
        <v>-6</v>
      </c>
      <c r="I37" s="207">
        <f t="shared" si="6"/>
        <v>439.88269794721407</v>
      </c>
      <c r="J37" s="242">
        <f t="shared" si="7"/>
        <v>-2639.2961876832842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44068</v>
      </c>
      <c r="D38" s="161" t="s">
        <v>9</v>
      </c>
      <c r="E38" s="161" t="s">
        <v>146</v>
      </c>
      <c r="F38" s="222">
        <v>106.5</v>
      </c>
      <c r="G38" s="222">
        <v>104.5</v>
      </c>
      <c r="H38" s="222">
        <v>-2</v>
      </c>
      <c r="I38" s="207">
        <f t="shared" si="6"/>
        <v>2816.9014084507044</v>
      </c>
      <c r="J38" s="242">
        <f t="shared" si="7"/>
        <v>-5633.8028169014087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44068</v>
      </c>
      <c r="D39" s="161" t="s">
        <v>8</v>
      </c>
      <c r="E39" s="161" t="s">
        <v>3063</v>
      </c>
      <c r="F39" s="222">
        <v>850</v>
      </c>
      <c r="G39" s="222">
        <v>840</v>
      </c>
      <c r="H39" s="222">
        <v>10</v>
      </c>
      <c r="I39" s="207">
        <f t="shared" si="6"/>
        <v>352.94117647058823</v>
      </c>
      <c r="J39" s="242">
        <f t="shared" si="7"/>
        <v>3529.4117647058824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44069</v>
      </c>
      <c r="D40" s="161" t="s">
        <v>9</v>
      </c>
      <c r="E40" s="161" t="s">
        <v>58</v>
      </c>
      <c r="F40" s="222">
        <v>460</v>
      </c>
      <c r="G40" s="222">
        <v>463</v>
      </c>
      <c r="H40" s="222">
        <v>3</v>
      </c>
      <c r="I40" s="207">
        <f t="shared" si="6"/>
        <v>652.17391304347825</v>
      </c>
      <c r="J40" s="242">
        <f t="shared" si="7"/>
        <v>1956.5217391304348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44069</v>
      </c>
      <c r="D41" s="161" t="s">
        <v>9</v>
      </c>
      <c r="E41" s="161" t="s">
        <v>19</v>
      </c>
      <c r="F41" s="222">
        <v>208</v>
      </c>
      <c r="G41" s="223">
        <v>210.3</v>
      </c>
      <c r="H41" s="222">
        <v>2.2999999999999998</v>
      </c>
      <c r="I41" s="207">
        <f t="shared" si="6"/>
        <v>1442.3076923076924</v>
      </c>
      <c r="J41" s="242">
        <f t="shared" si="7"/>
        <v>3317.3076923076924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44070</v>
      </c>
      <c r="D42" s="161" t="s">
        <v>9</v>
      </c>
      <c r="E42" s="161" t="s">
        <v>19</v>
      </c>
      <c r="F42" s="222">
        <v>212</v>
      </c>
      <c r="G42" s="222">
        <v>216</v>
      </c>
      <c r="H42" s="222">
        <v>4</v>
      </c>
      <c r="I42" s="207">
        <f t="shared" si="6"/>
        <v>1415.0943396226414</v>
      </c>
      <c r="J42" s="242">
        <f t="shared" si="7"/>
        <v>5660.3773584905657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44070</v>
      </c>
      <c r="D43" s="161" t="s">
        <v>8</v>
      </c>
      <c r="E43" s="161" t="s">
        <v>31</v>
      </c>
      <c r="F43" s="222">
        <v>2130</v>
      </c>
      <c r="G43" s="222">
        <v>2110</v>
      </c>
      <c r="H43" s="222">
        <v>20</v>
      </c>
      <c r="I43" s="207">
        <f t="shared" si="6"/>
        <v>140.8450704225352</v>
      </c>
      <c r="J43" s="242">
        <f t="shared" si="7"/>
        <v>2816.9014084507039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44071</v>
      </c>
      <c r="D44" s="161" t="s">
        <v>9</v>
      </c>
      <c r="E44" s="161" t="s">
        <v>862</v>
      </c>
      <c r="F44" s="222">
        <v>510</v>
      </c>
      <c r="G44" s="222">
        <v>520</v>
      </c>
      <c r="H44" s="222">
        <v>10</v>
      </c>
      <c r="I44" s="207">
        <f t="shared" si="6"/>
        <v>588.23529411764707</v>
      </c>
      <c r="J44" s="242">
        <f t="shared" si="7"/>
        <v>5882.3529411764703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44071</v>
      </c>
      <c r="D45" s="161" t="s">
        <v>8</v>
      </c>
      <c r="E45" s="161" t="s">
        <v>94</v>
      </c>
      <c r="F45" s="222">
        <v>1101</v>
      </c>
      <c r="G45" s="222">
        <v>1096</v>
      </c>
      <c r="H45" s="222">
        <v>5</v>
      </c>
      <c r="I45" s="207">
        <f t="shared" si="6"/>
        <v>272.47956403269757</v>
      </c>
      <c r="J45" s="242">
        <f t="shared" si="7"/>
        <v>1362.3978201634877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44074</v>
      </c>
      <c r="D46" s="161" t="s">
        <v>9</v>
      </c>
      <c r="E46" s="161" t="s">
        <v>31</v>
      </c>
      <c r="F46" s="222">
        <v>2145</v>
      </c>
      <c r="G46" s="222">
        <v>2125</v>
      </c>
      <c r="H46" s="222">
        <v>-20</v>
      </c>
      <c r="I46" s="207">
        <f t="shared" si="6"/>
        <v>139.86013986013987</v>
      </c>
      <c r="J46" s="242">
        <f t="shared" si="7"/>
        <v>-2797.2027972027972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44074</v>
      </c>
      <c r="D47" s="161" t="s">
        <v>8</v>
      </c>
      <c r="E47" s="161" t="s">
        <v>814</v>
      </c>
      <c r="F47" s="222">
        <v>720</v>
      </c>
      <c r="G47" s="222">
        <v>715.5</v>
      </c>
      <c r="H47" s="222">
        <v>4.5</v>
      </c>
      <c r="I47" s="207">
        <f t="shared" si="6"/>
        <v>416.66666666666669</v>
      </c>
      <c r="J47" s="242">
        <f t="shared" si="7"/>
        <v>1875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73431.571157357306</v>
      </c>
      <c r="K52" s="153"/>
      <c r="V52" s="25">
        <f>SUM(V6:V51)</f>
        <v>33</v>
      </c>
      <c r="W52" s="25">
        <f>SUM(W6:W51)</f>
        <v>9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3051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44046</v>
      </c>
      <c r="D60" s="161" t="s">
        <v>8</v>
      </c>
      <c r="E60" s="161" t="s">
        <v>58</v>
      </c>
      <c r="F60" s="222">
        <v>426</v>
      </c>
      <c r="G60" s="222">
        <v>417</v>
      </c>
      <c r="H60" s="222">
        <v>9</v>
      </c>
      <c r="I60" s="207">
        <v>1200</v>
      </c>
      <c r="J60" s="241">
        <f t="shared" ref="J60:J83" si="15">I60*H60</f>
        <v>10800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44047</v>
      </c>
      <c r="D61" s="161" t="s">
        <v>8</v>
      </c>
      <c r="E61" s="161" t="s">
        <v>58</v>
      </c>
      <c r="F61" s="222">
        <v>420</v>
      </c>
      <c r="G61" s="222">
        <v>418</v>
      </c>
      <c r="H61" s="222">
        <v>2</v>
      </c>
      <c r="I61" s="207">
        <v>1200</v>
      </c>
      <c r="J61" s="242">
        <f t="shared" si="15"/>
        <v>2400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44048</v>
      </c>
      <c r="D62" s="161" t="s">
        <v>9</v>
      </c>
      <c r="E62" s="161" t="s">
        <v>95</v>
      </c>
      <c r="F62" s="222">
        <v>360</v>
      </c>
      <c r="G62" s="222">
        <v>362</v>
      </c>
      <c r="H62" s="222">
        <v>2</v>
      </c>
      <c r="I62" s="207">
        <v>1375</v>
      </c>
      <c r="J62" s="242">
        <f t="shared" si="15"/>
        <v>2750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44049</v>
      </c>
      <c r="D63" s="161" t="s">
        <v>9</v>
      </c>
      <c r="E63" s="161" t="s">
        <v>95</v>
      </c>
      <c r="F63" s="222">
        <v>355</v>
      </c>
      <c r="G63" s="222">
        <v>357</v>
      </c>
      <c r="H63" s="222">
        <v>2</v>
      </c>
      <c r="I63" s="207">
        <v>1375</v>
      </c>
      <c r="J63" s="242">
        <f t="shared" si="15"/>
        <v>2750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44050</v>
      </c>
      <c r="D64" s="161" t="s">
        <v>9</v>
      </c>
      <c r="E64" s="161" t="s">
        <v>31</v>
      </c>
      <c r="F64" s="222">
        <v>2150</v>
      </c>
      <c r="G64" s="222">
        <v>2165</v>
      </c>
      <c r="H64" s="222">
        <v>15</v>
      </c>
      <c r="I64" s="207">
        <v>505</v>
      </c>
      <c r="J64" s="242">
        <f t="shared" si="15"/>
        <v>7575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44053</v>
      </c>
      <c r="D65" s="161" t="s">
        <v>9</v>
      </c>
      <c r="E65" s="161" t="s">
        <v>1064</v>
      </c>
      <c r="F65" s="207">
        <v>1403</v>
      </c>
      <c r="G65" s="222">
        <v>1402</v>
      </c>
      <c r="H65" s="222">
        <v>-1</v>
      </c>
      <c r="I65" s="207">
        <v>500</v>
      </c>
      <c r="J65" s="242">
        <f t="shared" si="15"/>
        <v>-500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44054</v>
      </c>
      <c r="D66" s="161" t="s">
        <v>9</v>
      </c>
      <c r="E66" s="161" t="s">
        <v>60</v>
      </c>
      <c r="F66" s="207">
        <v>1060</v>
      </c>
      <c r="G66" s="222">
        <v>1064.5</v>
      </c>
      <c r="H66" s="222">
        <v>4.5</v>
      </c>
      <c r="I66" s="207">
        <v>550</v>
      </c>
      <c r="J66" s="242">
        <f t="shared" si="15"/>
        <v>2475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44055</v>
      </c>
      <c r="D67" s="161" t="s">
        <v>8</v>
      </c>
      <c r="E67" s="161" t="s">
        <v>800</v>
      </c>
      <c r="F67" s="222">
        <v>957</v>
      </c>
      <c r="G67" s="222">
        <v>952.5</v>
      </c>
      <c r="H67" s="222">
        <v>4.5</v>
      </c>
      <c r="I67" s="207">
        <v>700</v>
      </c>
      <c r="J67" s="242">
        <f t="shared" si="15"/>
        <v>3150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44056</v>
      </c>
      <c r="D68" s="161" t="s">
        <v>9</v>
      </c>
      <c r="E68" s="161" t="s">
        <v>2944</v>
      </c>
      <c r="F68" s="222">
        <v>1133</v>
      </c>
      <c r="G68" s="222">
        <v>1141</v>
      </c>
      <c r="H68" s="222">
        <v>8</v>
      </c>
      <c r="I68" s="207">
        <v>1100</v>
      </c>
      <c r="J68" s="242">
        <f t="shared" si="15"/>
        <v>8800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44057</v>
      </c>
      <c r="D69" s="161" t="s">
        <v>8</v>
      </c>
      <c r="E69" s="161" t="s">
        <v>58</v>
      </c>
      <c r="F69" s="222">
        <v>446</v>
      </c>
      <c r="G69" s="222">
        <v>434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44060</v>
      </c>
      <c r="D70" s="161" t="s">
        <v>8</v>
      </c>
      <c r="E70" s="161" t="s">
        <v>58</v>
      </c>
      <c r="F70" s="161">
        <v>431</v>
      </c>
      <c r="G70" s="222">
        <v>427.8</v>
      </c>
      <c r="H70" s="222">
        <v>3.2</v>
      </c>
      <c r="I70" s="207">
        <v>1200</v>
      </c>
      <c r="J70" s="242">
        <f t="shared" si="15"/>
        <v>3840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44061</v>
      </c>
      <c r="D71" s="161" t="s">
        <v>9</v>
      </c>
      <c r="E71" s="161" t="s">
        <v>58</v>
      </c>
      <c r="F71" s="222">
        <v>440</v>
      </c>
      <c r="G71" s="222">
        <v>448</v>
      </c>
      <c r="H71" s="222">
        <v>8</v>
      </c>
      <c r="I71" s="207">
        <v>1200</v>
      </c>
      <c r="J71" s="242">
        <f t="shared" si="15"/>
        <v>9600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44062</v>
      </c>
      <c r="D72" s="161" t="s">
        <v>9</v>
      </c>
      <c r="E72" s="161" t="s">
        <v>58</v>
      </c>
      <c r="F72" s="222">
        <v>451</v>
      </c>
      <c r="G72" s="222">
        <v>445</v>
      </c>
      <c r="H72" s="222">
        <v>-5</v>
      </c>
      <c r="I72" s="207">
        <v>1200</v>
      </c>
      <c r="J72" s="242">
        <f t="shared" si="15"/>
        <v>-6000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44063</v>
      </c>
      <c r="D73" s="161" t="s">
        <v>9</v>
      </c>
      <c r="E73" s="161" t="s">
        <v>58</v>
      </c>
      <c r="F73" s="223">
        <v>439</v>
      </c>
      <c r="G73" s="222">
        <v>441</v>
      </c>
      <c r="H73" s="255">
        <v>2</v>
      </c>
      <c r="I73" s="207">
        <v>1200</v>
      </c>
      <c r="J73" s="242">
        <f t="shared" si="15"/>
        <v>2400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44064</v>
      </c>
      <c r="D74" s="161" t="s">
        <v>8</v>
      </c>
      <c r="E74" s="161" t="s">
        <v>78</v>
      </c>
      <c r="F74" s="222">
        <v>1002</v>
      </c>
      <c r="G74" s="222">
        <v>992</v>
      </c>
      <c r="H74" s="255">
        <v>10</v>
      </c>
      <c r="I74" s="207">
        <v>550</v>
      </c>
      <c r="J74" s="242">
        <f t="shared" si="15"/>
        <v>5500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44067</v>
      </c>
      <c r="D75" s="161" t="s">
        <v>9</v>
      </c>
      <c r="E75" s="161" t="s">
        <v>95</v>
      </c>
      <c r="F75" s="222">
        <v>377</v>
      </c>
      <c r="G75" s="222">
        <v>381</v>
      </c>
      <c r="H75" s="255">
        <v>4</v>
      </c>
      <c r="I75" s="207">
        <v>1375</v>
      </c>
      <c r="J75" s="242">
        <f t="shared" si="15"/>
        <v>5500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44068</v>
      </c>
      <c r="D76" s="161" t="s">
        <v>8</v>
      </c>
      <c r="E76" s="161" t="s">
        <v>58</v>
      </c>
      <c r="F76" s="222">
        <v>453</v>
      </c>
      <c r="G76" s="222">
        <v>456.6</v>
      </c>
      <c r="H76" s="222">
        <v>3.6</v>
      </c>
      <c r="I76" s="207">
        <v>1200</v>
      </c>
      <c r="J76" s="242">
        <f t="shared" si="15"/>
        <v>4320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44069</v>
      </c>
      <c r="D77" s="161" t="s">
        <v>8</v>
      </c>
      <c r="E77" s="161" t="s">
        <v>250</v>
      </c>
      <c r="F77" s="222">
        <v>1398</v>
      </c>
      <c r="G77" s="222">
        <v>1388</v>
      </c>
      <c r="H77" s="222">
        <v>10</v>
      </c>
      <c r="I77" s="207">
        <v>500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44070</v>
      </c>
      <c r="D78" s="161" t="s">
        <v>8</v>
      </c>
      <c r="E78" s="161" t="s">
        <v>78</v>
      </c>
      <c r="F78" s="222">
        <v>970</v>
      </c>
      <c r="G78" s="222">
        <v>966.5</v>
      </c>
      <c r="H78" s="222">
        <v>3.5</v>
      </c>
      <c r="I78" s="207">
        <v>550</v>
      </c>
      <c r="J78" s="242">
        <f t="shared" si="15"/>
        <v>1925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44071</v>
      </c>
      <c r="D79" s="161" t="s">
        <v>9</v>
      </c>
      <c r="E79" s="161" t="s">
        <v>95</v>
      </c>
      <c r="F79" s="222">
        <v>410</v>
      </c>
      <c r="G79" s="222">
        <v>412</v>
      </c>
      <c r="H79" s="222">
        <v>2</v>
      </c>
      <c r="I79" s="207">
        <v>1375</v>
      </c>
      <c r="J79" s="242">
        <f t="shared" si="15"/>
        <v>2750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44074</v>
      </c>
      <c r="D80" s="161" t="s">
        <v>8</v>
      </c>
      <c r="E80" s="161" t="s">
        <v>78</v>
      </c>
      <c r="F80" s="222">
        <v>979</v>
      </c>
      <c r="G80" s="222">
        <v>959</v>
      </c>
      <c r="H80" s="222">
        <v>20</v>
      </c>
      <c r="I80" s="207">
        <v>550</v>
      </c>
      <c r="J80" s="242">
        <f t="shared" si="15"/>
        <v>11000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100435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3052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44046</v>
      </c>
      <c r="D92" s="185" t="s">
        <v>9</v>
      </c>
      <c r="E92" s="185" t="s">
        <v>39</v>
      </c>
      <c r="F92" s="219">
        <v>10970</v>
      </c>
      <c r="G92" s="219">
        <v>10990</v>
      </c>
      <c r="H92" s="185">
        <v>20</v>
      </c>
      <c r="I92" s="219">
        <v>150</v>
      </c>
      <c r="J92" s="246">
        <f t="shared" ref="J92:J113" si="19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44047</v>
      </c>
      <c r="D93" s="185" t="s">
        <v>9</v>
      </c>
      <c r="E93" s="185" t="s">
        <v>39</v>
      </c>
      <c r="F93" s="219">
        <v>11010</v>
      </c>
      <c r="G93" s="219">
        <v>11090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3" si="20">IF($J93&gt;0,1,0)</f>
        <v>1</v>
      </c>
      <c r="W93" s="25">
        <f t="shared" ref="W93:W113" si="21">IF($J93&lt;0,1,0)</f>
        <v>0</v>
      </c>
    </row>
    <row r="94" spans="1:23" x14ac:dyDescent="0.3">
      <c r="A94" s="147"/>
      <c r="B94" s="205">
        <f t="shared" ref="B94:B113" si="22">B93+1</f>
        <v>3</v>
      </c>
      <c r="C94" s="206">
        <v>44048</v>
      </c>
      <c r="D94" s="161" t="s">
        <v>9</v>
      </c>
      <c r="E94" s="161" t="s">
        <v>39</v>
      </c>
      <c r="F94" s="207">
        <v>11200</v>
      </c>
      <c r="G94" s="207">
        <v>11160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44049</v>
      </c>
      <c r="D95" s="161" t="s">
        <v>9</v>
      </c>
      <c r="E95" s="161" t="s">
        <v>39</v>
      </c>
      <c r="F95" s="207">
        <v>11190</v>
      </c>
      <c r="G95" s="207">
        <v>11210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44050</v>
      </c>
      <c r="D96" s="161" t="s">
        <v>9</v>
      </c>
      <c r="E96" s="161" t="s">
        <v>39</v>
      </c>
      <c r="F96" s="207">
        <v>11190</v>
      </c>
      <c r="G96" s="207">
        <v>11245</v>
      </c>
      <c r="H96" s="161">
        <v>55</v>
      </c>
      <c r="I96" s="207">
        <v>150</v>
      </c>
      <c r="J96" s="242">
        <f t="shared" si="19"/>
        <v>8250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44053</v>
      </c>
      <c r="D97" s="161" t="s">
        <v>9</v>
      </c>
      <c r="E97" s="161" t="s">
        <v>39</v>
      </c>
      <c r="F97" s="207">
        <v>11300</v>
      </c>
      <c r="G97" s="207">
        <v>11325</v>
      </c>
      <c r="H97" s="161">
        <v>25</v>
      </c>
      <c r="I97" s="207">
        <v>150</v>
      </c>
      <c r="J97" s="242">
        <f t="shared" si="19"/>
        <v>3750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44054</v>
      </c>
      <c r="D98" s="161" t="s">
        <v>9</v>
      </c>
      <c r="E98" s="161" t="s">
        <v>39</v>
      </c>
      <c r="F98" s="207">
        <v>11360</v>
      </c>
      <c r="G98" s="207">
        <v>11320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44055</v>
      </c>
      <c r="D99" s="161" t="s">
        <v>9</v>
      </c>
      <c r="E99" s="161" t="s">
        <v>39</v>
      </c>
      <c r="F99" s="207">
        <v>11260</v>
      </c>
      <c r="G99" s="207">
        <v>11315</v>
      </c>
      <c r="H99" s="161">
        <v>55</v>
      </c>
      <c r="I99" s="207">
        <v>150</v>
      </c>
      <c r="J99" s="242">
        <f t="shared" si="19"/>
        <v>8250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44056</v>
      </c>
      <c r="D100" s="161" t="s">
        <v>9</v>
      </c>
      <c r="E100" s="161" t="s">
        <v>39</v>
      </c>
      <c r="F100" s="207">
        <v>11340</v>
      </c>
      <c r="G100" s="207">
        <v>11365</v>
      </c>
      <c r="H100" s="161">
        <v>25</v>
      </c>
      <c r="I100" s="207">
        <v>150</v>
      </c>
      <c r="J100" s="242">
        <f t="shared" si="19"/>
        <v>3750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44057</v>
      </c>
      <c r="D101" s="161" t="s">
        <v>9</v>
      </c>
      <c r="E101" s="161" t="s">
        <v>39</v>
      </c>
      <c r="F101" s="207">
        <v>11340</v>
      </c>
      <c r="G101" s="207">
        <v>11380</v>
      </c>
      <c r="H101" s="161">
        <v>40</v>
      </c>
      <c r="I101" s="207">
        <v>150</v>
      </c>
      <c r="J101" s="242">
        <f t="shared" si="19"/>
        <v>6000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44060</v>
      </c>
      <c r="D102" s="161" t="s">
        <v>8</v>
      </c>
      <c r="E102" s="161" t="s">
        <v>39</v>
      </c>
      <c r="F102" s="207">
        <v>11230</v>
      </c>
      <c r="G102" s="207">
        <v>11210</v>
      </c>
      <c r="H102" s="161">
        <v>20</v>
      </c>
      <c r="I102" s="207">
        <v>150</v>
      </c>
      <c r="J102" s="242">
        <f t="shared" si="19"/>
        <v>3000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44061</v>
      </c>
      <c r="D103" s="161" t="s">
        <v>9</v>
      </c>
      <c r="E103" s="161" t="s">
        <v>39</v>
      </c>
      <c r="F103" s="207">
        <v>11320</v>
      </c>
      <c r="G103" s="207">
        <v>11400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44062</v>
      </c>
      <c r="D104" s="161" t="s">
        <v>9</v>
      </c>
      <c r="E104" s="161" t="s">
        <v>39</v>
      </c>
      <c r="F104" s="207">
        <v>11430</v>
      </c>
      <c r="G104" s="207">
        <v>11465</v>
      </c>
      <c r="H104" s="161">
        <v>35</v>
      </c>
      <c r="I104" s="207">
        <v>150</v>
      </c>
      <c r="J104" s="242">
        <f t="shared" si="19"/>
        <v>5250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44063</v>
      </c>
      <c r="D105" s="161" t="s">
        <v>9</v>
      </c>
      <c r="E105" s="161" t="s">
        <v>39</v>
      </c>
      <c r="F105" s="207">
        <v>11320</v>
      </c>
      <c r="G105" s="207">
        <v>11340</v>
      </c>
      <c r="H105" s="161">
        <v>20</v>
      </c>
      <c r="I105" s="207">
        <v>150</v>
      </c>
      <c r="J105" s="242">
        <f t="shared" si="19"/>
        <v>3000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44064</v>
      </c>
      <c r="D106" s="161" t="s">
        <v>9</v>
      </c>
      <c r="E106" s="161" t="s">
        <v>39</v>
      </c>
      <c r="F106" s="207">
        <v>11390</v>
      </c>
      <c r="G106" s="207">
        <v>11430</v>
      </c>
      <c r="H106" s="161">
        <v>40</v>
      </c>
      <c r="I106" s="207">
        <v>150</v>
      </c>
      <c r="J106" s="242">
        <f t="shared" si="19"/>
        <v>6000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44067</v>
      </c>
      <c r="D107" s="161" t="s">
        <v>9</v>
      </c>
      <c r="E107" s="161" t="s">
        <v>39</v>
      </c>
      <c r="F107" s="207">
        <v>11430</v>
      </c>
      <c r="G107" s="207">
        <v>11510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44068</v>
      </c>
      <c r="D108" s="161" t="s">
        <v>9</v>
      </c>
      <c r="E108" s="161" t="s">
        <v>39</v>
      </c>
      <c r="F108" s="207">
        <v>11450</v>
      </c>
      <c r="G108" s="207">
        <v>11490</v>
      </c>
      <c r="H108" s="161">
        <v>40</v>
      </c>
      <c r="I108" s="207">
        <v>150</v>
      </c>
      <c r="J108" s="242">
        <f t="shared" si="19"/>
        <v>6000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44069</v>
      </c>
      <c r="D109" s="161" t="s">
        <v>9</v>
      </c>
      <c r="E109" s="161" t="s">
        <v>39</v>
      </c>
      <c r="F109" s="207">
        <v>11470</v>
      </c>
      <c r="G109" s="207">
        <v>11550</v>
      </c>
      <c r="H109" s="161">
        <v>80</v>
      </c>
      <c r="I109" s="207">
        <v>150</v>
      </c>
      <c r="J109" s="242">
        <f>I109*H109</f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44070</v>
      </c>
      <c r="D110" s="161" t="s">
        <v>9</v>
      </c>
      <c r="E110" s="161" t="s">
        <v>39</v>
      </c>
      <c r="F110" s="207">
        <v>11580</v>
      </c>
      <c r="G110" s="207">
        <v>11605</v>
      </c>
      <c r="H110" s="161">
        <v>25</v>
      </c>
      <c r="I110" s="207">
        <v>150</v>
      </c>
      <c r="J110" s="242">
        <f t="shared" si="19"/>
        <v>3750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44071</v>
      </c>
      <c r="D111" s="161" t="s">
        <v>9</v>
      </c>
      <c r="E111" s="161" t="s">
        <v>39</v>
      </c>
      <c r="F111" s="207">
        <v>11610</v>
      </c>
      <c r="G111" s="207">
        <v>11690</v>
      </c>
      <c r="H111" s="161">
        <v>80</v>
      </c>
      <c r="I111" s="207">
        <v>150</v>
      </c>
      <c r="J111" s="242">
        <f t="shared" si="19"/>
        <v>12000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44074</v>
      </c>
      <c r="D112" s="161" t="s">
        <v>9</v>
      </c>
      <c r="E112" s="161" t="s">
        <v>39</v>
      </c>
      <c r="F112" s="207">
        <v>11580</v>
      </c>
      <c r="G112" s="207">
        <v>11600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ht="15" thickBot="1" x14ac:dyDescent="0.35">
      <c r="A113" s="147"/>
      <c r="B113" s="208">
        <f t="shared" si="22"/>
        <v>22</v>
      </c>
      <c r="C113" s="209"/>
      <c r="D113" s="166"/>
      <c r="E113" s="166"/>
      <c r="F113" s="210"/>
      <c r="G113" s="210"/>
      <c r="H113" s="166"/>
      <c r="I113" s="210"/>
      <c r="J113" s="244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24" thickBot="1" x14ac:dyDescent="0.5">
      <c r="A114" s="147"/>
      <c r="B114" s="370" t="s">
        <v>2254</v>
      </c>
      <c r="C114" s="371"/>
      <c r="D114" s="371"/>
      <c r="E114" s="371"/>
      <c r="F114" s="371"/>
      <c r="G114" s="371"/>
      <c r="H114" s="372"/>
      <c r="I114" s="211" t="s">
        <v>2255</v>
      </c>
      <c r="J114" s="212">
        <f>SUM(J92:J113)</f>
        <v>114000</v>
      </c>
      <c r="K114" s="153"/>
      <c r="V114" s="25">
        <f>SUM(V92:V113)</f>
        <v>19</v>
      </c>
      <c r="W114" s="25">
        <f>SUM(W92:W113)</f>
        <v>2</v>
      </c>
    </row>
    <row r="115" spans="1:23" ht="30" customHeight="1" thickBot="1" x14ac:dyDescent="0.35">
      <c r="A115" s="213"/>
      <c r="B115" s="172"/>
      <c r="C115" s="172"/>
      <c r="D115" s="172"/>
      <c r="E115" s="172"/>
      <c r="F115" s="172"/>
      <c r="G115" s="172"/>
      <c r="H115" s="235"/>
      <c r="I115" s="172"/>
      <c r="J115" s="235"/>
      <c r="K115" s="214"/>
    </row>
    <row r="116" spans="1:23" ht="15" thickBot="1" x14ac:dyDescent="0.35"/>
    <row r="117" spans="1:23" ht="30" customHeight="1" thickBot="1" x14ac:dyDescent="0.35">
      <c r="A117" s="198"/>
      <c r="B117" s="143"/>
      <c r="C117" s="143"/>
      <c r="D117" s="143"/>
      <c r="E117" s="143"/>
      <c r="F117" s="143"/>
      <c r="G117" s="143"/>
      <c r="H117" s="232"/>
      <c r="I117" s="143"/>
      <c r="J117" s="232"/>
      <c r="K117" s="199"/>
    </row>
    <row r="118" spans="1:23" ht="25.2" thickBot="1" x14ac:dyDescent="0.35">
      <c r="A118" s="147" t="s">
        <v>0</v>
      </c>
      <c r="B118" s="361" t="s">
        <v>2244</v>
      </c>
      <c r="C118" s="362"/>
      <c r="D118" s="362"/>
      <c r="E118" s="362"/>
      <c r="F118" s="362"/>
      <c r="G118" s="362"/>
      <c r="H118" s="362"/>
      <c r="I118" s="362"/>
      <c r="J118" s="363"/>
      <c r="K118" s="153"/>
    </row>
    <row r="119" spans="1:23" ht="16.2" thickBot="1" x14ac:dyDescent="0.35">
      <c r="A119" s="147"/>
      <c r="B119" s="364" t="s">
        <v>3050</v>
      </c>
      <c r="C119" s="365"/>
      <c r="D119" s="365"/>
      <c r="E119" s="365"/>
      <c r="F119" s="365"/>
      <c r="G119" s="365"/>
      <c r="H119" s="365"/>
      <c r="I119" s="365"/>
      <c r="J119" s="366"/>
      <c r="K119" s="153"/>
    </row>
    <row r="120" spans="1:23" ht="16.2" thickBot="1" x14ac:dyDescent="0.35">
      <c r="A120" s="147"/>
      <c r="B120" s="367" t="s">
        <v>2259</v>
      </c>
      <c r="C120" s="368"/>
      <c r="D120" s="368"/>
      <c r="E120" s="368"/>
      <c r="F120" s="368"/>
      <c r="G120" s="368"/>
      <c r="H120" s="368"/>
      <c r="I120" s="368"/>
      <c r="J120" s="369"/>
      <c r="K120" s="153"/>
    </row>
    <row r="121" spans="1:23" ht="15" thickBot="1" x14ac:dyDescent="0.35">
      <c r="A121" s="175"/>
      <c r="B121" s="178" t="s">
        <v>2248</v>
      </c>
      <c r="C121" s="179" t="s">
        <v>1</v>
      </c>
      <c r="D121" s="180" t="s">
        <v>5</v>
      </c>
      <c r="E121" s="180" t="s">
        <v>6</v>
      </c>
      <c r="F121" s="181" t="s">
        <v>2249</v>
      </c>
      <c r="G121" s="181" t="s">
        <v>2250</v>
      </c>
      <c r="H121" s="239" t="s">
        <v>2251</v>
      </c>
      <c r="I121" s="181" t="s">
        <v>2257</v>
      </c>
      <c r="J121" s="245" t="s">
        <v>4</v>
      </c>
      <c r="K121" s="176"/>
      <c r="L121" s="215"/>
      <c r="V121" s="201" t="s">
        <v>454</v>
      </c>
      <c r="W121" s="201" t="s">
        <v>455</v>
      </c>
    </row>
    <row r="122" spans="1:23" x14ac:dyDescent="0.3">
      <c r="A122" s="147"/>
      <c r="B122" s="217">
        <v>1</v>
      </c>
      <c r="C122" s="218">
        <v>44046</v>
      </c>
      <c r="D122" s="185" t="s">
        <v>9</v>
      </c>
      <c r="E122" s="185" t="s">
        <v>3053</v>
      </c>
      <c r="F122" s="219">
        <v>115</v>
      </c>
      <c r="G122" s="219">
        <v>90</v>
      </c>
      <c r="H122" s="185">
        <v>-25</v>
      </c>
      <c r="I122" s="219">
        <v>300</v>
      </c>
      <c r="J122" s="246">
        <f t="shared" ref="J122:J143" si="23">I122*H122</f>
        <v>-7500</v>
      </c>
      <c r="K122" s="153"/>
      <c r="V122" s="25">
        <f>IF($J122&gt;0,1,0)</f>
        <v>0</v>
      </c>
      <c r="W122" s="25">
        <f>IF($J122&lt;0,1,0)</f>
        <v>1</v>
      </c>
    </row>
    <row r="123" spans="1:23" x14ac:dyDescent="0.3">
      <c r="A123" s="147"/>
      <c r="B123" s="205">
        <f>B122+1</f>
        <v>2</v>
      </c>
      <c r="C123" s="218">
        <v>44047</v>
      </c>
      <c r="D123" s="185" t="s">
        <v>9</v>
      </c>
      <c r="E123" s="185" t="s">
        <v>3053</v>
      </c>
      <c r="F123" s="219">
        <v>115</v>
      </c>
      <c r="G123" s="219">
        <v>165</v>
      </c>
      <c r="H123" s="185">
        <v>50</v>
      </c>
      <c r="I123" s="219">
        <v>300</v>
      </c>
      <c r="J123" s="242">
        <f t="shared" si="23"/>
        <v>15000</v>
      </c>
      <c r="K123" s="153"/>
      <c r="V123" s="25">
        <f t="shared" ref="V123:V143" si="24">IF($J123&gt;0,1,0)</f>
        <v>1</v>
      </c>
      <c r="W123" s="25">
        <f t="shared" ref="W123:W143" si="25">IF($J123&lt;0,1,0)</f>
        <v>0</v>
      </c>
    </row>
    <row r="124" spans="1:23" x14ac:dyDescent="0.3">
      <c r="A124" s="147"/>
      <c r="B124" s="205">
        <f t="shared" ref="B124:B143" si="26">B123+1</f>
        <v>3</v>
      </c>
      <c r="C124" s="206">
        <v>44048</v>
      </c>
      <c r="D124" s="161" t="s">
        <v>9</v>
      </c>
      <c r="E124" s="161" t="s">
        <v>2451</v>
      </c>
      <c r="F124" s="207">
        <v>75</v>
      </c>
      <c r="G124" s="207">
        <v>85</v>
      </c>
      <c r="H124" s="161">
        <v>10</v>
      </c>
      <c r="I124" s="207">
        <v>300</v>
      </c>
      <c r="J124" s="242">
        <f t="shared" si="23"/>
        <v>3000</v>
      </c>
      <c r="K124" s="153"/>
      <c r="V124" s="25">
        <f t="shared" si="24"/>
        <v>1</v>
      </c>
      <c r="W124" s="25">
        <f t="shared" si="25"/>
        <v>0</v>
      </c>
    </row>
    <row r="125" spans="1:23" x14ac:dyDescent="0.3">
      <c r="A125" s="147"/>
      <c r="B125" s="205">
        <f t="shared" si="26"/>
        <v>4</v>
      </c>
      <c r="C125" s="206">
        <v>44049</v>
      </c>
      <c r="D125" s="161" t="s">
        <v>9</v>
      </c>
      <c r="E125" s="161" t="s">
        <v>2451</v>
      </c>
      <c r="F125" s="207">
        <v>90</v>
      </c>
      <c r="G125" s="207">
        <v>140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5</v>
      </c>
      <c r="C126" s="206">
        <v>44050</v>
      </c>
      <c r="D126" s="161" t="s">
        <v>9</v>
      </c>
      <c r="E126" s="161" t="s">
        <v>2445</v>
      </c>
      <c r="F126" s="207">
        <v>100</v>
      </c>
      <c r="G126" s="207">
        <v>122</v>
      </c>
      <c r="H126" s="161">
        <v>22</v>
      </c>
      <c r="I126" s="207">
        <v>300</v>
      </c>
      <c r="J126" s="242">
        <f t="shared" si="23"/>
        <v>6600</v>
      </c>
      <c r="K126" s="153"/>
      <c r="M126" s="25" t="s">
        <v>2008</v>
      </c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6</v>
      </c>
      <c r="C127" s="206">
        <v>44053</v>
      </c>
      <c r="D127" s="161" t="s">
        <v>9</v>
      </c>
      <c r="E127" s="161" t="s">
        <v>3059</v>
      </c>
      <c r="F127" s="207">
        <v>118</v>
      </c>
      <c r="G127" s="207">
        <v>128</v>
      </c>
      <c r="H127" s="161">
        <v>10</v>
      </c>
      <c r="I127" s="207">
        <v>300</v>
      </c>
      <c r="J127" s="242">
        <f t="shared" si="23"/>
        <v>3000</v>
      </c>
      <c r="K127" s="153"/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7</v>
      </c>
      <c r="C128" s="206">
        <v>44054</v>
      </c>
      <c r="D128" s="161" t="s">
        <v>9</v>
      </c>
      <c r="E128" s="161" t="s">
        <v>3059</v>
      </c>
      <c r="F128" s="207">
        <v>110</v>
      </c>
      <c r="G128" s="207">
        <v>135</v>
      </c>
      <c r="H128" s="161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8</v>
      </c>
      <c r="C129" s="206">
        <v>44055</v>
      </c>
      <c r="D129" s="161" t="s">
        <v>9</v>
      </c>
      <c r="E129" s="161" t="s">
        <v>2445</v>
      </c>
      <c r="F129" s="207">
        <v>95</v>
      </c>
      <c r="G129" s="207">
        <v>133</v>
      </c>
      <c r="H129" s="161">
        <v>38</v>
      </c>
      <c r="I129" s="207">
        <v>300</v>
      </c>
      <c r="J129" s="242">
        <f t="shared" si="23"/>
        <v>11400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9</v>
      </c>
      <c r="C130" s="206">
        <v>44056</v>
      </c>
      <c r="D130" s="161" t="s">
        <v>9</v>
      </c>
      <c r="E130" s="161" t="s">
        <v>3059</v>
      </c>
      <c r="F130" s="207">
        <v>100</v>
      </c>
      <c r="G130" s="222">
        <v>112</v>
      </c>
      <c r="H130" s="222">
        <v>12</v>
      </c>
      <c r="I130" s="207">
        <v>300</v>
      </c>
      <c r="J130" s="242">
        <f t="shared" si="23"/>
        <v>3600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10</v>
      </c>
      <c r="C131" s="206">
        <v>44057</v>
      </c>
      <c r="D131" s="161" t="s">
        <v>9</v>
      </c>
      <c r="E131" s="161" t="s">
        <v>2536</v>
      </c>
      <c r="F131" s="207">
        <v>110</v>
      </c>
      <c r="G131" s="207">
        <v>135</v>
      </c>
      <c r="H131" s="161">
        <v>25</v>
      </c>
      <c r="I131" s="207">
        <v>300</v>
      </c>
      <c r="J131" s="242">
        <f t="shared" si="23"/>
        <v>7500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11</v>
      </c>
      <c r="C132" s="206">
        <v>44060</v>
      </c>
      <c r="D132" s="161" t="s">
        <v>9</v>
      </c>
      <c r="E132" s="161" t="s">
        <v>2531</v>
      </c>
      <c r="F132" s="207">
        <v>125</v>
      </c>
      <c r="G132" s="222">
        <v>150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12</v>
      </c>
      <c r="C133" s="206">
        <v>44061</v>
      </c>
      <c r="D133" s="161" t="s">
        <v>9</v>
      </c>
      <c r="E133" s="161" t="s">
        <v>3059</v>
      </c>
      <c r="F133" s="207">
        <v>105</v>
      </c>
      <c r="G133" s="207">
        <v>155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13</v>
      </c>
      <c r="C134" s="206">
        <v>44062</v>
      </c>
      <c r="D134" s="161" t="s">
        <v>9</v>
      </c>
      <c r="E134" s="161" t="s">
        <v>2833</v>
      </c>
      <c r="F134" s="207">
        <v>105</v>
      </c>
      <c r="G134" s="207">
        <v>125</v>
      </c>
      <c r="H134" s="161">
        <v>20</v>
      </c>
      <c r="I134" s="207">
        <v>300</v>
      </c>
      <c r="J134" s="242">
        <f>I134*H134</f>
        <v>6000</v>
      </c>
      <c r="K134" s="153"/>
      <c r="V134" s="25">
        <f>IF($J134&gt;0,1,0)</f>
        <v>1</v>
      </c>
      <c r="W134" s="25">
        <f>IF($J134&lt;0,1,0)</f>
        <v>0</v>
      </c>
    </row>
    <row r="135" spans="1:23" x14ac:dyDescent="0.3">
      <c r="A135" s="147"/>
      <c r="B135" s="205">
        <f t="shared" si="26"/>
        <v>14</v>
      </c>
      <c r="C135" s="206">
        <v>44063</v>
      </c>
      <c r="D135" s="161" t="s">
        <v>9</v>
      </c>
      <c r="E135" s="161" t="s">
        <v>3059</v>
      </c>
      <c r="F135" s="207">
        <v>90</v>
      </c>
      <c r="G135" s="207">
        <v>65</v>
      </c>
      <c r="H135" s="161">
        <v>-25</v>
      </c>
      <c r="I135" s="207">
        <v>300</v>
      </c>
      <c r="J135" s="242">
        <f t="shared" si="23"/>
        <v>-7500</v>
      </c>
      <c r="K135" s="153"/>
      <c r="V135" s="25">
        <f>IF($J135&gt;0,1,0)</f>
        <v>0</v>
      </c>
      <c r="W135" s="25">
        <f>IF($J135&lt;0,1,0)</f>
        <v>1</v>
      </c>
    </row>
    <row r="136" spans="1:23" x14ac:dyDescent="0.3">
      <c r="A136" s="147"/>
      <c r="B136" s="205">
        <f t="shared" si="26"/>
        <v>15</v>
      </c>
      <c r="C136" s="206">
        <v>44064</v>
      </c>
      <c r="D136" s="161" t="s">
        <v>9</v>
      </c>
      <c r="E136" s="161" t="s">
        <v>2538</v>
      </c>
      <c r="F136" s="207">
        <v>90</v>
      </c>
      <c r="G136" s="207">
        <v>90</v>
      </c>
      <c r="H136" s="161">
        <v>0</v>
      </c>
      <c r="I136" s="207">
        <v>300</v>
      </c>
      <c r="J136" s="242">
        <f t="shared" si="23"/>
        <v>0</v>
      </c>
      <c r="K136" s="153"/>
      <c r="V136" s="25">
        <f t="shared" si="24"/>
        <v>0</v>
      </c>
      <c r="W136" s="25">
        <f t="shared" si="25"/>
        <v>0</v>
      </c>
    </row>
    <row r="137" spans="1:23" x14ac:dyDescent="0.3">
      <c r="A137" s="147"/>
      <c r="B137" s="205">
        <f t="shared" si="26"/>
        <v>16</v>
      </c>
      <c r="C137" s="206">
        <v>44067</v>
      </c>
      <c r="D137" s="161" t="s">
        <v>9</v>
      </c>
      <c r="E137" s="161" t="s">
        <v>2538</v>
      </c>
      <c r="F137" s="207">
        <v>90</v>
      </c>
      <c r="G137" s="207">
        <v>140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 t="shared" si="24"/>
        <v>1</v>
      </c>
      <c r="W137" s="25">
        <f t="shared" si="25"/>
        <v>0</v>
      </c>
    </row>
    <row r="138" spans="1:23" x14ac:dyDescent="0.3">
      <c r="A138" s="147"/>
      <c r="B138" s="205">
        <f t="shared" si="26"/>
        <v>17</v>
      </c>
      <c r="C138" s="206">
        <v>44068</v>
      </c>
      <c r="D138" s="161" t="s">
        <v>9</v>
      </c>
      <c r="E138" s="161" t="s">
        <v>2538</v>
      </c>
      <c r="F138" s="207">
        <v>100</v>
      </c>
      <c r="G138" s="222">
        <v>122.5</v>
      </c>
      <c r="H138" s="222">
        <v>22.5</v>
      </c>
      <c r="I138" s="207">
        <v>300</v>
      </c>
      <c r="J138" s="242">
        <f t="shared" si="23"/>
        <v>6750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18</v>
      </c>
      <c r="C139" s="206">
        <v>44069</v>
      </c>
      <c r="D139" s="161" t="s">
        <v>9</v>
      </c>
      <c r="E139" s="161" t="s">
        <v>2538</v>
      </c>
      <c r="F139" s="207">
        <v>100</v>
      </c>
      <c r="G139" s="207">
        <v>150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19</v>
      </c>
      <c r="C140" s="206">
        <v>44070</v>
      </c>
      <c r="D140" s="161" t="s">
        <v>9</v>
      </c>
      <c r="E140" s="161" t="s">
        <v>2541</v>
      </c>
      <c r="F140" s="207">
        <v>90</v>
      </c>
      <c r="G140" s="207">
        <v>100</v>
      </c>
      <c r="H140" s="161">
        <v>10</v>
      </c>
      <c r="I140" s="207">
        <v>300</v>
      </c>
      <c r="J140" s="242">
        <f t="shared" si="23"/>
        <v>3000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20</v>
      </c>
      <c r="C141" s="206">
        <v>44071</v>
      </c>
      <c r="D141" s="161" t="s">
        <v>9</v>
      </c>
      <c r="E141" s="161" t="s">
        <v>2561</v>
      </c>
      <c r="F141" s="207">
        <v>100</v>
      </c>
      <c r="G141" s="207">
        <v>150</v>
      </c>
      <c r="H141" s="161">
        <v>50</v>
      </c>
      <c r="I141" s="207">
        <v>300</v>
      </c>
      <c r="J141" s="242">
        <f t="shared" si="23"/>
        <v>15000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21</v>
      </c>
      <c r="C142" s="206">
        <v>44074</v>
      </c>
      <c r="D142" s="161" t="s">
        <v>9</v>
      </c>
      <c r="E142" s="161" t="s">
        <v>2839</v>
      </c>
      <c r="F142" s="207">
        <v>120</v>
      </c>
      <c r="G142" s="207">
        <v>95</v>
      </c>
      <c r="H142" s="161">
        <v>-20</v>
      </c>
      <c r="I142" s="207">
        <v>300</v>
      </c>
      <c r="J142" s="242">
        <f t="shared" si="23"/>
        <v>-6000</v>
      </c>
      <c r="K142" s="153"/>
      <c r="V142" s="25">
        <f t="shared" si="24"/>
        <v>0</v>
      </c>
      <c r="W142" s="25">
        <f t="shared" si="25"/>
        <v>1</v>
      </c>
    </row>
    <row r="143" spans="1:23" ht="15" thickBot="1" x14ac:dyDescent="0.35">
      <c r="A143" s="147"/>
      <c r="B143" s="208">
        <f t="shared" si="26"/>
        <v>22</v>
      </c>
      <c r="C143" s="209"/>
      <c r="D143" s="166"/>
      <c r="E143" s="166"/>
      <c r="F143" s="210"/>
      <c r="G143" s="210"/>
      <c r="H143" s="166"/>
      <c r="I143" s="210"/>
      <c r="J143" s="244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ht="24" thickBot="1" x14ac:dyDescent="0.5">
      <c r="A144" s="147"/>
      <c r="B144" s="370" t="s">
        <v>2254</v>
      </c>
      <c r="C144" s="371"/>
      <c r="D144" s="371"/>
      <c r="E144" s="371"/>
      <c r="F144" s="371"/>
      <c r="G144" s="371"/>
      <c r="H144" s="372"/>
      <c r="I144" s="211" t="s">
        <v>2255</v>
      </c>
      <c r="J144" s="212">
        <f>SUM(J122:J143)</f>
        <v>134850</v>
      </c>
      <c r="K144" s="153"/>
      <c r="V144" s="25">
        <f>SUM(V122:V143)</f>
        <v>17</v>
      </c>
      <c r="W144" s="25">
        <f>SUM(W122:W143)</f>
        <v>3</v>
      </c>
    </row>
    <row r="145" spans="1:23" ht="30" customHeight="1" thickBot="1" x14ac:dyDescent="0.35">
      <c r="A145" s="213"/>
      <c r="B145" s="172"/>
      <c r="C145" s="172"/>
      <c r="D145" s="172"/>
      <c r="E145" s="172"/>
      <c r="F145" s="172"/>
      <c r="G145" s="172"/>
      <c r="H145" s="235"/>
      <c r="I145" s="172"/>
      <c r="J145" s="235"/>
      <c r="K145" s="214"/>
    </row>
    <row r="146" spans="1:23" ht="15" thickBot="1" x14ac:dyDescent="0.35"/>
    <row r="147" spans="1:23" ht="30" customHeight="1" thickBot="1" x14ac:dyDescent="0.35">
      <c r="A147" s="198"/>
      <c r="B147" s="143"/>
      <c r="C147" s="143"/>
      <c r="D147" s="143"/>
      <c r="E147" s="143"/>
      <c r="F147" s="143"/>
      <c r="G147" s="143"/>
      <c r="H147" s="232"/>
      <c r="I147" s="143"/>
      <c r="J147" s="232"/>
      <c r="K147" s="199"/>
    </row>
    <row r="148" spans="1:23" ht="25.2" thickBot="1" x14ac:dyDescent="0.35">
      <c r="A148" s="147" t="s">
        <v>0</v>
      </c>
      <c r="B148" s="361" t="s">
        <v>2244</v>
      </c>
      <c r="C148" s="362"/>
      <c r="D148" s="362"/>
      <c r="E148" s="362"/>
      <c r="F148" s="362"/>
      <c r="G148" s="362"/>
      <c r="H148" s="362"/>
      <c r="I148" s="362"/>
      <c r="J148" s="363"/>
      <c r="K148" s="153"/>
    </row>
    <row r="149" spans="1:23" ht="16.2" thickBot="1" x14ac:dyDescent="0.35">
      <c r="A149" s="147"/>
      <c r="B149" s="364" t="s">
        <v>3050</v>
      </c>
      <c r="C149" s="365"/>
      <c r="D149" s="365"/>
      <c r="E149" s="365"/>
      <c r="F149" s="365"/>
      <c r="G149" s="365"/>
      <c r="H149" s="365"/>
      <c r="I149" s="365"/>
      <c r="J149" s="366"/>
      <c r="K149" s="153"/>
    </row>
    <row r="150" spans="1:23" ht="16.2" thickBot="1" x14ac:dyDescent="0.35">
      <c r="A150" s="147"/>
      <c r="B150" s="367" t="s">
        <v>2367</v>
      </c>
      <c r="C150" s="368"/>
      <c r="D150" s="368"/>
      <c r="E150" s="368"/>
      <c r="F150" s="368"/>
      <c r="G150" s="368"/>
      <c r="H150" s="368"/>
      <c r="I150" s="368"/>
      <c r="J150" s="369"/>
      <c r="K150" s="153"/>
    </row>
    <row r="151" spans="1:23" ht="15" thickBot="1" x14ac:dyDescent="0.35">
      <c r="A151" s="175"/>
      <c r="B151" s="178" t="s">
        <v>2248</v>
      </c>
      <c r="C151" s="179" t="s">
        <v>1</v>
      </c>
      <c r="D151" s="180" t="s">
        <v>5</v>
      </c>
      <c r="E151" s="180" t="s">
        <v>6</v>
      </c>
      <c r="F151" s="181" t="s">
        <v>2249</v>
      </c>
      <c r="G151" s="181" t="s">
        <v>2250</v>
      </c>
      <c r="H151" s="239" t="s">
        <v>2251</v>
      </c>
      <c r="I151" s="181" t="s">
        <v>2257</v>
      </c>
      <c r="J151" s="245" t="s">
        <v>4</v>
      </c>
      <c r="K151" s="176"/>
      <c r="L151" s="215"/>
      <c r="V151" s="201" t="s">
        <v>454</v>
      </c>
      <c r="W151" s="201" t="s">
        <v>455</v>
      </c>
    </row>
    <row r="152" spans="1:23" x14ac:dyDescent="0.3">
      <c r="A152" s="147"/>
      <c r="B152" s="217">
        <v>1</v>
      </c>
      <c r="C152" s="218">
        <v>43954</v>
      </c>
      <c r="D152" s="185" t="s">
        <v>8</v>
      </c>
      <c r="E152" s="185" t="s">
        <v>301</v>
      </c>
      <c r="F152" s="219">
        <v>21250</v>
      </c>
      <c r="G152" s="219">
        <v>21190</v>
      </c>
      <c r="H152" s="185">
        <v>60</v>
      </c>
      <c r="I152" s="219">
        <v>50</v>
      </c>
      <c r="J152" s="246">
        <f t="shared" ref="J152:J173" si="27">I152*H152</f>
        <v>3000</v>
      </c>
      <c r="K152" s="153"/>
      <c r="V152" s="25">
        <f>IF($J152&gt;0,1,0)</f>
        <v>1</v>
      </c>
      <c r="W152" s="25">
        <f>IF($J152&lt;0,1,0)</f>
        <v>0</v>
      </c>
    </row>
    <row r="153" spans="1:23" x14ac:dyDescent="0.3">
      <c r="A153" s="147"/>
      <c r="B153" s="205">
        <f>B152+1</f>
        <v>2</v>
      </c>
      <c r="C153" s="218">
        <v>44047</v>
      </c>
      <c r="D153" s="185" t="s">
        <v>9</v>
      </c>
      <c r="E153" s="185" t="s">
        <v>301</v>
      </c>
      <c r="F153" s="219">
        <v>21400</v>
      </c>
      <c r="G153" s="219">
        <v>21550</v>
      </c>
      <c r="H153" s="185">
        <v>150</v>
      </c>
      <c r="I153" s="219">
        <v>50</v>
      </c>
      <c r="J153" s="242">
        <f t="shared" si="27"/>
        <v>7500</v>
      </c>
      <c r="K153" s="153"/>
      <c r="V153" s="25">
        <f t="shared" ref="V153:V173" si="28">IF($J153&gt;0,1,0)</f>
        <v>1</v>
      </c>
      <c r="W153" s="25">
        <f t="shared" ref="W153:W173" si="29">IF($J153&lt;0,1,0)</f>
        <v>0</v>
      </c>
    </row>
    <row r="154" spans="1:23" x14ac:dyDescent="0.3">
      <c r="A154" s="147"/>
      <c r="B154" s="205">
        <f t="shared" ref="B154:B173" si="30">B153+1</f>
        <v>3</v>
      </c>
      <c r="C154" s="206">
        <v>44048</v>
      </c>
      <c r="D154" s="161" t="s">
        <v>9</v>
      </c>
      <c r="E154" s="161" t="s">
        <v>301</v>
      </c>
      <c r="F154" s="207">
        <v>21950</v>
      </c>
      <c r="G154" s="207">
        <v>21800</v>
      </c>
      <c r="H154" s="161">
        <v>-150</v>
      </c>
      <c r="I154" s="207">
        <v>50</v>
      </c>
      <c r="J154" s="242">
        <f t="shared" si="27"/>
        <v>-7500</v>
      </c>
      <c r="K154" s="153"/>
      <c r="V154" s="25">
        <f t="shared" si="28"/>
        <v>0</v>
      </c>
      <c r="W154" s="25">
        <f t="shared" si="29"/>
        <v>1</v>
      </c>
    </row>
    <row r="155" spans="1:23" x14ac:dyDescent="0.3">
      <c r="A155" s="147"/>
      <c r="B155" s="205">
        <f t="shared" si="30"/>
        <v>4</v>
      </c>
      <c r="C155" s="206">
        <v>44050</v>
      </c>
      <c r="D155" s="161" t="s">
        <v>9</v>
      </c>
      <c r="E155" s="161" t="s">
        <v>301</v>
      </c>
      <c r="F155" s="207">
        <v>21650</v>
      </c>
      <c r="G155" s="207">
        <v>21800</v>
      </c>
      <c r="H155" s="161">
        <v>150</v>
      </c>
      <c r="I155" s="207">
        <v>50</v>
      </c>
      <c r="J155" s="242">
        <f t="shared" si="27"/>
        <v>7500</v>
      </c>
      <c r="K155" s="153"/>
      <c r="V155" s="25">
        <f t="shared" si="28"/>
        <v>1</v>
      </c>
      <c r="W155" s="25">
        <f t="shared" si="29"/>
        <v>0</v>
      </c>
    </row>
    <row r="156" spans="1:23" x14ac:dyDescent="0.3">
      <c r="A156" s="147"/>
      <c r="B156" s="205">
        <f t="shared" si="30"/>
        <v>5</v>
      </c>
      <c r="C156" s="206">
        <v>44051</v>
      </c>
      <c r="D156" s="161" t="s">
        <v>9</v>
      </c>
      <c r="E156" s="161" t="s">
        <v>301</v>
      </c>
      <c r="F156" s="207">
        <v>22000</v>
      </c>
      <c r="G156" s="207">
        <v>22250</v>
      </c>
      <c r="H156" s="161">
        <v>50</v>
      </c>
      <c r="I156" s="207">
        <v>50</v>
      </c>
      <c r="J156" s="242">
        <f t="shared" si="27"/>
        <v>2500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6</v>
      </c>
      <c r="C157" s="206">
        <v>44053</v>
      </c>
      <c r="D157" s="161" t="s">
        <v>9</v>
      </c>
      <c r="E157" s="161" t="s">
        <v>301</v>
      </c>
      <c r="F157" s="207">
        <v>22000</v>
      </c>
      <c r="G157" s="207">
        <v>22250</v>
      </c>
      <c r="H157" s="161">
        <v>50</v>
      </c>
      <c r="I157" s="207">
        <v>50</v>
      </c>
      <c r="J157" s="242">
        <f t="shared" si="27"/>
        <v>2500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7</v>
      </c>
      <c r="C158" s="206">
        <v>44054</v>
      </c>
      <c r="D158" s="161" t="s">
        <v>9</v>
      </c>
      <c r="E158" s="161" t="s">
        <v>301</v>
      </c>
      <c r="F158" s="207">
        <v>22200</v>
      </c>
      <c r="G158" s="207">
        <v>22330</v>
      </c>
      <c r="H158" s="161">
        <v>130</v>
      </c>
      <c r="I158" s="207">
        <v>50</v>
      </c>
      <c r="J158" s="242">
        <f t="shared" si="27"/>
        <v>6500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8</v>
      </c>
      <c r="C159" s="206">
        <v>44056</v>
      </c>
      <c r="D159" s="161" t="s">
        <v>9</v>
      </c>
      <c r="E159" s="161" t="s">
        <v>301</v>
      </c>
      <c r="F159" s="207">
        <v>22400</v>
      </c>
      <c r="G159" s="207">
        <v>22250</v>
      </c>
      <c r="H159" s="161">
        <v>-150</v>
      </c>
      <c r="I159" s="207">
        <v>50</v>
      </c>
      <c r="J159" s="242">
        <f t="shared" si="27"/>
        <v>-7500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9</v>
      </c>
      <c r="C160" s="206">
        <v>44057</v>
      </c>
      <c r="D160" s="161" t="s">
        <v>9</v>
      </c>
      <c r="E160" s="161" t="s">
        <v>301</v>
      </c>
      <c r="F160" s="207">
        <v>22200</v>
      </c>
      <c r="G160" s="207">
        <v>22260</v>
      </c>
      <c r="H160" s="161">
        <v>60</v>
      </c>
      <c r="I160" s="207">
        <v>50</v>
      </c>
      <c r="J160" s="242">
        <f t="shared" si="27"/>
        <v>3000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10</v>
      </c>
      <c r="C161" s="206">
        <v>44060</v>
      </c>
      <c r="D161" s="161" t="s">
        <v>8</v>
      </c>
      <c r="E161" s="161" t="s">
        <v>301</v>
      </c>
      <c r="F161" s="207">
        <v>21600</v>
      </c>
      <c r="G161" s="207">
        <v>21400</v>
      </c>
      <c r="H161" s="161">
        <v>200</v>
      </c>
      <c r="I161" s="207">
        <v>50</v>
      </c>
      <c r="J161" s="242">
        <f t="shared" si="27"/>
        <v>10000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11</v>
      </c>
      <c r="C162" s="206">
        <v>44061</v>
      </c>
      <c r="D162" s="161" t="s">
        <v>9</v>
      </c>
      <c r="E162" s="161" t="s">
        <v>301</v>
      </c>
      <c r="F162" s="207">
        <v>21800</v>
      </c>
      <c r="G162" s="207">
        <v>22100</v>
      </c>
      <c r="H162" s="161">
        <v>300</v>
      </c>
      <c r="I162" s="207">
        <v>50</v>
      </c>
      <c r="J162" s="242">
        <f t="shared" si="27"/>
        <v>15000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12</v>
      </c>
      <c r="C163" s="206">
        <v>44062</v>
      </c>
      <c r="D163" s="161" t="s">
        <v>9</v>
      </c>
      <c r="E163" s="161" t="s">
        <v>301</v>
      </c>
      <c r="F163" s="207">
        <v>22350</v>
      </c>
      <c r="G163" s="207">
        <v>22465</v>
      </c>
      <c r="H163" s="161">
        <v>115</v>
      </c>
      <c r="I163" s="207">
        <v>50</v>
      </c>
      <c r="J163" s="242">
        <f t="shared" si="27"/>
        <v>5750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13</v>
      </c>
      <c r="C164" s="206">
        <v>44063</v>
      </c>
      <c r="D164" s="161" t="s">
        <v>9</v>
      </c>
      <c r="E164" s="161" t="s">
        <v>301</v>
      </c>
      <c r="F164" s="207">
        <v>22000</v>
      </c>
      <c r="G164" s="207">
        <v>22080</v>
      </c>
      <c r="H164" s="161">
        <v>80</v>
      </c>
      <c r="I164" s="207">
        <v>50</v>
      </c>
      <c r="J164" s="242">
        <f t="shared" si="27"/>
        <v>4000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14</v>
      </c>
      <c r="C165" s="206">
        <v>44064</v>
      </c>
      <c r="D165" s="161" t="s">
        <v>9</v>
      </c>
      <c r="E165" s="161" t="s">
        <v>301</v>
      </c>
      <c r="F165" s="207">
        <v>22280</v>
      </c>
      <c r="G165" s="207">
        <v>22360</v>
      </c>
      <c r="H165" s="161">
        <v>80</v>
      </c>
      <c r="I165" s="207">
        <v>50</v>
      </c>
      <c r="J165" s="242">
        <f t="shared" si="27"/>
        <v>4000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15</v>
      </c>
      <c r="C166" s="206">
        <v>44067</v>
      </c>
      <c r="D166" s="161" t="s">
        <v>9</v>
      </c>
      <c r="E166" s="161" t="s">
        <v>301</v>
      </c>
      <c r="F166" s="207">
        <v>22600</v>
      </c>
      <c r="G166" s="207">
        <v>22900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16</v>
      </c>
      <c r="C167" s="206">
        <v>44068</v>
      </c>
      <c r="D167" s="161" t="s">
        <v>9</v>
      </c>
      <c r="E167" s="161" t="s">
        <v>301</v>
      </c>
      <c r="F167" s="207">
        <v>22950</v>
      </c>
      <c r="G167" s="207">
        <v>23160</v>
      </c>
      <c r="H167" s="161">
        <v>210</v>
      </c>
      <c r="I167" s="207">
        <v>50</v>
      </c>
      <c r="J167" s="242">
        <f t="shared" si="27"/>
        <v>10500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17</v>
      </c>
      <c r="C168" s="206">
        <v>44069</v>
      </c>
      <c r="D168" s="161" t="s">
        <v>9</v>
      </c>
      <c r="E168" s="161" t="s">
        <v>301</v>
      </c>
      <c r="F168" s="207">
        <v>23250</v>
      </c>
      <c r="G168" s="207">
        <v>23400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18</v>
      </c>
      <c r="C169" s="206">
        <v>44070</v>
      </c>
      <c r="D169" s="161" t="s">
        <v>9</v>
      </c>
      <c r="E169" s="161" t="s">
        <v>301</v>
      </c>
      <c r="F169" s="207">
        <v>23600</v>
      </c>
      <c r="G169" s="207">
        <v>23710</v>
      </c>
      <c r="H169" s="161">
        <v>110</v>
      </c>
      <c r="I169" s="207">
        <v>50</v>
      </c>
      <c r="J169" s="242">
        <f t="shared" si="27"/>
        <v>5500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19</v>
      </c>
      <c r="C170" s="206">
        <v>44071</v>
      </c>
      <c r="D170" s="161" t="s">
        <v>9</v>
      </c>
      <c r="E170" s="161" t="s">
        <v>301</v>
      </c>
      <c r="F170" s="207">
        <v>23900</v>
      </c>
      <c r="G170" s="207">
        <v>24200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20</v>
      </c>
      <c r="C171" s="206">
        <v>44074</v>
      </c>
      <c r="D171" s="161" t="s">
        <v>9</v>
      </c>
      <c r="E171" s="161" t="s">
        <v>301</v>
      </c>
      <c r="F171" s="207">
        <v>24150</v>
      </c>
      <c r="G171" s="207">
        <v>24250</v>
      </c>
      <c r="H171" s="161">
        <v>100</v>
      </c>
      <c r="I171" s="207">
        <v>50</v>
      </c>
      <c r="J171" s="242">
        <f t="shared" si="27"/>
        <v>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21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ht="15" thickBot="1" x14ac:dyDescent="0.35">
      <c r="A173" s="147"/>
      <c r="B173" s="208">
        <f t="shared" si="30"/>
        <v>22</v>
      </c>
      <c r="C173" s="209"/>
      <c r="D173" s="166"/>
      <c r="E173" s="166"/>
      <c r="F173" s="210"/>
      <c r="G173" s="210"/>
      <c r="H173" s="166"/>
      <c r="I173" s="210"/>
      <c r="J173" s="244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ht="24" thickBot="1" x14ac:dyDescent="0.5">
      <c r="A174" s="147"/>
      <c r="B174" s="370" t="s">
        <v>2254</v>
      </c>
      <c r="C174" s="371"/>
      <c r="D174" s="371"/>
      <c r="E174" s="371"/>
      <c r="F174" s="371"/>
      <c r="G174" s="371"/>
      <c r="H174" s="372"/>
      <c r="I174" s="211" t="s">
        <v>2255</v>
      </c>
      <c r="J174" s="212">
        <f>SUM(J152:J173)</f>
        <v>114750</v>
      </c>
      <c r="K174" s="153"/>
      <c r="V174" s="25">
        <f>SUM(V152:V173)</f>
        <v>18</v>
      </c>
      <c r="W174" s="25">
        <f>SUM(W152:W173)</f>
        <v>2</v>
      </c>
    </row>
    <row r="175" spans="1:23" ht="30" customHeight="1" thickBot="1" x14ac:dyDescent="0.35">
      <c r="A175" s="213"/>
      <c r="B175" s="172"/>
      <c r="C175" s="172"/>
      <c r="D175" s="172"/>
      <c r="E175" s="172"/>
      <c r="F175" s="172"/>
      <c r="G175" s="172"/>
      <c r="H175" s="235"/>
      <c r="I175" s="172"/>
      <c r="J175" s="235"/>
      <c r="K175" s="214"/>
    </row>
    <row r="176" spans="1:23" ht="15" thickBot="1" x14ac:dyDescent="0.35"/>
    <row r="177" spans="1:23" ht="30" customHeight="1" thickBot="1" x14ac:dyDescent="0.35">
      <c r="A177" s="198"/>
      <c r="B177" s="143"/>
      <c r="C177" s="143"/>
      <c r="D177" s="143"/>
      <c r="E177" s="143"/>
      <c r="F177" s="143"/>
      <c r="G177" s="143"/>
      <c r="H177" s="232"/>
      <c r="I177" s="143"/>
      <c r="J177" s="232"/>
      <c r="K177" s="199"/>
    </row>
    <row r="178" spans="1:23" ht="25.2" thickBot="1" x14ac:dyDescent="0.35">
      <c r="A178" s="147" t="s">
        <v>0</v>
      </c>
      <c r="B178" s="361" t="s">
        <v>2244</v>
      </c>
      <c r="C178" s="362"/>
      <c r="D178" s="362"/>
      <c r="E178" s="362"/>
      <c r="F178" s="362"/>
      <c r="G178" s="362"/>
      <c r="H178" s="362"/>
      <c r="I178" s="362"/>
      <c r="J178" s="363"/>
      <c r="K178" s="153"/>
    </row>
    <row r="179" spans="1:23" ht="16.2" thickBot="1" x14ac:dyDescent="0.35">
      <c r="A179" s="147"/>
      <c r="B179" s="364" t="s">
        <v>3050</v>
      </c>
      <c r="C179" s="365"/>
      <c r="D179" s="365"/>
      <c r="E179" s="365"/>
      <c r="F179" s="365"/>
      <c r="G179" s="365"/>
      <c r="H179" s="365"/>
      <c r="I179" s="365"/>
      <c r="J179" s="366"/>
      <c r="K179" s="153"/>
    </row>
    <row r="180" spans="1:23" ht="16.2" thickBot="1" x14ac:dyDescent="0.35">
      <c r="A180" s="147"/>
      <c r="B180" s="367" t="s">
        <v>1152</v>
      </c>
      <c r="C180" s="368"/>
      <c r="D180" s="368"/>
      <c r="E180" s="368"/>
      <c r="F180" s="368"/>
      <c r="G180" s="368"/>
      <c r="H180" s="368"/>
      <c r="I180" s="368"/>
      <c r="J180" s="369"/>
      <c r="K180" s="153"/>
    </row>
    <row r="181" spans="1:23" ht="15" thickBot="1" x14ac:dyDescent="0.35">
      <c r="A181" s="175"/>
      <c r="B181" s="178" t="s">
        <v>2248</v>
      </c>
      <c r="C181" s="179" t="s">
        <v>1</v>
      </c>
      <c r="D181" s="180" t="s">
        <v>5</v>
      </c>
      <c r="E181" s="180" t="s">
        <v>6</v>
      </c>
      <c r="F181" s="181" t="s">
        <v>2249</v>
      </c>
      <c r="G181" s="181" t="s">
        <v>2250</v>
      </c>
      <c r="H181" s="239" t="s">
        <v>2251</v>
      </c>
      <c r="I181" s="181" t="s">
        <v>2257</v>
      </c>
      <c r="J181" s="245" t="s">
        <v>4</v>
      </c>
      <c r="K181" s="176"/>
      <c r="L181" s="215"/>
      <c r="V181" s="201" t="s">
        <v>454</v>
      </c>
      <c r="W181" s="201" t="s">
        <v>455</v>
      </c>
    </row>
    <row r="182" spans="1:23" x14ac:dyDescent="0.3">
      <c r="A182" s="147"/>
      <c r="B182" s="217">
        <v>1</v>
      </c>
      <c r="C182" s="218">
        <v>44046</v>
      </c>
      <c r="D182" s="185" t="s">
        <v>9</v>
      </c>
      <c r="E182" s="185" t="s">
        <v>2049</v>
      </c>
      <c r="F182" s="219">
        <v>320</v>
      </c>
      <c r="G182" s="219">
        <v>360</v>
      </c>
      <c r="H182" s="185">
        <v>40</v>
      </c>
      <c r="I182" s="219">
        <v>100</v>
      </c>
      <c r="J182" s="246">
        <f t="shared" ref="J182:J203" si="31">I182*H182</f>
        <v>4000</v>
      </c>
      <c r="K182" s="153"/>
      <c r="V182" s="25">
        <f>IF($J182&gt;0,1,0)</f>
        <v>1</v>
      </c>
      <c r="W182" s="25">
        <f>IF($J182&lt;0,1,0)</f>
        <v>0</v>
      </c>
    </row>
    <row r="183" spans="1:23" x14ac:dyDescent="0.3">
      <c r="A183" s="147"/>
      <c r="B183" s="205">
        <f>B182+1</f>
        <v>2</v>
      </c>
      <c r="C183" s="218">
        <v>44047</v>
      </c>
      <c r="D183" s="185" t="s">
        <v>9</v>
      </c>
      <c r="E183" s="185" t="s">
        <v>3024</v>
      </c>
      <c r="F183" s="219">
        <v>280</v>
      </c>
      <c r="G183" s="219">
        <v>380</v>
      </c>
      <c r="H183" s="185">
        <v>100</v>
      </c>
      <c r="I183" s="219">
        <v>100</v>
      </c>
      <c r="J183" s="242">
        <f t="shared" si="31"/>
        <v>10000</v>
      </c>
      <c r="K183" s="153"/>
      <c r="V183" s="25">
        <f t="shared" ref="V183:V203" si="32">IF($J183&gt;0,1,0)</f>
        <v>1</v>
      </c>
      <c r="W183" s="25">
        <f t="shared" ref="W183:W203" si="33">IF($J183&lt;0,1,0)</f>
        <v>0</v>
      </c>
    </row>
    <row r="184" spans="1:23" x14ac:dyDescent="0.3">
      <c r="A184" s="147"/>
      <c r="B184" s="205">
        <f t="shared" ref="B184:B203" si="34">B183+1</f>
        <v>3</v>
      </c>
      <c r="C184" s="206">
        <v>44048</v>
      </c>
      <c r="D184" s="161" t="s">
        <v>9</v>
      </c>
      <c r="E184" s="161" t="s">
        <v>2975</v>
      </c>
      <c r="F184" s="207">
        <v>220</v>
      </c>
      <c r="G184" s="207">
        <v>150</v>
      </c>
      <c r="H184" s="161">
        <v>-70</v>
      </c>
      <c r="I184" s="207">
        <v>100</v>
      </c>
      <c r="J184" s="242">
        <f t="shared" si="31"/>
        <v>-7000</v>
      </c>
      <c r="K184" s="153"/>
      <c r="V184" s="25">
        <f t="shared" si="32"/>
        <v>0</v>
      </c>
      <c r="W184" s="25">
        <f t="shared" si="33"/>
        <v>1</v>
      </c>
    </row>
    <row r="185" spans="1:23" x14ac:dyDescent="0.3">
      <c r="A185" s="147"/>
      <c r="B185" s="205">
        <f t="shared" si="34"/>
        <v>4</v>
      </c>
      <c r="C185" s="206">
        <v>44049</v>
      </c>
      <c r="D185" s="161" t="s">
        <v>9</v>
      </c>
      <c r="E185" s="161" t="s">
        <v>2086</v>
      </c>
      <c r="F185" s="207">
        <v>200</v>
      </c>
      <c r="G185" s="207">
        <v>100</v>
      </c>
      <c r="H185" s="161">
        <v>-100</v>
      </c>
      <c r="I185" s="207">
        <v>100</v>
      </c>
      <c r="J185" s="242">
        <f t="shared" si="31"/>
        <v>-10000</v>
      </c>
      <c r="K185" s="153"/>
      <c r="V185" s="25">
        <f t="shared" si="32"/>
        <v>0</v>
      </c>
      <c r="W185" s="25">
        <f t="shared" si="33"/>
        <v>1</v>
      </c>
    </row>
    <row r="186" spans="1:23" x14ac:dyDescent="0.3">
      <c r="A186" s="147"/>
      <c r="B186" s="205">
        <f t="shared" si="34"/>
        <v>5</v>
      </c>
      <c r="C186" s="206">
        <v>44050</v>
      </c>
      <c r="D186" s="161" t="s">
        <v>9</v>
      </c>
      <c r="E186" s="161" t="s">
        <v>2086</v>
      </c>
      <c r="F186" s="207">
        <v>370</v>
      </c>
      <c r="G186" s="207">
        <v>460</v>
      </c>
      <c r="H186" s="161">
        <v>90</v>
      </c>
      <c r="I186" s="207">
        <v>100</v>
      </c>
      <c r="J186" s="242">
        <f t="shared" si="31"/>
        <v>9000</v>
      </c>
      <c r="K186" s="153"/>
      <c r="O186" s="25" t="s">
        <v>2008</v>
      </c>
      <c r="V186" s="25">
        <f t="shared" si="32"/>
        <v>1</v>
      </c>
      <c r="W186" s="25">
        <f t="shared" si="33"/>
        <v>0</v>
      </c>
    </row>
    <row r="187" spans="1:23" x14ac:dyDescent="0.3">
      <c r="A187" s="147"/>
      <c r="B187" s="205">
        <f t="shared" si="34"/>
        <v>6</v>
      </c>
      <c r="C187" s="206">
        <v>44053</v>
      </c>
      <c r="D187" s="161" t="s">
        <v>9</v>
      </c>
      <c r="E187" s="161" t="s">
        <v>3060</v>
      </c>
      <c r="F187" s="207">
        <v>320</v>
      </c>
      <c r="G187" s="207">
        <v>220</v>
      </c>
      <c r="H187" s="161">
        <v>-100</v>
      </c>
      <c r="I187" s="207">
        <v>100</v>
      </c>
      <c r="J187" s="242">
        <f t="shared" si="31"/>
        <v>-10000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7</v>
      </c>
      <c r="C188" s="206">
        <v>44054</v>
      </c>
      <c r="D188" s="161" t="s">
        <v>9</v>
      </c>
      <c r="E188" s="161" t="s">
        <v>3029</v>
      </c>
      <c r="F188" s="207">
        <v>200</v>
      </c>
      <c r="G188" s="207">
        <v>286</v>
      </c>
      <c r="H188" s="161">
        <v>86</v>
      </c>
      <c r="I188" s="207">
        <v>100</v>
      </c>
      <c r="J188" s="242">
        <f t="shared" si="31"/>
        <v>8600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8</v>
      </c>
      <c r="C189" s="206">
        <v>44055</v>
      </c>
      <c r="D189" s="161" t="s">
        <v>9</v>
      </c>
      <c r="E189" s="161" t="s">
        <v>3029</v>
      </c>
      <c r="F189" s="207">
        <v>170</v>
      </c>
      <c r="G189" s="207">
        <v>270</v>
      </c>
      <c r="H189" s="161">
        <v>100</v>
      </c>
      <c r="I189" s="207">
        <v>100</v>
      </c>
      <c r="J189" s="242">
        <f t="shared" si="31"/>
        <v>10000</v>
      </c>
      <c r="K189" s="153"/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9</v>
      </c>
      <c r="C190" s="206">
        <v>44056</v>
      </c>
      <c r="D190" s="161" t="s">
        <v>9</v>
      </c>
      <c r="E190" s="161" t="s">
        <v>3043</v>
      </c>
      <c r="F190" s="207">
        <v>150</v>
      </c>
      <c r="G190" s="207">
        <v>180</v>
      </c>
      <c r="H190" s="161">
        <v>30</v>
      </c>
      <c r="I190" s="207">
        <v>100</v>
      </c>
      <c r="J190" s="242">
        <f t="shared" si="31"/>
        <v>3000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10</v>
      </c>
      <c r="C191" s="206">
        <v>44057</v>
      </c>
      <c r="D191" s="161" t="s">
        <v>9</v>
      </c>
      <c r="E191" s="161" t="s">
        <v>3029</v>
      </c>
      <c r="F191" s="207">
        <v>300</v>
      </c>
      <c r="G191" s="207">
        <v>322</v>
      </c>
      <c r="H191" s="161">
        <v>22</v>
      </c>
      <c r="I191" s="207">
        <v>100</v>
      </c>
      <c r="J191" s="242">
        <f t="shared" si="31"/>
        <v>2200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11</v>
      </c>
      <c r="C192" s="206">
        <v>44060</v>
      </c>
      <c r="D192" s="161" t="s">
        <v>9</v>
      </c>
      <c r="E192" s="161" t="s">
        <v>2095</v>
      </c>
      <c r="F192" s="207">
        <v>290</v>
      </c>
      <c r="G192" s="207">
        <v>390</v>
      </c>
      <c r="H192" s="161">
        <v>100</v>
      </c>
      <c r="I192" s="207">
        <v>100</v>
      </c>
      <c r="J192" s="242">
        <f t="shared" si="31"/>
        <v>10000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12</v>
      </c>
      <c r="C193" s="206">
        <v>44061</v>
      </c>
      <c r="D193" s="161" t="s">
        <v>9</v>
      </c>
      <c r="E193" s="161" t="s">
        <v>3038</v>
      </c>
      <c r="F193" s="207">
        <v>230</v>
      </c>
      <c r="G193" s="207">
        <v>430</v>
      </c>
      <c r="H193" s="161">
        <v>200</v>
      </c>
      <c r="I193" s="207">
        <v>100</v>
      </c>
      <c r="J193" s="242">
        <f t="shared" si="31"/>
        <v>20000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13</v>
      </c>
      <c r="C194" s="206">
        <v>44062</v>
      </c>
      <c r="D194" s="161" t="s">
        <v>9</v>
      </c>
      <c r="E194" s="161" t="s">
        <v>2136</v>
      </c>
      <c r="F194" s="207">
        <v>180</v>
      </c>
      <c r="G194" s="207">
        <v>120</v>
      </c>
      <c r="H194" s="161">
        <v>-60</v>
      </c>
      <c r="I194" s="207">
        <v>100</v>
      </c>
      <c r="J194" s="242">
        <f t="shared" si="31"/>
        <v>-6000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14</v>
      </c>
      <c r="C195" s="206">
        <v>44063</v>
      </c>
      <c r="D195" s="161" t="s">
        <v>9</v>
      </c>
      <c r="E195" s="161" t="s">
        <v>3060</v>
      </c>
      <c r="F195" s="207">
        <v>100</v>
      </c>
      <c r="G195" s="207">
        <v>130</v>
      </c>
      <c r="H195" s="161">
        <v>30</v>
      </c>
      <c r="I195" s="207">
        <v>100</v>
      </c>
      <c r="J195" s="242">
        <f t="shared" si="31"/>
        <v>3000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15</v>
      </c>
      <c r="C196" s="206">
        <v>44064</v>
      </c>
      <c r="D196" s="161" t="s">
        <v>9</v>
      </c>
      <c r="E196" s="161" t="s">
        <v>3043</v>
      </c>
      <c r="F196" s="207">
        <v>280</v>
      </c>
      <c r="G196" s="207">
        <v>280</v>
      </c>
      <c r="H196" s="161">
        <v>0</v>
      </c>
      <c r="I196" s="207">
        <v>100</v>
      </c>
      <c r="J196" s="242">
        <f t="shared" si="31"/>
        <v>0</v>
      </c>
      <c r="K196" s="153"/>
      <c r="V196" s="25">
        <f t="shared" si="32"/>
        <v>0</v>
      </c>
      <c r="W196" s="25">
        <f t="shared" si="33"/>
        <v>0</v>
      </c>
    </row>
    <row r="197" spans="1:23" x14ac:dyDescent="0.3">
      <c r="A197" s="147"/>
      <c r="B197" s="205">
        <f t="shared" si="34"/>
        <v>16</v>
      </c>
      <c r="C197" s="206">
        <v>44067</v>
      </c>
      <c r="D197" s="161" t="s">
        <v>9</v>
      </c>
      <c r="E197" s="161" t="s">
        <v>2137</v>
      </c>
      <c r="F197" s="207">
        <v>240</v>
      </c>
      <c r="G197" s="207">
        <v>440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17</v>
      </c>
      <c r="C198" s="206">
        <v>44068</v>
      </c>
      <c r="D198" s="161" t="s">
        <v>9</v>
      </c>
      <c r="E198" s="161" t="s">
        <v>2141</v>
      </c>
      <c r="F198" s="207">
        <v>250</v>
      </c>
      <c r="G198" s="207">
        <v>350</v>
      </c>
      <c r="H198" s="161">
        <v>100</v>
      </c>
      <c r="I198" s="207">
        <v>100</v>
      </c>
      <c r="J198" s="242">
        <f t="shared" si="31"/>
        <v>10000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18</v>
      </c>
      <c r="C199" s="206">
        <v>44069</v>
      </c>
      <c r="D199" s="161" t="s">
        <v>9</v>
      </c>
      <c r="E199" s="161" t="s">
        <v>3069</v>
      </c>
      <c r="F199" s="207">
        <v>210</v>
      </c>
      <c r="G199" s="207">
        <v>308</v>
      </c>
      <c r="H199" s="161">
        <v>98</v>
      </c>
      <c r="I199" s="207">
        <v>100</v>
      </c>
      <c r="J199" s="242">
        <f t="shared" si="31"/>
        <v>9800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19</v>
      </c>
      <c r="C200" s="206">
        <v>44070</v>
      </c>
      <c r="D200" s="161" t="s">
        <v>9</v>
      </c>
      <c r="E200" s="161" t="s">
        <v>2207</v>
      </c>
      <c r="F200" s="207">
        <v>90</v>
      </c>
      <c r="G200" s="207">
        <v>115</v>
      </c>
      <c r="H200" s="161">
        <v>25</v>
      </c>
      <c r="I200" s="207">
        <v>100</v>
      </c>
      <c r="J200" s="242">
        <f t="shared" si="31"/>
        <v>2500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20</v>
      </c>
      <c r="C201" s="206">
        <v>44071</v>
      </c>
      <c r="D201" s="161" t="s">
        <v>9</v>
      </c>
      <c r="E201" s="161" t="s">
        <v>3072</v>
      </c>
      <c r="F201" s="207">
        <v>310</v>
      </c>
      <c r="G201" s="207">
        <v>510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21</v>
      </c>
      <c r="C202" s="206">
        <v>44071</v>
      </c>
      <c r="D202" s="161" t="s">
        <v>9</v>
      </c>
      <c r="E202" s="161" t="s">
        <v>3073</v>
      </c>
      <c r="F202" s="207">
        <v>300</v>
      </c>
      <c r="G202" s="207">
        <v>500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ht="15" thickBot="1" x14ac:dyDescent="0.35">
      <c r="A203" s="147"/>
      <c r="B203" s="208">
        <f t="shared" si="34"/>
        <v>22</v>
      </c>
      <c r="C203" s="209">
        <v>44074</v>
      </c>
      <c r="D203" s="166" t="s">
        <v>9</v>
      </c>
      <c r="E203" s="166" t="s">
        <v>2358</v>
      </c>
      <c r="F203" s="210">
        <v>440</v>
      </c>
      <c r="G203" s="210">
        <v>300</v>
      </c>
      <c r="H203" s="166">
        <v>-100</v>
      </c>
      <c r="I203" s="210">
        <v>100</v>
      </c>
      <c r="J203" s="244">
        <f t="shared" si="31"/>
        <v>-10000</v>
      </c>
      <c r="K203" s="153"/>
      <c r="V203" s="25">
        <f t="shared" si="32"/>
        <v>0</v>
      </c>
      <c r="W203" s="25">
        <f t="shared" si="33"/>
        <v>1</v>
      </c>
    </row>
    <row r="204" spans="1:23" ht="24" thickBot="1" x14ac:dyDescent="0.5">
      <c r="A204" s="147"/>
      <c r="B204" s="370" t="s">
        <v>2254</v>
      </c>
      <c r="C204" s="371"/>
      <c r="D204" s="371"/>
      <c r="E204" s="371"/>
      <c r="F204" s="371"/>
      <c r="G204" s="371"/>
      <c r="H204" s="372"/>
      <c r="I204" s="211" t="s">
        <v>2255</v>
      </c>
      <c r="J204" s="212">
        <f>SUM(J182:J203)</f>
        <v>119100</v>
      </c>
      <c r="K204" s="153"/>
      <c r="V204" s="25">
        <f>SUM(V182:V203)</f>
        <v>16</v>
      </c>
      <c r="W204" s="25">
        <f>SUM(W182:W203)</f>
        <v>5</v>
      </c>
    </row>
    <row r="205" spans="1:23" ht="30" customHeight="1" thickBot="1" x14ac:dyDescent="0.35">
      <c r="A205" s="213"/>
      <c r="B205" s="172"/>
      <c r="C205" s="172"/>
      <c r="D205" s="172"/>
      <c r="E205" s="172"/>
      <c r="F205" s="172"/>
      <c r="G205" s="172"/>
      <c r="H205" s="235"/>
      <c r="I205" s="172"/>
      <c r="J205" s="235"/>
      <c r="K205" s="214"/>
    </row>
    <row r="206" spans="1:23" ht="15" thickBot="1" x14ac:dyDescent="0.35"/>
    <row r="207" spans="1:23" ht="30" customHeight="1" thickBot="1" x14ac:dyDescent="0.35">
      <c r="A207" s="198"/>
      <c r="B207" s="143"/>
      <c r="C207" s="143"/>
      <c r="D207" s="143"/>
      <c r="E207" s="143"/>
      <c r="F207" s="143"/>
      <c r="G207" s="143"/>
      <c r="H207" s="232"/>
      <c r="I207" s="143"/>
      <c r="J207" s="232"/>
      <c r="K207" s="199"/>
    </row>
    <row r="208" spans="1:23" ht="25.2" thickBot="1" x14ac:dyDescent="0.35">
      <c r="A208" s="147" t="s">
        <v>0</v>
      </c>
      <c r="B208" s="361" t="s">
        <v>2244</v>
      </c>
      <c r="C208" s="362"/>
      <c r="D208" s="362"/>
      <c r="E208" s="362"/>
      <c r="F208" s="362"/>
      <c r="G208" s="362"/>
      <c r="H208" s="362"/>
      <c r="I208" s="362"/>
      <c r="J208" s="363"/>
      <c r="K208" s="153"/>
    </row>
    <row r="209" spans="1:23" ht="16.2" thickBot="1" x14ac:dyDescent="0.35">
      <c r="A209" s="147"/>
      <c r="B209" s="364" t="s">
        <v>3050</v>
      </c>
      <c r="C209" s="365"/>
      <c r="D209" s="365"/>
      <c r="E209" s="365"/>
      <c r="F209" s="365"/>
      <c r="G209" s="365"/>
      <c r="H209" s="365"/>
      <c r="I209" s="365"/>
      <c r="J209" s="366"/>
      <c r="K209" s="153"/>
    </row>
    <row r="210" spans="1:23" ht="16.2" thickBot="1" x14ac:dyDescent="0.35">
      <c r="A210" s="147"/>
      <c r="B210" s="367" t="s">
        <v>1076</v>
      </c>
      <c r="C210" s="368"/>
      <c r="D210" s="368"/>
      <c r="E210" s="368"/>
      <c r="F210" s="368"/>
      <c r="G210" s="368"/>
      <c r="H210" s="368"/>
      <c r="I210" s="368"/>
      <c r="J210" s="369"/>
      <c r="K210" s="153"/>
    </row>
    <row r="211" spans="1:23" ht="15" thickBot="1" x14ac:dyDescent="0.35">
      <c r="A211" s="175"/>
      <c r="B211" s="178" t="s">
        <v>2248</v>
      </c>
      <c r="C211" s="179" t="s">
        <v>1</v>
      </c>
      <c r="D211" s="180" t="s">
        <v>5</v>
      </c>
      <c r="E211" s="180" t="s">
        <v>6</v>
      </c>
      <c r="F211" s="181" t="s">
        <v>2249</v>
      </c>
      <c r="G211" s="181" t="s">
        <v>2250</v>
      </c>
      <c r="H211" s="239" t="s">
        <v>2251</v>
      </c>
      <c r="I211" s="181" t="s">
        <v>2257</v>
      </c>
      <c r="J211" s="245" t="s">
        <v>4</v>
      </c>
      <c r="K211" s="176"/>
      <c r="L211" s="215"/>
      <c r="V211" s="201" t="s">
        <v>454</v>
      </c>
      <c r="W211" s="201" t="s">
        <v>455</v>
      </c>
    </row>
    <row r="212" spans="1:23" x14ac:dyDescent="0.3">
      <c r="A212" s="147"/>
      <c r="B212" s="217">
        <v>1</v>
      </c>
      <c r="C212" s="218">
        <v>44046</v>
      </c>
      <c r="D212" s="185" t="s">
        <v>9</v>
      </c>
      <c r="E212" s="185" t="s">
        <v>3054</v>
      </c>
      <c r="F212" s="231">
        <v>85</v>
      </c>
      <c r="G212" s="231">
        <v>99</v>
      </c>
      <c r="H212" s="231">
        <v>14</v>
      </c>
      <c r="I212" s="219">
        <v>505</v>
      </c>
      <c r="J212" s="246">
        <f t="shared" ref="J212:J234" si="35">I212*H212</f>
        <v>7070</v>
      </c>
      <c r="K212" s="153"/>
      <c r="V212" s="25">
        <f>IF($J212&gt;0,1,0)</f>
        <v>1</v>
      </c>
      <c r="W212" s="25">
        <f>IF($J212&lt;0,1,0)</f>
        <v>0</v>
      </c>
    </row>
    <row r="213" spans="1:23" x14ac:dyDescent="0.3">
      <c r="A213" s="147"/>
      <c r="B213" s="205">
        <f>B212+1</f>
        <v>2</v>
      </c>
      <c r="C213" s="218">
        <v>44047</v>
      </c>
      <c r="D213" s="185" t="s">
        <v>9</v>
      </c>
      <c r="E213" s="185" t="s">
        <v>3055</v>
      </c>
      <c r="F213" s="231">
        <v>90</v>
      </c>
      <c r="G213" s="231">
        <v>110</v>
      </c>
      <c r="H213" s="231">
        <v>20</v>
      </c>
      <c r="I213" s="219">
        <v>505</v>
      </c>
      <c r="J213" s="242">
        <f>I213*H213</f>
        <v>10100</v>
      </c>
      <c r="K213" s="153"/>
      <c r="V213" s="25">
        <f>IF($J213&gt;0,1,0)</f>
        <v>1</v>
      </c>
      <c r="W213" s="25">
        <f>IF($J213&lt;0,1,0)</f>
        <v>0</v>
      </c>
    </row>
    <row r="214" spans="1:23" x14ac:dyDescent="0.3">
      <c r="A214" s="147"/>
      <c r="B214" s="205">
        <f t="shared" ref="B214:B234" si="36">B213+1</f>
        <v>3</v>
      </c>
      <c r="C214" s="206">
        <v>44048</v>
      </c>
      <c r="D214" s="161" t="s">
        <v>9</v>
      </c>
      <c r="E214" s="161" t="s">
        <v>3056</v>
      </c>
      <c r="F214" s="222">
        <v>90</v>
      </c>
      <c r="G214" s="222">
        <v>110</v>
      </c>
      <c r="H214" s="222">
        <v>20</v>
      </c>
      <c r="I214" s="207">
        <v>505</v>
      </c>
      <c r="J214" s="242">
        <f t="shared" si="35"/>
        <v>10100</v>
      </c>
      <c r="K214" s="153"/>
      <c r="V214" s="25">
        <f t="shared" ref="V214:V234" si="37">IF($J214&gt;0,1,0)</f>
        <v>1</v>
      </c>
      <c r="W214" s="25">
        <f t="shared" ref="W214:W234" si="38">IF($J214&lt;0,1,0)</f>
        <v>0</v>
      </c>
    </row>
    <row r="215" spans="1:23" x14ac:dyDescent="0.3">
      <c r="A215" s="147"/>
      <c r="B215" s="205">
        <f t="shared" si="36"/>
        <v>4</v>
      </c>
      <c r="C215" s="206">
        <v>44049</v>
      </c>
      <c r="D215" s="161" t="s">
        <v>9</v>
      </c>
      <c r="E215" s="161" t="s">
        <v>3057</v>
      </c>
      <c r="F215" s="222">
        <v>98</v>
      </c>
      <c r="G215" s="222">
        <v>112</v>
      </c>
      <c r="H215" s="222">
        <v>14</v>
      </c>
      <c r="I215" s="207">
        <v>505</v>
      </c>
      <c r="J215" s="242">
        <f t="shared" si="35"/>
        <v>7070</v>
      </c>
      <c r="K215" s="153"/>
      <c r="V215" s="25">
        <f t="shared" si="37"/>
        <v>1</v>
      </c>
      <c r="W215" s="25">
        <f t="shared" si="38"/>
        <v>0</v>
      </c>
    </row>
    <row r="216" spans="1:23" x14ac:dyDescent="0.3">
      <c r="A216" s="147"/>
      <c r="B216" s="205">
        <f t="shared" si="36"/>
        <v>5</v>
      </c>
      <c r="C216" s="206">
        <v>44050</v>
      </c>
      <c r="D216" s="161" t="s">
        <v>9</v>
      </c>
      <c r="E216" s="161" t="s">
        <v>3058</v>
      </c>
      <c r="F216" s="222">
        <v>89</v>
      </c>
      <c r="G216" s="222">
        <v>95</v>
      </c>
      <c r="H216" s="222">
        <v>6</v>
      </c>
      <c r="I216" s="207">
        <v>505</v>
      </c>
      <c r="J216" s="242">
        <f t="shared" si="35"/>
        <v>3030</v>
      </c>
      <c r="K216" s="153"/>
      <c r="V216" s="25">
        <f t="shared" si="37"/>
        <v>1</v>
      </c>
      <c r="W216" s="25">
        <f t="shared" si="38"/>
        <v>0</v>
      </c>
    </row>
    <row r="217" spans="1:23" x14ac:dyDescent="0.3">
      <c r="A217" s="147"/>
      <c r="B217" s="205">
        <f t="shared" si="36"/>
        <v>6</v>
      </c>
      <c r="C217" s="206">
        <v>44053</v>
      </c>
      <c r="D217" s="161" t="s">
        <v>9</v>
      </c>
      <c r="E217" s="161" t="s">
        <v>3058</v>
      </c>
      <c r="F217" s="222">
        <v>89</v>
      </c>
      <c r="G217" s="222">
        <v>79</v>
      </c>
      <c r="H217" s="222">
        <v>-10</v>
      </c>
      <c r="I217" s="207">
        <v>505</v>
      </c>
      <c r="J217" s="242">
        <f t="shared" si="35"/>
        <v>-5050</v>
      </c>
      <c r="K217" s="153"/>
      <c r="V217" s="25">
        <f t="shared" si="37"/>
        <v>0</v>
      </c>
      <c r="W217" s="25">
        <f t="shared" si="38"/>
        <v>1</v>
      </c>
    </row>
    <row r="218" spans="1:23" x14ac:dyDescent="0.3">
      <c r="A218" s="147"/>
      <c r="B218" s="205">
        <f t="shared" si="36"/>
        <v>7</v>
      </c>
      <c r="C218" s="206">
        <v>44054</v>
      </c>
      <c r="D218" s="161" t="s">
        <v>9</v>
      </c>
      <c r="E218" s="161" t="s">
        <v>3061</v>
      </c>
      <c r="F218" s="222">
        <v>225</v>
      </c>
      <c r="G218" s="222">
        <v>200</v>
      </c>
      <c r="H218" s="222">
        <v>-25</v>
      </c>
      <c r="I218" s="207">
        <v>100</v>
      </c>
      <c r="J218" s="242">
        <f t="shared" si="35"/>
        <v>-2500</v>
      </c>
      <c r="K218" s="153"/>
      <c r="V218" s="25">
        <f t="shared" si="37"/>
        <v>0</v>
      </c>
      <c r="W218" s="25">
        <f t="shared" si="38"/>
        <v>1</v>
      </c>
    </row>
    <row r="219" spans="1:23" x14ac:dyDescent="0.3">
      <c r="A219" s="147"/>
      <c r="B219" s="205">
        <f t="shared" si="36"/>
        <v>8</v>
      </c>
      <c r="C219" s="206">
        <v>44055</v>
      </c>
      <c r="D219" s="161" t="s">
        <v>9</v>
      </c>
      <c r="E219" s="161" t="s">
        <v>3057</v>
      </c>
      <c r="F219" s="222">
        <v>88</v>
      </c>
      <c r="G219" s="222">
        <v>78</v>
      </c>
      <c r="H219" s="255">
        <v>-10</v>
      </c>
      <c r="I219" s="207">
        <v>505</v>
      </c>
      <c r="J219" s="242">
        <f t="shared" si="35"/>
        <v>-5050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9</v>
      </c>
      <c r="C220" s="206">
        <v>44056</v>
      </c>
      <c r="D220" s="161" t="s">
        <v>9</v>
      </c>
      <c r="E220" s="161" t="s">
        <v>3062</v>
      </c>
      <c r="F220" s="222">
        <v>125</v>
      </c>
      <c r="G220" s="222">
        <v>100</v>
      </c>
      <c r="H220" s="255">
        <v>-25</v>
      </c>
      <c r="I220" s="207">
        <v>250</v>
      </c>
      <c r="J220" s="242">
        <f t="shared" si="35"/>
        <v>-6250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10</v>
      </c>
      <c r="C221" s="206">
        <v>44057</v>
      </c>
      <c r="D221" s="161" t="s">
        <v>9</v>
      </c>
      <c r="E221" s="161" t="s">
        <v>1316</v>
      </c>
      <c r="F221" s="222">
        <v>14</v>
      </c>
      <c r="G221" s="222">
        <v>20</v>
      </c>
      <c r="H221" s="255">
        <v>6</v>
      </c>
      <c r="I221" s="207">
        <v>1200</v>
      </c>
      <c r="J221" s="242">
        <f t="shared" si="35"/>
        <v>7200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11</v>
      </c>
      <c r="C222" s="206">
        <v>44060</v>
      </c>
      <c r="D222" s="161" t="s">
        <v>9</v>
      </c>
      <c r="E222" s="161" t="s">
        <v>3046</v>
      </c>
      <c r="F222" s="222">
        <v>16</v>
      </c>
      <c r="G222" s="222">
        <v>17.3</v>
      </c>
      <c r="H222" s="255">
        <v>1.3</v>
      </c>
      <c r="I222" s="207">
        <v>1200</v>
      </c>
      <c r="J222" s="242">
        <f t="shared" si="35"/>
        <v>1560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12</v>
      </c>
      <c r="C223" s="206">
        <v>44061</v>
      </c>
      <c r="D223" s="161" t="s">
        <v>9</v>
      </c>
      <c r="E223" s="161" t="s">
        <v>3064</v>
      </c>
      <c r="F223" s="222">
        <v>16</v>
      </c>
      <c r="G223" s="222">
        <v>13</v>
      </c>
      <c r="H223" s="255">
        <v>-3</v>
      </c>
      <c r="I223" s="207">
        <v>1800</v>
      </c>
      <c r="J223" s="242">
        <f t="shared" si="35"/>
        <v>-5400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13</v>
      </c>
      <c r="C224" s="206">
        <v>44062</v>
      </c>
      <c r="D224" s="161" t="s">
        <v>9</v>
      </c>
      <c r="E224" s="161" t="s">
        <v>3065</v>
      </c>
      <c r="F224" s="222">
        <v>105</v>
      </c>
      <c r="G224" s="222">
        <v>85</v>
      </c>
      <c r="H224" s="255">
        <v>-20</v>
      </c>
      <c r="I224" s="207">
        <v>250</v>
      </c>
      <c r="J224" s="242">
        <f>I224*H224</f>
        <v>-5000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14</v>
      </c>
      <c r="C225" s="206">
        <v>44063</v>
      </c>
      <c r="D225" s="161" t="s">
        <v>9</v>
      </c>
      <c r="E225" s="161" t="s">
        <v>1967</v>
      </c>
      <c r="F225" s="222">
        <v>12.5</v>
      </c>
      <c r="G225" s="222">
        <v>9.5</v>
      </c>
      <c r="H225" s="255">
        <v>-3</v>
      </c>
      <c r="I225" s="207">
        <v>1200</v>
      </c>
      <c r="J225" s="242">
        <f t="shared" si="35"/>
        <v>-3600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15</v>
      </c>
      <c r="C226" s="206">
        <v>44064</v>
      </c>
      <c r="D226" s="161" t="s">
        <v>9</v>
      </c>
      <c r="E226" s="161" t="s">
        <v>3066</v>
      </c>
      <c r="F226" s="222">
        <v>44</v>
      </c>
      <c r="G226" s="222">
        <v>38</v>
      </c>
      <c r="H226" s="222">
        <v>-6</v>
      </c>
      <c r="I226" s="207">
        <v>505</v>
      </c>
      <c r="J226" s="242">
        <f t="shared" si="35"/>
        <v>-3030</v>
      </c>
      <c r="K226" s="153"/>
      <c r="V226" s="25">
        <f t="shared" si="37"/>
        <v>0</v>
      </c>
      <c r="W226" s="25">
        <f t="shared" si="38"/>
        <v>1</v>
      </c>
    </row>
    <row r="227" spans="1:23" x14ac:dyDescent="0.3">
      <c r="A227" s="147"/>
      <c r="B227" s="205">
        <f t="shared" si="36"/>
        <v>16</v>
      </c>
      <c r="C227" s="206">
        <v>44067</v>
      </c>
      <c r="D227" s="161" t="s">
        <v>9</v>
      </c>
      <c r="E227" s="161" t="s">
        <v>3067</v>
      </c>
      <c r="F227" s="222">
        <v>14</v>
      </c>
      <c r="G227" s="222">
        <v>22</v>
      </c>
      <c r="H227" s="222">
        <v>8</v>
      </c>
      <c r="I227" s="207">
        <v>550</v>
      </c>
      <c r="J227" s="242">
        <f t="shared" si="35"/>
        <v>4400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17</v>
      </c>
      <c r="C228" s="206">
        <v>44068</v>
      </c>
      <c r="D228" s="161" t="s">
        <v>9</v>
      </c>
      <c r="E228" s="161" t="s">
        <v>3068</v>
      </c>
      <c r="F228" s="222">
        <v>6.5</v>
      </c>
      <c r="G228" s="222">
        <v>7.3</v>
      </c>
      <c r="H228" s="222">
        <v>0.8</v>
      </c>
      <c r="I228" s="207">
        <v>1375</v>
      </c>
      <c r="J228" s="242">
        <f t="shared" si="35"/>
        <v>1100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18</v>
      </c>
      <c r="C229" s="206">
        <v>44069</v>
      </c>
      <c r="D229" s="161" t="s">
        <v>9</v>
      </c>
      <c r="E229" s="161" t="s">
        <v>3070</v>
      </c>
      <c r="F229" s="222">
        <v>7</v>
      </c>
      <c r="G229" s="222">
        <v>9</v>
      </c>
      <c r="H229" s="222">
        <v>2</v>
      </c>
      <c r="I229" s="207">
        <v>550</v>
      </c>
      <c r="J229" s="242">
        <f t="shared" si="35"/>
        <v>1100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19</v>
      </c>
      <c r="C230" s="206">
        <v>44070</v>
      </c>
      <c r="D230" s="161" t="s">
        <v>9</v>
      </c>
      <c r="E230" s="161" t="s">
        <v>3071</v>
      </c>
      <c r="F230" s="222">
        <v>5.5</v>
      </c>
      <c r="G230" s="222">
        <v>13</v>
      </c>
      <c r="H230" s="222">
        <v>7.5</v>
      </c>
      <c r="I230" s="207">
        <v>800</v>
      </c>
      <c r="J230" s="242">
        <f t="shared" si="35"/>
        <v>6000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20</v>
      </c>
      <c r="C231" s="206">
        <v>44071</v>
      </c>
      <c r="D231" s="161" t="s">
        <v>9</v>
      </c>
      <c r="E231" s="161" t="s">
        <v>3074</v>
      </c>
      <c r="F231" s="222">
        <v>7.5</v>
      </c>
      <c r="G231" s="222">
        <v>8.0500000000000007</v>
      </c>
      <c r="H231" s="222">
        <v>0.6</v>
      </c>
      <c r="I231" s="207">
        <v>5000</v>
      </c>
      <c r="J231" s="242">
        <f t="shared" si="35"/>
        <v>3000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21</v>
      </c>
      <c r="C232" s="206">
        <v>44071</v>
      </c>
      <c r="D232" s="161" t="s">
        <v>9</v>
      </c>
      <c r="E232" s="161" t="s">
        <v>3075</v>
      </c>
      <c r="F232" s="222">
        <v>145</v>
      </c>
      <c r="G232" s="222">
        <v>157</v>
      </c>
      <c r="H232" s="222">
        <v>12</v>
      </c>
      <c r="I232" s="207">
        <v>250</v>
      </c>
      <c r="J232" s="242">
        <f t="shared" si="35"/>
        <v>3000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22</v>
      </c>
      <c r="C233" s="206">
        <v>44074</v>
      </c>
      <c r="D233" s="161" t="s">
        <v>9</v>
      </c>
      <c r="E233" s="161" t="s">
        <v>2792</v>
      </c>
      <c r="F233" s="222">
        <v>16</v>
      </c>
      <c r="G233" s="222">
        <v>24</v>
      </c>
      <c r="H233" s="222">
        <v>8</v>
      </c>
      <c r="I233" s="207">
        <v>1375</v>
      </c>
      <c r="J233" s="242">
        <f t="shared" si="35"/>
        <v>11000</v>
      </c>
      <c r="K233" s="153"/>
      <c r="V233" s="25">
        <f t="shared" si="37"/>
        <v>1</v>
      </c>
      <c r="W233" s="25">
        <f t="shared" si="38"/>
        <v>0</v>
      </c>
    </row>
    <row r="234" spans="1:23" ht="15" thickBot="1" x14ac:dyDescent="0.35">
      <c r="A234" s="147"/>
      <c r="B234" s="208">
        <f t="shared" si="36"/>
        <v>23</v>
      </c>
      <c r="C234" s="209"/>
      <c r="D234" s="166"/>
      <c r="E234" s="166"/>
      <c r="F234" s="222"/>
      <c r="G234" s="222"/>
      <c r="H234" s="166"/>
      <c r="I234" s="210"/>
      <c r="J234" s="244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ht="24" thickBot="1" x14ac:dyDescent="0.5">
      <c r="A235" s="147"/>
      <c r="B235" s="370" t="s">
        <v>2254</v>
      </c>
      <c r="C235" s="371"/>
      <c r="D235" s="371"/>
      <c r="E235" s="371"/>
      <c r="F235" s="371"/>
      <c r="G235" s="371"/>
      <c r="H235" s="372"/>
      <c r="I235" s="211" t="s">
        <v>2255</v>
      </c>
      <c r="J235" s="212">
        <f>SUM(J212:J234)</f>
        <v>39850</v>
      </c>
      <c r="K235" s="153"/>
      <c r="V235" s="25">
        <f>SUM(V212:V234)</f>
        <v>14</v>
      </c>
      <c r="W235" s="25">
        <f>SUM(W212:W234)</f>
        <v>8</v>
      </c>
    </row>
    <row r="236" spans="1:23" ht="30" customHeight="1" thickBot="1" x14ac:dyDescent="0.35">
      <c r="A236" s="213"/>
      <c r="B236" s="172"/>
      <c r="C236" s="172"/>
      <c r="D236" s="172"/>
      <c r="E236" s="172"/>
      <c r="F236" s="172"/>
      <c r="G236" s="172"/>
      <c r="H236" s="235"/>
      <c r="I236" s="172"/>
      <c r="J236" s="235"/>
      <c r="K236" s="214"/>
    </row>
  </sheetData>
  <mergeCells count="84">
    <mergeCell ref="B209:J209"/>
    <mergeCell ref="B210:J210"/>
    <mergeCell ref="B235:H235"/>
    <mergeCell ref="B174:H174"/>
    <mergeCell ref="B178:J178"/>
    <mergeCell ref="B179:J179"/>
    <mergeCell ref="B180:J180"/>
    <mergeCell ref="B204:H204"/>
    <mergeCell ref="B208:J208"/>
    <mergeCell ref="B150:J150"/>
    <mergeCell ref="B84:H84"/>
    <mergeCell ref="B88:J88"/>
    <mergeCell ref="B89:J89"/>
    <mergeCell ref="B90:J90"/>
    <mergeCell ref="B114:H114"/>
    <mergeCell ref="B118:J118"/>
    <mergeCell ref="B119:J119"/>
    <mergeCell ref="B120:J120"/>
    <mergeCell ref="B144:H144"/>
    <mergeCell ref="B148:J148"/>
    <mergeCell ref="B149:J149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800-000000000000}"/>
    <hyperlink ref="B84" r:id="rId2" xr:uid="{00000000-0004-0000-5800-000001000000}"/>
    <hyperlink ref="B114" r:id="rId3" xr:uid="{00000000-0004-0000-5800-000002000000}"/>
    <hyperlink ref="B144" r:id="rId4" xr:uid="{00000000-0004-0000-5800-000003000000}"/>
    <hyperlink ref="B174" r:id="rId5" xr:uid="{00000000-0004-0000-5800-000004000000}"/>
    <hyperlink ref="B204" r:id="rId6" xr:uid="{00000000-0004-0000-5800-000005000000}"/>
    <hyperlink ref="B235" r:id="rId7" xr:uid="{00000000-0004-0000-5800-000006000000}"/>
    <hyperlink ref="M1" location="'MASTER '!A1" display="Back" xr:uid="{00000000-0004-0000-5800-000007000000}"/>
    <hyperlink ref="M6:M7" location="'AUGUST 2020'!A77" display="STOCK FUTURE" xr:uid="{00000000-0004-0000-5800-000008000000}"/>
    <hyperlink ref="M14:M15" location="'AUGUST 2020'!A201" display="B.NIFTY OPTION" xr:uid="{00000000-0004-0000-5800-000009000000}"/>
    <hyperlink ref="M12:M13" location="'AUGUST 2020'!A170" display="BANK NIFTY" xr:uid="{00000000-0004-0000-5800-00000A000000}"/>
    <hyperlink ref="M10:M11" location="'AUGUST 2020'!A139" display="NF. OPTION" xr:uid="{00000000-0004-0000-5800-00000B000000}"/>
    <hyperlink ref="M8:M9" location="'AUGUST 2020'!A108" display="NIFTY FUTURE" xr:uid="{00000000-0004-0000-5800-00000C000000}"/>
    <hyperlink ref="M4:M5" location="'AUGUST 2020'!A1" display="CASH" xr:uid="{00000000-0004-0000-5800-00000D000000}"/>
    <hyperlink ref="M16:M17" location="'AUGUST 2020'!A1" display="STOCK OPTION" xr:uid="{00000000-0004-0000-5800-00000E000000}"/>
  </hyperlinks>
  <pageMargins left="0" right="0" top="0" bottom="0" header="0" footer="0"/>
  <pageSetup scale="95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J2" sqref="J2"/>
    </sheetView>
  </sheetViews>
  <sheetFormatPr defaultColWidth="9.109375" defaultRowHeight="14.4" x14ac:dyDescent="0.3"/>
  <cols>
    <col min="1" max="1" width="9.109375" style="12"/>
    <col min="2" max="2" width="13" style="10" customWidth="1"/>
    <col min="3" max="3" width="15.44140625" style="10" customWidth="1"/>
    <col min="4" max="4" width="22" style="10" customWidth="1"/>
    <col min="5" max="5" width="16" style="10" customWidth="1"/>
    <col min="6" max="6" width="15.6640625" style="10" customWidth="1"/>
    <col min="7" max="7" width="16.44140625" style="10" customWidth="1"/>
    <col min="8" max="8" width="14.88671875" style="10" customWidth="1"/>
    <col min="9" max="9" width="9.109375" style="12"/>
    <col min="10" max="10" width="9.109375" style="10"/>
    <col min="11" max="11" width="12" style="10" customWidth="1"/>
    <col min="12" max="16384" width="9.109375" style="10"/>
  </cols>
  <sheetData>
    <row r="1" spans="1:11" ht="15" thickBot="1" x14ac:dyDescent="0.35">
      <c r="A1" s="9"/>
      <c r="B1" s="281"/>
      <c r="C1" s="281"/>
      <c r="D1" s="281"/>
      <c r="E1" s="281"/>
      <c r="F1" s="281"/>
      <c r="G1" s="281"/>
      <c r="H1" s="281"/>
      <c r="I1" s="9"/>
    </row>
    <row r="2" spans="1:11" ht="26.4" thickBot="1" x14ac:dyDescent="0.35">
      <c r="A2" s="9" t="s">
        <v>0</v>
      </c>
      <c r="B2" s="282" t="s">
        <v>241</v>
      </c>
      <c r="C2" s="282"/>
      <c r="D2" s="282"/>
      <c r="E2" s="282"/>
      <c r="F2" s="282"/>
      <c r="G2" s="282"/>
      <c r="H2" s="282"/>
      <c r="I2" s="9"/>
      <c r="J2" s="200" t="s">
        <v>2286</v>
      </c>
    </row>
    <row r="3" spans="1:11" ht="15.6" x14ac:dyDescent="0.3">
      <c r="A3" s="11"/>
      <c r="B3" s="284" t="s">
        <v>181</v>
      </c>
      <c r="C3" s="284"/>
      <c r="D3" s="284"/>
      <c r="E3" s="284"/>
      <c r="F3" s="284"/>
      <c r="G3" s="284"/>
      <c r="H3" s="284"/>
      <c r="I3" s="11"/>
    </row>
    <row r="4" spans="1:11" ht="15.6" x14ac:dyDescent="0.3">
      <c r="B4" s="48" t="s">
        <v>33</v>
      </c>
      <c r="C4" s="48"/>
      <c r="D4" s="48"/>
      <c r="E4" s="48"/>
      <c r="F4" s="48"/>
      <c r="G4" s="48"/>
      <c r="H4" s="48"/>
    </row>
    <row r="5" spans="1:11" x14ac:dyDescent="0.3">
      <c r="B5" s="13" t="s">
        <v>1</v>
      </c>
      <c r="C5" s="14" t="s">
        <v>5</v>
      </c>
      <c r="D5" s="14" t="s">
        <v>6</v>
      </c>
      <c r="E5" s="15" t="s">
        <v>2</v>
      </c>
      <c r="F5" s="15" t="s">
        <v>7</v>
      </c>
      <c r="G5" s="15" t="s">
        <v>32</v>
      </c>
      <c r="H5" s="15" t="s">
        <v>4</v>
      </c>
      <c r="K5" s="16"/>
    </row>
    <row r="6" spans="1:11" x14ac:dyDescent="0.3">
      <c r="B6" s="43">
        <v>41610</v>
      </c>
      <c r="C6" s="3" t="s">
        <v>61</v>
      </c>
      <c r="D6" s="2" t="s">
        <v>28</v>
      </c>
      <c r="E6" s="5">
        <v>561</v>
      </c>
      <c r="F6" s="5">
        <v>553</v>
      </c>
      <c r="G6" s="5">
        <v>534.75935828877004</v>
      </c>
      <c r="H6" s="4">
        <v>-4278.0748663101604</v>
      </c>
      <c r="K6" s="16"/>
    </row>
    <row r="7" spans="1:11" x14ac:dyDescent="0.3">
      <c r="B7" s="43">
        <v>41611</v>
      </c>
      <c r="C7" s="3" t="s">
        <v>8</v>
      </c>
      <c r="D7" s="2" t="s">
        <v>83</v>
      </c>
      <c r="E7" s="5">
        <v>765</v>
      </c>
      <c r="F7" s="5">
        <v>758</v>
      </c>
      <c r="G7" s="5">
        <v>392.15686274509807</v>
      </c>
      <c r="H7" s="4">
        <v>2745.0980392156866</v>
      </c>
      <c r="K7" s="16"/>
    </row>
    <row r="8" spans="1:11" x14ac:dyDescent="0.3">
      <c r="B8" s="43">
        <v>41612</v>
      </c>
      <c r="C8" s="3" t="s">
        <v>8</v>
      </c>
      <c r="D8" s="2" t="s">
        <v>36</v>
      </c>
      <c r="E8" s="4">
        <v>1074.5</v>
      </c>
      <c r="F8" s="4">
        <v>1062.5</v>
      </c>
      <c r="G8" s="5">
        <v>279.19962773382969</v>
      </c>
      <c r="H8" s="4">
        <v>3350.3955328059565</v>
      </c>
      <c r="K8" s="16"/>
    </row>
    <row r="9" spans="1:11" x14ac:dyDescent="0.3">
      <c r="B9" s="43">
        <v>41613</v>
      </c>
      <c r="C9" s="3" t="s">
        <v>61</v>
      </c>
      <c r="D9" s="2" t="s">
        <v>37</v>
      </c>
      <c r="E9" s="4">
        <v>122.85</v>
      </c>
      <c r="F9" s="4">
        <v>123.9</v>
      </c>
      <c r="G9" s="5">
        <v>2442.002442002442</v>
      </c>
      <c r="H9" s="4">
        <v>1282.0512820512959</v>
      </c>
      <c r="K9" s="16"/>
    </row>
    <row r="10" spans="1:11" x14ac:dyDescent="0.3">
      <c r="B10" s="43">
        <v>41614</v>
      </c>
      <c r="C10" s="3" t="s">
        <v>61</v>
      </c>
      <c r="D10" s="2" t="s">
        <v>48</v>
      </c>
      <c r="E10" s="5">
        <v>668</v>
      </c>
      <c r="F10" s="5">
        <v>685</v>
      </c>
      <c r="G10" s="5">
        <v>449.10179640718565</v>
      </c>
      <c r="H10" s="4">
        <v>6893.7125748503095</v>
      </c>
      <c r="K10" s="16"/>
    </row>
    <row r="11" spans="1:11" x14ac:dyDescent="0.3">
      <c r="B11" s="43">
        <v>41617</v>
      </c>
      <c r="C11" s="3" t="s">
        <v>9</v>
      </c>
      <c r="D11" s="2" t="s">
        <v>48</v>
      </c>
      <c r="E11" s="5">
        <v>712</v>
      </c>
      <c r="F11" s="5">
        <v>700</v>
      </c>
      <c r="G11" s="5">
        <v>421.34831460674155</v>
      </c>
      <c r="H11" s="4">
        <v>-5056.1797752808989</v>
      </c>
      <c r="K11" s="16"/>
    </row>
    <row r="12" spans="1:11" x14ac:dyDescent="0.3">
      <c r="B12" s="43">
        <v>41618</v>
      </c>
      <c r="C12" s="3" t="s">
        <v>61</v>
      </c>
      <c r="D12" s="2" t="s">
        <v>25</v>
      </c>
      <c r="E12" s="4">
        <v>419.2</v>
      </c>
      <c r="F12" s="5">
        <v>423</v>
      </c>
      <c r="G12" s="5">
        <v>715.64885496183206</v>
      </c>
      <c r="H12" s="4">
        <v>1359.732824427485</v>
      </c>
      <c r="K12" s="16"/>
    </row>
    <row r="13" spans="1:11" x14ac:dyDescent="0.3">
      <c r="B13" s="43">
        <v>41619</v>
      </c>
      <c r="C13" s="3" t="s">
        <v>8</v>
      </c>
      <c r="D13" s="2" t="s">
        <v>85</v>
      </c>
      <c r="E13" s="4">
        <v>337</v>
      </c>
      <c r="F13" s="2">
        <v>331</v>
      </c>
      <c r="G13" s="5">
        <v>890.20771513353111</v>
      </c>
      <c r="H13" s="4">
        <v>4183.9762611275855</v>
      </c>
      <c r="K13" s="16"/>
    </row>
    <row r="14" spans="1:11" x14ac:dyDescent="0.3">
      <c r="B14" s="43">
        <v>41621</v>
      </c>
      <c r="C14" s="3" t="s">
        <v>8</v>
      </c>
      <c r="D14" s="2" t="s">
        <v>28</v>
      </c>
      <c r="E14" s="5">
        <v>578</v>
      </c>
      <c r="F14" s="2">
        <v>565</v>
      </c>
      <c r="G14" s="5">
        <v>519.03114186851212</v>
      </c>
      <c r="H14" s="4">
        <v>4580.4498269896139</v>
      </c>
      <c r="J14" s="43"/>
      <c r="K14" s="16"/>
    </row>
    <row r="15" spans="1:11" x14ac:dyDescent="0.3">
      <c r="B15" s="43">
        <v>41625</v>
      </c>
      <c r="C15" s="3" t="s">
        <v>9</v>
      </c>
      <c r="D15" s="2" t="s">
        <v>48</v>
      </c>
      <c r="E15" s="5">
        <v>663.5</v>
      </c>
      <c r="F15" s="2">
        <v>652</v>
      </c>
      <c r="G15" s="5">
        <v>452.14770158251696</v>
      </c>
      <c r="H15" s="4">
        <v>-5199.6985681989454</v>
      </c>
      <c r="K15" s="16"/>
    </row>
    <row r="16" spans="1:11" x14ac:dyDescent="0.3">
      <c r="B16" s="43">
        <v>41626</v>
      </c>
      <c r="C16" s="3" t="s">
        <v>9</v>
      </c>
      <c r="D16" s="2" t="s">
        <v>25</v>
      </c>
      <c r="E16" s="4">
        <v>413.5</v>
      </c>
      <c r="F16" s="2">
        <v>415</v>
      </c>
      <c r="G16" s="5">
        <v>725.51390568319221</v>
      </c>
      <c r="H16" s="4">
        <v>1088.2708585247883</v>
      </c>
      <c r="K16" s="16"/>
    </row>
    <row r="17" spans="2:11" x14ac:dyDescent="0.3">
      <c r="B17" s="43">
        <v>41627</v>
      </c>
      <c r="C17" s="3" t="s">
        <v>9</v>
      </c>
      <c r="D17" s="2" t="s">
        <v>184</v>
      </c>
      <c r="E17" s="4">
        <v>522.5</v>
      </c>
      <c r="F17" s="2">
        <v>533.4</v>
      </c>
      <c r="G17" s="5">
        <v>574.16267942583727</v>
      </c>
      <c r="H17" s="4">
        <v>4478.4688995215365</v>
      </c>
      <c r="K17" s="16"/>
    </row>
    <row r="18" spans="2:11" x14ac:dyDescent="0.3">
      <c r="B18" s="43">
        <v>41628</v>
      </c>
      <c r="C18" s="3" t="s">
        <v>8</v>
      </c>
      <c r="D18" s="2" t="s">
        <v>25</v>
      </c>
      <c r="E18" s="4">
        <v>411.7</v>
      </c>
      <c r="F18" s="2">
        <v>418.15</v>
      </c>
      <c r="G18" s="5">
        <v>728.68593636142828</v>
      </c>
      <c r="H18" s="4">
        <v>-3643.42</v>
      </c>
      <c r="K18" s="16"/>
    </row>
    <row r="19" spans="2:11" x14ac:dyDescent="0.3">
      <c r="B19" s="43">
        <v>41631</v>
      </c>
      <c r="C19" s="2" t="s">
        <v>9</v>
      </c>
      <c r="D19" s="2" t="s">
        <v>36</v>
      </c>
      <c r="E19" s="5">
        <v>1096</v>
      </c>
      <c r="F19" s="2">
        <v>1105.5</v>
      </c>
      <c r="G19" s="5">
        <v>273.72262773722628</v>
      </c>
      <c r="H19" s="4">
        <v>1300.1824817518248</v>
      </c>
      <c r="K19" s="16"/>
    </row>
    <row r="20" spans="2:11" x14ac:dyDescent="0.3">
      <c r="B20" s="43">
        <v>41632</v>
      </c>
      <c r="C20" s="3" t="s">
        <v>8</v>
      </c>
      <c r="D20" s="2" t="s">
        <v>48</v>
      </c>
      <c r="E20" s="2">
        <v>659.5</v>
      </c>
      <c r="F20" s="2">
        <v>645.29999999999995</v>
      </c>
      <c r="G20" s="5">
        <v>454.89006823351025</v>
      </c>
      <c r="H20" s="4">
        <v>5276.7247915087291</v>
      </c>
      <c r="K20" s="16"/>
    </row>
    <row r="21" spans="2:11" x14ac:dyDescent="0.3">
      <c r="B21" s="43">
        <v>41635</v>
      </c>
      <c r="C21" s="2" t="s">
        <v>8</v>
      </c>
      <c r="D21" s="2" t="s">
        <v>25</v>
      </c>
      <c r="E21" s="5">
        <v>417</v>
      </c>
      <c r="F21" s="2">
        <v>422</v>
      </c>
      <c r="G21" s="5">
        <v>719.42446043165467</v>
      </c>
      <c r="H21" s="4">
        <v>-3597.1223021582732</v>
      </c>
      <c r="K21" s="16"/>
    </row>
    <row r="22" spans="2:11" x14ac:dyDescent="0.3">
      <c r="B22" s="43">
        <v>41638</v>
      </c>
      <c r="C22" s="2" t="s">
        <v>8</v>
      </c>
      <c r="D22" s="2" t="s">
        <v>48</v>
      </c>
      <c r="E22" s="7">
        <v>652.65</v>
      </c>
      <c r="F22" s="2">
        <v>641.04999999999995</v>
      </c>
      <c r="G22" s="5">
        <v>459.66444495518272</v>
      </c>
      <c r="H22" s="4">
        <v>4286.3709492070739</v>
      </c>
      <c r="K22" s="16"/>
    </row>
    <row r="23" spans="2:11" x14ac:dyDescent="0.3">
      <c r="B23" s="1"/>
      <c r="C23" s="4"/>
      <c r="D23" s="7"/>
      <c r="E23" s="7"/>
      <c r="F23" s="7"/>
      <c r="G23" s="4"/>
      <c r="H23" s="29">
        <v>19050.939999999999</v>
      </c>
      <c r="K23" s="16"/>
    </row>
    <row r="24" spans="2:11" x14ac:dyDescent="0.3">
      <c r="B24" s="1"/>
      <c r="C24" s="28"/>
      <c r="D24" s="28"/>
      <c r="E24" s="28"/>
      <c r="F24" s="28"/>
      <c r="G24" s="28"/>
      <c r="H24" s="28"/>
      <c r="K24" s="16"/>
    </row>
    <row r="25" spans="2:11" x14ac:dyDescent="0.3">
      <c r="B25" s="39"/>
      <c r="G25" s="16"/>
      <c r="H25" s="29"/>
    </row>
    <row r="26" spans="2:11" ht="15.6" x14ac:dyDescent="0.3">
      <c r="B26" s="48" t="s">
        <v>62</v>
      </c>
      <c r="C26" s="48"/>
      <c r="D26" s="48"/>
      <c r="E26" s="48"/>
      <c r="F26" s="48"/>
      <c r="G26" s="48"/>
      <c r="H26" s="48"/>
    </row>
    <row r="27" spans="2:11" x14ac:dyDescent="0.3">
      <c r="B27" s="43">
        <v>41610</v>
      </c>
      <c r="C27" s="3" t="s">
        <v>61</v>
      </c>
      <c r="D27" s="2" t="s">
        <v>187</v>
      </c>
      <c r="E27" s="4">
        <v>135</v>
      </c>
      <c r="F27" s="5">
        <v>135.5</v>
      </c>
      <c r="G27" s="5">
        <v>4000</v>
      </c>
      <c r="H27" s="28">
        <v>2000</v>
      </c>
    </row>
    <row r="28" spans="2:11" x14ac:dyDescent="0.3">
      <c r="B28" s="43">
        <v>41611</v>
      </c>
      <c r="C28" s="3" t="s">
        <v>8</v>
      </c>
      <c r="D28" s="2" t="s">
        <v>19</v>
      </c>
      <c r="E28" s="4">
        <v>1833.5</v>
      </c>
      <c r="F28" s="4">
        <v>1818.55</v>
      </c>
      <c r="G28" s="5">
        <v>250</v>
      </c>
      <c r="H28" s="28">
        <v>1868.7500000000057</v>
      </c>
    </row>
    <row r="29" spans="2:11" x14ac:dyDescent="0.3">
      <c r="B29" s="43">
        <v>41612</v>
      </c>
      <c r="C29" s="3" t="s">
        <v>8</v>
      </c>
      <c r="D29" s="2" t="s">
        <v>192</v>
      </c>
      <c r="E29" s="5">
        <v>243.5</v>
      </c>
      <c r="F29" s="5">
        <v>248</v>
      </c>
      <c r="G29" s="5">
        <v>1000</v>
      </c>
      <c r="H29" s="28">
        <v>-4500</v>
      </c>
    </row>
    <row r="30" spans="2:11" x14ac:dyDescent="0.3">
      <c r="B30" s="43">
        <v>41613</v>
      </c>
      <c r="C30" s="3" t="s">
        <v>61</v>
      </c>
      <c r="D30" s="2" t="s">
        <v>78</v>
      </c>
      <c r="E30" s="5">
        <v>1045</v>
      </c>
      <c r="F30" s="5">
        <v>1056</v>
      </c>
      <c r="G30" s="5">
        <v>1000</v>
      </c>
      <c r="H30" s="28">
        <v>11000</v>
      </c>
    </row>
    <row r="31" spans="2:11" x14ac:dyDescent="0.3">
      <c r="B31" s="43">
        <v>41614</v>
      </c>
      <c r="C31" s="3" t="s">
        <v>61</v>
      </c>
      <c r="D31" s="2" t="s">
        <v>99</v>
      </c>
      <c r="E31" s="4">
        <v>312.25</v>
      </c>
      <c r="F31" s="5">
        <v>314</v>
      </c>
      <c r="G31" s="5">
        <v>2000</v>
      </c>
      <c r="H31" s="28">
        <v>3500</v>
      </c>
    </row>
    <row r="32" spans="2:11" x14ac:dyDescent="0.3">
      <c r="B32" s="43">
        <v>41617</v>
      </c>
      <c r="C32" s="3" t="s">
        <v>9</v>
      </c>
      <c r="D32" s="2" t="s">
        <v>193</v>
      </c>
      <c r="E32" s="5">
        <v>715</v>
      </c>
      <c r="F32" s="5">
        <v>704</v>
      </c>
      <c r="G32" s="2">
        <v>500</v>
      </c>
      <c r="H32" s="28">
        <v>-5500</v>
      </c>
    </row>
    <row r="33" spans="2:8" x14ac:dyDescent="0.3">
      <c r="B33" s="43">
        <v>41618</v>
      </c>
      <c r="C33" s="3" t="s">
        <v>8</v>
      </c>
      <c r="D33" s="2" t="s">
        <v>37</v>
      </c>
      <c r="E33" s="4">
        <v>124.2</v>
      </c>
      <c r="F33" s="4">
        <v>122.85</v>
      </c>
      <c r="G33" s="5">
        <v>4000</v>
      </c>
      <c r="H33" s="28">
        <v>7900.0000000000346</v>
      </c>
    </row>
    <row r="34" spans="2:8" x14ac:dyDescent="0.3">
      <c r="B34" s="43">
        <v>41619</v>
      </c>
      <c r="C34" s="3" t="s">
        <v>8</v>
      </c>
      <c r="D34" s="2" t="s">
        <v>194</v>
      </c>
      <c r="E34" s="4">
        <v>222</v>
      </c>
      <c r="F34" s="2">
        <v>218.1</v>
      </c>
      <c r="G34" s="3">
        <v>2000</v>
      </c>
      <c r="H34" s="28">
        <v>6300.0000000000109</v>
      </c>
    </row>
    <row r="35" spans="2:8" x14ac:dyDescent="0.3">
      <c r="B35" s="1">
        <v>41620</v>
      </c>
      <c r="C35" s="3" t="s">
        <v>8</v>
      </c>
      <c r="D35" s="2" t="s">
        <v>20</v>
      </c>
      <c r="E35" s="5">
        <v>1270</v>
      </c>
      <c r="F35" s="2">
        <v>1250.75</v>
      </c>
      <c r="G35" s="5">
        <v>500</v>
      </c>
      <c r="H35" s="28">
        <v>7399.9999999999773</v>
      </c>
    </row>
    <row r="36" spans="2:8" x14ac:dyDescent="0.3">
      <c r="B36" s="43">
        <v>41621</v>
      </c>
      <c r="C36" s="3" t="s">
        <v>8</v>
      </c>
      <c r="D36" s="2" t="s">
        <v>36</v>
      </c>
      <c r="E36" s="5">
        <v>1108</v>
      </c>
      <c r="F36" s="2">
        <v>1092</v>
      </c>
      <c r="G36" s="3">
        <v>500</v>
      </c>
      <c r="H36" s="28">
        <v>9750</v>
      </c>
    </row>
    <row r="37" spans="2:8" x14ac:dyDescent="0.3">
      <c r="B37" s="1">
        <v>41624</v>
      </c>
      <c r="C37" s="3" t="s">
        <v>8</v>
      </c>
      <c r="D37" s="2" t="s">
        <v>28</v>
      </c>
      <c r="E37" s="5">
        <v>573.5</v>
      </c>
      <c r="F37" s="2">
        <v>564.29999999999995</v>
      </c>
      <c r="G37" s="5">
        <v>1000</v>
      </c>
      <c r="H37" s="28">
        <v>7000</v>
      </c>
    </row>
    <row r="38" spans="2:8" x14ac:dyDescent="0.3">
      <c r="B38" s="1">
        <v>41625</v>
      </c>
      <c r="C38" s="3" t="s">
        <v>8</v>
      </c>
      <c r="D38" s="2" t="s">
        <v>109</v>
      </c>
      <c r="E38" s="5">
        <v>935</v>
      </c>
      <c r="F38" s="2">
        <v>943.5</v>
      </c>
      <c r="G38" s="5">
        <v>500</v>
      </c>
      <c r="H38" s="28">
        <v>-2125</v>
      </c>
    </row>
    <row r="39" spans="2:8" x14ac:dyDescent="0.3">
      <c r="B39" s="1">
        <v>41626</v>
      </c>
      <c r="C39" s="3" t="s">
        <v>8</v>
      </c>
      <c r="D39" s="2" t="s">
        <v>28</v>
      </c>
      <c r="E39" s="5">
        <v>567.6</v>
      </c>
      <c r="F39" s="2">
        <v>561</v>
      </c>
      <c r="G39" s="5">
        <v>1000</v>
      </c>
      <c r="H39" s="28">
        <v>-7000</v>
      </c>
    </row>
    <row r="40" spans="2:8" x14ac:dyDescent="0.3">
      <c r="B40" s="1">
        <v>41627</v>
      </c>
      <c r="C40" s="3" t="s">
        <v>8</v>
      </c>
      <c r="D40" s="2" t="s">
        <v>37</v>
      </c>
      <c r="E40" s="5">
        <v>119</v>
      </c>
      <c r="F40" s="2">
        <v>120.65</v>
      </c>
      <c r="G40" s="5">
        <v>4000</v>
      </c>
      <c r="H40" s="28">
        <v>3300.0000000000114</v>
      </c>
    </row>
    <row r="41" spans="2:8" x14ac:dyDescent="0.3">
      <c r="B41" s="1">
        <v>41628</v>
      </c>
      <c r="C41" s="3" t="s">
        <v>9</v>
      </c>
      <c r="D41" s="2" t="s">
        <v>19</v>
      </c>
      <c r="E41" s="5">
        <v>1735</v>
      </c>
      <c r="F41" s="2">
        <v>1755</v>
      </c>
      <c r="G41" s="5">
        <v>250</v>
      </c>
      <c r="H41" s="28">
        <v>6875</v>
      </c>
    </row>
    <row r="42" spans="2:8" x14ac:dyDescent="0.3">
      <c r="B42" s="1">
        <v>41631</v>
      </c>
      <c r="C42" s="2" t="s">
        <v>9</v>
      </c>
      <c r="D42" s="2" t="s">
        <v>25</v>
      </c>
      <c r="E42" s="5">
        <v>421</v>
      </c>
      <c r="F42" s="2">
        <v>425.5</v>
      </c>
      <c r="G42" s="5">
        <v>2000</v>
      </c>
      <c r="H42" s="28">
        <v>4500</v>
      </c>
    </row>
    <row r="43" spans="2:8" x14ac:dyDescent="0.3">
      <c r="B43" s="1">
        <v>41632</v>
      </c>
      <c r="C43" s="3" t="s">
        <v>9</v>
      </c>
      <c r="D43" s="2" t="s">
        <v>20</v>
      </c>
      <c r="E43" s="5">
        <v>1291</v>
      </c>
      <c r="F43" s="2">
        <v>1281.2</v>
      </c>
      <c r="G43" s="5">
        <v>500</v>
      </c>
      <c r="H43" s="28">
        <v>-2450</v>
      </c>
    </row>
    <row r="44" spans="2:8" ht="15.6" x14ac:dyDescent="0.3">
      <c r="B44" s="1">
        <v>41634</v>
      </c>
      <c r="C44" s="2" t="s">
        <v>9</v>
      </c>
      <c r="D44" s="2" t="s">
        <v>192</v>
      </c>
      <c r="E44" s="7">
        <v>291.8</v>
      </c>
      <c r="F44" s="2">
        <v>296.60000000000002</v>
      </c>
      <c r="G44" s="5">
        <v>1000</v>
      </c>
      <c r="H44" s="36">
        <v>4800.0000000000109</v>
      </c>
    </row>
    <row r="45" spans="2:8" x14ac:dyDescent="0.3">
      <c r="B45" s="1">
        <v>41638</v>
      </c>
      <c r="C45" s="2" t="s">
        <v>8</v>
      </c>
      <c r="D45" s="2" t="s">
        <v>106</v>
      </c>
      <c r="E45" s="5">
        <v>364</v>
      </c>
      <c r="F45" s="2">
        <v>357.45</v>
      </c>
      <c r="G45" s="5">
        <v>2000</v>
      </c>
      <c r="H45" s="28">
        <v>10050.000000000011</v>
      </c>
    </row>
    <row r="46" spans="2:8" x14ac:dyDescent="0.3">
      <c r="B46" s="1"/>
      <c r="C46" s="28"/>
      <c r="D46" s="28"/>
      <c r="E46" s="28"/>
      <c r="F46" s="28"/>
      <c r="G46" s="28"/>
      <c r="H46" s="29">
        <v>64668</v>
      </c>
    </row>
    <row r="47" spans="2:8" ht="15.6" x14ac:dyDescent="0.3">
      <c r="B47" s="1"/>
      <c r="C47" s="28"/>
      <c r="D47" s="28"/>
      <c r="E47" s="28"/>
      <c r="F47" s="28"/>
      <c r="G47" s="28"/>
      <c r="H47" s="34"/>
    </row>
    <row r="48" spans="2:8" x14ac:dyDescent="0.3">
      <c r="B48" s="1"/>
    </row>
    <row r="49" spans="2:13" ht="15.6" x14ac:dyDescent="0.3">
      <c r="B49" s="48" t="s">
        <v>63</v>
      </c>
      <c r="C49" s="48"/>
      <c r="D49" s="48"/>
      <c r="E49" s="48"/>
      <c r="F49" s="48"/>
      <c r="G49" s="48"/>
      <c r="H49" s="48"/>
    </row>
    <row r="50" spans="2:13" x14ac:dyDescent="0.3">
      <c r="B50" s="43">
        <v>41610</v>
      </c>
      <c r="C50" s="4" t="s">
        <v>8</v>
      </c>
      <c r="D50" s="4" t="s">
        <v>39</v>
      </c>
      <c r="E50" s="4">
        <v>6270</v>
      </c>
      <c r="F50" s="4">
        <v>6250</v>
      </c>
      <c r="G50" s="4">
        <v>100</v>
      </c>
      <c r="H50" s="4">
        <v>3000</v>
      </c>
    </row>
    <row r="51" spans="2:13" x14ac:dyDescent="0.3">
      <c r="B51" s="43">
        <v>41611</v>
      </c>
      <c r="C51" s="4" t="s">
        <v>9</v>
      </c>
      <c r="D51" s="4" t="s">
        <v>39</v>
      </c>
      <c r="E51" s="4">
        <v>6235</v>
      </c>
      <c r="F51" s="4">
        <v>6250</v>
      </c>
      <c r="G51" s="4">
        <v>100</v>
      </c>
      <c r="H51" s="4">
        <v>1500</v>
      </c>
    </row>
    <row r="52" spans="2:13" x14ac:dyDescent="0.3">
      <c r="B52" s="43">
        <v>41612</v>
      </c>
      <c r="C52" s="4" t="s">
        <v>8</v>
      </c>
      <c r="D52" s="4" t="s">
        <v>39</v>
      </c>
      <c r="E52" s="4">
        <v>6230</v>
      </c>
      <c r="F52" s="4">
        <v>6200</v>
      </c>
      <c r="G52" s="4">
        <v>100</v>
      </c>
      <c r="H52" s="4">
        <v>3000</v>
      </c>
    </row>
    <row r="53" spans="2:13" x14ac:dyDescent="0.3">
      <c r="B53" s="43">
        <v>41613</v>
      </c>
      <c r="C53" s="4" t="s">
        <v>8</v>
      </c>
      <c r="D53" s="4" t="s">
        <v>39</v>
      </c>
      <c r="E53" s="4">
        <v>6310</v>
      </c>
      <c r="F53" s="4">
        <v>6280</v>
      </c>
      <c r="G53" s="4">
        <v>100</v>
      </c>
      <c r="H53" s="4">
        <v>3000</v>
      </c>
      <c r="J53" s="45"/>
    </row>
    <row r="54" spans="2:13" x14ac:dyDescent="0.3">
      <c r="B54" s="43">
        <v>41614</v>
      </c>
      <c r="C54" s="4" t="s">
        <v>9</v>
      </c>
      <c r="D54" s="4" t="s">
        <v>39</v>
      </c>
      <c r="E54" s="4">
        <v>6275</v>
      </c>
      <c r="F54" s="4">
        <v>6290</v>
      </c>
      <c r="G54" s="4">
        <v>100</v>
      </c>
      <c r="H54" s="4">
        <v>1500</v>
      </c>
    </row>
    <row r="55" spans="2:13" x14ac:dyDescent="0.3">
      <c r="B55" s="43">
        <v>41617</v>
      </c>
      <c r="C55" s="4" t="s">
        <v>9</v>
      </c>
      <c r="D55" s="7" t="s">
        <v>39</v>
      </c>
      <c r="E55" s="4">
        <v>6410</v>
      </c>
      <c r="F55" s="7">
        <v>6380</v>
      </c>
      <c r="G55" s="4">
        <v>100</v>
      </c>
      <c r="H55" s="4">
        <v>-3000</v>
      </c>
      <c r="M55" s="1"/>
    </row>
    <row r="56" spans="2:13" x14ac:dyDescent="0.3">
      <c r="B56" s="43">
        <v>41619</v>
      </c>
      <c r="C56" s="4" t="s">
        <v>9</v>
      </c>
      <c r="D56" s="7" t="s">
        <v>39</v>
      </c>
      <c r="E56" s="4">
        <v>6320</v>
      </c>
      <c r="F56" s="7">
        <v>6340</v>
      </c>
      <c r="G56" s="4">
        <v>100</v>
      </c>
      <c r="H56" s="4">
        <v>2000</v>
      </c>
      <c r="M56" s="1"/>
    </row>
    <row r="57" spans="2:13" x14ac:dyDescent="0.3">
      <c r="B57" s="43">
        <v>41620</v>
      </c>
      <c r="C57" s="4" t="s">
        <v>8</v>
      </c>
      <c r="D57" s="7" t="s">
        <v>39</v>
      </c>
      <c r="E57" s="4">
        <v>6320</v>
      </c>
      <c r="F57" s="7">
        <v>6270</v>
      </c>
      <c r="G57" s="4">
        <v>100</v>
      </c>
      <c r="H57" s="4">
        <v>4000</v>
      </c>
      <c r="M57" s="1"/>
    </row>
    <row r="58" spans="2:13" x14ac:dyDescent="0.3">
      <c r="B58" s="43">
        <v>41621</v>
      </c>
      <c r="C58" s="4" t="s">
        <v>8</v>
      </c>
      <c r="D58" s="4" t="s">
        <v>39</v>
      </c>
      <c r="E58" s="4">
        <v>6215</v>
      </c>
      <c r="F58" s="4">
        <v>6195</v>
      </c>
      <c r="G58" s="4">
        <v>100</v>
      </c>
      <c r="H58" s="4">
        <v>2000</v>
      </c>
    </row>
    <row r="59" spans="2:13" x14ac:dyDescent="0.3">
      <c r="B59" s="43">
        <v>41624</v>
      </c>
      <c r="C59" s="4" t="s">
        <v>8</v>
      </c>
      <c r="D59" s="7" t="s">
        <v>39</v>
      </c>
      <c r="E59" s="4">
        <v>6190</v>
      </c>
      <c r="F59" s="7">
        <v>6170</v>
      </c>
      <c r="G59" s="4">
        <v>100</v>
      </c>
      <c r="H59" s="4">
        <v>2000</v>
      </c>
    </row>
    <row r="60" spans="2:13" x14ac:dyDescent="0.3">
      <c r="B60" s="43">
        <v>41626</v>
      </c>
      <c r="C60" s="4" t="s">
        <v>8</v>
      </c>
      <c r="D60" s="7" t="s">
        <v>39</v>
      </c>
      <c r="E60" s="4">
        <v>6175</v>
      </c>
      <c r="F60" s="7">
        <v>6155</v>
      </c>
      <c r="G60" s="4">
        <v>100</v>
      </c>
      <c r="H60" s="4">
        <v>2000</v>
      </c>
    </row>
    <row r="61" spans="2:13" x14ac:dyDescent="0.3">
      <c r="B61" s="43">
        <v>41627</v>
      </c>
      <c r="C61" s="4" t="s">
        <v>9</v>
      </c>
      <c r="D61" s="4" t="s">
        <v>39</v>
      </c>
      <c r="E61" s="4">
        <v>6175</v>
      </c>
      <c r="F61" s="4">
        <v>6190</v>
      </c>
      <c r="G61" s="4">
        <v>100</v>
      </c>
      <c r="H61" s="4">
        <v>1500</v>
      </c>
    </row>
    <row r="62" spans="2:13" x14ac:dyDescent="0.3">
      <c r="B62" s="43">
        <v>41631</v>
      </c>
      <c r="C62" s="7" t="s">
        <v>9</v>
      </c>
      <c r="D62" s="7" t="s">
        <v>39</v>
      </c>
      <c r="E62" s="4">
        <v>6305</v>
      </c>
      <c r="F62" s="7">
        <v>6325</v>
      </c>
      <c r="G62" s="4">
        <v>100</v>
      </c>
      <c r="H62" s="4">
        <v>2000</v>
      </c>
    </row>
    <row r="63" spans="2:13" x14ac:dyDescent="0.3">
      <c r="B63" s="43">
        <v>41632</v>
      </c>
      <c r="C63" s="7" t="s">
        <v>8</v>
      </c>
      <c r="D63" s="7" t="s">
        <v>39</v>
      </c>
      <c r="E63" s="4">
        <v>6300</v>
      </c>
      <c r="F63" s="7">
        <v>6280</v>
      </c>
      <c r="G63" s="4">
        <v>100</v>
      </c>
      <c r="H63" s="4">
        <v>2000</v>
      </c>
    </row>
    <row r="64" spans="2:13" x14ac:dyDescent="0.3">
      <c r="B64" s="43">
        <v>41634</v>
      </c>
      <c r="C64" s="4" t="s">
        <v>8</v>
      </c>
      <c r="D64" s="7" t="s">
        <v>39</v>
      </c>
      <c r="E64" s="4">
        <v>6350</v>
      </c>
      <c r="F64" s="7">
        <v>6330</v>
      </c>
      <c r="G64" s="4">
        <v>100</v>
      </c>
      <c r="H64" s="4">
        <v>2000</v>
      </c>
    </row>
    <row r="65" spans="2:8" x14ac:dyDescent="0.3">
      <c r="B65" s="43">
        <v>41635</v>
      </c>
      <c r="C65" s="4" t="s">
        <v>9</v>
      </c>
      <c r="D65" s="4" t="s">
        <v>39</v>
      </c>
      <c r="E65" s="4">
        <v>6270</v>
      </c>
      <c r="F65" s="4">
        <v>6275</v>
      </c>
      <c r="G65" s="4">
        <v>100</v>
      </c>
      <c r="H65" s="4">
        <v>500</v>
      </c>
    </row>
    <row r="66" spans="2:8" x14ac:dyDescent="0.3">
      <c r="B66" s="43">
        <v>41638</v>
      </c>
      <c r="C66" s="7" t="s">
        <v>9</v>
      </c>
      <c r="D66" s="7" t="s">
        <v>39</v>
      </c>
      <c r="E66" s="7">
        <v>6375</v>
      </c>
      <c r="F66" s="7">
        <v>6340</v>
      </c>
      <c r="G66" s="4">
        <v>100</v>
      </c>
      <c r="H66" s="4">
        <v>-3500</v>
      </c>
    </row>
    <row r="67" spans="2:8" x14ac:dyDescent="0.3">
      <c r="B67" s="43"/>
      <c r="C67" s="3"/>
      <c r="D67" s="2"/>
      <c r="E67" s="4"/>
      <c r="F67" s="4"/>
      <c r="G67" s="4"/>
      <c r="H67" s="38">
        <v>25500</v>
      </c>
    </row>
    <row r="68" spans="2:8" x14ac:dyDescent="0.3">
      <c r="B68" s="43"/>
      <c r="C68" s="3"/>
      <c r="D68" s="2"/>
      <c r="E68" s="4"/>
      <c r="F68" s="4"/>
      <c r="G68" s="4"/>
      <c r="H68" s="4"/>
    </row>
    <row r="69" spans="2:8" ht="15.6" x14ac:dyDescent="0.3">
      <c r="C69" s="30"/>
      <c r="D69" s="30"/>
      <c r="E69" s="30"/>
      <c r="F69" s="30"/>
      <c r="G69" s="30"/>
      <c r="H69" s="34"/>
    </row>
    <row r="70" spans="2:8" ht="15.6" x14ac:dyDescent="0.3">
      <c r="B70" s="48" t="s">
        <v>64</v>
      </c>
      <c r="C70" s="48"/>
      <c r="D70" s="48"/>
      <c r="E70" s="48"/>
      <c r="F70" s="48"/>
      <c r="G70" s="48"/>
      <c r="H70" s="48"/>
    </row>
    <row r="71" spans="2:8" x14ac:dyDescent="0.3">
      <c r="B71" s="43">
        <v>41610</v>
      </c>
      <c r="C71" s="3" t="s">
        <v>65</v>
      </c>
      <c r="D71" s="3" t="s">
        <v>205</v>
      </c>
      <c r="E71" s="41">
        <v>113</v>
      </c>
      <c r="F71" s="40">
        <v>130</v>
      </c>
      <c r="G71" s="40">
        <v>200</v>
      </c>
      <c r="H71" s="8">
        <v>3400</v>
      </c>
    </row>
    <row r="72" spans="2:8" x14ac:dyDescent="0.3">
      <c r="B72" s="43">
        <v>41611</v>
      </c>
      <c r="C72" s="3" t="s">
        <v>69</v>
      </c>
      <c r="D72" s="3" t="s">
        <v>206</v>
      </c>
      <c r="E72" s="41">
        <v>132</v>
      </c>
      <c r="F72" s="40">
        <v>142</v>
      </c>
      <c r="G72" s="40">
        <v>200</v>
      </c>
      <c r="H72" s="8">
        <v>1000</v>
      </c>
    </row>
    <row r="73" spans="2:8" x14ac:dyDescent="0.3">
      <c r="B73" s="43">
        <v>41612</v>
      </c>
      <c r="C73" s="3" t="s">
        <v>69</v>
      </c>
      <c r="D73" s="3" t="s">
        <v>206</v>
      </c>
      <c r="E73" s="41">
        <v>148</v>
      </c>
      <c r="F73" s="40">
        <v>135</v>
      </c>
      <c r="G73" s="40">
        <v>200</v>
      </c>
      <c r="H73" s="8">
        <v>-2600</v>
      </c>
    </row>
    <row r="74" spans="2:8" x14ac:dyDescent="0.3">
      <c r="B74" s="43">
        <v>41613</v>
      </c>
      <c r="C74" s="3" t="s">
        <v>65</v>
      </c>
      <c r="D74" s="3" t="s">
        <v>205</v>
      </c>
      <c r="E74" s="41">
        <v>140</v>
      </c>
      <c r="F74" s="40">
        <v>120</v>
      </c>
      <c r="G74" s="40">
        <v>200</v>
      </c>
      <c r="H74" s="8">
        <v>-4000</v>
      </c>
    </row>
    <row r="75" spans="2:8" x14ac:dyDescent="0.3">
      <c r="B75" s="43">
        <v>41614</v>
      </c>
      <c r="C75" s="3" t="s">
        <v>65</v>
      </c>
      <c r="D75" s="3" t="s">
        <v>207</v>
      </c>
      <c r="E75" s="41">
        <v>77</v>
      </c>
      <c r="F75" s="40">
        <v>92</v>
      </c>
      <c r="G75" s="40">
        <v>200</v>
      </c>
      <c r="H75" s="8">
        <v>3000</v>
      </c>
    </row>
    <row r="76" spans="2:8" x14ac:dyDescent="0.3">
      <c r="B76" s="43">
        <v>41617</v>
      </c>
      <c r="C76" s="5" t="s">
        <v>65</v>
      </c>
      <c r="D76" s="5" t="s">
        <v>208</v>
      </c>
      <c r="E76" s="40">
        <v>135</v>
      </c>
      <c r="F76" s="41">
        <v>125</v>
      </c>
      <c r="G76" s="41">
        <v>200</v>
      </c>
      <c r="H76" s="5">
        <v>-2000</v>
      </c>
    </row>
    <row r="77" spans="2:8" x14ac:dyDescent="0.3">
      <c r="B77" s="43">
        <v>41618</v>
      </c>
      <c r="C77" s="3" t="s">
        <v>65</v>
      </c>
      <c r="D77" s="3" t="s">
        <v>205</v>
      </c>
      <c r="E77" s="40">
        <v>140</v>
      </c>
      <c r="F77" s="41">
        <v>125</v>
      </c>
      <c r="G77" s="41">
        <v>200</v>
      </c>
      <c r="H77" s="5">
        <v>-3000</v>
      </c>
    </row>
    <row r="78" spans="2:8" x14ac:dyDescent="0.3">
      <c r="B78" s="43">
        <v>41619</v>
      </c>
      <c r="C78" s="5" t="s">
        <v>69</v>
      </c>
      <c r="D78" s="5" t="s">
        <v>209</v>
      </c>
      <c r="E78" s="41">
        <v>120</v>
      </c>
      <c r="F78" s="41">
        <v>122</v>
      </c>
      <c r="G78" s="40">
        <v>200</v>
      </c>
      <c r="H78" s="8">
        <v>400</v>
      </c>
    </row>
    <row r="79" spans="2:8" x14ac:dyDescent="0.3">
      <c r="B79" s="1">
        <v>41620</v>
      </c>
      <c r="C79" s="5" t="s">
        <v>69</v>
      </c>
      <c r="D79" s="5" t="s">
        <v>209</v>
      </c>
      <c r="E79" s="41">
        <v>127</v>
      </c>
      <c r="F79" s="41">
        <v>156</v>
      </c>
      <c r="G79" s="41">
        <v>200</v>
      </c>
      <c r="H79" s="8">
        <v>5800</v>
      </c>
    </row>
    <row r="80" spans="2:8" x14ac:dyDescent="0.3">
      <c r="B80" s="43">
        <v>41621</v>
      </c>
      <c r="C80" s="5" t="s">
        <v>69</v>
      </c>
      <c r="D80" s="5" t="s">
        <v>210</v>
      </c>
      <c r="E80" s="41">
        <v>113</v>
      </c>
      <c r="F80" s="41" t="s">
        <v>214</v>
      </c>
      <c r="G80" s="41">
        <v>200</v>
      </c>
      <c r="H80" s="8">
        <v>3400</v>
      </c>
    </row>
    <row r="81" spans="2:8" x14ac:dyDescent="0.3">
      <c r="B81" s="1">
        <v>41624</v>
      </c>
      <c r="C81" s="5" t="s">
        <v>69</v>
      </c>
      <c r="D81" s="5" t="s">
        <v>206</v>
      </c>
      <c r="E81" s="41">
        <v>82</v>
      </c>
      <c r="F81" s="41" t="s">
        <v>215</v>
      </c>
      <c r="G81" s="41">
        <v>200</v>
      </c>
      <c r="H81" s="5">
        <v>1600</v>
      </c>
    </row>
    <row r="82" spans="2:8" x14ac:dyDescent="0.3">
      <c r="B82" s="1">
        <v>41625</v>
      </c>
      <c r="C82" s="5" t="s">
        <v>69</v>
      </c>
      <c r="D82" s="5" t="s">
        <v>210</v>
      </c>
      <c r="E82" s="41">
        <v>143</v>
      </c>
      <c r="F82" s="41">
        <v>155</v>
      </c>
      <c r="G82" s="41">
        <v>200</v>
      </c>
      <c r="H82" s="8">
        <v>2400</v>
      </c>
    </row>
    <row r="83" spans="2:8" x14ac:dyDescent="0.3">
      <c r="B83" s="1">
        <v>41626</v>
      </c>
      <c r="C83" s="5" t="s">
        <v>65</v>
      </c>
      <c r="D83" s="3" t="s">
        <v>211</v>
      </c>
      <c r="E83" s="40">
        <v>82</v>
      </c>
      <c r="F83" s="40" t="s">
        <v>216</v>
      </c>
      <c r="G83" s="40">
        <v>200</v>
      </c>
      <c r="H83" s="8">
        <v>1800</v>
      </c>
    </row>
    <row r="84" spans="2:8" x14ac:dyDescent="0.3">
      <c r="B84" s="1">
        <v>41627</v>
      </c>
      <c r="C84" s="5" t="s">
        <v>69</v>
      </c>
      <c r="D84" s="5" t="s">
        <v>210</v>
      </c>
      <c r="E84" s="42">
        <v>132</v>
      </c>
      <c r="F84" s="40">
        <v>143</v>
      </c>
      <c r="G84" s="42">
        <v>200</v>
      </c>
      <c r="H84" s="5">
        <v>1100</v>
      </c>
    </row>
    <row r="85" spans="2:8" x14ac:dyDescent="0.3">
      <c r="B85" s="1">
        <v>41628</v>
      </c>
      <c r="C85" s="5" t="s">
        <v>65</v>
      </c>
      <c r="D85" s="3" t="s">
        <v>212</v>
      </c>
      <c r="E85" s="42">
        <v>100</v>
      </c>
      <c r="F85" s="40">
        <v>140</v>
      </c>
      <c r="G85" s="42">
        <v>200</v>
      </c>
      <c r="H85" s="8">
        <v>8000</v>
      </c>
    </row>
    <row r="86" spans="2:8" x14ac:dyDescent="0.3">
      <c r="B86" s="43">
        <v>41631</v>
      </c>
      <c r="C86" s="5" t="s">
        <v>65</v>
      </c>
      <c r="D86" s="5" t="s">
        <v>213</v>
      </c>
      <c r="E86" s="42">
        <v>150</v>
      </c>
      <c r="F86" s="40">
        <v>168</v>
      </c>
      <c r="G86" s="42">
        <v>200</v>
      </c>
      <c r="H86" s="8">
        <v>3600</v>
      </c>
    </row>
    <row r="87" spans="2:8" x14ac:dyDescent="0.3">
      <c r="B87" s="43">
        <v>41632</v>
      </c>
      <c r="C87" s="5" t="s">
        <v>69</v>
      </c>
      <c r="D87" s="5" t="s">
        <v>199</v>
      </c>
      <c r="E87" s="42">
        <v>95</v>
      </c>
      <c r="F87" s="40">
        <v>108</v>
      </c>
      <c r="G87" s="42">
        <v>200</v>
      </c>
      <c r="H87" s="8">
        <v>2600</v>
      </c>
    </row>
    <row r="88" spans="2:8" x14ac:dyDescent="0.3">
      <c r="B88" s="43">
        <v>41635</v>
      </c>
      <c r="C88" s="5" t="s">
        <v>65</v>
      </c>
      <c r="D88" s="5" t="s">
        <v>196</v>
      </c>
      <c r="E88" s="42">
        <v>95</v>
      </c>
      <c r="F88" s="40" t="s">
        <v>217</v>
      </c>
      <c r="G88" s="42">
        <v>200</v>
      </c>
      <c r="H88" s="8">
        <v>1000</v>
      </c>
    </row>
    <row r="89" spans="2:8" x14ac:dyDescent="0.3">
      <c r="B89" s="43">
        <v>41638</v>
      </c>
      <c r="C89" s="5" t="s">
        <v>69</v>
      </c>
      <c r="D89" s="5" t="s">
        <v>200</v>
      </c>
      <c r="E89" s="42">
        <v>129</v>
      </c>
      <c r="F89" s="40">
        <v>142</v>
      </c>
      <c r="G89" s="42">
        <v>200</v>
      </c>
      <c r="H89" s="8">
        <v>2600</v>
      </c>
    </row>
    <row r="90" spans="2:8" x14ac:dyDescent="0.3">
      <c r="B90" s="1"/>
      <c r="C90" s="28"/>
      <c r="D90" s="28"/>
      <c r="E90" s="28"/>
      <c r="F90" s="28"/>
      <c r="G90" s="28"/>
      <c r="H90" s="29">
        <v>30100</v>
      </c>
    </row>
    <row r="91" spans="2:8" x14ac:dyDescent="0.3">
      <c r="B91" s="1"/>
      <c r="C91" s="28"/>
      <c r="D91" s="28"/>
      <c r="E91" s="28"/>
      <c r="F91" s="28"/>
      <c r="G91" s="28"/>
      <c r="H91" s="28"/>
    </row>
    <row r="92" spans="2:8" ht="15.6" x14ac:dyDescent="0.3">
      <c r="C92" s="28"/>
      <c r="D92" s="28"/>
      <c r="E92" s="28"/>
      <c r="F92" s="28"/>
      <c r="G92" s="28"/>
      <c r="H92" s="34"/>
    </row>
    <row r="93" spans="2:8" x14ac:dyDescent="0.3">
      <c r="C93" s="28"/>
      <c r="D93" s="28"/>
      <c r="E93" s="28"/>
      <c r="F93" s="28"/>
      <c r="G93" s="28"/>
      <c r="H93" s="28"/>
    </row>
    <row r="94" spans="2:8" ht="15.6" x14ac:dyDescent="0.3">
      <c r="B94" s="44"/>
      <c r="C94" s="44"/>
      <c r="D94" s="44"/>
      <c r="E94" s="44"/>
      <c r="F94" s="44"/>
      <c r="G94" s="44"/>
      <c r="H94" s="44"/>
    </row>
    <row r="95" spans="2:8" x14ac:dyDescent="0.3">
      <c r="B95" s="1"/>
      <c r="C95" s="28"/>
      <c r="D95" s="28"/>
      <c r="E95" s="28"/>
      <c r="F95" s="28"/>
      <c r="G95" s="28"/>
      <c r="H95" s="28"/>
    </row>
    <row r="96" spans="2:8" x14ac:dyDescent="0.3">
      <c r="B96" s="1"/>
      <c r="C96" s="28"/>
      <c r="D96" s="28"/>
      <c r="E96" s="28"/>
      <c r="F96" s="28"/>
      <c r="G96" s="28"/>
      <c r="H96" s="28"/>
    </row>
    <row r="97" spans="2:8" x14ac:dyDescent="0.3">
      <c r="B97" s="1"/>
      <c r="C97" s="28"/>
      <c r="D97" s="28"/>
      <c r="E97" s="28"/>
      <c r="F97" s="28"/>
      <c r="G97" s="28"/>
      <c r="H97" s="28"/>
    </row>
    <row r="98" spans="2:8" x14ac:dyDescent="0.3">
      <c r="B98" s="1"/>
      <c r="C98" s="28"/>
      <c r="D98" s="28"/>
      <c r="E98" s="28"/>
      <c r="F98" s="28"/>
      <c r="G98" s="28"/>
      <c r="H98" s="28"/>
    </row>
    <row r="99" spans="2:8" x14ac:dyDescent="0.3">
      <c r="B99" s="1"/>
      <c r="C99" s="28"/>
      <c r="D99" s="28"/>
      <c r="E99" s="28"/>
      <c r="F99" s="28"/>
      <c r="G99" s="28"/>
      <c r="H99" s="28"/>
    </row>
    <row r="100" spans="2:8" x14ac:dyDescent="0.3">
      <c r="B100" s="1"/>
      <c r="C100" s="28"/>
      <c r="D100" s="28"/>
      <c r="E100" s="28"/>
      <c r="F100" s="28"/>
      <c r="G100" s="28"/>
      <c r="H100" s="28"/>
    </row>
    <row r="101" spans="2:8" x14ac:dyDescent="0.3">
      <c r="B101" s="1"/>
      <c r="C101" s="28"/>
      <c r="D101" s="28"/>
      <c r="E101" s="28"/>
      <c r="F101" s="28"/>
      <c r="G101" s="28"/>
      <c r="H101" s="28"/>
    </row>
    <row r="102" spans="2:8" x14ac:dyDescent="0.3">
      <c r="B102" s="1"/>
      <c r="C102" s="28"/>
      <c r="D102" s="28"/>
      <c r="E102" s="28"/>
      <c r="F102" s="28"/>
      <c r="G102" s="28"/>
      <c r="H102" s="28"/>
    </row>
    <row r="103" spans="2:8" x14ac:dyDescent="0.3">
      <c r="B103" s="1"/>
      <c r="C103" s="28"/>
      <c r="D103" s="28"/>
      <c r="E103" s="28"/>
      <c r="F103" s="28"/>
      <c r="G103" s="28"/>
      <c r="H103" s="28"/>
    </row>
    <row r="104" spans="2:8" x14ac:dyDescent="0.3">
      <c r="B104" s="1"/>
      <c r="C104" s="28"/>
      <c r="D104" s="28"/>
      <c r="E104" s="28"/>
      <c r="F104" s="28"/>
      <c r="G104" s="28"/>
      <c r="H104" s="28"/>
    </row>
    <row r="105" spans="2:8" x14ac:dyDescent="0.3">
      <c r="B105" s="1"/>
      <c r="C105" s="28"/>
      <c r="D105" s="28"/>
      <c r="E105" s="28"/>
      <c r="F105" s="28"/>
      <c r="G105" s="28"/>
      <c r="H105" s="29"/>
    </row>
    <row r="106" spans="2:8" x14ac:dyDescent="0.3">
      <c r="B106" s="1"/>
    </row>
    <row r="107" spans="2:8" x14ac:dyDescent="0.3">
      <c r="B107" s="1"/>
    </row>
    <row r="108" spans="2:8" x14ac:dyDescent="0.3">
      <c r="B108" s="1"/>
    </row>
    <row r="109" spans="2:8" x14ac:dyDescent="0.3">
      <c r="B109" s="1"/>
    </row>
    <row r="110" spans="2:8" x14ac:dyDescent="0.3">
      <c r="B110" s="1"/>
    </row>
    <row r="111" spans="2:8" x14ac:dyDescent="0.3">
      <c r="B111" s="1"/>
    </row>
    <row r="112" spans="2:8" x14ac:dyDescent="0.3">
      <c r="B112" s="1"/>
    </row>
    <row r="113" spans="2:2" x14ac:dyDescent="0.3">
      <c r="B113" s="1"/>
    </row>
    <row r="114" spans="2:2" x14ac:dyDescent="0.3">
      <c r="B114" s="39"/>
    </row>
    <row r="115" spans="2:2" x14ac:dyDescent="0.3">
      <c r="B115" s="1"/>
    </row>
  </sheetData>
  <mergeCells count="3">
    <mergeCell ref="B1:H1"/>
    <mergeCell ref="B2:H2"/>
    <mergeCell ref="B3:H3"/>
  </mergeCells>
  <hyperlinks>
    <hyperlink ref="J2" location="'MASTER '!A1" display="Back" xr:uid="{00000000-0004-0000-0800-000000000000}"/>
  </hyperlinks>
  <pageMargins left="0.7" right="0.7" top="0.75" bottom="0.75" header="0.3" footer="0.3"/>
  <pageSetup orientation="portrait" horizontalDpi="300" verticalDpi="300" r:id="rId1"/>
  <ignoredErrors>
    <ignoredError sqref="F80:F81 F83 F88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3076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32</v>
      </c>
      <c r="P4" s="386">
        <f>W52</f>
        <v>12</v>
      </c>
      <c r="Q4" s="387">
        <f>N4-O4-P4</f>
        <v>0</v>
      </c>
      <c r="R4" s="380">
        <f>O4/N4</f>
        <v>0.72727272727272729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44075</v>
      </c>
      <c r="D6" s="158" t="s">
        <v>9</v>
      </c>
      <c r="E6" s="158" t="s">
        <v>129</v>
      </c>
      <c r="F6" s="230">
        <v>1860</v>
      </c>
      <c r="G6" s="222">
        <v>1840</v>
      </c>
      <c r="H6" s="222">
        <v>-20</v>
      </c>
      <c r="I6" s="207">
        <f t="shared" ref="I6:I7" si="0">300000/F6</f>
        <v>161.29032258064515</v>
      </c>
      <c r="J6" s="161">
        <f t="shared" ref="J6:J7" si="1">H6*I6</f>
        <v>-3225.8064516129029</v>
      </c>
      <c r="K6" s="153"/>
      <c r="M6" s="394" t="s">
        <v>450</v>
      </c>
      <c r="N6" s="344">
        <f>COUNT(C60:C83)</f>
        <v>23</v>
      </c>
      <c r="O6" s="346">
        <f>V84</f>
        <v>19</v>
      </c>
      <c r="P6" s="346">
        <f>W84</f>
        <v>3</v>
      </c>
      <c r="Q6" s="374">
        <f>N6-O6-P6</f>
        <v>1</v>
      </c>
      <c r="R6" s="376">
        <f t="shared" ref="R6" si="2">O6/N6</f>
        <v>0.82608695652173914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44075</v>
      </c>
      <c r="D7" s="161" t="s">
        <v>8</v>
      </c>
      <c r="E7" s="161" t="s">
        <v>2203</v>
      </c>
      <c r="F7" s="222">
        <v>915</v>
      </c>
      <c r="G7" s="231">
        <v>895</v>
      </c>
      <c r="H7" s="255">
        <v>20</v>
      </c>
      <c r="I7" s="207">
        <f t="shared" si="0"/>
        <v>327.86885245901641</v>
      </c>
      <c r="J7" s="161">
        <f t="shared" si="1"/>
        <v>6557.377049180328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44076</v>
      </c>
      <c r="D8" s="161" t="s">
        <v>9</v>
      </c>
      <c r="E8" s="161" t="s">
        <v>578</v>
      </c>
      <c r="F8" s="222">
        <v>922</v>
      </c>
      <c r="G8" s="222">
        <v>924</v>
      </c>
      <c r="H8" s="222">
        <v>2</v>
      </c>
      <c r="I8" s="207">
        <f t="shared" ref="I8:I49" si="6">300000/F8</f>
        <v>325.37960954446856</v>
      </c>
      <c r="J8" s="161">
        <f t="shared" ref="J8:J49" si="7">H8*I8</f>
        <v>650.75921908893713</v>
      </c>
      <c r="K8" s="153"/>
      <c r="M8" s="394" t="s">
        <v>451</v>
      </c>
      <c r="N8" s="344">
        <f>COUNT(C92:C114)</f>
        <v>22</v>
      </c>
      <c r="O8" s="346">
        <f>V115</f>
        <v>16</v>
      </c>
      <c r="P8" s="346">
        <f>W115</f>
        <v>6</v>
      </c>
      <c r="Q8" s="374">
        <f>N8-O8-P8</f>
        <v>0</v>
      </c>
      <c r="R8" s="376">
        <f t="shared" ref="R8" si="8">O8/N8</f>
        <v>0.72727272727272729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44076</v>
      </c>
      <c r="D9" s="161" t="s">
        <v>8</v>
      </c>
      <c r="E9" s="161" t="s">
        <v>129</v>
      </c>
      <c r="F9" s="222">
        <v>1830</v>
      </c>
      <c r="G9" s="231">
        <v>1810</v>
      </c>
      <c r="H9" s="255">
        <v>20</v>
      </c>
      <c r="I9" s="207">
        <f t="shared" si="6"/>
        <v>163.9344262295082</v>
      </c>
      <c r="J9" s="161">
        <f t="shared" si="7"/>
        <v>3278.688524590164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44077</v>
      </c>
      <c r="D10" s="161" t="s">
        <v>9</v>
      </c>
      <c r="E10" s="161" t="s">
        <v>2999</v>
      </c>
      <c r="F10" s="222">
        <v>586</v>
      </c>
      <c r="G10" s="222">
        <v>582</v>
      </c>
      <c r="H10" s="222">
        <v>-4</v>
      </c>
      <c r="I10" s="207">
        <f t="shared" si="6"/>
        <v>511.9453924914676</v>
      </c>
      <c r="J10" s="161">
        <f t="shared" si="7"/>
        <v>-2047.7815699658704</v>
      </c>
      <c r="K10" s="153"/>
      <c r="M10" s="394" t="s">
        <v>1176</v>
      </c>
      <c r="N10" s="344">
        <f>COUNT(C123:C145)</f>
        <v>22</v>
      </c>
      <c r="O10" s="346">
        <f>V146</f>
        <v>16</v>
      </c>
      <c r="P10" s="346">
        <f>W146</f>
        <v>6</v>
      </c>
      <c r="Q10" s="374">
        <f>N10-O10-P10</f>
        <v>0</v>
      </c>
      <c r="R10" s="376">
        <f t="shared" ref="R10:R16" si="9">O10/N10</f>
        <v>0.72727272727272729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44077</v>
      </c>
      <c r="D11" s="161" t="s">
        <v>8</v>
      </c>
      <c r="E11" s="161" t="s">
        <v>31</v>
      </c>
      <c r="F11" s="222">
        <v>2112</v>
      </c>
      <c r="G11" s="222">
        <v>2104</v>
      </c>
      <c r="H11" s="255">
        <v>8</v>
      </c>
      <c r="I11" s="207">
        <f t="shared" si="6"/>
        <v>142.04545454545453</v>
      </c>
      <c r="J11" s="161">
        <f t="shared" si="7"/>
        <v>1136.3636363636363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44078</v>
      </c>
      <c r="D12" s="161" t="s">
        <v>9</v>
      </c>
      <c r="E12" s="161" t="s">
        <v>496</v>
      </c>
      <c r="F12" s="222">
        <v>298</v>
      </c>
      <c r="G12" s="222">
        <v>300.89999999999998</v>
      </c>
      <c r="H12" s="222">
        <v>2.9</v>
      </c>
      <c r="I12" s="207">
        <f t="shared" si="6"/>
        <v>1006.7114093959732</v>
      </c>
      <c r="J12" s="242">
        <f t="shared" si="7"/>
        <v>2919.4630872483222</v>
      </c>
      <c r="K12" s="153"/>
      <c r="M12" s="394" t="s">
        <v>41</v>
      </c>
      <c r="N12" s="344">
        <f>COUNT(C154:C176)</f>
        <v>22</v>
      </c>
      <c r="O12" s="346">
        <f>V177</f>
        <v>17</v>
      </c>
      <c r="P12" s="346">
        <f>W177</f>
        <v>5</v>
      </c>
      <c r="Q12" s="374">
        <f t="shared" ref="Q12" si="10">N12-O12-P12</f>
        <v>0</v>
      </c>
      <c r="R12" s="376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44078</v>
      </c>
      <c r="D13" s="161" t="s">
        <v>8</v>
      </c>
      <c r="E13" s="161" t="s">
        <v>31</v>
      </c>
      <c r="F13" s="222">
        <v>2085</v>
      </c>
      <c r="G13" s="222">
        <v>2075</v>
      </c>
      <c r="H13" s="255">
        <v>10</v>
      </c>
      <c r="I13" s="207">
        <f t="shared" si="6"/>
        <v>143.88489208633092</v>
      </c>
      <c r="J13" s="242">
        <f t="shared" si="7"/>
        <v>1438.8489208633091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44081</v>
      </c>
      <c r="D14" s="161" t="s">
        <v>9</v>
      </c>
      <c r="E14" s="161" t="s">
        <v>58</v>
      </c>
      <c r="F14" s="222">
        <v>464</v>
      </c>
      <c r="G14" s="222">
        <v>459</v>
      </c>
      <c r="H14" s="222">
        <v>-5</v>
      </c>
      <c r="I14" s="207">
        <f t="shared" si="6"/>
        <v>646.55172413793105</v>
      </c>
      <c r="J14" s="242">
        <f t="shared" si="7"/>
        <v>-3232.7586206896553</v>
      </c>
      <c r="K14" s="153"/>
      <c r="M14" s="394" t="s">
        <v>1175</v>
      </c>
      <c r="N14" s="344">
        <f>COUNT(C185:C207)</f>
        <v>23</v>
      </c>
      <c r="O14" s="346">
        <f>V208</f>
        <v>13</v>
      </c>
      <c r="P14" s="346">
        <f>W208</f>
        <v>10</v>
      </c>
      <c r="Q14" s="374">
        <f t="shared" ref="Q14" si="11">N14-O14-P14</f>
        <v>0</v>
      </c>
      <c r="R14" s="376">
        <f t="shared" si="9"/>
        <v>0.56521739130434778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44081</v>
      </c>
      <c r="D15" s="161" t="s">
        <v>8</v>
      </c>
      <c r="E15" s="161" t="s">
        <v>2158</v>
      </c>
      <c r="F15" s="222">
        <v>1166</v>
      </c>
      <c r="G15" s="222">
        <v>1146</v>
      </c>
      <c r="H15" s="222">
        <v>20</v>
      </c>
      <c r="I15" s="207">
        <f t="shared" si="6"/>
        <v>257.28987993138935</v>
      </c>
      <c r="J15" s="242">
        <f t="shared" si="7"/>
        <v>5145.797598627787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44082</v>
      </c>
      <c r="D16" s="161" t="s">
        <v>9</v>
      </c>
      <c r="E16" s="161" t="s">
        <v>126</v>
      </c>
      <c r="F16" s="222">
        <v>2355</v>
      </c>
      <c r="G16" s="222">
        <v>2384</v>
      </c>
      <c r="H16" s="222">
        <v>29</v>
      </c>
      <c r="I16" s="207">
        <f t="shared" si="6"/>
        <v>127.38853503184713</v>
      </c>
      <c r="J16" s="242">
        <f t="shared" si="7"/>
        <v>3694.2675159235669</v>
      </c>
      <c r="K16" s="153"/>
      <c r="L16" s="25" t="s">
        <v>2008</v>
      </c>
      <c r="M16" s="394" t="s">
        <v>1090</v>
      </c>
      <c r="N16" s="344">
        <f>COUNT(C216:C239)</f>
        <v>22</v>
      </c>
      <c r="O16" s="346">
        <f>V240</f>
        <v>15</v>
      </c>
      <c r="P16" s="346">
        <f>W240</f>
        <v>7</v>
      </c>
      <c r="Q16" s="374">
        <f t="shared" ref="Q16" si="12">N16-O16-P16</f>
        <v>0</v>
      </c>
      <c r="R16" s="376">
        <f t="shared" si="9"/>
        <v>0.68181818181818177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44082</v>
      </c>
      <c r="D17" s="161" t="s">
        <v>8</v>
      </c>
      <c r="E17" s="161" t="s">
        <v>2158</v>
      </c>
      <c r="F17" s="222">
        <v>1135</v>
      </c>
      <c r="G17" s="222">
        <v>1130.5</v>
      </c>
      <c r="H17" s="222">
        <v>4.5</v>
      </c>
      <c r="I17" s="207">
        <f t="shared" si="6"/>
        <v>264.31718061674007</v>
      </c>
      <c r="J17" s="242">
        <f t="shared" si="7"/>
        <v>1189.4273127753304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44083</v>
      </c>
      <c r="D18" s="161" t="s">
        <v>9</v>
      </c>
      <c r="E18" s="161" t="s">
        <v>126</v>
      </c>
      <c r="F18" s="222">
        <v>2355</v>
      </c>
      <c r="G18" s="222">
        <v>2335</v>
      </c>
      <c r="H18" s="222">
        <v>-20</v>
      </c>
      <c r="I18" s="207">
        <f t="shared" si="6"/>
        <v>127.38853503184713</v>
      </c>
      <c r="J18" s="242">
        <f t="shared" si="7"/>
        <v>-2547.7707006369424</v>
      </c>
      <c r="K18" s="153"/>
      <c r="M18" s="392" t="s">
        <v>946</v>
      </c>
      <c r="N18" s="378">
        <f>SUM(N4:N17)</f>
        <v>178</v>
      </c>
      <c r="O18" s="378">
        <f t="shared" ref="O18:Q18" si="13">SUM(O4:O17)</f>
        <v>128</v>
      </c>
      <c r="P18" s="378">
        <f t="shared" si="13"/>
        <v>49</v>
      </c>
      <c r="Q18" s="378">
        <f t="shared" si="13"/>
        <v>1</v>
      </c>
      <c r="R18" s="380">
        <f t="shared" ref="R18" si="14">O18/N18</f>
        <v>0.7191011235955056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44083</v>
      </c>
      <c r="D19" s="161" t="s">
        <v>8</v>
      </c>
      <c r="E19" s="161" t="s">
        <v>19</v>
      </c>
      <c r="F19" s="222">
        <v>198</v>
      </c>
      <c r="G19" s="222">
        <v>193.6</v>
      </c>
      <c r="H19" s="222">
        <v>4.4000000000000004</v>
      </c>
      <c r="I19" s="207">
        <f t="shared" si="6"/>
        <v>1515.1515151515152</v>
      </c>
      <c r="J19" s="242">
        <f t="shared" si="7"/>
        <v>6666.6666666666679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44084</v>
      </c>
      <c r="D20" s="161" t="s">
        <v>9</v>
      </c>
      <c r="E20" s="161" t="s">
        <v>3086</v>
      </c>
      <c r="F20" s="222">
        <v>116.5</v>
      </c>
      <c r="G20" s="222">
        <v>113.5</v>
      </c>
      <c r="H20" s="222">
        <v>-3</v>
      </c>
      <c r="I20" s="207">
        <f t="shared" si="6"/>
        <v>2575.1072961373388</v>
      </c>
      <c r="J20" s="242">
        <f t="shared" si="7"/>
        <v>-7725.3218884120161</v>
      </c>
      <c r="K20" s="153"/>
      <c r="M20" s="316" t="s">
        <v>2253</v>
      </c>
      <c r="N20" s="317"/>
      <c r="O20" s="318"/>
      <c r="P20" s="325">
        <f>R18</f>
        <v>0.7191011235955056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44084</v>
      </c>
      <c r="D21" s="161" t="s">
        <v>8</v>
      </c>
      <c r="E21" s="161" t="s">
        <v>94</v>
      </c>
      <c r="F21" s="222">
        <v>1095</v>
      </c>
      <c r="G21" s="222">
        <v>1085</v>
      </c>
      <c r="H21" s="222">
        <v>10</v>
      </c>
      <c r="I21" s="207">
        <f t="shared" si="6"/>
        <v>273.97260273972603</v>
      </c>
      <c r="J21" s="242">
        <f t="shared" si="7"/>
        <v>2739.7260273972602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44085</v>
      </c>
      <c r="D22" s="161" t="s">
        <v>9</v>
      </c>
      <c r="E22" s="161" t="s">
        <v>49</v>
      </c>
      <c r="F22" s="222">
        <v>2340</v>
      </c>
      <c r="G22" s="222">
        <v>2373</v>
      </c>
      <c r="H22" s="222">
        <v>33</v>
      </c>
      <c r="I22" s="207">
        <f t="shared" si="6"/>
        <v>128.2051282051282</v>
      </c>
      <c r="J22" s="242">
        <f t="shared" si="7"/>
        <v>4230.7692307692305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44085</v>
      </c>
      <c r="D23" s="161" t="s">
        <v>8</v>
      </c>
      <c r="E23" s="161" t="s">
        <v>94</v>
      </c>
      <c r="F23" s="222">
        <v>1090</v>
      </c>
      <c r="G23" s="222">
        <v>1075</v>
      </c>
      <c r="H23" s="222">
        <v>15</v>
      </c>
      <c r="I23" s="207">
        <f t="shared" si="6"/>
        <v>275.22935779816515</v>
      </c>
      <c r="J23" s="242">
        <f t="shared" si="7"/>
        <v>4128.440366972477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44088</v>
      </c>
      <c r="D24" s="161" t="s">
        <v>9</v>
      </c>
      <c r="E24" s="161" t="s">
        <v>667</v>
      </c>
      <c r="F24" s="222">
        <v>115.5</v>
      </c>
      <c r="G24" s="222">
        <v>119.5</v>
      </c>
      <c r="H24" s="222">
        <v>4</v>
      </c>
      <c r="I24" s="207">
        <f t="shared" si="6"/>
        <v>2597.4025974025976</v>
      </c>
      <c r="J24" s="242">
        <f t="shared" si="7"/>
        <v>10389.61038961039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44088</v>
      </c>
      <c r="D25" s="161" t="s">
        <v>8</v>
      </c>
      <c r="E25" s="161" t="s">
        <v>94</v>
      </c>
      <c r="F25" s="222">
        <v>1080</v>
      </c>
      <c r="G25" s="222">
        <v>1060</v>
      </c>
      <c r="H25" s="222">
        <v>20</v>
      </c>
      <c r="I25" s="207">
        <f t="shared" si="6"/>
        <v>277.77777777777777</v>
      </c>
      <c r="J25" s="242">
        <f t="shared" si="7"/>
        <v>5555.5555555555557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44089</v>
      </c>
      <c r="D26" s="161" t="s">
        <v>9</v>
      </c>
      <c r="E26" s="161" t="s">
        <v>15</v>
      </c>
      <c r="F26" s="222">
        <v>1300</v>
      </c>
      <c r="G26" s="222">
        <v>1308.5</v>
      </c>
      <c r="H26" s="222">
        <v>8.5</v>
      </c>
      <c r="I26" s="207">
        <f t="shared" si="6"/>
        <v>230.76923076923077</v>
      </c>
      <c r="J26" s="242">
        <f t="shared" si="7"/>
        <v>1961.5384615384617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44089</v>
      </c>
      <c r="D27" s="161" t="s">
        <v>8</v>
      </c>
      <c r="E27" s="161" t="s">
        <v>19</v>
      </c>
      <c r="F27" s="222">
        <v>198.5</v>
      </c>
      <c r="G27" s="222">
        <v>197.5</v>
      </c>
      <c r="H27" s="222">
        <v>1</v>
      </c>
      <c r="I27" s="207">
        <f t="shared" si="6"/>
        <v>1511.3350125944585</v>
      </c>
      <c r="J27" s="242">
        <f t="shared" si="7"/>
        <v>1511.3350125944585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44090</v>
      </c>
      <c r="D28" s="161" t="s">
        <v>9</v>
      </c>
      <c r="E28" s="161" t="s">
        <v>814</v>
      </c>
      <c r="F28" s="222">
        <v>790</v>
      </c>
      <c r="G28" s="222">
        <v>780</v>
      </c>
      <c r="H28" s="222">
        <v>-10</v>
      </c>
      <c r="I28" s="207">
        <f t="shared" si="6"/>
        <v>379.74683544303798</v>
      </c>
      <c r="J28" s="242">
        <f t="shared" si="7"/>
        <v>-3797.4683544303798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44090</v>
      </c>
      <c r="D29" s="161" t="s">
        <v>8</v>
      </c>
      <c r="E29" s="161" t="s">
        <v>31</v>
      </c>
      <c r="F29" s="222">
        <v>2315</v>
      </c>
      <c r="G29" s="222">
        <v>2335</v>
      </c>
      <c r="H29" s="222">
        <v>-20</v>
      </c>
      <c r="I29" s="207">
        <f t="shared" si="6"/>
        <v>129.58963282937364</v>
      </c>
      <c r="J29" s="242">
        <f t="shared" si="7"/>
        <v>-2591.7926565874727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44091</v>
      </c>
      <c r="D30" s="161" t="s">
        <v>9</v>
      </c>
      <c r="E30" s="161" t="s">
        <v>58</v>
      </c>
      <c r="F30" s="222">
        <v>443</v>
      </c>
      <c r="G30" s="222">
        <v>446.2</v>
      </c>
      <c r="H30" s="222">
        <v>3.2</v>
      </c>
      <c r="I30" s="207">
        <f t="shared" si="6"/>
        <v>677.20090293453723</v>
      </c>
      <c r="J30" s="242">
        <f t="shared" si="7"/>
        <v>2167.0428893905191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44091</v>
      </c>
      <c r="D31" s="161" t="s">
        <v>8</v>
      </c>
      <c r="E31" s="161" t="s">
        <v>78</v>
      </c>
      <c r="F31" s="222">
        <v>913</v>
      </c>
      <c r="G31" s="222">
        <v>907</v>
      </c>
      <c r="H31" s="222">
        <v>6</v>
      </c>
      <c r="I31" s="207">
        <f t="shared" si="6"/>
        <v>328.58707557502737</v>
      </c>
      <c r="J31" s="242">
        <f t="shared" si="7"/>
        <v>1971.5224534501642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44092</v>
      </c>
      <c r="D32" s="161" t="s">
        <v>9</v>
      </c>
      <c r="E32" s="161" t="s">
        <v>275</v>
      </c>
      <c r="F32" s="222">
        <v>421</v>
      </c>
      <c r="G32" s="222">
        <v>416</v>
      </c>
      <c r="H32" s="222">
        <v>5</v>
      </c>
      <c r="I32" s="207">
        <f t="shared" si="6"/>
        <v>712.58907363420428</v>
      </c>
      <c r="J32" s="242">
        <f t="shared" si="7"/>
        <v>3562.9453681710215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44092</v>
      </c>
      <c r="D33" s="161" t="s">
        <v>8</v>
      </c>
      <c r="E33" s="161" t="s">
        <v>2023</v>
      </c>
      <c r="F33" s="222">
        <v>3475</v>
      </c>
      <c r="G33" s="222">
        <v>3435</v>
      </c>
      <c r="H33" s="222">
        <v>40</v>
      </c>
      <c r="I33" s="207">
        <f t="shared" si="6"/>
        <v>86.330935251798564</v>
      </c>
      <c r="J33" s="242">
        <f t="shared" si="7"/>
        <v>3453.2374100719426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44095</v>
      </c>
      <c r="D34" s="161" t="s">
        <v>9</v>
      </c>
      <c r="E34" s="161" t="s">
        <v>126</v>
      </c>
      <c r="F34" s="222">
        <v>2495</v>
      </c>
      <c r="G34" s="222">
        <v>2470</v>
      </c>
      <c r="H34" s="222">
        <v>-25</v>
      </c>
      <c r="I34" s="207">
        <f t="shared" si="6"/>
        <v>120.24048096192385</v>
      </c>
      <c r="J34" s="242">
        <f t="shared" si="7"/>
        <v>-3006.0120240480965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44095</v>
      </c>
      <c r="D35" s="161" t="s">
        <v>8</v>
      </c>
      <c r="E35" s="161" t="s">
        <v>78</v>
      </c>
      <c r="F35" s="222">
        <v>892</v>
      </c>
      <c r="G35" s="222">
        <v>877</v>
      </c>
      <c r="H35" s="222">
        <v>15</v>
      </c>
      <c r="I35" s="207">
        <f t="shared" si="6"/>
        <v>336.32286995515693</v>
      </c>
      <c r="J35" s="242">
        <f t="shared" si="7"/>
        <v>5044.8430493273536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44096</v>
      </c>
      <c r="D36" s="161" t="s">
        <v>9</v>
      </c>
      <c r="E36" s="161" t="s">
        <v>129</v>
      </c>
      <c r="F36" s="222">
        <v>1700</v>
      </c>
      <c r="G36" s="222">
        <v>1685</v>
      </c>
      <c r="H36" s="222">
        <v>-15</v>
      </c>
      <c r="I36" s="207">
        <f t="shared" si="6"/>
        <v>176.47058823529412</v>
      </c>
      <c r="J36" s="242">
        <f t="shared" si="7"/>
        <v>-2647.0588235294117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44096</v>
      </c>
      <c r="D37" s="161" t="s">
        <v>8</v>
      </c>
      <c r="E37" s="161" t="s">
        <v>78</v>
      </c>
      <c r="F37" s="222">
        <v>865</v>
      </c>
      <c r="G37" s="222">
        <v>855</v>
      </c>
      <c r="H37" s="222">
        <v>10</v>
      </c>
      <c r="I37" s="207">
        <f t="shared" si="6"/>
        <v>346.82080924855489</v>
      </c>
      <c r="J37" s="242">
        <f t="shared" si="7"/>
        <v>3468.2080924855491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44097</v>
      </c>
      <c r="D38" s="161" t="s">
        <v>9</v>
      </c>
      <c r="E38" s="161" t="s">
        <v>31</v>
      </c>
      <c r="F38" s="222">
        <v>2255</v>
      </c>
      <c r="G38" s="222">
        <v>2235</v>
      </c>
      <c r="H38" s="222">
        <v>-20</v>
      </c>
      <c r="I38" s="207">
        <f t="shared" si="6"/>
        <v>133.03769401330376</v>
      </c>
      <c r="J38" s="242">
        <f t="shared" si="7"/>
        <v>-2660.7538802660752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44097</v>
      </c>
      <c r="D39" s="161" t="s">
        <v>8</v>
      </c>
      <c r="E39" s="161" t="s">
        <v>552</v>
      </c>
      <c r="F39" s="222">
        <v>543</v>
      </c>
      <c r="G39" s="222">
        <v>531</v>
      </c>
      <c r="H39" s="222">
        <v>12</v>
      </c>
      <c r="I39" s="207">
        <f t="shared" si="6"/>
        <v>552.4861878453039</v>
      </c>
      <c r="J39" s="242">
        <f t="shared" si="7"/>
        <v>6629.8342541436468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44098</v>
      </c>
      <c r="D40" s="161" t="s">
        <v>9</v>
      </c>
      <c r="E40" s="161" t="s">
        <v>78</v>
      </c>
      <c r="F40" s="222">
        <v>848</v>
      </c>
      <c r="G40" s="222">
        <v>858</v>
      </c>
      <c r="H40" s="222">
        <v>10</v>
      </c>
      <c r="I40" s="207">
        <f t="shared" si="6"/>
        <v>353.77358490566036</v>
      </c>
      <c r="J40" s="242">
        <f t="shared" si="7"/>
        <v>3537.7358490566035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44098</v>
      </c>
      <c r="D41" s="161" t="s">
        <v>8</v>
      </c>
      <c r="E41" s="161" t="s">
        <v>552</v>
      </c>
      <c r="F41" s="222">
        <v>510</v>
      </c>
      <c r="G41" s="223">
        <v>500.5</v>
      </c>
      <c r="H41" s="222">
        <v>9.5</v>
      </c>
      <c r="I41" s="207">
        <f t="shared" si="6"/>
        <v>588.23529411764707</v>
      </c>
      <c r="J41" s="242">
        <f t="shared" si="7"/>
        <v>5588.2352941176468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44099</v>
      </c>
      <c r="D42" s="161" t="s">
        <v>9</v>
      </c>
      <c r="E42" s="161" t="s">
        <v>2999</v>
      </c>
      <c r="F42" s="222">
        <v>579</v>
      </c>
      <c r="G42" s="222">
        <v>578</v>
      </c>
      <c r="H42" s="222">
        <v>-1</v>
      </c>
      <c r="I42" s="207">
        <f t="shared" si="6"/>
        <v>518.13471502590676</v>
      </c>
      <c r="J42" s="242">
        <f t="shared" si="7"/>
        <v>-518.13471502590676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44099</v>
      </c>
      <c r="D43" s="161" t="s">
        <v>8</v>
      </c>
      <c r="E43" s="161" t="s">
        <v>31</v>
      </c>
      <c r="F43" s="222">
        <v>2190</v>
      </c>
      <c r="G43" s="222">
        <v>2170</v>
      </c>
      <c r="H43" s="222">
        <v>20</v>
      </c>
      <c r="I43" s="207">
        <f t="shared" si="6"/>
        <v>136.98630136986301</v>
      </c>
      <c r="J43" s="242">
        <f t="shared" si="7"/>
        <v>2739.7260273972602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44102</v>
      </c>
      <c r="D44" s="161" t="s">
        <v>9</v>
      </c>
      <c r="E44" s="161" t="s">
        <v>433</v>
      </c>
      <c r="F44" s="222">
        <v>405</v>
      </c>
      <c r="G44" s="222">
        <v>408.5</v>
      </c>
      <c r="H44" s="222">
        <v>3.5</v>
      </c>
      <c r="I44" s="207">
        <f t="shared" si="6"/>
        <v>740.74074074074076</v>
      </c>
      <c r="J44" s="242">
        <f t="shared" si="7"/>
        <v>2592.5925925925926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44102</v>
      </c>
      <c r="D45" s="161" t="s">
        <v>8</v>
      </c>
      <c r="E45" s="161" t="s">
        <v>31</v>
      </c>
      <c r="F45" s="222">
        <v>2210</v>
      </c>
      <c r="G45" s="222">
        <v>2230</v>
      </c>
      <c r="H45" s="222">
        <v>-20</v>
      </c>
      <c r="I45" s="207">
        <f t="shared" si="6"/>
        <v>135.74660633484163</v>
      </c>
      <c r="J45" s="242">
        <f t="shared" si="7"/>
        <v>-2714.9321266968327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44103</v>
      </c>
      <c r="D46" s="161" t="s">
        <v>9</v>
      </c>
      <c r="E46" s="161" t="s">
        <v>31</v>
      </c>
      <c r="F46" s="222">
        <v>2225</v>
      </c>
      <c r="G46" s="222">
        <v>2256</v>
      </c>
      <c r="H46" s="222">
        <v>31</v>
      </c>
      <c r="I46" s="207">
        <f t="shared" si="6"/>
        <v>134.83146067415731</v>
      </c>
      <c r="J46" s="242">
        <f t="shared" si="7"/>
        <v>4179.7752808988771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44103</v>
      </c>
      <c r="D47" s="161" t="s">
        <v>8</v>
      </c>
      <c r="E47" s="161" t="s">
        <v>19</v>
      </c>
      <c r="F47" s="222">
        <v>187</v>
      </c>
      <c r="G47" s="222">
        <v>184</v>
      </c>
      <c r="H47" s="222">
        <v>3</v>
      </c>
      <c r="I47" s="207">
        <f t="shared" si="6"/>
        <v>1604.2780748663101</v>
      </c>
      <c r="J47" s="242">
        <f t="shared" si="7"/>
        <v>4812.8342245989306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44104</v>
      </c>
      <c r="D48" s="161" t="s">
        <v>9</v>
      </c>
      <c r="E48" s="161" t="s">
        <v>175</v>
      </c>
      <c r="F48" s="222">
        <v>813</v>
      </c>
      <c r="G48" s="222">
        <v>817.5</v>
      </c>
      <c r="H48" s="222">
        <v>4.5</v>
      </c>
      <c r="I48" s="207">
        <f t="shared" si="6"/>
        <v>369.00369003690037</v>
      </c>
      <c r="J48" s="242">
        <f t="shared" si="7"/>
        <v>1660.5166051660517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44104</v>
      </c>
      <c r="D49" s="161" t="s">
        <v>8</v>
      </c>
      <c r="E49" s="161" t="s">
        <v>19</v>
      </c>
      <c r="F49" s="222">
        <v>184</v>
      </c>
      <c r="G49" s="222">
        <v>183</v>
      </c>
      <c r="H49" s="222">
        <v>1</v>
      </c>
      <c r="I49" s="207">
        <f t="shared" si="6"/>
        <v>1630.4347826086957</v>
      </c>
      <c r="J49" s="242">
        <f t="shared" si="7"/>
        <v>1630.4347826086957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79518.526937341157</v>
      </c>
      <c r="K52" s="153"/>
      <c r="V52" s="25">
        <f>SUM(V6:V51)</f>
        <v>32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3077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44075</v>
      </c>
      <c r="D60" s="161" t="s">
        <v>9</v>
      </c>
      <c r="E60" s="161" t="s">
        <v>129</v>
      </c>
      <c r="F60" s="222">
        <v>1860</v>
      </c>
      <c r="G60" s="222">
        <v>1887</v>
      </c>
      <c r="H60" s="222">
        <v>27</v>
      </c>
      <c r="I60" s="207">
        <v>300</v>
      </c>
      <c r="J60" s="241">
        <f t="shared" ref="J60:J83" si="15">I60*H60</f>
        <v>8100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44076</v>
      </c>
      <c r="D61" s="161" t="s">
        <v>8</v>
      </c>
      <c r="E61" s="161" t="s">
        <v>58</v>
      </c>
      <c r="F61" s="222">
        <v>483.5</v>
      </c>
      <c r="G61" s="222">
        <v>474</v>
      </c>
      <c r="H61" s="222">
        <v>9.5</v>
      </c>
      <c r="I61" s="207">
        <v>1200</v>
      </c>
      <c r="J61" s="242">
        <f t="shared" si="15"/>
        <v>11400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44077</v>
      </c>
      <c r="D62" s="161" t="s">
        <v>9</v>
      </c>
      <c r="E62" s="161" t="s">
        <v>2999</v>
      </c>
      <c r="F62" s="222">
        <v>590</v>
      </c>
      <c r="G62" s="222">
        <v>586</v>
      </c>
      <c r="H62" s="222">
        <v>-3</v>
      </c>
      <c r="I62" s="207">
        <v>1100</v>
      </c>
      <c r="J62" s="242">
        <f t="shared" si="15"/>
        <v>-3300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44078</v>
      </c>
      <c r="D63" s="161" t="s">
        <v>9</v>
      </c>
      <c r="E63" s="161" t="s">
        <v>310</v>
      </c>
      <c r="F63" s="222">
        <v>582</v>
      </c>
      <c r="G63" s="222">
        <v>584.20000000000005</v>
      </c>
      <c r="H63" s="222">
        <v>2.2000000000000002</v>
      </c>
      <c r="I63" s="207">
        <v>1250</v>
      </c>
      <c r="J63" s="242">
        <f t="shared" si="15"/>
        <v>2750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44081</v>
      </c>
      <c r="D64" s="161" t="s">
        <v>9</v>
      </c>
      <c r="E64" s="161" t="s">
        <v>58</v>
      </c>
      <c r="F64" s="222">
        <v>460</v>
      </c>
      <c r="G64" s="222">
        <v>467.5</v>
      </c>
      <c r="H64" s="222">
        <v>7.5</v>
      </c>
      <c r="I64" s="207">
        <v>1200</v>
      </c>
      <c r="J64" s="242">
        <f t="shared" si="15"/>
        <v>9000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44082</v>
      </c>
      <c r="D65" s="161" t="s">
        <v>9</v>
      </c>
      <c r="E65" s="161" t="s">
        <v>58</v>
      </c>
      <c r="F65" s="207">
        <v>461</v>
      </c>
      <c r="G65" s="222">
        <v>463.5</v>
      </c>
      <c r="H65" s="222">
        <v>2.5</v>
      </c>
      <c r="I65" s="207">
        <v>1200</v>
      </c>
      <c r="J65" s="242">
        <f t="shared" si="15"/>
        <v>3000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44083</v>
      </c>
      <c r="D66" s="161" t="s">
        <v>9</v>
      </c>
      <c r="E66" s="161" t="s">
        <v>78</v>
      </c>
      <c r="F66" s="207">
        <v>915</v>
      </c>
      <c r="G66" s="222">
        <v>925</v>
      </c>
      <c r="H66" s="222">
        <v>10</v>
      </c>
      <c r="I66" s="207">
        <v>550</v>
      </c>
      <c r="J66" s="242">
        <f t="shared" si="15"/>
        <v>5500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44084</v>
      </c>
      <c r="D67" s="161" t="s">
        <v>9</v>
      </c>
      <c r="E67" s="161" t="s">
        <v>31</v>
      </c>
      <c r="F67" s="222">
        <v>2225</v>
      </c>
      <c r="G67" s="222">
        <v>2265</v>
      </c>
      <c r="H67" s="222">
        <v>40</v>
      </c>
      <c r="I67" s="207">
        <v>505</v>
      </c>
      <c r="J67" s="242">
        <f t="shared" si="15"/>
        <v>20200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44085</v>
      </c>
      <c r="D68" s="161" t="s">
        <v>9</v>
      </c>
      <c r="E68" s="161" t="s">
        <v>365</v>
      </c>
      <c r="F68" s="222">
        <v>285.5</v>
      </c>
      <c r="G68" s="222">
        <v>288.5</v>
      </c>
      <c r="H68" s="222">
        <v>3</v>
      </c>
      <c r="I68" s="207">
        <v>2700</v>
      </c>
      <c r="J68" s="242">
        <f t="shared" si="15"/>
        <v>8100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44088</v>
      </c>
      <c r="D69" s="161" t="s">
        <v>9</v>
      </c>
      <c r="E69" s="161" t="s">
        <v>552</v>
      </c>
      <c r="F69" s="222">
        <v>620</v>
      </c>
      <c r="G69" s="222">
        <v>613</v>
      </c>
      <c r="H69" s="222">
        <v>-7</v>
      </c>
      <c r="I69" s="207">
        <v>800</v>
      </c>
      <c r="J69" s="242">
        <f t="shared" si="15"/>
        <v>-5600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44089</v>
      </c>
      <c r="D70" s="161" t="s">
        <v>9</v>
      </c>
      <c r="E70" s="161" t="s">
        <v>78</v>
      </c>
      <c r="F70" s="161">
        <v>910</v>
      </c>
      <c r="G70" s="222">
        <v>914.4</v>
      </c>
      <c r="H70" s="222">
        <v>4.4000000000000004</v>
      </c>
      <c r="I70" s="207">
        <v>550</v>
      </c>
      <c r="J70" s="242">
        <f t="shared" si="15"/>
        <v>2420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44090</v>
      </c>
      <c r="D71" s="161" t="s">
        <v>8</v>
      </c>
      <c r="E71" s="161" t="s">
        <v>58</v>
      </c>
      <c r="F71" s="222">
        <v>443</v>
      </c>
      <c r="G71" s="222">
        <v>440.9</v>
      </c>
      <c r="H71" s="222">
        <v>2.1</v>
      </c>
      <c r="I71" s="207">
        <v>1200</v>
      </c>
      <c r="J71" s="242">
        <f t="shared" si="15"/>
        <v>2520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44091</v>
      </c>
      <c r="D72" s="161" t="s">
        <v>8</v>
      </c>
      <c r="E72" s="161" t="s">
        <v>31</v>
      </c>
      <c r="F72" s="222">
        <v>2320</v>
      </c>
      <c r="G72" s="222">
        <v>2298</v>
      </c>
      <c r="H72" s="222">
        <v>22</v>
      </c>
      <c r="I72" s="207">
        <v>505</v>
      </c>
      <c r="J72" s="242">
        <f t="shared" si="15"/>
        <v>11110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44092</v>
      </c>
      <c r="D73" s="161" t="s">
        <v>8</v>
      </c>
      <c r="E73" s="161" t="s">
        <v>129</v>
      </c>
      <c r="F73" s="223">
        <v>1740</v>
      </c>
      <c r="G73" s="222">
        <v>1720</v>
      </c>
      <c r="H73" s="255">
        <v>20</v>
      </c>
      <c r="I73" s="207">
        <v>300</v>
      </c>
      <c r="J73" s="242">
        <f t="shared" si="15"/>
        <v>6000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44095</v>
      </c>
      <c r="D74" s="161" t="s">
        <v>9</v>
      </c>
      <c r="E74" s="161" t="s">
        <v>129</v>
      </c>
      <c r="F74" s="222">
        <v>1733</v>
      </c>
      <c r="G74" s="222">
        <v>1739</v>
      </c>
      <c r="H74" s="255">
        <v>6</v>
      </c>
      <c r="I74" s="207">
        <v>300</v>
      </c>
      <c r="J74" s="242">
        <f t="shared" si="15"/>
        <v>1800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44095</v>
      </c>
      <c r="D75" s="161" t="s">
        <v>9</v>
      </c>
      <c r="E75" s="161" t="s">
        <v>31</v>
      </c>
      <c r="F75" s="222">
        <v>2315</v>
      </c>
      <c r="G75" s="222">
        <v>2336.5</v>
      </c>
      <c r="H75" s="255">
        <v>21.5</v>
      </c>
      <c r="I75" s="207">
        <v>505</v>
      </c>
      <c r="J75" s="242">
        <f t="shared" si="15"/>
        <v>10857.5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44096</v>
      </c>
      <c r="D76" s="161" t="s">
        <v>8</v>
      </c>
      <c r="E76" s="161" t="s">
        <v>84</v>
      </c>
      <c r="F76" s="222">
        <v>6370</v>
      </c>
      <c r="G76" s="222">
        <v>6340</v>
      </c>
      <c r="H76" s="222">
        <v>30</v>
      </c>
      <c r="I76" s="207">
        <v>100</v>
      </c>
      <c r="J76" s="242">
        <f t="shared" si="15"/>
        <v>3000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44097</v>
      </c>
      <c r="D77" s="161" t="s">
        <v>8</v>
      </c>
      <c r="E77" s="161" t="s">
        <v>95</v>
      </c>
      <c r="F77" s="222">
        <v>354</v>
      </c>
      <c r="G77" s="222">
        <v>346</v>
      </c>
      <c r="H77" s="222">
        <v>8</v>
      </c>
      <c r="I77" s="207">
        <v>1375</v>
      </c>
      <c r="J77" s="242">
        <f t="shared" si="15"/>
        <v>11000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44098</v>
      </c>
      <c r="D78" s="161" t="s">
        <v>8</v>
      </c>
      <c r="E78" s="161" t="s">
        <v>2023</v>
      </c>
      <c r="F78" s="222">
        <v>3130</v>
      </c>
      <c r="G78" s="222">
        <v>3070</v>
      </c>
      <c r="H78" s="222">
        <v>60</v>
      </c>
      <c r="I78" s="207">
        <v>250</v>
      </c>
      <c r="J78" s="242">
        <f t="shared" si="15"/>
        <v>15000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44099</v>
      </c>
      <c r="D79" s="161" t="s">
        <v>8</v>
      </c>
      <c r="E79" s="161" t="s">
        <v>58</v>
      </c>
      <c r="F79" s="222">
        <v>405</v>
      </c>
      <c r="G79" s="222">
        <v>402.3</v>
      </c>
      <c r="H79" s="222">
        <v>2.7</v>
      </c>
      <c r="I79" s="207">
        <v>1200</v>
      </c>
      <c r="J79" s="242">
        <f t="shared" si="15"/>
        <v>3240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44102</v>
      </c>
      <c r="D80" s="161" t="s">
        <v>8</v>
      </c>
      <c r="E80" s="161" t="s">
        <v>85</v>
      </c>
      <c r="F80" s="222">
        <v>437</v>
      </c>
      <c r="G80" s="222">
        <v>443</v>
      </c>
      <c r="H80" s="222">
        <v>-6</v>
      </c>
      <c r="I80" s="207">
        <v>1851</v>
      </c>
      <c r="J80" s="242">
        <f t="shared" si="15"/>
        <v>-11106</v>
      </c>
      <c r="K80" s="153"/>
      <c r="V80" s="25">
        <f t="shared" si="16"/>
        <v>0</v>
      </c>
      <c r="W80" s="25">
        <f t="shared" si="17"/>
        <v>1</v>
      </c>
    </row>
    <row r="81" spans="1:23" x14ac:dyDescent="0.3">
      <c r="A81" s="147"/>
      <c r="B81" s="205">
        <f t="shared" si="18"/>
        <v>22</v>
      </c>
      <c r="C81" s="206">
        <v>44103</v>
      </c>
      <c r="D81" s="161" t="s">
        <v>8</v>
      </c>
      <c r="E81" s="161" t="s">
        <v>58</v>
      </c>
      <c r="F81" s="222">
        <v>436</v>
      </c>
      <c r="G81" s="222">
        <v>429</v>
      </c>
      <c r="H81" s="222">
        <v>7</v>
      </c>
      <c r="I81" s="207">
        <v>1200</v>
      </c>
      <c r="J81" s="242">
        <f t="shared" si="15"/>
        <v>8400</v>
      </c>
      <c r="K81" s="153"/>
    </row>
    <row r="82" spans="1:23" x14ac:dyDescent="0.3">
      <c r="A82" s="147"/>
      <c r="B82" s="205">
        <f t="shared" si="18"/>
        <v>23</v>
      </c>
      <c r="C82" s="206">
        <v>44104</v>
      </c>
      <c r="D82" s="161" t="s">
        <v>8</v>
      </c>
      <c r="E82" s="161" t="s">
        <v>58</v>
      </c>
      <c r="F82" s="222">
        <v>423</v>
      </c>
      <c r="G82" s="222">
        <v>421.2</v>
      </c>
      <c r="H82" s="222">
        <v>1.8</v>
      </c>
      <c r="I82" s="207">
        <v>1200</v>
      </c>
      <c r="J82" s="242">
        <f t="shared" si="15"/>
        <v>2160</v>
      </c>
      <c r="K82" s="153"/>
      <c r="V82" s="25">
        <f t="shared" si="16"/>
        <v>1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125551.5</v>
      </c>
      <c r="K84" s="153"/>
      <c r="V84" s="25">
        <f>SUM(V60:V83)</f>
        <v>19</v>
      </c>
      <c r="W84" s="25">
        <f>SUM(W60:W83)</f>
        <v>3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3078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44075</v>
      </c>
      <c r="D92" s="185" t="s">
        <v>9</v>
      </c>
      <c r="E92" s="185" t="s">
        <v>39</v>
      </c>
      <c r="F92" s="219">
        <v>11480</v>
      </c>
      <c r="G92" s="219">
        <v>11440</v>
      </c>
      <c r="H92" s="185">
        <v>-40</v>
      </c>
      <c r="I92" s="219">
        <v>150</v>
      </c>
      <c r="J92" s="246">
        <f t="shared" ref="J92:J114" si="19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44076</v>
      </c>
      <c r="D93" s="185" t="s">
        <v>8</v>
      </c>
      <c r="E93" s="185" t="s">
        <v>39</v>
      </c>
      <c r="F93" s="219">
        <v>11490</v>
      </c>
      <c r="G93" s="219">
        <v>11450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44077</v>
      </c>
      <c r="D94" s="161" t="s">
        <v>9</v>
      </c>
      <c r="E94" s="161" t="s">
        <v>39</v>
      </c>
      <c r="F94" s="207">
        <v>11570</v>
      </c>
      <c r="G94" s="207">
        <v>11530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44078</v>
      </c>
      <c r="D95" s="161" t="s">
        <v>9</v>
      </c>
      <c r="E95" s="161" t="s">
        <v>39</v>
      </c>
      <c r="F95" s="207">
        <v>11410</v>
      </c>
      <c r="G95" s="207">
        <v>11460</v>
      </c>
      <c r="H95" s="161">
        <v>50</v>
      </c>
      <c r="I95" s="207">
        <v>150</v>
      </c>
      <c r="J95" s="242">
        <f t="shared" si="19"/>
        <v>7500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44081</v>
      </c>
      <c r="D96" s="161" t="s">
        <v>9</v>
      </c>
      <c r="E96" s="161" t="s">
        <v>39</v>
      </c>
      <c r="F96" s="207">
        <v>11320</v>
      </c>
      <c r="G96" s="207">
        <v>11385</v>
      </c>
      <c r="H96" s="161">
        <v>65</v>
      </c>
      <c r="I96" s="207">
        <v>150</v>
      </c>
      <c r="J96" s="242">
        <f t="shared" si="19"/>
        <v>9750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44082</v>
      </c>
      <c r="D97" s="161" t="s">
        <v>9</v>
      </c>
      <c r="E97" s="161" t="s">
        <v>39</v>
      </c>
      <c r="F97" s="207">
        <v>11390</v>
      </c>
      <c r="G97" s="207">
        <v>11430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44083</v>
      </c>
      <c r="D98" s="161" t="s">
        <v>9</v>
      </c>
      <c r="E98" s="161" t="s">
        <v>39</v>
      </c>
      <c r="F98" s="207">
        <v>11270</v>
      </c>
      <c r="G98" s="207">
        <v>11240</v>
      </c>
      <c r="H98" s="161">
        <v>-30</v>
      </c>
      <c r="I98" s="207">
        <v>150</v>
      </c>
      <c r="J98" s="242">
        <f t="shared" si="19"/>
        <v>-4500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44084</v>
      </c>
      <c r="D99" s="161" t="s">
        <v>9</v>
      </c>
      <c r="E99" s="161" t="s">
        <v>39</v>
      </c>
      <c r="F99" s="207">
        <v>11370</v>
      </c>
      <c r="G99" s="207">
        <v>11450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44085</v>
      </c>
      <c r="D100" s="161" t="s">
        <v>9</v>
      </c>
      <c r="E100" s="161" t="s">
        <v>39</v>
      </c>
      <c r="F100" s="207">
        <v>11460</v>
      </c>
      <c r="G100" s="207">
        <v>11420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44088</v>
      </c>
      <c r="D101" s="161" t="s">
        <v>9</v>
      </c>
      <c r="E101" s="161" t="s">
        <v>39</v>
      </c>
      <c r="F101" s="207">
        <v>11540</v>
      </c>
      <c r="G101" s="207">
        <v>11560</v>
      </c>
      <c r="H101" s="161">
        <v>20</v>
      </c>
      <c r="I101" s="207">
        <v>150</v>
      </c>
      <c r="J101" s="242">
        <f t="shared" si="19"/>
        <v>3000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44089</v>
      </c>
      <c r="D102" s="161" t="s">
        <v>9</v>
      </c>
      <c r="E102" s="161" t="s">
        <v>39</v>
      </c>
      <c r="F102" s="207">
        <v>11470</v>
      </c>
      <c r="G102" s="207">
        <v>11525</v>
      </c>
      <c r="H102" s="161">
        <v>55</v>
      </c>
      <c r="I102" s="207">
        <v>150</v>
      </c>
      <c r="J102" s="242">
        <f t="shared" si="19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44090</v>
      </c>
      <c r="D103" s="161" t="s">
        <v>9</v>
      </c>
      <c r="E103" s="161" t="s">
        <v>39</v>
      </c>
      <c r="F103" s="207">
        <v>11550</v>
      </c>
      <c r="G103" s="207">
        <v>11608</v>
      </c>
      <c r="H103" s="161">
        <v>58</v>
      </c>
      <c r="I103" s="207">
        <v>150</v>
      </c>
      <c r="J103" s="242">
        <f t="shared" si="19"/>
        <v>8700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44091</v>
      </c>
      <c r="D104" s="161" t="s">
        <v>9</v>
      </c>
      <c r="E104" s="161" t="s">
        <v>39</v>
      </c>
      <c r="F104" s="207">
        <v>11560</v>
      </c>
      <c r="G104" s="207">
        <v>11520</v>
      </c>
      <c r="H104" s="161">
        <v>-40</v>
      </c>
      <c r="I104" s="207">
        <v>150</v>
      </c>
      <c r="J104" s="242">
        <f t="shared" si="19"/>
        <v>-6000</v>
      </c>
      <c r="K104" s="153"/>
      <c r="V104" s="25">
        <f t="shared" si="20"/>
        <v>0</v>
      </c>
      <c r="W104" s="25">
        <f t="shared" si="21"/>
        <v>1</v>
      </c>
    </row>
    <row r="105" spans="1:23" x14ac:dyDescent="0.3">
      <c r="A105" s="147"/>
      <c r="B105" s="205">
        <f t="shared" si="22"/>
        <v>14</v>
      </c>
      <c r="C105" s="206">
        <v>44092</v>
      </c>
      <c r="D105" s="161" t="s">
        <v>9</v>
      </c>
      <c r="E105" s="161" t="s">
        <v>39</v>
      </c>
      <c r="F105" s="207">
        <v>11560</v>
      </c>
      <c r="G105" s="207">
        <v>11596</v>
      </c>
      <c r="H105" s="161">
        <v>36</v>
      </c>
      <c r="I105" s="207">
        <v>150</v>
      </c>
      <c r="J105" s="242">
        <f t="shared" si="19"/>
        <v>5400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44095</v>
      </c>
      <c r="D106" s="161" t="s">
        <v>9</v>
      </c>
      <c r="E106" s="161" t="s">
        <v>39</v>
      </c>
      <c r="F106" s="207">
        <v>11510</v>
      </c>
      <c r="G106" s="207">
        <v>11470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44096</v>
      </c>
      <c r="D107" s="161" t="s">
        <v>8</v>
      </c>
      <c r="E107" s="161" t="s">
        <v>39</v>
      </c>
      <c r="F107" s="207">
        <v>11210</v>
      </c>
      <c r="G107" s="207">
        <v>11130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44097</v>
      </c>
      <c r="D108" s="161" t="s">
        <v>8</v>
      </c>
      <c r="E108" s="161" t="s">
        <v>39</v>
      </c>
      <c r="F108" s="207">
        <v>11200</v>
      </c>
      <c r="G108" s="207">
        <v>11120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44098</v>
      </c>
      <c r="D109" s="161" t="s">
        <v>8</v>
      </c>
      <c r="E109" s="161" t="s">
        <v>39</v>
      </c>
      <c r="F109" s="207">
        <v>10970</v>
      </c>
      <c r="G109" s="207">
        <v>10890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44099</v>
      </c>
      <c r="D110" s="161" t="s">
        <v>8</v>
      </c>
      <c r="E110" s="161" t="s">
        <v>39</v>
      </c>
      <c r="F110" s="207">
        <v>10880</v>
      </c>
      <c r="G110" s="207">
        <v>10860</v>
      </c>
      <c r="H110" s="161">
        <v>20</v>
      </c>
      <c r="I110" s="207">
        <v>150</v>
      </c>
      <c r="J110" s="242">
        <f>I110*H110</f>
        <v>3000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44102</v>
      </c>
      <c r="D111" s="161" t="s">
        <v>8</v>
      </c>
      <c r="E111" s="161" t="s">
        <v>39</v>
      </c>
      <c r="F111" s="207">
        <v>11200</v>
      </c>
      <c r="G111" s="207">
        <v>11240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44103</v>
      </c>
      <c r="D112" s="161" t="s">
        <v>8</v>
      </c>
      <c r="E112" s="161" t="s">
        <v>39</v>
      </c>
      <c r="F112" s="207">
        <v>11230</v>
      </c>
      <c r="G112" s="207">
        <v>11190</v>
      </c>
      <c r="H112" s="161">
        <v>40</v>
      </c>
      <c r="I112" s="207">
        <v>150</v>
      </c>
      <c r="J112" s="242">
        <f t="shared" si="19"/>
        <v>6000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44104</v>
      </c>
      <c r="D113" s="161" t="s">
        <v>9</v>
      </c>
      <c r="E113" s="161" t="s">
        <v>39</v>
      </c>
      <c r="F113" s="207">
        <v>11220</v>
      </c>
      <c r="G113" s="207">
        <v>11280</v>
      </c>
      <c r="H113" s="161">
        <v>60</v>
      </c>
      <c r="I113" s="207">
        <v>150</v>
      </c>
      <c r="J113" s="242">
        <f t="shared" si="19"/>
        <v>9000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92100</v>
      </c>
      <c r="K115" s="153"/>
      <c r="V115" s="25">
        <f>SUM(V92:V114)</f>
        <v>16</v>
      </c>
      <c r="W115" s="25">
        <f>SUM(W92:W114)</f>
        <v>6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3076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44075</v>
      </c>
      <c r="D123" s="185" t="s">
        <v>9</v>
      </c>
      <c r="E123" s="185" t="s">
        <v>2541</v>
      </c>
      <c r="F123" s="219">
        <v>95</v>
      </c>
      <c r="G123" s="219">
        <v>120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44076</v>
      </c>
      <c r="D124" s="185" t="s">
        <v>9</v>
      </c>
      <c r="E124" s="185" t="s">
        <v>2545</v>
      </c>
      <c r="F124" s="219">
        <v>85</v>
      </c>
      <c r="G124" s="219">
        <v>60</v>
      </c>
      <c r="H124" s="185">
        <v>-25</v>
      </c>
      <c r="I124" s="219">
        <v>300</v>
      </c>
      <c r="J124" s="242">
        <f t="shared" si="23"/>
        <v>-7500</v>
      </c>
      <c r="K124" s="153"/>
      <c r="V124" s="25">
        <f t="shared" ref="V124:V145" si="24">IF($J124&gt;0,1,0)</f>
        <v>0</v>
      </c>
      <c r="W124" s="25">
        <f t="shared" ref="W124:W145" si="25">IF($J124&lt;0,1,0)</f>
        <v>1</v>
      </c>
    </row>
    <row r="125" spans="1:23" x14ac:dyDescent="0.3">
      <c r="A125" s="147"/>
      <c r="B125" s="205">
        <f t="shared" ref="B125:B145" si="26">B124+1</f>
        <v>3</v>
      </c>
      <c r="C125" s="206">
        <v>44077</v>
      </c>
      <c r="D125" s="161" t="s">
        <v>9</v>
      </c>
      <c r="E125" s="161" t="s">
        <v>3081</v>
      </c>
      <c r="F125" s="207">
        <v>110</v>
      </c>
      <c r="G125" s="207">
        <v>85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44078</v>
      </c>
      <c r="D126" s="161" t="s">
        <v>9</v>
      </c>
      <c r="E126" s="161" t="s">
        <v>2538</v>
      </c>
      <c r="F126" s="207">
        <v>110</v>
      </c>
      <c r="G126" s="207">
        <v>145</v>
      </c>
      <c r="H126" s="161">
        <v>35</v>
      </c>
      <c r="I126" s="207">
        <v>300</v>
      </c>
      <c r="J126" s="242">
        <f t="shared" si="23"/>
        <v>10500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44081</v>
      </c>
      <c r="D127" s="161" t="s">
        <v>9</v>
      </c>
      <c r="E127" s="161" t="s">
        <v>2536</v>
      </c>
      <c r="F127" s="207">
        <v>100</v>
      </c>
      <c r="G127" s="207">
        <v>135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44082</v>
      </c>
      <c r="D128" s="161" t="s">
        <v>9</v>
      </c>
      <c r="E128" s="161" t="s">
        <v>2833</v>
      </c>
      <c r="F128" s="207">
        <v>105</v>
      </c>
      <c r="G128" s="222">
        <v>130</v>
      </c>
      <c r="H128" s="222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44083</v>
      </c>
      <c r="D129" s="161" t="s">
        <v>9</v>
      </c>
      <c r="E129" s="161" t="s">
        <v>2531</v>
      </c>
      <c r="F129" s="207">
        <v>105</v>
      </c>
      <c r="G129" s="207">
        <v>125</v>
      </c>
      <c r="H129" s="161">
        <v>20</v>
      </c>
      <c r="I129" s="207">
        <v>300</v>
      </c>
      <c r="J129" s="242">
        <f t="shared" si="23"/>
        <v>6000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44084</v>
      </c>
      <c r="D130" s="161" t="s">
        <v>9</v>
      </c>
      <c r="E130" s="161" t="s">
        <v>2531</v>
      </c>
      <c r="F130" s="207">
        <v>90</v>
      </c>
      <c r="G130" s="207">
        <v>140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44085</v>
      </c>
      <c r="D131" s="161" t="s">
        <v>9</v>
      </c>
      <c r="E131" s="161" t="s">
        <v>3081</v>
      </c>
      <c r="F131" s="207">
        <v>105</v>
      </c>
      <c r="G131" s="207">
        <v>95</v>
      </c>
      <c r="H131" s="161">
        <v>-10</v>
      </c>
      <c r="I131" s="207">
        <v>300</v>
      </c>
      <c r="J131" s="242">
        <f t="shared" si="23"/>
        <v>-3000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44088</v>
      </c>
      <c r="D132" s="161" t="s">
        <v>9</v>
      </c>
      <c r="E132" s="161" t="s">
        <v>2541</v>
      </c>
      <c r="F132" s="207">
        <v>100</v>
      </c>
      <c r="G132" s="222">
        <v>111</v>
      </c>
      <c r="H132" s="222">
        <v>11</v>
      </c>
      <c r="I132" s="207">
        <v>300</v>
      </c>
      <c r="J132" s="242">
        <f t="shared" si="23"/>
        <v>3300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44089</v>
      </c>
      <c r="D133" s="161" t="s">
        <v>9</v>
      </c>
      <c r="E133" s="161" t="s">
        <v>2538</v>
      </c>
      <c r="F133" s="207">
        <v>113</v>
      </c>
      <c r="G133" s="207">
        <v>163</v>
      </c>
      <c r="H133" s="161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44090</v>
      </c>
      <c r="D134" s="161" t="s">
        <v>9</v>
      </c>
      <c r="E134" s="161" t="s">
        <v>3081</v>
      </c>
      <c r="F134" s="207">
        <v>110</v>
      </c>
      <c r="G134" s="222">
        <v>160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44091</v>
      </c>
      <c r="D135" s="161" t="s">
        <v>9</v>
      </c>
      <c r="E135" s="161" t="s">
        <v>2571</v>
      </c>
      <c r="F135" s="207">
        <v>90</v>
      </c>
      <c r="G135" s="207">
        <v>65</v>
      </c>
      <c r="H135" s="161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44092</v>
      </c>
      <c r="D136" s="161" t="s">
        <v>9</v>
      </c>
      <c r="E136" s="161" t="s">
        <v>2839</v>
      </c>
      <c r="F136" s="207">
        <v>105</v>
      </c>
      <c r="G136" s="207">
        <v>117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44095</v>
      </c>
      <c r="D137" s="161" t="s">
        <v>9</v>
      </c>
      <c r="E137" s="161" t="s">
        <v>2545</v>
      </c>
      <c r="F137" s="207">
        <v>125</v>
      </c>
      <c r="G137" s="207">
        <v>175</v>
      </c>
      <c r="H137" s="161">
        <v>50</v>
      </c>
      <c r="I137" s="207">
        <v>300</v>
      </c>
      <c r="J137" s="242">
        <f t="shared" si="23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44096</v>
      </c>
      <c r="D138" s="161" t="s">
        <v>9</v>
      </c>
      <c r="E138" s="161" t="s">
        <v>2529</v>
      </c>
      <c r="F138" s="207">
        <v>95</v>
      </c>
      <c r="G138" s="207">
        <v>105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44097</v>
      </c>
      <c r="D139" s="161" t="s">
        <v>9</v>
      </c>
      <c r="E139" s="161" t="s">
        <v>2529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44098</v>
      </c>
      <c r="D140" s="161" t="s">
        <v>9</v>
      </c>
      <c r="E140" s="161" t="s">
        <v>2437</v>
      </c>
      <c r="F140" s="207">
        <v>65</v>
      </c>
      <c r="G140" s="222">
        <v>115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44099</v>
      </c>
      <c r="D141" s="161" t="s">
        <v>9</v>
      </c>
      <c r="E141" s="161" t="s">
        <v>2508</v>
      </c>
      <c r="F141" s="207">
        <v>130</v>
      </c>
      <c r="G141" s="207">
        <v>105</v>
      </c>
      <c r="H141" s="161">
        <v>-25</v>
      </c>
      <c r="I141" s="207">
        <v>300</v>
      </c>
      <c r="J141" s="242">
        <f t="shared" si="23"/>
        <v>-7500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44102</v>
      </c>
      <c r="D142" s="161" t="s">
        <v>9</v>
      </c>
      <c r="E142" s="161" t="s">
        <v>2445</v>
      </c>
      <c r="F142" s="207">
        <v>85</v>
      </c>
      <c r="G142" s="207">
        <v>100</v>
      </c>
      <c r="H142" s="161">
        <v>15</v>
      </c>
      <c r="I142" s="207">
        <v>300</v>
      </c>
      <c r="J142" s="242">
        <f t="shared" si="23"/>
        <v>4500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44103</v>
      </c>
      <c r="D143" s="161" t="s">
        <v>9</v>
      </c>
      <c r="E143" s="161" t="s">
        <v>2531</v>
      </c>
      <c r="F143" s="207">
        <v>115</v>
      </c>
      <c r="G143" s="207">
        <v>147</v>
      </c>
      <c r="H143" s="161">
        <v>32</v>
      </c>
      <c r="I143" s="207">
        <v>300</v>
      </c>
      <c r="J143" s="242">
        <f t="shared" si="23"/>
        <v>9600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>
        <v>44104</v>
      </c>
      <c r="D144" s="161" t="s">
        <v>9</v>
      </c>
      <c r="E144" s="161" t="s">
        <v>2531</v>
      </c>
      <c r="F144" s="207">
        <v>100</v>
      </c>
      <c r="G144" s="207">
        <v>75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115500</v>
      </c>
      <c r="K146" s="153"/>
      <c r="V146" s="25">
        <f>SUM(V123:V145)</f>
        <v>16</v>
      </c>
      <c r="W146" s="25">
        <f>SUM(W123:W145)</f>
        <v>6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3076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44075</v>
      </c>
      <c r="D154" s="185" t="s">
        <v>8</v>
      </c>
      <c r="E154" s="185" t="s">
        <v>301</v>
      </c>
      <c r="F154" s="219">
        <v>23650</v>
      </c>
      <c r="G154" s="231">
        <v>23800</v>
      </c>
      <c r="H154" s="185">
        <v>-150</v>
      </c>
      <c r="I154" s="219">
        <v>50</v>
      </c>
      <c r="J154" s="246">
        <f t="shared" ref="J154:J176" si="27">I154*H154</f>
        <v>-7500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18">
        <v>44076</v>
      </c>
      <c r="D155" s="185" t="s">
        <v>8</v>
      </c>
      <c r="E155" s="185" t="s">
        <v>301</v>
      </c>
      <c r="F155" s="219">
        <v>23670</v>
      </c>
      <c r="G155" s="219">
        <v>23520</v>
      </c>
      <c r="H155" s="185">
        <v>150</v>
      </c>
      <c r="I155" s="219">
        <v>50</v>
      </c>
      <c r="J155" s="242">
        <f t="shared" si="27"/>
        <v>7500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44077</v>
      </c>
      <c r="D156" s="161" t="s">
        <v>9</v>
      </c>
      <c r="E156" s="161" t="s">
        <v>301</v>
      </c>
      <c r="F156" s="207">
        <v>23800</v>
      </c>
      <c r="G156" s="207">
        <v>23650</v>
      </c>
      <c r="H156" s="161">
        <v>-150</v>
      </c>
      <c r="I156" s="207">
        <v>50</v>
      </c>
      <c r="J156" s="242">
        <f t="shared" si="27"/>
        <v>-7500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44078</v>
      </c>
      <c r="D157" s="161" t="s">
        <v>9</v>
      </c>
      <c r="E157" s="161" t="s">
        <v>301</v>
      </c>
      <c r="F157" s="207">
        <v>23200</v>
      </c>
      <c r="G157" s="207">
        <v>23400</v>
      </c>
      <c r="H157" s="161">
        <v>200</v>
      </c>
      <c r="I157" s="207">
        <v>50</v>
      </c>
      <c r="J157" s="242">
        <f t="shared" si="27"/>
        <v>10000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44081</v>
      </c>
      <c r="D158" s="161" t="s">
        <v>9</v>
      </c>
      <c r="E158" s="161" t="s">
        <v>301</v>
      </c>
      <c r="F158" s="207">
        <v>23050</v>
      </c>
      <c r="G158" s="207">
        <v>23100</v>
      </c>
      <c r="H158" s="161">
        <v>50</v>
      </c>
      <c r="I158" s="207">
        <v>50</v>
      </c>
      <c r="J158" s="242">
        <f t="shared" si="27"/>
        <v>2500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44082</v>
      </c>
      <c r="D159" s="161" t="s">
        <v>9</v>
      </c>
      <c r="E159" s="161" t="s">
        <v>301</v>
      </c>
      <c r="F159" s="207">
        <v>22950</v>
      </c>
      <c r="G159" s="207">
        <v>23090</v>
      </c>
      <c r="H159" s="161">
        <v>140</v>
      </c>
      <c r="I159" s="207">
        <v>50</v>
      </c>
      <c r="J159" s="242">
        <f t="shared" si="27"/>
        <v>7000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44083</v>
      </c>
      <c r="D160" s="161" t="s">
        <v>8</v>
      </c>
      <c r="E160" s="161" t="s">
        <v>301</v>
      </c>
      <c r="F160" s="207">
        <v>22250</v>
      </c>
      <c r="G160" s="207">
        <v>22130</v>
      </c>
      <c r="H160" s="161">
        <v>120</v>
      </c>
      <c r="I160" s="207">
        <v>50</v>
      </c>
      <c r="J160" s="242">
        <f t="shared" si="27"/>
        <v>6000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44084</v>
      </c>
      <c r="D161" s="161" t="s">
        <v>9</v>
      </c>
      <c r="E161" s="161" t="s">
        <v>301</v>
      </c>
      <c r="F161" s="207">
        <v>22500</v>
      </c>
      <c r="G161" s="207">
        <v>22720</v>
      </c>
      <c r="H161" s="161">
        <v>220</v>
      </c>
      <c r="I161" s="207">
        <v>50</v>
      </c>
      <c r="J161" s="242">
        <f t="shared" si="27"/>
        <v>11000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44085</v>
      </c>
      <c r="D162" s="161" t="s">
        <v>9</v>
      </c>
      <c r="E162" s="161" t="s">
        <v>301</v>
      </c>
      <c r="F162" s="207">
        <v>22450</v>
      </c>
      <c r="G162" s="207">
        <v>300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44088</v>
      </c>
      <c r="D163" s="161" t="s">
        <v>9</v>
      </c>
      <c r="E163" s="161" t="s">
        <v>301</v>
      </c>
      <c r="F163" s="207">
        <v>22700</v>
      </c>
      <c r="G163" s="207">
        <v>22550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44089</v>
      </c>
      <c r="D164" s="161" t="s">
        <v>9</v>
      </c>
      <c r="E164" s="161" t="s">
        <v>301</v>
      </c>
      <c r="F164" s="207">
        <v>22200</v>
      </c>
      <c r="G164" s="207">
        <v>22500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44090</v>
      </c>
      <c r="D165" s="161" t="s">
        <v>9</v>
      </c>
      <c r="E165" s="161" t="s">
        <v>301</v>
      </c>
      <c r="F165" s="207">
        <v>22350</v>
      </c>
      <c r="G165" s="207">
        <v>22650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44091</v>
      </c>
      <c r="D166" s="161" t="s">
        <v>9</v>
      </c>
      <c r="E166" s="161" t="s">
        <v>301</v>
      </c>
      <c r="F166" s="207">
        <v>22500</v>
      </c>
      <c r="G166" s="207">
        <v>22550</v>
      </c>
      <c r="H166" s="161">
        <v>50</v>
      </c>
      <c r="I166" s="207">
        <v>50</v>
      </c>
      <c r="J166" s="242">
        <f t="shared" si="27"/>
        <v>2500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44092</v>
      </c>
      <c r="D167" s="161" t="s">
        <v>9</v>
      </c>
      <c r="E167" s="161" t="s">
        <v>301</v>
      </c>
      <c r="F167" s="207">
        <v>22450</v>
      </c>
      <c r="G167" s="207">
        <v>22510</v>
      </c>
      <c r="H167" s="161">
        <v>60</v>
      </c>
      <c r="I167" s="207">
        <v>50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44095</v>
      </c>
      <c r="D168" s="161" t="s">
        <v>9</v>
      </c>
      <c r="E168" s="161" t="s">
        <v>301</v>
      </c>
      <c r="F168" s="207">
        <v>22050</v>
      </c>
      <c r="G168" s="207">
        <v>22100</v>
      </c>
      <c r="H168" s="161">
        <v>50</v>
      </c>
      <c r="I168" s="207">
        <v>50</v>
      </c>
      <c r="J168" s="242">
        <f t="shared" si="27"/>
        <v>2500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44096</v>
      </c>
      <c r="D169" s="161" t="s">
        <v>9</v>
      </c>
      <c r="E169" s="161" t="s">
        <v>301</v>
      </c>
      <c r="F169" s="207">
        <v>21350</v>
      </c>
      <c r="G169" s="207">
        <v>21470</v>
      </c>
      <c r="H169" s="161">
        <v>120</v>
      </c>
      <c r="I169" s="207">
        <v>50</v>
      </c>
      <c r="J169" s="242">
        <f t="shared" si="27"/>
        <v>6000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44097</v>
      </c>
      <c r="D170" s="161" t="s">
        <v>9</v>
      </c>
      <c r="E170" s="161" t="s">
        <v>301</v>
      </c>
      <c r="F170" s="207">
        <v>21250</v>
      </c>
      <c r="G170" s="207">
        <v>21300</v>
      </c>
      <c r="H170" s="161">
        <v>50</v>
      </c>
      <c r="I170" s="207">
        <v>50</v>
      </c>
      <c r="J170" s="242">
        <f t="shared" si="27"/>
        <v>2500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44098</v>
      </c>
      <c r="D171" s="161" t="s">
        <v>8</v>
      </c>
      <c r="E171" s="161" t="s">
        <v>301</v>
      </c>
      <c r="F171" s="207">
        <v>20850</v>
      </c>
      <c r="G171" s="207">
        <v>20550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44099</v>
      </c>
      <c r="D172" s="161" t="s">
        <v>8</v>
      </c>
      <c r="E172" s="161" t="s">
        <v>301</v>
      </c>
      <c r="F172" s="207">
        <v>20550</v>
      </c>
      <c r="G172" s="207">
        <v>20431</v>
      </c>
      <c r="H172" s="161">
        <v>119</v>
      </c>
      <c r="I172" s="207">
        <v>50</v>
      </c>
      <c r="J172" s="242">
        <f t="shared" si="27"/>
        <v>5950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44102</v>
      </c>
      <c r="D173" s="161" t="s">
        <v>9</v>
      </c>
      <c r="E173" s="161" t="s">
        <v>301</v>
      </c>
      <c r="F173" s="207">
        <v>21480</v>
      </c>
      <c r="G173" s="207">
        <v>21690</v>
      </c>
      <c r="H173" s="161">
        <v>210</v>
      </c>
      <c r="I173" s="207">
        <v>50</v>
      </c>
      <c r="J173" s="242">
        <f t="shared" si="27"/>
        <v>10500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44103</v>
      </c>
      <c r="D174" s="161" t="s">
        <v>8</v>
      </c>
      <c r="E174" s="161" t="s">
        <v>301</v>
      </c>
      <c r="F174" s="207">
        <v>21350</v>
      </c>
      <c r="G174" s="207">
        <v>21500</v>
      </c>
      <c r="H174" s="161">
        <v>-150</v>
      </c>
      <c r="I174" s="207">
        <v>50</v>
      </c>
      <c r="J174" s="242">
        <f t="shared" si="27"/>
        <v>-7500</v>
      </c>
      <c r="K174" s="153"/>
      <c r="V174" s="25">
        <f t="shared" si="28"/>
        <v>0</v>
      </c>
      <c r="W174" s="25">
        <f t="shared" si="29"/>
        <v>1</v>
      </c>
    </row>
    <row r="175" spans="1:23" x14ac:dyDescent="0.3">
      <c r="A175" s="147"/>
      <c r="B175" s="205">
        <f t="shared" si="30"/>
        <v>22</v>
      </c>
      <c r="C175" s="206">
        <v>44104</v>
      </c>
      <c r="D175" s="161" t="s">
        <v>9</v>
      </c>
      <c r="E175" s="161" t="s">
        <v>301</v>
      </c>
      <c r="F175" s="207">
        <v>21400</v>
      </c>
      <c r="G175" s="207">
        <v>21480</v>
      </c>
      <c r="H175" s="161">
        <v>80</v>
      </c>
      <c r="I175" s="207">
        <v>50</v>
      </c>
      <c r="J175" s="242">
        <f t="shared" si="27"/>
        <v>4000</v>
      </c>
      <c r="K175" s="153"/>
      <c r="V175" s="25">
        <f t="shared" si="28"/>
        <v>1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88450</v>
      </c>
      <c r="K177" s="153"/>
      <c r="V177" s="25">
        <f>SUM(V154:V176)</f>
        <v>17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3076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44075</v>
      </c>
      <c r="D185" s="185" t="s">
        <v>9</v>
      </c>
      <c r="E185" s="185" t="s">
        <v>2291</v>
      </c>
      <c r="F185" s="219">
        <v>380</v>
      </c>
      <c r="G185" s="219">
        <v>450</v>
      </c>
      <c r="H185" s="185">
        <v>70</v>
      </c>
      <c r="I185" s="219">
        <v>100</v>
      </c>
      <c r="J185" s="246">
        <f t="shared" ref="J185:J207" si="31">I185*H185</f>
        <v>7000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44076</v>
      </c>
      <c r="D186" s="185" t="s">
        <v>9</v>
      </c>
      <c r="E186" s="185" t="s">
        <v>2206</v>
      </c>
      <c r="F186" s="219">
        <v>280</v>
      </c>
      <c r="G186" s="219">
        <v>180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44077</v>
      </c>
      <c r="D187" s="161" t="s">
        <v>9</v>
      </c>
      <c r="E187" s="161" t="s">
        <v>2282</v>
      </c>
      <c r="F187" s="207">
        <v>100</v>
      </c>
      <c r="G187" s="207">
        <v>20</v>
      </c>
      <c r="H187" s="161">
        <v>-80</v>
      </c>
      <c r="I187" s="207">
        <v>100</v>
      </c>
      <c r="J187" s="242">
        <f t="shared" si="31"/>
        <v>-8000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44078</v>
      </c>
      <c r="D188" s="161" t="s">
        <v>9</v>
      </c>
      <c r="E188" s="161" t="s">
        <v>3069</v>
      </c>
      <c r="F188" s="207">
        <v>400</v>
      </c>
      <c r="G188" s="207">
        <v>500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44081</v>
      </c>
      <c r="D189" s="161" t="s">
        <v>9</v>
      </c>
      <c r="E189" s="161" t="s">
        <v>2163</v>
      </c>
      <c r="F189" s="207">
        <v>300</v>
      </c>
      <c r="G189" s="207">
        <v>200</v>
      </c>
      <c r="H189" s="161">
        <v>-100</v>
      </c>
      <c r="I189" s="207">
        <v>100</v>
      </c>
      <c r="J189" s="242">
        <f t="shared" si="31"/>
        <v>-10000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44082</v>
      </c>
      <c r="D190" s="161" t="s">
        <v>9</v>
      </c>
      <c r="E190" s="161" t="s">
        <v>3084</v>
      </c>
      <c r="F190" s="207">
        <v>270</v>
      </c>
      <c r="G190" s="207">
        <v>310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44082</v>
      </c>
      <c r="D191" s="161" t="s">
        <v>9</v>
      </c>
      <c r="E191" s="161" t="s">
        <v>2139</v>
      </c>
      <c r="F191" s="207">
        <v>170</v>
      </c>
      <c r="G191" s="207">
        <v>270</v>
      </c>
      <c r="H191" s="161">
        <v>100</v>
      </c>
      <c r="I191" s="207">
        <v>100</v>
      </c>
      <c r="J191" s="242">
        <f t="shared" si="31"/>
        <v>10000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44083</v>
      </c>
      <c r="D192" s="161" t="s">
        <v>9</v>
      </c>
      <c r="E192" s="161" t="s">
        <v>2111</v>
      </c>
      <c r="F192" s="207">
        <v>220</v>
      </c>
      <c r="G192" s="207">
        <v>290</v>
      </c>
      <c r="H192" s="161">
        <v>70</v>
      </c>
      <c r="I192" s="207">
        <v>100</v>
      </c>
      <c r="J192" s="242">
        <f t="shared" si="31"/>
        <v>7000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44084</v>
      </c>
      <c r="D193" s="161" t="s">
        <v>9</v>
      </c>
      <c r="E193" s="161" t="s">
        <v>2137</v>
      </c>
      <c r="F193" s="207">
        <v>80</v>
      </c>
      <c r="G193" s="207">
        <v>110</v>
      </c>
      <c r="H193" s="161">
        <v>30</v>
      </c>
      <c r="I193" s="207">
        <v>100</v>
      </c>
      <c r="J193" s="242">
        <f t="shared" si="31"/>
        <v>3000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44085</v>
      </c>
      <c r="D194" s="161" t="s">
        <v>9</v>
      </c>
      <c r="E194" s="161" t="s">
        <v>3087</v>
      </c>
      <c r="F194" s="207">
        <v>300</v>
      </c>
      <c r="G194" s="207">
        <v>270</v>
      </c>
      <c r="H194" s="161">
        <v>-30</v>
      </c>
      <c r="I194" s="207">
        <v>100</v>
      </c>
      <c r="J194" s="242">
        <f t="shared" si="31"/>
        <v>-3000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44088</v>
      </c>
      <c r="D195" s="161" t="s">
        <v>9</v>
      </c>
      <c r="E195" s="161" t="s">
        <v>2138</v>
      </c>
      <c r="F195" s="207">
        <v>290</v>
      </c>
      <c r="G195" s="207">
        <v>240</v>
      </c>
      <c r="H195" s="161">
        <v>-50</v>
      </c>
      <c r="I195" s="207">
        <v>100</v>
      </c>
      <c r="J195" s="242">
        <f t="shared" si="31"/>
        <v>-5000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44089</v>
      </c>
      <c r="D196" s="161" t="s">
        <v>9</v>
      </c>
      <c r="E196" s="161" t="s">
        <v>3029</v>
      </c>
      <c r="F196" s="207">
        <v>300</v>
      </c>
      <c r="G196" s="207">
        <v>445</v>
      </c>
      <c r="H196" s="161">
        <v>145</v>
      </c>
      <c r="I196" s="207">
        <v>100</v>
      </c>
      <c r="J196" s="242">
        <f t="shared" si="31"/>
        <v>14500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44090</v>
      </c>
      <c r="D197" s="161" t="s">
        <v>9</v>
      </c>
      <c r="E197" s="161" t="s">
        <v>2136</v>
      </c>
      <c r="F197" s="207">
        <v>170</v>
      </c>
      <c r="G197" s="207">
        <v>370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44091</v>
      </c>
      <c r="D198" s="161" t="s">
        <v>9</v>
      </c>
      <c r="E198" s="161" t="s">
        <v>3035</v>
      </c>
      <c r="F198" s="207">
        <v>120</v>
      </c>
      <c r="G198" s="207">
        <v>20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44092</v>
      </c>
      <c r="D199" s="161" t="s">
        <v>9</v>
      </c>
      <c r="E199" s="161" t="s">
        <v>2136</v>
      </c>
      <c r="F199" s="207">
        <v>360</v>
      </c>
      <c r="G199" s="207">
        <v>320</v>
      </c>
      <c r="H199" s="161">
        <v>-40</v>
      </c>
      <c r="I199" s="207">
        <v>100</v>
      </c>
      <c r="J199" s="242">
        <f t="shared" si="31"/>
        <v>-4000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16</v>
      </c>
      <c r="C200" s="206">
        <v>44095</v>
      </c>
      <c r="D200" s="161" t="s">
        <v>9</v>
      </c>
      <c r="E200" s="161" t="s">
        <v>2062</v>
      </c>
      <c r="F200" s="207">
        <v>180</v>
      </c>
      <c r="G200" s="207">
        <v>280</v>
      </c>
      <c r="H200" s="161">
        <v>100</v>
      </c>
      <c r="I200" s="207">
        <v>100</v>
      </c>
      <c r="J200" s="242">
        <f t="shared" si="31"/>
        <v>10000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44096</v>
      </c>
      <c r="D201" s="161" t="s">
        <v>9</v>
      </c>
      <c r="E201" s="161" t="s">
        <v>2053</v>
      </c>
      <c r="F201" s="207">
        <v>300</v>
      </c>
      <c r="G201" s="207">
        <v>335</v>
      </c>
      <c r="H201" s="161">
        <v>35</v>
      </c>
      <c r="I201" s="207">
        <v>100</v>
      </c>
      <c r="J201" s="242">
        <f t="shared" si="31"/>
        <v>3500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44097</v>
      </c>
      <c r="D202" s="161" t="s">
        <v>9</v>
      </c>
      <c r="E202" s="161" t="s">
        <v>2049</v>
      </c>
      <c r="F202" s="207">
        <v>200</v>
      </c>
      <c r="G202" s="207">
        <v>400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44098</v>
      </c>
      <c r="D203" s="161" t="s">
        <v>9</v>
      </c>
      <c r="E203" s="161" t="s">
        <v>2016</v>
      </c>
      <c r="F203" s="207">
        <v>150</v>
      </c>
      <c r="G203" s="207">
        <v>350</v>
      </c>
      <c r="H203" s="161">
        <v>200</v>
      </c>
      <c r="I203" s="207">
        <v>100</v>
      </c>
      <c r="J203" s="242">
        <f t="shared" si="31"/>
        <v>20000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44099</v>
      </c>
      <c r="D204" s="161" t="s">
        <v>9</v>
      </c>
      <c r="E204" s="161" t="s">
        <v>1998</v>
      </c>
      <c r="F204" s="207">
        <v>350</v>
      </c>
      <c r="G204" s="207">
        <v>250</v>
      </c>
      <c r="H204" s="161">
        <v>-100</v>
      </c>
      <c r="I204" s="207">
        <v>100</v>
      </c>
      <c r="J204" s="242">
        <f t="shared" si="31"/>
        <v>-10000</v>
      </c>
      <c r="K204" s="153"/>
      <c r="V204" s="25">
        <f t="shared" si="32"/>
        <v>0</v>
      </c>
      <c r="W204" s="25">
        <f t="shared" si="33"/>
        <v>1</v>
      </c>
    </row>
    <row r="205" spans="1:23" x14ac:dyDescent="0.3">
      <c r="A205" s="147"/>
      <c r="B205" s="205">
        <f t="shared" si="34"/>
        <v>21</v>
      </c>
      <c r="C205" s="206">
        <v>44102</v>
      </c>
      <c r="D205" s="161" t="s">
        <v>9</v>
      </c>
      <c r="E205" s="161" t="s">
        <v>2085</v>
      </c>
      <c r="F205" s="207">
        <v>310</v>
      </c>
      <c r="G205" s="207">
        <v>410</v>
      </c>
      <c r="H205" s="161">
        <v>100</v>
      </c>
      <c r="I205" s="207">
        <v>100</v>
      </c>
      <c r="J205" s="242">
        <f t="shared" si="31"/>
        <v>10000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44103</v>
      </c>
      <c r="D206" s="161" t="s">
        <v>9</v>
      </c>
      <c r="E206" s="161" t="s">
        <v>2085</v>
      </c>
      <c r="F206" s="207">
        <v>240</v>
      </c>
      <c r="G206" s="207">
        <v>200</v>
      </c>
      <c r="H206" s="161">
        <v>-40</v>
      </c>
      <c r="I206" s="207">
        <v>100</v>
      </c>
      <c r="J206" s="242">
        <f t="shared" si="31"/>
        <v>-4000</v>
      </c>
      <c r="K206" s="153"/>
      <c r="V206" s="25">
        <f t="shared" si="32"/>
        <v>0</v>
      </c>
      <c r="W206" s="25">
        <f t="shared" si="33"/>
        <v>1</v>
      </c>
    </row>
    <row r="207" spans="1:23" ht="15" thickBot="1" x14ac:dyDescent="0.35">
      <c r="A207" s="147"/>
      <c r="B207" s="208">
        <f t="shared" si="34"/>
        <v>23</v>
      </c>
      <c r="C207" s="209">
        <v>44104</v>
      </c>
      <c r="D207" s="166" t="s">
        <v>9</v>
      </c>
      <c r="E207" s="166" t="s">
        <v>2053</v>
      </c>
      <c r="F207" s="210">
        <v>200</v>
      </c>
      <c r="G207" s="210">
        <v>100</v>
      </c>
      <c r="H207" s="166">
        <v>-100</v>
      </c>
      <c r="I207" s="210">
        <v>100</v>
      </c>
      <c r="J207" s="244">
        <f t="shared" si="31"/>
        <v>-10000</v>
      </c>
      <c r="K207" s="153"/>
      <c r="V207" s="25">
        <f t="shared" si="32"/>
        <v>0</v>
      </c>
      <c r="W207" s="25">
        <f t="shared" si="33"/>
        <v>1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65000</v>
      </c>
      <c r="K208" s="153"/>
      <c r="V208" s="25">
        <f>SUM(V185:V207)</f>
        <v>13</v>
      </c>
      <c r="W208" s="25">
        <f>SUM(W185:W207)</f>
        <v>10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3076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44075</v>
      </c>
      <c r="D216" s="185" t="s">
        <v>9</v>
      </c>
      <c r="E216" s="185" t="s">
        <v>3079</v>
      </c>
      <c r="F216" s="231">
        <v>70</v>
      </c>
      <c r="G216" s="231">
        <v>84.2</v>
      </c>
      <c r="H216" s="231">
        <v>14.2</v>
      </c>
      <c r="I216" s="219">
        <v>300</v>
      </c>
      <c r="J216" s="246">
        <f t="shared" ref="J216:J239" si="35">I216*H216</f>
        <v>4260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44076</v>
      </c>
      <c r="D217" s="185" t="s">
        <v>9</v>
      </c>
      <c r="E217" s="185" t="s">
        <v>3080</v>
      </c>
      <c r="F217" s="231">
        <v>25</v>
      </c>
      <c r="G217" s="231">
        <v>27.5</v>
      </c>
      <c r="H217" s="231">
        <v>2.5</v>
      </c>
      <c r="I217" s="219">
        <v>1200</v>
      </c>
      <c r="J217" s="242">
        <f>I217*H217</f>
        <v>3000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44077</v>
      </c>
      <c r="D218" s="161" t="s">
        <v>9</v>
      </c>
      <c r="E218" s="161" t="s">
        <v>3075</v>
      </c>
      <c r="F218" s="222">
        <v>150</v>
      </c>
      <c r="G218" s="222">
        <v>125</v>
      </c>
      <c r="H218" s="222">
        <v>-25</v>
      </c>
      <c r="I218" s="207">
        <v>250</v>
      </c>
      <c r="J218" s="242">
        <f t="shared" si="35"/>
        <v>-6250</v>
      </c>
      <c r="K218" s="153"/>
      <c r="V218" s="25">
        <f t="shared" ref="V218:V239" si="37">IF($J218&gt;0,1,0)</f>
        <v>0</v>
      </c>
      <c r="W218" s="25">
        <f t="shared" ref="W218:W239" si="38">IF($J218&lt;0,1,0)</f>
        <v>1</v>
      </c>
    </row>
    <row r="219" spans="1:23" x14ac:dyDescent="0.3">
      <c r="A219" s="147"/>
      <c r="B219" s="205">
        <f t="shared" si="36"/>
        <v>4</v>
      </c>
      <c r="C219" s="206">
        <v>44078</v>
      </c>
      <c r="D219" s="161" t="s">
        <v>9</v>
      </c>
      <c r="E219" s="161" t="s">
        <v>3082</v>
      </c>
      <c r="F219" s="222">
        <v>145</v>
      </c>
      <c r="G219" s="222">
        <v>180</v>
      </c>
      <c r="H219" s="222">
        <v>35</v>
      </c>
      <c r="I219" s="207">
        <v>250</v>
      </c>
      <c r="J219" s="242">
        <f t="shared" si="35"/>
        <v>8750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44081</v>
      </c>
      <c r="D220" s="161" t="s">
        <v>9</v>
      </c>
      <c r="E220" s="161" t="s">
        <v>3083</v>
      </c>
      <c r="F220" s="222">
        <v>25</v>
      </c>
      <c r="G220" s="222">
        <v>21</v>
      </c>
      <c r="H220" s="222">
        <v>-4</v>
      </c>
      <c r="I220" s="207">
        <v>1200</v>
      </c>
      <c r="J220" s="242">
        <f t="shared" si="35"/>
        <v>-4800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44082</v>
      </c>
      <c r="D221" s="161" t="s">
        <v>9</v>
      </c>
      <c r="E221" s="161" t="s">
        <v>3085</v>
      </c>
      <c r="F221" s="222">
        <v>65</v>
      </c>
      <c r="G221" s="222">
        <v>76.650000000000006</v>
      </c>
      <c r="H221" s="222">
        <v>11.65</v>
      </c>
      <c r="I221" s="207">
        <v>300</v>
      </c>
      <c r="J221" s="242">
        <f t="shared" si="35"/>
        <v>3495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44083</v>
      </c>
      <c r="D222" s="161" t="s">
        <v>9</v>
      </c>
      <c r="E222" s="161" t="s">
        <v>3046</v>
      </c>
      <c r="F222" s="222">
        <v>19</v>
      </c>
      <c r="G222" s="222">
        <v>21.9</v>
      </c>
      <c r="H222" s="222">
        <v>2.9</v>
      </c>
      <c r="I222" s="207">
        <v>1200</v>
      </c>
      <c r="J222" s="242">
        <f t="shared" si="35"/>
        <v>3480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44084</v>
      </c>
      <c r="D223" s="161" t="s">
        <v>9</v>
      </c>
      <c r="E223" s="161" t="s">
        <v>3046</v>
      </c>
      <c r="F223" s="222">
        <v>18</v>
      </c>
      <c r="G223" s="222">
        <v>14</v>
      </c>
      <c r="H223" s="222">
        <v>-4</v>
      </c>
      <c r="I223" s="207">
        <v>1200</v>
      </c>
      <c r="J223" s="242">
        <f t="shared" si="35"/>
        <v>-4800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44085</v>
      </c>
      <c r="D224" s="161" t="s">
        <v>9</v>
      </c>
      <c r="E224" s="161" t="s">
        <v>3088</v>
      </c>
      <c r="F224" s="222">
        <v>70</v>
      </c>
      <c r="G224" s="222">
        <v>60</v>
      </c>
      <c r="H224" s="255">
        <v>-10</v>
      </c>
      <c r="I224" s="207">
        <v>550</v>
      </c>
      <c r="J224" s="242">
        <f t="shared" si="35"/>
        <v>-5500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44088</v>
      </c>
      <c r="D225" s="161" t="s">
        <v>9</v>
      </c>
      <c r="E225" s="161" t="s">
        <v>473</v>
      </c>
      <c r="F225" s="222">
        <v>25</v>
      </c>
      <c r="G225" s="222">
        <v>35</v>
      </c>
      <c r="H225" s="255">
        <v>10</v>
      </c>
      <c r="I225" s="207">
        <v>550</v>
      </c>
      <c r="J225" s="242">
        <f t="shared" si="35"/>
        <v>5500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44089</v>
      </c>
      <c r="D226" s="161" t="s">
        <v>9</v>
      </c>
      <c r="E226" s="161" t="s">
        <v>3089</v>
      </c>
      <c r="F226" s="222">
        <v>56</v>
      </c>
      <c r="G226" s="222">
        <v>59.5</v>
      </c>
      <c r="H226" s="255">
        <v>3.5</v>
      </c>
      <c r="I226" s="207">
        <v>505</v>
      </c>
      <c r="J226" s="242">
        <f t="shared" si="35"/>
        <v>1767.5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44090</v>
      </c>
      <c r="D227" s="161" t="s">
        <v>9</v>
      </c>
      <c r="E227" s="161" t="s">
        <v>3090</v>
      </c>
      <c r="F227" s="222">
        <v>60</v>
      </c>
      <c r="G227" s="222">
        <v>74</v>
      </c>
      <c r="H227" s="255">
        <v>14</v>
      </c>
      <c r="I227" s="207">
        <v>505</v>
      </c>
      <c r="J227" s="242">
        <f t="shared" si="35"/>
        <v>7070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44091</v>
      </c>
      <c r="D228" s="161" t="s">
        <v>9</v>
      </c>
      <c r="E228" s="161" t="s">
        <v>3091</v>
      </c>
      <c r="F228" s="222">
        <v>26</v>
      </c>
      <c r="G228" s="222">
        <v>23</v>
      </c>
      <c r="H228" s="255">
        <v>-3</v>
      </c>
      <c r="I228" s="207">
        <v>800</v>
      </c>
      <c r="J228" s="242">
        <f t="shared" si="35"/>
        <v>-2400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44092</v>
      </c>
      <c r="D229" s="161" t="s">
        <v>9</v>
      </c>
      <c r="E229" s="161" t="s">
        <v>2647</v>
      </c>
      <c r="F229" s="222">
        <v>10</v>
      </c>
      <c r="G229" s="222">
        <v>8</v>
      </c>
      <c r="H229" s="255">
        <v>-2</v>
      </c>
      <c r="I229" s="207">
        <v>1375</v>
      </c>
      <c r="J229" s="242">
        <f>I229*H229</f>
        <v>-2750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44095</v>
      </c>
      <c r="D230" s="161" t="s">
        <v>9</v>
      </c>
      <c r="E230" s="161" t="s">
        <v>1316</v>
      </c>
      <c r="F230" s="222">
        <v>9.5</v>
      </c>
      <c r="G230" s="222">
        <v>15.5</v>
      </c>
      <c r="H230" s="255">
        <v>6</v>
      </c>
      <c r="I230" s="207">
        <v>1200</v>
      </c>
      <c r="J230" s="242">
        <f t="shared" si="35"/>
        <v>7200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44096</v>
      </c>
      <c r="D231" s="161" t="s">
        <v>9</v>
      </c>
      <c r="E231" s="161" t="s">
        <v>3092</v>
      </c>
      <c r="F231" s="222">
        <v>115</v>
      </c>
      <c r="G231" s="222">
        <v>145</v>
      </c>
      <c r="H231" s="222">
        <v>40</v>
      </c>
      <c r="I231" s="207">
        <v>100</v>
      </c>
      <c r="J231" s="242">
        <f t="shared" si="35"/>
        <v>4000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44097</v>
      </c>
      <c r="D232" s="161" t="s">
        <v>9</v>
      </c>
      <c r="E232" s="161" t="s">
        <v>3093</v>
      </c>
      <c r="F232" s="222">
        <v>40</v>
      </c>
      <c r="G232" s="222">
        <v>54</v>
      </c>
      <c r="H232" s="222">
        <v>14</v>
      </c>
      <c r="I232" s="207">
        <v>250</v>
      </c>
      <c r="J232" s="242">
        <f t="shared" si="35"/>
        <v>3500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44098</v>
      </c>
      <c r="D233" s="161" t="s">
        <v>9</v>
      </c>
      <c r="E233" s="161" t="s">
        <v>3094</v>
      </c>
      <c r="F233" s="222">
        <v>4</v>
      </c>
      <c r="G233" s="222">
        <v>6</v>
      </c>
      <c r="H233" s="222">
        <v>2</v>
      </c>
      <c r="I233" s="207">
        <v>1200</v>
      </c>
      <c r="J233" s="242">
        <f t="shared" si="35"/>
        <v>2400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44099</v>
      </c>
      <c r="D234" s="161" t="s">
        <v>9</v>
      </c>
      <c r="E234" s="161" t="s">
        <v>3095</v>
      </c>
      <c r="F234" s="222">
        <v>170</v>
      </c>
      <c r="G234" s="222">
        <v>205</v>
      </c>
      <c r="H234" s="222">
        <v>35</v>
      </c>
      <c r="I234" s="207">
        <v>250</v>
      </c>
      <c r="J234" s="242">
        <f t="shared" si="35"/>
        <v>8750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44102</v>
      </c>
      <c r="D235" s="161" t="s">
        <v>9</v>
      </c>
      <c r="E235" s="161" t="s">
        <v>3096</v>
      </c>
      <c r="F235" s="222">
        <v>90</v>
      </c>
      <c r="G235" s="222">
        <v>95</v>
      </c>
      <c r="H235" s="222">
        <v>5</v>
      </c>
      <c r="I235" s="207">
        <v>505</v>
      </c>
      <c r="J235" s="242">
        <f t="shared" si="35"/>
        <v>2525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44103</v>
      </c>
      <c r="D236" s="161" t="s">
        <v>9</v>
      </c>
      <c r="E236" s="161" t="s">
        <v>3093</v>
      </c>
      <c r="F236" s="222">
        <v>160</v>
      </c>
      <c r="G236" s="222">
        <v>167.5</v>
      </c>
      <c r="H236" s="222">
        <v>7.5</v>
      </c>
      <c r="I236" s="207">
        <v>250</v>
      </c>
      <c r="J236" s="242">
        <f t="shared" si="35"/>
        <v>1875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44104</v>
      </c>
      <c r="D237" s="161" t="s">
        <v>9</v>
      </c>
      <c r="E237" s="161" t="s">
        <v>3097</v>
      </c>
      <c r="F237" s="222">
        <v>13</v>
      </c>
      <c r="G237" s="222">
        <v>12</v>
      </c>
      <c r="H237" s="222">
        <v>-1</v>
      </c>
      <c r="I237" s="207">
        <v>1375</v>
      </c>
      <c r="J237" s="242">
        <f t="shared" si="35"/>
        <v>-1375</v>
      </c>
      <c r="K237" s="153"/>
      <c r="V237" s="25">
        <f t="shared" si="37"/>
        <v>0</v>
      </c>
      <c r="W237" s="25">
        <f t="shared" si="38"/>
        <v>1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39697.5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900-000000000000}"/>
    <hyperlink ref="B84" r:id="rId2" xr:uid="{00000000-0004-0000-5900-000001000000}"/>
    <hyperlink ref="B115" r:id="rId3" xr:uid="{00000000-0004-0000-5900-000002000000}"/>
    <hyperlink ref="B146" r:id="rId4" xr:uid="{00000000-0004-0000-5900-000003000000}"/>
    <hyperlink ref="B177" r:id="rId5" xr:uid="{00000000-0004-0000-5900-000004000000}"/>
    <hyperlink ref="B208" r:id="rId6" xr:uid="{00000000-0004-0000-5900-000005000000}"/>
    <hyperlink ref="B240" r:id="rId7" xr:uid="{00000000-0004-0000-5900-000006000000}"/>
    <hyperlink ref="M1" location="'MASTER '!A1" display="Back" xr:uid="{00000000-0004-0000-5900-000007000000}"/>
    <hyperlink ref="M6:M7" location="'SEP 2020'!A77" display="STOCK FUTURE" xr:uid="{00000000-0004-0000-5900-000008000000}"/>
    <hyperlink ref="M14:M15" location="'SEP 2020'!A201" display="B.NIFTY OPTION" xr:uid="{00000000-0004-0000-5900-000009000000}"/>
    <hyperlink ref="M12:M13" location="'SEP 2020'!A170" display="BANK NIFTY" xr:uid="{00000000-0004-0000-5900-00000A000000}"/>
    <hyperlink ref="M10:M11" location="'SEP 2020'!A139" display="NF. OPTION" xr:uid="{00000000-0004-0000-5900-00000B000000}"/>
    <hyperlink ref="M8:M9" location="'SEP 2020'!A108" display="NIFTY FUTURE" xr:uid="{00000000-0004-0000-5900-00000C000000}"/>
    <hyperlink ref="M4:M5" location="'SEP 2020'!A1" display="CASH" xr:uid="{00000000-0004-0000-5900-00000D000000}"/>
    <hyperlink ref="M16:M17" location="'SEP 2020'!A1" display="STOCK OPTION" xr:uid="{00000000-0004-0000-5900-00000E000000}"/>
  </hyperlinks>
  <pageMargins left="0" right="0" top="0" bottom="0" header="0" footer="0"/>
  <pageSetup scale="95" orientation="portrait" r:id="rId8"/>
  <drawing r:id="rId9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W241"/>
  <sheetViews>
    <sheetView topLeftCell="A175" workbookViewId="0">
      <selection activeCell="A170" sqref="A170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3098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32</v>
      </c>
      <c r="P4" s="386">
        <f>W52</f>
        <v>10</v>
      </c>
      <c r="Q4" s="387">
        <f>N4-O4-P4</f>
        <v>0</v>
      </c>
      <c r="R4" s="380">
        <f>O4/N4</f>
        <v>0.76190476190476186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44105</v>
      </c>
      <c r="D6" s="158" t="s">
        <v>9</v>
      </c>
      <c r="E6" s="158" t="s">
        <v>119</v>
      </c>
      <c r="F6" s="230">
        <v>1300</v>
      </c>
      <c r="G6" s="222">
        <v>1305</v>
      </c>
      <c r="H6" s="222">
        <v>5</v>
      </c>
      <c r="I6" s="207">
        <f t="shared" ref="I6:I7" si="0">300000/F6</f>
        <v>230.76923076923077</v>
      </c>
      <c r="J6" s="161">
        <f t="shared" ref="J6:J7" si="1">H6*I6</f>
        <v>1153.8461538461538</v>
      </c>
      <c r="K6" s="153"/>
      <c r="M6" s="394" t="s">
        <v>450</v>
      </c>
      <c r="N6" s="344">
        <f>COUNT(C60:C83)</f>
        <v>21</v>
      </c>
      <c r="O6" s="346">
        <f>V84</f>
        <v>14</v>
      </c>
      <c r="P6" s="346">
        <f>W84</f>
        <v>7</v>
      </c>
      <c r="Q6" s="374">
        <f>N6-O6-P6</f>
        <v>0</v>
      </c>
      <c r="R6" s="376">
        <f t="shared" ref="R6" si="2">O6/N6</f>
        <v>0.66666666666666663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44105</v>
      </c>
      <c r="D7" s="161" t="s">
        <v>8</v>
      </c>
      <c r="E7" s="161" t="s">
        <v>31</v>
      </c>
      <c r="F7" s="222">
        <v>2245</v>
      </c>
      <c r="G7" s="231">
        <v>2215</v>
      </c>
      <c r="H7" s="255">
        <v>30</v>
      </c>
      <c r="I7" s="207">
        <f t="shared" si="0"/>
        <v>133.630289532294</v>
      </c>
      <c r="J7" s="161">
        <f t="shared" si="1"/>
        <v>4008.90868596882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44109</v>
      </c>
      <c r="D8" s="161" t="s">
        <v>9</v>
      </c>
      <c r="E8" s="161" t="s">
        <v>119</v>
      </c>
      <c r="F8" s="222">
        <v>1322</v>
      </c>
      <c r="G8" s="222">
        <v>1332</v>
      </c>
      <c r="H8" s="222">
        <v>10</v>
      </c>
      <c r="I8" s="207">
        <f t="shared" ref="I8:I47" si="6">300000/F8</f>
        <v>226.928895612708</v>
      </c>
      <c r="J8" s="161">
        <f t="shared" ref="J8:J47" si="7">H8*I8</f>
        <v>2269.2889561270799</v>
      </c>
      <c r="K8" s="153"/>
      <c r="M8" s="394" t="s">
        <v>451</v>
      </c>
      <c r="N8" s="344">
        <f>COUNT(C92:C114)</f>
        <v>21</v>
      </c>
      <c r="O8" s="346">
        <f>V115</f>
        <v>16</v>
      </c>
      <c r="P8" s="346">
        <f>W115</f>
        <v>5</v>
      </c>
      <c r="Q8" s="374">
        <f>N8-O8-P8</f>
        <v>0</v>
      </c>
      <c r="R8" s="376">
        <f t="shared" ref="R8" si="8">O8/N8</f>
        <v>0.76190476190476186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44109</v>
      </c>
      <c r="D9" s="161" t="s">
        <v>8</v>
      </c>
      <c r="E9" s="161" t="s">
        <v>31</v>
      </c>
      <c r="F9" s="222">
        <v>2235</v>
      </c>
      <c r="G9" s="231">
        <v>2215</v>
      </c>
      <c r="H9" s="255">
        <v>20</v>
      </c>
      <c r="I9" s="207">
        <f t="shared" si="6"/>
        <v>134.2281879194631</v>
      </c>
      <c r="J9" s="161">
        <f t="shared" si="7"/>
        <v>2684.5637583892621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44110</v>
      </c>
      <c r="D10" s="161" t="s">
        <v>9</v>
      </c>
      <c r="E10" s="161" t="s">
        <v>78</v>
      </c>
      <c r="F10" s="222">
        <v>903</v>
      </c>
      <c r="G10" s="222">
        <v>893</v>
      </c>
      <c r="H10" s="222">
        <v>-10</v>
      </c>
      <c r="I10" s="207">
        <f t="shared" si="6"/>
        <v>332.22591362126246</v>
      </c>
      <c r="J10" s="161">
        <f t="shared" si="7"/>
        <v>-3322.2591362126245</v>
      </c>
      <c r="K10" s="153"/>
      <c r="M10" s="394" t="s">
        <v>1176</v>
      </c>
      <c r="N10" s="344">
        <f>COUNT(C123:C145)</f>
        <v>20</v>
      </c>
      <c r="O10" s="346">
        <f>V146</f>
        <v>16</v>
      </c>
      <c r="P10" s="346">
        <f>W146</f>
        <v>4</v>
      </c>
      <c r="Q10" s="374">
        <f>N10-O10-P10</f>
        <v>0</v>
      </c>
      <c r="R10" s="376">
        <f t="shared" ref="R10:R16" si="9">O10/N10</f>
        <v>0.8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44110</v>
      </c>
      <c r="D11" s="161" t="s">
        <v>8</v>
      </c>
      <c r="E11" s="161" t="s">
        <v>552</v>
      </c>
      <c r="F11" s="222">
        <v>608</v>
      </c>
      <c r="G11" s="222">
        <v>615</v>
      </c>
      <c r="H11" s="255">
        <v>-7</v>
      </c>
      <c r="I11" s="207">
        <f t="shared" si="6"/>
        <v>493.42105263157896</v>
      </c>
      <c r="J11" s="161">
        <f t="shared" si="7"/>
        <v>-3453.9473684210525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44111</v>
      </c>
      <c r="D12" s="161" t="s">
        <v>9</v>
      </c>
      <c r="E12" s="161" t="s">
        <v>3103</v>
      </c>
      <c r="F12" s="222">
        <v>1460</v>
      </c>
      <c r="G12" s="222">
        <v>1480</v>
      </c>
      <c r="H12" s="222">
        <v>20</v>
      </c>
      <c r="I12" s="207">
        <f t="shared" si="6"/>
        <v>205.47945205479451</v>
      </c>
      <c r="J12" s="242">
        <f t="shared" si="7"/>
        <v>4109.58904109589</v>
      </c>
      <c r="K12" s="153"/>
      <c r="M12" s="394" t="s">
        <v>41</v>
      </c>
      <c r="N12" s="344">
        <f>COUNT(C154:C176)</f>
        <v>21</v>
      </c>
      <c r="O12" s="346">
        <f>V177</f>
        <v>18</v>
      </c>
      <c r="P12" s="346">
        <f>W177</f>
        <v>3</v>
      </c>
      <c r="Q12" s="374">
        <f t="shared" ref="Q12" si="10">N12-O12-P12</f>
        <v>0</v>
      </c>
      <c r="R12" s="376">
        <f t="shared" si="9"/>
        <v>0.8571428571428571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44111</v>
      </c>
      <c r="D13" s="161" t="s">
        <v>8</v>
      </c>
      <c r="E13" s="161" t="s">
        <v>2107</v>
      </c>
      <c r="F13" s="222">
        <v>1330</v>
      </c>
      <c r="G13" s="222">
        <v>1310</v>
      </c>
      <c r="H13" s="255">
        <v>20</v>
      </c>
      <c r="I13" s="207">
        <f t="shared" si="6"/>
        <v>225.5639097744361</v>
      </c>
      <c r="J13" s="242">
        <f t="shared" si="7"/>
        <v>4511.2781954887223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44112</v>
      </c>
      <c r="D14" s="161" t="s">
        <v>9</v>
      </c>
      <c r="E14" s="161" t="s">
        <v>58</v>
      </c>
      <c r="F14" s="222">
        <v>460</v>
      </c>
      <c r="G14" s="222">
        <v>461.5</v>
      </c>
      <c r="H14" s="222">
        <v>1.5</v>
      </c>
      <c r="I14" s="207">
        <f t="shared" si="6"/>
        <v>652.17391304347825</v>
      </c>
      <c r="J14" s="242">
        <f t="shared" si="7"/>
        <v>978.26086956521738</v>
      </c>
      <c r="K14" s="153"/>
      <c r="M14" s="394" t="s">
        <v>1175</v>
      </c>
      <c r="N14" s="344">
        <f>COUNT(C185:C207)</f>
        <v>21</v>
      </c>
      <c r="O14" s="346">
        <f>V208</f>
        <v>16</v>
      </c>
      <c r="P14" s="346">
        <f>W208</f>
        <v>5</v>
      </c>
      <c r="Q14" s="374">
        <f t="shared" ref="Q14" si="11">N14-O14-P14</f>
        <v>0</v>
      </c>
      <c r="R14" s="376">
        <f t="shared" si="9"/>
        <v>0.76190476190476186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44112</v>
      </c>
      <c r="D15" s="161" t="s">
        <v>8</v>
      </c>
      <c r="E15" s="161" t="s">
        <v>275</v>
      </c>
      <c r="F15" s="222">
        <v>341</v>
      </c>
      <c r="G15" s="222">
        <v>338.4</v>
      </c>
      <c r="H15" s="222">
        <v>2.6</v>
      </c>
      <c r="I15" s="207">
        <f t="shared" si="6"/>
        <v>879.76539589442814</v>
      </c>
      <c r="J15" s="242">
        <f t="shared" si="7"/>
        <v>2287.3900293255133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44113</v>
      </c>
      <c r="D16" s="161" t="s">
        <v>9</v>
      </c>
      <c r="E16" s="161" t="s">
        <v>78</v>
      </c>
      <c r="F16" s="222">
        <v>902</v>
      </c>
      <c r="G16" s="222">
        <v>912</v>
      </c>
      <c r="H16" s="222">
        <v>10</v>
      </c>
      <c r="I16" s="207">
        <f t="shared" si="6"/>
        <v>332.59423503325945</v>
      </c>
      <c r="J16" s="242">
        <f t="shared" si="7"/>
        <v>3325.9423503325943</v>
      </c>
      <c r="K16" s="153"/>
      <c r="L16" s="25" t="s">
        <v>2008</v>
      </c>
      <c r="M16" s="394" t="s">
        <v>1090</v>
      </c>
      <c r="N16" s="344">
        <f>COUNT(C216:C239)</f>
        <v>20</v>
      </c>
      <c r="O16" s="346">
        <f>V240</f>
        <v>16</v>
      </c>
      <c r="P16" s="346">
        <f>W240</f>
        <v>4</v>
      </c>
      <c r="Q16" s="374">
        <f t="shared" ref="Q16" si="12">N16-O16-P16</f>
        <v>0</v>
      </c>
      <c r="R16" s="376">
        <f t="shared" si="9"/>
        <v>0.8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44113</v>
      </c>
      <c r="D17" s="161" t="s">
        <v>8</v>
      </c>
      <c r="E17" s="161" t="s">
        <v>90</v>
      </c>
      <c r="F17" s="222">
        <v>848</v>
      </c>
      <c r="G17" s="222">
        <v>858</v>
      </c>
      <c r="H17" s="222">
        <v>-10</v>
      </c>
      <c r="I17" s="207">
        <f t="shared" si="6"/>
        <v>353.77358490566036</v>
      </c>
      <c r="J17" s="242">
        <f t="shared" si="7"/>
        <v>-3537.7358490566035</v>
      </c>
      <c r="K17" s="153"/>
      <c r="M17" s="395"/>
      <c r="N17" s="381"/>
      <c r="O17" s="373"/>
      <c r="P17" s="373"/>
      <c r="Q17" s="375"/>
      <c r="R17" s="377"/>
      <c r="V17" s="25">
        <f t="shared" si="3"/>
        <v>0</v>
      </c>
      <c r="W17" s="25">
        <f t="shared" si="4"/>
        <v>1</v>
      </c>
    </row>
    <row r="18" spans="1:23" x14ac:dyDescent="0.3">
      <c r="A18" s="147"/>
      <c r="B18" s="205">
        <f t="shared" si="5"/>
        <v>13</v>
      </c>
      <c r="C18" s="206">
        <v>44116</v>
      </c>
      <c r="D18" s="161" t="s">
        <v>9</v>
      </c>
      <c r="E18" s="161" t="s">
        <v>78</v>
      </c>
      <c r="F18" s="222">
        <v>921</v>
      </c>
      <c r="G18" s="222">
        <v>925.5</v>
      </c>
      <c r="H18" s="222">
        <v>4.5</v>
      </c>
      <c r="I18" s="207">
        <f t="shared" si="6"/>
        <v>325.73289902280129</v>
      </c>
      <c r="J18" s="242">
        <f t="shared" si="7"/>
        <v>1465.7980456026057</v>
      </c>
      <c r="K18" s="153"/>
      <c r="M18" s="392" t="s">
        <v>946</v>
      </c>
      <c r="N18" s="378">
        <f>SUM(N4:N17)</f>
        <v>166</v>
      </c>
      <c r="O18" s="378">
        <f t="shared" ref="O18:Q18" si="13">SUM(O4:O17)</f>
        <v>128</v>
      </c>
      <c r="P18" s="378">
        <f t="shared" si="13"/>
        <v>38</v>
      </c>
      <c r="Q18" s="378">
        <f t="shared" si="13"/>
        <v>0</v>
      </c>
      <c r="R18" s="380">
        <f t="shared" ref="R18" si="14">O18/N18</f>
        <v>0.77108433734939763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44116</v>
      </c>
      <c r="D19" s="161" t="s">
        <v>8</v>
      </c>
      <c r="E19" s="161" t="s">
        <v>2023</v>
      </c>
      <c r="F19" s="222">
        <v>3315</v>
      </c>
      <c r="G19" s="222">
        <v>3345</v>
      </c>
      <c r="H19" s="222">
        <v>-30</v>
      </c>
      <c r="I19" s="207">
        <f t="shared" si="6"/>
        <v>90.497737556561091</v>
      </c>
      <c r="J19" s="242">
        <f t="shared" si="7"/>
        <v>-2714.9321266968327</v>
      </c>
      <c r="K19" s="153"/>
      <c r="M19" s="393"/>
      <c r="N19" s="379"/>
      <c r="O19" s="379"/>
      <c r="P19" s="379"/>
      <c r="Q19" s="379"/>
      <c r="R19" s="377"/>
      <c r="V19" s="25">
        <f t="shared" si="3"/>
        <v>0</v>
      </c>
      <c r="W19" s="25">
        <f t="shared" si="4"/>
        <v>1</v>
      </c>
    </row>
    <row r="20" spans="1:23" ht="15" customHeight="1" x14ac:dyDescent="0.3">
      <c r="A20" s="147"/>
      <c r="B20" s="205">
        <f t="shared" si="5"/>
        <v>15</v>
      </c>
      <c r="C20" s="206">
        <v>44117</v>
      </c>
      <c r="D20" s="161" t="s">
        <v>9</v>
      </c>
      <c r="E20" s="161" t="s">
        <v>250</v>
      </c>
      <c r="F20" s="222">
        <v>1540</v>
      </c>
      <c r="G20" s="222">
        <v>1561</v>
      </c>
      <c r="H20" s="222">
        <v>21</v>
      </c>
      <c r="I20" s="207">
        <f t="shared" si="6"/>
        <v>194.80519480519482</v>
      </c>
      <c r="J20" s="242">
        <f t="shared" si="7"/>
        <v>4090.909090909091</v>
      </c>
      <c r="K20" s="153"/>
      <c r="M20" s="316" t="s">
        <v>2253</v>
      </c>
      <c r="N20" s="317"/>
      <c r="O20" s="318"/>
      <c r="P20" s="325">
        <f>R18</f>
        <v>0.77108433734939763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44117</v>
      </c>
      <c r="D21" s="161" t="s">
        <v>8</v>
      </c>
      <c r="E21" s="161" t="s">
        <v>95</v>
      </c>
      <c r="F21" s="222">
        <v>396</v>
      </c>
      <c r="G21" s="222">
        <v>394.2</v>
      </c>
      <c r="H21" s="222">
        <v>1.8</v>
      </c>
      <c r="I21" s="207">
        <f t="shared" si="6"/>
        <v>757.57575757575762</v>
      </c>
      <c r="J21" s="242">
        <f t="shared" si="7"/>
        <v>1363.6363636363637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44118</v>
      </c>
      <c r="D22" s="161" t="s">
        <v>9</v>
      </c>
      <c r="E22" s="161" t="s">
        <v>78</v>
      </c>
      <c r="F22" s="222">
        <v>890</v>
      </c>
      <c r="G22" s="222">
        <v>910</v>
      </c>
      <c r="H22" s="222">
        <v>20</v>
      </c>
      <c r="I22" s="207">
        <f t="shared" si="6"/>
        <v>337.07865168539325</v>
      </c>
      <c r="J22" s="242">
        <f t="shared" si="7"/>
        <v>6741.5730337078649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44118</v>
      </c>
      <c r="D23" s="161" t="s">
        <v>8</v>
      </c>
      <c r="E23" s="161" t="s">
        <v>95</v>
      </c>
      <c r="F23" s="222">
        <v>391</v>
      </c>
      <c r="G23" s="222">
        <v>389.5</v>
      </c>
      <c r="H23" s="222">
        <v>1.5</v>
      </c>
      <c r="I23" s="207">
        <f t="shared" si="6"/>
        <v>767.26342710997437</v>
      </c>
      <c r="J23" s="242">
        <f t="shared" si="7"/>
        <v>1150.8951406649617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44119</v>
      </c>
      <c r="D24" s="161" t="s">
        <v>9</v>
      </c>
      <c r="E24" s="161" t="s">
        <v>2944</v>
      </c>
      <c r="F24" s="222">
        <v>1238</v>
      </c>
      <c r="G24" s="222">
        <v>1248</v>
      </c>
      <c r="H24" s="222">
        <v>10</v>
      </c>
      <c r="I24" s="207">
        <f t="shared" si="6"/>
        <v>242.32633279483036</v>
      </c>
      <c r="J24" s="242">
        <f t="shared" si="7"/>
        <v>2423.2633279483034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44119</v>
      </c>
      <c r="D25" s="161" t="s">
        <v>8</v>
      </c>
      <c r="E25" s="161" t="s">
        <v>133</v>
      </c>
      <c r="F25" s="222">
        <v>1028</v>
      </c>
      <c r="G25" s="222">
        <v>1038</v>
      </c>
      <c r="H25" s="222">
        <v>-10</v>
      </c>
      <c r="I25" s="207">
        <f t="shared" si="6"/>
        <v>291.82879377431908</v>
      </c>
      <c r="J25" s="242">
        <f t="shared" si="7"/>
        <v>-2918.2879377431909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44120</v>
      </c>
      <c r="D26" s="161" t="s">
        <v>9</v>
      </c>
      <c r="E26" s="161" t="s">
        <v>78</v>
      </c>
      <c r="F26" s="222">
        <v>900</v>
      </c>
      <c r="G26" s="222">
        <v>890</v>
      </c>
      <c r="H26" s="222">
        <v>-10</v>
      </c>
      <c r="I26" s="207">
        <f t="shared" si="6"/>
        <v>333.33333333333331</v>
      </c>
      <c r="J26" s="242">
        <f t="shared" si="7"/>
        <v>-3333.333333333333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44120</v>
      </c>
      <c r="D27" s="161" t="s">
        <v>8</v>
      </c>
      <c r="E27" s="161" t="s">
        <v>31</v>
      </c>
      <c r="F27" s="222">
        <v>2210</v>
      </c>
      <c r="G27" s="222">
        <v>2180</v>
      </c>
      <c r="H27" s="222">
        <v>30</v>
      </c>
      <c r="I27" s="207">
        <f t="shared" si="6"/>
        <v>135.74660633484163</v>
      </c>
      <c r="J27" s="242">
        <f t="shared" si="7"/>
        <v>4072.3981900452491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44123</v>
      </c>
      <c r="D28" s="161" t="s">
        <v>9</v>
      </c>
      <c r="E28" s="161" t="s">
        <v>31</v>
      </c>
      <c r="F28" s="222">
        <v>2223</v>
      </c>
      <c r="G28" s="222">
        <v>2203</v>
      </c>
      <c r="H28" s="222">
        <v>-20</v>
      </c>
      <c r="I28" s="207">
        <f t="shared" si="6"/>
        <v>134.95276653171391</v>
      </c>
      <c r="J28" s="242">
        <f t="shared" si="7"/>
        <v>-2699.0553306342781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44123</v>
      </c>
      <c r="D29" s="161" t="s">
        <v>8</v>
      </c>
      <c r="E29" s="161" t="s">
        <v>2023</v>
      </c>
      <c r="F29" s="222">
        <v>3225</v>
      </c>
      <c r="G29" s="222">
        <v>3200</v>
      </c>
      <c r="H29" s="222">
        <v>25</v>
      </c>
      <c r="I29" s="207">
        <f t="shared" si="6"/>
        <v>93.023255813953483</v>
      </c>
      <c r="J29" s="242">
        <f t="shared" si="7"/>
        <v>2325.5813953488368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44124</v>
      </c>
      <c r="D30" s="161" t="s">
        <v>9</v>
      </c>
      <c r="E30" s="161" t="s">
        <v>25</v>
      </c>
      <c r="F30" s="222">
        <v>396</v>
      </c>
      <c r="G30" s="222">
        <v>392</v>
      </c>
      <c r="H30" s="222">
        <v>-4</v>
      </c>
      <c r="I30" s="207">
        <f t="shared" si="6"/>
        <v>757.57575757575762</v>
      </c>
      <c r="J30" s="242">
        <f t="shared" si="7"/>
        <v>-3030.3030303030305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44124</v>
      </c>
      <c r="D31" s="161" t="s">
        <v>8</v>
      </c>
      <c r="E31" s="161" t="s">
        <v>31</v>
      </c>
      <c r="F31" s="222">
        <v>2170</v>
      </c>
      <c r="G31" s="222">
        <v>2153</v>
      </c>
      <c r="H31" s="222">
        <v>17</v>
      </c>
      <c r="I31" s="207">
        <f t="shared" si="6"/>
        <v>138.24884792626727</v>
      </c>
      <c r="J31" s="242">
        <f t="shared" si="7"/>
        <v>2350.2304147465438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44125</v>
      </c>
      <c r="D32" s="161" t="s">
        <v>9</v>
      </c>
      <c r="E32" s="161" t="s">
        <v>58</v>
      </c>
      <c r="F32" s="222">
        <v>504</v>
      </c>
      <c r="G32" s="222">
        <v>506.4</v>
      </c>
      <c r="H32" s="222">
        <v>2.4</v>
      </c>
      <c r="I32" s="207">
        <f t="shared" si="6"/>
        <v>595.23809523809518</v>
      </c>
      <c r="J32" s="242">
        <f t="shared" si="7"/>
        <v>1428.5714285714284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44125</v>
      </c>
      <c r="D33" s="161" t="s">
        <v>8</v>
      </c>
      <c r="E33" s="161" t="s">
        <v>49</v>
      </c>
      <c r="F33" s="222">
        <v>2280</v>
      </c>
      <c r="G33" s="222">
        <v>2240</v>
      </c>
      <c r="H33" s="222">
        <v>40</v>
      </c>
      <c r="I33" s="207">
        <f t="shared" si="6"/>
        <v>131.57894736842104</v>
      </c>
      <c r="J33" s="242">
        <f t="shared" si="7"/>
        <v>5263.1578947368416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44126</v>
      </c>
      <c r="D34" s="161" t="s">
        <v>9</v>
      </c>
      <c r="E34" s="161" t="s">
        <v>58</v>
      </c>
      <c r="F34" s="222">
        <v>504</v>
      </c>
      <c r="G34" s="222">
        <v>509</v>
      </c>
      <c r="H34" s="222">
        <v>5</v>
      </c>
      <c r="I34" s="207">
        <f t="shared" si="6"/>
        <v>595.23809523809518</v>
      </c>
      <c r="J34" s="242">
        <f t="shared" si="7"/>
        <v>2976.1904761904761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44126</v>
      </c>
      <c r="D35" s="161" t="s">
        <v>8</v>
      </c>
      <c r="E35" s="161" t="s">
        <v>98</v>
      </c>
      <c r="F35" s="222">
        <v>3130</v>
      </c>
      <c r="G35" s="222">
        <v>3070</v>
      </c>
      <c r="H35" s="222">
        <v>60</v>
      </c>
      <c r="I35" s="207">
        <f t="shared" si="6"/>
        <v>95.846645367412137</v>
      </c>
      <c r="J35" s="242">
        <f t="shared" si="7"/>
        <v>5750.7987220447285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44127</v>
      </c>
      <c r="D36" s="161" t="s">
        <v>9</v>
      </c>
      <c r="E36" s="161" t="s">
        <v>31</v>
      </c>
      <c r="F36" s="222">
        <v>2130</v>
      </c>
      <c r="G36" s="222">
        <v>2110</v>
      </c>
      <c r="H36" s="222">
        <v>-20</v>
      </c>
      <c r="I36" s="207">
        <f t="shared" si="6"/>
        <v>140.8450704225352</v>
      </c>
      <c r="J36" s="242">
        <f t="shared" si="7"/>
        <v>-2816.9014084507039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44127</v>
      </c>
      <c r="D37" s="161" t="s">
        <v>8</v>
      </c>
      <c r="E37" s="161" t="s">
        <v>2911</v>
      </c>
      <c r="F37" s="222">
        <v>165.5</v>
      </c>
      <c r="G37" s="222">
        <v>164</v>
      </c>
      <c r="H37" s="222">
        <v>1.5</v>
      </c>
      <c r="I37" s="207">
        <f t="shared" si="6"/>
        <v>1812.6888217522658</v>
      </c>
      <c r="J37" s="242">
        <f t="shared" si="7"/>
        <v>2719.0332326283988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44130</v>
      </c>
      <c r="D38" s="161" t="s">
        <v>9</v>
      </c>
      <c r="E38" s="161" t="s">
        <v>2203</v>
      </c>
      <c r="F38" s="222">
        <v>828</v>
      </c>
      <c r="G38" s="222">
        <v>838</v>
      </c>
      <c r="H38" s="222">
        <v>10</v>
      </c>
      <c r="I38" s="207">
        <f t="shared" si="6"/>
        <v>362.31884057971013</v>
      </c>
      <c r="J38" s="242">
        <f t="shared" si="7"/>
        <v>3623.188405797101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44130</v>
      </c>
      <c r="D39" s="161" t="s">
        <v>8</v>
      </c>
      <c r="E39" s="161" t="s">
        <v>31</v>
      </c>
      <c r="F39" s="222">
        <v>2070</v>
      </c>
      <c r="G39" s="222">
        <v>2030</v>
      </c>
      <c r="H39" s="222">
        <v>40</v>
      </c>
      <c r="I39" s="207">
        <f t="shared" si="6"/>
        <v>144.92753623188406</v>
      </c>
      <c r="J39" s="242">
        <f t="shared" si="7"/>
        <v>5797.101449275362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44131</v>
      </c>
      <c r="D40" s="161" t="s">
        <v>9</v>
      </c>
      <c r="E40" s="161" t="s">
        <v>250</v>
      </c>
      <c r="F40" s="222">
        <v>1630</v>
      </c>
      <c r="G40" s="222">
        <v>1660</v>
      </c>
      <c r="H40" s="222">
        <v>30</v>
      </c>
      <c r="I40" s="207">
        <f t="shared" si="6"/>
        <v>184.04907975460122</v>
      </c>
      <c r="J40" s="242">
        <f t="shared" si="7"/>
        <v>5521.4723926380366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44131</v>
      </c>
      <c r="D41" s="161" t="s">
        <v>8</v>
      </c>
      <c r="E41" s="161" t="s">
        <v>2707</v>
      </c>
      <c r="F41" s="222">
        <v>147</v>
      </c>
      <c r="G41" s="223">
        <v>146.19999999999999</v>
      </c>
      <c r="H41" s="222">
        <v>0.8</v>
      </c>
      <c r="I41" s="207">
        <f t="shared" si="6"/>
        <v>2040.8163265306123</v>
      </c>
      <c r="J41" s="242">
        <f t="shared" si="7"/>
        <v>1632.6530612244899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44132</v>
      </c>
      <c r="D42" s="161" t="s">
        <v>9</v>
      </c>
      <c r="E42" s="161" t="s">
        <v>365</v>
      </c>
      <c r="F42" s="222">
        <v>312</v>
      </c>
      <c r="G42" s="222">
        <v>315</v>
      </c>
      <c r="H42" s="222">
        <v>3</v>
      </c>
      <c r="I42" s="207">
        <f t="shared" si="6"/>
        <v>961.53846153846155</v>
      </c>
      <c r="J42" s="242">
        <f t="shared" si="7"/>
        <v>2884.6153846153848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44132</v>
      </c>
      <c r="D43" s="161" t="s">
        <v>8</v>
      </c>
      <c r="E43" s="161" t="s">
        <v>95</v>
      </c>
      <c r="F43" s="222">
        <v>405</v>
      </c>
      <c r="G43" s="222">
        <v>398</v>
      </c>
      <c r="H43" s="222">
        <v>7</v>
      </c>
      <c r="I43" s="207">
        <f t="shared" si="6"/>
        <v>740.74074074074076</v>
      </c>
      <c r="J43" s="242">
        <f t="shared" si="7"/>
        <v>5185.1851851851852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44133</v>
      </c>
      <c r="D44" s="161" t="s">
        <v>9</v>
      </c>
      <c r="E44" s="161" t="s">
        <v>2023</v>
      </c>
      <c r="F44" s="222">
        <v>3370</v>
      </c>
      <c r="G44" s="222">
        <v>3430</v>
      </c>
      <c r="H44" s="222">
        <v>40</v>
      </c>
      <c r="I44" s="207">
        <f t="shared" si="6"/>
        <v>89.020771513353111</v>
      </c>
      <c r="J44" s="242">
        <f t="shared" si="7"/>
        <v>3560.8308605341244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44133</v>
      </c>
      <c r="D45" s="161" t="s">
        <v>8</v>
      </c>
      <c r="E45" s="161" t="s">
        <v>502</v>
      </c>
      <c r="F45" s="222">
        <v>692</v>
      </c>
      <c r="G45" s="222">
        <v>684</v>
      </c>
      <c r="H45" s="222">
        <v>8</v>
      </c>
      <c r="I45" s="207">
        <f t="shared" si="6"/>
        <v>433.52601156069363</v>
      </c>
      <c r="J45" s="242">
        <f t="shared" si="7"/>
        <v>3468.2080924855491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44134</v>
      </c>
      <c r="D46" s="161" t="s">
        <v>9</v>
      </c>
      <c r="E46" s="161" t="s">
        <v>95</v>
      </c>
      <c r="F46" s="222">
        <v>401</v>
      </c>
      <c r="G46" s="222">
        <v>396</v>
      </c>
      <c r="H46" s="222">
        <v>-5</v>
      </c>
      <c r="I46" s="207">
        <f t="shared" si="6"/>
        <v>748.12967581047383</v>
      </c>
      <c r="J46" s="242">
        <f t="shared" si="7"/>
        <v>-3740.6483790523689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44134</v>
      </c>
      <c r="D47" s="161" t="s">
        <v>8</v>
      </c>
      <c r="E47" s="161" t="s">
        <v>1064</v>
      </c>
      <c r="F47" s="222">
        <v>1565</v>
      </c>
      <c r="G47" s="222">
        <v>1558</v>
      </c>
      <c r="H47" s="222">
        <v>7</v>
      </c>
      <c r="I47" s="207">
        <f t="shared" si="6"/>
        <v>191.69329073482427</v>
      </c>
      <c r="J47" s="242">
        <f t="shared" si="7"/>
        <v>1341.8530351437698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70898.808763915935</v>
      </c>
      <c r="K52" s="153"/>
      <c r="V52" s="25">
        <f>SUM(V6:V51)</f>
        <v>32</v>
      </c>
      <c r="W52" s="25">
        <f>SUM(W6:W51)</f>
        <v>10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3099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44105</v>
      </c>
      <c r="D60" s="161" t="s">
        <v>8</v>
      </c>
      <c r="E60" s="161" t="s">
        <v>2987</v>
      </c>
      <c r="F60" s="222">
        <v>3610</v>
      </c>
      <c r="G60" s="222">
        <v>3640</v>
      </c>
      <c r="H60" s="222">
        <v>30</v>
      </c>
      <c r="I60" s="207">
        <v>250</v>
      </c>
      <c r="J60" s="241">
        <f t="shared" ref="J60:J83" si="15">I60*H60</f>
        <v>7500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44109</v>
      </c>
      <c r="D61" s="161" t="s">
        <v>9</v>
      </c>
      <c r="E61" s="161" t="s">
        <v>58</v>
      </c>
      <c r="F61" s="222">
        <v>455</v>
      </c>
      <c r="G61" s="222">
        <v>458.6</v>
      </c>
      <c r="H61" s="222">
        <v>3.6</v>
      </c>
      <c r="I61" s="207">
        <v>1200</v>
      </c>
      <c r="J61" s="242">
        <f t="shared" si="15"/>
        <v>4320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44110</v>
      </c>
      <c r="D62" s="161" t="s">
        <v>8</v>
      </c>
      <c r="E62" s="161" t="s">
        <v>58</v>
      </c>
      <c r="F62" s="222">
        <v>448.5</v>
      </c>
      <c r="G62" s="222">
        <v>446.5</v>
      </c>
      <c r="H62" s="222">
        <v>2</v>
      </c>
      <c r="I62" s="207">
        <v>1200</v>
      </c>
      <c r="J62" s="242">
        <f t="shared" si="15"/>
        <v>2400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44111</v>
      </c>
      <c r="D63" s="161" t="s">
        <v>8</v>
      </c>
      <c r="E63" s="161" t="s">
        <v>800</v>
      </c>
      <c r="F63" s="222">
        <v>967</v>
      </c>
      <c r="G63" s="222">
        <v>962.2</v>
      </c>
      <c r="H63" s="222">
        <v>4.8</v>
      </c>
      <c r="I63" s="207">
        <v>700</v>
      </c>
      <c r="J63" s="242">
        <f t="shared" si="15"/>
        <v>3360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44112</v>
      </c>
      <c r="D64" s="161" t="s">
        <v>8</v>
      </c>
      <c r="E64" s="161" t="s">
        <v>16</v>
      </c>
      <c r="F64" s="222">
        <v>1245</v>
      </c>
      <c r="G64" s="222">
        <v>1236.5</v>
      </c>
      <c r="H64" s="222">
        <v>8.5</v>
      </c>
      <c r="I64" s="207">
        <v>750</v>
      </c>
      <c r="J64" s="242">
        <f t="shared" si="15"/>
        <v>6375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44113</v>
      </c>
      <c r="D65" s="161" t="s">
        <v>8</v>
      </c>
      <c r="E65" s="161" t="s">
        <v>586</v>
      </c>
      <c r="F65" s="207">
        <v>760</v>
      </c>
      <c r="G65" s="222">
        <v>748.8</v>
      </c>
      <c r="H65" s="222">
        <v>11.2</v>
      </c>
      <c r="I65" s="207">
        <v>950</v>
      </c>
      <c r="J65" s="242">
        <f t="shared" si="15"/>
        <v>10640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44116</v>
      </c>
      <c r="D66" s="161" t="s">
        <v>8</v>
      </c>
      <c r="E66" s="161" t="s">
        <v>586</v>
      </c>
      <c r="F66" s="207">
        <v>747</v>
      </c>
      <c r="G66" s="222">
        <v>742</v>
      </c>
      <c r="H66" s="222">
        <v>5</v>
      </c>
      <c r="I66" s="207">
        <v>950</v>
      </c>
      <c r="J66" s="242">
        <f t="shared" si="15"/>
        <v>4750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44117</v>
      </c>
      <c r="D67" s="161" t="s">
        <v>8</v>
      </c>
      <c r="E67" s="161" t="s">
        <v>800</v>
      </c>
      <c r="F67" s="222">
        <v>960</v>
      </c>
      <c r="G67" s="222">
        <v>970</v>
      </c>
      <c r="H67" s="222">
        <v>-10</v>
      </c>
      <c r="I67" s="207">
        <v>700</v>
      </c>
      <c r="J67" s="242">
        <f t="shared" si="15"/>
        <v>-7000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44118</v>
      </c>
      <c r="D68" s="161" t="s">
        <v>9</v>
      </c>
      <c r="E68" s="161" t="s">
        <v>2023</v>
      </c>
      <c r="F68" s="222">
        <v>3290</v>
      </c>
      <c r="G68" s="222">
        <v>3350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44119</v>
      </c>
      <c r="D69" s="161" t="s">
        <v>9</v>
      </c>
      <c r="E69" s="161" t="s">
        <v>2298</v>
      </c>
      <c r="F69" s="222">
        <v>1407</v>
      </c>
      <c r="G69" s="222">
        <v>1417.6</v>
      </c>
      <c r="H69" s="222">
        <v>10.6</v>
      </c>
      <c r="I69" s="207">
        <v>800</v>
      </c>
      <c r="J69" s="242">
        <f t="shared" si="15"/>
        <v>8480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44120</v>
      </c>
      <c r="D70" s="161" t="s">
        <v>9</v>
      </c>
      <c r="E70" s="161" t="s">
        <v>2023</v>
      </c>
      <c r="F70" s="161">
        <v>3260</v>
      </c>
      <c r="G70" s="222">
        <v>3230</v>
      </c>
      <c r="H70" s="222">
        <v>-30</v>
      </c>
      <c r="I70" s="207">
        <v>250</v>
      </c>
      <c r="J70" s="242">
        <f t="shared" si="15"/>
        <v>-7500</v>
      </c>
      <c r="K70" s="153"/>
      <c r="V70" s="25">
        <f t="shared" si="16"/>
        <v>0</v>
      </c>
      <c r="W70" s="25">
        <f t="shared" si="17"/>
        <v>1</v>
      </c>
    </row>
    <row r="71" spans="1:23" x14ac:dyDescent="0.3">
      <c r="A71" s="147"/>
      <c r="B71" s="205">
        <f t="shared" si="18"/>
        <v>12</v>
      </c>
      <c r="C71" s="206">
        <v>44123</v>
      </c>
      <c r="D71" s="161" t="s">
        <v>8</v>
      </c>
      <c r="E71" s="161" t="s">
        <v>2023</v>
      </c>
      <c r="F71" s="222">
        <v>3230</v>
      </c>
      <c r="G71" s="222">
        <v>3206</v>
      </c>
      <c r="H71" s="222">
        <v>24</v>
      </c>
      <c r="I71" s="207">
        <v>250</v>
      </c>
      <c r="J71" s="242">
        <f t="shared" si="15"/>
        <v>6000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44124</v>
      </c>
      <c r="D72" s="161" t="s">
        <v>9</v>
      </c>
      <c r="E72" s="161" t="s">
        <v>2023</v>
      </c>
      <c r="F72" s="222">
        <v>3275</v>
      </c>
      <c r="G72" s="222">
        <v>3250</v>
      </c>
      <c r="H72" s="222">
        <v>-25</v>
      </c>
      <c r="I72" s="207">
        <v>250</v>
      </c>
      <c r="J72" s="242">
        <f t="shared" si="15"/>
        <v>-6250</v>
      </c>
      <c r="K72" s="153"/>
      <c r="V72" s="25">
        <f t="shared" si="16"/>
        <v>0</v>
      </c>
      <c r="W72" s="25">
        <f t="shared" si="17"/>
        <v>1</v>
      </c>
    </row>
    <row r="73" spans="1:23" x14ac:dyDescent="0.3">
      <c r="A73" s="147"/>
      <c r="B73" s="205">
        <f t="shared" si="18"/>
        <v>14</v>
      </c>
      <c r="C73" s="206">
        <v>44125</v>
      </c>
      <c r="D73" s="161" t="s">
        <v>9</v>
      </c>
      <c r="E73" s="161" t="s">
        <v>168</v>
      </c>
      <c r="F73" s="223">
        <v>722</v>
      </c>
      <c r="G73" s="222">
        <v>712</v>
      </c>
      <c r="H73" s="255">
        <v>-10</v>
      </c>
      <c r="I73" s="207">
        <v>1000</v>
      </c>
      <c r="J73" s="242">
        <f t="shared" si="15"/>
        <v>-10000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44126</v>
      </c>
      <c r="D74" s="161" t="s">
        <v>8</v>
      </c>
      <c r="E74" s="161" t="s">
        <v>31</v>
      </c>
      <c r="F74" s="222">
        <v>2105</v>
      </c>
      <c r="G74" s="222">
        <v>2120</v>
      </c>
      <c r="H74" s="255">
        <v>-15</v>
      </c>
      <c r="I74" s="207">
        <v>505</v>
      </c>
      <c r="J74" s="242">
        <f t="shared" si="15"/>
        <v>-7575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44127</v>
      </c>
      <c r="D75" s="161" t="s">
        <v>9</v>
      </c>
      <c r="E75" s="161" t="s">
        <v>2023</v>
      </c>
      <c r="F75" s="222">
        <v>3350</v>
      </c>
      <c r="G75" s="222">
        <v>3320</v>
      </c>
      <c r="H75" s="255">
        <v>-30</v>
      </c>
      <c r="I75" s="207">
        <v>250</v>
      </c>
      <c r="J75" s="242">
        <f t="shared" si="15"/>
        <v>-7500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44130</v>
      </c>
      <c r="D76" s="161" t="s">
        <v>8</v>
      </c>
      <c r="E76" s="161" t="s">
        <v>98</v>
      </c>
      <c r="F76" s="222">
        <v>3055</v>
      </c>
      <c r="G76" s="222">
        <v>3005</v>
      </c>
      <c r="H76" s="222">
        <v>50</v>
      </c>
      <c r="I76" s="207">
        <v>300</v>
      </c>
      <c r="J76" s="242">
        <f t="shared" si="15"/>
        <v>15000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44131</v>
      </c>
      <c r="D77" s="161" t="s">
        <v>9</v>
      </c>
      <c r="E77" s="161" t="s">
        <v>2023</v>
      </c>
      <c r="F77" s="222">
        <v>3380</v>
      </c>
      <c r="G77" s="222">
        <v>3440</v>
      </c>
      <c r="H77" s="222"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44132</v>
      </c>
      <c r="D78" s="161" t="s">
        <v>9</v>
      </c>
      <c r="E78" s="161" t="s">
        <v>122</v>
      </c>
      <c r="F78" s="222">
        <v>1345</v>
      </c>
      <c r="G78" s="222">
        <v>1330</v>
      </c>
      <c r="H78" s="222">
        <v>-15</v>
      </c>
      <c r="I78" s="207">
        <v>550</v>
      </c>
      <c r="J78" s="242">
        <f t="shared" si="15"/>
        <v>-8250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44133</v>
      </c>
      <c r="D79" s="161" t="s">
        <v>9</v>
      </c>
      <c r="E79" s="161" t="s">
        <v>2023</v>
      </c>
      <c r="F79" s="222">
        <v>3370</v>
      </c>
      <c r="G79" s="222">
        <v>3430</v>
      </c>
      <c r="H79" s="222">
        <v>40</v>
      </c>
      <c r="I79" s="207">
        <v>250</v>
      </c>
      <c r="J79" s="242">
        <f t="shared" si="15"/>
        <v>10000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44134</v>
      </c>
      <c r="D80" s="161" t="s">
        <v>9</v>
      </c>
      <c r="E80" s="161" t="s">
        <v>58</v>
      </c>
      <c r="F80" s="222">
        <v>499</v>
      </c>
      <c r="G80" s="222">
        <v>501</v>
      </c>
      <c r="H80" s="222">
        <v>2</v>
      </c>
      <c r="I80" s="207">
        <v>1200</v>
      </c>
      <c r="J80" s="242">
        <f t="shared" si="15"/>
        <v>2400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57150</v>
      </c>
      <c r="K84" s="153"/>
      <c r="V84" s="25">
        <f>SUM(V60:V83)</f>
        <v>14</v>
      </c>
      <c r="W84" s="25">
        <f>SUM(W60:W83)</f>
        <v>7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3100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44105</v>
      </c>
      <c r="D92" s="185" t="s">
        <v>9</v>
      </c>
      <c r="E92" s="185" t="s">
        <v>39</v>
      </c>
      <c r="F92" s="219">
        <v>11395</v>
      </c>
      <c r="G92" s="219">
        <v>11435</v>
      </c>
      <c r="H92" s="185">
        <v>40</v>
      </c>
      <c r="I92" s="219">
        <v>150</v>
      </c>
      <c r="J92" s="246">
        <f t="shared" ref="J92:J114" si="19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44109</v>
      </c>
      <c r="D93" s="185" t="s">
        <v>8</v>
      </c>
      <c r="E93" s="185" t="s">
        <v>39</v>
      </c>
      <c r="F93" s="219">
        <v>11530</v>
      </c>
      <c r="G93" s="219">
        <v>11570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44110</v>
      </c>
      <c r="D94" s="161" t="s">
        <v>9</v>
      </c>
      <c r="E94" s="161" t="s">
        <v>39</v>
      </c>
      <c r="F94" s="207">
        <v>11590</v>
      </c>
      <c r="G94" s="207">
        <v>11670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44111</v>
      </c>
      <c r="D95" s="161" t="s">
        <v>9</v>
      </c>
      <c r="E95" s="161" t="s">
        <v>39</v>
      </c>
      <c r="F95" s="207">
        <v>11725</v>
      </c>
      <c r="G95" s="207">
        <v>11745</v>
      </c>
      <c r="H95" s="161">
        <v>20</v>
      </c>
      <c r="I95" s="207">
        <v>150</v>
      </c>
      <c r="J95" s="242">
        <f t="shared" si="19"/>
        <v>3000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44112</v>
      </c>
      <c r="D96" s="161" t="s">
        <v>9</v>
      </c>
      <c r="E96" s="161" t="s">
        <v>39</v>
      </c>
      <c r="F96" s="207">
        <v>11865</v>
      </c>
      <c r="G96" s="207">
        <v>11905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44113</v>
      </c>
      <c r="D97" s="161" t="s">
        <v>9</v>
      </c>
      <c r="E97" s="161" t="s">
        <v>39</v>
      </c>
      <c r="F97" s="207">
        <v>11860</v>
      </c>
      <c r="G97" s="207">
        <v>11940</v>
      </c>
      <c r="H97" s="161">
        <v>80</v>
      </c>
      <c r="I97" s="207">
        <v>150</v>
      </c>
      <c r="J97" s="242">
        <f t="shared" si="19"/>
        <v>12000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44116</v>
      </c>
      <c r="D98" s="161" t="s">
        <v>9</v>
      </c>
      <c r="E98" s="161" t="s">
        <v>39</v>
      </c>
      <c r="F98" s="207">
        <v>11970</v>
      </c>
      <c r="G98" s="207">
        <v>11930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44117</v>
      </c>
      <c r="D99" s="161" t="s">
        <v>9</v>
      </c>
      <c r="E99" s="161" t="s">
        <v>39</v>
      </c>
      <c r="F99" s="207">
        <v>11960</v>
      </c>
      <c r="G99" s="207">
        <v>11985</v>
      </c>
      <c r="H99" s="161">
        <v>25</v>
      </c>
      <c r="I99" s="207">
        <v>150</v>
      </c>
      <c r="J99" s="242">
        <f t="shared" si="19"/>
        <v>3750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44118</v>
      </c>
      <c r="D100" s="161" t="s">
        <v>8</v>
      </c>
      <c r="E100" s="161" t="s">
        <v>39</v>
      </c>
      <c r="F100" s="207">
        <v>11830</v>
      </c>
      <c r="G100" s="207">
        <v>11870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44119</v>
      </c>
      <c r="D101" s="161" t="s">
        <v>9</v>
      </c>
      <c r="E101" s="161" t="s">
        <v>39</v>
      </c>
      <c r="F101" s="207">
        <v>11950</v>
      </c>
      <c r="G101" s="207">
        <v>11970</v>
      </c>
      <c r="H101" s="161">
        <v>20</v>
      </c>
      <c r="I101" s="207">
        <v>150</v>
      </c>
      <c r="J101" s="242">
        <f t="shared" si="19"/>
        <v>3000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44120</v>
      </c>
      <c r="D102" s="161" t="s">
        <v>9</v>
      </c>
      <c r="E102" s="161" t="s">
        <v>39</v>
      </c>
      <c r="F102" s="207">
        <v>11730</v>
      </c>
      <c r="G102" s="207">
        <v>11790</v>
      </c>
      <c r="H102" s="161">
        <v>60</v>
      </c>
      <c r="I102" s="207">
        <v>150</v>
      </c>
      <c r="J102" s="242">
        <f t="shared" si="19"/>
        <v>9000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44123</v>
      </c>
      <c r="D103" s="161" t="s">
        <v>9</v>
      </c>
      <c r="E103" s="161" t="s">
        <v>39</v>
      </c>
      <c r="F103" s="207">
        <v>11860</v>
      </c>
      <c r="G103" s="207">
        <v>11882</v>
      </c>
      <c r="H103" s="161">
        <v>22</v>
      </c>
      <c r="I103" s="207">
        <v>150</v>
      </c>
      <c r="J103" s="242">
        <f t="shared" si="19"/>
        <v>3300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44124</v>
      </c>
      <c r="D104" s="161" t="s">
        <v>9</v>
      </c>
      <c r="E104" s="161" t="s">
        <v>39</v>
      </c>
      <c r="F104" s="207">
        <v>11890</v>
      </c>
      <c r="G104" s="207">
        <v>11945</v>
      </c>
      <c r="H104" s="161">
        <v>55</v>
      </c>
      <c r="I104" s="207">
        <v>150</v>
      </c>
      <c r="J104" s="242">
        <f t="shared" si="19"/>
        <v>8250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44125</v>
      </c>
      <c r="D105" s="161" t="s">
        <v>9</v>
      </c>
      <c r="E105" s="161" t="s">
        <v>39</v>
      </c>
      <c r="F105" s="207">
        <v>11990</v>
      </c>
      <c r="G105" s="207">
        <v>12015</v>
      </c>
      <c r="H105" s="161">
        <v>25</v>
      </c>
      <c r="I105" s="207">
        <v>150</v>
      </c>
      <c r="J105" s="242">
        <f t="shared" si="19"/>
        <v>3750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44126</v>
      </c>
      <c r="D106" s="161" t="s">
        <v>9</v>
      </c>
      <c r="E106" s="161" t="s">
        <v>39</v>
      </c>
      <c r="F106" s="207">
        <v>11890</v>
      </c>
      <c r="G106" s="207">
        <v>11910</v>
      </c>
      <c r="H106" s="161">
        <v>20</v>
      </c>
      <c r="I106" s="207">
        <v>150</v>
      </c>
      <c r="J106" s="242">
        <f t="shared" si="19"/>
        <v>3000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44127</v>
      </c>
      <c r="D107" s="161" t="s">
        <v>9</v>
      </c>
      <c r="E107" s="161" t="s">
        <v>39</v>
      </c>
      <c r="F107" s="207">
        <v>11940</v>
      </c>
      <c r="G107" s="207">
        <v>11979</v>
      </c>
      <c r="H107" s="161">
        <v>39</v>
      </c>
      <c r="I107" s="207">
        <v>150</v>
      </c>
      <c r="J107" s="242">
        <f t="shared" si="19"/>
        <v>5850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44130</v>
      </c>
      <c r="D108" s="161" t="s">
        <v>9</v>
      </c>
      <c r="E108" s="161" t="s">
        <v>39</v>
      </c>
      <c r="F108" s="207">
        <v>11890</v>
      </c>
      <c r="G108" s="207">
        <v>11850</v>
      </c>
      <c r="H108" s="161">
        <v>-40</v>
      </c>
      <c r="I108" s="207">
        <v>150</v>
      </c>
      <c r="J108" s="242">
        <f t="shared" si="19"/>
        <v>-6000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44131</v>
      </c>
      <c r="D109" s="161" t="s">
        <v>9</v>
      </c>
      <c r="E109" s="161" t="s">
        <v>39</v>
      </c>
      <c r="F109" s="207">
        <v>11810</v>
      </c>
      <c r="G109" s="207">
        <v>11890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44132</v>
      </c>
      <c r="D110" s="161" t="s">
        <v>9</v>
      </c>
      <c r="E110" s="161" t="s">
        <v>39</v>
      </c>
      <c r="F110" s="207">
        <v>11830</v>
      </c>
      <c r="G110" s="207">
        <v>11847</v>
      </c>
      <c r="H110" s="161">
        <v>17</v>
      </c>
      <c r="I110" s="207">
        <v>150</v>
      </c>
      <c r="J110" s="242">
        <f>I110*H110</f>
        <v>2550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44133</v>
      </c>
      <c r="D111" s="161" t="s">
        <v>9</v>
      </c>
      <c r="E111" s="161" t="s">
        <v>39</v>
      </c>
      <c r="F111" s="207">
        <v>11670</v>
      </c>
      <c r="G111" s="207">
        <v>11730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44134</v>
      </c>
      <c r="D112" s="161" t="s">
        <v>9</v>
      </c>
      <c r="E112" s="161" t="s">
        <v>39</v>
      </c>
      <c r="F112" s="207">
        <v>11720</v>
      </c>
      <c r="G112" s="207">
        <v>11680</v>
      </c>
      <c r="H112" s="161">
        <v>-40</v>
      </c>
      <c r="I112" s="207">
        <v>150</v>
      </c>
      <c r="J112" s="242">
        <f t="shared" si="19"/>
        <v>-6000</v>
      </c>
      <c r="K112" s="153"/>
      <c r="V112" s="25">
        <f t="shared" si="20"/>
        <v>0</v>
      </c>
      <c r="W112" s="25">
        <f t="shared" si="21"/>
        <v>1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72450</v>
      </c>
      <c r="K115" s="153"/>
      <c r="V115" s="25">
        <f>SUM(V92:V114)</f>
        <v>16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3098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44109</v>
      </c>
      <c r="D123" s="185" t="s">
        <v>9</v>
      </c>
      <c r="E123" s="185" t="s">
        <v>2835</v>
      </c>
      <c r="F123" s="219">
        <v>105</v>
      </c>
      <c r="G123" s="219">
        <v>140</v>
      </c>
      <c r="H123" s="185">
        <v>35</v>
      </c>
      <c r="I123" s="219">
        <v>300</v>
      </c>
      <c r="J123" s="246">
        <f t="shared" ref="J123:J145" si="23">I123*H123</f>
        <v>10500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44110</v>
      </c>
      <c r="D124" s="185" t="s">
        <v>9</v>
      </c>
      <c r="E124" s="185" t="s">
        <v>2541</v>
      </c>
      <c r="F124" s="219">
        <v>115</v>
      </c>
      <c r="G124" s="219">
        <v>165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44111</v>
      </c>
      <c r="D125" s="161" t="s">
        <v>9</v>
      </c>
      <c r="E125" s="161" t="s">
        <v>3104</v>
      </c>
      <c r="F125" s="207">
        <v>95</v>
      </c>
      <c r="G125" s="207">
        <v>130</v>
      </c>
      <c r="H125" s="161">
        <v>35</v>
      </c>
      <c r="I125" s="207">
        <v>300</v>
      </c>
      <c r="J125" s="242">
        <f t="shared" si="23"/>
        <v>10500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44112</v>
      </c>
      <c r="D126" s="161" t="s">
        <v>9</v>
      </c>
      <c r="E126" s="161" t="s">
        <v>3105</v>
      </c>
      <c r="F126" s="207">
        <v>125</v>
      </c>
      <c r="G126" s="207">
        <v>165</v>
      </c>
      <c r="H126" s="161">
        <v>40</v>
      </c>
      <c r="I126" s="207">
        <v>300</v>
      </c>
      <c r="J126" s="242">
        <f t="shared" si="23"/>
        <v>12000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44113</v>
      </c>
      <c r="D127" s="161" t="s">
        <v>9</v>
      </c>
      <c r="E127" s="161" t="s">
        <v>2847</v>
      </c>
      <c r="F127" s="207">
        <v>128</v>
      </c>
      <c r="G127" s="207">
        <v>162</v>
      </c>
      <c r="H127" s="161">
        <v>34</v>
      </c>
      <c r="I127" s="207">
        <v>300</v>
      </c>
      <c r="J127" s="242">
        <f t="shared" si="23"/>
        <v>10200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44116</v>
      </c>
      <c r="D128" s="161" t="s">
        <v>9</v>
      </c>
      <c r="E128" s="161" t="s">
        <v>2860</v>
      </c>
      <c r="F128" s="207">
        <v>110</v>
      </c>
      <c r="G128" s="222">
        <v>85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44117</v>
      </c>
      <c r="D129" s="161" t="s">
        <v>9</v>
      </c>
      <c r="E129" s="161" t="s">
        <v>2860</v>
      </c>
      <c r="F129" s="207">
        <v>100</v>
      </c>
      <c r="G129" s="207">
        <v>75</v>
      </c>
      <c r="H129" s="161">
        <v>-25</v>
      </c>
      <c r="I129" s="207">
        <v>300</v>
      </c>
      <c r="J129" s="242">
        <f t="shared" si="23"/>
        <v>-7500</v>
      </c>
      <c r="K129" s="153"/>
      <c r="V129" s="25">
        <f t="shared" si="24"/>
        <v>0</v>
      </c>
      <c r="W129" s="25">
        <f t="shared" si="25"/>
        <v>1</v>
      </c>
    </row>
    <row r="130" spans="1:23" x14ac:dyDescent="0.3">
      <c r="A130" s="147"/>
      <c r="B130" s="205">
        <f t="shared" si="26"/>
        <v>8</v>
      </c>
      <c r="C130" s="206">
        <v>44118</v>
      </c>
      <c r="D130" s="161" t="s">
        <v>9</v>
      </c>
      <c r="E130" s="161" t="s">
        <v>2455</v>
      </c>
      <c r="F130" s="207">
        <v>85</v>
      </c>
      <c r="G130" s="207">
        <v>60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44119</v>
      </c>
      <c r="D131" s="161" t="s">
        <v>9</v>
      </c>
      <c r="E131" s="161" t="s">
        <v>2739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44120</v>
      </c>
      <c r="D132" s="161" t="s">
        <v>9</v>
      </c>
      <c r="E132" s="161" t="s">
        <v>3105</v>
      </c>
      <c r="F132" s="207">
        <v>115</v>
      </c>
      <c r="G132" s="222">
        <v>140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44123</v>
      </c>
      <c r="D133" s="161" t="s">
        <v>9</v>
      </c>
      <c r="E133" s="161" t="s">
        <v>2716</v>
      </c>
      <c r="F133" s="207">
        <v>120</v>
      </c>
      <c r="G133" s="222">
        <v>144.5</v>
      </c>
      <c r="H133" s="222">
        <v>24.5</v>
      </c>
      <c r="I133" s="207">
        <v>300</v>
      </c>
      <c r="J133" s="242">
        <f t="shared" si="23"/>
        <v>7350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44124</v>
      </c>
      <c r="D134" s="161" t="s">
        <v>9</v>
      </c>
      <c r="E134" s="161" t="s">
        <v>2847</v>
      </c>
      <c r="F134" s="207">
        <v>110</v>
      </c>
      <c r="G134" s="222">
        <v>135</v>
      </c>
      <c r="H134" s="222">
        <v>25</v>
      </c>
      <c r="I134" s="207">
        <v>300</v>
      </c>
      <c r="J134" s="242">
        <f t="shared" si="23"/>
        <v>7500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44125</v>
      </c>
      <c r="D135" s="161" t="s">
        <v>9</v>
      </c>
      <c r="E135" s="161" t="s">
        <v>2860</v>
      </c>
      <c r="F135" s="207">
        <v>80</v>
      </c>
      <c r="G135" s="207">
        <v>97</v>
      </c>
      <c r="H135" s="161">
        <v>17</v>
      </c>
      <c r="I135" s="207">
        <v>300</v>
      </c>
      <c r="J135" s="242">
        <f t="shared" si="23"/>
        <v>5100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44126</v>
      </c>
      <c r="D136" s="161" t="s">
        <v>9</v>
      </c>
      <c r="E136" s="161" t="s">
        <v>2716</v>
      </c>
      <c r="F136" s="207">
        <v>120</v>
      </c>
      <c r="G136" s="207">
        <v>95</v>
      </c>
      <c r="H136" s="161">
        <v>-25</v>
      </c>
      <c r="I136" s="207">
        <v>300</v>
      </c>
      <c r="J136" s="242">
        <f>I136*H136</f>
        <v>-7500</v>
      </c>
      <c r="K136" s="153"/>
      <c r="V136" s="25">
        <f>IF($J136&gt;0,1,0)</f>
        <v>0</v>
      </c>
      <c r="W136" s="25">
        <f>IF($J136&lt;0,1,0)</f>
        <v>1</v>
      </c>
    </row>
    <row r="137" spans="1:23" x14ac:dyDescent="0.3">
      <c r="A137" s="147"/>
      <c r="B137" s="205">
        <f t="shared" si="26"/>
        <v>15</v>
      </c>
      <c r="C137" s="206">
        <v>44127</v>
      </c>
      <c r="D137" s="161" t="s">
        <v>9</v>
      </c>
      <c r="E137" s="161" t="s">
        <v>2714</v>
      </c>
      <c r="F137" s="207">
        <v>128</v>
      </c>
      <c r="G137" s="207">
        <v>147</v>
      </c>
      <c r="H137" s="161">
        <v>19</v>
      </c>
      <c r="I137" s="207">
        <v>300</v>
      </c>
      <c r="J137" s="242">
        <f t="shared" si="23"/>
        <v>5700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44130</v>
      </c>
      <c r="D138" s="161" t="s">
        <v>9</v>
      </c>
      <c r="E138" s="161" t="s">
        <v>2455</v>
      </c>
      <c r="F138" s="207">
        <v>125</v>
      </c>
      <c r="G138" s="207">
        <v>175</v>
      </c>
      <c r="H138" s="161">
        <v>50</v>
      </c>
      <c r="I138" s="207">
        <v>300</v>
      </c>
      <c r="J138" s="242">
        <f t="shared" si="23"/>
        <v>15000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44131</v>
      </c>
      <c r="D139" s="161" t="s">
        <v>9</v>
      </c>
      <c r="E139" s="161" t="s">
        <v>3105</v>
      </c>
      <c r="F139" s="207">
        <v>135</v>
      </c>
      <c r="G139" s="207">
        <v>170</v>
      </c>
      <c r="H139" s="161">
        <v>35</v>
      </c>
      <c r="I139" s="207">
        <v>300</v>
      </c>
      <c r="J139" s="242">
        <f t="shared" si="23"/>
        <v>10500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44132</v>
      </c>
      <c r="D140" s="161" t="s">
        <v>9</v>
      </c>
      <c r="E140" s="161" t="s">
        <v>3105</v>
      </c>
      <c r="F140" s="207">
        <v>120</v>
      </c>
      <c r="G140" s="222">
        <v>131</v>
      </c>
      <c r="H140" s="222">
        <v>11</v>
      </c>
      <c r="I140" s="207">
        <v>300</v>
      </c>
      <c r="J140" s="242">
        <f t="shared" si="23"/>
        <v>3300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44133</v>
      </c>
      <c r="D141" s="161" t="s">
        <v>9</v>
      </c>
      <c r="E141" s="161" t="s">
        <v>3104</v>
      </c>
      <c r="F141" s="207">
        <v>75</v>
      </c>
      <c r="G141" s="207">
        <v>86</v>
      </c>
      <c r="H141" s="161">
        <v>11</v>
      </c>
      <c r="I141" s="207">
        <v>300</v>
      </c>
      <c r="J141" s="242">
        <f t="shared" si="23"/>
        <v>3300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44134</v>
      </c>
      <c r="D142" s="161" t="s">
        <v>9</v>
      </c>
      <c r="E142" s="161" t="s">
        <v>2571</v>
      </c>
      <c r="F142" s="207">
        <v>140</v>
      </c>
      <c r="G142" s="207">
        <v>190</v>
      </c>
      <c r="H142" s="161">
        <v>50</v>
      </c>
      <c r="I142" s="207">
        <v>300</v>
      </c>
      <c r="J142" s="242">
        <f t="shared" si="23"/>
        <v>15000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123450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3098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44105</v>
      </c>
      <c r="D154" s="185" t="s">
        <v>9</v>
      </c>
      <c r="E154" s="185" t="s">
        <v>301</v>
      </c>
      <c r="F154" s="219">
        <v>22000</v>
      </c>
      <c r="G154" s="231">
        <v>22300</v>
      </c>
      <c r="H154" s="185">
        <v>300</v>
      </c>
      <c r="I154" s="219">
        <v>50</v>
      </c>
      <c r="J154" s="246">
        <f t="shared" ref="J154:J176" si="27">I154*H154</f>
        <v>15000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44109</v>
      </c>
      <c r="D155" s="185" t="s">
        <v>8</v>
      </c>
      <c r="E155" s="185" t="s">
        <v>301</v>
      </c>
      <c r="F155" s="219">
        <v>22700</v>
      </c>
      <c r="G155" s="219">
        <v>22400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44110</v>
      </c>
      <c r="D156" s="161" t="s">
        <v>9</v>
      </c>
      <c r="E156" s="161" t="s">
        <v>301</v>
      </c>
      <c r="F156" s="207">
        <v>22650</v>
      </c>
      <c r="G156" s="207">
        <v>22860</v>
      </c>
      <c r="H156" s="161">
        <v>210</v>
      </c>
      <c r="I156" s="207">
        <v>50</v>
      </c>
      <c r="J156" s="242">
        <f t="shared" si="27"/>
        <v>10500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44111</v>
      </c>
      <c r="D157" s="161" t="s">
        <v>9</v>
      </c>
      <c r="E157" s="161" t="s">
        <v>301</v>
      </c>
      <c r="F157" s="207">
        <v>22950</v>
      </c>
      <c r="G157" s="207">
        <v>23100</v>
      </c>
      <c r="H157" s="161">
        <v>150</v>
      </c>
      <c r="I157" s="207">
        <v>50</v>
      </c>
      <c r="J157" s="242">
        <f t="shared" si="27"/>
        <v>7500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44112</v>
      </c>
      <c r="D158" s="161" t="s">
        <v>9</v>
      </c>
      <c r="E158" s="161" t="s">
        <v>301</v>
      </c>
      <c r="F158" s="207">
        <v>23350</v>
      </c>
      <c r="G158" s="207">
        <v>23450</v>
      </c>
      <c r="H158" s="161">
        <v>100</v>
      </c>
      <c r="I158" s="207">
        <v>50</v>
      </c>
      <c r="J158" s="242">
        <f t="shared" si="27"/>
        <v>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44113</v>
      </c>
      <c r="D159" s="161" t="s">
        <v>9</v>
      </c>
      <c r="E159" s="161" t="s">
        <v>301</v>
      </c>
      <c r="F159" s="207">
        <v>23400</v>
      </c>
      <c r="G159" s="207">
        <v>23700</v>
      </c>
      <c r="H159" s="161">
        <v>300</v>
      </c>
      <c r="I159" s="207">
        <v>50</v>
      </c>
      <c r="J159" s="242">
        <f t="shared" si="27"/>
        <v>15000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44116</v>
      </c>
      <c r="D160" s="161" t="s">
        <v>9</v>
      </c>
      <c r="E160" s="161" t="s">
        <v>301</v>
      </c>
      <c r="F160" s="207">
        <v>24000</v>
      </c>
      <c r="G160" s="207">
        <v>23850</v>
      </c>
      <c r="H160" s="161">
        <v>-150</v>
      </c>
      <c r="I160" s="207">
        <v>50</v>
      </c>
      <c r="J160" s="242">
        <f t="shared" si="27"/>
        <v>-7500</v>
      </c>
      <c r="K160" s="153"/>
      <c r="V160" s="25">
        <f t="shared" si="28"/>
        <v>0</v>
      </c>
      <c r="W160" s="25">
        <f t="shared" si="29"/>
        <v>1</v>
      </c>
    </row>
    <row r="161" spans="1:23" x14ac:dyDescent="0.3">
      <c r="A161" s="147"/>
      <c r="B161" s="205">
        <f t="shared" si="30"/>
        <v>8</v>
      </c>
      <c r="C161" s="206">
        <v>44117</v>
      </c>
      <c r="D161" s="161" t="s">
        <v>9</v>
      </c>
      <c r="E161" s="161" t="s">
        <v>301</v>
      </c>
      <c r="F161" s="207">
        <v>23650</v>
      </c>
      <c r="G161" s="207">
        <v>23800</v>
      </c>
      <c r="H161" s="161">
        <v>150</v>
      </c>
      <c r="I161" s="207">
        <v>50</v>
      </c>
      <c r="J161" s="242">
        <f t="shared" si="27"/>
        <v>7500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44118</v>
      </c>
      <c r="D162" s="161" t="s">
        <v>8</v>
      </c>
      <c r="E162" s="161" t="s">
        <v>301</v>
      </c>
      <c r="F162" s="207">
        <v>23270</v>
      </c>
      <c r="G162" s="207">
        <v>23220</v>
      </c>
      <c r="H162" s="161">
        <v>50</v>
      </c>
      <c r="I162" s="207">
        <v>50</v>
      </c>
      <c r="J162" s="242">
        <f t="shared" si="27"/>
        <v>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44119</v>
      </c>
      <c r="D163" s="161" t="s">
        <v>9</v>
      </c>
      <c r="E163" s="161" t="s">
        <v>301</v>
      </c>
      <c r="F163" s="207">
        <v>24050</v>
      </c>
      <c r="G163" s="207">
        <v>23900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44120</v>
      </c>
      <c r="D164" s="161" t="s">
        <v>9</v>
      </c>
      <c r="E164" s="161" t="s">
        <v>301</v>
      </c>
      <c r="F164" s="207">
        <v>23330</v>
      </c>
      <c r="G164" s="207">
        <v>23620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44123</v>
      </c>
      <c r="D165" s="161" t="s">
        <v>9</v>
      </c>
      <c r="E165" s="161" t="s">
        <v>301</v>
      </c>
      <c r="F165" s="207">
        <v>24170</v>
      </c>
      <c r="G165" s="207">
        <v>24370</v>
      </c>
      <c r="H165" s="161">
        <v>200</v>
      </c>
      <c r="I165" s="207">
        <v>50</v>
      </c>
      <c r="J165" s="242">
        <f t="shared" si="27"/>
        <v>10000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44124</v>
      </c>
      <c r="D166" s="161" t="s">
        <v>9</v>
      </c>
      <c r="E166" s="161" t="s">
        <v>301</v>
      </c>
      <c r="F166" s="207">
        <v>24200</v>
      </c>
      <c r="G166" s="207">
        <v>24420</v>
      </c>
      <c r="H166" s="161">
        <v>220</v>
      </c>
      <c r="I166" s="207">
        <v>50</v>
      </c>
      <c r="J166" s="242">
        <f t="shared" si="27"/>
        <v>11000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44125</v>
      </c>
      <c r="D167" s="161" t="s">
        <v>9</v>
      </c>
      <c r="E167" s="161" t="s">
        <v>301</v>
      </c>
      <c r="F167" s="207">
        <v>24800</v>
      </c>
      <c r="G167" s="207">
        <v>24860</v>
      </c>
      <c r="H167" s="161">
        <v>60</v>
      </c>
      <c r="I167" s="207">
        <v>50</v>
      </c>
      <c r="J167" s="242">
        <f t="shared" si="27"/>
        <v>3000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44126</v>
      </c>
      <c r="D168" s="161" t="s">
        <v>9</v>
      </c>
      <c r="E168" s="161" t="s">
        <v>301</v>
      </c>
      <c r="F168" s="207">
        <v>24550</v>
      </c>
      <c r="G168" s="207">
        <v>24700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44127</v>
      </c>
      <c r="D169" s="161" t="s">
        <v>9</v>
      </c>
      <c r="E169" s="161" t="s">
        <v>301</v>
      </c>
      <c r="F169" s="207">
        <v>24550</v>
      </c>
      <c r="G169" s="207">
        <v>24650</v>
      </c>
      <c r="H169" s="161">
        <v>100</v>
      </c>
      <c r="I169" s="207">
        <v>50</v>
      </c>
      <c r="J169" s="242">
        <f t="shared" si="27"/>
        <v>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44130</v>
      </c>
      <c r="D170" s="161" t="s">
        <v>9</v>
      </c>
      <c r="E170" s="161" t="s">
        <v>301</v>
      </c>
      <c r="F170" s="207">
        <v>24470</v>
      </c>
      <c r="G170" s="207">
        <v>24320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44131</v>
      </c>
      <c r="D171" s="161" t="s">
        <v>9</v>
      </c>
      <c r="E171" s="161" t="s">
        <v>301</v>
      </c>
      <c r="F171" s="207">
        <v>24350</v>
      </c>
      <c r="G171" s="207">
        <v>24650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44132</v>
      </c>
      <c r="D172" s="161" t="s">
        <v>9</v>
      </c>
      <c r="E172" s="161" t="s">
        <v>301</v>
      </c>
      <c r="F172" s="207">
        <v>24450</v>
      </c>
      <c r="G172" s="207">
        <v>24600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44133</v>
      </c>
      <c r="D173" s="161" t="s">
        <v>9</v>
      </c>
      <c r="E173" s="161" t="s">
        <v>301</v>
      </c>
      <c r="F173" s="207">
        <v>24100</v>
      </c>
      <c r="G173" s="207">
        <v>24250</v>
      </c>
      <c r="H173" s="161">
        <v>150</v>
      </c>
      <c r="I173" s="207">
        <v>50</v>
      </c>
      <c r="J173" s="242">
        <f t="shared" si="27"/>
        <v>7500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44134</v>
      </c>
      <c r="D174" s="161" t="s">
        <v>9</v>
      </c>
      <c r="E174" s="161" t="s">
        <v>301</v>
      </c>
      <c r="F174" s="207">
        <v>24200</v>
      </c>
      <c r="G174" s="207">
        <v>24250</v>
      </c>
      <c r="H174" s="161">
        <v>50</v>
      </c>
      <c r="I174" s="207">
        <v>50</v>
      </c>
      <c r="J174" s="242">
        <f t="shared" si="27"/>
        <v>2500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139500</v>
      </c>
      <c r="K177" s="153"/>
      <c r="V177" s="25">
        <f>SUM(V154:V176)</f>
        <v>18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3098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44105</v>
      </c>
      <c r="D185" s="185" t="s">
        <v>9</v>
      </c>
      <c r="E185" s="185" t="s">
        <v>3016</v>
      </c>
      <c r="F185" s="219">
        <v>70</v>
      </c>
      <c r="G185" s="219">
        <v>175</v>
      </c>
      <c r="H185" s="185">
        <v>105</v>
      </c>
      <c r="I185" s="219">
        <v>100</v>
      </c>
      <c r="J185" s="246">
        <f t="shared" ref="J185:J207" si="31">I185*H185</f>
        <v>10500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44109</v>
      </c>
      <c r="D186" s="185" t="s">
        <v>9</v>
      </c>
      <c r="E186" s="185" t="s">
        <v>3101</v>
      </c>
      <c r="F186" s="219">
        <v>360</v>
      </c>
      <c r="G186" s="219">
        <v>505</v>
      </c>
      <c r="H186" s="185">
        <v>145</v>
      </c>
      <c r="I186" s="219">
        <v>100</v>
      </c>
      <c r="J186" s="242">
        <f t="shared" si="31"/>
        <v>14500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44110</v>
      </c>
      <c r="D187" s="161" t="s">
        <v>9</v>
      </c>
      <c r="E187" s="161" t="s">
        <v>2138</v>
      </c>
      <c r="F187" s="207">
        <v>240</v>
      </c>
      <c r="G187" s="207">
        <v>340</v>
      </c>
      <c r="H187" s="161">
        <v>100</v>
      </c>
      <c r="I187" s="207">
        <v>100</v>
      </c>
      <c r="J187" s="242">
        <f t="shared" si="31"/>
        <v>10000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44111</v>
      </c>
      <c r="D188" s="161" t="s">
        <v>9</v>
      </c>
      <c r="E188" s="161" t="s">
        <v>2141</v>
      </c>
      <c r="F188" s="207">
        <v>190</v>
      </c>
      <c r="G188" s="207">
        <v>260</v>
      </c>
      <c r="H188" s="161">
        <v>70</v>
      </c>
      <c r="I188" s="207">
        <v>100</v>
      </c>
      <c r="J188" s="242">
        <f t="shared" si="31"/>
        <v>7000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44112</v>
      </c>
      <c r="D189" s="161" t="s">
        <v>9</v>
      </c>
      <c r="E189" s="161" t="s">
        <v>3106</v>
      </c>
      <c r="F189" s="207">
        <v>120</v>
      </c>
      <c r="G189" s="207">
        <v>175</v>
      </c>
      <c r="H189" s="161">
        <v>55</v>
      </c>
      <c r="I189" s="207">
        <v>100</v>
      </c>
      <c r="J189" s="242">
        <f t="shared" si="31"/>
        <v>5500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44113</v>
      </c>
      <c r="D190" s="161" t="s">
        <v>9</v>
      </c>
      <c r="E190" s="161" t="s">
        <v>2207</v>
      </c>
      <c r="F190" s="207">
        <v>350</v>
      </c>
      <c r="G190" s="207">
        <v>550</v>
      </c>
      <c r="H190" s="161">
        <v>200</v>
      </c>
      <c r="I190" s="207">
        <v>100</v>
      </c>
      <c r="J190" s="242">
        <f t="shared" si="31"/>
        <v>20000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44116</v>
      </c>
      <c r="D191" s="161" t="s">
        <v>9</v>
      </c>
      <c r="E191" s="161" t="s">
        <v>2291</v>
      </c>
      <c r="F191" s="207">
        <v>370</v>
      </c>
      <c r="G191" s="207">
        <v>270</v>
      </c>
      <c r="H191" s="161">
        <v>-100</v>
      </c>
      <c r="I191" s="207">
        <v>100</v>
      </c>
      <c r="J191" s="242">
        <f t="shared" si="31"/>
        <v>-10000</v>
      </c>
      <c r="K191" s="153"/>
      <c r="V191" s="25">
        <f t="shared" si="32"/>
        <v>0</v>
      </c>
      <c r="W191" s="25">
        <f t="shared" si="33"/>
        <v>1</v>
      </c>
    </row>
    <row r="192" spans="1:23" x14ac:dyDescent="0.3">
      <c r="A192" s="147"/>
      <c r="B192" s="205">
        <f t="shared" si="34"/>
        <v>8</v>
      </c>
      <c r="C192" s="206">
        <v>44117</v>
      </c>
      <c r="D192" s="161" t="s">
        <v>9</v>
      </c>
      <c r="E192" s="161" t="s">
        <v>2282</v>
      </c>
      <c r="F192" s="207">
        <v>310</v>
      </c>
      <c r="G192" s="207">
        <v>210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44118</v>
      </c>
      <c r="D193" s="161" t="s">
        <v>9</v>
      </c>
      <c r="E193" s="161" t="s">
        <v>2194</v>
      </c>
      <c r="F193" s="207">
        <v>250</v>
      </c>
      <c r="G193" s="207">
        <v>150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44119</v>
      </c>
      <c r="D194" s="161" t="s">
        <v>9</v>
      </c>
      <c r="E194" s="161" t="s">
        <v>3072</v>
      </c>
      <c r="F194" s="207">
        <v>100</v>
      </c>
      <c r="G194" s="207">
        <v>30</v>
      </c>
      <c r="H194" s="161">
        <v>-70</v>
      </c>
      <c r="I194" s="207">
        <v>100</v>
      </c>
      <c r="J194" s="242">
        <f t="shared" si="31"/>
        <v>-7000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44120</v>
      </c>
      <c r="D195" s="161" t="s">
        <v>9</v>
      </c>
      <c r="E195" s="161" t="s">
        <v>2195</v>
      </c>
      <c r="F195" s="207">
        <v>390</v>
      </c>
      <c r="G195" s="207">
        <v>530</v>
      </c>
      <c r="H195" s="161">
        <v>140</v>
      </c>
      <c r="I195" s="207">
        <v>100</v>
      </c>
      <c r="J195" s="242">
        <f t="shared" si="31"/>
        <v>14000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44123</v>
      </c>
      <c r="D196" s="161" t="s">
        <v>9</v>
      </c>
      <c r="E196" s="161" t="s">
        <v>2292</v>
      </c>
      <c r="F196" s="207">
        <v>350</v>
      </c>
      <c r="G196" s="207">
        <v>485</v>
      </c>
      <c r="H196" s="161">
        <v>135</v>
      </c>
      <c r="I196" s="207">
        <v>100</v>
      </c>
      <c r="J196" s="242">
        <f t="shared" si="31"/>
        <v>13500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44124</v>
      </c>
      <c r="D197" s="161" t="s">
        <v>9</v>
      </c>
      <c r="E197" s="161" t="s">
        <v>2358</v>
      </c>
      <c r="F197" s="207">
        <v>300</v>
      </c>
      <c r="G197" s="207">
        <v>375</v>
      </c>
      <c r="H197" s="161">
        <v>75</v>
      </c>
      <c r="I197" s="207">
        <v>100</v>
      </c>
      <c r="J197" s="242">
        <f t="shared" si="31"/>
        <v>7500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44125</v>
      </c>
      <c r="D198" s="161" t="s">
        <v>9</v>
      </c>
      <c r="E198" s="161" t="s">
        <v>2304</v>
      </c>
      <c r="F198" s="207">
        <v>230</v>
      </c>
      <c r="G198" s="207">
        <v>130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44126</v>
      </c>
      <c r="D199" s="161" t="s">
        <v>9</v>
      </c>
      <c r="E199" s="161" t="s">
        <v>3114</v>
      </c>
      <c r="F199" s="207">
        <v>190</v>
      </c>
      <c r="G199" s="207">
        <v>270</v>
      </c>
      <c r="H199" s="161">
        <v>80</v>
      </c>
      <c r="I199" s="207">
        <v>100</v>
      </c>
      <c r="J199" s="242">
        <f t="shared" si="31"/>
        <v>8000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44127</v>
      </c>
      <c r="D200" s="161" t="s">
        <v>9</v>
      </c>
      <c r="E200" s="161" t="s">
        <v>3115</v>
      </c>
      <c r="F200" s="207">
        <v>400</v>
      </c>
      <c r="G200" s="207">
        <v>433</v>
      </c>
      <c r="H200" s="161">
        <v>33</v>
      </c>
      <c r="I200" s="207">
        <v>100</v>
      </c>
      <c r="J200" s="242">
        <f t="shared" si="31"/>
        <v>3300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44130</v>
      </c>
      <c r="D201" s="161" t="s">
        <v>9</v>
      </c>
      <c r="E201" s="161" t="s">
        <v>2293</v>
      </c>
      <c r="F201" s="207">
        <v>380</v>
      </c>
      <c r="G201" s="207">
        <v>580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44131</v>
      </c>
      <c r="D202" s="161" t="s">
        <v>9</v>
      </c>
      <c r="E202" s="161" t="s">
        <v>2358</v>
      </c>
      <c r="F202" s="207">
        <v>350</v>
      </c>
      <c r="G202" s="207">
        <v>550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44132</v>
      </c>
      <c r="D203" s="161" t="s">
        <v>9</v>
      </c>
      <c r="E203" s="161" t="s">
        <v>3119</v>
      </c>
      <c r="F203" s="207">
        <v>300</v>
      </c>
      <c r="G203" s="207">
        <v>340</v>
      </c>
      <c r="H203" s="161">
        <v>40</v>
      </c>
      <c r="I203" s="207">
        <v>100</v>
      </c>
      <c r="J203" s="242">
        <f t="shared" si="31"/>
        <v>4000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44133</v>
      </c>
      <c r="D204" s="161" t="s">
        <v>9</v>
      </c>
      <c r="E204" s="161" t="s">
        <v>3073</v>
      </c>
      <c r="F204" s="207">
        <v>140</v>
      </c>
      <c r="G204" s="207">
        <v>190</v>
      </c>
      <c r="H204" s="161">
        <v>50</v>
      </c>
      <c r="I204" s="207">
        <v>100</v>
      </c>
      <c r="J204" s="242">
        <f t="shared" si="31"/>
        <v>5000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44134</v>
      </c>
      <c r="D205" s="161" t="s">
        <v>9</v>
      </c>
      <c r="E205" s="161" t="s">
        <v>2209</v>
      </c>
      <c r="F205" s="207">
        <v>500</v>
      </c>
      <c r="G205" s="207">
        <v>700</v>
      </c>
      <c r="H205" s="161">
        <v>200</v>
      </c>
      <c r="I205" s="207">
        <v>100</v>
      </c>
      <c r="J205" s="242">
        <f t="shared" si="31"/>
        <v>20000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135800</v>
      </c>
      <c r="K208" s="153"/>
      <c r="V208" s="25">
        <f>SUM(V185:V207)</f>
        <v>16</v>
      </c>
      <c r="W208" s="25">
        <f>SUM(W185:W207)</f>
        <v>5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3098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44105</v>
      </c>
      <c r="D216" s="185" t="s">
        <v>9</v>
      </c>
      <c r="E216" s="185" t="s">
        <v>3102</v>
      </c>
      <c r="F216" s="231">
        <v>78</v>
      </c>
      <c r="G216" s="231">
        <v>90</v>
      </c>
      <c r="H216" s="231">
        <v>12</v>
      </c>
      <c r="I216" s="219">
        <v>505</v>
      </c>
      <c r="J216" s="246">
        <f t="shared" ref="J216:J239" si="35">I216*H216</f>
        <v>6060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44109</v>
      </c>
      <c r="D217" s="185" t="s">
        <v>9</v>
      </c>
      <c r="E217" s="185" t="s">
        <v>2477</v>
      </c>
      <c r="F217" s="231">
        <v>15.5</v>
      </c>
      <c r="G217" s="231">
        <v>12.5</v>
      </c>
      <c r="H217" s="231">
        <v>-3</v>
      </c>
      <c r="I217" s="219">
        <v>1375</v>
      </c>
      <c r="J217" s="242">
        <f>I217*H217</f>
        <v>-4125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44110</v>
      </c>
      <c r="D218" s="161" t="s">
        <v>9</v>
      </c>
      <c r="E218" s="161" t="s">
        <v>1364</v>
      </c>
      <c r="F218" s="222">
        <v>7.8</v>
      </c>
      <c r="G218" s="222">
        <v>8.1999999999999993</v>
      </c>
      <c r="H218" s="222">
        <v>0.4</v>
      </c>
      <c r="I218" s="207">
        <v>3000</v>
      </c>
      <c r="J218" s="242">
        <f t="shared" si="35"/>
        <v>1200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44111</v>
      </c>
      <c r="D219" s="161" t="s">
        <v>9</v>
      </c>
      <c r="E219" s="161" t="s">
        <v>3089</v>
      </c>
      <c r="F219" s="222">
        <v>84</v>
      </c>
      <c r="G219" s="222">
        <v>99</v>
      </c>
      <c r="H219" s="222">
        <v>15</v>
      </c>
      <c r="I219" s="207">
        <v>505</v>
      </c>
      <c r="J219" s="242">
        <f t="shared" si="35"/>
        <v>7575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44112</v>
      </c>
      <c r="D220" s="161" t="s">
        <v>9</v>
      </c>
      <c r="E220" s="161" t="s">
        <v>3107</v>
      </c>
      <c r="F220" s="222">
        <v>85</v>
      </c>
      <c r="G220" s="222">
        <v>95</v>
      </c>
      <c r="H220" s="222">
        <v>10</v>
      </c>
      <c r="I220" s="207">
        <v>505</v>
      </c>
      <c r="J220" s="242">
        <f t="shared" si="35"/>
        <v>5050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44113</v>
      </c>
      <c r="D221" s="161" t="s">
        <v>9</v>
      </c>
      <c r="E221" s="161" t="s">
        <v>3108</v>
      </c>
      <c r="F221" s="222">
        <v>145</v>
      </c>
      <c r="G221" s="222">
        <v>172</v>
      </c>
      <c r="H221" s="222">
        <v>27</v>
      </c>
      <c r="I221" s="207">
        <v>250</v>
      </c>
      <c r="J221" s="242">
        <f t="shared" si="35"/>
        <v>6750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44116</v>
      </c>
      <c r="D222" s="161" t="s">
        <v>9</v>
      </c>
      <c r="E222" s="161" t="s">
        <v>1886</v>
      </c>
      <c r="F222" s="222">
        <v>21</v>
      </c>
      <c r="G222" s="222">
        <v>23.45</v>
      </c>
      <c r="H222" s="222">
        <v>2.4500000000000002</v>
      </c>
      <c r="I222" s="207">
        <v>1200</v>
      </c>
      <c r="J222" s="242">
        <f t="shared" si="35"/>
        <v>2940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44117</v>
      </c>
      <c r="D223" s="161" t="s">
        <v>9</v>
      </c>
      <c r="E223" s="161" t="s">
        <v>3096</v>
      </c>
      <c r="F223" s="222">
        <v>85</v>
      </c>
      <c r="G223" s="222">
        <v>105</v>
      </c>
      <c r="H223" s="222">
        <v>20</v>
      </c>
      <c r="I223" s="207">
        <v>505</v>
      </c>
      <c r="J223" s="242">
        <f t="shared" si="35"/>
        <v>10100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44118</v>
      </c>
      <c r="D224" s="161" t="s">
        <v>9</v>
      </c>
      <c r="E224" s="161" t="s">
        <v>3109</v>
      </c>
      <c r="F224" s="222">
        <v>76</v>
      </c>
      <c r="G224" s="222">
        <v>82.5</v>
      </c>
      <c r="H224" s="255">
        <v>6.5</v>
      </c>
      <c r="I224" s="207">
        <v>505</v>
      </c>
      <c r="J224" s="242">
        <f t="shared" si="35"/>
        <v>3282.5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44119</v>
      </c>
      <c r="D225" s="161" t="s">
        <v>9</v>
      </c>
      <c r="E225" s="161" t="s">
        <v>3110</v>
      </c>
      <c r="F225" s="222">
        <v>64</v>
      </c>
      <c r="G225" s="222">
        <v>54</v>
      </c>
      <c r="H225" s="255">
        <v>-10</v>
      </c>
      <c r="I225" s="207">
        <v>300</v>
      </c>
      <c r="J225" s="242">
        <f t="shared" si="35"/>
        <v>-3000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44120</v>
      </c>
      <c r="D226" s="161" t="s">
        <v>9</v>
      </c>
      <c r="E226" s="161" t="s">
        <v>3111</v>
      </c>
      <c r="F226" s="222">
        <v>65</v>
      </c>
      <c r="G226" s="222">
        <v>80</v>
      </c>
      <c r="H226" s="255">
        <v>15</v>
      </c>
      <c r="I226" s="207">
        <v>505</v>
      </c>
      <c r="J226" s="242">
        <f t="shared" si="35"/>
        <v>7575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44123</v>
      </c>
      <c r="D227" s="161" t="s">
        <v>9</v>
      </c>
      <c r="E227" s="161" t="s">
        <v>3112</v>
      </c>
      <c r="F227" s="222">
        <v>155</v>
      </c>
      <c r="G227" s="222">
        <v>130</v>
      </c>
      <c r="H227" s="255">
        <v>-25</v>
      </c>
      <c r="I227" s="207">
        <v>250</v>
      </c>
      <c r="J227" s="242">
        <f t="shared" si="35"/>
        <v>-6250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44124</v>
      </c>
      <c r="D228" s="161" t="s">
        <v>9</v>
      </c>
      <c r="E228" s="161" t="s">
        <v>3113</v>
      </c>
      <c r="F228" s="222">
        <v>17</v>
      </c>
      <c r="G228" s="222">
        <v>20</v>
      </c>
      <c r="H228" s="255">
        <v>3</v>
      </c>
      <c r="I228" s="207">
        <v>1851</v>
      </c>
      <c r="J228" s="242">
        <f t="shared" si="35"/>
        <v>5553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44125</v>
      </c>
      <c r="D229" s="161" t="s">
        <v>9</v>
      </c>
      <c r="E229" s="161" t="s">
        <v>3093</v>
      </c>
      <c r="F229" s="222">
        <v>135</v>
      </c>
      <c r="G229" s="222">
        <v>185</v>
      </c>
      <c r="H229" s="255">
        <v>50</v>
      </c>
      <c r="I229" s="207">
        <v>250</v>
      </c>
      <c r="J229" s="242">
        <f>I229*H229</f>
        <v>12500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44126</v>
      </c>
      <c r="D230" s="161" t="s">
        <v>9</v>
      </c>
      <c r="E230" s="161" t="s">
        <v>3066</v>
      </c>
      <c r="F230" s="222">
        <v>44</v>
      </c>
      <c r="G230" s="222">
        <v>34</v>
      </c>
      <c r="H230" s="255">
        <v>-10</v>
      </c>
      <c r="I230" s="207">
        <v>505</v>
      </c>
      <c r="J230" s="242">
        <f t="shared" si="35"/>
        <v>-5050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44127</v>
      </c>
      <c r="D231" s="161" t="s">
        <v>9</v>
      </c>
      <c r="E231" s="161" t="s">
        <v>3116</v>
      </c>
      <c r="F231" s="222">
        <v>20</v>
      </c>
      <c r="G231" s="222">
        <v>23</v>
      </c>
      <c r="H231" s="222">
        <v>3</v>
      </c>
      <c r="I231" s="207">
        <v>550</v>
      </c>
      <c r="J231" s="242">
        <f t="shared" si="35"/>
        <v>1650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44130</v>
      </c>
      <c r="D232" s="161" t="s">
        <v>9</v>
      </c>
      <c r="E232" s="161" t="s">
        <v>3117</v>
      </c>
      <c r="F232" s="222">
        <v>65</v>
      </c>
      <c r="G232" s="222">
        <v>85</v>
      </c>
      <c r="H232" s="222">
        <v>20</v>
      </c>
      <c r="I232" s="207">
        <v>300</v>
      </c>
      <c r="J232" s="242">
        <f t="shared" si="35"/>
        <v>6000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44131</v>
      </c>
      <c r="D233" s="161" t="s">
        <v>9</v>
      </c>
      <c r="E233" s="161" t="s">
        <v>3118</v>
      </c>
      <c r="F233" s="222">
        <v>18</v>
      </c>
      <c r="G233" s="222">
        <v>21.5</v>
      </c>
      <c r="H233" s="222">
        <v>3.5</v>
      </c>
      <c r="I233" s="207">
        <v>500</v>
      </c>
      <c r="J233" s="242">
        <f t="shared" si="35"/>
        <v>1750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44133</v>
      </c>
      <c r="D234" s="161" t="s">
        <v>9</v>
      </c>
      <c r="E234" s="161" t="s">
        <v>3120</v>
      </c>
      <c r="F234" s="222">
        <v>22</v>
      </c>
      <c r="G234" s="222">
        <v>38</v>
      </c>
      <c r="H234" s="222">
        <v>16</v>
      </c>
      <c r="I234" s="207">
        <v>505</v>
      </c>
      <c r="J234" s="242">
        <f t="shared" si="35"/>
        <v>8080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>
        <v>44134</v>
      </c>
      <c r="D235" s="161" t="s">
        <v>9</v>
      </c>
      <c r="E235" s="161" t="s">
        <v>3093</v>
      </c>
      <c r="F235" s="222">
        <v>150</v>
      </c>
      <c r="G235" s="222">
        <v>190</v>
      </c>
      <c r="H235" s="222">
        <v>40</v>
      </c>
      <c r="I235" s="207">
        <v>250</v>
      </c>
      <c r="J235" s="242">
        <f t="shared" si="35"/>
        <v>10000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77640.5</v>
      </c>
      <c r="K240" s="153"/>
      <c r="V240" s="25">
        <f>SUM(V216:V239)</f>
        <v>16</v>
      </c>
      <c r="W240" s="25">
        <f>SUM(W216:W239)</f>
        <v>4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A00-000000000000}"/>
    <hyperlink ref="B84" r:id="rId2" xr:uid="{00000000-0004-0000-5A00-000001000000}"/>
    <hyperlink ref="B115" r:id="rId3" xr:uid="{00000000-0004-0000-5A00-000002000000}"/>
    <hyperlink ref="B146" r:id="rId4" xr:uid="{00000000-0004-0000-5A00-000003000000}"/>
    <hyperlink ref="B177" r:id="rId5" xr:uid="{00000000-0004-0000-5A00-000004000000}"/>
    <hyperlink ref="B208" r:id="rId6" xr:uid="{00000000-0004-0000-5A00-000005000000}"/>
    <hyperlink ref="B240" r:id="rId7" xr:uid="{00000000-0004-0000-5A00-000006000000}"/>
    <hyperlink ref="M1" location="'MASTER '!A1" display="Back" xr:uid="{00000000-0004-0000-5A00-000007000000}"/>
    <hyperlink ref="M6:M7" location="'OCT 2020'!A77" display="STOCK FUTURE" xr:uid="{00000000-0004-0000-5A00-000008000000}"/>
    <hyperlink ref="M14:M15" location="'OCT 2020'!A201" display="B.NIFTY OPTION" xr:uid="{00000000-0004-0000-5A00-000009000000}"/>
    <hyperlink ref="M12:M13" location="'OCT 2020'!A170" display="BANK NIFTY" xr:uid="{00000000-0004-0000-5A00-00000A000000}"/>
    <hyperlink ref="M10:M11" location="'OCT 2020'!A139" display="NF. OPTION" xr:uid="{00000000-0004-0000-5A00-00000B000000}"/>
    <hyperlink ref="M8:M9" location="'OCT 2020'!A108" display="NIFTY FUTURE" xr:uid="{00000000-0004-0000-5A00-00000C000000}"/>
    <hyperlink ref="M4:M5" location="'OCT 2020'!A1" display="CASH" xr:uid="{00000000-0004-0000-5A00-00000D000000}"/>
    <hyperlink ref="M16:M17" location="'OCT 2020'!A216" display="STOCK OPTION" xr:uid="{00000000-0004-0000-5A00-00000E000000}"/>
  </hyperlinks>
  <pageMargins left="0" right="0" top="0" bottom="0" header="0" footer="0"/>
  <pageSetup scale="95" orientation="portrait" r:id="rId8"/>
  <drawing r:id="rId9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3121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33</v>
      </c>
      <c r="O4" s="386">
        <f>V52</f>
        <v>24</v>
      </c>
      <c r="P4" s="386">
        <f>W52</f>
        <v>8</v>
      </c>
      <c r="Q4" s="387">
        <f>N4-O4-P4</f>
        <v>1</v>
      </c>
      <c r="R4" s="380">
        <f>O4/N4</f>
        <v>0.72727272727272729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44137</v>
      </c>
      <c r="D6" s="158" t="s">
        <v>9</v>
      </c>
      <c r="E6" s="158" t="s">
        <v>1819</v>
      </c>
      <c r="F6" s="230">
        <v>508</v>
      </c>
      <c r="G6" s="222">
        <v>516</v>
      </c>
      <c r="H6" s="222">
        <v>8</v>
      </c>
      <c r="I6" s="207">
        <f t="shared" ref="I6:I7" si="0">300000/F6</f>
        <v>590.55118110236219</v>
      </c>
      <c r="J6" s="161">
        <f t="shared" ref="J6:J7" si="1">H6*I6</f>
        <v>4724.4094488188975</v>
      </c>
      <c r="K6" s="153"/>
      <c r="M6" s="394" t="s">
        <v>450</v>
      </c>
      <c r="N6" s="344">
        <f>COUNT(C60:C83)</f>
        <v>17</v>
      </c>
      <c r="O6" s="346">
        <f>V84</f>
        <v>13</v>
      </c>
      <c r="P6" s="346">
        <f>W84</f>
        <v>4</v>
      </c>
      <c r="Q6" s="374">
        <f>N6-O6-P6</f>
        <v>0</v>
      </c>
      <c r="R6" s="376">
        <f t="shared" ref="R6" si="2">O6/N6</f>
        <v>0.76470588235294112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44137</v>
      </c>
      <c r="D7" s="161" t="s">
        <v>8</v>
      </c>
      <c r="E7" s="161" t="s">
        <v>31</v>
      </c>
      <c r="F7" s="222">
        <v>1945</v>
      </c>
      <c r="G7" s="231">
        <v>1960</v>
      </c>
      <c r="H7" s="255">
        <v>15</v>
      </c>
      <c r="I7" s="207">
        <f t="shared" si="0"/>
        <v>154.24164524421593</v>
      </c>
      <c r="J7" s="161">
        <f t="shared" si="1"/>
        <v>2313.6246786632391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44138</v>
      </c>
      <c r="D8" s="161" t="s">
        <v>9</v>
      </c>
      <c r="E8" s="161" t="s">
        <v>132</v>
      </c>
      <c r="F8" s="222">
        <v>419</v>
      </c>
      <c r="G8" s="222">
        <v>419</v>
      </c>
      <c r="H8" s="222">
        <v>0</v>
      </c>
      <c r="I8" s="207">
        <f t="shared" ref="I8:I38" si="6">300000/F8</f>
        <v>715.99045346062053</v>
      </c>
      <c r="J8" s="161">
        <f t="shared" ref="J8:J38" si="7">H8*I8</f>
        <v>0</v>
      </c>
      <c r="K8" s="153"/>
      <c r="M8" s="394" t="s">
        <v>451</v>
      </c>
      <c r="N8" s="344">
        <f>COUNT(C92:C114)</f>
        <v>17</v>
      </c>
      <c r="O8" s="346">
        <f>V115</f>
        <v>12</v>
      </c>
      <c r="P8" s="346">
        <f>W115</f>
        <v>5</v>
      </c>
      <c r="Q8" s="374">
        <f>N8-O8-P8</f>
        <v>0</v>
      </c>
      <c r="R8" s="376">
        <f t="shared" ref="R8" si="8">O8/N8</f>
        <v>0.70588235294117652</v>
      </c>
      <c r="V8" s="25">
        <f>IF($J8&gt;0,1,0)</f>
        <v>0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44138</v>
      </c>
      <c r="D9" s="161" t="s">
        <v>8</v>
      </c>
      <c r="E9" s="161" t="s">
        <v>982</v>
      </c>
      <c r="F9" s="222">
        <v>348</v>
      </c>
      <c r="G9" s="231">
        <v>352</v>
      </c>
      <c r="H9" s="255">
        <v>-4</v>
      </c>
      <c r="I9" s="207">
        <f t="shared" si="6"/>
        <v>862.06896551724139</v>
      </c>
      <c r="J9" s="161">
        <f t="shared" si="7"/>
        <v>-3448.2758620689656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44139</v>
      </c>
      <c r="D10" s="161" t="s">
        <v>9</v>
      </c>
      <c r="E10" s="161" t="s">
        <v>78</v>
      </c>
      <c r="F10" s="222">
        <v>948</v>
      </c>
      <c r="G10" s="222">
        <v>938</v>
      </c>
      <c r="H10" s="222">
        <v>-10</v>
      </c>
      <c r="I10" s="207">
        <f t="shared" si="6"/>
        <v>316.45569620253167</v>
      </c>
      <c r="J10" s="161">
        <f t="shared" si="7"/>
        <v>-3164.5569620253168</v>
      </c>
      <c r="K10" s="153"/>
      <c r="M10" s="394" t="s">
        <v>1176</v>
      </c>
      <c r="N10" s="344">
        <f>COUNT(C123:C145)</f>
        <v>16</v>
      </c>
      <c r="O10" s="346">
        <f>V146</f>
        <v>12</v>
      </c>
      <c r="P10" s="346">
        <f>W146</f>
        <v>4</v>
      </c>
      <c r="Q10" s="374">
        <f>N10-O10-P10</f>
        <v>0</v>
      </c>
      <c r="R10" s="376">
        <f t="shared" ref="R10:R16" si="9">O10/N10</f>
        <v>0.75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44139</v>
      </c>
      <c r="D11" s="161" t="s">
        <v>8</v>
      </c>
      <c r="E11" s="161" t="s">
        <v>1819</v>
      </c>
      <c r="F11" s="222">
        <v>520</v>
      </c>
      <c r="G11" s="222">
        <v>511.5</v>
      </c>
      <c r="H11" s="255">
        <v>8.5</v>
      </c>
      <c r="I11" s="207">
        <f t="shared" si="6"/>
        <v>576.92307692307691</v>
      </c>
      <c r="J11" s="161">
        <f t="shared" si="7"/>
        <v>4903.8461538461534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44140</v>
      </c>
      <c r="D12" s="161" t="s">
        <v>9</v>
      </c>
      <c r="E12" s="161" t="s">
        <v>78</v>
      </c>
      <c r="F12" s="222">
        <v>950</v>
      </c>
      <c r="G12" s="222">
        <v>953.7</v>
      </c>
      <c r="H12" s="222">
        <v>3.7</v>
      </c>
      <c r="I12" s="207">
        <f t="shared" si="6"/>
        <v>315.78947368421052</v>
      </c>
      <c r="J12" s="242">
        <f t="shared" si="7"/>
        <v>1168.421052631579</v>
      </c>
      <c r="K12" s="153"/>
      <c r="M12" s="394" t="s">
        <v>41</v>
      </c>
      <c r="N12" s="344">
        <f>COUNT(C154:C176)</f>
        <v>17</v>
      </c>
      <c r="O12" s="346">
        <f>V177</f>
        <v>13</v>
      </c>
      <c r="P12" s="346">
        <f>W177</f>
        <v>4</v>
      </c>
      <c r="Q12" s="374">
        <f t="shared" ref="Q12" si="10">N12-O12-P12</f>
        <v>0</v>
      </c>
      <c r="R12" s="376">
        <f t="shared" si="9"/>
        <v>0.76470588235294112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44140</v>
      </c>
      <c r="D13" s="161" t="s">
        <v>8</v>
      </c>
      <c r="E13" s="161" t="s">
        <v>95</v>
      </c>
      <c r="F13" s="222">
        <v>440</v>
      </c>
      <c r="G13" s="222">
        <v>436</v>
      </c>
      <c r="H13" s="255">
        <v>4</v>
      </c>
      <c r="I13" s="207">
        <f t="shared" si="6"/>
        <v>681.81818181818187</v>
      </c>
      <c r="J13" s="242">
        <f t="shared" si="7"/>
        <v>2727.2727272727275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44141</v>
      </c>
      <c r="D14" s="161" t="s">
        <v>9</v>
      </c>
      <c r="E14" s="161" t="s">
        <v>78</v>
      </c>
      <c r="F14" s="222">
        <v>963</v>
      </c>
      <c r="G14" s="222">
        <v>966.5</v>
      </c>
      <c r="H14" s="222">
        <v>3.5</v>
      </c>
      <c r="I14" s="207">
        <f t="shared" si="6"/>
        <v>311.52647975077883</v>
      </c>
      <c r="J14" s="242">
        <f t="shared" si="7"/>
        <v>1090.3426791277259</v>
      </c>
      <c r="K14" s="153"/>
      <c r="M14" s="394" t="s">
        <v>1175</v>
      </c>
      <c r="N14" s="344">
        <f>COUNT(C185:C207)</f>
        <v>16</v>
      </c>
      <c r="O14" s="346">
        <f>V208</f>
        <v>8</v>
      </c>
      <c r="P14" s="346">
        <f>W208</f>
        <v>8</v>
      </c>
      <c r="Q14" s="374">
        <f t="shared" ref="Q14" si="11">N14-O14-P14</f>
        <v>0</v>
      </c>
      <c r="R14" s="376">
        <f t="shared" si="9"/>
        <v>0.5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44141</v>
      </c>
      <c r="D15" s="161" t="s">
        <v>8</v>
      </c>
      <c r="E15" s="161" t="s">
        <v>586</v>
      </c>
      <c r="F15" s="222">
        <v>800</v>
      </c>
      <c r="G15" s="222">
        <v>796</v>
      </c>
      <c r="H15" s="222">
        <v>4</v>
      </c>
      <c r="I15" s="207">
        <f t="shared" si="6"/>
        <v>375</v>
      </c>
      <c r="J15" s="242">
        <f t="shared" si="7"/>
        <v>1500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44144</v>
      </c>
      <c r="D16" s="161" t="s">
        <v>9</v>
      </c>
      <c r="E16" s="161" t="s">
        <v>3130</v>
      </c>
      <c r="F16" s="222">
        <v>558</v>
      </c>
      <c r="G16" s="222">
        <v>562</v>
      </c>
      <c r="H16" s="222">
        <v>4</v>
      </c>
      <c r="I16" s="207">
        <f t="shared" si="6"/>
        <v>537.63440860215053</v>
      </c>
      <c r="J16" s="242">
        <f t="shared" si="7"/>
        <v>2150.5376344086021</v>
      </c>
      <c r="K16" s="153"/>
      <c r="L16" s="25" t="s">
        <v>2008</v>
      </c>
      <c r="M16" s="394" t="s">
        <v>1090</v>
      </c>
      <c r="N16" s="344">
        <f>COUNT(C216:C239)</f>
        <v>16</v>
      </c>
      <c r="O16" s="346">
        <f>V240</f>
        <v>15</v>
      </c>
      <c r="P16" s="346">
        <f>W240</f>
        <v>1</v>
      </c>
      <c r="Q16" s="374">
        <f t="shared" ref="Q16" si="12">N16-O16-P16</f>
        <v>0</v>
      </c>
      <c r="R16" s="376">
        <f t="shared" si="9"/>
        <v>0.9375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44144</v>
      </c>
      <c r="D17" s="161" t="s">
        <v>8</v>
      </c>
      <c r="E17" s="161" t="s">
        <v>31</v>
      </c>
      <c r="F17" s="222">
        <v>2047</v>
      </c>
      <c r="G17" s="222">
        <v>2036</v>
      </c>
      <c r="H17" s="222">
        <v>11</v>
      </c>
      <c r="I17" s="207">
        <f t="shared" si="6"/>
        <v>146.55593551538837</v>
      </c>
      <c r="J17" s="242">
        <f t="shared" si="7"/>
        <v>1612.1152906692721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44145</v>
      </c>
      <c r="D18" s="161" t="s">
        <v>9</v>
      </c>
      <c r="E18" s="161" t="s">
        <v>31</v>
      </c>
      <c r="F18" s="222">
        <v>2085</v>
      </c>
      <c r="G18" s="222">
        <v>2070</v>
      </c>
      <c r="H18" s="222">
        <v>-15</v>
      </c>
      <c r="I18" s="207">
        <f t="shared" si="6"/>
        <v>143.88489208633092</v>
      </c>
      <c r="J18" s="242">
        <f t="shared" si="7"/>
        <v>-2158.2733812949637</v>
      </c>
      <c r="K18" s="153"/>
      <c r="M18" s="392" t="s">
        <v>946</v>
      </c>
      <c r="N18" s="378">
        <f>SUM(N4:N17)</f>
        <v>132</v>
      </c>
      <c r="O18" s="378">
        <f t="shared" ref="O18:Q18" si="13">SUM(O4:O17)</f>
        <v>97</v>
      </c>
      <c r="P18" s="378">
        <f t="shared" si="13"/>
        <v>34</v>
      </c>
      <c r="Q18" s="378">
        <f t="shared" si="13"/>
        <v>1</v>
      </c>
      <c r="R18" s="380">
        <f t="shared" ref="R18" si="14">O18/N18</f>
        <v>0.73484848484848486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44145</v>
      </c>
      <c r="D19" s="161" t="s">
        <v>8</v>
      </c>
      <c r="E19" s="161" t="s">
        <v>29</v>
      </c>
      <c r="F19" s="222">
        <v>823</v>
      </c>
      <c r="G19" s="222">
        <v>808.5</v>
      </c>
      <c r="H19" s="222">
        <v>14.5</v>
      </c>
      <c r="I19" s="207">
        <f t="shared" si="6"/>
        <v>364.52004860267317</v>
      </c>
      <c r="J19" s="242">
        <f t="shared" si="7"/>
        <v>5285.5407047387607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44146</v>
      </c>
      <c r="D20" s="161" t="s">
        <v>9</v>
      </c>
      <c r="E20" s="161" t="s">
        <v>119</v>
      </c>
      <c r="F20" s="222">
        <v>1790</v>
      </c>
      <c r="G20" s="222">
        <v>1813</v>
      </c>
      <c r="H20" s="222">
        <v>23</v>
      </c>
      <c r="I20" s="207">
        <f t="shared" si="6"/>
        <v>167.5977653631285</v>
      </c>
      <c r="J20" s="242">
        <f t="shared" si="7"/>
        <v>3854.7486033519554</v>
      </c>
      <c r="K20" s="153"/>
      <c r="M20" s="316" t="s">
        <v>2253</v>
      </c>
      <c r="N20" s="317"/>
      <c r="O20" s="318"/>
      <c r="P20" s="325">
        <f>R18</f>
        <v>0.73484848484848486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44146</v>
      </c>
      <c r="D21" s="161" t="s">
        <v>8</v>
      </c>
      <c r="E21" s="161" t="s">
        <v>173</v>
      </c>
      <c r="F21" s="222">
        <v>2170</v>
      </c>
      <c r="G21" s="222">
        <v>2160</v>
      </c>
      <c r="H21" s="222">
        <v>10</v>
      </c>
      <c r="I21" s="207">
        <f t="shared" si="6"/>
        <v>138.24884792626727</v>
      </c>
      <c r="J21" s="242">
        <f t="shared" si="7"/>
        <v>1382.4884792626726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44147</v>
      </c>
      <c r="D22" s="161" t="s">
        <v>9</v>
      </c>
      <c r="E22" s="161" t="s">
        <v>78</v>
      </c>
      <c r="F22" s="222">
        <v>1070</v>
      </c>
      <c r="G22" s="222">
        <v>1060</v>
      </c>
      <c r="H22" s="222">
        <v>-10</v>
      </c>
      <c r="I22" s="207">
        <f t="shared" si="6"/>
        <v>280.37383177570092</v>
      </c>
      <c r="J22" s="242">
        <f t="shared" si="7"/>
        <v>-2803.7383177570091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44147</v>
      </c>
      <c r="D23" s="161" t="s">
        <v>8</v>
      </c>
      <c r="E23" s="161" t="s">
        <v>19</v>
      </c>
      <c r="F23" s="222">
        <v>230</v>
      </c>
      <c r="G23" s="222">
        <v>226</v>
      </c>
      <c r="H23" s="222">
        <v>4</v>
      </c>
      <c r="I23" s="207">
        <f t="shared" si="6"/>
        <v>1304.3478260869565</v>
      </c>
      <c r="J23" s="242">
        <f t="shared" si="7"/>
        <v>5217.391304347826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44148</v>
      </c>
      <c r="D24" s="161" t="s">
        <v>9</v>
      </c>
      <c r="E24" s="161" t="s">
        <v>31</v>
      </c>
      <c r="F24" s="222">
        <v>2032</v>
      </c>
      <c r="G24" s="222">
        <v>2012</v>
      </c>
      <c r="H24" s="222">
        <v>-20</v>
      </c>
      <c r="I24" s="207">
        <f t="shared" si="6"/>
        <v>147.63779527559055</v>
      </c>
      <c r="J24" s="242">
        <f t="shared" si="7"/>
        <v>-2952.7559055118109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44148</v>
      </c>
      <c r="D25" s="161" t="s">
        <v>8</v>
      </c>
      <c r="E25" s="161" t="s">
        <v>117</v>
      </c>
      <c r="F25" s="222">
        <v>259</v>
      </c>
      <c r="G25" s="222">
        <v>256</v>
      </c>
      <c r="H25" s="222">
        <v>3</v>
      </c>
      <c r="I25" s="207">
        <f t="shared" si="6"/>
        <v>1158.3011583011582</v>
      </c>
      <c r="J25" s="242">
        <f t="shared" si="7"/>
        <v>3474.9034749034745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44154</v>
      </c>
      <c r="D26" s="161" t="s">
        <v>9</v>
      </c>
      <c r="E26" s="161" t="s">
        <v>1819</v>
      </c>
      <c r="F26" s="222">
        <v>630</v>
      </c>
      <c r="G26" s="222">
        <v>633</v>
      </c>
      <c r="H26" s="222">
        <v>3</v>
      </c>
      <c r="I26" s="207">
        <f t="shared" si="6"/>
        <v>476.1904761904762</v>
      </c>
      <c r="J26" s="242">
        <f t="shared" si="7"/>
        <v>1428.5714285714287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44154</v>
      </c>
      <c r="D27" s="161" t="s">
        <v>8</v>
      </c>
      <c r="E27" s="161" t="s">
        <v>1847</v>
      </c>
      <c r="F27" s="222">
        <v>372</v>
      </c>
      <c r="G27" s="222">
        <v>366</v>
      </c>
      <c r="H27" s="222">
        <v>6</v>
      </c>
      <c r="I27" s="207">
        <f t="shared" si="6"/>
        <v>806.45161290322585</v>
      </c>
      <c r="J27" s="242">
        <f t="shared" si="7"/>
        <v>4838.7096774193551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44155</v>
      </c>
      <c r="D28" s="161" t="s">
        <v>9</v>
      </c>
      <c r="E28" s="161" t="s">
        <v>78</v>
      </c>
      <c r="F28" s="222">
        <v>1150</v>
      </c>
      <c r="G28" s="222">
        <v>1140</v>
      </c>
      <c r="H28" s="222">
        <v>-10</v>
      </c>
      <c r="I28" s="207">
        <f t="shared" si="6"/>
        <v>260.86956521739131</v>
      </c>
      <c r="J28" s="242">
        <f t="shared" si="7"/>
        <v>-2608.695652173913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44155</v>
      </c>
      <c r="D29" s="161" t="s">
        <v>8</v>
      </c>
      <c r="E29" s="161" t="s">
        <v>31</v>
      </c>
      <c r="F29" s="222">
        <v>1950</v>
      </c>
      <c r="G29" s="222">
        <v>1920</v>
      </c>
      <c r="H29" s="222">
        <v>30</v>
      </c>
      <c r="I29" s="207">
        <f t="shared" si="6"/>
        <v>153.84615384615384</v>
      </c>
      <c r="J29" s="242">
        <f t="shared" si="7"/>
        <v>4615.3846153846152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44158</v>
      </c>
      <c r="D30" s="161" t="s">
        <v>9</v>
      </c>
      <c r="E30" s="161" t="s">
        <v>31</v>
      </c>
      <c r="F30" s="222">
        <v>1940</v>
      </c>
      <c r="G30" s="222">
        <v>1970</v>
      </c>
      <c r="H30" s="222">
        <v>30</v>
      </c>
      <c r="I30" s="207">
        <f t="shared" si="6"/>
        <v>154.63917525773195</v>
      </c>
      <c r="J30" s="242">
        <f t="shared" si="7"/>
        <v>4639.1752577319585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44159</v>
      </c>
      <c r="D31" s="161" t="s">
        <v>9</v>
      </c>
      <c r="E31" s="161" t="s">
        <v>19</v>
      </c>
      <c r="F31" s="222">
        <v>242</v>
      </c>
      <c r="G31" s="222">
        <v>245</v>
      </c>
      <c r="H31" s="222">
        <v>3</v>
      </c>
      <c r="I31" s="207">
        <f t="shared" si="6"/>
        <v>1239.6694214876034</v>
      </c>
      <c r="J31" s="242">
        <f t="shared" si="7"/>
        <v>3719.0082644628101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44159</v>
      </c>
      <c r="D32" s="161" t="s">
        <v>8</v>
      </c>
      <c r="E32" s="161" t="s">
        <v>2999</v>
      </c>
      <c r="F32" s="222">
        <v>657</v>
      </c>
      <c r="G32" s="222">
        <v>654</v>
      </c>
      <c r="H32" s="222">
        <v>3</v>
      </c>
      <c r="I32" s="207">
        <f t="shared" si="6"/>
        <v>456.62100456621005</v>
      </c>
      <c r="J32" s="242">
        <f t="shared" si="7"/>
        <v>1369.8630136986301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44160</v>
      </c>
      <c r="D33" s="161" t="s">
        <v>9</v>
      </c>
      <c r="E33" s="161" t="s">
        <v>31</v>
      </c>
      <c r="F33" s="222">
        <v>1985</v>
      </c>
      <c r="G33" s="222">
        <v>1970</v>
      </c>
      <c r="H33" s="222">
        <v>-15</v>
      </c>
      <c r="I33" s="207">
        <f t="shared" si="6"/>
        <v>151.13350125944584</v>
      </c>
      <c r="J33" s="242">
        <f t="shared" si="7"/>
        <v>-2267.0025188916875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44160</v>
      </c>
      <c r="D34" s="161" t="s">
        <v>8</v>
      </c>
      <c r="E34" s="161" t="s">
        <v>395</v>
      </c>
      <c r="F34" s="222">
        <v>4945</v>
      </c>
      <c r="G34" s="222">
        <v>4865</v>
      </c>
      <c r="H34" s="222">
        <v>80</v>
      </c>
      <c r="I34" s="207">
        <f t="shared" si="6"/>
        <v>60.667340748230536</v>
      </c>
      <c r="J34" s="242">
        <f t="shared" si="7"/>
        <v>4853.387259858443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44161</v>
      </c>
      <c r="D35" s="161" t="s">
        <v>9</v>
      </c>
      <c r="E35" s="161" t="s">
        <v>3137</v>
      </c>
      <c r="F35" s="222">
        <v>2450</v>
      </c>
      <c r="G35" s="222">
        <v>2494</v>
      </c>
      <c r="H35" s="222">
        <v>44</v>
      </c>
      <c r="I35" s="207">
        <f t="shared" si="6"/>
        <v>122.44897959183673</v>
      </c>
      <c r="J35" s="242">
        <f t="shared" si="7"/>
        <v>5387.7551020408164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44161</v>
      </c>
      <c r="D36" s="161" t="s">
        <v>8</v>
      </c>
      <c r="E36" s="161" t="s">
        <v>78</v>
      </c>
      <c r="F36" s="222">
        <v>1118</v>
      </c>
      <c r="G36" s="222">
        <v>1103.5</v>
      </c>
      <c r="H36" s="222">
        <v>14.5</v>
      </c>
      <c r="I36" s="207">
        <f t="shared" si="6"/>
        <v>268.33631484794273</v>
      </c>
      <c r="J36" s="242">
        <f t="shared" si="7"/>
        <v>3890.8765652951697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44162</v>
      </c>
      <c r="D37" s="161" t="s">
        <v>9</v>
      </c>
      <c r="E37" s="161" t="s">
        <v>395</v>
      </c>
      <c r="F37" s="222">
        <v>4910</v>
      </c>
      <c r="G37" s="222">
        <v>4932</v>
      </c>
      <c r="H37" s="222">
        <v>22</v>
      </c>
      <c r="I37" s="207">
        <f t="shared" si="6"/>
        <v>61.099796334012218</v>
      </c>
      <c r="J37" s="242">
        <f t="shared" si="7"/>
        <v>1344.1955193482688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44162</v>
      </c>
      <c r="D38" s="161" t="s">
        <v>8</v>
      </c>
      <c r="E38" s="161" t="s">
        <v>95</v>
      </c>
      <c r="F38" s="222">
        <v>473</v>
      </c>
      <c r="G38" s="222">
        <v>478</v>
      </c>
      <c r="H38" s="222">
        <v>-5</v>
      </c>
      <c r="I38" s="207">
        <f t="shared" si="6"/>
        <v>634.24947145877377</v>
      </c>
      <c r="J38" s="242">
        <f t="shared" si="7"/>
        <v>-3171.2473572938688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/>
      <c r="D39" s="161"/>
      <c r="E39" s="161"/>
      <c r="F39" s="222"/>
      <c r="G39" s="222"/>
      <c r="H39" s="222"/>
      <c r="I39" s="207"/>
      <c r="J39" s="242"/>
      <c r="K39" s="153"/>
      <c r="V39" s="25">
        <f t="shared" si="3"/>
        <v>0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/>
      <c r="D40" s="161"/>
      <c r="E40" s="161"/>
      <c r="F40" s="222"/>
      <c r="G40" s="222"/>
      <c r="H40" s="222"/>
      <c r="I40" s="207"/>
      <c r="J40" s="242"/>
      <c r="K40" s="153"/>
      <c r="V40" s="25">
        <f t="shared" si="3"/>
        <v>0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/>
      <c r="D41" s="161"/>
      <c r="E41" s="161"/>
      <c r="F41" s="222"/>
      <c r="G41" s="223"/>
      <c r="H41" s="222"/>
      <c r="I41" s="207"/>
      <c r="J41" s="242"/>
      <c r="K41" s="153"/>
      <c r="V41" s="25">
        <f t="shared" si="3"/>
        <v>0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/>
      <c r="D42" s="161"/>
      <c r="E42" s="161"/>
      <c r="F42" s="222"/>
      <c r="G42" s="222"/>
      <c r="H42" s="222"/>
      <c r="I42" s="207"/>
      <c r="J42" s="242"/>
      <c r="K42" s="153"/>
      <c r="V42" s="25">
        <f t="shared" si="3"/>
        <v>0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/>
      <c r="D43" s="161"/>
      <c r="E43" s="161"/>
      <c r="F43" s="222"/>
      <c r="G43" s="222"/>
      <c r="H43" s="222"/>
      <c r="I43" s="207"/>
      <c r="J43" s="242"/>
      <c r="K43" s="153"/>
      <c r="V43" s="25">
        <f t="shared" si="3"/>
        <v>0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54918.022978836852</v>
      </c>
      <c r="K52" s="153"/>
      <c r="V52" s="25">
        <f>SUM(V6:V51)</f>
        <v>24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3122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44137</v>
      </c>
      <c r="D60" s="161" t="s">
        <v>9</v>
      </c>
      <c r="E60" s="161" t="s">
        <v>58</v>
      </c>
      <c r="F60" s="222">
        <v>502</v>
      </c>
      <c r="G60" s="222">
        <v>512</v>
      </c>
      <c r="H60" s="222">
        <v>10</v>
      </c>
      <c r="I60" s="207">
        <v>1200</v>
      </c>
      <c r="J60" s="241">
        <f t="shared" ref="J60:J83" si="15">I60*H60</f>
        <v>12000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44138</v>
      </c>
      <c r="D61" s="161" t="s">
        <v>9</v>
      </c>
      <c r="E61" s="161" t="s">
        <v>58</v>
      </c>
      <c r="F61" s="222">
        <v>530</v>
      </c>
      <c r="G61" s="222">
        <v>537.5</v>
      </c>
      <c r="H61" s="222">
        <v>7.5</v>
      </c>
      <c r="I61" s="207">
        <v>1200</v>
      </c>
      <c r="J61" s="242">
        <f t="shared" si="15"/>
        <v>9000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44139</v>
      </c>
      <c r="D62" s="161" t="s">
        <v>9</v>
      </c>
      <c r="E62" s="161" t="s">
        <v>2023</v>
      </c>
      <c r="F62" s="222">
        <v>3490</v>
      </c>
      <c r="G62" s="222">
        <v>3540</v>
      </c>
      <c r="H62" s="222">
        <v>50</v>
      </c>
      <c r="I62" s="207">
        <v>250</v>
      </c>
      <c r="J62" s="242">
        <f t="shared" si="15"/>
        <v>12500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44140</v>
      </c>
      <c r="D63" s="161" t="s">
        <v>9</v>
      </c>
      <c r="E63" s="161" t="s">
        <v>31</v>
      </c>
      <c r="F63" s="222">
        <v>1952</v>
      </c>
      <c r="G63" s="222">
        <v>1964</v>
      </c>
      <c r="H63" s="222">
        <v>12</v>
      </c>
      <c r="I63" s="207">
        <v>505</v>
      </c>
      <c r="J63" s="242">
        <f t="shared" si="15"/>
        <v>6060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44141</v>
      </c>
      <c r="D64" s="161" t="s">
        <v>9</v>
      </c>
      <c r="E64" s="161" t="s">
        <v>2023</v>
      </c>
      <c r="F64" s="222">
        <v>3725</v>
      </c>
      <c r="G64" s="222">
        <v>3785</v>
      </c>
      <c r="H64" s="222">
        <v>60</v>
      </c>
      <c r="I64" s="207">
        <v>250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44144</v>
      </c>
      <c r="D65" s="161" t="s">
        <v>9</v>
      </c>
      <c r="E65" s="161" t="s">
        <v>2023</v>
      </c>
      <c r="F65" s="207">
        <v>3850</v>
      </c>
      <c r="G65" s="222">
        <v>3820</v>
      </c>
      <c r="H65" s="222">
        <v>-30</v>
      </c>
      <c r="I65" s="207">
        <v>250</v>
      </c>
      <c r="J65" s="242">
        <f t="shared" si="15"/>
        <v>-7500</v>
      </c>
      <c r="K65" s="153"/>
      <c r="V65" s="25">
        <f t="shared" si="16"/>
        <v>0</v>
      </c>
      <c r="W65" s="25">
        <f t="shared" si="17"/>
        <v>1</v>
      </c>
    </row>
    <row r="66" spans="1:23" x14ac:dyDescent="0.3">
      <c r="A66" s="147"/>
      <c r="B66" s="205">
        <f t="shared" si="18"/>
        <v>7</v>
      </c>
      <c r="C66" s="206">
        <v>44145</v>
      </c>
      <c r="D66" s="161" t="s">
        <v>9</v>
      </c>
      <c r="E66" s="161" t="s">
        <v>2023</v>
      </c>
      <c r="F66" s="207">
        <v>4110</v>
      </c>
      <c r="G66" s="222">
        <v>4170</v>
      </c>
      <c r="H66" s="222">
        <v>60</v>
      </c>
      <c r="I66" s="207">
        <v>250</v>
      </c>
      <c r="J66" s="242">
        <f t="shared" si="15"/>
        <v>15000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44146</v>
      </c>
      <c r="D67" s="161" t="s">
        <v>9</v>
      </c>
      <c r="E67" s="161" t="s">
        <v>58</v>
      </c>
      <c r="F67" s="222">
        <v>597</v>
      </c>
      <c r="G67" s="222">
        <v>607</v>
      </c>
      <c r="H67" s="222">
        <v>10</v>
      </c>
      <c r="I67" s="207">
        <v>1200</v>
      </c>
      <c r="J67" s="242">
        <f t="shared" si="15"/>
        <v>12000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44147</v>
      </c>
      <c r="D68" s="161" t="s">
        <v>9</v>
      </c>
      <c r="E68" s="161" t="s">
        <v>2023</v>
      </c>
      <c r="F68" s="222">
        <v>4215</v>
      </c>
      <c r="G68" s="222">
        <v>4275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44148</v>
      </c>
      <c r="D69" s="161" t="s">
        <v>9</v>
      </c>
      <c r="E69" s="161" t="s">
        <v>2023</v>
      </c>
      <c r="F69" s="222">
        <v>4370</v>
      </c>
      <c r="G69" s="222">
        <v>4340</v>
      </c>
      <c r="H69" s="222">
        <v>-30</v>
      </c>
      <c r="I69" s="207">
        <v>250</v>
      </c>
      <c r="J69" s="242">
        <f t="shared" si="15"/>
        <v>-7500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44154</v>
      </c>
      <c r="D70" s="161" t="s">
        <v>9</v>
      </c>
      <c r="E70" s="161" t="s">
        <v>2023</v>
      </c>
      <c r="F70" s="161">
        <v>4750</v>
      </c>
      <c r="G70" s="222">
        <v>4774</v>
      </c>
      <c r="H70" s="222">
        <v>24</v>
      </c>
      <c r="I70" s="207">
        <v>250</v>
      </c>
      <c r="J70" s="242">
        <f t="shared" si="15"/>
        <v>6000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44155</v>
      </c>
      <c r="D71" s="161" t="s">
        <v>8</v>
      </c>
      <c r="E71" s="161" t="s">
        <v>58</v>
      </c>
      <c r="F71" s="222">
        <v>606</v>
      </c>
      <c r="G71" s="222">
        <v>594</v>
      </c>
      <c r="H71" s="222">
        <v>12</v>
      </c>
      <c r="I71" s="207">
        <v>1200</v>
      </c>
      <c r="J71" s="242">
        <f t="shared" si="15"/>
        <v>14400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44158</v>
      </c>
      <c r="D72" s="161" t="s">
        <v>9</v>
      </c>
      <c r="E72" s="161" t="s">
        <v>2023</v>
      </c>
      <c r="F72" s="222">
        <v>4780</v>
      </c>
      <c r="G72" s="222">
        <v>4840</v>
      </c>
      <c r="H72" s="222">
        <v>60</v>
      </c>
      <c r="I72" s="207">
        <v>250</v>
      </c>
      <c r="J72" s="242">
        <f t="shared" si="15"/>
        <v>15000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44159</v>
      </c>
      <c r="D73" s="161" t="s">
        <v>8</v>
      </c>
      <c r="E73" s="161" t="s">
        <v>2999</v>
      </c>
      <c r="F73" s="223">
        <v>652</v>
      </c>
      <c r="G73" s="222">
        <v>658</v>
      </c>
      <c r="H73" s="255">
        <v>-6</v>
      </c>
      <c r="I73" s="207">
        <v>1100</v>
      </c>
      <c r="J73" s="242">
        <f t="shared" si="15"/>
        <v>-6600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44160</v>
      </c>
      <c r="D74" s="161" t="s">
        <v>9</v>
      </c>
      <c r="E74" s="161" t="s">
        <v>95</v>
      </c>
      <c r="F74" s="222">
        <v>490</v>
      </c>
      <c r="G74" s="222">
        <v>485</v>
      </c>
      <c r="H74" s="255">
        <v>-5</v>
      </c>
      <c r="I74" s="207">
        <v>1375</v>
      </c>
      <c r="J74" s="242">
        <f t="shared" si="15"/>
        <v>-6875</v>
      </c>
      <c r="K74" s="153"/>
      <c r="V74" s="25">
        <f t="shared" si="16"/>
        <v>0</v>
      </c>
      <c r="W74" s="25">
        <f t="shared" si="17"/>
        <v>1</v>
      </c>
    </row>
    <row r="75" spans="1:23" x14ac:dyDescent="0.3">
      <c r="A75" s="147"/>
      <c r="B75" s="205">
        <f t="shared" si="18"/>
        <v>16</v>
      </c>
      <c r="C75" s="206">
        <v>44161</v>
      </c>
      <c r="D75" s="161" t="s">
        <v>9</v>
      </c>
      <c r="E75" s="161" t="s">
        <v>2023</v>
      </c>
      <c r="F75" s="222">
        <v>4680</v>
      </c>
      <c r="G75" s="222">
        <v>4740</v>
      </c>
      <c r="H75" s="255">
        <v>60</v>
      </c>
      <c r="I75" s="207">
        <v>250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44162</v>
      </c>
      <c r="D76" s="161" t="s">
        <v>9</v>
      </c>
      <c r="E76" s="161" t="s">
        <v>2023</v>
      </c>
      <c r="F76" s="222">
        <v>4865</v>
      </c>
      <c r="G76" s="222">
        <v>4895</v>
      </c>
      <c r="H76" s="222">
        <v>30</v>
      </c>
      <c r="I76" s="207">
        <v>250</v>
      </c>
      <c r="J76" s="242">
        <f t="shared" si="15"/>
        <v>7500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/>
      <c r="D77" s="161"/>
      <c r="E77" s="161"/>
      <c r="F77" s="222"/>
      <c r="G77" s="222"/>
      <c r="H77" s="222"/>
      <c r="I77" s="207"/>
      <c r="J77" s="242">
        <f t="shared" si="15"/>
        <v>0</v>
      </c>
      <c r="K77" s="153"/>
      <c r="V77" s="25">
        <f t="shared" si="16"/>
        <v>0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/>
      <c r="D78" s="161"/>
      <c r="E78" s="161"/>
      <c r="F78" s="222"/>
      <c r="G78" s="222"/>
      <c r="H78" s="222"/>
      <c r="I78" s="207"/>
      <c r="J78" s="242">
        <f t="shared" si="15"/>
        <v>0</v>
      </c>
      <c r="K78" s="153"/>
      <c r="V78" s="25">
        <f t="shared" si="16"/>
        <v>0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125985</v>
      </c>
      <c r="K84" s="153"/>
      <c r="V84" s="25">
        <f>SUM(V60:V83)</f>
        <v>13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3123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44137</v>
      </c>
      <c r="D92" s="185" t="s">
        <v>9</v>
      </c>
      <c r="E92" s="185" t="s">
        <v>39</v>
      </c>
      <c r="F92" s="219">
        <v>11580</v>
      </c>
      <c r="G92" s="219">
        <v>11660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44138</v>
      </c>
      <c r="D93" s="185" t="s">
        <v>9</v>
      </c>
      <c r="E93" s="185" t="s">
        <v>39</v>
      </c>
      <c r="F93" s="219">
        <v>11790</v>
      </c>
      <c r="G93" s="219">
        <v>11830</v>
      </c>
      <c r="H93" s="185">
        <v>40</v>
      </c>
      <c r="I93" s="219">
        <v>150</v>
      </c>
      <c r="J93" s="242">
        <f t="shared" si="19"/>
        <v>6000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44139</v>
      </c>
      <c r="D94" s="161" t="s">
        <v>9</v>
      </c>
      <c r="E94" s="161" t="s">
        <v>39</v>
      </c>
      <c r="F94" s="207">
        <v>11850</v>
      </c>
      <c r="G94" s="207">
        <v>11910</v>
      </c>
      <c r="H94" s="161">
        <v>60</v>
      </c>
      <c r="I94" s="207">
        <v>150</v>
      </c>
      <c r="J94" s="242">
        <f t="shared" si="19"/>
        <v>9000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44140</v>
      </c>
      <c r="D95" s="161" t="s">
        <v>9</v>
      </c>
      <c r="E95" s="161" t="s">
        <v>39</v>
      </c>
      <c r="F95" s="207">
        <v>12080</v>
      </c>
      <c r="G95" s="207">
        <v>12140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44141</v>
      </c>
      <c r="D96" s="161" t="s">
        <v>9</v>
      </c>
      <c r="E96" s="161" t="s">
        <v>39</v>
      </c>
      <c r="F96" s="207">
        <v>12180</v>
      </c>
      <c r="G96" s="207">
        <v>12260</v>
      </c>
      <c r="H96" s="161">
        <v>80</v>
      </c>
      <c r="I96" s="207">
        <v>150</v>
      </c>
      <c r="J96" s="242">
        <f t="shared" si="19"/>
        <v>12000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44144</v>
      </c>
      <c r="D97" s="161" t="s">
        <v>9</v>
      </c>
      <c r="E97" s="161" t="s">
        <v>39</v>
      </c>
      <c r="F97" s="207">
        <v>12430</v>
      </c>
      <c r="G97" s="207">
        <v>12390</v>
      </c>
      <c r="H97" s="161">
        <v>-40</v>
      </c>
      <c r="I97" s="207">
        <v>150</v>
      </c>
      <c r="J97" s="242">
        <f t="shared" si="19"/>
        <v>-6000</v>
      </c>
      <c r="K97" s="153"/>
      <c r="V97" s="25">
        <f t="shared" si="20"/>
        <v>0</v>
      </c>
      <c r="W97" s="25">
        <f t="shared" si="21"/>
        <v>1</v>
      </c>
    </row>
    <row r="98" spans="1:23" x14ac:dyDescent="0.3">
      <c r="A98" s="147"/>
      <c r="B98" s="205">
        <f t="shared" si="22"/>
        <v>7</v>
      </c>
      <c r="C98" s="206">
        <v>44145</v>
      </c>
      <c r="D98" s="161" t="s">
        <v>9</v>
      </c>
      <c r="E98" s="161" t="s">
        <v>39</v>
      </c>
      <c r="F98" s="207">
        <v>12610</v>
      </c>
      <c r="G98" s="207">
        <v>12570</v>
      </c>
      <c r="H98" s="161">
        <v>-40</v>
      </c>
      <c r="I98" s="207">
        <v>150</v>
      </c>
      <c r="J98" s="242">
        <f t="shared" si="19"/>
        <v>-6000</v>
      </c>
      <c r="K98" s="153"/>
      <c r="V98" s="25">
        <f t="shared" si="20"/>
        <v>0</v>
      </c>
      <c r="W98" s="25">
        <f t="shared" si="21"/>
        <v>1</v>
      </c>
    </row>
    <row r="99" spans="1:23" x14ac:dyDescent="0.3">
      <c r="A99" s="147"/>
      <c r="B99" s="205">
        <f t="shared" si="22"/>
        <v>8</v>
      </c>
      <c r="C99" s="206">
        <v>44146</v>
      </c>
      <c r="D99" s="161" t="s">
        <v>9</v>
      </c>
      <c r="E99" s="161" t="s">
        <v>39</v>
      </c>
      <c r="F99" s="207">
        <v>12740</v>
      </c>
      <c r="G99" s="207">
        <v>12700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44147</v>
      </c>
      <c r="D100" s="161" t="s">
        <v>9</v>
      </c>
      <c r="E100" s="161" t="s">
        <v>39</v>
      </c>
      <c r="F100" s="207">
        <v>12700</v>
      </c>
      <c r="G100" s="207">
        <v>12733</v>
      </c>
      <c r="H100" s="161">
        <v>33</v>
      </c>
      <c r="I100" s="207">
        <v>150</v>
      </c>
      <c r="J100" s="242">
        <f t="shared" si="19"/>
        <v>4950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44148</v>
      </c>
      <c r="D101" s="161" t="s">
        <v>9</v>
      </c>
      <c r="E101" s="161" t="s">
        <v>39</v>
      </c>
      <c r="F101" s="207">
        <v>12710</v>
      </c>
      <c r="G101" s="207">
        <v>12740</v>
      </c>
      <c r="H101" s="161">
        <v>-30</v>
      </c>
      <c r="I101" s="207">
        <v>150</v>
      </c>
      <c r="J101" s="242">
        <f t="shared" si="19"/>
        <v>-4500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44154</v>
      </c>
      <c r="D102" s="161" t="s">
        <v>9</v>
      </c>
      <c r="E102" s="161" t="s">
        <v>39</v>
      </c>
      <c r="F102" s="207">
        <v>12950</v>
      </c>
      <c r="G102" s="207">
        <v>12970</v>
      </c>
      <c r="H102" s="161">
        <v>20</v>
      </c>
      <c r="I102" s="207">
        <v>150</v>
      </c>
      <c r="J102" s="242">
        <f t="shared" si="19"/>
        <v>3000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44155</v>
      </c>
      <c r="D103" s="161" t="s">
        <v>9</v>
      </c>
      <c r="E103" s="161" t="s">
        <v>39</v>
      </c>
      <c r="F103" s="207">
        <v>12830</v>
      </c>
      <c r="G103" s="207">
        <v>12790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44158</v>
      </c>
      <c r="D104" s="161" t="s">
        <v>8</v>
      </c>
      <c r="E104" s="161" t="s">
        <v>39</v>
      </c>
      <c r="F104" s="207">
        <v>12880</v>
      </c>
      <c r="G104" s="207">
        <v>12840</v>
      </c>
      <c r="H104" s="161">
        <v>40</v>
      </c>
      <c r="I104" s="207">
        <v>150</v>
      </c>
      <c r="J104" s="242">
        <f t="shared" si="19"/>
        <v>6000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44159</v>
      </c>
      <c r="D105" s="161" t="s">
        <v>9</v>
      </c>
      <c r="E105" s="161" t="s">
        <v>39</v>
      </c>
      <c r="F105" s="207">
        <v>13020</v>
      </c>
      <c r="G105" s="207">
        <v>13075</v>
      </c>
      <c r="H105" s="161">
        <v>55</v>
      </c>
      <c r="I105" s="207">
        <v>150</v>
      </c>
      <c r="J105" s="242">
        <f t="shared" si="19"/>
        <v>8250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44160</v>
      </c>
      <c r="D106" s="161" t="s">
        <v>8</v>
      </c>
      <c r="E106" s="161" t="s">
        <v>39</v>
      </c>
      <c r="F106" s="207">
        <v>13010</v>
      </c>
      <c r="G106" s="207">
        <v>12985</v>
      </c>
      <c r="H106" s="161">
        <v>25</v>
      </c>
      <c r="I106" s="207">
        <v>150</v>
      </c>
      <c r="J106" s="242">
        <f t="shared" si="19"/>
        <v>3750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44161</v>
      </c>
      <c r="D107" s="161" t="s">
        <v>9</v>
      </c>
      <c r="E107" s="161" t="s">
        <v>39</v>
      </c>
      <c r="F107" s="207">
        <v>12830</v>
      </c>
      <c r="G107" s="207">
        <v>12860</v>
      </c>
      <c r="H107" s="161">
        <v>30</v>
      </c>
      <c r="I107" s="207">
        <v>150</v>
      </c>
      <c r="J107" s="242">
        <f t="shared" si="19"/>
        <v>4500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44162</v>
      </c>
      <c r="D108" s="161" t="s">
        <v>9</v>
      </c>
      <c r="E108" s="161" t="s">
        <v>39</v>
      </c>
      <c r="F108" s="207">
        <v>13010</v>
      </c>
      <c r="G108" s="207">
        <v>13090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/>
      <c r="D109" s="161"/>
      <c r="E109" s="161"/>
      <c r="F109" s="207"/>
      <c r="G109" s="207"/>
      <c r="H109" s="161"/>
      <c r="I109" s="207"/>
      <c r="J109" s="242">
        <f t="shared" si="19"/>
        <v>0</v>
      </c>
      <c r="K109" s="153"/>
      <c r="V109" s="25">
        <f t="shared" si="20"/>
        <v>0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/>
      <c r="D110" s="161"/>
      <c r="E110" s="161"/>
      <c r="F110" s="207"/>
      <c r="G110" s="207"/>
      <c r="H110" s="161"/>
      <c r="I110" s="207"/>
      <c r="J110" s="242">
        <f>I110*H110</f>
        <v>0</v>
      </c>
      <c r="K110" s="153"/>
      <c r="V110" s="25">
        <f t="shared" si="20"/>
        <v>0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61950</v>
      </c>
      <c r="K115" s="153"/>
      <c r="V115" s="25">
        <f>SUM(V92:V114)</f>
        <v>12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3121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44137</v>
      </c>
      <c r="D123" s="185" t="s">
        <v>9</v>
      </c>
      <c r="E123" s="185" t="s">
        <v>2561</v>
      </c>
      <c r="F123" s="219">
        <v>145</v>
      </c>
      <c r="G123" s="219">
        <v>195</v>
      </c>
      <c r="H123" s="185">
        <v>50</v>
      </c>
      <c r="I123" s="219">
        <v>300</v>
      </c>
      <c r="J123" s="246">
        <f t="shared" ref="J123:J145" si="23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44138</v>
      </c>
      <c r="D124" s="185" t="s">
        <v>9</v>
      </c>
      <c r="E124" s="185" t="s">
        <v>2716</v>
      </c>
      <c r="F124" s="219">
        <v>115</v>
      </c>
      <c r="G124" s="219">
        <v>140</v>
      </c>
      <c r="H124" s="185">
        <v>25</v>
      </c>
      <c r="I124" s="219">
        <v>300</v>
      </c>
      <c r="J124" s="242">
        <f t="shared" si="23"/>
        <v>7500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44139</v>
      </c>
      <c r="D125" s="161" t="s">
        <v>9</v>
      </c>
      <c r="E125" s="161" t="s">
        <v>2847</v>
      </c>
      <c r="F125" s="207">
        <v>110</v>
      </c>
      <c r="G125" s="207">
        <v>127</v>
      </c>
      <c r="H125" s="161">
        <v>17</v>
      </c>
      <c r="I125" s="207">
        <v>300</v>
      </c>
      <c r="J125" s="242">
        <f t="shared" si="23"/>
        <v>5100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44140</v>
      </c>
      <c r="D126" s="161" t="s">
        <v>9</v>
      </c>
      <c r="E126" s="161" t="s">
        <v>2732</v>
      </c>
      <c r="F126" s="207">
        <v>90</v>
      </c>
      <c r="G126" s="207">
        <v>115</v>
      </c>
      <c r="H126" s="161">
        <v>25</v>
      </c>
      <c r="I126" s="207">
        <v>300</v>
      </c>
      <c r="J126" s="242">
        <f t="shared" si="23"/>
        <v>7500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44141</v>
      </c>
      <c r="D127" s="161" t="s">
        <v>9</v>
      </c>
      <c r="E127" s="161" t="s">
        <v>2904</v>
      </c>
      <c r="F127" s="207">
        <v>125</v>
      </c>
      <c r="G127" s="207">
        <v>175</v>
      </c>
      <c r="H127" s="161">
        <v>50</v>
      </c>
      <c r="I127" s="207">
        <v>300</v>
      </c>
      <c r="J127" s="242">
        <f t="shared" si="23"/>
        <v>15000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44144</v>
      </c>
      <c r="D128" s="161" t="s">
        <v>9</v>
      </c>
      <c r="E128" s="161" t="s">
        <v>2917</v>
      </c>
      <c r="F128" s="207">
        <v>110</v>
      </c>
      <c r="G128" s="222">
        <v>85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44145</v>
      </c>
      <c r="D129" s="161" t="s">
        <v>9</v>
      </c>
      <c r="E129" s="161" t="s">
        <v>3131</v>
      </c>
      <c r="F129" s="207">
        <v>105</v>
      </c>
      <c r="G129" s="207">
        <v>130</v>
      </c>
      <c r="H129" s="161">
        <v>25</v>
      </c>
      <c r="I129" s="207">
        <v>300</v>
      </c>
      <c r="J129" s="242">
        <f t="shared" si="23"/>
        <v>7500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44146</v>
      </c>
      <c r="D130" s="161" t="s">
        <v>9</v>
      </c>
      <c r="E130" s="161" t="s">
        <v>3132</v>
      </c>
      <c r="F130" s="207">
        <v>105</v>
      </c>
      <c r="G130" s="207">
        <v>80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44147</v>
      </c>
      <c r="D131" s="161" t="s">
        <v>9</v>
      </c>
      <c r="E131" s="161" t="s">
        <v>3132</v>
      </c>
      <c r="F131" s="207">
        <v>100</v>
      </c>
      <c r="G131" s="207">
        <v>125</v>
      </c>
      <c r="H131" s="161">
        <v>25</v>
      </c>
      <c r="I131" s="207">
        <v>300</v>
      </c>
      <c r="J131" s="242">
        <f t="shared" si="23"/>
        <v>7500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44154</v>
      </c>
      <c r="D132" s="161" t="s">
        <v>9</v>
      </c>
      <c r="E132" s="161" t="s">
        <v>3133</v>
      </c>
      <c r="F132" s="207">
        <v>100</v>
      </c>
      <c r="G132" s="222">
        <v>75</v>
      </c>
      <c r="H132" s="222">
        <v>-25</v>
      </c>
      <c r="I132" s="207">
        <v>300</v>
      </c>
      <c r="J132" s="242">
        <f t="shared" si="23"/>
        <v>-7500</v>
      </c>
      <c r="K132" s="153"/>
      <c r="V132" s="25">
        <f t="shared" si="24"/>
        <v>0</v>
      </c>
      <c r="W132" s="25">
        <f t="shared" si="25"/>
        <v>1</v>
      </c>
    </row>
    <row r="133" spans="1:23" x14ac:dyDescent="0.3">
      <c r="A133" s="147"/>
      <c r="B133" s="205">
        <f t="shared" si="26"/>
        <v>11</v>
      </c>
      <c r="C133" s="206">
        <v>44155</v>
      </c>
      <c r="D133" s="161" t="s">
        <v>9</v>
      </c>
      <c r="E133" s="161" t="s">
        <v>3134</v>
      </c>
      <c r="F133" s="207">
        <v>115</v>
      </c>
      <c r="G133" s="222">
        <v>133.5</v>
      </c>
      <c r="H133" s="222">
        <v>18.5</v>
      </c>
      <c r="I133" s="207">
        <v>300</v>
      </c>
      <c r="J133" s="242">
        <f t="shared" si="23"/>
        <v>5550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44158</v>
      </c>
      <c r="D134" s="161" t="s">
        <v>9</v>
      </c>
      <c r="E134" s="161" t="s">
        <v>3135</v>
      </c>
      <c r="F134" s="207">
        <v>100</v>
      </c>
      <c r="G134" s="222">
        <v>75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44159</v>
      </c>
      <c r="D135" s="161" t="s">
        <v>9</v>
      </c>
      <c r="E135" s="161" t="s">
        <v>3136</v>
      </c>
      <c r="F135" s="207">
        <v>100</v>
      </c>
      <c r="G135" s="222">
        <v>116.5</v>
      </c>
      <c r="H135" s="222">
        <v>16.5</v>
      </c>
      <c r="I135" s="207">
        <v>300</v>
      </c>
      <c r="J135" s="242">
        <f t="shared" si="23"/>
        <v>4950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44160</v>
      </c>
      <c r="D136" s="161" t="s">
        <v>9</v>
      </c>
      <c r="E136" s="161" t="s">
        <v>3138</v>
      </c>
      <c r="F136" s="207">
        <v>95</v>
      </c>
      <c r="G136" s="207">
        <v>107</v>
      </c>
      <c r="H136" s="161">
        <v>12</v>
      </c>
      <c r="I136" s="207">
        <v>300</v>
      </c>
      <c r="J136" s="242">
        <f>I136*H136</f>
        <v>3600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44161</v>
      </c>
      <c r="D137" s="161" t="s">
        <v>9</v>
      </c>
      <c r="E137" s="161" t="s">
        <v>3139</v>
      </c>
      <c r="F137" s="207">
        <v>105</v>
      </c>
      <c r="G137" s="207">
        <v>115</v>
      </c>
      <c r="H137" s="161">
        <v>10</v>
      </c>
      <c r="I137" s="207">
        <v>300</v>
      </c>
      <c r="J137" s="242">
        <f t="shared" si="23"/>
        <v>3000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44162</v>
      </c>
      <c r="D138" s="161" t="s">
        <v>9</v>
      </c>
      <c r="E138" s="161" t="s">
        <v>3136</v>
      </c>
      <c r="F138" s="207">
        <v>120</v>
      </c>
      <c r="G138" s="207">
        <v>145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/>
      <c r="D139" s="161"/>
      <c r="E139" s="161"/>
      <c r="F139" s="207"/>
      <c r="G139" s="207"/>
      <c r="H139" s="161"/>
      <c r="I139" s="207"/>
      <c r="J139" s="242">
        <f t="shared" si="23"/>
        <v>0</v>
      </c>
      <c r="K139" s="153"/>
      <c r="V139" s="25">
        <f t="shared" si="24"/>
        <v>0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/>
      <c r="D140" s="161"/>
      <c r="E140" s="161"/>
      <c r="F140" s="207"/>
      <c r="G140" s="222"/>
      <c r="H140" s="222"/>
      <c r="I140" s="207"/>
      <c r="J140" s="242">
        <f t="shared" si="23"/>
        <v>0</v>
      </c>
      <c r="K140" s="153"/>
      <c r="V140" s="25">
        <f t="shared" si="24"/>
        <v>0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/>
      <c r="D141" s="161"/>
      <c r="E141" s="161"/>
      <c r="F141" s="207"/>
      <c r="G141" s="207"/>
      <c r="H141" s="161"/>
      <c r="I141" s="207"/>
      <c r="J141" s="242">
        <f t="shared" si="23"/>
        <v>0</v>
      </c>
      <c r="K141" s="153"/>
      <c r="V141" s="25">
        <f t="shared" si="24"/>
        <v>0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59700</v>
      </c>
      <c r="K146" s="153"/>
      <c r="V146" s="25">
        <f>SUM(V123:V145)</f>
        <v>12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3121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44137</v>
      </c>
      <c r="D154" s="185" t="s">
        <v>9</v>
      </c>
      <c r="E154" s="185" t="s">
        <v>301</v>
      </c>
      <c r="F154" s="219">
        <v>24300</v>
      </c>
      <c r="G154" s="231">
        <v>24500</v>
      </c>
      <c r="H154" s="185">
        <v>200</v>
      </c>
      <c r="I154" s="219">
        <v>50</v>
      </c>
      <c r="J154" s="246">
        <f t="shared" ref="J154:J176" si="27">I154*H154</f>
        <v>10000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44138</v>
      </c>
      <c r="D155" s="185" t="s">
        <v>9</v>
      </c>
      <c r="E155" s="185" t="s">
        <v>301</v>
      </c>
      <c r="F155" s="219">
        <v>25400</v>
      </c>
      <c r="G155" s="219">
        <v>25700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44139</v>
      </c>
      <c r="D156" s="161" t="s">
        <v>9</v>
      </c>
      <c r="E156" s="161" t="s">
        <v>301</v>
      </c>
      <c r="F156" s="207">
        <v>25430</v>
      </c>
      <c r="G156" s="207">
        <v>25500</v>
      </c>
      <c r="H156" s="161">
        <v>70</v>
      </c>
      <c r="I156" s="207">
        <v>50</v>
      </c>
      <c r="J156" s="242">
        <f t="shared" si="27"/>
        <v>3500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44140</v>
      </c>
      <c r="D157" s="161" t="s">
        <v>9</v>
      </c>
      <c r="E157" s="161" t="s">
        <v>301</v>
      </c>
      <c r="F157" s="207">
        <v>26150</v>
      </c>
      <c r="G157" s="207">
        <v>26350</v>
      </c>
      <c r="H157" s="161">
        <v>200</v>
      </c>
      <c r="I157" s="207">
        <v>50</v>
      </c>
      <c r="J157" s="242">
        <f t="shared" si="27"/>
        <v>10000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44141</v>
      </c>
      <c r="D158" s="161" t="s">
        <v>9</v>
      </c>
      <c r="E158" s="161" t="s">
        <v>301</v>
      </c>
      <c r="F158" s="207">
        <v>26400</v>
      </c>
      <c r="G158" s="207">
        <v>26700</v>
      </c>
      <c r="H158" s="161">
        <v>300</v>
      </c>
      <c r="I158" s="207">
        <v>50</v>
      </c>
      <c r="J158" s="242">
        <f t="shared" si="27"/>
        <v>15000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44144</v>
      </c>
      <c r="D159" s="161" t="s">
        <v>9</v>
      </c>
      <c r="E159" s="161" t="s">
        <v>301</v>
      </c>
      <c r="F159" s="207">
        <v>27300</v>
      </c>
      <c r="G159" s="207">
        <v>27150</v>
      </c>
      <c r="H159" s="161">
        <v>-150</v>
      </c>
      <c r="I159" s="207">
        <v>50</v>
      </c>
      <c r="J159" s="242">
        <f t="shared" si="27"/>
        <v>-7500</v>
      </c>
      <c r="K159" s="153"/>
      <c r="V159" s="25">
        <f t="shared" si="28"/>
        <v>0</v>
      </c>
      <c r="W159" s="25">
        <f t="shared" si="29"/>
        <v>1</v>
      </c>
    </row>
    <row r="160" spans="1:23" x14ac:dyDescent="0.3">
      <c r="A160" s="147"/>
      <c r="B160" s="205">
        <f t="shared" si="30"/>
        <v>7</v>
      </c>
      <c r="C160" s="206">
        <v>44145</v>
      </c>
      <c r="D160" s="161" t="s">
        <v>9</v>
      </c>
      <c r="E160" s="161" t="s">
        <v>301</v>
      </c>
      <c r="F160" s="207">
        <v>28400</v>
      </c>
      <c r="G160" s="207">
        <v>28700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44146</v>
      </c>
      <c r="D161" s="161" t="s">
        <v>9</v>
      </c>
      <c r="E161" s="161" t="s">
        <v>301</v>
      </c>
      <c r="F161" s="207">
        <v>28850</v>
      </c>
      <c r="G161" s="207">
        <v>28700</v>
      </c>
      <c r="H161" s="161">
        <v>-150</v>
      </c>
      <c r="I161" s="207">
        <v>50</v>
      </c>
      <c r="J161" s="242">
        <f t="shared" si="27"/>
        <v>-7500</v>
      </c>
      <c r="K161" s="153"/>
      <c r="V161" s="25">
        <f t="shared" si="28"/>
        <v>0</v>
      </c>
      <c r="W161" s="25">
        <f t="shared" si="29"/>
        <v>1</v>
      </c>
    </row>
    <row r="162" spans="1:23" x14ac:dyDescent="0.3">
      <c r="A162" s="147"/>
      <c r="B162" s="205">
        <f t="shared" si="30"/>
        <v>9</v>
      </c>
      <c r="C162" s="206">
        <v>44147</v>
      </c>
      <c r="D162" s="161" t="s">
        <v>9</v>
      </c>
      <c r="E162" s="161" t="s">
        <v>301</v>
      </c>
      <c r="F162" s="207">
        <v>28450</v>
      </c>
      <c r="G162" s="207">
        <v>28300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44148</v>
      </c>
      <c r="D163" s="161" t="s">
        <v>9</v>
      </c>
      <c r="E163" s="161" t="s">
        <v>301</v>
      </c>
      <c r="F163" s="207">
        <v>28100</v>
      </c>
      <c r="G163" s="207">
        <v>28400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44154</v>
      </c>
      <c r="D164" s="161" t="s">
        <v>9</v>
      </c>
      <c r="E164" s="161" t="s">
        <v>301</v>
      </c>
      <c r="F164" s="207">
        <v>29450</v>
      </c>
      <c r="G164" s="207">
        <v>29550</v>
      </c>
      <c r="H164" s="161">
        <v>100</v>
      </c>
      <c r="I164" s="207">
        <v>50</v>
      </c>
      <c r="J164" s="242">
        <f t="shared" si="27"/>
        <v>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44155</v>
      </c>
      <c r="D165" s="161" t="s">
        <v>9</v>
      </c>
      <c r="E165" s="161" t="s">
        <v>301</v>
      </c>
      <c r="F165" s="207">
        <v>28950</v>
      </c>
      <c r="G165" s="207">
        <v>29020</v>
      </c>
      <c r="H165" s="161">
        <v>70</v>
      </c>
      <c r="I165" s="207">
        <v>50</v>
      </c>
      <c r="J165" s="242">
        <f t="shared" si="27"/>
        <v>3500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44158</v>
      </c>
      <c r="D166" s="161" t="s">
        <v>9</v>
      </c>
      <c r="E166" s="161" t="s">
        <v>301</v>
      </c>
      <c r="F166" s="207">
        <v>29000</v>
      </c>
      <c r="G166" s="207">
        <v>28850</v>
      </c>
      <c r="H166" s="161">
        <v>150</v>
      </c>
      <c r="I166" s="207">
        <v>50</v>
      </c>
      <c r="J166" s="242">
        <f t="shared" si="27"/>
        <v>7500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44159</v>
      </c>
      <c r="D167" s="161" t="s">
        <v>9</v>
      </c>
      <c r="E167" s="161" t="s">
        <v>301</v>
      </c>
      <c r="F167" s="207">
        <v>29550</v>
      </c>
      <c r="G167" s="207">
        <v>29698</v>
      </c>
      <c r="H167" s="161">
        <v>148</v>
      </c>
      <c r="I167" s="207">
        <v>50</v>
      </c>
      <c r="J167" s="242">
        <f t="shared" si="27"/>
        <v>7400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44160</v>
      </c>
      <c r="D168" s="161" t="s">
        <v>9</v>
      </c>
      <c r="E168" s="161" t="s">
        <v>301</v>
      </c>
      <c r="F168" s="207">
        <v>30150</v>
      </c>
      <c r="G168" s="207">
        <v>30000</v>
      </c>
      <c r="H168" s="161">
        <v>-150</v>
      </c>
      <c r="I168" s="207">
        <v>50</v>
      </c>
      <c r="J168" s="242">
        <f t="shared" si="27"/>
        <v>-7500</v>
      </c>
      <c r="K168" s="153"/>
      <c r="V168" s="25">
        <f t="shared" si="28"/>
        <v>0</v>
      </c>
      <c r="W168" s="25">
        <f t="shared" si="29"/>
        <v>1</v>
      </c>
    </row>
    <row r="169" spans="1:23" x14ac:dyDescent="0.3">
      <c r="A169" s="147"/>
      <c r="B169" s="205">
        <f t="shared" si="30"/>
        <v>16</v>
      </c>
      <c r="C169" s="206">
        <v>44161</v>
      </c>
      <c r="D169" s="161" t="s">
        <v>9</v>
      </c>
      <c r="E169" s="161" t="s">
        <v>301</v>
      </c>
      <c r="F169" s="207">
        <v>29100</v>
      </c>
      <c r="G169" s="207">
        <v>29230</v>
      </c>
      <c r="H169" s="161">
        <v>130</v>
      </c>
      <c r="I169" s="207">
        <v>50</v>
      </c>
      <c r="J169" s="242">
        <f t="shared" si="27"/>
        <v>6500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44162</v>
      </c>
      <c r="D170" s="161" t="s">
        <v>9</v>
      </c>
      <c r="E170" s="161" t="s">
        <v>301</v>
      </c>
      <c r="F170" s="207">
        <v>29550</v>
      </c>
      <c r="G170" s="207">
        <v>29770</v>
      </c>
      <c r="H170" s="161">
        <v>220</v>
      </c>
      <c r="I170" s="207">
        <v>50</v>
      </c>
      <c r="J170" s="242">
        <f t="shared" si="27"/>
        <v>11000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/>
      <c r="D171" s="161"/>
      <c r="E171" s="161"/>
      <c r="F171" s="207"/>
      <c r="G171" s="207"/>
      <c r="H171" s="161"/>
      <c r="I171" s="207"/>
      <c r="J171" s="242">
        <f t="shared" si="27"/>
        <v>0</v>
      </c>
      <c r="K171" s="153"/>
      <c r="V171" s="25">
        <f t="shared" si="28"/>
        <v>0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/>
      <c r="D172" s="161"/>
      <c r="E172" s="161"/>
      <c r="F172" s="207"/>
      <c r="G172" s="207"/>
      <c r="H172" s="161"/>
      <c r="I172" s="207"/>
      <c r="J172" s="242">
        <f t="shared" si="27"/>
        <v>0</v>
      </c>
      <c r="K172" s="153"/>
      <c r="V172" s="25">
        <f t="shared" si="28"/>
        <v>0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94400</v>
      </c>
      <c r="K177" s="153"/>
      <c r="V177" s="25">
        <f>SUM(V154:V176)</f>
        <v>13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3121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44137</v>
      </c>
      <c r="D185" s="185" t="s">
        <v>9</v>
      </c>
      <c r="E185" s="185" t="s">
        <v>3119</v>
      </c>
      <c r="F185" s="219">
        <v>430</v>
      </c>
      <c r="G185" s="219">
        <v>630</v>
      </c>
      <c r="H185" s="185">
        <v>200</v>
      </c>
      <c r="I185" s="219">
        <v>100</v>
      </c>
      <c r="J185" s="246">
        <f t="shared" ref="J185:J207" si="31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44138</v>
      </c>
      <c r="D186" s="185" t="s">
        <v>9</v>
      </c>
      <c r="E186" s="185" t="s">
        <v>2381</v>
      </c>
      <c r="F186" s="219">
        <v>420</v>
      </c>
      <c r="G186" s="219">
        <v>580</v>
      </c>
      <c r="H186" s="185">
        <v>160</v>
      </c>
      <c r="I186" s="219">
        <v>100</v>
      </c>
      <c r="J186" s="242">
        <f t="shared" si="31"/>
        <v>16000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44139</v>
      </c>
      <c r="D187" s="161" t="s">
        <v>9</v>
      </c>
      <c r="E187" s="161" t="s">
        <v>2381</v>
      </c>
      <c r="F187" s="207">
        <v>340</v>
      </c>
      <c r="G187" s="207">
        <v>400</v>
      </c>
      <c r="H187" s="161">
        <v>60</v>
      </c>
      <c r="I187" s="207">
        <v>100</v>
      </c>
      <c r="J187" s="242">
        <f t="shared" si="31"/>
        <v>6000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44140</v>
      </c>
      <c r="D188" s="161" t="s">
        <v>9</v>
      </c>
      <c r="E188" s="161" t="s">
        <v>3127</v>
      </c>
      <c r="F188" s="207">
        <v>120</v>
      </c>
      <c r="G188" s="207">
        <v>270</v>
      </c>
      <c r="H188" s="161">
        <v>150</v>
      </c>
      <c r="I188" s="207">
        <v>100</v>
      </c>
      <c r="J188" s="242">
        <f t="shared" si="31"/>
        <v>15000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44141</v>
      </c>
      <c r="D189" s="161" t="s">
        <v>9</v>
      </c>
      <c r="E189" s="161" t="s">
        <v>2500</v>
      </c>
      <c r="F189" s="207">
        <v>420</v>
      </c>
      <c r="G189" s="207">
        <v>620</v>
      </c>
      <c r="H189" s="161">
        <v>200</v>
      </c>
      <c r="I189" s="207">
        <v>100</v>
      </c>
      <c r="J189" s="242">
        <f t="shared" si="31"/>
        <v>20000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44144</v>
      </c>
      <c r="D190" s="161" t="s">
        <v>9</v>
      </c>
      <c r="E190" s="161" t="s">
        <v>2624</v>
      </c>
      <c r="F190" s="207">
        <v>420</v>
      </c>
      <c r="G190" s="207">
        <v>320</v>
      </c>
      <c r="H190" s="161">
        <v>-100</v>
      </c>
      <c r="I190" s="207">
        <v>100</v>
      </c>
      <c r="J190" s="242">
        <f t="shared" si="31"/>
        <v>-10000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44145</v>
      </c>
      <c r="D191" s="161" t="s">
        <v>9</v>
      </c>
      <c r="E191" s="161" t="s">
        <v>2799</v>
      </c>
      <c r="F191" s="207">
        <v>380</v>
      </c>
      <c r="G191" s="207">
        <v>580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44146</v>
      </c>
      <c r="D192" s="161" t="s">
        <v>9</v>
      </c>
      <c r="E192" s="161" t="s">
        <v>2650</v>
      </c>
      <c r="F192" s="207">
        <v>340</v>
      </c>
      <c r="G192" s="207">
        <v>240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44147</v>
      </c>
      <c r="D193" s="161" t="s">
        <v>9</v>
      </c>
      <c r="E193" s="161" t="s">
        <v>2799</v>
      </c>
      <c r="F193" s="207">
        <v>190</v>
      </c>
      <c r="G193" s="207">
        <v>90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44154</v>
      </c>
      <c r="D194" s="161" t="s">
        <v>9</v>
      </c>
      <c r="E194" s="161" t="s">
        <v>2777</v>
      </c>
      <c r="F194" s="207">
        <v>110</v>
      </c>
      <c r="G194" s="207">
        <v>80</v>
      </c>
      <c r="H194" s="161">
        <v>-20</v>
      </c>
      <c r="I194" s="207">
        <v>100</v>
      </c>
      <c r="J194" s="242">
        <f t="shared" si="31"/>
        <v>-2000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44155</v>
      </c>
      <c r="D195" s="161" t="s">
        <v>9</v>
      </c>
      <c r="E195" s="161" t="s">
        <v>2826</v>
      </c>
      <c r="F195" s="207">
        <v>470</v>
      </c>
      <c r="G195" s="207">
        <v>370</v>
      </c>
      <c r="H195" s="161">
        <v>-100</v>
      </c>
      <c r="I195" s="207">
        <v>100</v>
      </c>
      <c r="J195" s="242">
        <f t="shared" si="31"/>
        <v>-10000</v>
      </c>
      <c r="K195" s="153"/>
      <c r="V195" s="25">
        <f t="shared" si="32"/>
        <v>0</v>
      </c>
      <c r="W195" s="25">
        <f t="shared" si="33"/>
        <v>1</v>
      </c>
    </row>
    <row r="196" spans="1:23" x14ac:dyDescent="0.3">
      <c r="A196" s="147"/>
      <c r="B196" s="205">
        <f t="shared" si="34"/>
        <v>12</v>
      </c>
      <c r="C196" s="206">
        <v>44158</v>
      </c>
      <c r="D196" s="161" t="s">
        <v>9</v>
      </c>
      <c r="E196" s="161" t="s">
        <v>2709</v>
      </c>
      <c r="F196" s="207">
        <v>400</v>
      </c>
      <c r="G196" s="207">
        <v>300</v>
      </c>
      <c r="H196" s="161">
        <v>-100</v>
      </c>
      <c r="I196" s="207">
        <v>100</v>
      </c>
      <c r="J196" s="242">
        <f t="shared" si="31"/>
        <v>-10000</v>
      </c>
      <c r="K196" s="153"/>
      <c r="V196" s="25">
        <f t="shared" si="32"/>
        <v>0</v>
      </c>
      <c r="W196" s="25">
        <f t="shared" si="33"/>
        <v>1</v>
      </c>
    </row>
    <row r="197" spans="1:23" x14ac:dyDescent="0.3">
      <c r="A197" s="147"/>
      <c r="B197" s="205">
        <f t="shared" si="34"/>
        <v>13</v>
      </c>
      <c r="C197" s="206">
        <v>44159</v>
      </c>
      <c r="D197" s="161" t="s">
        <v>9</v>
      </c>
      <c r="E197" s="161" t="s">
        <v>3140</v>
      </c>
      <c r="F197" s="207">
        <v>360</v>
      </c>
      <c r="G197" s="207">
        <v>460</v>
      </c>
      <c r="H197" s="161">
        <v>100</v>
      </c>
      <c r="I197" s="207">
        <v>100</v>
      </c>
      <c r="J197" s="242">
        <f t="shared" si="31"/>
        <v>10000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44160</v>
      </c>
      <c r="D198" s="161" t="s">
        <v>9</v>
      </c>
      <c r="E198" s="161" t="s">
        <v>2666</v>
      </c>
      <c r="F198" s="207">
        <v>320</v>
      </c>
      <c r="G198" s="207">
        <v>220</v>
      </c>
      <c r="H198" s="161">
        <v>-100</v>
      </c>
      <c r="I198" s="207">
        <v>100</v>
      </c>
      <c r="J198" s="242">
        <f t="shared" si="31"/>
        <v>-10000</v>
      </c>
      <c r="K198" s="153"/>
      <c r="V198" s="25">
        <f t="shared" si="32"/>
        <v>0</v>
      </c>
      <c r="W198" s="25">
        <f t="shared" si="33"/>
        <v>1</v>
      </c>
    </row>
    <row r="199" spans="1:23" x14ac:dyDescent="0.3">
      <c r="A199" s="147"/>
      <c r="B199" s="205">
        <f t="shared" si="34"/>
        <v>15</v>
      </c>
      <c r="C199" s="206">
        <v>44161</v>
      </c>
      <c r="D199" s="161" t="s">
        <v>9</v>
      </c>
      <c r="E199" s="161" t="s">
        <v>2712</v>
      </c>
      <c r="F199" s="207">
        <v>200</v>
      </c>
      <c r="G199" s="207">
        <v>100</v>
      </c>
      <c r="H199" s="161">
        <v>-100</v>
      </c>
      <c r="I199" s="207">
        <v>100</v>
      </c>
      <c r="J199" s="242">
        <f t="shared" si="31"/>
        <v>-10000</v>
      </c>
      <c r="K199" s="153"/>
      <c r="V199" s="25">
        <f t="shared" si="32"/>
        <v>0</v>
      </c>
      <c r="W199" s="25">
        <f t="shared" si="33"/>
        <v>1</v>
      </c>
    </row>
    <row r="200" spans="1:23" x14ac:dyDescent="0.3">
      <c r="A200" s="147"/>
      <c r="B200" s="205">
        <f t="shared" si="34"/>
        <v>16</v>
      </c>
      <c r="C200" s="206">
        <v>44162</v>
      </c>
      <c r="D200" s="161" t="s">
        <v>9</v>
      </c>
      <c r="E200" s="161" t="s">
        <v>2658</v>
      </c>
      <c r="F200" s="207">
        <v>430</v>
      </c>
      <c r="G200" s="207">
        <v>465</v>
      </c>
      <c r="H200" s="161">
        <v>35</v>
      </c>
      <c r="I200" s="207">
        <v>100</v>
      </c>
      <c r="J200" s="242">
        <f t="shared" si="31"/>
        <v>3500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/>
      <c r="D201" s="161"/>
      <c r="E201" s="161"/>
      <c r="F201" s="207"/>
      <c r="G201" s="207"/>
      <c r="H201" s="161"/>
      <c r="I201" s="207"/>
      <c r="J201" s="242">
        <f t="shared" si="31"/>
        <v>0</v>
      </c>
      <c r="K201" s="153"/>
      <c r="V201" s="25">
        <f t="shared" si="32"/>
        <v>0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/>
      <c r="D202" s="161"/>
      <c r="E202" s="161"/>
      <c r="F202" s="207"/>
      <c r="G202" s="207"/>
      <c r="H202" s="161"/>
      <c r="I202" s="207"/>
      <c r="J202" s="242">
        <f t="shared" si="31"/>
        <v>0</v>
      </c>
      <c r="K202" s="153"/>
      <c r="V202" s="25">
        <f t="shared" si="32"/>
        <v>0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/>
      <c r="D203" s="161"/>
      <c r="E203" s="161"/>
      <c r="F203" s="207"/>
      <c r="G203" s="207"/>
      <c r="H203" s="161"/>
      <c r="I203" s="207"/>
      <c r="J203" s="242">
        <f t="shared" si="31"/>
        <v>0</v>
      </c>
      <c r="K203" s="153"/>
      <c r="V203" s="25">
        <f t="shared" si="32"/>
        <v>0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38500</v>
      </c>
      <c r="K208" s="153"/>
      <c r="V208" s="25">
        <f>SUM(V185:V207)</f>
        <v>8</v>
      </c>
      <c r="W208" s="25">
        <f>SUM(W185:W207)</f>
        <v>8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3121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44137</v>
      </c>
      <c r="D216" s="185" t="s">
        <v>9</v>
      </c>
      <c r="E216" s="185" t="s">
        <v>3124</v>
      </c>
      <c r="F216" s="231">
        <v>82</v>
      </c>
      <c r="G216" s="231">
        <v>102</v>
      </c>
      <c r="H216" s="231">
        <v>20</v>
      </c>
      <c r="I216" s="219">
        <v>505</v>
      </c>
      <c r="J216" s="246">
        <f t="shared" ref="J216:J239" si="35">I216*H216</f>
        <v>10100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44138</v>
      </c>
      <c r="D217" s="185" t="s">
        <v>9</v>
      </c>
      <c r="E217" s="185" t="s">
        <v>3125</v>
      </c>
      <c r="F217" s="231">
        <v>22</v>
      </c>
      <c r="G217" s="231">
        <v>28</v>
      </c>
      <c r="H217" s="231">
        <v>6</v>
      </c>
      <c r="I217" s="219">
        <v>1375</v>
      </c>
      <c r="J217" s="242">
        <f>I217*H217</f>
        <v>8250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44139</v>
      </c>
      <c r="D218" s="161" t="s">
        <v>9</v>
      </c>
      <c r="E218" s="161" t="s">
        <v>3126</v>
      </c>
      <c r="F218" s="222">
        <v>32</v>
      </c>
      <c r="G218" s="222">
        <v>34.5</v>
      </c>
      <c r="H218" s="222">
        <v>2.5</v>
      </c>
      <c r="I218" s="207">
        <v>550</v>
      </c>
      <c r="J218" s="242">
        <f t="shared" si="35"/>
        <v>1375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44140</v>
      </c>
      <c r="D219" s="161" t="s">
        <v>9</v>
      </c>
      <c r="E219" s="161" t="s">
        <v>3128</v>
      </c>
      <c r="F219" s="222">
        <v>140</v>
      </c>
      <c r="G219" s="222">
        <v>180</v>
      </c>
      <c r="H219" s="222">
        <v>40</v>
      </c>
      <c r="I219" s="207">
        <v>250</v>
      </c>
      <c r="J219" s="242">
        <f t="shared" si="35"/>
        <v>10000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44141</v>
      </c>
      <c r="D220" s="161" t="s">
        <v>9</v>
      </c>
      <c r="E220" s="161" t="s">
        <v>3129</v>
      </c>
      <c r="F220" s="222">
        <v>132</v>
      </c>
      <c r="G220" s="222">
        <v>172</v>
      </c>
      <c r="H220" s="222">
        <v>40</v>
      </c>
      <c r="I220" s="207">
        <v>250</v>
      </c>
      <c r="J220" s="242">
        <f t="shared" si="35"/>
        <v>10000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44144</v>
      </c>
      <c r="D221" s="161" t="s">
        <v>9</v>
      </c>
      <c r="E221" s="161" t="s">
        <v>3141</v>
      </c>
      <c r="F221" s="222">
        <v>21</v>
      </c>
      <c r="G221" s="222">
        <v>25</v>
      </c>
      <c r="H221" s="222">
        <v>4</v>
      </c>
      <c r="I221" s="207">
        <v>1200</v>
      </c>
      <c r="J221" s="242">
        <f t="shared" si="35"/>
        <v>4800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44145</v>
      </c>
      <c r="D222" s="161" t="s">
        <v>9</v>
      </c>
      <c r="E222" s="161" t="s">
        <v>3142</v>
      </c>
      <c r="F222" s="222">
        <v>22.5</v>
      </c>
      <c r="G222" s="222">
        <v>25.5</v>
      </c>
      <c r="H222" s="222">
        <v>3</v>
      </c>
      <c r="I222" s="207">
        <v>1200</v>
      </c>
      <c r="J222" s="242">
        <f t="shared" si="35"/>
        <v>3600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44146</v>
      </c>
      <c r="D223" s="161" t="s">
        <v>9</v>
      </c>
      <c r="E223" s="161" t="s">
        <v>3054</v>
      </c>
      <c r="F223" s="222">
        <v>54</v>
      </c>
      <c r="G223" s="222">
        <v>74</v>
      </c>
      <c r="H223" s="222">
        <v>20</v>
      </c>
      <c r="I223" s="207">
        <v>505</v>
      </c>
      <c r="J223" s="242">
        <f t="shared" si="35"/>
        <v>10100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44147</v>
      </c>
      <c r="D224" s="161" t="s">
        <v>9</v>
      </c>
      <c r="E224" s="161" t="s">
        <v>3143</v>
      </c>
      <c r="F224" s="222">
        <v>23</v>
      </c>
      <c r="G224" s="222">
        <v>26</v>
      </c>
      <c r="H224" s="255">
        <v>3</v>
      </c>
      <c r="I224" s="207">
        <v>1200</v>
      </c>
      <c r="J224" s="242">
        <f t="shared" si="35"/>
        <v>3600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44154</v>
      </c>
      <c r="D225" s="161" t="s">
        <v>9</v>
      </c>
      <c r="E225" s="161" t="s">
        <v>3144</v>
      </c>
      <c r="F225" s="222">
        <v>110</v>
      </c>
      <c r="G225" s="222">
        <v>90</v>
      </c>
      <c r="H225" s="255">
        <v>-20</v>
      </c>
      <c r="I225" s="207">
        <v>250</v>
      </c>
      <c r="J225" s="242">
        <f t="shared" si="35"/>
        <v>-5000</v>
      </c>
      <c r="K225" s="153"/>
      <c r="V225" s="25">
        <f t="shared" si="37"/>
        <v>0</v>
      </c>
      <c r="W225" s="25">
        <f t="shared" si="38"/>
        <v>1</v>
      </c>
    </row>
    <row r="226" spans="1:23" x14ac:dyDescent="0.3">
      <c r="A226" s="147"/>
      <c r="B226" s="205">
        <f t="shared" si="36"/>
        <v>11</v>
      </c>
      <c r="C226" s="206">
        <v>44155</v>
      </c>
      <c r="D226" s="161" t="s">
        <v>9</v>
      </c>
      <c r="E226" s="161" t="s">
        <v>3124</v>
      </c>
      <c r="F226" s="222">
        <v>40</v>
      </c>
      <c r="G226" s="222">
        <v>60</v>
      </c>
      <c r="H226" s="255">
        <v>20</v>
      </c>
      <c r="I226" s="207">
        <v>505</v>
      </c>
      <c r="J226" s="242">
        <f t="shared" si="35"/>
        <v>10100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44158</v>
      </c>
      <c r="D227" s="161" t="s">
        <v>9</v>
      </c>
      <c r="E227" s="161" t="s">
        <v>1793</v>
      </c>
      <c r="F227" s="222">
        <v>12</v>
      </c>
      <c r="G227" s="222">
        <v>13.5</v>
      </c>
      <c r="H227" s="255">
        <v>1.5</v>
      </c>
      <c r="I227" s="207">
        <v>1200</v>
      </c>
      <c r="J227" s="242">
        <f t="shared" si="35"/>
        <v>1800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44159</v>
      </c>
      <c r="D228" s="161" t="s">
        <v>9</v>
      </c>
      <c r="E228" s="161" t="s">
        <v>3145</v>
      </c>
      <c r="F228" s="222">
        <v>10</v>
      </c>
      <c r="G228" s="222">
        <v>16</v>
      </c>
      <c r="H228" s="255">
        <v>6</v>
      </c>
      <c r="I228" s="207">
        <v>1200</v>
      </c>
      <c r="J228" s="242">
        <f t="shared" si="35"/>
        <v>7200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44160</v>
      </c>
      <c r="D229" s="161" t="s">
        <v>9</v>
      </c>
      <c r="E229" s="161" t="s">
        <v>3146</v>
      </c>
      <c r="F229" s="222">
        <v>9</v>
      </c>
      <c r="G229" s="222">
        <v>15</v>
      </c>
      <c r="H229" s="255">
        <v>6</v>
      </c>
      <c r="I229" s="207">
        <v>1200</v>
      </c>
      <c r="J229" s="242">
        <f>I229*H229</f>
        <v>7200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44161</v>
      </c>
      <c r="D230" s="161" t="s">
        <v>9</v>
      </c>
      <c r="E230" s="161" t="s">
        <v>3143</v>
      </c>
      <c r="F230" s="222">
        <v>9.5</v>
      </c>
      <c r="G230" s="222">
        <v>11</v>
      </c>
      <c r="H230" s="255">
        <v>1.5</v>
      </c>
      <c r="I230" s="207">
        <v>1200</v>
      </c>
      <c r="J230" s="242">
        <f t="shared" si="35"/>
        <v>1800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44162</v>
      </c>
      <c r="D231" s="161" t="s">
        <v>9</v>
      </c>
      <c r="E231" s="161" t="s">
        <v>3145</v>
      </c>
      <c r="F231" s="222">
        <v>31</v>
      </c>
      <c r="G231" s="222">
        <v>32.5</v>
      </c>
      <c r="H231" s="222">
        <v>1.5</v>
      </c>
      <c r="I231" s="207">
        <v>1200</v>
      </c>
      <c r="J231" s="242">
        <f t="shared" si="35"/>
        <v>1800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/>
      <c r="D232" s="161"/>
      <c r="E232" s="161"/>
      <c r="F232" s="222"/>
      <c r="G232" s="222"/>
      <c r="H232" s="222"/>
      <c r="I232" s="207"/>
      <c r="J232" s="242">
        <f t="shared" si="35"/>
        <v>0</v>
      </c>
      <c r="K232" s="153"/>
      <c r="V232" s="25">
        <f t="shared" si="37"/>
        <v>0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/>
      <c r="D233" s="161"/>
      <c r="E233" s="161"/>
      <c r="F233" s="222"/>
      <c r="G233" s="222"/>
      <c r="H233" s="222"/>
      <c r="I233" s="207"/>
      <c r="J233" s="242">
        <f t="shared" si="35"/>
        <v>0</v>
      </c>
      <c r="K233" s="153"/>
      <c r="V233" s="25">
        <f t="shared" si="37"/>
        <v>0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/>
      <c r="D234" s="161"/>
      <c r="E234" s="161"/>
      <c r="F234" s="222"/>
      <c r="G234" s="222"/>
      <c r="H234" s="222"/>
      <c r="I234" s="207"/>
      <c r="J234" s="242">
        <f t="shared" si="35"/>
        <v>0</v>
      </c>
      <c r="K234" s="153"/>
      <c r="V234" s="25">
        <f t="shared" si="37"/>
        <v>0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86725</v>
      </c>
      <c r="K240" s="153"/>
      <c r="V240" s="25">
        <f>SUM(V216:V239)</f>
        <v>15</v>
      </c>
      <c r="W240" s="25">
        <f>SUM(W216:W239)</f>
        <v>1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B00-000000000000}"/>
    <hyperlink ref="B84" r:id="rId2" xr:uid="{00000000-0004-0000-5B00-000001000000}"/>
    <hyperlink ref="B115" r:id="rId3" xr:uid="{00000000-0004-0000-5B00-000002000000}"/>
    <hyperlink ref="B146" r:id="rId4" xr:uid="{00000000-0004-0000-5B00-000003000000}"/>
    <hyperlink ref="B177" r:id="rId5" xr:uid="{00000000-0004-0000-5B00-000004000000}"/>
    <hyperlink ref="B208" r:id="rId6" xr:uid="{00000000-0004-0000-5B00-000005000000}"/>
    <hyperlink ref="B240" r:id="rId7" xr:uid="{00000000-0004-0000-5B00-000006000000}"/>
    <hyperlink ref="M1" location="'MASTER '!A1" display="Back" xr:uid="{00000000-0004-0000-5B00-000007000000}"/>
    <hyperlink ref="M6:M7" location="'NOV 2020'!A77" display="STOCK FUTURE" xr:uid="{00000000-0004-0000-5B00-000008000000}"/>
    <hyperlink ref="M14:M15" location="'NOV 2020'!A201" display="B.NIFTY OPTION" xr:uid="{00000000-0004-0000-5B00-000009000000}"/>
    <hyperlink ref="M12:M13" location="'NOV 2020'!A170" display="BANK NIFTY" xr:uid="{00000000-0004-0000-5B00-00000A000000}"/>
    <hyperlink ref="M10:M11" location="'NOV 2020'!A139" display="NF. OPTION" xr:uid="{00000000-0004-0000-5B00-00000B000000}"/>
    <hyperlink ref="M8:M9" location="'NOV 2020'!A108" display="NIFTY FUTURE" xr:uid="{00000000-0004-0000-5B00-00000C000000}"/>
    <hyperlink ref="M4:M5" location="'NOV 2020'!A1" display="CASH" xr:uid="{00000000-0004-0000-5B00-00000D000000}"/>
    <hyperlink ref="M16:M17" location="'NOV 2020'!A216" display="STOCK OPTION" xr:uid="{00000000-0004-0000-5B00-00000E000000}"/>
  </hyperlinks>
  <pageMargins left="0" right="0" top="0" bottom="0" header="0" footer="0"/>
  <pageSetup scale="95" orientation="portrait" r:id="rId8"/>
  <drawing r:id="rId9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 t="s">
        <v>2371</v>
      </c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3147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30</v>
      </c>
      <c r="P4" s="386">
        <f>W52</f>
        <v>12</v>
      </c>
      <c r="Q4" s="387">
        <f>N4-O4-P4</f>
        <v>0</v>
      </c>
      <c r="R4" s="380">
        <f>O4/N4</f>
        <v>0.7142857142857143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44166</v>
      </c>
      <c r="D6" s="158" t="s">
        <v>9</v>
      </c>
      <c r="E6" s="158" t="s">
        <v>2563</v>
      </c>
      <c r="F6" s="230">
        <v>1545</v>
      </c>
      <c r="G6" s="222">
        <v>1565</v>
      </c>
      <c r="H6" s="222">
        <v>10</v>
      </c>
      <c r="I6" s="207">
        <f t="shared" ref="I6:I7" si="0">300000/F6</f>
        <v>194.17475728155341</v>
      </c>
      <c r="J6" s="161">
        <f t="shared" ref="J6:J7" si="1">H6*I6</f>
        <v>1941.7475728155341</v>
      </c>
      <c r="K6" s="153"/>
      <c r="M6" s="394" t="s">
        <v>450</v>
      </c>
      <c r="N6" s="344">
        <f>COUNT(C60:C83)</f>
        <v>21</v>
      </c>
      <c r="O6" s="346">
        <f>V84</f>
        <v>16</v>
      </c>
      <c r="P6" s="346">
        <f>W84</f>
        <v>5</v>
      </c>
      <c r="Q6" s="374">
        <f>N6-O6-P6</f>
        <v>0</v>
      </c>
      <c r="R6" s="376">
        <f t="shared" ref="R6" si="2">O6/N6</f>
        <v>0.76190476190476186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44166</v>
      </c>
      <c r="D7" s="161" t="s">
        <v>8</v>
      </c>
      <c r="E7" s="161" t="s">
        <v>395</v>
      </c>
      <c r="F7" s="222">
        <v>4815</v>
      </c>
      <c r="G7" s="231">
        <v>4845</v>
      </c>
      <c r="H7" s="255">
        <v>-30</v>
      </c>
      <c r="I7" s="207">
        <f t="shared" si="0"/>
        <v>62.305295950155767</v>
      </c>
      <c r="J7" s="161">
        <f t="shared" si="1"/>
        <v>-1869.1588785046729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0</v>
      </c>
      <c r="W7" s="25">
        <f t="shared" ref="W7:W51" si="4">IF($J7&lt;0,1,0)</f>
        <v>1</v>
      </c>
    </row>
    <row r="8" spans="1:23" x14ac:dyDescent="0.3">
      <c r="A8" s="147"/>
      <c r="B8" s="205">
        <f t="shared" ref="B8:B51" si="5">B7+1</f>
        <v>3</v>
      </c>
      <c r="C8" s="206">
        <v>44167</v>
      </c>
      <c r="D8" s="161" t="s">
        <v>9</v>
      </c>
      <c r="E8" s="161" t="s">
        <v>58</v>
      </c>
      <c r="F8" s="222">
        <v>610</v>
      </c>
      <c r="G8" s="222">
        <v>604</v>
      </c>
      <c r="H8" s="222">
        <v>-6</v>
      </c>
      <c r="I8" s="207">
        <f t="shared" ref="I8:I47" si="6">300000/F8</f>
        <v>491.80327868852459</v>
      </c>
      <c r="J8" s="161">
        <f t="shared" ref="J8:J47" si="7">H8*I8</f>
        <v>-2950.8196721311474</v>
      </c>
      <c r="K8" s="153"/>
      <c r="M8" s="394" t="s">
        <v>451</v>
      </c>
      <c r="N8" s="344">
        <f>COUNT(C92:C114)</f>
        <v>22</v>
      </c>
      <c r="O8" s="346">
        <f>V115</f>
        <v>20</v>
      </c>
      <c r="P8" s="346">
        <f>W115</f>
        <v>2</v>
      </c>
      <c r="Q8" s="374">
        <f>N8-O8-P8</f>
        <v>0</v>
      </c>
      <c r="R8" s="376">
        <f t="shared" ref="R8" si="8">O8/N8</f>
        <v>0.90909090909090906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44167</v>
      </c>
      <c r="D9" s="161" t="s">
        <v>8</v>
      </c>
      <c r="E9" s="161" t="s">
        <v>2563</v>
      </c>
      <c r="F9" s="222">
        <v>1555</v>
      </c>
      <c r="G9" s="231">
        <v>1570</v>
      </c>
      <c r="H9" s="255">
        <v>-15</v>
      </c>
      <c r="I9" s="207">
        <f t="shared" si="6"/>
        <v>192.92604501607718</v>
      </c>
      <c r="J9" s="161">
        <f t="shared" si="7"/>
        <v>-2893.8906752411576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44168</v>
      </c>
      <c r="D10" s="161" t="s">
        <v>9</v>
      </c>
      <c r="E10" s="161" t="s">
        <v>132</v>
      </c>
      <c r="F10" s="222">
        <v>435</v>
      </c>
      <c r="G10" s="222">
        <v>445</v>
      </c>
      <c r="H10" s="222">
        <v>10</v>
      </c>
      <c r="I10" s="207">
        <f t="shared" si="6"/>
        <v>689.65517241379314</v>
      </c>
      <c r="J10" s="161">
        <f t="shared" si="7"/>
        <v>6896.5517241379312</v>
      </c>
      <c r="K10" s="153"/>
      <c r="M10" s="394" t="s">
        <v>1176</v>
      </c>
      <c r="N10" s="344">
        <f>COUNT(C123:C145)</f>
        <v>22</v>
      </c>
      <c r="O10" s="346">
        <f>V146</f>
        <v>17</v>
      </c>
      <c r="P10" s="346">
        <f>W146</f>
        <v>5</v>
      </c>
      <c r="Q10" s="374">
        <f>N10-O10-P10</f>
        <v>0</v>
      </c>
      <c r="R10" s="376">
        <f t="shared" ref="R10:R16" si="9">O10/N10</f>
        <v>0.77272727272727271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44168</v>
      </c>
      <c r="D11" s="161" t="s">
        <v>8</v>
      </c>
      <c r="E11" s="161" t="s">
        <v>78</v>
      </c>
      <c r="F11" s="222">
        <v>1125</v>
      </c>
      <c r="G11" s="222">
        <v>1124</v>
      </c>
      <c r="H11" s="255">
        <v>1</v>
      </c>
      <c r="I11" s="207">
        <f t="shared" si="6"/>
        <v>266.66666666666669</v>
      </c>
      <c r="J11" s="161">
        <f t="shared" si="7"/>
        <v>266.66666666666669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44169</v>
      </c>
      <c r="D12" s="161" t="s">
        <v>9</v>
      </c>
      <c r="E12" s="161" t="s">
        <v>126</v>
      </c>
      <c r="F12" s="222">
        <v>2715</v>
      </c>
      <c r="G12" s="222">
        <v>2735</v>
      </c>
      <c r="H12" s="222">
        <v>20</v>
      </c>
      <c r="I12" s="207">
        <f t="shared" si="6"/>
        <v>110.49723756906077</v>
      </c>
      <c r="J12" s="242">
        <f t="shared" si="7"/>
        <v>2209.9447513812156</v>
      </c>
      <c r="K12" s="153"/>
      <c r="M12" s="394" t="s">
        <v>41</v>
      </c>
      <c r="N12" s="344">
        <f>COUNT(C154:C176)</f>
        <v>22</v>
      </c>
      <c r="O12" s="346">
        <f>V177</f>
        <v>17</v>
      </c>
      <c r="P12" s="346">
        <f>W177</f>
        <v>5</v>
      </c>
      <c r="Q12" s="374">
        <f t="shared" ref="Q12" si="10">N12-O12-P12</f>
        <v>0</v>
      </c>
      <c r="R12" s="376">
        <f t="shared" si="9"/>
        <v>0.77272727272727271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44169</v>
      </c>
      <c r="D13" s="161" t="s">
        <v>8</v>
      </c>
      <c r="E13" s="161" t="s">
        <v>31</v>
      </c>
      <c r="F13" s="222">
        <v>1955</v>
      </c>
      <c r="G13" s="222">
        <v>1948</v>
      </c>
      <c r="H13" s="255">
        <v>7</v>
      </c>
      <c r="I13" s="207">
        <f t="shared" si="6"/>
        <v>153.45268542199489</v>
      </c>
      <c r="J13" s="242">
        <f t="shared" si="7"/>
        <v>1074.1687979539643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44172</v>
      </c>
      <c r="D14" s="161" t="s">
        <v>9</v>
      </c>
      <c r="E14" s="161" t="s">
        <v>78</v>
      </c>
      <c r="F14" s="222">
        <v>1162</v>
      </c>
      <c r="G14" s="222">
        <v>1167</v>
      </c>
      <c r="H14" s="222">
        <v>5</v>
      </c>
      <c r="I14" s="207">
        <f t="shared" si="6"/>
        <v>258.17555938037867</v>
      </c>
      <c r="J14" s="242">
        <f t="shared" si="7"/>
        <v>1290.8777969018934</v>
      </c>
      <c r="K14" s="153"/>
      <c r="M14" s="394" t="s">
        <v>1175</v>
      </c>
      <c r="N14" s="344">
        <f>COUNT(C185:C207)</f>
        <v>22</v>
      </c>
      <c r="O14" s="346">
        <f>V208</f>
        <v>16</v>
      </c>
      <c r="P14" s="346">
        <f>W208</f>
        <v>4</v>
      </c>
      <c r="Q14" s="374">
        <f t="shared" ref="Q14" si="11">N14-O14-P14</f>
        <v>2</v>
      </c>
      <c r="R14" s="376">
        <f t="shared" si="9"/>
        <v>0.72727272727272729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44172</v>
      </c>
      <c r="D15" s="161" t="s">
        <v>8</v>
      </c>
      <c r="E15" s="161" t="s">
        <v>126</v>
      </c>
      <c r="F15" s="222">
        <v>2710</v>
      </c>
      <c r="G15" s="222">
        <v>2735</v>
      </c>
      <c r="H15" s="222">
        <v>-25</v>
      </c>
      <c r="I15" s="207">
        <f t="shared" si="6"/>
        <v>110.70110701107011</v>
      </c>
      <c r="J15" s="242">
        <f t="shared" si="7"/>
        <v>-2767.5276752767527</v>
      </c>
      <c r="K15" s="153"/>
      <c r="M15" s="396"/>
      <c r="N15" s="385"/>
      <c r="O15" s="382"/>
      <c r="P15" s="382"/>
      <c r="Q15" s="383"/>
      <c r="R15" s="384"/>
      <c r="V15" s="25">
        <f>IF($J15&gt;0,1,0)</f>
        <v>0</v>
      </c>
      <c r="W15" s="25">
        <f>IF($J15&lt;0,1,0)</f>
        <v>1</v>
      </c>
    </row>
    <row r="16" spans="1:23" x14ac:dyDescent="0.3">
      <c r="A16" s="147"/>
      <c r="B16" s="205">
        <f t="shared" si="5"/>
        <v>11</v>
      </c>
      <c r="C16" s="206">
        <v>44173</v>
      </c>
      <c r="D16" s="161" t="s">
        <v>9</v>
      </c>
      <c r="E16" s="161" t="s">
        <v>3130</v>
      </c>
      <c r="F16" s="222">
        <v>603</v>
      </c>
      <c r="G16" s="222">
        <v>597</v>
      </c>
      <c r="H16" s="222">
        <v>-6</v>
      </c>
      <c r="I16" s="207">
        <f t="shared" si="6"/>
        <v>497.5124378109453</v>
      </c>
      <c r="J16" s="242">
        <f t="shared" si="7"/>
        <v>-2985.0746268656717</v>
      </c>
      <c r="K16" s="153"/>
      <c r="L16" s="25" t="s">
        <v>2008</v>
      </c>
      <c r="M16" s="394" t="s">
        <v>1090</v>
      </c>
      <c r="N16" s="344">
        <f>COUNT(C216:C239)</f>
        <v>22</v>
      </c>
      <c r="O16" s="346">
        <f>V240</f>
        <v>15</v>
      </c>
      <c r="P16" s="346">
        <f>W240</f>
        <v>7</v>
      </c>
      <c r="Q16" s="374">
        <f t="shared" ref="Q16" si="12">N16-O16-P16</f>
        <v>0</v>
      </c>
      <c r="R16" s="376">
        <f t="shared" si="9"/>
        <v>0.68181818181818177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44174</v>
      </c>
      <c r="D17" s="161" t="s">
        <v>9</v>
      </c>
      <c r="E17" s="161" t="s">
        <v>58</v>
      </c>
      <c r="F17" s="222">
        <v>625</v>
      </c>
      <c r="G17" s="222">
        <v>634</v>
      </c>
      <c r="H17" s="222">
        <v>9</v>
      </c>
      <c r="I17" s="207">
        <f t="shared" si="6"/>
        <v>480</v>
      </c>
      <c r="J17" s="242">
        <f t="shared" si="7"/>
        <v>4320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44174</v>
      </c>
      <c r="D18" s="161" t="s">
        <v>8</v>
      </c>
      <c r="E18" s="161" t="s">
        <v>1109</v>
      </c>
      <c r="F18" s="222">
        <v>745</v>
      </c>
      <c r="G18" s="222">
        <v>755</v>
      </c>
      <c r="H18" s="222">
        <v>-10</v>
      </c>
      <c r="I18" s="207">
        <f t="shared" si="6"/>
        <v>402.68456375838929</v>
      </c>
      <c r="J18" s="242">
        <f t="shared" si="7"/>
        <v>-4026.8456375838928</v>
      </c>
      <c r="K18" s="153"/>
      <c r="M18" s="392" t="s">
        <v>946</v>
      </c>
      <c r="N18" s="378">
        <f>SUM(N4:N17)</f>
        <v>173</v>
      </c>
      <c r="O18" s="378">
        <f t="shared" ref="O18:Q18" si="13">SUM(O4:O17)</f>
        <v>131</v>
      </c>
      <c r="P18" s="378">
        <f t="shared" si="13"/>
        <v>40</v>
      </c>
      <c r="Q18" s="378">
        <f t="shared" si="13"/>
        <v>2</v>
      </c>
      <c r="R18" s="380">
        <f t="shared" ref="R18" si="14">O18/N18</f>
        <v>0.75722543352601157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44175</v>
      </c>
      <c r="D19" s="161" t="s">
        <v>9</v>
      </c>
      <c r="E19" s="161" t="s">
        <v>2023</v>
      </c>
      <c r="F19" s="222">
        <v>4820</v>
      </c>
      <c r="G19" s="222">
        <v>4860</v>
      </c>
      <c r="H19" s="222">
        <v>40</v>
      </c>
      <c r="I19" s="207">
        <f t="shared" si="6"/>
        <v>62.240663900414937</v>
      </c>
      <c r="J19" s="242">
        <f t="shared" si="7"/>
        <v>2489.6265560165975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44175</v>
      </c>
      <c r="D20" s="161" t="s">
        <v>8</v>
      </c>
      <c r="E20" s="161" t="s">
        <v>78</v>
      </c>
      <c r="F20" s="222">
        <v>1177</v>
      </c>
      <c r="G20" s="222">
        <v>1173.5</v>
      </c>
      <c r="H20" s="222">
        <v>3.5</v>
      </c>
      <c r="I20" s="207">
        <f t="shared" si="6"/>
        <v>254.88530161427357</v>
      </c>
      <c r="J20" s="242">
        <f t="shared" si="7"/>
        <v>892.09855564995746</v>
      </c>
      <c r="K20" s="153"/>
      <c r="M20" s="316" t="s">
        <v>2253</v>
      </c>
      <c r="N20" s="317"/>
      <c r="O20" s="318"/>
      <c r="P20" s="325">
        <f>R18</f>
        <v>0.75722543352601157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44176</v>
      </c>
      <c r="D21" s="161" t="s">
        <v>9</v>
      </c>
      <c r="E21" s="161" t="s">
        <v>31</v>
      </c>
      <c r="F21" s="222">
        <v>2023</v>
      </c>
      <c r="G21" s="222">
        <v>2038</v>
      </c>
      <c r="H21" s="222">
        <v>15</v>
      </c>
      <c r="I21" s="207">
        <f t="shared" si="6"/>
        <v>148.29461196243204</v>
      </c>
      <c r="J21" s="242">
        <f t="shared" si="7"/>
        <v>2224.4191794364806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44176</v>
      </c>
      <c r="D22" s="161" t="s">
        <v>8</v>
      </c>
      <c r="E22" s="161" t="s">
        <v>2107</v>
      </c>
      <c r="F22" s="222">
        <v>1447</v>
      </c>
      <c r="G22" s="222">
        <v>1441</v>
      </c>
      <c r="H22" s="222">
        <v>6</v>
      </c>
      <c r="I22" s="207">
        <f t="shared" si="6"/>
        <v>207.32550103662751</v>
      </c>
      <c r="J22" s="242">
        <f t="shared" si="7"/>
        <v>1243.953006219765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44179</v>
      </c>
      <c r="D23" s="161" t="s">
        <v>9</v>
      </c>
      <c r="E23" s="161" t="s">
        <v>433</v>
      </c>
      <c r="F23" s="222">
        <v>485</v>
      </c>
      <c r="G23" s="222">
        <v>495</v>
      </c>
      <c r="H23" s="222">
        <v>10</v>
      </c>
      <c r="I23" s="207">
        <f t="shared" si="6"/>
        <v>618.5567010309278</v>
      </c>
      <c r="J23" s="242">
        <f t="shared" si="7"/>
        <v>6185.567010309278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44179</v>
      </c>
      <c r="D24" s="161" t="s">
        <v>8</v>
      </c>
      <c r="E24" s="161" t="s">
        <v>124</v>
      </c>
      <c r="F24" s="222">
        <v>178</v>
      </c>
      <c r="G24" s="222">
        <v>177.1</v>
      </c>
      <c r="H24" s="222">
        <v>0.9</v>
      </c>
      <c r="I24" s="207">
        <f t="shared" si="6"/>
        <v>1685.3932584269662</v>
      </c>
      <c r="J24" s="242">
        <f t="shared" si="7"/>
        <v>1516.8539325842696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44180</v>
      </c>
      <c r="D25" s="161" t="s">
        <v>9</v>
      </c>
      <c r="E25" s="161" t="s">
        <v>98</v>
      </c>
      <c r="F25" s="222">
        <v>3125</v>
      </c>
      <c r="G25" s="222">
        <v>3100</v>
      </c>
      <c r="H25" s="222">
        <v>-25</v>
      </c>
      <c r="I25" s="207">
        <f t="shared" si="6"/>
        <v>96</v>
      </c>
      <c r="J25" s="242">
        <f t="shared" si="7"/>
        <v>-2400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44180</v>
      </c>
      <c r="D26" s="161" t="s">
        <v>8</v>
      </c>
      <c r="E26" s="161" t="s">
        <v>2563</v>
      </c>
      <c r="F26" s="222">
        <v>1665</v>
      </c>
      <c r="G26" s="222">
        <v>1658</v>
      </c>
      <c r="H26" s="222">
        <v>7</v>
      </c>
      <c r="I26" s="207">
        <f t="shared" si="6"/>
        <v>180.18018018018017</v>
      </c>
      <c r="J26" s="242">
        <f t="shared" si="7"/>
        <v>1261.2612612612611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44181</v>
      </c>
      <c r="D27" s="161" t="s">
        <v>9</v>
      </c>
      <c r="E27" s="161" t="s">
        <v>26</v>
      </c>
      <c r="F27" s="222">
        <v>223</v>
      </c>
      <c r="G27" s="222">
        <v>229</v>
      </c>
      <c r="H27" s="222">
        <v>6</v>
      </c>
      <c r="I27" s="207">
        <f t="shared" si="6"/>
        <v>1345.2914798206277</v>
      </c>
      <c r="J27" s="242">
        <f t="shared" si="7"/>
        <v>8071.7488789237668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44181</v>
      </c>
      <c r="D28" s="161" t="s">
        <v>8</v>
      </c>
      <c r="E28" s="161" t="s">
        <v>2563</v>
      </c>
      <c r="F28" s="222">
        <v>1660</v>
      </c>
      <c r="G28" s="222">
        <v>1640</v>
      </c>
      <c r="H28" s="222">
        <v>20</v>
      </c>
      <c r="I28" s="207">
        <f t="shared" si="6"/>
        <v>180.72289156626505</v>
      </c>
      <c r="J28" s="242">
        <f t="shared" si="7"/>
        <v>3614.457831325301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44182</v>
      </c>
      <c r="D29" s="161" t="s">
        <v>9</v>
      </c>
      <c r="E29" s="161" t="s">
        <v>78</v>
      </c>
      <c r="F29" s="222">
        <v>1266</v>
      </c>
      <c r="G29" s="222">
        <v>1280</v>
      </c>
      <c r="H29" s="222">
        <v>14</v>
      </c>
      <c r="I29" s="207">
        <f t="shared" si="6"/>
        <v>236.96682464454977</v>
      </c>
      <c r="J29" s="242">
        <f t="shared" si="7"/>
        <v>3317.5355450236966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44182</v>
      </c>
      <c r="D30" s="161" t="s">
        <v>8</v>
      </c>
      <c r="E30" s="161" t="s">
        <v>2563</v>
      </c>
      <c r="F30" s="222">
        <v>1640</v>
      </c>
      <c r="G30" s="222">
        <v>1632</v>
      </c>
      <c r="H30" s="222">
        <v>8</v>
      </c>
      <c r="I30" s="207">
        <f t="shared" si="6"/>
        <v>182.92682926829269</v>
      </c>
      <c r="J30" s="242">
        <f t="shared" si="7"/>
        <v>1463.4146341463415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44183</v>
      </c>
      <c r="D31" s="161" t="s">
        <v>9</v>
      </c>
      <c r="E31" s="161" t="s">
        <v>78</v>
      </c>
      <c r="F31" s="222">
        <v>1287</v>
      </c>
      <c r="G31" s="222">
        <v>1277</v>
      </c>
      <c r="H31" s="222">
        <v>-10</v>
      </c>
      <c r="I31" s="207">
        <f t="shared" si="6"/>
        <v>233.10023310023311</v>
      </c>
      <c r="J31" s="242">
        <f t="shared" si="7"/>
        <v>-2331.0023310023312</v>
      </c>
      <c r="K31" s="153"/>
      <c r="V31" s="25">
        <f t="shared" si="3"/>
        <v>0</v>
      </c>
      <c r="W31" s="25">
        <f t="shared" si="4"/>
        <v>1</v>
      </c>
    </row>
    <row r="32" spans="1:23" x14ac:dyDescent="0.3">
      <c r="A32" s="147"/>
      <c r="B32" s="205">
        <f t="shared" si="5"/>
        <v>27</v>
      </c>
      <c r="C32" s="206">
        <v>44183</v>
      </c>
      <c r="D32" s="161" t="s">
        <v>8</v>
      </c>
      <c r="E32" s="161" t="s">
        <v>58</v>
      </c>
      <c r="F32" s="222">
        <v>600</v>
      </c>
      <c r="G32" s="222">
        <v>597.5</v>
      </c>
      <c r="H32" s="222">
        <v>2.5</v>
      </c>
      <c r="I32" s="207">
        <f t="shared" si="6"/>
        <v>500</v>
      </c>
      <c r="J32" s="242">
        <f t="shared" si="7"/>
        <v>1250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44186</v>
      </c>
      <c r="D33" s="161" t="s">
        <v>9</v>
      </c>
      <c r="E33" s="161" t="s">
        <v>78</v>
      </c>
      <c r="F33" s="222">
        <v>1325</v>
      </c>
      <c r="G33" s="222">
        <v>1337</v>
      </c>
      <c r="H33" s="222">
        <v>12</v>
      </c>
      <c r="I33" s="207">
        <f t="shared" si="6"/>
        <v>226.41509433962264</v>
      </c>
      <c r="J33" s="242">
        <f t="shared" si="7"/>
        <v>2716.9811320754716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44186</v>
      </c>
      <c r="D34" s="161" t="s">
        <v>8</v>
      </c>
      <c r="E34" s="161" t="s">
        <v>2563</v>
      </c>
      <c r="F34" s="222">
        <v>1595</v>
      </c>
      <c r="G34" s="222">
        <v>1565</v>
      </c>
      <c r="H34" s="222">
        <v>30</v>
      </c>
      <c r="I34" s="207">
        <f t="shared" si="6"/>
        <v>188.08777429467085</v>
      </c>
      <c r="J34" s="242">
        <f t="shared" si="7"/>
        <v>5642.6332288401254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44187</v>
      </c>
      <c r="D35" s="161" t="s">
        <v>9</v>
      </c>
      <c r="E35" s="161" t="s">
        <v>2563</v>
      </c>
      <c r="F35" s="222">
        <v>1445</v>
      </c>
      <c r="G35" s="222">
        <v>1475</v>
      </c>
      <c r="H35" s="222">
        <v>30</v>
      </c>
      <c r="I35" s="207">
        <f t="shared" si="6"/>
        <v>207.61245674740485</v>
      </c>
      <c r="J35" s="242">
        <f t="shared" si="7"/>
        <v>6228.3737024221455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44187</v>
      </c>
      <c r="D36" s="161" t="s">
        <v>8</v>
      </c>
      <c r="E36" s="161" t="s">
        <v>157</v>
      </c>
      <c r="F36" s="222">
        <v>498</v>
      </c>
      <c r="G36" s="222">
        <v>492.1</v>
      </c>
      <c r="H36" s="222">
        <v>5.9</v>
      </c>
      <c r="I36" s="207">
        <f t="shared" si="6"/>
        <v>602.40963855421683</v>
      </c>
      <c r="J36" s="242">
        <f t="shared" si="7"/>
        <v>3554.2168674698796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44188</v>
      </c>
      <c r="D37" s="161" t="s">
        <v>9</v>
      </c>
      <c r="E37" s="161" t="s">
        <v>29</v>
      </c>
      <c r="F37" s="222">
        <v>927</v>
      </c>
      <c r="G37" s="222">
        <v>917</v>
      </c>
      <c r="H37" s="222">
        <v>-10</v>
      </c>
      <c r="I37" s="207">
        <f t="shared" si="6"/>
        <v>323.62459546925567</v>
      </c>
      <c r="J37" s="242">
        <f t="shared" si="7"/>
        <v>-3236.2459546925566</v>
      </c>
      <c r="K37" s="153"/>
      <c r="V37" s="25">
        <f t="shared" si="3"/>
        <v>0</v>
      </c>
      <c r="W37" s="25">
        <f t="shared" si="4"/>
        <v>1</v>
      </c>
    </row>
    <row r="38" spans="1:23" x14ac:dyDescent="0.3">
      <c r="A38" s="147"/>
      <c r="B38" s="205">
        <f t="shared" si="5"/>
        <v>33</v>
      </c>
      <c r="C38" s="206">
        <v>44188</v>
      </c>
      <c r="D38" s="161" t="s">
        <v>8</v>
      </c>
      <c r="E38" s="161" t="s">
        <v>129</v>
      </c>
      <c r="F38" s="222">
        <v>2390</v>
      </c>
      <c r="G38" s="222">
        <v>2382</v>
      </c>
      <c r="H38" s="222">
        <v>8</v>
      </c>
      <c r="I38" s="207">
        <f t="shared" si="6"/>
        <v>125.52301255230125</v>
      </c>
      <c r="J38" s="242">
        <f t="shared" si="7"/>
        <v>1004.18410041841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44189</v>
      </c>
      <c r="D39" s="161" t="s">
        <v>9</v>
      </c>
      <c r="E39" s="161" t="s">
        <v>58</v>
      </c>
      <c r="F39" s="222">
        <v>607</v>
      </c>
      <c r="G39" s="222">
        <v>613</v>
      </c>
      <c r="H39" s="222">
        <v>6</v>
      </c>
      <c r="I39" s="207">
        <f t="shared" si="6"/>
        <v>494.23393739703459</v>
      </c>
      <c r="J39" s="242">
        <f t="shared" si="7"/>
        <v>2965.4036243822075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44189</v>
      </c>
      <c r="D40" s="161" t="s">
        <v>8</v>
      </c>
      <c r="E40" s="161" t="s">
        <v>78</v>
      </c>
      <c r="F40" s="222">
        <v>1272</v>
      </c>
      <c r="G40" s="222">
        <v>1257</v>
      </c>
      <c r="H40" s="222">
        <v>15</v>
      </c>
      <c r="I40" s="207">
        <f t="shared" si="6"/>
        <v>235.84905660377359</v>
      </c>
      <c r="J40" s="242">
        <f t="shared" si="7"/>
        <v>3537.7358490566039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44193</v>
      </c>
      <c r="D41" s="161" t="s">
        <v>9</v>
      </c>
      <c r="E41" s="161" t="s">
        <v>2563</v>
      </c>
      <c r="F41" s="222">
        <v>1705</v>
      </c>
      <c r="G41" s="223">
        <v>1690</v>
      </c>
      <c r="H41" s="222">
        <v>-15</v>
      </c>
      <c r="I41" s="207">
        <f t="shared" si="6"/>
        <v>175.95307917888562</v>
      </c>
      <c r="J41" s="242">
        <f t="shared" si="7"/>
        <v>-2639.2961876832842</v>
      </c>
      <c r="K41" s="153"/>
      <c r="V41" s="25">
        <f t="shared" si="3"/>
        <v>0</v>
      </c>
      <c r="W41" s="25">
        <f t="shared" si="4"/>
        <v>1</v>
      </c>
    </row>
    <row r="42" spans="1:23" x14ac:dyDescent="0.3">
      <c r="A42" s="147"/>
      <c r="B42" s="205">
        <f t="shared" si="5"/>
        <v>37</v>
      </c>
      <c r="C42" s="206">
        <v>44193</v>
      </c>
      <c r="D42" s="161" t="s">
        <v>8</v>
      </c>
      <c r="E42" s="161" t="s">
        <v>78</v>
      </c>
      <c r="F42" s="222">
        <v>1270</v>
      </c>
      <c r="G42" s="222">
        <v>1280</v>
      </c>
      <c r="H42" s="222">
        <v>-10</v>
      </c>
      <c r="I42" s="207">
        <f t="shared" si="6"/>
        <v>236.22047244094489</v>
      </c>
      <c r="J42" s="242">
        <f t="shared" si="7"/>
        <v>-2362.2047244094488</v>
      </c>
      <c r="K42" s="153"/>
      <c r="V42" s="25">
        <f t="shared" si="3"/>
        <v>0</v>
      </c>
      <c r="W42" s="25">
        <f t="shared" si="4"/>
        <v>1</v>
      </c>
    </row>
    <row r="43" spans="1:23" x14ac:dyDescent="0.3">
      <c r="A43" s="147"/>
      <c r="B43" s="205">
        <f t="shared" si="5"/>
        <v>38</v>
      </c>
      <c r="C43" s="206">
        <v>44194</v>
      </c>
      <c r="D43" s="161" t="s">
        <v>8</v>
      </c>
      <c r="E43" s="161" t="s">
        <v>2563</v>
      </c>
      <c r="F43" s="222">
        <v>1680</v>
      </c>
      <c r="G43" s="222">
        <v>1672</v>
      </c>
      <c r="H43" s="222">
        <v>6</v>
      </c>
      <c r="I43" s="207">
        <f t="shared" si="6"/>
        <v>178.57142857142858</v>
      </c>
      <c r="J43" s="242">
        <f t="shared" si="7"/>
        <v>1071.4285714285716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44195</v>
      </c>
      <c r="D44" s="161" t="s">
        <v>9</v>
      </c>
      <c r="E44" s="161" t="s">
        <v>2563</v>
      </c>
      <c r="F44" s="222">
        <v>1680</v>
      </c>
      <c r="G44" s="222">
        <v>1695</v>
      </c>
      <c r="H44" s="222">
        <v>15</v>
      </c>
      <c r="I44" s="207">
        <f t="shared" si="6"/>
        <v>178.57142857142858</v>
      </c>
      <c r="J44" s="242">
        <f t="shared" si="7"/>
        <v>2678.5714285714289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44195</v>
      </c>
      <c r="D45" s="161" t="s">
        <v>8</v>
      </c>
      <c r="E45" s="161" t="s">
        <v>78</v>
      </c>
      <c r="F45" s="222">
        <v>1275</v>
      </c>
      <c r="G45" s="222">
        <v>1285</v>
      </c>
      <c r="H45" s="222">
        <v>-10</v>
      </c>
      <c r="I45" s="207">
        <f t="shared" si="6"/>
        <v>235.29411764705881</v>
      </c>
      <c r="J45" s="242">
        <f t="shared" si="7"/>
        <v>-2352.9411764705883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44196</v>
      </c>
      <c r="D46" s="161" t="s">
        <v>9</v>
      </c>
      <c r="E46" s="161" t="s">
        <v>78</v>
      </c>
      <c r="F46" s="222">
        <v>1292</v>
      </c>
      <c r="G46" s="222">
        <v>1302</v>
      </c>
      <c r="H46" s="222">
        <v>10</v>
      </c>
      <c r="I46" s="207">
        <f t="shared" si="6"/>
        <v>232.19814241486068</v>
      </c>
      <c r="J46" s="242">
        <f t="shared" si="7"/>
        <v>2321.9814241486069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44196</v>
      </c>
      <c r="D47" s="161" t="s">
        <v>8</v>
      </c>
      <c r="E47" s="161" t="s">
        <v>2023</v>
      </c>
      <c r="F47" s="222">
        <v>5325</v>
      </c>
      <c r="G47" s="222">
        <v>5272</v>
      </c>
      <c r="H47" s="222">
        <v>53</v>
      </c>
      <c r="I47" s="207">
        <f t="shared" si="6"/>
        <v>56.338028169014088</v>
      </c>
      <c r="J47" s="242">
        <f t="shared" si="7"/>
        <v>2985.9154929577467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53423.311582663613</v>
      </c>
      <c r="K52" s="153"/>
      <c r="V52" s="25">
        <f>SUM(V6:V51)</f>
        <v>30</v>
      </c>
      <c r="W52" s="25">
        <f>SUM(W6:W51)</f>
        <v>12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3148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44166</v>
      </c>
      <c r="D60" s="161" t="s">
        <v>8</v>
      </c>
      <c r="E60" s="161" t="s">
        <v>2023</v>
      </c>
      <c r="F60" s="222">
        <v>4850</v>
      </c>
      <c r="G60" s="222">
        <v>4831</v>
      </c>
      <c r="H60" s="222">
        <v>19</v>
      </c>
      <c r="I60" s="207">
        <v>250</v>
      </c>
      <c r="J60" s="241">
        <f t="shared" ref="J60:J83" si="15">I60*H60</f>
        <v>4750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44167</v>
      </c>
      <c r="D61" s="161" t="s">
        <v>9</v>
      </c>
      <c r="E61" s="161" t="s">
        <v>2023</v>
      </c>
      <c r="F61" s="222">
        <v>4840</v>
      </c>
      <c r="G61" s="222">
        <v>4810</v>
      </c>
      <c r="H61" s="222">
        <v>-30</v>
      </c>
      <c r="I61" s="207">
        <v>250</v>
      </c>
      <c r="J61" s="242">
        <f t="shared" si="15"/>
        <v>-7500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44168</v>
      </c>
      <c r="D62" s="161" t="s">
        <v>9</v>
      </c>
      <c r="E62" s="161" t="s">
        <v>2023</v>
      </c>
      <c r="F62" s="222">
        <v>4850</v>
      </c>
      <c r="G62" s="222">
        <v>4890</v>
      </c>
      <c r="H62" s="222">
        <v>40</v>
      </c>
      <c r="I62" s="207">
        <v>250</v>
      </c>
      <c r="J62" s="242">
        <f t="shared" si="15"/>
        <v>10000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44169</v>
      </c>
      <c r="D63" s="161" t="s">
        <v>8</v>
      </c>
      <c r="E63" s="161" t="s">
        <v>31</v>
      </c>
      <c r="F63" s="222">
        <v>1955</v>
      </c>
      <c r="G63" s="222">
        <v>1940</v>
      </c>
      <c r="H63" s="222">
        <v>15</v>
      </c>
      <c r="I63" s="207">
        <v>505</v>
      </c>
      <c r="J63" s="242">
        <f t="shared" si="15"/>
        <v>7575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44173</v>
      </c>
      <c r="D64" s="161" t="s">
        <v>9</v>
      </c>
      <c r="E64" s="161" t="s">
        <v>2023</v>
      </c>
      <c r="F64" s="222">
        <v>4855</v>
      </c>
      <c r="G64" s="222">
        <v>4825</v>
      </c>
      <c r="H64" s="222">
        <v>-30</v>
      </c>
      <c r="I64" s="207">
        <v>250</v>
      </c>
      <c r="J64" s="242">
        <f t="shared" si="15"/>
        <v>-7500</v>
      </c>
      <c r="K64" s="153"/>
      <c r="V64" s="25">
        <f t="shared" si="16"/>
        <v>0</v>
      </c>
      <c r="W64" s="25">
        <f t="shared" si="17"/>
        <v>1</v>
      </c>
    </row>
    <row r="65" spans="1:23" x14ac:dyDescent="0.3">
      <c r="A65" s="147"/>
      <c r="B65" s="205">
        <f t="shared" si="18"/>
        <v>6</v>
      </c>
      <c r="C65" s="206">
        <v>44174</v>
      </c>
      <c r="D65" s="161" t="s">
        <v>9</v>
      </c>
      <c r="E65" s="161" t="s">
        <v>2023</v>
      </c>
      <c r="F65" s="207">
        <v>4830</v>
      </c>
      <c r="G65" s="222">
        <v>4870</v>
      </c>
      <c r="H65" s="222">
        <v>40</v>
      </c>
      <c r="I65" s="207">
        <v>250</v>
      </c>
      <c r="J65" s="242">
        <f t="shared" si="15"/>
        <v>10000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44175</v>
      </c>
      <c r="D66" s="161" t="s">
        <v>9</v>
      </c>
      <c r="E66" s="161" t="s">
        <v>1819</v>
      </c>
      <c r="F66" s="207">
        <v>631</v>
      </c>
      <c r="G66" s="222">
        <v>625</v>
      </c>
      <c r="H66" s="222">
        <v>-6</v>
      </c>
      <c r="I66" s="207">
        <v>1200</v>
      </c>
      <c r="J66" s="242">
        <f t="shared" si="15"/>
        <v>-7200</v>
      </c>
      <c r="K66" s="153"/>
      <c r="V66" s="25">
        <f t="shared" si="16"/>
        <v>0</v>
      </c>
      <c r="W66" s="25">
        <f t="shared" si="17"/>
        <v>1</v>
      </c>
    </row>
    <row r="67" spans="1:23" x14ac:dyDescent="0.3">
      <c r="A67" s="147"/>
      <c r="B67" s="205">
        <f t="shared" si="18"/>
        <v>8</v>
      </c>
      <c r="C67" s="206">
        <v>44176</v>
      </c>
      <c r="D67" s="161" t="s">
        <v>8</v>
      </c>
      <c r="E67" s="161" t="s">
        <v>94</v>
      </c>
      <c r="F67" s="222">
        <v>1390</v>
      </c>
      <c r="G67" s="222">
        <v>1380</v>
      </c>
      <c r="H67" s="222">
        <v>10</v>
      </c>
      <c r="I67" s="207">
        <v>550</v>
      </c>
      <c r="J67" s="242">
        <f t="shared" si="15"/>
        <v>5500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44179</v>
      </c>
      <c r="D68" s="161" t="s">
        <v>8</v>
      </c>
      <c r="E68" s="161" t="s">
        <v>2563</v>
      </c>
      <c r="F68" s="222">
        <v>1710</v>
      </c>
      <c r="G68" s="222">
        <v>1699</v>
      </c>
      <c r="H68" s="222">
        <v>11</v>
      </c>
      <c r="I68" s="207">
        <v>500</v>
      </c>
      <c r="J68" s="242">
        <f t="shared" si="15"/>
        <v>5500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44180</v>
      </c>
      <c r="D69" s="161" t="s">
        <v>9</v>
      </c>
      <c r="E69" s="161" t="s">
        <v>2023</v>
      </c>
      <c r="F69" s="222">
        <v>4930</v>
      </c>
      <c r="G69" s="222">
        <v>4990</v>
      </c>
      <c r="H69" s="222">
        <v>60</v>
      </c>
      <c r="I69" s="207">
        <v>250</v>
      </c>
      <c r="J69" s="242">
        <f t="shared" si="15"/>
        <v>15000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44181</v>
      </c>
      <c r="D70" s="161" t="s">
        <v>8</v>
      </c>
      <c r="E70" s="161" t="s">
        <v>2563</v>
      </c>
      <c r="F70" s="161">
        <v>1655</v>
      </c>
      <c r="G70" s="222">
        <v>1640</v>
      </c>
      <c r="H70" s="222">
        <v>15</v>
      </c>
      <c r="I70" s="207">
        <v>500</v>
      </c>
      <c r="J70" s="242">
        <f t="shared" si="15"/>
        <v>7500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44182</v>
      </c>
      <c r="D71" s="161" t="s">
        <v>8</v>
      </c>
      <c r="E71" s="161" t="s">
        <v>2563</v>
      </c>
      <c r="F71" s="222">
        <v>1645</v>
      </c>
      <c r="G71" s="222">
        <v>1638</v>
      </c>
      <c r="H71" s="222">
        <v>7</v>
      </c>
      <c r="I71" s="207">
        <v>500</v>
      </c>
      <c r="J71" s="242">
        <f t="shared" si="15"/>
        <v>3500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44183</v>
      </c>
      <c r="D72" s="161" t="s">
        <v>9</v>
      </c>
      <c r="E72" s="161" t="s">
        <v>2563</v>
      </c>
      <c r="F72" s="222">
        <v>1663</v>
      </c>
      <c r="G72" s="222">
        <v>1684.5</v>
      </c>
      <c r="H72" s="222">
        <v>21.5</v>
      </c>
      <c r="I72" s="207">
        <v>500</v>
      </c>
      <c r="J72" s="242">
        <f t="shared" si="15"/>
        <v>10750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44186</v>
      </c>
      <c r="D73" s="161" t="s">
        <v>8</v>
      </c>
      <c r="E73" s="161" t="s">
        <v>2563</v>
      </c>
      <c r="F73" s="223">
        <v>1595</v>
      </c>
      <c r="G73" s="222">
        <v>1565</v>
      </c>
      <c r="H73" s="255">
        <v>30</v>
      </c>
      <c r="I73" s="207">
        <v>500</v>
      </c>
      <c r="J73" s="242">
        <f t="shared" si="15"/>
        <v>15000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44187</v>
      </c>
      <c r="D74" s="161" t="s">
        <v>9</v>
      </c>
      <c r="E74" s="161" t="s">
        <v>2563</v>
      </c>
      <c r="F74" s="222">
        <v>1450</v>
      </c>
      <c r="G74" s="222">
        <v>1480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44188</v>
      </c>
      <c r="D75" s="161" t="s">
        <v>9</v>
      </c>
      <c r="E75" s="161" t="s">
        <v>2563</v>
      </c>
      <c r="F75" s="222">
        <v>1605</v>
      </c>
      <c r="G75" s="222">
        <v>1635</v>
      </c>
      <c r="H75" s="255">
        <v>30</v>
      </c>
      <c r="I75" s="207">
        <v>500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44189</v>
      </c>
      <c r="D76" s="161" t="s">
        <v>8</v>
      </c>
      <c r="E76" s="161" t="s">
        <v>2563</v>
      </c>
      <c r="F76" s="222">
        <v>1650</v>
      </c>
      <c r="G76" s="222">
        <v>1620</v>
      </c>
      <c r="H76" s="222">
        <v>30</v>
      </c>
      <c r="I76" s="207">
        <v>500</v>
      </c>
      <c r="J76" s="242">
        <f t="shared" si="15"/>
        <v>15000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44193</v>
      </c>
      <c r="D77" s="161" t="s">
        <v>9</v>
      </c>
      <c r="E77" s="161" t="s">
        <v>1819</v>
      </c>
      <c r="F77" s="222">
        <v>618</v>
      </c>
      <c r="G77" s="222">
        <v>622.4</v>
      </c>
      <c r="H77" s="222">
        <v>4.4000000000000004</v>
      </c>
      <c r="I77" s="207">
        <v>1200</v>
      </c>
      <c r="J77" s="242">
        <f t="shared" si="15"/>
        <v>5280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44194</v>
      </c>
      <c r="D78" s="161" t="s">
        <v>8</v>
      </c>
      <c r="E78" s="161" t="s">
        <v>2023</v>
      </c>
      <c r="F78" s="222">
        <v>5190</v>
      </c>
      <c r="G78" s="222">
        <v>5220</v>
      </c>
      <c r="H78" s="222">
        <v>-30</v>
      </c>
      <c r="I78" s="207">
        <v>250</v>
      </c>
      <c r="J78" s="242">
        <f t="shared" si="15"/>
        <v>-7500</v>
      </c>
      <c r="K78" s="153"/>
      <c r="V78" s="25">
        <f t="shared" si="16"/>
        <v>0</v>
      </c>
      <c r="W78" s="25">
        <f t="shared" si="17"/>
        <v>1</v>
      </c>
    </row>
    <row r="79" spans="1:23" x14ac:dyDescent="0.3">
      <c r="A79" s="147"/>
      <c r="B79" s="205">
        <f t="shared" si="18"/>
        <v>20</v>
      </c>
      <c r="C79" s="206">
        <v>44195</v>
      </c>
      <c r="D79" s="161" t="s">
        <v>9</v>
      </c>
      <c r="E79" s="161" t="s">
        <v>1819</v>
      </c>
      <c r="F79" s="222">
        <v>626</v>
      </c>
      <c r="G79" s="222">
        <v>620</v>
      </c>
      <c r="H79" s="222">
        <v>-6</v>
      </c>
      <c r="I79" s="207">
        <v>1200</v>
      </c>
      <c r="J79" s="242">
        <f t="shared" si="15"/>
        <v>-7200</v>
      </c>
      <c r="K79" s="153"/>
      <c r="V79" s="25">
        <f t="shared" si="16"/>
        <v>0</v>
      </c>
      <c r="W79" s="25">
        <f t="shared" si="17"/>
        <v>1</v>
      </c>
    </row>
    <row r="80" spans="1:23" x14ac:dyDescent="0.3">
      <c r="A80" s="147"/>
      <c r="B80" s="205">
        <f t="shared" si="18"/>
        <v>21</v>
      </c>
      <c r="C80" s="206">
        <v>44196</v>
      </c>
      <c r="D80" s="161" t="s">
        <v>9</v>
      </c>
      <c r="E80" s="161" t="s">
        <v>1819</v>
      </c>
      <c r="F80" s="222">
        <v>620.5</v>
      </c>
      <c r="G80" s="222">
        <v>622.5</v>
      </c>
      <c r="H80" s="222">
        <v>2</v>
      </c>
      <c r="I80" s="207">
        <v>1200</v>
      </c>
      <c r="J80" s="242">
        <f t="shared" si="15"/>
        <v>2400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110855</v>
      </c>
      <c r="K84" s="153"/>
      <c r="V84" s="25">
        <f>SUM(V60:V83)</f>
        <v>16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3149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44166</v>
      </c>
      <c r="D92" s="185" t="s">
        <v>9</v>
      </c>
      <c r="E92" s="185" t="s">
        <v>39</v>
      </c>
      <c r="F92" s="219">
        <v>13060</v>
      </c>
      <c r="G92" s="219">
        <v>13140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44167</v>
      </c>
      <c r="D93" s="185" t="s">
        <v>9</v>
      </c>
      <c r="E93" s="185" t="s">
        <v>39</v>
      </c>
      <c r="F93" s="219">
        <v>13120</v>
      </c>
      <c r="G93" s="219">
        <v>13140</v>
      </c>
      <c r="H93" s="185">
        <v>20</v>
      </c>
      <c r="I93" s="219">
        <v>150</v>
      </c>
      <c r="J93" s="242">
        <f t="shared" si="19"/>
        <v>3000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44168</v>
      </c>
      <c r="D94" s="161" t="s">
        <v>9</v>
      </c>
      <c r="E94" s="161" t="s">
        <v>39</v>
      </c>
      <c r="F94" s="207">
        <v>13200</v>
      </c>
      <c r="G94" s="207">
        <v>13212</v>
      </c>
      <c r="H94" s="161">
        <v>12</v>
      </c>
      <c r="I94" s="207">
        <v>150</v>
      </c>
      <c r="J94" s="242">
        <f t="shared" si="19"/>
        <v>1800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44169</v>
      </c>
      <c r="D95" s="161" t="s">
        <v>8</v>
      </c>
      <c r="E95" s="161" t="s">
        <v>39</v>
      </c>
      <c r="F95" s="207">
        <v>13280</v>
      </c>
      <c r="G95" s="207">
        <v>13220</v>
      </c>
      <c r="H95" s="161">
        <v>60</v>
      </c>
      <c r="I95" s="207">
        <v>150</v>
      </c>
      <c r="J95" s="242">
        <f t="shared" si="19"/>
        <v>9000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44172</v>
      </c>
      <c r="D96" s="161" t="s">
        <v>9</v>
      </c>
      <c r="E96" s="161" t="s">
        <v>39</v>
      </c>
      <c r="F96" s="207">
        <v>13330</v>
      </c>
      <c r="G96" s="207">
        <v>13385</v>
      </c>
      <c r="H96" s="161">
        <v>55</v>
      </c>
      <c r="I96" s="207">
        <v>150</v>
      </c>
      <c r="J96" s="242">
        <f t="shared" si="19"/>
        <v>8250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44173</v>
      </c>
      <c r="D97" s="161" t="s">
        <v>9</v>
      </c>
      <c r="E97" s="161" t="s">
        <v>39</v>
      </c>
      <c r="F97" s="207">
        <v>13430</v>
      </c>
      <c r="G97" s="207">
        <v>13446</v>
      </c>
      <c r="H97" s="161">
        <v>16</v>
      </c>
      <c r="I97" s="207">
        <v>150</v>
      </c>
      <c r="J97" s="242">
        <f t="shared" si="19"/>
        <v>2400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44174</v>
      </c>
      <c r="D98" s="161" t="s">
        <v>9</v>
      </c>
      <c r="E98" s="161" t="s">
        <v>39</v>
      </c>
      <c r="F98" s="207">
        <v>13490</v>
      </c>
      <c r="G98" s="207">
        <v>13570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44175</v>
      </c>
      <c r="D99" s="161" t="s">
        <v>9</v>
      </c>
      <c r="E99" s="161" t="s">
        <v>39</v>
      </c>
      <c r="F99" s="207">
        <v>13460</v>
      </c>
      <c r="G99" s="207">
        <v>13540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44176</v>
      </c>
      <c r="D100" s="161" t="s">
        <v>9</v>
      </c>
      <c r="E100" s="161" t="s">
        <v>39</v>
      </c>
      <c r="F100" s="207">
        <v>13580</v>
      </c>
      <c r="G100" s="207">
        <v>13599</v>
      </c>
      <c r="H100" s="161">
        <v>19</v>
      </c>
      <c r="I100" s="207">
        <v>150</v>
      </c>
      <c r="J100" s="242">
        <f t="shared" si="19"/>
        <v>2850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44179</v>
      </c>
      <c r="D101" s="161" t="s">
        <v>9</v>
      </c>
      <c r="E101" s="161" t="s">
        <v>39</v>
      </c>
      <c r="F101" s="207">
        <v>13550</v>
      </c>
      <c r="G101" s="207">
        <v>13510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44180</v>
      </c>
      <c r="D102" s="161" t="s">
        <v>9</v>
      </c>
      <c r="E102" s="161" t="s">
        <v>39</v>
      </c>
      <c r="F102" s="207">
        <v>13480</v>
      </c>
      <c r="G102" s="207">
        <v>13560</v>
      </c>
      <c r="H102" s="161">
        <v>80</v>
      </c>
      <c r="I102" s="207">
        <v>150</v>
      </c>
      <c r="J102" s="242">
        <f t="shared" si="19"/>
        <v>12000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44181</v>
      </c>
      <c r="D103" s="161" t="s">
        <v>9</v>
      </c>
      <c r="E103" s="161" t="s">
        <v>39</v>
      </c>
      <c r="F103" s="207">
        <v>13650</v>
      </c>
      <c r="G103" s="207">
        <v>13705</v>
      </c>
      <c r="H103" s="161">
        <v>55</v>
      </c>
      <c r="I103" s="207">
        <v>150</v>
      </c>
      <c r="J103" s="242">
        <f t="shared" si="19"/>
        <v>8250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44182</v>
      </c>
      <c r="D104" s="161" t="s">
        <v>9</v>
      </c>
      <c r="E104" s="161" t="s">
        <v>39</v>
      </c>
      <c r="F104" s="207">
        <v>13730</v>
      </c>
      <c r="G104" s="207">
        <v>13785</v>
      </c>
      <c r="H104" s="161">
        <v>55</v>
      </c>
      <c r="I104" s="207">
        <v>150</v>
      </c>
      <c r="J104" s="242">
        <f t="shared" si="19"/>
        <v>8250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44183</v>
      </c>
      <c r="D105" s="161" t="s">
        <v>9</v>
      </c>
      <c r="E105" s="161" t="s">
        <v>39</v>
      </c>
      <c r="F105" s="207">
        <v>13710</v>
      </c>
      <c r="G105" s="207">
        <v>13790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44186</v>
      </c>
      <c r="D106" s="161" t="s">
        <v>9</v>
      </c>
      <c r="E106" s="161" t="s">
        <v>39</v>
      </c>
      <c r="F106" s="207">
        <v>13750</v>
      </c>
      <c r="G106" s="207">
        <v>13780</v>
      </c>
      <c r="H106" s="161">
        <v>30</v>
      </c>
      <c r="I106" s="207">
        <v>150</v>
      </c>
      <c r="J106" s="242">
        <f t="shared" si="19"/>
        <v>4500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44187</v>
      </c>
      <c r="D107" s="161" t="s">
        <v>8</v>
      </c>
      <c r="E107" s="161" t="s">
        <v>39</v>
      </c>
      <c r="F107" s="207">
        <v>13300</v>
      </c>
      <c r="G107" s="207">
        <v>13240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44188</v>
      </c>
      <c r="D108" s="161" t="s">
        <v>9</v>
      </c>
      <c r="E108" s="161" t="s">
        <v>39</v>
      </c>
      <c r="F108" s="207">
        <v>13530</v>
      </c>
      <c r="G108" s="207">
        <v>13610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44189</v>
      </c>
      <c r="D109" s="161" t="s">
        <v>9</v>
      </c>
      <c r="E109" s="161" t="s">
        <v>39</v>
      </c>
      <c r="F109" s="207">
        <v>13730</v>
      </c>
      <c r="G109" s="207">
        <v>13748</v>
      </c>
      <c r="H109" s="161">
        <v>18</v>
      </c>
      <c r="I109" s="207">
        <v>150</v>
      </c>
      <c r="J109" s="242">
        <f t="shared" si="19"/>
        <v>2700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44193</v>
      </c>
      <c r="D110" s="161" t="s">
        <v>9</v>
      </c>
      <c r="E110" s="161" t="s">
        <v>39</v>
      </c>
      <c r="F110" s="207">
        <v>13850</v>
      </c>
      <c r="G110" s="207">
        <v>13900</v>
      </c>
      <c r="H110" s="161">
        <v>50</v>
      </c>
      <c r="I110" s="207">
        <v>150</v>
      </c>
      <c r="J110" s="242">
        <f>I110*H110</f>
        <v>7500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44194</v>
      </c>
      <c r="D111" s="161" t="s">
        <v>9</v>
      </c>
      <c r="E111" s="161" t="s">
        <v>39</v>
      </c>
      <c r="F111" s="207">
        <v>13900</v>
      </c>
      <c r="G111" s="207">
        <v>13940</v>
      </c>
      <c r="H111" s="161">
        <v>-40</v>
      </c>
      <c r="I111" s="207">
        <v>150</v>
      </c>
      <c r="J111" s="242">
        <f t="shared" si="19"/>
        <v>-6000</v>
      </c>
      <c r="K111" s="153"/>
      <c r="V111" s="25">
        <f t="shared" si="20"/>
        <v>0</v>
      </c>
      <c r="W111" s="25">
        <f t="shared" si="21"/>
        <v>1</v>
      </c>
    </row>
    <row r="112" spans="1:23" x14ac:dyDescent="0.3">
      <c r="A112" s="147"/>
      <c r="B112" s="205">
        <f t="shared" si="22"/>
        <v>21</v>
      </c>
      <c r="C112" s="206">
        <v>44195</v>
      </c>
      <c r="D112" s="161" t="s">
        <v>9</v>
      </c>
      <c r="E112" s="161" t="s">
        <v>39</v>
      </c>
      <c r="F112" s="207">
        <v>13920</v>
      </c>
      <c r="G112" s="207">
        <v>13940</v>
      </c>
      <c r="H112" s="161">
        <v>20</v>
      </c>
      <c r="I112" s="207">
        <v>150</v>
      </c>
      <c r="J112" s="242">
        <f t="shared" si="19"/>
        <v>3000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>
        <v>44196</v>
      </c>
      <c r="D113" s="161" t="s">
        <v>9</v>
      </c>
      <c r="E113" s="161" t="s">
        <v>39</v>
      </c>
      <c r="F113" s="207">
        <v>13990</v>
      </c>
      <c r="G113" s="207">
        <v>14025</v>
      </c>
      <c r="H113" s="161">
        <v>35</v>
      </c>
      <c r="I113" s="207">
        <v>150</v>
      </c>
      <c r="J113" s="242">
        <f t="shared" si="19"/>
        <v>5250</v>
      </c>
      <c r="K113" s="153"/>
      <c r="V113" s="25">
        <f t="shared" si="20"/>
        <v>1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135750</v>
      </c>
      <c r="K115" s="153"/>
      <c r="V115" s="25">
        <f>SUM(V92:V114)</f>
        <v>20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3147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44166</v>
      </c>
      <c r="D123" s="185" t="s">
        <v>9</v>
      </c>
      <c r="E123" s="185" t="s">
        <v>3150</v>
      </c>
      <c r="F123" s="219">
        <v>110</v>
      </c>
      <c r="G123" s="219">
        <v>135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44167</v>
      </c>
      <c r="D124" s="185" t="s">
        <v>9</v>
      </c>
      <c r="E124" s="185" t="s">
        <v>3150</v>
      </c>
      <c r="F124" s="219">
        <v>100</v>
      </c>
      <c r="G124" s="219">
        <v>110</v>
      </c>
      <c r="H124" s="185">
        <v>10</v>
      </c>
      <c r="I124" s="219">
        <v>300</v>
      </c>
      <c r="J124" s="242">
        <f t="shared" si="23"/>
        <v>3000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44168</v>
      </c>
      <c r="D125" s="161" t="s">
        <v>9</v>
      </c>
      <c r="E125" s="161" t="s">
        <v>3150</v>
      </c>
      <c r="F125" s="207">
        <v>115</v>
      </c>
      <c r="G125" s="207">
        <v>90</v>
      </c>
      <c r="H125" s="161">
        <v>-25</v>
      </c>
      <c r="I125" s="207">
        <v>300</v>
      </c>
      <c r="J125" s="242">
        <f t="shared" si="23"/>
        <v>-7500</v>
      </c>
      <c r="K125" s="153"/>
      <c r="V125" s="25">
        <f t="shared" si="24"/>
        <v>0</v>
      </c>
      <c r="W125" s="25">
        <f t="shared" si="25"/>
        <v>1</v>
      </c>
    </row>
    <row r="126" spans="1:23" x14ac:dyDescent="0.3">
      <c r="A126" s="147"/>
      <c r="B126" s="205">
        <f t="shared" si="26"/>
        <v>4</v>
      </c>
      <c r="C126" s="206">
        <v>44169</v>
      </c>
      <c r="D126" s="161" t="s">
        <v>9</v>
      </c>
      <c r="E126" s="161" t="s">
        <v>3153</v>
      </c>
      <c r="F126" s="207">
        <v>120</v>
      </c>
      <c r="G126" s="207">
        <v>145</v>
      </c>
      <c r="H126" s="161">
        <v>25</v>
      </c>
      <c r="I126" s="207">
        <v>300</v>
      </c>
      <c r="J126" s="242">
        <f t="shared" si="23"/>
        <v>7500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44172</v>
      </c>
      <c r="D127" s="161" t="s">
        <v>9</v>
      </c>
      <c r="E127" s="161" t="s">
        <v>3156</v>
      </c>
      <c r="F127" s="207">
        <v>115</v>
      </c>
      <c r="G127" s="207">
        <v>150</v>
      </c>
      <c r="H127" s="161">
        <v>35</v>
      </c>
      <c r="I127" s="207">
        <v>300</v>
      </c>
      <c r="J127" s="242">
        <f t="shared" si="23"/>
        <v>10500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44173</v>
      </c>
      <c r="D128" s="161" t="s">
        <v>9</v>
      </c>
      <c r="E128" s="161" t="s">
        <v>3157</v>
      </c>
      <c r="F128" s="207">
        <v>110</v>
      </c>
      <c r="G128" s="222">
        <v>121</v>
      </c>
      <c r="H128" s="222">
        <v>11</v>
      </c>
      <c r="I128" s="207">
        <v>300</v>
      </c>
      <c r="J128" s="242">
        <f t="shared" si="23"/>
        <v>3300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44174</v>
      </c>
      <c r="D129" s="161" t="s">
        <v>9</v>
      </c>
      <c r="E129" s="161" t="s">
        <v>3158</v>
      </c>
      <c r="F129" s="207">
        <v>105</v>
      </c>
      <c r="G129" s="207">
        <v>165</v>
      </c>
      <c r="H129" s="161">
        <v>60</v>
      </c>
      <c r="I129" s="207">
        <v>300</v>
      </c>
      <c r="J129" s="242">
        <f t="shared" si="23"/>
        <v>18000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44175</v>
      </c>
      <c r="D130" s="161" t="s">
        <v>9</v>
      </c>
      <c r="E130" s="161" t="s">
        <v>3157</v>
      </c>
      <c r="F130" s="207">
        <v>100</v>
      </c>
      <c r="G130" s="207">
        <v>111.5</v>
      </c>
      <c r="H130" s="161">
        <v>12</v>
      </c>
      <c r="I130" s="207">
        <v>300</v>
      </c>
      <c r="J130" s="242">
        <f t="shared" si="23"/>
        <v>3600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44176</v>
      </c>
      <c r="D131" s="161" t="s">
        <v>9</v>
      </c>
      <c r="E131" s="161" t="s">
        <v>3161</v>
      </c>
      <c r="F131" s="207">
        <v>105</v>
      </c>
      <c r="G131" s="207">
        <v>120</v>
      </c>
      <c r="H131" s="161">
        <v>15</v>
      </c>
      <c r="I131" s="207">
        <v>300</v>
      </c>
      <c r="J131" s="242">
        <f t="shared" si="23"/>
        <v>4500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44179</v>
      </c>
      <c r="D132" s="161" t="s">
        <v>9</v>
      </c>
      <c r="E132" s="161" t="s">
        <v>3162</v>
      </c>
      <c r="F132" s="207">
        <v>120</v>
      </c>
      <c r="G132" s="222">
        <v>95</v>
      </c>
      <c r="H132" s="222">
        <v>25</v>
      </c>
      <c r="I132" s="207">
        <v>300</v>
      </c>
      <c r="J132" s="242">
        <f t="shared" si="23"/>
        <v>7500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44180</v>
      </c>
      <c r="D133" s="161" t="s">
        <v>9</v>
      </c>
      <c r="E133" s="161" t="s">
        <v>3164</v>
      </c>
      <c r="F133" s="207">
        <v>100</v>
      </c>
      <c r="G133" s="222">
        <v>150</v>
      </c>
      <c r="H133" s="222">
        <v>50</v>
      </c>
      <c r="I133" s="207">
        <v>300</v>
      </c>
      <c r="J133" s="242">
        <f t="shared" si="23"/>
        <v>15000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44181</v>
      </c>
      <c r="D134" s="161" t="s">
        <v>9</v>
      </c>
      <c r="E134" s="161" t="s">
        <v>3161</v>
      </c>
      <c r="F134" s="207">
        <v>120</v>
      </c>
      <c r="G134" s="222">
        <v>95</v>
      </c>
      <c r="H134" s="222">
        <v>-25</v>
      </c>
      <c r="I134" s="207">
        <v>300</v>
      </c>
      <c r="J134" s="242">
        <f t="shared" si="23"/>
        <v>-7500</v>
      </c>
      <c r="K134" s="153"/>
      <c r="V134" s="25">
        <f t="shared" si="24"/>
        <v>0</v>
      </c>
      <c r="W134" s="25">
        <f t="shared" si="25"/>
        <v>1</v>
      </c>
    </row>
    <row r="135" spans="1:23" x14ac:dyDescent="0.3">
      <c r="A135" s="147"/>
      <c r="B135" s="205">
        <f t="shared" si="26"/>
        <v>13</v>
      </c>
      <c r="C135" s="206">
        <v>44182</v>
      </c>
      <c r="D135" s="161" t="s">
        <v>9</v>
      </c>
      <c r="E135" s="161" t="s">
        <v>3166</v>
      </c>
      <c r="F135" s="207">
        <v>115</v>
      </c>
      <c r="G135" s="222">
        <v>165</v>
      </c>
      <c r="H135" s="222">
        <v>50</v>
      </c>
      <c r="I135" s="207">
        <v>300</v>
      </c>
      <c r="J135" s="242">
        <f t="shared" si="23"/>
        <v>15000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44183</v>
      </c>
      <c r="D136" s="161" t="s">
        <v>9</v>
      </c>
      <c r="E136" s="161" t="s">
        <v>3167</v>
      </c>
      <c r="F136" s="207">
        <v>110</v>
      </c>
      <c r="G136" s="207">
        <v>135</v>
      </c>
      <c r="H136" s="161">
        <v>25</v>
      </c>
      <c r="I136" s="207">
        <v>300</v>
      </c>
      <c r="J136" s="242">
        <f>I136*H136</f>
        <v>7500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44186</v>
      </c>
      <c r="D137" s="161" t="s">
        <v>9</v>
      </c>
      <c r="E137" s="161" t="s">
        <v>3167</v>
      </c>
      <c r="F137" s="207">
        <v>120</v>
      </c>
      <c r="G137" s="207">
        <v>130</v>
      </c>
      <c r="H137" s="161">
        <v>10</v>
      </c>
      <c r="I137" s="207">
        <v>300</v>
      </c>
      <c r="J137" s="242">
        <f t="shared" si="23"/>
        <v>3000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44187</v>
      </c>
      <c r="D138" s="161" t="s">
        <v>9</v>
      </c>
      <c r="E138" s="161" t="s">
        <v>3153</v>
      </c>
      <c r="F138" s="207">
        <v>125</v>
      </c>
      <c r="G138" s="207">
        <v>137</v>
      </c>
      <c r="H138" s="161">
        <v>12</v>
      </c>
      <c r="I138" s="207">
        <v>300</v>
      </c>
      <c r="J138" s="242">
        <f t="shared" si="23"/>
        <v>3600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44188</v>
      </c>
      <c r="D139" s="161" t="s">
        <v>9</v>
      </c>
      <c r="E139" s="161" t="s">
        <v>3162</v>
      </c>
      <c r="F139" s="207">
        <v>85</v>
      </c>
      <c r="G139" s="207">
        <v>110</v>
      </c>
      <c r="H139" s="161">
        <v>25</v>
      </c>
      <c r="I139" s="207">
        <v>300</v>
      </c>
      <c r="J139" s="242">
        <f t="shared" si="23"/>
        <v>7500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44189</v>
      </c>
      <c r="D140" s="161" t="s">
        <v>9</v>
      </c>
      <c r="E140" s="161" t="s">
        <v>3166</v>
      </c>
      <c r="F140" s="207">
        <v>75</v>
      </c>
      <c r="G140" s="222">
        <v>125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44193</v>
      </c>
      <c r="D141" s="161" t="s">
        <v>9</v>
      </c>
      <c r="E141" s="161" t="s">
        <v>3171</v>
      </c>
      <c r="F141" s="207">
        <v>125</v>
      </c>
      <c r="G141" s="207">
        <v>150</v>
      </c>
      <c r="H141" s="161"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>
        <v>44194</v>
      </c>
      <c r="D142" s="161" t="s">
        <v>9</v>
      </c>
      <c r="E142" s="161" t="s">
        <v>3172</v>
      </c>
      <c r="F142" s="207">
        <v>90</v>
      </c>
      <c r="G142" s="207">
        <v>65</v>
      </c>
      <c r="H142" s="161">
        <v>-25</v>
      </c>
      <c r="I142" s="207">
        <v>300</v>
      </c>
      <c r="J142" s="242">
        <f t="shared" si="23"/>
        <v>-7500</v>
      </c>
      <c r="K142" s="153"/>
      <c r="V142" s="25">
        <f t="shared" si="24"/>
        <v>0</v>
      </c>
      <c r="W142" s="25">
        <f t="shared" si="25"/>
        <v>1</v>
      </c>
    </row>
    <row r="143" spans="1:23" x14ac:dyDescent="0.3">
      <c r="A143" s="147"/>
      <c r="B143" s="205">
        <f t="shared" si="26"/>
        <v>21</v>
      </c>
      <c r="C143" s="206">
        <v>44195</v>
      </c>
      <c r="D143" s="161" t="s">
        <v>9</v>
      </c>
      <c r="E143" s="161" t="s">
        <v>3173</v>
      </c>
      <c r="F143" s="207">
        <v>95</v>
      </c>
      <c r="G143" s="207">
        <v>70</v>
      </c>
      <c r="H143" s="161">
        <v>-25</v>
      </c>
      <c r="I143" s="207">
        <v>300</v>
      </c>
      <c r="J143" s="242">
        <f t="shared" si="23"/>
        <v>-7500</v>
      </c>
      <c r="K143" s="153"/>
      <c r="V143" s="25">
        <f t="shared" si="24"/>
        <v>0</v>
      </c>
      <c r="W143" s="25">
        <f t="shared" si="25"/>
        <v>1</v>
      </c>
    </row>
    <row r="144" spans="1:23" x14ac:dyDescent="0.3">
      <c r="A144" s="147"/>
      <c r="B144" s="205">
        <f t="shared" si="26"/>
        <v>22</v>
      </c>
      <c r="C144" s="206">
        <v>44196</v>
      </c>
      <c r="D144" s="161" t="s">
        <v>9</v>
      </c>
      <c r="E144" s="161" t="s">
        <v>3173</v>
      </c>
      <c r="F144" s="207">
        <v>105</v>
      </c>
      <c r="G144" s="207">
        <v>80</v>
      </c>
      <c r="H144" s="161">
        <v>-25</v>
      </c>
      <c r="I144" s="207">
        <v>300</v>
      </c>
      <c r="J144" s="242">
        <f t="shared" si="23"/>
        <v>-7500</v>
      </c>
      <c r="K144" s="153"/>
      <c r="V144" s="25">
        <f t="shared" si="24"/>
        <v>0</v>
      </c>
      <c r="W144" s="25">
        <f t="shared" si="25"/>
        <v>1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102000</v>
      </c>
      <c r="K146" s="153"/>
      <c r="V146" s="25">
        <f>SUM(V123:V145)</f>
        <v>17</v>
      </c>
      <c r="W146" s="25">
        <f>SUM(W123:W145)</f>
        <v>5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3147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44166</v>
      </c>
      <c r="D154" s="185" t="s">
        <v>9</v>
      </c>
      <c r="E154" s="185" t="s">
        <v>301</v>
      </c>
      <c r="F154" s="219">
        <v>29700</v>
      </c>
      <c r="G154" s="231">
        <v>29910</v>
      </c>
      <c r="H154" s="185">
        <v>210</v>
      </c>
      <c r="I154" s="219">
        <v>50</v>
      </c>
      <c r="J154" s="246">
        <f t="shared" ref="J154:J176" si="27">I154*H154</f>
        <v>10500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44167</v>
      </c>
      <c r="D155" s="185" t="s">
        <v>9</v>
      </c>
      <c r="E155" s="185" t="s">
        <v>301</v>
      </c>
      <c r="F155" s="219">
        <v>29700</v>
      </c>
      <c r="G155" s="219">
        <v>29765</v>
      </c>
      <c r="H155" s="185">
        <v>65</v>
      </c>
      <c r="I155" s="219">
        <v>50</v>
      </c>
      <c r="J155" s="242">
        <f t="shared" si="27"/>
        <v>3250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44168</v>
      </c>
      <c r="D156" s="161" t="s">
        <v>9</v>
      </c>
      <c r="E156" s="161" t="s">
        <v>301</v>
      </c>
      <c r="F156" s="207">
        <v>2980</v>
      </c>
      <c r="G156" s="207">
        <v>29650</v>
      </c>
      <c r="H156" s="161">
        <v>-150</v>
      </c>
      <c r="I156" s="207">
        <v>50</v>
      </c>
      <c r="J156" s="242">
        <f t="shared" si="27"/>
        <v>-7500</v>
      </c>
      <c r="K156" s="153"/>
      <c r="V156" s="25">
        <f t="shared" si="28"/>
        <v>0</v>
      </c>
      <c r="W156" s="25">
        <f t="shared" si="29"/>
        <v>1</v>
      </c>
    </row>
    <row r="157" spans="1:23" x14ac:dyDescent="0.3">
      <c r="A157" s="147"/>
      <c r="B157" s="205">
        <f t="shared" si="30"/>
        <v>4</v>
      </c>
      <c r="C157" s="206">
        <v>44169</v>
      </c>
      <c r="D157" s="161" t="s">
        <v>9</v>
      </c>
      <c r="E157" s="161" t="s">
        <v>301</v>
      </c>
      <c r="F157" s="207">
        <v>29900</v>
      </c>
      <c r="G157" s="207">
        <v>29600</v>
      </c>
      <c r="H157" s="161">
        <v>300</v>
      </c>
      <c r="I157" s="207">
        <v>50</v>
      </c>
      <c r="J157" s="242">
        <f t="shared" si="27"/>
        <v>15000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44172</v>
      </c>
      <c r="D158" s="161" t="s">
        <v>9</v>
      </c>
      <c r="E158" s="161" t="s">
        <v>301</v>
      </c>
      <c r="F158" s="207">
        <v>30200</v>
      </c>
      <c r="G158" s="207">
        <v>30050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44173</v>
      </c>
      <c r="D159" s="161" t="s">
        <v>9</v>
      </c>
      <c r="E159" s="161" t="s">
        <v>301</v>
      </c>
      <c r="F159" s="207">
        <v>30300</v>
      </c>
      <c r="G159" s="207">
        <v>30350</v>
      </c>
      <c r="H159" s="161">
        <v>50</v>
      </c>
      <c r="I159" s="207">
        <v>50</v>
      </c>
      <c r="J159" s="242">
        <f t="shared" si="27"/>
        <v>2500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44174</v>
      </c>
      <c r="D160" s="161" t="s">
        <v>9</v>
      </c>
      <c r="E160" s="161" t="s">
        <v>301</v>
      </c>
      <c r="F160" s="207">
        <v>30450</v>
      </c>
      <c r="G160" s="207">
        <v>30750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44175</v>
      </c>
      <c r="D161" s="161" t="s">
        <v>9</v>
      </c>
      <c r="E161" s="161" t="s">
        <v>301</v>
      </c>
      <c r="F161" s="207">
        <v>30450</v>
      </c>
      <c r="G161" s="207">
        <v>30510</v>
      </c>
      <c r="H161" s="161">
        <v>60</v>
      </c>
      <c r="I161" s="207">
        <v>50</v>
      </c>
      <c r="J161" s="242">
        <f t="shared" si="27"/>
        <v>3000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44176</v>
      </c>
      <c r="D162" s="161" t="s">
        <v>9</v>
      </c>
      <c r="E162" s="161" t="s">
        <v>301</v>
      </c>
      <c r="F162" s="207">
        <v>30670</v>
      </c>
      <c r="G162" s="207">
        <v>30730</v>
      </c>
      <c r="H162" s="161">
        <v>60</v>
      </c>
      <c r="I162" s="207">
        <v>50</v>
      </c>
      <c r="J162" s="242">
        <f t="shared" si="27"/>
        <v>3000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44179</v>
      </c>
      <c r="D163" s="161" t="s">
        <v>9</v>
      </c>
      <c r="E163" s="161" t="s">
        <v>301</v>
      </c>
      <c r="F163" s="207">
        <v>30800</v>
      </c>
      <c r="G163" s="207">
        <v>30840</v>
      </c>
      <c r="H163" s="161">
        <v>40</v>
      </c>
      <c r="I163" s="207">
        <v>50</v>
      </c>
      <c r="J163" s="242">
        <f t="shared" si="27"/>
        <v>2000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44180</v>
      </c>
      <c r="D164" s="161" t="s">
        <v>9</v>
      </c>
      <c r="E164" s="161" t="s">
        <v>301</v>
      </c>
      <c r="F164" s="207">
        <v>30400</v>
      </c>
      <c r="G164" s="207">
        <v>30700</v>
      </c>
      <c r="H164" s="161">
        <v>300</v>
      </c>
      <c r="I164" s="207">
        <v>50</v>
      </c>
      <c r="J164" s="242">
        <f t="shared" si="27"/>
        <v>15000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44181</v>
      </c>
      <c r="D165" s="161" t="s">
        <v>9</v>
      </c>
      <c r="E165" s="161" t="s">
        <v>301</v>
      </c>
      <c r="F165" s="207">
        <v>30800</v>
      </c>
      <c r="G165" s="207">
        <v>30850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44182</v>
      </c>
      <c r="D166" s="161" t="s">
        <v>9</v>
      </c>
      <c r="E166" s="161" t="s">
        <v>301</v>
      </c>
      <c r="F166" s="207">
        <v>30750</v>
      </c>
      <c r="G166" s="207">
        <v>30970</v>
      </c>
      <c r="H166" s="161">
        <v>220</v>
      </c>
      <c r="I166" s="207">
        <v>50</v>
      </c>
      <c r="J166" s="242">
        <f t="shared" si="27"/>
        <v>11000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44183</v>
      </c>
      <c r="D167" s="161" t="s">
        <v>9</v>
      </c>
      <c r="E167" s="161" t="s">
        <v>301</v>
      </c>
      <c r="F167" s="207">
        <v>30500</v>
      </c>
      <c r="G167" s="207">
        <v>30710</v>
      </c>
      <c r="H167" s="161">
        <v>210</v>
      </c>
      <c r="I167" s="207">
        <v>50</v>
      </c>
      <c r="J167" s="242">
        <f t="shared" si="27"/>
        <v>10500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44186</v>
      </c>
      <c r="D168" s="161" t="s">
        <v>9</v>
      </c>
      <c r="E168" s="161" t="s">
        <v>301</v>
      </c>
      <c r="F168" s="207">
        <v>30400</v>
      </c>
      <c r="G168" s="207">
        <v>30550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44187</v>
      </c>
      <c r="D169" s="161" t="s">
        <v>8</v>
      </c>
      <c r="E169" s="161" t="s">
        <v>301</v>
      </c>
      <c r="F169" s="207">
        <v>29200</v>
      </c>
      <c r="G169" s="207">
        <v>29050</v>
      </c>
      <c r="H169" s="161">
        <v>150</v>
      </c>
      <c r="I169" s="207">
        <v>50</v>
      </c>
      <c r="J169" s="242">
        <f t="shared" si="27"/>
        <v>7500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44188</v>
      </c>
      <c r="D170" s="161" t="s">
        <v>9</v>
      </c>
      <c r="E170" s="161" t="s">
        <v>301</v>
      </c>
      <c r="F170" s="207">
        <v>29700</v>
      </c>
      <c r="G170" s="207">
        <v>29910</v>
      </c>
      <c r="H170" s="161">
        <v>210</v>
      </c>
      <c r="I170" s="207">
        <v>50</v>
      </c>
      <c r="J170" s="242">
        <f t="shared" si="27"/>
        <v>10500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44189</v>
      </c>
      <c r="D171" s="161" t="s">
        <v>9</v>
      </c>
      <c r="E171" s="161" t="s">
        <v>301</v>
      </c>
      <c r="F171" s="207">
        <v>30370</v>
      </c>
      <c r="G171" s="207">
        <v>30570</v>
      </c>
      <c r="H171" s="161">
        <v>200</v>
      </c>
      <c r="I171" s="207">
        <v>50</v>
      </c>
      <c r="J171" s="242">
        <f t="shared" si="27"/>
        <v>10000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44193</v>
      </c>
      <c r="D172" s="161" t="s">
        <v>9</v>
      </c>
      <c r="E172" s="161" t="s">
        <v>301</v>
      </c>
      <c r="F172" s="207">
        <v>30770</v>
      </c>
      <c r="G172" s="207">
        <v>30970</v>
      </c>
      <c r="H172" s="161">
        <v>200</v>
      </c>
      <c r="I172" s="207">
        <v>50</v>
      </c>
      <c r="J172" s="242">
        <f t="shared" si="27"/>
        <v>10000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44194</v>
      </c>
      <c r="D173" s="161" t="s">
        <v>9</v>
      </c>
      <c r="E173" s="161" t="s">
        <v>301</v>
      </c>
      <c r="F173" s="207">
        <v>31110</v>
      </c>
      <c r="G173" s="207">
        <v>31260</v>
      </c>
      <c r="H173" s="161">
        <v>-150</v>
      </c>
      <c r="I173" s="207">
        <v>50</v>
      </c>
      <c r="J173" s="242">
        <f t="shared" si="27"/>
        <v>-7500</v>
      </c>
      <c r="K173" s="153"/>
      <c r="V173" s="25">
        <f t="shared" si="28"/>
        <v>0</v>
      </c>
      <c r="W173" s="25">
        <f t="shared" si="29"/>
        <v>1</v>
      </c>
    </row>
    <row r="174" spans="1:23" x14ac:dyDescent="0.3">
      <c r="A174" s="147"/>
      <c r="B174" s="205">
        <f t="shared" si="30"/>
        <v>21</v>
      </c>
      <c r="C174" s="206">
        <v>44195</v>
      </c>
      <c r="D174" s="161" t="s">
        <v>9</v>
      </c>
      <c r="E174" s="161" t="s">
        <v>301</v>
      </c>
      <c r="F174" s="207">
        <v>31200</v>
      </c>
      <c r="G174" s="207">
        <v>31050</v>
      </c>
      <c r="H174" s="161">
        <v>-150</v>
      </c>
      <c r="I174" s="207">
        <v>50</v>
      </c>
      <c r="J174" s="242">
        <f t="shared" si="27"/>
        <v>-7500</v>
      </c>
      <c r="K174" s="153"/>
      <c r="V174" s="25">
        <f t="shared" si="28"/>
        <v>0</v>
      </c>
      <c r="W174" s="25">
        <f t="shared" si="29"/>
        <v>1</v>
      </c>
    </row>
    <row r="175" spans="1:23" x14ac:dyDescent="0.3">
      <c r="A175" s="147"/>
      <c r="B175" s="205">
        <f t="shared" si="30"/>
        <v>22</v>
      </c>
      <c r="C175" s="206">
        <v>44196</v>
      </c>
      <c r="D175" s="161" t="s">
        <v>9</v>
      </c>
      <c r="E175" s="161" t="s">
        <v>301</v>
      </c>
      <c r="F175" s="207">
        <v>31350</v>
      </c>
      <c r="G175" s="207">
        <v>31200</v>
      </c>
      <c r="H175" s="161">
        <v>-150</v>
      </c>
      <c r="I175" s="207">
        <v>50</v>
      </c>
      <c r="J175" s="242">
        <f t="shared" si="27"/>
        <v>-7500</v>
      </c>
      <c r="K175" s="153"/>
      <c r="V175" s="25">
        <f t="shared" si="28"/>
        <v>0</v>
      </c>
      <c r="W175" s="25">
        <f t="shared" si="29"/>
        <v>1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101250</v>
      </c>
      <c r="K177" s="153"/>
      <c r="V177" s="25">
        <f>SUM(V154:V176)</f>
        <v>17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3147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44166</v>
      </c>
      <c r="D185" s="185" t="s">
        <v>9</v>
      </c>
      <c r="E185" s="185" t="s">
        <v>2658</v>
      </c>
      <c r="F185" s="219">
        <v>380</v>
      </c>
      <c r="G185" s="219">
        <v>462</v>
      </c>
      <c r="H185" s="185">
        <v>82</v>
      </c>
      <c r="I185" s="219">
        <v>100</v>
      </c>
      <c r="J185" s="246">
        <f t="shared" ref="J185:J207" si="31">I185*H185</f>
        <v>8200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44167</v>
      </c>
      <c r="D186" s="185" t="s">
        <v>9</v>
      </c>
      <c r="E186" s="185" t="s">
        <v>2658</v>
      </c>
      <c r="F186" s="219">
        <v>280</v>
      </c>
      <c r="G186" s="219">
        <v>180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44168</v>
      </c>
      <c r="D187" s="161" t="s">
        <v>9</v>
      </c>
      <c r="E187" s="161" t="s">
        <v>2656</v>
      </c>
      <c r="F187" s="207">
        <v>90</v>
      </c>
      <c r="G187" s="207">
        <v>20</v>
      </c>
      <c r="H187" s="161">
        <v>-70</v>
      </c>
      <c r="I187" s="207">
        <v>100</v>
      </c>
      <c r="J187" s="242">
        <f t="shared" si="31"/>
        <v>-7000</v>
      </c>
      <c r="K187" s="153"/>
      <c r="V187" s="25">
        <f t="shared" si="32"/>
        <v>0</v>
      </c>
      <c r="W187" s="25">
        <f t="shared" si="33"/>
        <v>1</v>
      </c>
    </row>
    <row r="188" spans="1:23" x14ac:dyDescent="0.3">
      <c r="A188" s="147"/>
      <c r="B188" s="205">
        <f t="shared" si="34"/>
        <v>4</v>
      </c>
      <c r="C188" s="206">
        <v>44169</v>
      </c>
      <c r="D188" s="161" t="s">
        <v>9</v>
      </c>
      <c r="E188" s="161" t="s">
        <v>2696</v>
      </c>
      <c r="F188" s="207">
        <v>440</v>
      </c>
      <c r="G188" s="207">
        <v>540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44172</v>
      </c>
      <c r="D189" s="161" t="s">
        <v>9</v>
      </c>
      <c r="E189" s="161" t="s">
        <v>2666</v>
      </c>
      <c r="F189" s="207">
        <v>330</v>
      </c>
      <c r="G189" s="207">
        <v>488</v>
      </c>
      <c r="H189" s="161">
        <v>158</v>
      </c>
      <c r="I189" s="207">
        <v>100</v>
      </c>
      <c r="J189" s="242">
        <f t="shared" si="31"/>
        <v>15800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44173</v>
      </c>
      <c r="D190" s="161" t="s">
        <v>9</v>
      </c>
      <c r="E190" s="161" t="s">
        <v>2688</v>
      </c>
      <c r="F190" s="207">
        <v>300</v>
      </c>
      <c r="G190" s="207">
        <v>300</v>
      </c>
      <c r="H190" s="161">
        <v>0</v>
      </c>
      <c r="I190" s="207">
        <v>100</v>
      </c>
      <c r="J190" s="242">
        <f t="shared" si="31"/>
        <v>0</v>
      </c>
      <c r="K190" s="153"/>
      <c r="V190" s="25">
        <f t="shared" si="32"/>
        <v>0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44174</v>
      </c>
      <c r="D191" s="161" t="s">
        <v>9</v>
      </c>
      <c r="E191" s="161" t="s">
        <v>2677</v>
      </c>
      <c r="F191" s="207">
        <v>230</v>
      </c>
      <c r="G191" s="207">
        <v>430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44175</v>
      </c>
      <c r="D192" s="161" t="s">
        <v>9</v>
      </c>
      <c r="E192" s="161" t="s">
        <v>2677</v>
      </c>
      <c r="F192" s="207">
        <v>150</v>
      </c>
      <c r="G192" s="207">
        <v>50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44176</v>
      </c>
      <c r="D193" s="161" t="s">
        <v>9</v>
      </c>
      <c r="E193" s="161" t="s">
        <v>2675</v>
      </c>
      <c r="F193" s="207">
        <v>390</v>
      </c>
      <c r="G193" s="207">
        <v>425</v>
      </c>
      <c r="H193" s="161">
        <v>35</v>
      </c>
      <c r="I193" s="207">
        <v>100</v>
      </c>
      <c r="J193" s="242">
        <f t="shared" si="31"/>
        <v>3500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44179</v>
      </c>
      <c r="D194" s="161" t="s">
        <v>9</v>
      </c>
      <c r="E194" s="161" t="s">
        <v>2715</v>
      </c>
      <c r="F194" s="207">
        <v>330</v>
      </c>
      <c r="G194" s="207">
        <v>360</v>
      </c>
      <c r="H194" s="161">
        <v>30</v>
      </c>
      <c r="I194" s="207">
        <v>100</v>
      </c>
      <c r="J194" s="242">
        <f t="shared" si="31"/>
        <v>3000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44180</v>
      </c>
      <c r="D195" s="161" t="s">
        <v>9</v>
      </c>
      <c r="E195" s="161" t="s">
        <v>2677</v>
      </c>
      <c r="F195" s="207">
        <v>330</v>
      </c>
      <c r="G195" s="207">
        <v>475</v>
      </c>
      <c r="H195" s="161">
        <v>145</v>
      </c>
      <c r="I195" s="207">
        <v>100</v>
      </c>
      <c r="J195" s="242">
        <f t="shared" si="31"/>
        <v>14500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44181</v>
      </c>
      <c r="D196" s="161" t="s">
        <v>9</v>
      </c>
      <c r="E196" s="161" t="s">
        <v>2715</v>
      </c>
      <c r="F196" s="207">
        <v>220</v>
      </c>
      <c r="G196" s="207">
        <v>175</v>
      </c>
      <c r="H196" s="161">
        <v>45</v>
      </c>
      <c r="I196" s="207">
        <v>100</v>
      </c>
      <c r="J196" s="242">
        <f t="shared" si="31"/>
        <v>4500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44182</v>
      </c>
      <c r="D197" s="161" t="s">
        <v>9</v>
      </c>
      <c r="E197" s="161" t="s">
        <v>2675</v>
      </c>
      <c r="F197" s="207">
        <v>160</v>
      </c>
      <c r="G197" s="207">
        <v>260</v>
      </c>
      <c r="H197" s="161">
        <v>100</v>
      </c>
      <c r="I197" s="207">
        <v>100</v>
      </c>
      <c r="J197" s="242">
        <f t="shared" si="31"/>
        <v>10000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44183</v>
      </c>
      <c r="D198" s="161" t="s">
        <v>9</v>
      </c>
      <c r="E198" s="161" t="s">
        <v>2668</v>
      </c>
      <c r="F198" s="207">
        <v>400</v>
      </c>
      <c r="G198" s="207">
        <v>500</v>
      </c>
      <c r="H198" s="161">
        <v>100</v>
      </c>
      <c r="I198" s="207">
        <v>100</v>
      </c>
      <c r="J198" s="242">
        <f t="shared" si="31"/>
        <v>10000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44186</v>
      </c>
      <c r="D199" s="161" t="s">
        <v>9</v>
      </c>
      <c r="E199" s="161" t="s">
        <v>2677</v>
      </c>
      <c r="F199" s="207">
        <v>330</v>
      </c>
      <c r="G199" s="207">
        <v>360</v>
      </c>
      <c r="H199" s="161">
        <v>30</v>
      </c>
      <c r="I199" s="207">
        <v>100</v>
      </c>
      <c r="J199" s="242">
        <f t="shared" si="31"/>
        <v>3000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44187</v>
      </c>
      <c r="D200" s="161" t="s">
        <v>9</v>
      </c>
      <c r="E200" s="161" t="s">
        <v>2781</v>
      </c>
      <c r="F200" s="207">
        <v>340</v>
      </c>
      <c r="G200" s="207">
        <v>415</v>
      </c>
      <c r="H200" s="161">
        <v>75</v>
      </c>
      <c r="I200" s="207">
        <v>100</v>
      </c>
      <c r="J200" s="242">
        <f t="shared" si="31"/>
        <v>7500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44188</v>
      </c>
      <c r="D201" s="161" t="s">
        <v>9</v>
      </c>
      <c r="E201" s="161" t="s">
        <v>2684</v>
      </c>
      <c r="F201" s="207">
        <v>190</v>
      </c>
      <c r="G201" s="207">
        <v>240</v>
      </c>
      <c r="H201" s="161">
        <v>50</v>
      </c>
      <c r="I201" s="207">
        <v>100</v>
      </c>
      <c r="J201" s="242">
        <f t="shared" si="31"/>
        <v>5000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44189</v>
      </c>
      <c r="D202" s="161" t="s">
        <v>9</v>
      </c>
      <c r="E202" s="161" t="s">
        <v>2688</v>
      </c>
      <c r="F202" s="207">
        <v>100</v>
      </c>
      <c r="G202" s="207">
        <v>260</v>
      </c>
      <c r="H202" s="161">
        <v>160</v>
      </c>
      <c r="I202" s="207">
        <v>100</v>
      </c>
      <c r="J202" s="242">
        <f t="shared" si="31"/>
        <v>16000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44193</v>
      </c>
      <c r="D203" s="161" t="s">
        <v>9</v>
      </c>
      <c r="E203" s="161" t="s">
        <v>2715</v>
      </c>
      <c r="F203" s="207">
        <v>310</v>
      </c>
      <c r="G203" s="207">
        <v>370</v>
      </c>
      <c r="H203" s="161">
        <v>60</v>
      </c>
      <c r="I203" s="207">
        <v>100</v>
      </c>
      <c r="J203" s="242">
        <f t="shared" si="31"/>
        <v>6000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44194</v>
      </c>
      <c r="D204" s="161" t="s">
        <v>9</v>
      </c>
      <c r="E204" s="161" t="s">
        <v>2768</v>
      </c>
      <c r="F204" s="207">
        <v>200</v>
      </c>
      <c r="G204" s="207">
        <v>200</v>
      </c>
      <c r="H204" s="161">
        <v>0</v>
      </c>
      <c r="I204" s="207">
        <v>100</v>
      </c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44195</v>
      </c>
      <c r="D205" s="161" t="s">
        <v>9</v>
      </c>
      <c r="E205" s="161" t="s">
        <v>2858</v>
      </c>
      <c r="F205" s="207">
        <v>230</v>
      </c>
      <c r="G205" s="207">
        <v>280</v>
      </c>
      <c r="H205" s="161">
        <v>50</v>
      </c>
      <c r="I205" s="207">
        <v>100</v>
      </c>
      <c r="J205" s="242">
        <f t="shared" si="31"/>
        <v>5000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>
        <v>44196</v>
      </c>
      <c r="D206" s="161" t="s">
        <v>9</v>
      </c>
      <c r="E206" s="161" t="s">
        <v>2752</v>
      </c>
      <c r="F206" s="207">
        <v>120</v>
      </c>
      <c r="G206" s="207">
        <v>20</v>
      </c>
      <c r="H206" s="161">
        <v>-100</v>
      </c>
      <c r="I206" s="207">
        <v>100</v>
      </c>
      <c r="J206" s="242">
        <f t="shared" si="31"/>
        <v>-10000</v>
      </c>
      <c r="K206" s="153"/>
      <c r="V206" s="25">
        <f t="shared" si="32"/>
        <v>0</v>
      </c>
      <c r="W206" s="25">
        <f t="shared" si="33"/>
        <v>1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105000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3147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44166</v>
      </c>
      <c r="D216" s="185" t="s">
        <v>9</v>
      </c>
      <c r="E216" s="185" t="s">
        <v>3151</v>
      </c>
      <c r="F216" s="231">
        <v>40</v>
      </c>
      <c r="G216" s="231">
        <v>44</v>
      </c>
      <c r="H216" s="231">
        <v>4</v>
      </c>
      <c r="I216" s="219">
        <v>550</v>
      </c>
      <c r="J216" s="246">
        <f t="shared" ref="J216:J239" si="35">I216*H216</f>
        <v>2200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44167</v>
      </c>
      <c r="D217" s="185" t="s">
        <v>9</v>
      </c>
      <c r="E217" s="185" t="s">
        <v>3145</v>
      </c>
      <c r="F217" s="231">
        <v>30</v>
      </c>
      <c r="G217" s="231">
        <v>26</v>
      </c>
      <c r="H217" s="231">
        <v>-4</v>
      </c>
      <c r="I217" s="219">
        <v>1200</v>
      </c>
      <c r="J217" s="242">
        <f>I217*H217</f>
        <v>-4800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44168</v>
      </c>
      <c r="D218" s="161" t="s">
        <v>9</v>
      </c>
      <c r="E218" s="161" t="s">
        <v>3152</v>
      </c>
      <c r="F218" s="222">
        <v>38</v>
      </c>
      <c r="G218" s="222">
        <v>38.5</v>
      </c>
      <c r="H218" s="222">
        <v>0.5</v>
      </c>
      <c r="I218" s="207">
        <v>600</v>
      </c>
      <c r="J218" s="242">
        <f t="shared" si="35"/>
        <v>300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44169</v>
      </c>
      <c r="D219" s="161" t="s">
        <v>9</v>
      </c>
      <c r="E219" s="161" t="s">
        <v>3154</v>
      </c>
      <c r="F219" s="222">
        <v>70</v>
      </c>
      <c r="G219" s="222">
        <v>77</v>
      </c>
      <c r="H219" s="222">
        <v>7</v>
      </c>
      <c r="I219" s="207">
        <v>505</v>
      </c>
      <c r="J219" s="242">
        <f t="shared" si="35"/>
        <v>3535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44172</v>
      </c>
      <c r="D220" s="161" t="s">
        <v>9</v>
      </c>
      <c r="E220" s="161" t="s">
        <v>3155</v>
      </c>
      <c r="F220" s="222">
        <v>65</v>
      </c>
      <c r="G220" s="222">
        <v>75</v>
      </c>
      <c r="H220" s="222">
        <v>10</v>
      </c>
      <c r="I220" s="207">
        <v>300</v>
      </c>
      <c r="J220" s="242">
        <f t="shared" si="35"/>
        <v>3000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44173</v>
      </c>
      <c r="D221" s="161" t="s">
        <v>9</v>
      </c>
      <c r="E221" s="161" t="s">
        <v>1794</v>
      </c>
      <c r="F221" s="222">
        <v>27</v>
      </c>
      <c r="G221" s="222">
        <v>28</v>
      </c>
      <c r="H221" s="222">
        <v>1</v>
      </c>
      <c r="I221" s="207">
        <v>1200</v>
      </c>
      <c r="J221" s="242">
        <f t="shared" si="35"/>
        <v>1200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44174</v>
      </c>
      <c r="D222" s="161" t="s">
        <v>9</v>
      </c>
      <c r="E222" s="161" t="s">
        <v>2551</v>
      </c>
      <c r="F222" s="222">
        <v>24.5</v>
      </c>
      <c r="G222" s="222">
        <v>29.75</v>
      </c>
      <c r="H222" s="222">
        <v>5.25</v>
      </c>
      <c r="I222" s="207">
        <v>1200</v>
      </c>
      <c r="J222" s="242">
        <f t="shared" si="35"/>
        <v>6300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44175</v>
      </c>
      <c r="D223" s="161" t="s">
        <v>9</v>
      </c>
      <c r="E223" s="161" t="s">
        <v>3160</v>
      </c>
      <c r="F223" s="222">
        <v>18.5</v>
      </c>
      <c r="G223" s="222">
        <v>15.5</v>
      </c>
      <c r="H223" s="222">
        <v>-3</v>
      </c>
      <c r="I223" s="207">
        <v>1375</v>
      </c>
      <c r="J223" s="242">
        <f t="shared" si="35"/>
        <v>-4125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44176</v>
      </c>
      <c r="D224" s="161" t="s">
        <v>9</v>
      </c>
      <c r="E224" s="161" t="s">
        <v>3159</v>
      </c>
      <c r="F224" s="222">
        <v>65</v>
      </c>
      <c r="G224" s="222">
        <v>55</v>
      </c>
      <c r="H224" s="255">
        <v>-10</v>
      </c>
      <c r="I224" s="207">
        <v>505</v>
      </c>
      <c r="J224" s="242">
        <f t="shared" si="35"/>
        <v>-5050</v>
      </c>
      <c r="K224" s="153"/>
      <c r="V224" s="25">
        <f t="shared" si="37"/>
        <v>0</v>
      </c>
      <c r="W224" s="25">
        <f t="shared" si="38"/>
        <v>1</v>
      </c>
    </row>
    <row r="225" spans="1:23" x14ac:dyDescent="0.3">
      <c r="A225" s="147"/>
      <c r="B225" s="205">
        <f t="shared" si="36"/>
        <v>10</v>
      </c>
      <c r="C225" s="206">
        <v>44179</v>
      </c>
      <c r="D225" s="161" t="s">
        <v>9</v>
      </c>
      <c r="E225" s="161" t="s">
        <v>3163</v>
      </c>
      <c r="F225" s="222">
        <v>19.5</v>
      </c>
      <c r="G225" s="222">
        <v>21.2</v>
      </c>
      <c r="H225" s="255">
        <v>1.7</v>
      </c>
      <c r="I225" s="207">
        <v>1375</v>
      </c>
      <c r="J225" s="242">
        <f t="shared" si="35"/>
        <v>2337.5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44180</v>
      </c>
      <c r="D226" s="161" t="s">
        <v>9</v>
      </c>
      <c r="E226" s="161" t="s">
        <v>3145</v>
      </c>
      <c r="F226" s="222">
        <v>23</v>
      </c>
      <c r="G226" s="222">
        <v>22.35</v>
      </c>
      <c r="H226" s="255">
        <v>0.65</v>
      </c>
      <c r="I226" s="207">
        <v>1200</v>
      </c>
      <c r="J226" s="242">
        <f t="shared" si="35"/>
        <v>780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44181</v>
      </c>
      <c r="D227" s="161" t="s">
        <v>9</v>
      </c>
      <c r="E227" s="161" t="s">
        <v>3163</v>
      </c>
      <c r="F227" s="222">
        <v>15</v>
      </c>
      <c r="G227" s="222">
        <v>13</v>
      </c>
      <c r="H227" s="255">
        <v>-2</v>
      </c>
      <c r="I227" s="207">
        <v>1375</v>
      </c>
      <c r="J227" s="242">
        <f t="shared" si="35"/>
        <v>-2750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44182</v>
      </c>
      <c r="D228" s="161" t="s">
        <v>9</v>
      </c>
      <c r="E228" s="161" t="s">
        <v>3165</v>
      </c>
      <c r="F228" s="222">
        <v>170</v>
      </c>
      <c r="G228" s="222">
        <v>230</v>
      </c>
      <c r="H228" s="255">
        <v>60</v>
      </c>
      <c r="I228" s="207">
        <v>250</v>
      </c>
      <c r="J228" s="242">
        <f t="shared" si="35"/>
        <v>15000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44183</v>
      </c>
      <c r="D229" s="161" t="s">
        <v>9</v>
      </c>
      <c r="E229" s="161" t="s">
        <v>1793</v>
      </c>
      <c r="F229" s="222">
        <v>19</v>
      </c>
      <c r="G229" s="222">
        <v>15</v>
      </c>
      <c r="H229" s="255">
        <v>-4</v>
      </c>
      <c r="I229" s="207">
        <v>1200</v>
      </c>
      <c r="J229" s="242">
        <f>I229*H229</f>
        <v>-4800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44186</v>
      </c>
      <c r="D230" s="161" t="s">
        <v>9</v>
      </c>
      <c r="E230" s="161" t="s">
        <v>3165</v>
      </c>
      <c r="F230" s="222">
        <v>150</v>
      </c>
      <c r="G230" s="222">
        <v>125</v>
      </c>
      <c r="H230" s="255">
        <v>-25</v>
      </c>
      <c r="I230" s="207">
        <v>250</v>
      </c>
      <c r="J230" s="242">
        <f t="shared" si="35"/>
        <v>-6250</v>
      </c>
      <c r="K230" s="153"/>
      <c r="V230" s="25">
        <f t="shared" si="37"/>
        <v>0</v>
      </c>
      <c r="W230" s="25">
        <f t="shared" si="38"/>
        <v>1</v>
      </c>
    </row>
    <row r="231" spans="1:23" x14ac:dyDescent="0.3">
      <c r="A231" s="147"/>
      <c r="B231" s="205">
        <f t="shared" si="36"/>
        <v>16</v>
      </c>
      <c r="C231" s="206">
        <v>44187</v>
      </c>
      <c r="D231" s="161" t="s">
        <v>9</v>
      </c>
      <c r="E231" s="161" t="s">
        <v>3168</v>
      </c>
      <c r="F231" s="222">
        <v>140</v>
      </c>
      <c r="G231" s="222">
        <v>148</v>
      </c>
      <c r="H231" s="222">
        <v>8</v>
      </c>
      <c r="I231" s="207">
        <v>250</v>
      </c>
      <c r="J231" s="242">
        <f t="shared" si="35"/>
        <v>2000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44188</v>
      </c>
      <c r="D232" s="161" t="s">
        <v>9</v>
      </c>
      <c r="E232" s="161" t="s">
        <v>3169</v>
      </c>
      <c r="F232" s="222">
        <v>35</v>
      </c>
      <c r="G232" s="222">
        <v>48</v>
      </c>
      <c r="H232" s="222">
        <v>13</v>
      </c>
      <c r="I232" s="207">
        <v>500</v>
      </c>
      <c r="J232" s="242">
        <f t="shared" si="35"/>
        <v>6500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44189</v>
      </c>
      <c r="D233" s="161" t="s">
        <v>9</v>
      </c>
      <c r="E233" s="161" t="s">
        <v>3170</v>
      </c>
      <c r="F233" s="222">
        <v>31</v>
      </c>
      <c r="G233" s="222">
        <v>34.5</v>
      </c>
      <c r="H233" s="222">
        <v>4.5</v>
      </c>
      <c r="I233" s="207">
        <v>500</v>
      </c>
      <c r="J233" s="242">
        <f t="shared" si="35"/>
        <v>2250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44193</v>
      </c>
      <c r="D234" s="161" t="s">
        <v>9</v>
      </c>
      <c r="E234" s="161" t="s">
        <v>3165</v>
      </c>
      <c r="F234" s="222">
        <v>105</v>
      </c>
      <c r="G234" s="222">
        <v>75</v>
      </c>
      <c r="H234" s="222">
        <v>-30</v>
      </c>
      <c r="I234" s="207">
        <v>250</v>
      </c>
      <c r="J234" s="242">
        <f t="shared" si="35"/>
        <v>-7500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>
        <v>44194</v>
      </c>
      <c r="D235" s="161" t="s">
        <v>9</v>
      </c>
      <c r="E235" s="161" t="s">
        <v>3174</v>
      </c>
      <c r="F235" s="222">
        <v>28</v>
      </c>
      <c r="G235" s="222">
        <v>33</v>
      </c>
      <c r="H235" s="222">
        <v>5</v>
      </c>
      <c r="I235" s="207">
        <v>505</v>
      </c>
      <c r="J235" s="242">
        <f t="shared" si="35"/>
        <v>2525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44195</v>
      </c>
      <c r="D236" s="161" t="s">
        <v>9</v>
      </c>
      <c r="E236" s="161" t="s">
        <v>3120</v>
      </c>
      <c r="F236" s="222">
        <v>18</v>
      </c>
      <c r="G236" s="222">
        <v>22</v>
      </c>
      <c r="H236" s="222">
        <v>4</v>
      </c>
      <c r="I236" s="207">
        <v>505</v>
      </c>
      <c r="J236" s="242">
        <f t="shared" si="35"/>
        <v>2020</v>
      </c>
      <c r="K236" s="153"/>
      <c r="V236" s="25">
        <f t="shared" si="37"/>
        <v>1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>
        <v>44196</v>
      </c>
      <c r="D237" s="161" t="s">
        <v>9</v>
      </c>
      <c r="E237" s="161" t="s">
        <v>3175</v>
      </c>
      <c r="F237" s="222">
        <v>20</v>
      </c>
      <c r="G237" s="222">
        <v>24.5</v>
      </c>
      <c r="H237" s="222">
        <v>4.5</v>
      </c>
      <c r="I237" s="207">
        <v>550</v>
      </c>
      <c r="J237" s="242">
        <f t="shared" si="35"/>
        <v>2475</v>
      </c>
      <c r="K237" s="153"/>
      <c r="V237" s="25">
        <f t="shared" si="37"/>
        <v>1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17147.5</v>
      </c>
      <c r="K240" s="153"/>
      <c r="V240" s="25">
        <f>SUM(V216:V239)</f>
        <v>15</v>
      </c>
      <c r="W240" s="25">
        <f>SUM(W216:W239)</f>
        <v>7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C00-000000000000}"/>
    <hyperlink ref="B84" r:id="rId2" xr:uid="{00000000-0004-0000-5C00-000001000000}"/>
    <hyperlink ref="B115" r:id="rId3" xr:uid="{00000000-0004-0000-5C00-000002000000}"/>
    <hyperlink ref="B146" r:id="rId4" xr:uid="{00000000-0004-0000-5C00-000003000000}"/>
    <hyperlink ref="B177" r:id="rId5" xr:uid="{00000000-0004-0000-5C00-000004000000}"/>
    <hyperlink ref="B208" r:id="rId6" xr:uid="{00000000-0004-0000-5C00-000005000000}"/>
    <hyperlink ref="B240" r:id="rId7" xr:uid="{00000000-0004-0000-5C00-000006000000}"/>
    <hyperlink ref="M1" location="'MASTER '!A1" display="Back" xr:uid="{00000000-0004-0000-5C00-000007000000}"/>
    <hyperlink ref="M6:M7" location="'DEC 2020'!A77" display="STOCK FUTURE" xr:uid="{00000000-0004-0000-5C00-000008000000}"/>
    <hyperlink ref="M14:M15" location="'DEC 2020'!A201" display="B.NIFTY OPTION" xr:uid="{00000000-0004-0000-5C00-000009000000}"/>
    <hyperlink ref="M12:M13" location="'DEC 2020'!A170" display="BANK NIFTY" xr:uid="{00000000-0004-0000-5C00-00000A000000}"/>
    <hyperlink ref="M10:M11" location="'DEC 2020'!A139" display="NF. OPTION" xr:uid="{00000000-0004-0000-5C00-00000B000000}"/>
    <hyperlink ref="M8:M9" location="'DEC 2020'!A108" display="NIFTY FUTURE" xr:uid="{00000000-0004-0000-5C00-00000C000000}"/>
    <hyperlink ref="M16:M17" location="'DEC 2020'!A216" display="STOCK OPTION" xr:uid="{00000000-0004-0000-5C00-00000D000000}"/>
    <hyperlink ref="M4:M5" location="'NOV 2020'!A1" display="CASH" xr:uid="{00000000-0004-0000-5C00-00000E000000}"/>
  </hyperlinks>
  <pageMargins left="0" right="0" top="0" bottom="0" header="0" footer="0"/>
  <pageSetup scale="95" orientation="portrait" r:id="rId8"/>
  <drawing r:id="rId9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W241"/>
  <sheetViews>
    <sheetView workbookViewId="0">
      <selection activeCell="I6" sqref="I6"/>
    </sheetView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3176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33</v>
      </c>
      <c r="P4" s="386">
        <f>W52</f>
        <v>5</v>
      </c>
      <c r="Q4" s="387">
        <f>N4-O4-P4</f>
        <v>0</v>
      </c>
      <c r="R4" s="380">
        <f>O4/N4</f>
        <v>0.86842105263157898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44197</v>
      </c>
      <c r="D6" s="158" t="s">
        <v>9</v>
      </c>
      <c r="E6" s="158" t="s">
        <v>78</v>
      </c>
      <c r="F6" s="230">
        <v>1295</v>
      </c>
      <c r="G6" s="222">
        <v>1299</v>
      </c>
      <c r="H6" s="222">
        <v>4</v>
      </c>
      <c r="I6" s="207">
        <f t="shared" ref="I6:I7" si="0">300000/F6</f>
        <v>231.66023166023166</v>
      </c>
      <c r="J6" s="161">
        <f t="shared" ref="J6:J7" si="1">H6*I6</f>
        <v>926.64092664092664</v>
      </c>
      <c r="K6" s="153"/>
      <c r="M6" s="394" t="s">
        <v>450</v>
      </c>
      <c r="N6" s="344">
        <f>COUNT(C60:C83)</f>
        <v>19</v>
      </c>
      <c r="O6" s="346">
        <f>V84</f>
        <v>14</v>
      </c>
      <c r="P6" s="346">
        <f>W84</f>
        <v>5</v>
      </c>
      <c r="Q6" s="374">
        <f>N6-O6-P6</f>
        <v>0</v>
      </c>
      <c r="R6" s="376">
        <f t="shared" ref="R6" si="2">O6/N6</f>
        <v>0.73684210526315785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44197</v>
      </c>
      <c r="D7" s="161" t="s">
        <v>8</v>
      </c>
      <c r="E7" s="161" t="s">
        <v>94</v>
      </c>
      <c r="F7" s="222">
        <v>1440</v>
      </c>
      <c r="G7" s="231">
        <v>1425</v>
      </c>
      <c r="H7" s="255">
        <v>15</v>
      </c>
      <c r="I7" s="207">
        <f t="shared" si="0"/>
        <v>208.33333333333334</v>
      </c>
      <c r="J7" s="161">
        <f t="shared" si="1"/>
        <v>3125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44200</v>
      </c>
      <c r="D8" s="161" t="s">
        <v>9</v>
      </c>
      <c r="E8" s="161" t="s">
        <v>58</v>
      </c>
      <c r="F8" s="222">
        <v>629</v>
      </c>
      <c r="G8" s="222">
        <v>633</v>
      </c>
      <c r="H8" s="222">
        <v>4</v>
      </c>
      <c r="I8" s="207">
        <f t="shared" ref="I8:I43" si="6">300000/F8</f>
        <v>476.94753577106519</v>
      </c>
      <c r="J8" s="161">
        <f t="shared" ref="J8:J43" si="7">H8*I8</f>
        <v>1907.7901430842608</v>
      </c>
      <c r="K8" s="153"/>
      <c r="M8" s="394" t="s">
        <v>451</v>
      </c>
      <c r="N8" s="344">
        <f>COUNT(C92:C114)</f>
        <v>19</v>
      </c>
      <c r="O8" s="346">
        <f>V115</f>
        <v>16</v>
      </c>
      <c r="P8" s="346">
        <f>W115</f>
        <v>3</v>
      </c>
      <c r="Q8" s="374">
        <f>N8-O8-P8</f>
        <v>0</v>
      </c>
      <c r="R8" s="376">
        <f t="shared" ref="R8" si="8">O8/N8</f>
        <v>0.84210526315789469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44200</v>
      </c>
      <c r="D9" s="161" t="s">
        <v>8</v>
      </c>
      <c r="E9" s="161" t="s">
        <v>31</v>
      </c>
      <c r="F9" s="222">
        <v>1977</v>
      </c>
      <c r="G9" s="231">
        <v>1971</v>
      </c>
      <c r="H9" s="255">
        <v>6</v>
      </c>
      <c r="I9" s="207">
        <f t="shared" si="6"/>
        <v>151.74506828528072</v>
      </c>
      <c r="J9" s="161">
        <f t="shared" si="7"/>
        <v>910.4704097116844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44201</v>
      </c>
      <c r="D10" s="161" t="s">
        <v>9</v>
      </c>
      <c r="E10" s="161" t="s">
        <v>58</v>
      </c>
      <c r="F10" s="222">
        <v>634</v>
      </c>
      <c r="G10" s="222">
        <v>647</v>
      </c>
      <c r="H10" s="222">
        <v>13</v>
      </c>
      <c r="I10" s="207">
        <f t="shared" si="6"/>
        <v>473.18611987381706</v>
      </c>
      <c r="J10" s="161">
        <f t="shared" si="7"/>
        <v>6151.419558359622</v>
      </c>
      <c r="K10" s="153"/>
      <c r="M10" s="394" t="s">
        <v>1176</v>
      </c>
      <c r="N10" s="344">
        <f>COUNT(C123:C145)</f>
        <v>19</v>
      </c>
      <c r="O10" s="346">
        <f>V146</f>
        <v>15</v>
      </c>
      <c r="P10" s="346">
        <f>W146</f>
        <v>4</v>
      </c>
      <c r="Q10" s="374">
        <f>N10-O10-P10</f>
        <v>0</v>
      </c>
      <c r="R10" s="376">
        <f t="shared" ref="R10:R16" si="9">O10/N10</f>
        <v>0.78947368421052633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44201</v>
      </c>
      <c r="D11" s="161" t="s">
        <v>8</v>
      </c>
      <c r="E11" s="161" t="s">
        <v>2023</v>
      </c>
      <c r="F11" s="222">
        <v>5125</v>
      </c>
      <c r="G11" s="222">
        <v>5075</v>
      </c>
      <c r="H11" s="255">
        <v>50</v>
      </c>
      <c r="I11" s="207">
        <f t="shared" si="6"/>
        <v>58.536585365853661</v>
      </c>
      <c r="J11" s="161">
        <f t="shared" si="7"/>
        <v>2926.8292682926831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44202</v>
      </c>
      <c r="D12" s="161" t="s">
        <v>9</v>
      </c>
      <c r="E12" s="161" t="s">
        <v>58</v>
      </c>
      <c r="F12" s="222">
        <v>664</v>
      </c>
      <c r="G12" s="222">
        <v>658</v>
      </c>
      <c r="H12" s="222">
        <v>-6</v>
      </c>
      <c r="I12" s="207">
        <f t="shared" si="6"/>
        <v>451.80722891566268</v>
      </c>
      <c r="J12" s="242">
        <f t="shared" si="7"/>
        <v>-2710.8433734939763</v>
      </c>
      <c r="K12" s="153"/>
      <c r="M12" s="394" t="s">
        <v>41</v>
      </c>
      <c r="N12" s="344">
        <f>COUNT(C154:C176)</f>
        <v>19</v>
      </c>
      <c r="O12" s="346">
        <f>V177</f>
        <v>13</v>
      </c>
      <c r="P12" s="346">
        <f>W177</f>
        <v>6</v>
      </c>
      <c r="Q12" s="374">
        <f t="shared" ref="Q12" si="10">N12-O12-P12</f>
        <v>0</v>
      </c>
      <c r="R12" s="376">
        <f t="shared" si="9"/>
        <v>0.68421052631578949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44202</v>
      </c>
      <c r="D13" s="161" t="s">
        <v>8</v>
      </c>
      <c r="E13" s="161" t="s">
        <v>31</v>
      </c>
      <c r="F13" s="222">
        <v>1950</v>
      </c>
      <c r="G13" s="222">
        <v>1930</v>
      </c>
      <c r="H13" s="255">
        <v>20</v>
      </c>
      <c r="I13" s="207">
        <f t="shared" si="6"/>
        <v>153.84615384615384</v>
      </c>
      <c r="J13" s="242">
        <f t="shared" si="7"/>
        <v>3076.9230769230767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44203</v>
      </c>
      <c r="D14" s="161" t="s">
        <v>9</v>
      </c>
      <c r="E14" s="161" t="s">
        <v>2563</v>
      </c>
      <c r="F14" s="222">
        <v>1770</v>
      </c>
      <c r="G14" s="222">
        <v>1776</v>
      </c>
      <c r="H14" s="222">
        <v>6</v>
      </c>
      <c r="I14" s="207">
        <f t="shared" si="6"/>
        <v>169.4915254237288</v>
      </c>
      <c r="J14" s="242">
        <f t="shared" si="7"/>
        <v>1016.9491525423728</v>
      </c>
      <c r="K14" s="153"/>
      <c r="M14" s="394" t="s">
        <v>1175</v>
      </c>
      <c r="N14" s="344">
        <f>COUNT(C185:C207)</f>
        <v>19</v>
      </c>
      <c r="O14" s="346">
        <f>V208</f>
        <v>13</v>
      </c>
      <c r="P14" s="346">
        <f>W208</f>
        <v>6</v>
      </c>
      <c r="Q14" s="374">
        <f t="shared" ref="Q14" si="11">N14-O14-P14</f>
        <v>0</v>
      </c>
      <c r="R14" s="376">
        <f t="shared" si="9"/>
        <v>0.68421052631578949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44203</v>
      </c>
      <c r="D15" s="161" t="s">
        <v>8</v>
      </c>
      <c r="E15" s="161" t="s">
        <v>137</v>
      </c>
      <c r="F15" s="222">
        <v>2405</v>
      </c>
      <c r="G15" s="222">
        <v>2370</v>
      </c>
      <c r="H15" s="222">
        <v>35</v>
      </c>
      <c r="I15" s="207">
        <f t="shared" si="6"/>
        <v>124.74012474012474</v>
      </c>
      <c r="J15" s="242">
        <f t="shared" si="7"/>
        <v>4365.9043659043664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44204</v>
      </c>
      <c r="D16" s="161" t="s">
        <v>9</v>
      </c>
      <c r="E16" s="161" t="s">
        <v>2107</v>
      </c>
      <c r="F16" s="222">
        <v>1530</v>
      </c>
      <c r="G16" s="222">
        <v>1560</v>
      </c>
      <c r="H16" s="222">
        <v>30</v>
      </c>
      <c r="I16" s="207">
        <f t="shared" si="6"/>
        <v>196.07843137254903</v>
      </c>
      <c r="J16" s="242">
        <f t="shared" si="7"/>
        <v>5882.3529411764712</v>
      </c>
      <c r="K16" s="153"/>
      <c r="L16" s="25" t="s">
        <v>2008</v>
      </c>
      <c r="M16" s="394" t="s">
        <v>1090</v>
      </c>
      <c r="N16" s="344">
        <f>COUNT(C216:C239)</f>
        <v>19</v>
      </c>
      <c r="O16" s="346">
        <f>V240</f>
        <v>16</v>
      </c>
      <c r="P16" s="346">
        <f>W240</f>
        <v>3</v>
      </c>
      <c r="Q16" s="374">
        <f t="shared" ref="Q16" si="12">N16-O16-P16</f>
        <v>0</v>
      </c>
      <c r="R16" s="376">
        <f t="shared" si="9"/>
        <v>0.84210526315789469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44204</v>
      </c>
      <c r="D17" s="161" t="s">
        <v>8</v>
      </c>
      <c r="E17" s="161" t="s">
        <v>95</v>
      </c>
      <c r="F17" s="222">
        <v>543</v>
      </c>
      <c r="G17" s="222">
        <v>539.54999999999995</v>
      </c>
      <c r="H17" s="222">
        <v>3.45</v>
      </c>
      <c r="I17" s="207">
        <f t="shared" si="6"/>
        <v>552.4861878453039</v>
      </c>
      <c r="J17" s="242">
        <f t="shared" si="7"/>
        <v>1906.0773480662986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44207</v>
      </c>
      <c r="D18" s="161" t="s">
        <v>9</v>
      </c>
      <c r="E18" s="161" t="s">
        <v>310</v>
      </c>
      <c r="F18" s="222">
        <v>640</v>
      </c>
      <c r="G18" s="222">
        <v>644</v>
      </c>
      <c r="H18" s="222">
        <v>4</v>
      </c>
      <c r="I18" s="207">
        <f t="shared" si="6"/>
        <v>468.75</v>
      </c>
      <c r="J18" s="242">
        <f t="shared" si="7"/>
        <v>1875</v>
      </c>
      <c r="K18" s="153"/>
      <c r="M18" s="392" t="s">
        <v>946</v>
      </c>
      <c r="N18" s="378">
        <f>SUM(N4:N17)</f>
        <v>152</v>
      </c>
      <c r="O18" s="378">
        <f t="shared" ref="O18:Q18" si="13">SUM(O4:O17)</f>
        <v>120</v>
      </c>
      <c r="P18" s="378">
        <f t="shared" si="13"/>
        <v>32</v>
      </c>
      <c r="Q18" s="378">
        <f t="shared" si="13"/>
        <v>0</v>
      </c>
      <c r="R18" s="380">
        <f t="shared" ref="R18" si="14">O18/N18</f>
        <v>0.78947368421052633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44207</v>
      </c>
      <c r="D19" s="161" t="s">
        <v>8</v>
      </c>
      <c r="E19" s="161" t="s">
        <v>58</v>
      </c>
      <c r="F19" s="222">
        <v>666</v>
      </c>
      <c r="G19" s="222">
        <v>660.15</v>
      </c>
      <c r="H19" s="222">
        <v>5.85</v>
      </c>
      <c r="I19" s="207">
        <f t="shared" si="6"/>
        <v>450.45045045045043</v>
      </c>
      <c r="J19" s="242">
        <f t="shared" si="7"/>
        <v>2635.135135135135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44208</v>
      </c>
      <c r="D20" s="161" t="s">
        <v>9</v>
      </c>
      <c r="E20" s="161" t="s">
        <v>58</v>
      </c>
      <c r="F20" s="222">
        <v>662</v>
      </c>
      <c r="G20" s="222">
        <v>674</v>
      </c>
      <c r="H20" s="222">
        <v>12</v>
      </c>
      <c r="I20" s="207">
        <f t="shared" si="6"/>
        <v>453.17220543806644</v>
      </c>
      <c r="J20" s="242">
        <f t="shared" si="7"/>
        <v>5438.0664652567975</v>
      </c>
      <c r="K20" s="153"/>
      <c r="M20" s="316" t="s">
        <v>2253</v>
      </c>
      <c r="N20" s="317"/>
      <c r="O20" s="318"/>
      <c r="P20" s="325">
        <f>R18</f>
        <v>0.78947368421052633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44208</v>
      </c>
      <c r="D21" s="161" t="s">
        <v>8</v>
      </c>
      <c r="E21" s="161" t="s">
        <v>1064</v>
      </c>
      <c r="F21" s="222">
        <v>1815</v>
      </c>
      <c r="G21" s="222">
        <v>1800</v>
      </c>
      <c r="H21" s="222">
        <v>15</v>
      </c>
      <c r="I21" s="207">
        <f t="shared" si="6"/>
        <v>165.28925619834712</v>
      </c>
      <c r="J21" s="242">
        <f t="shared" si="7"/>
        <v>2479.3388429752067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44209</v>
      </c>
      <c r="D22" s="161" t="s">
        <v>9</v>
      </c>
      <c r="E22" s="161" t="s">
        <v>58</v>
      </c>
      <c r="F22" s="222">
        <v>680</v>
      </c>
      <c r="G22" s="222">
        <v>688.5</v>
      </c>
      <c r="H22" s="222">
        <v>8.5</v>
      </c>
      <c r="I22" s="207">
        <f t="shared" si="6"/>
        <v>441.1764705882353</v>
      </c>
      <c r="J22" s="242">
        <f t="shared" si="7"/>
        <v>3750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44209</v>
      </c>
      <c r="D23" s="161" t="s">
        <v>8</v>
      </c>
      <c r="E23" s="161" t="s">
        <v>2563</v>
      </c>
      <c r="F23" s="222">
        <v>1668</v>
      </c>
      <c r="G23" s="222">
        <v>1638</v>
      </c>
      <c r="H23" s="222">
        <v>30</v>
      </c>
      <c r="I23" s="207">
        <f t="shared" si="6"/>
        <v>179.85611510791367</v>
      </c>
      <c r="J23" s="242">
        <f t="shared" si="7"/>
        <v>5395.6834532374096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44211</v>
      </c>
      <c r="D24" s="161" t="s">
        <v>9</v>
      </c>
      <c r="E24" s="161" t="s">
        <v>3187</v>
      </c>
      <c r="F24" s="222">
        <v>341</v>
      </c>
      <c r="G24" s="222">
        <v>343.6</v>
      </c>
      <c r="H24" s="222">
        <v>2.6</v>
      </c>
      <c r="I24" s="207">
        <f t="shared" si="6"/>
        <v>879.76539589442814</v>
      </c>
      <c r="J24" s="242">
        <f t="shared" si="7"/>
        <v>2287.3900293255133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44211</v>
      </c>
      <c r="D25" s="161" t="s">
        <v>8</v>
      </c>
      <c r="E25" s="161" t="s">
        <v>58</v>
      </c>
      <c r="F25" s="222">
        <v>675</v>
      </c>
      <c r="G25" s="222">
        <v>670.6</v>
      </c>
      <c r="H25" s="222">
        <v>4.4000000000000004</v>
      </c>
      <c r="I25" s="207">
        <f t="shared" si="6"/>
        <v>444.44444444444446</v>
      </c>
      <c r="J25" s="242">
        <f t="shared" si="7"/>
        <v>1955.5555555555557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44214</v>
      </c>
      <c r="D26" s="161" t="s">
        <v>9</v>
      </c>
      <c r="E26" s="161" t="s">
        <v>2107</v>
      </c>
      <c r="F26" s="222">
        <v>1615</v>
      </c>
      <c r="G26" s="222">
        <v>1622</v>
      </c>
      <c r="H26" s="222">
        <v>7</v>
      </c>
      <c r="I26" s="207">
        <f t="shared" si="6"/>
        <v>185.75851393188856</v>
      </c>
      <c r="J26" s="242">
        <f t="shared" si="7"/>
        <v>1300.30959752322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44214</v>
      </c>
      <c r="D27" s="161" t="s">
        <v>8</v>
      </c>
      <c r="E27" s="161" t="s">
        <v>58</v>
      </c>
      <c r="F27" s="222">
        <v>668</v>
      </c>
      <c r="G27" s="222">
        <v>664</v>
      </c>
      <c r="H27" s="222">
        <v>4</v>
      </c>
      <c r="I27" s="207">
        <f t="shared" si="6"/>
        <v>449.10179640718565</v>
      </c>
      <c r="J27" s="242">
        <f t="shared" si="7"/>
        <v>1796.4071856287426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44215</v>
      </c>
      <c r="D28" s="161" t="s">
        <v>9</v>
      </c>
      <c r="E28" s="161" t="s">
        <v>78</v>
      </c>
      <c r="F28" s="222">
        <v>1360</v>
      </c>
      <c r="G28" s="222">
        <v>1380</v>
      </c>
      <c r="H28" s="222">
        <v>20</v>
      </c>
      <c r="I28" s="207">
        <f t="shared" si="6"/>
        <v>220.58823529411765</v>
      </c>
      <c r="J28" s="242">
        <f t="shared" si="7"/>
        <v>4411.7647058823532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44215</v>
      </c>
      <c r="D29" s="161" t="s">
        <v>8</v>
      </c>
      <c r="E29" s="161" t="s">
        <v>95</v>
      </c>
      <c r="F29" s="222">
        <v>536</v>
      </c>
      <c r="G29" s="222">
        <v>541</v>
      </c>
      <c r="H29" s="222">
        <v>-5</v>
      </c>
      <c r="I29" s="207">
        <f t="shared" si="6"/>
        <v>559.70149253731347</v>
      </c>
      <c r="J29" s="242">
        <f t="shared" si="7"/>
        <v>-2798.5074626865671</v>
      </c>
      <c r="K29" s="153"/>
      <c r="V29" s="25">
        <f t="shared" si="3"/>
        <v>0</v>
      </c>
      <c r="W29" s="25">
        <f t="shared" si="4"/>
        <v>1</v>
      </c>
    </row>
    <row r="30" spans="1:23" x14ac:dyDescent="0.3">
      <c r="A30" s="147"/>
      <c r="B30" s="205">
        <f t="shared" si="5"/>
        <v>25</v>
      </c>
      <c r="C30" s="206">
        <v>44216</v>
      </c>
      <c r="D30" s="161" t="s">
        <v>9</v>
      </c>
      <c r="E30" s="161" t="s">
        <v>58</v>
      </c>
      <c r="F30" s="222">
        <v>674</v>
      </c>
      <c r="G30" s="222">
        <v>680</v>
      </c>
      <c r="H30" s="222">
        <v>6</v>
      </c>
      <c r="I30" s="207">
        <f t="shared" si="6"/>
        <v>445.10385756676556</v>
      </c>
      <c r="J30" s="242">
        <f t="shared" si="7"/>
        <v>2670.6231454005933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44216</v>
      </c>
      <c r="D31" s="161" t="s">
        <v>8</v>
      </c>
      <c r="E31" s="161" t="s">
        <v>3188</v>
      </c>
      <c r="F31" s="222">
        <v>1460</v>
      </c>
      <c r="G31" s="222">
        <v>1453</v>
      </c>
      <c r="H31" s="222">
        <v>7</v>
      </c>
      <c r="I31" s="207">
        <f t="shared" si="6"/>
        <v>205.47945205479451</v>
      </c>
      <c r="J31" s="242">
        <f t="shared" si="7"/>
        <v>1438.3561643835615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44217</v>
      </c>
      <c r="D32" s="161" t="s">
        <v>9</v>
      </c>
      <c r="E32" s="161" t="s">
        <v>2298</v>
      </c>
      <c r="F32" s="222">
        <v>1710</v>
      </c>
      <c r="G32" s="222">
        <v>1695</v>
      </c>
      <c r="H32" s="222">
        <v>-15</v>
      </c>
      <c r="I32" s="207">
        <f t="shared" si="6"/>
        <v>175.43859649122808</v>
      </c>
      <c r="J32" s="242">
        <f t="shared" si="7"/>
        <v>-2631.5789473684213</v>
      </c>
      <c r="K32" s="153"/>
      <c r="V32" s="25">
        <f t="shared" si="3"/>
        <v>0</v>
      </c>
      <c r="W32" s="25">
        <f t="shared" si="4"/>
        <v>1</v>
      </c>
    </row>
    <row r="33" spans="1:23" x14ac:dyDescent="0.3">
      <c r="A33" s="147"/>
      <c r="B33" s="205">
        <f t="shared" si="5"/>
        <v>28</v>
      </c>
      <c r="C33" s="206">
        <v>44217</v>
      </c>
      <c r="D33" s="161" t="s">
        <v>8</v>
      </c>
      <c r="E33" s="161" t="s">
        <v>982</v>
      </c>
      <c r="F33" s="222">
        <v>548</v>
      </c>
      <c r="G33" s="222">
        <v>553</v>
      </c>
      <c r="H33" s="222">
        <v>-5</v>
      </c>
      <c r="I33" s="207">
        <f t="shared" si="6"/>
        <v>547.44525547445255</v>
      </c>
      <c r="J33" s="242">
        <f t="shared" si="7"/>
        <v>-2737.2262773722628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44218</v>
      </c>
      <c r="D34" s="161" t="s">
        <v>9</v>
      </c>
      <c r="E34" s="161" t="s">
        <v>29</v>
      </c>
      <c r="F34" s="222">
        <v>1000</v>
      </c>
      <c r="G34" s="222">
        <v>1004</v>
      </c>
      <c r="H34" s="222">
        <v>4</v>
      </c>
      <c r="I34" s="207">
        <f t="shared" si="6"/>
        <v>300</v>
      </c>
      <c r="J34" s="242">
        <f t="shared" si="7"/>
        <v>1200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44218</v>
      </c>
      <c r="D35" s="161" t="s">
        <v>8</v>
      </c>
      <c r="E35" s="161" t="s">
        <v>31</v>
      </c>
      <c r="F35" s="222">
        <v>2095</v>
      </c>
      <c r="G35" s="222">
        <v>2055</v>
      </c>
      <c r="H35" s="222">
        <v>40</v>
      </c>
      <c r="I35" s="207">
        <f t="shared" si="6"/>
        <v>143.19809069212411</v>
      </c>
      <c r="J35" s="242">
        <f t="shared" si="7"/>
        <v>5727.9236276849642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44221</v>
      </c>
      <c r="D36" s="161" t="s">
        <v>9</v>
      </c>
      <c r="E36" s="161" t="s">
        <v>95</v>
      </c>
      <c r="F36" s="222">
        <v>541</v>
      </c>
      <c r="G36" s="222">
        <v>536</v>
      </c>
      <c r="H36" s="222">
        <v>-5</v>
      </c>
      <c r="I36" s="207">
        <f t="shared" si="6"/>
        <v>554.52865064695004</v>
      </c>
      <c r="J36" s="242">
        <f t="shared" si="7"/>
        <v>-2772.6432532347503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44221</v>
      </c>
      <c r="D37" s="161" t="s">
        <v>8</v>
      </c>
      <c r="E37" s="161" t="s">
        <v>31</v>
      </c>
      <c r="F37" s="222">
        <v>1960</v>
      </c>
      <c r="G37" s="222">
        <v>1951</v>
      </c>
      <c r="H37" s="222">
        <v>9</v>
      </c>
      <c r="I37" s="207">
        <f t="shared" si="6"/>
        <v>153.0612244897959</v>
      </c>
      <c r="J37" s="242">
        <f t="shared" si="7"/>
        <v>1377.5510204081631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44223</v>
      </c>
      <c r="D38" s="161" t="s">
        <v>9</v>
      </c>
      <c r="E38" s="161" t="s">
        <v>184</v>
      </c>
      <c r="F38" s="222">
        <v>448</v>
      </c>
      <c r="G38" s="222">
        <v>454</v>
      </c>
      <c r="H38" s="222">
        <v>5</v>
      </c>
      <c r="I38" s="207">
        <f t="shared" si="6"/>
        <v>669.64285714285711</v>
      </c>
      <c r="J38" s="242">
        <f t="shared" si="7"/>
        <v>3348.2142857142853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44223</v>
      </c>
      <c r="D39" s="161" t="s">
        <v>8</v>
      </c>
      <c r="E39" s="161" t="s">
        <v>58</v>
      </c>
      <c r="F39" s="222">
        <v>652</v>
      </c>
      <c r="G39" s="222">
        <v>640</v>
      </c>
      <c r="H39" s="222">
        <v>12</v>
      </c>
      <c r="I39" s="207">
        <f t="shared" si="6"/>
        <v>460.12269938650309</v>
      </c>
      <c r="J39" s="242">
        <f t="shared" si="7"/>
        <v>5521.4723926380375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44224</v>
      </c>
      <c r="D40" s="161" t="s">
        <v>9</v>
      </c>
      <c r="E40" s="161" t="s">
        <v>168</v>
      </c>
      <c r="F40" s="222">
        <v>1150</v>
      </c>
      <c r="G40" s="222">
        <v>1154.4000000000001</v>
      </c>
      <c r="H40" s="222">
        <v>4.4000000000000004</v>
      </c>
      <c r="I40" s="207">
        <f t="shared" si="6"/>
        <v>260.86956521739131</v>
      </c>
      <c r="J40" s="242">
        <f t="shared" si="7"/>
        <v>1147.826086956522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44224</v>
      </c>
      <c r="D41" s="161" t="s">
        <v>8</v>
      </c>
      <c r="E41" s="161" t="s">
        <v>78</v>
      </c>
      <c r="F41" s="222">
        <v>1350</v>
      </c>
      <c r="G41" s="223">
        <v>1340</v>
      </c>
      <c r="H41" s="222">
        <v>10</v>
      </c>
      <c r="I41" s="207">
        <f t="shared" si="6"/>
        <v>222.22222222222223</v>
      </c>
      <c r="J41" s="242">
        <f t="shared" si="7"/>
        <v>2222.2222222222222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44225</v>
      </c>
      <c r="D42" s="161" t="s">
        <v>9</v>
      </c>
      <c r="E42" s="161" t="s">
        <v>29</v>
      </c>
      <c r="F42" s="222">
        <v>940</v>
      </c>
      <c r="G42" s="222">
        <v>946.5</v>
      </c>
      <c r="H42" s="222">
        <v>6.5</v>
      </c>
      <c r="I42" s="207">
        <f t="shared" si="6"/>
        <v>319.14893617021278</v>
      </c>
      <c r="J42" s="242">
        <f t="shared" si="7"/>
        <v>2074.4680851063831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44225</v>
      </c>
      <c r="D43" s="161" t="s">
        <v>8</v>
      </c>
      <c r="E43" s="161" t="s">
        <v>19</v>
      </c>
      <c r="F43" s="222">
        <v>282</v>
      </c>
      <c r="G43" s="222">
        <v>279.5</v>
      </c>
      <c r="H43" s="222">
        <v>2.5</v>
      </c>
      <c r="I43" s="207">
        <f t="shared" si="6"/>
        <v>1063.8297872340424</v>
      </c>
      <c r="J43" s="242">
        <f t="shared" si="7"/>
        <v>2659.5744680851062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81258.440345665585</v>
      </c>
      <c r="K52" s="153"/>
      <c r="V52" s="25">
        <f>SUM(V6:V51)</f>
        <v>33</v>
      </c>
      <c r="W52" s="25">
        <f>SUM(W6:W51)</f>
        <v>5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3176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44197</v>
      </c>
      <c r="D60" s="161" t="s">
        <v>9</v>
      </c>
      <c r="E60" s="161" t="s">
        <v>2023</v>
      </c>
      <c r="F60" s="222">
        <v>5305</v>
      </c>
      <c r="G60" s="222">
        <v>5317</v>
      </c>
      <c r="H60" s="222">
        <v>12</v>
      </c>
      <c r="I60" s="207">
        <v>250</v>
      </c>
      <c r="J60" s="241">
        <f t="shared" ref="J60:J83" si="15">I60*H60</f>
        <v>3000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44200</v>
      </c>
      <c r="D61" s="161" t="s">
        <v>9</v>
      </c>
      <c r="E61" s="161" t="s">
        <v>2563</v>
      </c>
      <c r="F61" s="222">
        <v>1735</v>
      </c>
      <c r="G61" s="222">
        <v>1750</v>
      </c>
      <c r="H61" s="222">
        <v>15</v>
      </c>
      <c r="I61" s="207">
        <v>500</v>
      </c>
      <c r="J61" s="242">
        <f t="shared" si="15"/>
        <v>7500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44201</v>
      </c>
      <c r="D62" s="161" t="s">
        <v>8</v>
      </c>
      <c r="E62" s="161" t="s">
        <v>2023</v>
      </c>
      <c r="F62" s="222">
        <v>5185</v>
      </c>
      <c r="G62" s="222">
        <v>5125</v>
      </c>
      <c r="H62" s="222">
        <v>60</v>
      </c>
      <c r="I62" s="207">
        <v>250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44202</v>
      </c>
      <c r="D63" s="161" t="s">
        <v>9</v>
      </c>
      <c r="E63" s="161" t="s">
        <v>19</v>
      </c>
      <c r="F63" s="222">
        <v>287.5</v>
      </c>
      <c r="G63" s="222">
        <v>290.39999999999998</v>
      </c>
      <c r="H63" s="222">
        <v>2.9</v>
      </c>
      <c r="I63" s="207">
        <v>3000</v>
      </c>
      <c r="J63" s="242">
        <f t="shared" si="15"/>
        <v>8700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44203</v>
      </c>
      <c r="D64" s="161" t="s">
        <v>3178</v>
      </c>
      <c r="E64" s="161" t="s">
        <v>126</v>
      </c>
      <c r="F64" s="222">
        <v>3020</v>
      </c>
      <c r="G64" s="222">
        <v>3009</v>
      </c>
      <c r="H64" s="222">
        <v>11</v>
      </c>
      <c r="I64" s="207">
        <v>300</v>
      </c>
      <c r="J64" s="242">
        <f t="shared" si="15"/>
        <v>3300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44204</v>
      </c>
      <c r="D65" s="161" t="s">
        <v>8</v>
      </c>
      <c r="E65" s="161" t="s">
        <v>2023</v>
      </c>
      <c r="F65" s="207">
        <v>5075</v>
      </c>
      <c r="G65" s="222">
        <v>5065</v>
      </c>
      <c r="H65" s="222">
        <v>10</v>
      </c>
      <c r="I65" s="207">
        <v>250</v>
      </c>
      <c r="J65" s="242">
        <f t="shared" si="15"/>
        <v>2500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44207</v>
      </c>
      <c r="D66" s="161" t="s">
        <v>8</v>
      </c>
      <c r="E66" s="161" t="s">
        <v>2563</v>
      </c>
      <c r="F66" s="207">
        <v>1715</v>
      </c>
      <c r="G66" s="222">
        <v>1695</v>
      </c>
      <c r="H66" s="222">
        <v>20</v>
      </c>
      <c r="I66" s="207">
        <v>500</v>
      </c>
      <c r="J66" s="242">
        <f t="shared" si="15"/>
        <v>10000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44208</v>
      </c>
      <c r="D67" s="161" t="s">
        <v>9</v>
      </c>
      <c r="E67" s="161" t="s">
        <v>2563</v>
      </c>
      <c r="F67" s="222">
        <v>1715</v>
      </c>
      <c r="G67" s="222">
        <v>1728</v>
      </c>
      <c r="H67" s="222">
        <v>13</v>
      </c>
      <c r="I67" s="207">
        <v>500</v>
      </c>
      <c r="J67" s="242">
        <f t="shared" si="15"/>
        <v>6500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44209</v>
      </c>
      <c r="D68" s="161" t="s">
        <v>8</v>
      </c>
      <c r="E68" s="161" t="s">
        <v>2563</v>
      </c>
      <c r="F68" s="222">
        <v>1670</v>
      </c>
      <c r="G68" s="222">
        <v>1640</v>
      </c>
      <c r="H68" s="222">
        <v>30</v>
      </c>
      <c r="I68" s="207">
        <v>500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44211</v>
      </c>
      <c r="D69" s="161" t="s">
        <v>9</v>
      </c>
      <c r="E69" s="161" t="s">
        <v>2023</v>
      </c>
      <c r="F69" s="222">
        <v>4930</v>
      </c>
      <c r="G69" s="222">
        <v>4900</v>
      </c>
      <c r="H69" s="222">
        <v>-30</v>
      </c>
      <c r="I69" s="207">
        <v>250</v>
      </c>
      <c r="J69" s="242">
        <f t="shared" si="15"/>
        <v>-7500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44214</v>
      </c>
      <c r="D70" s="161" t="s">
        <v>8</v>
      </c>
      <c r="E70" s="161" t="s">
        <v>2563</v>
      </c>
      <c r="F70" s="161">
        <v>1595</v>
      </c>
      <c r="G70" s="222">
        <v>1580</v>
      </c>
      <c r="H70" s="222">
        <v>15</v>
      </c>
      <c r="I70" s="207">
        <v>500</v>
      </c>
      <c r="J70" s="242">
        <f t="shared" si="15"/>
        <v>7500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44215</v>
      </c>
      <c r="D71" s="161" t="s">
        <v>8</v>
      </c>
      <c r="E71" s="161" t="s">
        <v>94</v>
      </c>
      <c r="F71" s="222">
        <v>1476</v>
      </c>
      <c r="G71" s="222">
        <v>1486</v>
      </c>
      <c r="H71" s="222">
        <v>-10</v>
      </c>
      <c r="I71" s="207">
        <v>550</v>
      </c>
      <c r="J71" s="242">
        <f t="shared" si="15"/>
        <v>-5500</v>
      </c>
      <c r="K71" s="153"/>
      <c r="V71" s="25">
        <f t="shared" si="16"/>
        <v>0</v>
      </c>
      <c r="W71" s="25">
        <f t="shared" si="17"/>
        <v>1</v>
      </c>
    </row>
    <row r="72" spans="1:23" x14ac:dyDescent="0.3">
      <c r="A72" s="147"/>
      <c r="B72" s="205">
        <f t="shared" si="18"/>
        <v>13</v>
      </c>
      <c r="C72" s="206">
        <v>44216</v>
      </c>
      <c r="D72" s="161" t="s">
        <v>9</v>
      </c>
      <c r="E72" s="161" t="s">
        <v>2995</v>
      </c>
      <c r="F72" s="222">
        <v>595</v>
      </c>
      <c r="G72" s="222">
        <v>602.5</v>
      </c>
      <c r="H72" s="222">
        <v>7.5</v>
      </c>
      <c r="I72" s="207">
        <v>1350</v>
      </c>
      <c r="J72" s="242">
        <f t="shared" si="15"/>
        <v>10125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44217</v>
      </c>
      <c r="D73" s="161" t="s">
        <v>8</v>
      </c>
      <c r="E73" s="161" t="s">
        <v>365</v>
      </c>
      <c r="F73" s="223">
        <v>398</v>
      </c>
      <c r="G73" s="222">
        <v>395.3</v>
      </c>
      <c r="H73" s="255">
        <v>2.7</v>
      </c>
      <c r="I73" s="207">
        <v>2700</v>
      </c>
      <c r="J73" s="242">
        <f t="shared" si="15"/>
        <v>7290.0000000000009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44218</v>
      </c>
      <c r="D74" s="161" t="s">
        <v>9</v>
      </c>
      <c r="E74" s="161" t="s">
        <v>19</v>
      </c>
      <c r="F74" s="222">
        <v>296</v>
      </c>
      <c r="G74" s="222">
        <v>297.2</v>
      </c>
      <c r="H74" s="255">
        <v>1.2</v>
      </c>
      <c r="I74" s="207">
        <v>3000</v>
      </c>
      <c r="J74" s="242">
        <f t="shared" si="15"/>
        <v>3600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44221</v>
      </c>
      <c r="D75" s="161" t="s">
        <v>9</v>
      </c>
      <c r="E75" s="161" t="s">
        <v>2563</v>
      </c>
      <c r="F75" s="222">
        <v>1635</v>
      </c>
      <c r="G75" s="222">
        <v>1620</v>
      </c>
      <c r="H75" s="255">
        <v>-15</v>
      </c>
      <c r="I75" s="207">
        <v>500</v>
      </c>
      <c r="J75" s="242">
        <f t="shared" si="15"/>
        <v>-7500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44223</v>
      </c>
      <c r="D76" s="161" t="s">
        <v>9</v>
      </c>
      <c r="E76" s="161" t="s">
        <v>2563</v>
      </c>
      <c r="F76" s="222">
        <v>1615</v>
      </c>
      <c r="G76" s="222">
        <v>1600</v>
      </c>
      <c r="H76" s="222">
        <v>-15</v>
      </c>
      <c r="I76" s="207">
        <v>500</v>
      </c>
      <c r="J76" s="242">
        <f t="shared" si="15"/>
        <v>-7500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44224</v>
      </c>
      <c r="D77" s="161" t="s">
        <v>9</v>
      </c>
      <c r="E77" s="161" t="s">
        <v>2563</v>
      </c>
      <c r="F77" s="222">
        <v>1620</v>
      </c>
      <c r="G77" s="222">
        <v>1605</v>
      </c>
      <c r="H77" s="222">
        <v>-15</v>
      </c>
      <c r="I77" s="207">
        <v>500</v>
      </c>
      <c r="J77" s="242">
        <f t="shared" si="15"/>
        <v>-7500</v>
      </c>
      <c r="K77" s="153"/>
      <c r="V77" s="25">
        <f t="shared" si="16"/>
        <v>0</v>
      </c>
      <c r="W77" s="25">
        <f t="shared" si="17"/>
        <v>1</v>
      </c>
    </row>
    <row r="78" spans="1:23" x14ac:dyDescent="0.3">
      <c r="A78" s="147"/>
      <c r="B78" s="205">
        <f t="shared" si="18"/>
        <v>19</v>
      </c>
      <c r="C78" s="206">
        <v>44225</v>
      </c>
      <c r="D78" s="161" t="s">
        <v>9</v>
      </c>
      <c r="E78" s="161" t="s">
        <v>2023</v>
      </c>
      <c r="F78" s="222">
        <v>4920</v>
      </c>
      <c r="G78" s="222">
        <v>4935</v>
      </c>
      <c r="H78" s="222">
        <v>15</v>
      </c>
      <c r="I78" s="207">
        <v>250</v>
      </c>
      <c r="J78" s="242">
        <f t="shared" si="15"/>
        <v>3750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68265</v>
      </c>
      <c r="K84" s="153"/>
      <c r="V84" s="25">
        <f>SUM(V60:V83)</f>
        <v>14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3177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44197</v>
      </c>
      <c r="D92" s="185" t="s">
        <v>9</v>
      </c>
      <c r="E92" s="185" t="s">
        <v>39</v>
      </c>
      <c r="F92" s="219">
        <v>14050</v>
      </c>
      <c r="G92" s="219">
        <v>14070</v>
      </c>
      <c r="H92" s="185">
        <v>20</v>
      </c>
      <c r="I92" s="219">
        <v>150</v>
      </c>
      <c r="J92" s="246">
        <f t="shared" ref="J92:J114" si="19">I92*H92</f>
        <v>3000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44200</v>
      </c>
      <c r="D93" s="185" t="s">
        <v>9</v>
      </c>
      <c r="E93" s="185" t="s">
        <v>39</v>
      </c>
      <c r="F93" s="219">
        <v>14120</v>
      </c>
      <c r="G93" s="219">
        <v>14080</v>
      </c>
      <c r="H93" s="185">
        <v>-40</v>
      </c>
      <c r="I93" s="219">
        <v>150</v>
      </c>
      <c r="J93" s="242">
        <f t="shared" si="19"/>
        <v>-6000</v>
      </c>
      <c r="K93" s="153"/>
      <c r="V93" s="25">
        <f t="shared" ref="V93:V114" si="20">IF($J93&gt;0,1,0)</f>
        <v>0</v>
      </c>
      <c r="W93" s="25">
        <f t="shared" ref="W93:W114" si="21">IF($J93&lt;0,1,0)</f>
        <v>1</v>
      </c>
    </row>
    <row r="94" spans="1:23" x14ac:dyDescent="0.3">
      <c r="A94" s="147"/>
      <c r="B94" s="205">
        <f t="shared" ref="B94:B114" si="22">B93+1</f>
        <v>3</v>
      </c>
      <c r="C94" s="206">
        <v>44201</v>
      </c>
      <c r="D94" s="161" t="s">
        <v>9</v>
      </c>
      <c r="E94" s="161" t="s">
        <v>39</v>
      </c>
      <c r="F94" s="207">
        <v>14100</v>
      </c>
      <c r="G94" s="207">
        <v>14180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44202</v>
      </c>
      <c r="D95" s="161" t="s">
        <v>9</v>
      </c>
      <c r="E95" s="161" t="s">
        <v>39</v>
      </c>
      <c r="F95" s="207">
        <v>14230</v>
      </c>
      <c r="G95" s="207">
        <v>14245</v>
      </c>
      <c r="H95" s="161">
        <v>15</v>
      </c>
      <c r="I95" s="207">
        <v>150</v>
      </c>
      <c r="J95" s="242">
        <f t="shared" si="19"/>
        <v>2250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44203</v>
      </c>
      <c r="D96" s="161" t="s">
        <v>9</v>
      </c>
      <c r="E96" s="161" t="s">
        <v>39</v>
      </c>
      <c r="F96" s="207">
        <v>14230</v>
      </c>
      <c r="G96" s="207">
        <v>14250</v>
      </c>
      <c r="H96" s="161">
        <v>20</v>
      </c>
      <c r="I96" s="207">
        <v>150</v>
      </c>
      <c r="J96" s="242">
        <f t="shared" si="19"/>
        <v>3000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44204</v>
      </c>
      <c r="D97" s="161" t="s">
        <v>9</v>
      </c>
      <c r="E97" s="161" t="s">
        <v>39</v>
      </c>
      <c r="F97" s="207">
        <v>14300</v>
      </c>
      <c r="G97" s="207">
        <v>14379</v>
      </c>
      <c r="H97" s="161">
        <v>79</v>
      </c>
      <c r="I97" s="207">
        <v>150</v>
      </c>
      <c r="J97" s="242">
        <f t="shared" si="19"/>
        <v>11850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44207</v>
      </c>
      <c r="D98" s="161" t="s">
        <v>9</v>
      </c>
      <c r="E98" s="161" t="s">
        <v>39</v>
      </c>
      <c r="F98" s="207">
        <v>14440</v>
      </c>
      <c r="G98" s="207">
        <v>14495</v>
      </c>
      <c r="H98" s="161">
        <v>55</v>
      </c>
      <c r="I98" s="207">
        <v>150</v>
      </c>
      <c r="J98" s="242">
        <f t="shared" si="19"/>
        <v>8250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44208</v>
      </c>
      <c r="D99" s="161" t="s">
        <v>9</v>
      </c>
      <c r="E99" s="161" t="s">
        <v>39</v>
      </c>
      <c r="F99" s="207">
        <v>14490</v>
      </c>
      <c r="G99" s="207">
        <v>14570</v>
      </c>
      <c r="H99" s="161">
        <v>80</v>
      </c>
      <c r="I99" s="207">
        <v>150</v>
      </c>
      <c r="J99" s="242">
        <f t="shared" si="19"/>
        <v>12000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44209</v>
      </c>
      <c r="D100" s="161" t="s">
        <v>9</v>
      </c>
      <c r="E100" s="161" t="s">
        <v>39</v>
      </c>
      <c r="F100" s="207">
        <v>14650</v>
      </c>
      <c r="G100" s="207">
        <v>14610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44210</v>
      </c>
      <c r="D101" s="161" t="s">
        <v>9</v>
      </c>
      <c r="E101" s="161" t="s">
        <v>39</v>
      </c>
      <c r="F101" s="207">
        <v>14540</v>
      </c>
      <c r="G101" s="207">
        <v>14500</v>
      </c>
      <c r="H101" s="161">
        <v>-40</v>
      </c>
      <c r="I101" s="207">
        <v>150</v>
      </c>
      <c r="J101" s="242">
        <f t="shared" si="19"/>
        <v>-6000</v>
      </c>
      <c r="K101" s="153"/>
      <c r="V101" s="25">
        <f t="shared" si="20"/>
        <v>0</v>
      </c>
      <c r="W101" s="25">
        <f t="shared" si="21"/>
        <v>1</v>
      </c>
    </row>
    <row r="102" spans="1:23" x14ac:dyDescent="0.3">
      <c r="A102" s="147"/>
      <c r="B102" s="205">
        <f t="shared" si="22"/>
        <v>11</v>
      </c>
      <c r="C102" s="206">
        <v>44214</v>
      </c>
      <c r="D102" s="161" t="s">
        <v>8</v>
      </c>
      <c r="E102" s="161" t="s">
        <v>39</v>
      </c>
      <c r="F102" s="207">
        <v>14310</v>
      </c>
      <c r="G102" s="207">
        <v>14305</v>
      </c>
      <c r="H102" s="161">
        <v>5</v>
      </c>
      <c r="I102" s="207">
        <v>150</v>
      </c>
      <c r="J102" s="242">
        <f t="shared" si="19"/>
        <v>750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44215</v>
      </c>
      <c r="D103" s="161" t="s">
        <v>9</v>
      </c>
      <c r="E103" s="161" t="s">
        <v>39</v>
      </c>
      <c r="F103" s="207">
        <v>14410</v>
      </c>
      <c r="G103" s="207">
        <v>14490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44216</v>
      </c>
      <c r="D104" s="161" t="s">
        <v>9</v>
      </c>
      <c r="E104" s="161" t="s">
        <v>39</v>
      </c>
      <c r="F104" s="207">
        <v>14580</v>
      </c>
      <c r="G104" s="207">
        <v>14660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44217</v>
      </c>
      <c r="D105" s="161" t="s">
        <v>9</v>
      </c>
      <c r="E105" s="161" t="s">
        <v>39</v>
      </c>
      <c r="F105" s="207">
        <v>14740</v>
      </c>
      <c r="G105" s="207">
        <v>14757</v>
      </c>
      <c r="H105" s="161">
        <v>17</v>
      </c>
      <c r="I105" s="207">
        <v>150</v>
      </c>
      <c r="J105" s="242">
        <f t="shared" si="19"/>
        <v>2550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44218</v>
      </c>
      <c r="D106" s="161" t="s">
        <v>9</v>
      </c>
      <c r="E106" s="161" t="s">
        <v>39</v>
      </c>
      <c r="F106" s="207">
        <v>14600</v>
      </c>
      <c r="G106" s="207">
        <v>14620</v>
      </c>
      <c r="H106" s="161">
        <v>20</v>
      </c>
      <c r="I106" s="207">
        <v>150</v>
      </c>
      <c r="J106" s="242">
        <f t="shared" si="19"/>
        <v>3000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44221</v>
      </c>
      <c r="D107" s="161" t="s">
        <v>9</v>
      </c>
      <c r="E107" s="161" t="s">
        <v>39</v>
      </c>
      <c r="F107" s="207">
        <v>14400</v>
      </c>
      <c r="G107" s="207">
        <v>14438</v>
      </c>
      <c r="H107" s="161">
        <v>38</v>
      </c>
      <c r="I107" s="207">
        <v>150</v>
      </c>
      <c r="J107" s="242">
        <f t="shared" si="19"/>
        <v>5700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44223</v>
      </c>
      <c r="D108" s="161" t="s">
        <v>8</v>
      </c>
      <c r="E108" s="161" t="s">
        <v>39</v>
      </c>
      <c r="F108" s="207">
        <v>14150</v>
      </c>
      <c r="G108" s="207">
        <v>14070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44224</v>
      </c>
      <c r="D109" s="161" t="s">
        <v>8</v>
      </c>
      <c r="E109" s="161" t="s">
        <v>39</v>
      </c>
      <c r="F109" s="207">
        <v>13840</v>
      </c>
      <c r="G109" s="207">
        <v>13760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44225</v>
      </c>
      <c r="D110" s="161" t="s">
        <v>8</v>
      </c>
      <c r="E110" s="161" t="s">
        <v>39</v>
      </c>
      <c r="F110" s="207">
        <v>13890</v>
      </c>
      <c r="G110" s="207">
        <v>13838</v>
      </c>
      <c r="H110" s="161">
        <v>52</v>
      </c>
      <c r="I110" s="207">
        <v>150</v>
      </c>
      <c r="J110" s="242">
        <f>I110*H110</f>
        <v>7800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102150</v>
      </c>
      <c r="K115" s="153"/>
      <c r="V115" s="25">
        <f>SUM(V92:V114)</f>
        <v>16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3176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44197</v>
      </c>
      <c r="D123" s="185" t="s">
        <v>9</v>
      </c>
      <c r="E123" s="185" t="s">
        <v>3179</v>
      </c>
      <c r="F123" s="219">
        <v>100</v>
      </c>
      <c r="G123" s="219">
        <v>95</v>
      </c>
      <c r="H123" s="185">
        <v>-5</v>
      </c>
      <c r="I123" s="219">
        <v>300</v>
      </c>
      <c r="J123" s="246">
        <f t="shared" ref="J123:J145" si="23">I123*H123</f>
        <v>-1500</v>
      </c>
      <c r="K123" s="153"/>
      <c r="V123" s="25">
        <f>IF($J123&gt;0,1,0)</f>
        <v>0</v>
      </c>
      <c r="W123" s="25">
        <f>IF($J123&lt;0,1,0)</f>
        <v>1</v>
      </c>
    </row>
    <row r="124" spans="1:23" x14ac:dyDescent="0.3">
      <c r="A124" s="147"/>
      <c r="B124" s="205">
        <f>B123+1</f>
        <v>2</v>
      </c>
      <c r="C124" s="218">
        <v>44200</v>
      </c>
      <c r="D124" s="185" t="s">
        <v>9</v>
      </c>
      <c r="E124" s="185" t="s">
        <v>3180</v>
      </c>
      <c r="F124" s="219">
        <v>115</v>
      </c>
      <c r="G124" s="219">
        <v>127</v>
      </c>
      <c r="H124" s="185">
        <v>12</v>
      </c>
      <c r="I124" s="219">
        <v>300</v>
      </c>
      <c r="J124" s="242">
        <f t="shared" si="23"/>
        <v>3600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44201</v>
      </c>
      <c r="D125" s="161" t="s">
        <v>9</v>
      </c>
      <c r="E125" s="161" t="s">
        <v>3179</v>
      </c>
      <c r="F125" s="207">
        <v>100</v>
      </c>
      <c r="G125" s="207">
        <v>150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44202</v>
      </c>
      <c r="D126" s="161" t="s">
        <v>9</v>
      </c>
      <c r="E126" s="161" t="s">
        <v>3181</v>
      </c>
      <c r="F126" s="207">
        <v>100</v>
      </c>
      <c r="G126" s="207">
        <v>75</v>
      </c>
      <c r="H126" s="161">
        <v>-25</v>
      </c>
      <c r="I126" s="207">
        <v>300</v>
      </c>
      <c r="J126" s="242">
        <f t="shared" si="23"/>
        <v>-7500</v>
      </c>
      <c r="K126" s="153"/>
      <c r="V126" s="25">
        <f t="shared" si="24"/>
        <v>0</v>
      </c>
      <c r="W126" s="25">
        <f t="shared" si="25"/>
        <v>1</v>
      </c>
    </row>
    <row r="127" spans="1:23" x14ac:dyDescent="0.3">
      <c r="A127" s="147"/>
      <c r="B127" s="205">
        <f t="shared" si="26"/>
        <v>5</v>
      </c>
      <c r="C127" s="206">
        <v>44203</v>
      </c>
      <c r="D127" s="161" t="s">
        <v>9</v>
      </c>
      <c r="E127" s="161" t="s">
        <v>3181</v>
      </c>
      <c r="F127" s="207">
        <v>60</v>
      </c>
      <c r="G127" s="207">
        <v>70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44204</v>
      </c>
      <c r="D128" s="161" t="s">
        <v>9</v>
      </c>
      <c r="E128" s="161" t="s">
        <v>1240</v>
      </c>
      <c r="F128" s="207">
        <v>110</v>
      </c>
      <c r="G128" s="222">
        <v>135</v>
      </c>
      <c r="H128" s="222">
        <v>25</v>
      </c>
      <c r="I128" s="207">
        <v>300</v>
      </c>
      <c r="J128" s="242">
        <f t="shared" si="23"/>
        <v>7500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44207</v>
      </c>
      <c r="D129" s="161" t="s">
        <v>9</v>
      </c>
      <c r="E129" s="161" t="s">
        <v>3189</v>
      </c>
      <c r="F129" s="207">
        <v>115</v>
      </c>
      <c r="G129" s="207">
        <v>127</v>
      </c>
      <c r="H129" s="161">
        <v>7</v>
      </c>
      <c r="I129" s="207">
        <v>300</v>
      </c>
      <c r="J129" s="242">
        <f t="shared" si="23"/>
        <v>2100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44208</v>
      </c>
      <c r="D130" s="161" t="s">
        <v>9</v>
      </c>
      <c r="E130" s="161" t="s">
        <v>3189</v>
      </c>
      <c r="F130" s="207">
        <v>125</v>
      </c>
      <c r="G130" s="207">
        <v>175</v>
      </c>
      <c r="H130" s="161">
        <v>50</v>
      </c>
      <c r="I130" s="207">
        <v>300</v>
      </c>
      <c r="J130" s="242">
        <f t="shared" si="23"/>
        <v>15000</v>
      </c>
      <c r="K130" s="153"/>
      <c r="V130" s="25">
        <f t="shared" si="24"/>
        <v>1</v>
      </c>
      <c r="W130" s="25">
        <f t="shared" si="25"/>
        <v>0</v>
      </c>
    </row>
    <row r="131" spans="1:23" x14ac:dyDescent="0.3">
      <c r="A131" s="147"/>
      <c r="B131" s="205">
        <f t="shared" si="26"/>
        <v>9</v>
      </c>
      <c r="C131" s="206">
        <v>44209</v>
      </c>
      <c r="D131" s="161" t="s">
        <v>9</v>
      </c>
      <c r="E131" s="161" t="s">
        <v>3190</v>
      </c>
      <c r="F131" s="207">
        <v>120</v>
      </c>
      <c r="G131" s="207">
        <v>95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44211</v>
      </c>
      <c r="D132" s="161" t="s">
        <v>9</v>
      </c>
      <c r="E132" s="161" t="s">
        <v>3191</v>
      </c>
      <c r="F132" s="207">
        <v>125</v>
      </c>
      <c r="G132" s="222">
        <v>135</v>
      </c>
      <c r="H132" s="222">
        <v>10</v>
      </c>
      <c r="I132" s="207">
        <v>300</v>
      </c>
      <c r="J132" s="242">
        <f t="shared" si="23"/>
        <v>3000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44214</v>
      </c>
      <c r="D133" s="161" t="s">
        <v>9</v>
      </c>
      <c r="E133" s="161" t="s">
        <v>3201</v>
      </c>
      <c r="F133" s="207">
        <v>130</v>
      </c>
      <c r="G133" s="222">
        <v>105</v>
      </c>
      <c r="H133" s="222">
        <v>25</v>
      </c>
      <c r="I133" s="207">
        <v>300</v>
      </c>
      <c r="J133" s="242">
        <f t="shared" si="23"/>
        <v>7500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44215</v>
      </c>
      <c r="D134" s="161" t="s">
        <v>9</v>
      </c>
      <c r="E134" s="161" t="s">
        <v>3189</v>
      </c>
      <c r="F134" s="207">
        <v>110</v>
      </c>
      <c r="G134" s="222">
        <v>160</v>
      </c>
      <c r="H134" s="222">
        <v>50</v>
      </c>
      <c r="I134" s="207">
        <v>300</v>
      </c>
      <c r="J134" s="242">
        <f t="shared" si="23"/>
        <v>15000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44216</v>
      </c>
      <c r="D135" s="161" t="s">
        <v>9</v>
      </c>
      <c r="E135" s="161" t="s">
        <v>3190</v>
      </c>
      <c r="F135" s="207">
        <v>135</v>
      </c>
      <c r="G135" s="222">
        <v>110</v>
      </c>
      <c r="H135" s="222">
        <v>-25</v>
      </c>
      <c r="I135" s="207">
        <v>300</v>
      </c>
      <c r="J135" s="242">
        <f t="shared" si="23"/>
        <v>-7500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44217</v>
      </c>
      <c r="D136" s="161" t="s">
        <v>9</v>
      </c>
      <c r="E136" s="161" t="s">
        <v>3202</v>
      </c>
      <c r="F136" s="207">
        <v>135</v>
      </c>
      <c r="G136" s="207">
        <v>150</v>
      </c>
      <c r="H136" s="161">
        <v>15</v>
      </c>
      <c r="I136" s="207">
        <v>300</v>
      </c>
      <c r="J136" s="242">
        <f>I136*H136</f>
        <v>4500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44218</v>
      </c>
      <c r="D137" s="161" t="s">
        <v>9</v>
      </c>
      <c r="E137" s="161" t="s">
        <v>3203</v>
      </c>
      <c r="F137" s="207">
        <v>120</v>
      </c>
      <c r="G137" s="207">
        <v>145</v>
      </c>
      <c r="H137" s="161">
        <v>25</v>
      </c>
      <c r="I137" s="207">
        <v>300</v>
      </c>
      <c r="J137" s="242">
        <f t="shared" si="23"/>
        <v>7500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44221</v>
      </c>
      <c r="D138" s="161" t="s">
        <v>9</v>
      </c>
      <c r="E138" s="161" t="s">
        <v>3189</v>
      </c>
      <c r="F138" s="207">
        <v>110</v>
      </c>
      <c r="G138" s="207">
        <v>120</v>
      </c>
      <c r="H138" s="161">
        <v>10</v>
      </c>
      <c r="I138" s="207">
        <v>300</v>
      </c>
      <c r="J138" s="242">
        <f t="shared" si="23"/>
        <v>3000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44223</v>
      </c>
      <c r="D139" s="161" t="s">
        <v>9</v>
      </c>
      <c r="E139" s="161" t="s">
        <v>1289</v>
      </c>
      <c r="F139" s="207">
        <v>120</v>
      </c>
      <c r="G139" s="207">
        <v>130</v>
      </c>
      <c r="H139" s="161">
        <v>10</v>
      </c>
      <c r="I139" s="207">
        <v>300</v>
      </c>
      <c r="J139" s="242">
        <f t="shared" si="23"/>
        <v>3000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44224</v>
      </c>
      <c r="D140" s="161" t="s">
        <v>9</v>
      </c>
      <c r="E140" s="161" t="s">
        <v>3205</v>
      </c>
      <c r="F140" s="207">
        <v>125</v>
      </c>
      <c r="G140" s="222">
        <v>175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44225</v>
      </c>
      <c r="D141" s="161" t="s">
        <v>9</v>
      </c>
      <c r="E141" s="161" t="s">
        <v>3209</v>
      </c>
      <c r="F141" s="207">
        <v>190</v>
      </c>
      <c r="G141" s="207">
        <v>233</v>
      </c>
      <c r="H141" s="161">
        <v>43</v>
      </c>
      <c r="I141" s="207">
        <v>300</v>
      </c>
      <c r="J141" s="242">
        <f t="shared" si="23"/>
        <v>12900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93600</v>
      </c>
      <c r="K146" s="153"/>
      <c r="V146" s="25">
        <f>SUM(V123:V145)</f>
        <v>15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3176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44197</v>
      </c>
      <c r="D154" s="185" t="s">
        <v>9</v>
      </c>
      <c r="E154" s="185" t="s">
        <v>301</v>
      </c>
      <c r="F154" s="219">
        <v>31350</v>
      </c>
      <c r="G154" s="231">
        <v>31320</v>
      </c>
      <c r="H154" s="185">
        <v>-30</v>
      </c>
      <c r="I154" s="219">
        <v>50</v>
      </c>
      <c r="J154" s="246">
        <f t="shared" ref="J154:J176" si="27">I154*H154</f>
        <v>-1500</v>
      </c>
      <c r="K154" s="153"/>
      <c r="V154" s="25">
        <f>IF($J154&gt;0,1,0)</f>
        <v>0</v>
      </c>
      <c r="W154" s="25">
        <f>IF($J154&lt;0,1,0)</f>
        <v>1</v>
      </c>
    </row>
    <row r="155" spans="1:23" x14ac:dyDescent="0.3">
      <c r="A155" s="147"/>
      <c r="B155" s="205">
        <f>B154+1</f>
        <v>2</v>
      </c>
      <c r="C155" s="218">
        <v>44200</v>
      </c>
      <c r="D155" s="185" t="s">
        <v>9</v>
      </c>
      <c r="E155" s="185" t="s">
        <v>301</v>
      </c>
      <c r="F155" s="219">
        <v>31550</v>
      </c>
      <c r="G155" s="219">
        <v>31400</v>
      </c>
      <c r="H155" s="185">
        <v>-150</v>
      </c>
      <c r="I155" s="219">
        <v>50</v>
      </c>
      <c r="J155" s="242">
        <f t="shared" si="27"/>
        <v>-7500</v>
      </c>
      <c r="K155" s="153"/>
      <c r="V155" s="25">
        <f t="shared" ref="V155:V176" si="28">IF($J155&gt;0,1,0)</f>
        <v>0</v>
      </c>
      <c r="W155" s="25">
        <f t="shared" ref="W155:W176" si="29">IF($J155&lt;0,1,0)</f>
        <v>1</v>
      </c>
    </row>
    <row r="156" spans="1:23" x14ac:dyDescent="0.3">
      <c r="A156" s="147"/>
      <c r="B156" s="205">
        <f t="shared" ref="B156:B176" si="30">B155+1</f>
        <v>3</v>
      </c>
      <c r="C156" s="206">
        <v>44201</v>
      </c>
      <c r="D156" s="161" t="s">
        <v>9</v>
      </c>
      <c r="E156" s="161" t="s">
        <v>301</v>
      </c>
      <c r="F156" s="207">
        <v>31180</v>
      </c>
      <c r="G156" s="207">
        <v>31480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44202</v>
      </c>
      <c r="D157" s="161" t="s">
        <v>9</v>
      </c>
      <c r="E157" s="161" t="s">
        <v>301</v>
      </c>
      <c r="F157" s="207">
        <v>31950</v>
      </c>
      <c r="G157" s="207">
        <v>32060</v>
      </c>
      <c r="H157" s="161">
        <v>110</v>
      </c>
      <c r="I157" s="207">
        <v>50</v>
      </c>
      <c r="J157" s="242">
        <f t="shared" si="27"/>
        <v>5500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44203</v>
      </c>
      <c r="D158" s="161" t="s">
        <v>9</v>
      </c>
      <c r="E158" s="161" t="s">
        <v>301</v>
      </c>
      <c r="F158" s="207">
        <v>32100</v>
      </c>
      <c r="G158" s="207">
        <v>32250</v>
      </c>
      <c r="H158" s="161">
        <v>150</v>
      </c>
      <c r="I158" s="207">
        <v>50</v>
      </c>
      <c r="J158" s="242">
        <f t="shared" si="27"/>
        <v>7500</v>
      </c>
      <c r="K158" s="153"/>
      <c r="V158" s="25">
        <f t="shared" si="28"/>
        <v>1</v>
      </c>
      <c r="W158" s="25">
        <f t="shared" si="29"/>
        <v>0</v>
      </c>
    </row>
    <row r="159" spans="1:23" x14ac:dyDescent="0.3">
      <c r="A159" s="147"/>
      <c r="B159" s="205">
        <f t="shared" si="30"/>
        <v>6</v>
      </c>
      <c r="C159" s="206">
        <v>44204</v>
      </c>
      <c r="D159" s="161" t="s">
        <v>9</v>
      </c>
      <c r="E159" s="161" t="s">
        <v>301</v>
      </c>
      <c r="F159" s="207">
        <v>32250</v>
      </c>
      <c r="G159" s="207">
        <v>32300</v>
      </c>
      <c r="H159" s="161">
        <v>50</v>
      </c>
      <c r="I159" s="207">
        <v>50</v>
      </c>
      <c r="J159" s="242">
        <f t="shared" si="27"/>
        <v>2500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44207</v>
      </c>
      <c r="D160" s="161" t="s">
        <v>9</v>
      </c>
      <c r="E160" s="161" t="s">
        <v>301</v>
      </c>
      <c r="F160" s="207">
        <v>32000</v>
      </c>
      <c r="G160" s="207">
        <v>32150</v>
      </c>
      <c r="H160" s="161">
        <v>150</v>
      </c>
      <c r="I160" s="207">
        <v>50</v>
      </c>
      <c r="J160" s="242">
        <f t="shared" si="27"/>
        <v>7500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44208</v>
      </c>
      <c r="D161" s="161" t="s">
        <v>9</v>
      </c>
      <c r="E161" s="161" t="s">
        <v>301</v>
      </c>
      <c r="F161" s="207">
        <v>31950</v>
      </c>
      <c r="G161" s="207">
        <v>32250</v>
      </c>
      <c r="H161" s="161">
        <v>300</v>
      </c>
      <c r="I161" s="207">
        <v>50</v>
      </c>
      <c r="J161" s="242">
        <f t="shared" si="27"/>
        <v>15000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44209</v>
      </c>
      <c r="D162" s="161" t="s">
        <v>9</v>
      </c>
      <c r="E162" s="161" t="s">
        <v>301</v>
      </c>
      <c r="F162" s="207">
        <v>32650</v>
      </c>
      <c r="G162" s="207">
        <v>32500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44211</v>
      </c>
      <c r="D163" s="161" t="s">
        <v>9</v>
      </c>
      <c r="E163" s="161" t="s">
        <v>301</v>
      </c>
      <c r="F163" s="207">
        <v>32400</v>
      </c>
      <c r="G163" s="207">
        <v>32250</v>
      </c>
      <c r="H163" s="161">
        <v>-150</v>
      </c>
      <c r="I163" s="207">
        <v>50</v>
      </c>
      <c r="J163" s="242">
        <f t="shared" si="27"/>
        <v>-7500</v>
      </c>
      <c r="K163" s="153"/>
      <c r="V163" s="25">
        <f t="shared" si="28"/>
        <v>0</v>
      </c>
      <c r="W163" s="25">
        <f t="shared" si="29"/>
        <v>1</v>
      </c>
    </row>
    <row r="164" spans="1:23" x14ac:dyDescent="0.3">
      <c r="A164" s="147"/>
      <c r="B164" s="205">
        <f t="shared" si="30"/>
        <v>11</v>
      </c>
      <c r="C164" s="206">
        <v>44214</v>
      </c>
      <c r="D164" s="161" t="s">
        <v>9</v>
      </c>
      <c r="E164" s="161" t="s">
        <v>301</v>
      </c>
      <c r="F164" s="207">
        <v>32400</v>
      </c>
      <c r="G164" s="207">
        <v>32250</v>
      </c>
      <c r="H164" s="161">
        <v>-150</v>
      </c>
      <c r="I164" s="207">
        <v>50</v>
      </c>
      <c r="J164" s="242">
        <f t="shared" si="27"/>
        <v>-7500</v>
      </c>
      <c r="K164" s="153"/>
      <c r="V164" s="25">
        <f t="shared" si="28"/>
        <v>0</v>
      </c>
      <c r="W164" s="25">
        <f t="shared" si="29"/>
        <v>1</v>
      </c>
    </row>
    <row r="165" spans="1:23" x14ac:dyDescent="0.3">
      <c r="A165" s="147"/>
      <c r="B165" s="205">
        <f t="shared" si="30"/>
        <v>12</v>
      </c>
      <c r="C165" s="206">
        <v>44215</v>
      </c>
      <c r="D165" s="161" t="s">
        <v>9</v>
      </c>
      <c r="E165" s="161" t="s">
        <v>301</v>
      </c>
      <c r="F165" s="207">
        <v>32050</v>
      </c>
      <c r="G165" s="207">
        <v>32350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44216</v>
      </c>
      <c r="D166" s="161" t="s">
        <v>9</v>
      </c>
      <c r="E166" s="161" t="s">
        <v>301</v>
      </c>
      <c r="F166" s="207">
        <v>32450</v>
      </c>
      <c r="G166" s="207">
        <v>32645</v>
      </c>
      <c r="H166" s="161">
        <v>195</v>
      </c>
      <c r="I166" s="207">
        <v>50</v>
      </c>
      <c r="J166" s="242">
        <f t="shared" si="27"/>
        <v>9750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44217</v>
      </c>
      <c r="D167" s="161" t="s">
        <v>9</v>
      </c>
      <c r="E167" s="161" t="s">
        <v>301</v>
      </c>
      <c r="F167" s="207">
        <v>32750</v>
      </c>
      <c r="G167" s="207">
        <v>32860</v>
      </c>
      <c r="H167" s="161">
        <v>110</v>
      </c>
      <c r="I167" s="207">
        <v>50</v>
      </c>
      <c r="J167" s="242">
        <f t="shared" si="27"/>
        <v>5500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44218</v>
      </c>
      <c r="D168" s="161" t="s">
        <v>9</v>
      </c>
      <c r="E168" s="161" t="s">
        <v>301</v>
      </c>
      <c r="F168" s="207">
        <v>31800</v>
      </c>
      <c r="G168" s="207">
        <v>31590</v>
      </c>
      <c r="H168" s="161">
        <v>210</v>
      </c>
      <c r="I168" s="207">
        <v>50</v>
      </c>
      <c r="J168" s="242">
        <f t="shared" si="27"/>
        <v>10500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44221</v>
      </c>
      <c r="D169" s="161" t="s">
        <v>9</v>
      </c>
      <c r="E169" s="161" t="s">
        <v>301</v>
      </c>
      <c r="F169" s="207">
        <v>31450</v>
      </c>
      <c r="G169" s="207">
        <v>31700</v>
      </c>
      <c r="H169" s="161">
        <v>250</v>
      </c>
      <c r="I169" s="207">
        <v>50</v>
      </c>
      <c r="J169" s="242">
        <f t="shared" si="27"/>
        <v>12500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44223</v>
      </c>
      <c r="D170" s="161" t="s">
        <v>8</v>
      </c>
      <c r="E170" s="161" t="s">
        <v>301</v>
      </c>
      <c r="F170" s="207">
        <v>30900</v>
      </c>
      <c r="G170" s="207">
        <v>31050</v>
      </c>
      <c r="H170" s="161">
        <v>-150</v>
      </c>
      <c r="I170" s="207">
        <v>50</v>
      </c>
      <c r="J170" s="242">
        <f t="shared" si="27"/>
        <v>-7500</v>
      </c>
      <c r="K170" s="153"/>
      <c r="V170" s="25">
        <f t="shared" si="28"/>
        <v>0</v>
      </c>
      <c r="W170" s="25">
        <f t="shared" si="29"/>
        <v>1</v>
      </c>
    </row>
    <row r="171" spans="1:23" x14ac:dyDescent="0.3">
      <c r="A171" s="147"/>
      <c r="B171" s="205">
        <f t="shared" si="30"/>
        <v>18</v>
      </c>
      <c r="C171" s="206">
        <v>44224</v>
      </c>
      <c r="D171" s="161" t="s">
        <v>9</v>
      </c>
      <c r="E171" s="161" t="s">
        <v>301</v>
      </c>
      <c r="F171" s="207">
        <v>30050</v>
      </c>
      <c r="G171" s="207">
        <v>30120</v>
      </c>
      <c r="H171" s="161">
        <v>70</v>
      </c>
      <c r="I171" s="207">
        <v>50</v>
      </c>
      <c r="J171" s="242">
        <f t="shared" si="27"/>
        <v>3500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44225</v>
      </c>
      <c r="D172" s="161" t="s">
        <v>8</v>
      </c>
      <c r="E172" s="161" t="s">
        <v>301</v>
      </c>
      <c r="F172" s="207">
        <v>30450</v>
      </c>
      <c r="G172" s="207">
        <v>30300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78250</v>
      </c>
      <c r="K177" s="153"/>
      <c r="V177" s="25">
        <f>SUM(V154:V176)</f>
        <v>13</v>
      </c>
      <c r="W177" s="25">
        <f>SUM(W154:W176)</f>
        <v>6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3176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44197</v>
      </c>
      <c r="D185" s="185" t="s">
        <v>9</v>
      </c>
      <c r="E185" s="185" t="s">
        <v>2723</v>
      </c>
      <c r="F185" s="219">
        <v>340</v>
      </c>
      <c r="G185" s="219">
        <v>300</v>
      </c>
      <c r="H185" s="185">
        <v>-40</v>
      </c>
      <c r="I185" s="219">
        <v>100</v>
      </c>
      <c r="J185" s="246">
        <f t="shared" ref="J185:J207" si="31">I185*H185</f>
        <v>-4000</v>
      </c>
      <c r="K185" s="153"/>
      <c r="V185" s="25">
        <f>IF($J185&gt;0,1,0)</f>
        <v>0</v>
      </c>
      <c r="W185" s="25">
        <f>IF($J185&lt;0,1,0)</f>
        <v>1</v>
      </c>
    </row>
    <row r="186" spans="1:23" x14ac:dyDescent="0.3">
      <c r="A186" s="147"/>
      <c r="B186" s="205">
        <f>B185+1</f>
        <v>2</v>
      </c>
      <c r="C186" s="218">
        <v>44200</v>
      </c>
      <c r="D186" s="185" t="s">
        <v>9</v>
      </c>
      <c r="E186" s="185" t="s">
        <v>2740</v>
      </c>
      <c r="F186" s="219">
        <v>320</v>
      </c>
      <c r="G186" s="219">
        <v>220</v>
      </c>
      <c r="H186" s="185">
        <v>-100</v>
      </c>
      <c r="I186" s="219">
        <v>100</v>
      </c>
      <c r="J186" s="242">
        <f t="shared" si="31"/>
        <v>-10000</v>
      </c>
      <c r="K186" s="153"/>
      <c r="V186" s="25">
        <f t="shared" ref="V186:V207" si="32">IF($J186&gt;0,1,0)</f>
        <v>0</v>
      </c>
      <c r="W186" s="25">
        <f t="shared" ref="W186:W207" si="33">IF($J186&lt;0,1,0)</f>
        <v>1</v>
      </c>
    </row>
    <row r="187" spans="1:23" x14ac:dyDescent="0.3">
      <c r="A187" s="147"/>
      <c r="B187" s="205">
        <f t="shared" ref="B187:B207" si="34">B186+1</f>
        <v>3</v>
      </c>
      <c r="C187" s="206">
        <v>44201</v>
      </c>
      <c r="D187" s="161" t="s">
        <v>9</v>
      </c>
      <c r="E187" s="161" t="s">
        <v>2858</v>
      </c>
      <c r="F187" s="207">
        <v>230</v>
      </c>
      <c r="G187" s="207">
        <v>430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44202</v>
      </c>
      <c r="D188" s="161" t="s">
        <v>9</v>
      </c>
      <c r="E188" s="161" t="s">
        <v>3182</v>
      </c>
      <c r="F188" s="207">
        <v>200</v>
      </c>
      <c r="G188" s="207">
        <v>274</v>
      </c>
      <c r="H188" s="161">
        <v>74</v>
      </c>
      <c r="I188" s="207">
        <v>100</v>
      </c>
      <c r="J188" s="242">
        <f t="shared" si="31"/>
        <v>7400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44203</v>
      </c>
      <c r="D189" s="161" t="s">
        <v>9</v>
      </c>
      <c r="E189" s="161" t="s">
        <v>2870</v>
      </c>
      <c r="F189" s="207">
        <v>120</v>
      </c>
      <c r="G189" s="207">
        <v>195</v>
      </c>
      <c r="H189" s="161">
        <v>75</v>
      </c>
      <c r="I189" s="207">
        <v>100</v>
      </c>
      <c r="J189" s="242">
        <f t="shared" si="31"/>
        <v>7500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44204</v>
      </c>
      <c r="D190" s="161" t="s">
        <v>9</v>
      </c>
      <c r="E190" s="161" t="s">
        <v>2894</v>
      </c>
      <c r="F190" s="207">
        <v>330</v>
      </c>
      <c r="G190" s="207">
        <v>280</v>
      </c>
      <c r="H190" s="161">
        <v>-50</v>
      </c>
      <c r="I190" s="207">
        <v>100</v>
      </c>
      <c r="J190" s="242">
        <f t="shared" si="31"/>
        <v>-5000</v>
      </c>
      <c r="K190" s="153"/>
      <c r="V190" s="25">
        <f t="shared" si="32"/>
        <v>0</v>
      </c>
      <c r="W190" s="25">
        <f t="shared" si="33"/>
        <v>1</v>
      </c>
    </row>
    <row r="191" spans="1:23" x14ac:dyDescent="0.3">
      <c r="A191" s="147"/>
      <c r="B191" s="205">
        <f t="shared" si="34"/>
        <v>7</v>
      </c>
      <c r="C191" s="206">
        <v>44207</v>
      </c>
      <c r="D191" s="161" t="s">
        <v>9</v>
      </c>
      <c r="E191" s="161" t="s">
        <v>2870</v>
      </c>
      <c r="F191" s="207">
        <v>330</v>
      </c>
      <c r="G191" s="207">
        <v>395</v>
      </c>
      <c r="H191" s="161">
        <v>65</v>
      </c>
      <c r="I191" s="207">
        <v>100</v>
      </c>
      <c r="J191" s="242">
        <f t="shared" si="31"/>
        <v>6500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44208</v>
      </c>
      <c r="D192" s="161" t="s">
        <v>9</v>
      </c>
      <c r="E192" s="161" t="s">
        <v>2870</v>
      </c>
      <c r="F192" s="207">
        <v>260</v>
      </c>
      <c r="G192" s="207">
        <v>460</v>
      </c>
      <c r="H192" s="161">
        <v>200</v>
      </c>
      <c r="I192" s="207">
        <v>100</v>
      </c>
      <c r="J192" s="242">
        <f t="shared" si="31"/>
        <v>20000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44209</v>
      </c>
      <c r="D193" s="161" t="s">
        <v>9</v>
      </c>
      <c r="E193" s="161" t="s">
        <v>3192</v>
      </c>
      <c r="F193" s="207">
        <v>200</v>
      </c>
      <c r="G193" s="207">
        <v>100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44211</v>
      </c>
      <c r="D194" s="161" t="s">
        <v>9</v>
      </c>
      <c r="E194" s="161" t="s">
        <v>2901</v>
      </c>
      <c r="F194" s="207">
        <v>360</v>
      </c>
      <c r="G194" s="207">
        <v>430</v>
      </c>
      <c r="H194" s="161">
        <v>70</v>
      </c>
      <c r="I194" s="207">
        <v>100</v>
      </c>
      <c r="J194" s="242">
        <f t="shared" si="31"/>
        <v>7000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44214</v>
      </c>
      <c r="D195" s="161" t="s">
        <v>9</v>
      </c>
      <c r="E195" s="161" t="s">
        <v>3193</v>
      </c>
      <c r="F195" s="207">
        <v>370</v>
      </c>
      <c r="G195" s="207">
        <v>505</v>
      </c>
      <c r="H195" s="161">
        <v>135</v>
      </c>
      <c r="I195" s="207">
        <v>100</v>
      </c>
      <c r="J195" s="242">
        <f t="shared" si="31"/>
        <v>13500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44215</v>
      </c>
      <c r="D196" s="161" t="s">
        <v>9</v>
      </c>
      <c r="E196" s="161" t="s">
        <v>2890</v>
      </c>
      <c r="F196" s="207">
        <v>300</v>
      </c>
      <c r="G196" s="207">
        <v>500</v>
      </c>
      <c r="H196" s="161">
        <v>200</v>
      </c>
      <c r="I196" s="207">
        <v>100</v>
      </c>
      <c r="J196" s="242">
        <f t="shared" si="31"/>
        <v>20000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44216</v>
      </c>
      <c r="D197" s="161" t="s">
        <v>9</v>
      </c>
      <c r="E197" s="161" t="s">
        <v>2901</v>
      </c>
      <c r="F197" s="207">
        <v>240</v>
      </c>
      <c r="G197" s="207">
        <v>302</v>
      </c>
      <c r="H197" s="161">
        <v>62</v>
      </c>
      <c r="I197" s="207">
        <v>100</v>
      </c>
      <c r="J197" s="242">
        <f t="shared" si="31"/>
        <v>6200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44217</v>
      </c>
      <c r="D198" s="161" t="s">
        <v>9</v>
      </c>
      <c r="E198" s="161" t="s">
        <v>2903</v>
      </c>
      <c r="F198" s="207">
        <v>150</v>
      </c>
      <c r="G198" s="207">
        <v>240</v>
      </c>
      <c r="H198" s="161">
        <v>90</v>
      </c>
      <c r="I198" s="207">
        <v>100</v>
      </c>
      <c r="J198" s="242">
        <f t="shared" si="31"/>
        <v>9000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44218</v>
      </c>
      <c r="D199" s="161" t="s">
        <v>9</v>
      </c>
      <c r="E199" s="161" t="s">
        <v>2726</v>
      </c>
      <c r="F199" s="207">
        <v>390</v>
      </c>
      <c r="G199" s="207">
        <v>490</v>
      </c>
      <c r="H199" s="161">
        <v>100</v>
      </c>
      <c r="I199" s="207">
        <v>100</v>
      </c>
      <c r="J199" s="242">
        <f t="shared" si="31"/>
        <v>10000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44221</v>
      </c>
      <c r="D200" s="161" t="s">
        <v>9</v>
      </c>
      <c r="E200" s="161" t="s">
        <v>3206</v>
      </c>
      <c r="F200" s="207">
        <v>330</v>
      </c>
      <c r="G200" s="207">
        <v>230</v>
      </c>
      <c r="H200" s="161">
        <v>-100</v>
      </c>
      <c r="I200" s="207">
        <v>100</v>
      </c>
      <c r="J200" s="242">
        <f t="shared" si="31"/>
        <v>-10000</v>
      </c>
      <c r="K200" s="153"/>
      <c r="V200" s="25">
        <f t="shared" si="32"/>
        <v>0</v>
      </c>
      <c r="W200" s="25">
        <f t="shared" si="33"/>
        <v>1</v>
      </c>
    </row>
    <row r="201" spans="1:23" x14ac:dyDescent="0.3">
      <c r="A201" s="147"/>
      <c r="B201" s="205">
        <f t="shared" si="34"/>
        <v>17</v>
      </c>
      <c r="C201" s="206">
        <v>44223</v>
      </c>
      <c r="D201" s="161" t="s">
        <v>9</v>
      </c>
      <c r="E201" s="161" t="s">
        <v>2768</v>
      </c>
      <c r="F201" s="207">
        <v>270</v>
      </c>
      <c r="G201" s="207">
        <v>170</v>
      </c>
      <c r="H201" s="161">
        <v>-100</v>
      </c>
      <c r="I201" s="207">
        <v>100</v>
      </c>
      <c r="J201" s="242">
        <f t="shared" si="31"/>
        <v>-10000</v>
      </c>
      <c r="K201" s="153"/>
      <c r="V201" s="25">
        <f t="shared" si="32"/>
        <v>0</v>
      </c>
      <c r="W201" s="25">
        <f t="shared" si="33"/>
        <v>1</v>
      </c>
    </row>
    <row r="202" spans="1:23" x14ac:dyDescent="0.3">
      <c r="A202" s="147"/>
      <c r="B202" s="205">
        <f t="shared" si="34"/>
        <v>18</v>
      </c>
      <c r="C202" s="206">
        <v>44224</v>
      </c>
      <c r="D202" s="161" t="s">
        <v>9</v>
      </c>
      <c r="E202" s="161" t="s">
        <v>2685</v>
      </c>
      <c r="F202" s="207">
        <v>170</v>
      </c>
      <c r="G202" s="207">
        <v>263</v>
      </c>
      <c r="H202" s="161">
        <v>93</v>
      </c>
      <c r="I202" s="207">
        <v>100</v>
      </c>
      <c r="J202" s="242">
        <f t="shared" si="31"/>
        <v>9300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44225</v>
      </c>
      <c r="D203" s="161" t="s">
        <v>9</v>
      </c>
      <c r="E203" s="161" t="s">
        <v>2849</v>
      </c>
      <c r="F203" s="207">
        <v>600</v>
      </c>
      <c r="G203" s="207">
        <v>630</v>
      </c>
      <c r="H203" s="161">
        <v>30</v>
      </c>
      <c r="I203" s="207">
        <v>100</v>
      </c>
      <c r="J203" s="242">
        <f t="shared" si="31"/>
        <v>3000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90400</v>
      </c>
      <c r="K208" s="153"/>
      <c r="V208" s="25">
        <f>SUM(V185:V207)</f>
        <v>13</v>
      </c>
      <c r="W208" s="25">
        <f>SUM(W185:W207)</f>
        <v>6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3176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44197</v>
      </c>
      <c r="D216" s="185" t="s">
        <v>9</v>
      </c>
      <c r="E216" s="185" t="s">
        <v>1794</v>
      </c>
      <c r="F216" s="231">
        <v>28.5</v>
      </c>
      <c r="G216" s="231">
        <v>29.5</v>
      </c>
      <c r="H216" s="231">
        <v>1</v>
      </c>
      <c r="I216" s="219">
        <v>1200</v>
      </c>
      <c r="J216" s="246">
        <f t="shared" ref="J216:J239" si="35">I216*H216</f>
        <v>1200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44200</v>
      </c>
      <c r="D217" s="185" t="s">
        <v>9</v>
      </c>
      <c r="E217" s="185" t="s">
        <v>3183</v>
      </c>
      <c r="F217" s="231">
        <v>190</v>
      </c>
      <c r="G217" s="231">
        <v>210</v>
      </c>
      <c r="H217" s="231">
        <v>20</v>
      </c>
      <c r="I217" s="219">
        <v>250</v>
      </c>
      <c r="J217" s="242">
        <f>I217*H217</f>
        <v>5000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44201</v>
      </c>
      <c r="D218" s="161" t="s">
        <v>9</v>
      </c>
      <c r="E218" s="161" t="s">
        <v>3184</v>
      </c>
      <c r="F218" s="222">
        <v>190</v>
      </c>
      <c r="G218" s="222">
        <v>219</v>
      </c>
      <c r="H218" s="222">
        <v>29</v>
      </c>
      <c r="I218" s="207">
        <v>250</v>
      </c>
      <c r="J218" s="242">
        <f t="shared" si="35"/>
        <v>7250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44202</v>
      </c>
      <c r="D219" s="161" t="s">
        <v>9</v>
      </c>
      <c r="E219" s="161" t="s">
        <v>3124</v>
      </c>
      <c r="F219" s="222">
        <v>68</v>
      </c>
      <c r="G219" s="222">
        <v>83</v>
      </c>
      <c r="H219" s="222">
        <v>15</v>
      </c>
      <c r="I219" s="207">
        <v>250</v>
      </c>
      <c r="J219" s="242">
        <f t="shared" si="35"/>
        <v>3750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44203</v>
      </c>
      <c r="D220" s="161" t="s">
        <v>9</v>
      </c>
      <c r="E220" s="161" t="s">
        <v>3185</v>
      </c>
      <c r="F220" s="222">
        <v>195</v>
      </c>
      <c r="G220" s="222">
        <v>165</v>
      </c>
      <c r="H220" s="222">
        <v>-30</v>
      </c>
      <c r="I220" s="207">
        <v>250</v>
      </c>
      <c r="J220" s="242">
        <f t="shared" si="35"/>
        <v>-7500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44204</v>
      </c>
      <c r="D221" s="161" t="s">
        <v>9</v>
      </c>
      <c r="E221" s="161" t="s">
        <v>3186</v>
      </c>
      <c r="F221" s="222">
        <v>22</v>
      </c>
      <c r="G221" s="222">
        <v>26</v>
      </c>
      <c r="H221" s="222">
        <v>4</v>
      </c>
      <c r="I221" s="207">
        <v>1250</v>
      </c>
      <c r="J221" s="242">
        <f t="shared" si="35"/>
        <v>5000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44207</v>
      </c>
      <c r="D222" s="161" t="s">
        <v>9</v>
      </c>
      <c r="E222" s="161" t="s">
        <v>3194</v>
      </c>
      <c r="F222" s="222">
        <v>24</v>
      </c>
      <c r="G222" s="222">
        <v>26.4</v>
      </c>
      <c r="H222" s="222">
        <v>2.4</v>
      </c>
      <c r="I222" s="207">
        <v>1700</v>
      </c>
      <c r="J222" s="242">
        <f t="shared" si="35"/>
        <v>4080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44208</v>
      </c>
      <c r="D223" s="161" t="s">
        <v>9</v>
      </c>
      <c r="E223" s="161" t="s">
        <v>3195</v>
      </c>
      <c r="F223" s="222">
        <v>35</v>
      </c>
      <c r="G223" s="222">
        <v>30</v>
      </c>
      <c r="H223" s="222">
        <v>-5</v>
      </c>
      <c r="I223" s="207">
        <v>950</v>
      </c>
      <c r="J223" s="242">
        <f t="shared" si="35"/>
        <v>-4750</v>
      </c>
      <c r="K223" s="153"/>
      <c r="V223" s="25">
        <f t="shared" si="37"/>
        <v>0</v>
      </c>
      <c r="W223" s="25">
        <f t="shared" si="38"/>
        <v>1</v>
      </c>
    </row>
    <row r="224" spans="1:23" x14ac:dyDescent="0.3">
      <c r="A224" s="147"/>
      <c r="B224" s="205">
        <f t="shared" si="36"/>
        <v>9</v>
      </c>
      <c r="C224" s="206">
        <v>44209</v>
      </c>
      <c r="D224" s="161" t="s">
        <v>9</v>
      </c>
      <c r="E224" s="161" t="s">
        <v>3196</v>
      </c>
      <c r="F224" s="222">
        <v>7.5</v>
      </c>
      <c r="G224" s="222">
        <v>9.5</v>
      </c>
      <c r="H224" s="255">
        <v>2</v>
      </c>
      <c r="I224" s="207">
        <v>6200</v>
      </c>
      <c r="J224" s="242">
        <f t="shared" si="35"/>
        <v>12400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44211</v>
      </c>
      <c r="D225" s="161" t="s">
        <v>9</v>
      </c>
      <c r="E225" s="161" t="s">
        <v>3197</v>
      </c>
      <c r="F225" s="222">
        <v>41</v>
      </c>
      <c r="G225" s="222">
        <v>45.5</v>
      </c>
      <c r="H225" s="255">
        <v>4.5</v>
      </c>
      <c r="I225" s="207">
        <v>550</v>
      </c>
      <c r="J225" s="242">
        <f t="shared" si="35"/>
        <v>2475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44214</v>
      </c>
      <c r="D226" s="161" t="s">
        <v>9</v>
      </c>
      <c r="E226" s="161" t="s">
        <v>3198</v>
      </c>
      <c r="F226" s="222">
        <v>160</v>
      </c>
      <c r="G226" s="222">
        <v>189</v>
      </c>
      <c r="H226" s="255">
        <v>29</v>
      </c>
      <c r="I226" s="207">
        <v>250</v>
      </c>
      <c r="J226" s="242">
        <f t="shared" si="35"/>
        <v>7250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44215</v>
      </c>
      <c r="D227" s="161" t="s">
        <v>9</v>
      </c>
      <c r="E227" s="161" t="s">
        <v>3199</v>
      </c>
      <c r="F227" s="222">
        <v>18.5</v>
      </c>
      <c r="G227" s="222">
        <v>20</v>
      </c>
      <c r="H227" s="255">
        <v>1.5</v>
      </c>
      <c r="I227" s="207">
        <v>1200</v>
      </c>
      <c r="J227" s="242">
        <f t="shared" si="35"/>
        <v>1800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44216</v>
      </c>
      <c r="D228" s="161" t="s">
        <v>9</v>
      </c>
      <c r="E228" s="161" t="s">
        <v>3200</v>
      </c>
      <c r="F228" s="222">
        <v>16</v>
      </c>
      <c r="G228" s="222">
        <v>18</v>
      </c>
      <c r="H228" s="255">
        <v>2</v>
      </c>
      <c r="I228" s="207">
        <v>1200</v>
      </c>
      <c r="J228" s="242">
        <f t="shared" si="35"/>
        <v>2400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44217</v>
      </c>
      <c r="D229" s="161" t="s">
        <v>9</v>
      </c>
      <c r="E229" s="161" t="s">
        <v>2832</v>
      </c>
      <c r="F229" s="222">
        <v>16</v>
      </c>
      <c r="G229" s="222">
        <v>18.25</v>
      </c>
      <c r="H229" s="255">
        <v>2.25</v>
      </c>
      <c r="I229" s="207">
        <v>1200</v>
      </c>
      <c r="J229" s="242">
        <f>I229*H229</f>
        <v>2700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44218</v>
      </c>
      <c r="D230" s="161" t="s">
        <v>9</v>
      </c>
      <c r="E230" s="161" t="s">
        <v>3204</v>
      </c>
      <c r="F230" s="222">
        <v>45</v>
      </c>
      <c r="G230" s="222">
        <v>65</v>
      </c>
      <c r="H230" s="255">
        <v>20</v>
      </c>
      <c r="I230" s="207">
        <v>250</v>
      </c>
      <c r="J230" s="242">
        <f t="shared" si="35"/>
        <v>5000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44221</v>
      </c>
      <c r="D231" s="161" t="s">
        <v>9</v>
      </c>
      <c r="E231" s="161" t="s">
        <v>3207</v>
      </c>
      <c r="F231" s="222">
        <v>15</v>
      </c>
      <c r="G231" s="222">
        <v>17</v>
      </c>
      <c r="H231" s="222">
        <v>2</v>
      </c>
      <c r="I231" s="207">
        <v>1200</v>
      </c>
      <c r="J231" s="242">
        <f t="shared" si="35"/>
        <v>2400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44223</v>
      </c>
      <c r="D232" s="161" t="s">
        <v>9</v>
      </c>
      <c r="E232" s="161" t="s">
        <v>3208</v>
      </c>
      <c r="F232" s="222">
        <v>5.5</v>
      </c>
      <c r="G232" s="222">
        <v>6.3</v>
      </c>
      <c r="H232" s="222">
        <v>0.8</v>
      </c>
      <c r="I232" s="207">
        <v>3000</v>
      </c>
      <c r="J232" s="242">
        <f t="shared" si="35"/>
        <v>2400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44224</v>
      </c>
      <c r="D233" s="161" t="s">
        <v>9</v>
      </c>
      <c r="E233" s="161" t="s">
        <v>1912</v>
      </c>
      <c r="F233" s="222">
        <v>8</v>
      </c>
      <c r="G233" s="222">
        <v>4</v>
      </c>
      <c r="H233" s="222">
        <v>-4</v>
      </c>
      <c r="I233" s="207">
        <v>550</v>
      </c>
      <c r="J233" s="242">
        <f t="shared" si="35"/>
        <v>-2200</v>
      </c>
      <c r="K233" s="153"/>
      <c r="V233" s="25">
        <f t="shared" si="37"/>
        <v>0</v>
      </c>
      <c r="W233" s="25">
        <f t="shared" si="38"/>
        <v>1</v>
      </c>
    </row>
    <row r="234" spans="1:23" x14ac:dyDescent="0.3">
      <c r="A234" s="147"/>
      <c r="B234" s="205">
        <f t="shared" si="36"/>
        <v>19</v>
      </c>
      <c r="C234" s="206">
        <v>44225</v>
      </c>
      <c r="D234" s="161" t="s">
        <v>9</v>
      </c>
      <c r="E234" s="161" t="s">
        <v>2796</v>
      </c>
      <c r="F234" s="222">
        <v>54</v>
      </c>
      <c r="G234" s="222">
        <v>59.9</v>
      </c>
      <c r="H234" s="222">
        <v>5.9</v>
      </c>
      <c r="I234" s="207">
        <v>550</v>
      </c>
      <c r="J234" s="242">
        <f t="shared" si="35"/>
        <v>3245</v>
      </c>
      <c r="K234" s="153"/>
      <c r="V234" s="25">
        <f t="shared" si="37"/>
        <v>1</v>
      </c>
      <c r="W234" s="25">
        <f t="shared" si="38"/>
        <v>0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53900</v>
      </c>
      <c r="K240" s="153"/>
      <c r="V240" s="25">
        <f>SUM(V216:V239)</f>
        <v>16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D00-000000000000}"/>
    <hyperlink ref="B84" r:id="rId2" xr:uid="{00000000-0004-0000-5D00-000001000000}"/>
    <hyperlink ref="B115" r:id="rId3" xr:uid="{00000000-0004-0000-5D00-000002000000}"/>
    <hyperlink ref="B146" r:id="rId4" xr:uid="{00000000-0004-0000-5D00-000003000000}"/>
    <hyperlink ref="B177" r:id="rId5" xr:uid="{00000000-0004-0000-5D00-000004000000}"/>
    <hyperlink ref="B208" r:id="rId6" xr:uid="{00000000-0004-0000-5D00-000005000000}"/>
    <hyperlink ref="B240" r:id="rId7" xr:uid="{00000000-0004-0000-5D00-000006000000}"/>
    <hyperlink ref="M1" location="'MASTER '!A1" display="Back" xr:uid="{00000000-0004-0000-5D00-000007000000}"/>
    <hyperlink ref="M6:M7" location="'JAN 2021'!A77" display="STOCK FUTURE" xr:uid="{00000000-0004-0000-5D00-000008000000}"/>
    <hyperlink ref="M14:M15" location="'JAN 2021'!A201" display="B.NIFTY OPTION" xr:uid="{00000000-0004-0000-5D00-000009000000}"/>
    <hyperlink ref="M12:M13" location="'JAN 2021'!A170" display="BANK NIFTY" xr:uid="{00000000-0004-0000-5D00-00000A000000}"/>
    <hyperlink ref="M10:M11" location="'JAN 2021'!A139" display="NF. OPTION" xr:uid="{00000000-0004-0000-5D00-00000B000000}"/>
    <hyperlink ref="M8:M9" location="'JAN 2021'!A108" display="NIFTY FUTURE" xr:uid="{00000000-0004-0000-5D00-00000C000000}"/>
    <hyperlink ref="M16:M17" location="'JAN 2021'!A216" display="STOCK OPTION" xr:uid="{00000000-0004-0000-5D00-00000D000000}"/>
    <hyperlink ref="M4:M5" location="'JAN 2021'!A1" display="CASH" xr:uid="{00000000-0004-0000-5D00-00000E000000}"/>
  </hyperlinks>
  <pageMargins left="0" right="0" top="0" bottom="0" header="0" footer="0"/>
  <pageSetup scale="95" orientation="portrait" r:id="rId8"/>
  <drawing r:id="rId9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3210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32</v>
      </c>
      <c r="P4" s="386">
        <f>W52</f>
        <v>6</v>
      </c>
      <c r="Q4" s="387">
        <f>N4-O4-P4</f>
        <v>0</v>
      </c>
      <c r="R4" s="380">
        <f>O4/N4</f>
        <v>0.84210526315789469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44228</v>
      </c>
      <c r="D6" s="158" t="s">
        <v>9</v>
      </c>
      <c r="E6" s="158" t="s">
        <v>58</v>
      </c>
      <c r="F6" s="230">
        <v>674</v>
      </c>
      <c r="G6" s="222">
        <v>686</v>
      </c>
      <c r="H6" s="222">
        <v>12</v>
      </c>
      <c r="I6" s="207">
        <f t="shared" ref="I6:I43" si="0">300000/F6</f>
        <v>445.10385756676556</v>
      </c>
      <c r="J6" s="161">
        <f t="shared" ref="J6:J50" si="1">H6*I6</f>
        <v>5341.2462908011867</v>
      </c>
      <c r="K6" s="153"/>
      <c r="M6" s="394" t="s">
        <v>450</v>
      </c>
      <c r="N6" s="344">
        <f>COUNT(C60:C83)</f>
        <v>20</v>
      </c>
      <c r="O6" s="346">
        <f>V84</f>
        <v>16</v>
      </c>
      <c r="P6" s="346">
        <f>W84</f>
        <v>4</v>
      </c>
      <c r="Q6" s="374">
        <f>N6-O6-P6</f>
        <v>0</v>
      </c>
      <c r="R6" s="376">
        <f t="shared" ref="R6" si="2">O6/N6</f>
        <v>0.8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44228</v>
      </c>
      <c r="D7" s="161" t="s">
        <v>8</v>
      </c>
      <c r="E7" s="161" t="s">
        <v>31</v>
      </c>
      <c r="F7" s="222">
        <v>1868</v>
      </c>
      <c r="G7" s="231">
        <v>1854</v>
      </c>
      <c r="H7" s="255">
        <v>10</v>
      </c>
      <c r="I7" s="207">
        <f t="shared" si="0"/>
        <v>160.59957173447538</v>
      </c>
      <c r="J7" s="161">
        <f t="shared" si="1"/>
        <v>1605.9957173447538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44229</v>
      </c>
      <c r="D8" s="161" t="s">
        <v>9</v>
      </c>
      <c r="E8" s="161" t="s">
        <v>586</v>
      </c>
      <c r="F8" s="222">
        <v>1165</v>
      </c>
      <c r="G8" s="222">
        <v>1185</v>
      </c>
      <c r="H8" s="222">
        <v>20</v>
      </c>
      <c r="I8" s="207">
        <f t="shared" si="0"/>
        <v>257.51072961373393</v>
      </c>
      <c r="J8" s="161">
        <f t="shared" si="1"/>
        <v>5150.2145922746786</v>
      </c>
      <c r="K8" s="153"/>
      <c r="M8" s="394" t="s">
        <v>451</v>
      </c>
      <c r="N8" s="344">
        <f>COUNT(C92:C114)</f>
        <v>20</v>
      </c>
      <c r="O8" s="346">
        <f>V115</f>
        <v>17</v>
      </c>
      <c r="P8" s="346">
        <f>W115</f>
        <v>3</v>
      </c>
      <c r="Q8" s="374">
        <f>N8-O8-P8</f>
        <v>0</v>
      </c>
      <c r="R8" s="376">
        <f t="shared" ref="R8" si="6">O8/N8</f>
        <v>0.85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44229</v>
      </c>
      <c r="D9" s="161" t="s">
        <v>8</v>
      </c>
      <c r="E9" s="161" t="s">
        <v>137</v>
      </c>
      <c r="F9" s="222">
        <v>2240</v>
      </c>
      <c r="G9" s="231">
        <v>2220</v>
      </c>
      <c r="H9" s="255">
        <v>20</v>
      </c>
      <c r="I9" s="207">
        <f t="shared" si="0"/>
        <v>133.92857142857142</v>
      </c>
      <c r="J9" s="161">
        <f t="shared" si="1"/>
        <v>2678.5714285714284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44230</v>
      </c>
      <c r="D10" s="161" t="s">
        <v>9</v>
      </c>
      <c r="E10" s="161" t="s">
        <v>586</v>
      </c>
      <c r="F10" s="222">
        <v>1195</v>
      </c>
      <c r="G10" s="222">
        <v>1200</v>
      </c>
      <c r="H10" s="222">
        <v>5</v>
      </c>
      <c r="I10" s="207">
        <f t="shared" si="0"/>
        <v>251.04602510460251</v>
      </c>
      <c r="J10" s="161">
        <f t="shared" si="1"/>
        <v>1255.2301255230125</v>
      </c>
      <c r="K10" s="153"/>
      <c r="M10" s="394" t="s">
        <v>1176</v>
      </c>
      <c r="N10" s="344">
        <f>COUNT(C123:C145)</f>
        <v>20</v>
      </c>
      <c r="O10" s="346">
        <f>V146</f>
        <v>16</v>
      </c>
      <c r="P10" s="346">
        <f>W146</f>
        <v>4</v>
      </c>
      <c r="Q10" s="374">
        <f>N10-O10-P10</f>
        <v>0</v>
      </c>
      <c r="R10" s="376">
        <f t="shared" ref="R10:R16" si="7">O10/N10</f>
        <v>0.8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44230</v>
      </c>
      <c r="D11" s="161" t="s">
        <v>8</v>
      </c>
      <c r="E11" s="161" t="s">
        <v>78</v>
      </c>
      <c r="F11" s="222">
        <v>1512</v>
      </c>
      <c r="G11" s="222">
        <v>1522</v>
      </c>
      <c r="H11" s="255">
        <v>-10</v>
      </c>
      <c r="I11" s="207">
        <f t="shared" si="0"/>
        <v>198.4126984126984</v>
      </c>
      <c r="J11" s="161">
        <f t="shared" si="1"/>
        <v>-1984.1269841269841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44231</v>
      </c>
      <c r="D12" s="161" t="s">
        <v>9</v>
      </c>
      <c r="E12" s="161" t="s">
        <v>78</v>
      </c>
      <c r="F12" s="222">
        <v>1546</v>
      </c>
      <c r="G12" s="222">
        <v>1550</v>
      </c>
      <c r="H12" s="222">
        <v>4</v>
      </c>
      <c r="I12" s="207">
        <f t="shared" si="0"/>
        <v>194.04915912031049</v>
      </c>
      <c r="J12" s="242">
        <f t="shared" si="1"/>
        <v>776.19663648124197</v>
      </c>
      <c r="K12" s="153"/>
      <c r="M12" s="394" t="s">
        <v>41</v>
      </c>
      <c r="N12" s="344">
        <f>COUNT(C154:C176)</f>
        <v>20</v>
      </c>
      <c r="O12" s="346">
        <f>V177</f>
        <v>15</v>
      </c>
      <c r="P12" s="346">
        <f>W177</f>
        <v>5</v>
      </c>
      <c r="Q12" s="374">
        <f t="shared" ref="Q12" si="8">N12-O12-P12</f>
        <v>0</v>
      </c>
      <c r="R12" s="376">
        <f t="shared" si="7"/>
        <v>0.75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44231</v>
      </c>
      <c r="D13" s="161" t="s">
        <v>8</v>
      </c>
      <c r="E13" s="161" t="s">
        <v>95</v>
      </c>
      <c r="F13" s="222">
        <v>610</v>
      </c>
      <c r="G13" s="222">
        <v>615</v>
      </c>
      <c r="H13" s="255">
        <v>-5</v>
      </c>
      <c r="I13" s="207">
        <f t="shared" si="0"/>
        <v>491.80327868852459</v>
      </c>
      <c r="J13" s="242">
        <f t="shared" si="1"/>
        <v>-2459.0163934426228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44232</v>
      </c>
      <c r="D14" s="161" t="s">
        <v>9</v>
      </c>
      <c r="E14" s="161" t="s">
        <v>78</v>
      </c>
      <c r="F14" s="222">
        <v>1534</v>
      </c>
      <c r="G14" s="222">
        <v>1544</v>
      </c>
      <c r="H14" s="222">
        <v>10</v>
      </c>
      <c r="I14" s="207">
        <f t="shared" si="0"/>
        <v>195.56714471968709</v>
      </c>
      <c r="J14" s="242">
        <f t="shared" si="1"/>
        <v>1955.671447196871</v>
      </c>
      <c r="K14" s="153"/>
      <c r="M14" s="394" t="s">
        <v>1175</v>
      </c>
      <c r="N14" s="344">
        <f>COUNT(C185:C207)</f>
        <v>20</v>
      </c>
      <c r="O14" s="346">
        <f>V208</f>
        <v>18</v>
      </c>
      <c r="P14" s="346">
        <f>W208</f>
        <v>2</v>
      </c>
      <c r="Q14" s="374">
        <f t="shared" ref="Q14" si="9">N14-O14-P14</f>
        <v>0</v>
      </c>
      <c r="R14" s="376">
        <f t="shared" si="7"/>
        <v>0.9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44232</v>
      </c>
      <c r="D15" s="161" t="s">
        <v>8</v>
      </c>
      <c r="E15" s="161" t="s">
        <v>862</v>
      </c>
      <c r="F15" s="222">
        <v>537</v>
      </c>
      <c r="G15" s="222">
        <v>535</v>
      </c>
      <c r="H15" s="222">
        <v>2</v>
      </c>
      <c r="I15" s="207">
        <f t="shared" si="0"/>
        <v>558.65921787709499</v>
      </c>
      <c r="J15" s="242">
        <f t="shared" si="1"/>
        <v>1117.31843575419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44235</v>
      </c>
      <c r="D16" s="161" t="s">
        <v>9</v>
      </c>
      <c r="E16" s="161" t="s">
        <v>2944</v>
      </c>
      <c r="F16" s="222">
        <v>1426</v>
      </c>
      <c r="G16" s="222">
        <v>1445.5</v>
      </c>
      <c r="H16" s="222">
        <v>19.5</v>
      </c>
      <c r="I16" s="207">
        <f t="shared" si="0"/>
        <v>210.37868162692848</v>
      </c>
      <c r="J16" s="242">
        <f t="shared" si="1"/>
        <v>4102.3842917251059</v>
      </c>
      <c r="K16" s="153"/>
      <c r="L16" s="25" t="s">
        <v>2008</v>
      </c>
      <c r="M16" s="394" t="s">
        <v>1090</v>
      </c>
      <c r="N16" s="344">
        <f>COUNT(C216:C239)</f>
        <v>20</v>
      </c>
      <c r="O16" s="346">
        <f>V240</f>
        <v>17</v>
      </c>
      <c r="P16" s="346">
        <f>W240</f>
        <v>3</v>
      </c>
      <c r="Q16" s="374">
        <f t="shared" ref="Q16" si="10">N16-O16-P16</f>
        <v>0</v>
      </c>
      <c r="R16" s="376">
        <f t="shared" si="7"/>
        <v>0.85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44235</v>
      </c>
      <c r="D17" s="161" t="s">
        <v>8</v>
      </c>
      <c r="E17" s="161" t="s">
        <v>119</v>
      </c>
      <c r="F17" s="222">
        <v>1985</v>
      </c>
      <c r="G17" s="222">
        <v>1965</v>
      </c>
      <c r="H17" s="222">
        <v>20</v>
      </c>
      <c r="I17" s="207">
        <f t="shared" si="0"/>
        <v>151.13350125944584</v>
      </c>
      <c r="J17" s="242">
        <f t="shared" si="1"/>
        <v>3022.670025188917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44236</v>
      </c>
      <c r="D18" s="161" t="s">
        <v>9</v>
      </c>
      <c r="E18" s="161" t="s">
        <v>2944</v>
      </c>
      <c r="F18" s="222">
        <v>1426</v>
      </c>
      <c r="G18" s="222">
        <v>1445.5</v>
      </c>
      <c r="H18" s="222">
        <v>19.5</v>
      </c>
      <c r="I18" s="207">
        <f t="shared" si="0"/>
        <v>210.37868162692848</v>
      </c>
      <c r="J18" s="242">
        <f t="shared" si="1"/>
        <v>4102.3842917251059</v>
      </c>
      <c r="K18" s="153"/>
      <c r="M18" s="392" t="s">
        <v>946</v>
      </c>
      <c r="N18" s="378">
        <f>SUM(N4:N17)</f>
        <v>158</v>
      </c>
      <c r="O18" s="378">
        <f t="shared" ref="O18:Q18" si="11">SUM(O4:O17)</f>
        <v>131</v>
      </c>
      <c r="P18" s="378">
        <f t="shared" si="11"/>
        <v>27</v>
      </c>
      <c r="Q18" s="378">
        <f t="shared" si="11"/>
        <v>0</v>
      </c>
      <c r="R18" s="380">
        <f t="shared" ref="R18" si="12">O18/N18</f>
        <v>0.82911392405063289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44236</v>
      </c>
      <c r="D19" s="161" t="s">
        <v>8</v>
      </c>
      <c r="E19" s="161" t="s">
        <v>119</v>
      </c>
      <c r="F19" s="222">
        <v>1985</v>
      </c>
      <c r="G19" s="222">
        <v>1965</v>
      </c>
      <c r="H19" s="222">
        <v>20</v>
      </c>
      <c r="I19" s="207">
        <f t="shared" si="0"/>
        <v>151.13350125944584</v>
      </c>
      <c r="J19" s="242">
        <f t="shared" si="1"/>
        <v>3022.670025188917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44237</v>
      </c>
      <c r="D20" s="161" t="s">
        <v>9</v>
      </c>
      <c r="E20" s="161" t="s">
        <v>19</v>
      </c>
      <c r="F20" s="222">
        <v>395</v>
      </c>
      <c r="G20" s="222">
        <v>396.8</v>
      </c>
      <c r="H20" s="222">
        <v>1.8</v>
      </c>
      <c r="I20" s="207">
        <f t="shared" si="0"/>
        <v>759.49367088607596</v>
      </c>
      <c r="J20" s="242">
        <f t="shared" si="1"/>
        <v>1367.0886075949368</v>
      </c>
      <c r="K20" s="153"/>
      <c r="M20" s="316" t="s">
        <v>2253</v>
      </c>
      <c r="N20" s="317"/>
      <c r="O20" s="318"/>
      <c r="P20" s="325">
        <f>R18</f>
        <v>0.82911392405063289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44237</v>
      </c>
      <c r="D21" s="161" t="s">
        <v>8</v>
      </c>
      <c r="E21" s="161" t="s">
        <v>2563</v>
      </c>
      <c r="F21" s="222">
        <v>1620</v>
      </c>
      <c r="G21" s="222">
        <v>1635</v>
      </c>
      <c r="H21" s="222">
        <v>-15</v>
      </c>
      <c r="I21" s="207">
        <f t="shared" si="0"/>
        <v>185.18518518518519</v>
      </c>
      <c r="J21" s="242">
        <f t="shared" si="1"/>
        <v>-2777.7777777777778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44238</v>
      </c>
      <c r="D22" s="161" t="s">
        <v>9</v>
      </c>
      <c r="E22" s="161" t="s">
        <v>31</v>
      </c>
      <c r="F22" s="222">
        <v>2015</v>
      </c>
      <c r="G22" s="222">
        <v>2045</v>
      </c>
      <c r="H22" s="222">
        <v>30</v>
      </c>
      <c r="I22" s="207">
        <f t="shared" si="0"/>
        <v>148.8833746898263</v>
      </c>
      <c r="J22" s="242">
        <f t="shared" si="1"/>
        <v>4466.501240694789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44238</v>
      </c>
      <c r="D23" s="161" t="s">
        <v>8</v>
      </c>
      <c r="E23" s="161" t="s">
        <v>3232</v>
      </c>
      <c r="F23" s="222">
        <v>1197</v>
      </c>
      <c r="G23" s="222">
        <v>1210</v>
      </c>
      <c r="H23" s="222">
        <v>13</v>
      </c>
      <c r="I23" s="207">
        <f t="shared" si="0"/>
        <v>250.62656641604011</v>
      </c>
      <c r="J23" s="242">
        <f t="shared" si="1"/>
        <v>3258.1453634085215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44239</v>
      </c>
      <c r="D24" s="161" t="s">
        <v>9</v>
      </c>
      <c r="E24" s="161" t="s">
        <v>531</v>
      </c>
      <c r="F24" s="222">
        <v>1785</v>
      </c>
      <c r="G24" s="222">
        <v>1765</v>
      </c>
      <c r="H24" s="222">
        <v>-20</v>
      </c>
      <c r="I24" s="207">
        <f t="shared" si="0"/>
        <v>168.0672268907563</v>
      </c>
      <c r="J24" s="242">
        <f t="shared" si="1"/>
        <v>-3361.3445378151259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44239</v>
      </c>
      <c r="D25" s="161" t="s">
        <v>8</v>
      </c>
      <c r="E25" s="161" t="s">
        <v>50</v>
      </c>
      <c r="F25" s="222">
        <v>632</v>
      </c>
      <c r="G25" s="222">
        <v>623.79999999999995</v>
      </c>
      <c r="H25" s="222">
        <v>8.1999999999999993</v>
      </c>
      <c r="I25" s="207">
        <f t="shared" si="0"/>
        <v>474.68354430379748</v>
      </c>
      <c r="J25" s="242">
        <f t="shared" si="1"/>
        <v>3892.405063291139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44242</v>
      </c>
      <c r="D26" s="161" t="s">
        <v>9</v>
      </c>
      <c r="E26" s="161" t="s">
        <v>371</v>
      </c>
      <c r="F26" s="222">
        <v>215</v>
      </c>
      <c r="G26" s="222">
        <v>221</v>
      </c>
      <c r="H26" s="222">
        <v>6</v>
      </c>
      <c r="I26" s="207">
        <f t="shared" si="0"/>
        <v>1395.3488372093022</v>
      </c>
      <c r="J26" s="242">
        <f t="shared" si="1"/>
        <v>8372.093023255813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44242</v>
      </c>
      <c r="D27" s="161" t="s">
        <v>8</v>
      </c>
      <c r="E27" s="161" t="s">
        <v>2814</v>
      </c>
      <c r="F27" s="222">
        <v>1470</v>
      </c>
      <c r="G27" s="222">
        <v>1462</v>
      </c>
      <c r="H27" s="222">
        <v>8</v>
      </c>
      <c r="I27" s="207">
        <f t="shared" si="0"/>
        <v>204.08163265306123</v>
      </c>
      <c r="J27" s="242">
        <f t="shared" si="1"/>
        <v>1632.6530612244899</v>
      </c>
      <c r="K27" s="153"/>
      <c r="V27" s="25">
        <f t="shared" si="3"/>
        <v>1</v>
      </c>
      <c r="W27" s="25">
        <f t="shared" si="4"/>
        <v>0</v>
      </c>
    </row>
    <row r="28" spans="1:23" x14ac:dyDescent="0.3">
      <c r="A28" s="147"/>
      <c r="B28" s="205">
        <f t="shared" si="5"/>
        <v>23</v>
      </c>
      <c r="C28" s="206">
        <v>44243</v>
      </c>
      <c r="D28" s="161" t="s">
        <v>9</v>
      </c>
      <c r="E28" s="161" t="s">
        <v>299</v>
      </c>
      <c r="F28" s="222">
        <v>775</v>
      </c>
      <c r="G28" s="222">
        <v>790</v>
      </c>
      <c r="H28" s="222">
        <v>15</v>
      </c>
      <c r="I28" s="207">
        <f t="shared" si="0"/>
        <v>387.09677419354841</v>
      </c>
      <c r="J28" s="242">
        <f t="shared" si="1"/>
        <v>5806.4516129032263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44243</v>
      </c>
      <c r="D29" s="161" t="s">
        <v>8</v>
      </c>
      <c r="E29" s="161" t="s">
        <v>3237</v>
      </c>
      <c r="F29" s="222">
        <v>3400</v>
      </c>
      <c r="G29" s="222">
        <v>3387</v>
      </c>
      <c r="H29" s="222">
        <v>13</v>
      </c>
      <c r="I29" s="207">
        <f t="shared" si="0"/>
        <v>88.235294117647058</v>
      </c>
      <c r="J29" s="242">
        <f t="shared" si="1"/>
        <v>1147.0588235294117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44244</v>
      </c>
      <c r="D30" s="161" t="s">
        <v>9</v>
      </c>
      <c r="E30" s="161" t="s">
        <v>982</v>
      </c>
      <c r="F30" s="222">
        <v>658</v>
      </c>
      <c r="G30" s="222">
        <v>650</v>
      </c>
      <c r="H30" s="222">
        <v>-8</v>
      </c>
      <c r="I30" s="207">
        <f t="shared" si="0"/>
        <v>455.9270516717325</v>
      </c>
      <c r="J30" s="242">
        <f t="shared" si="1"/>
        <v>-3647.41641337386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44244</v>
      </c>
      <c r="D31" s="161" t="s">
        <v>8</v>
      </c>
      <c r="E31" s="161" t="s">
        <v>137</v>
      </c>
      <c r="F31" s="222">
        <v>2180</v>
      </c>
      <c r="G31" s="222">
        <v>2172</v>
      </c>
      <c r="H31" s="222">
        <v>8</v>
      </c>
      <c r="I31" s="207">
        <f t="shared" si="0"/>
        <v>137.61467889908258</v>
      </c>
      <c r="J31" s="242">
        <f t="shared" si="1"/>
        <v>1100.9174311926606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44245</v>
      </c>
      <c r="D32" s="161" t="s">
        <v>9</v>
      </c>
      <c r="E32" s="161" t="s">
        <v>3248</v>
      </c>
      <c r="F32" s="222">
        <v>1520</v>
      </c>
      <c r="G32" s="222">
        <v>1526</v>
      </c>
      <c r="H32" s="222">
        <v>6</v>
      </c>
      <c r="I32" s="207">
        <f t="shared" si="0"/>
        <v>197.36842105263159</v>
      </c>
      <c r="J32" s="242">
        <f t="shared" si="1"/>
        <v>1184.2105263157896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44245</v>
      </c>
      <c r="D33" s="161" t="s">
        <v>8</v>
      </c>
      <c r="E33" s="161" t="s">
        <v>126</v>
      </c>
      <c r="F33" s="222">
        <v>3055</v>
      </c>
      <c r="G33" s="222">
        <v>3034</v>
      </c>
      <c r="H33" s="222">
        <v>21</v>
      </c>
      <c r="I33" s="207">
        <f t="shared" si="0"/>
        <v>98.199672667757781</v>
      </c>
      <c r="J33" s="242">
        <f t="shared" si="1"/>
        <v>2062.1931260229135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44246</v>
      </c>
      <c r="D34" s="161" t="s">
        <v>9</v>
      </c>
      <c r="E34" s="161" t="s">
        <v>78</v>
      </c>
      <c r="F34" s="222">
        <v>1535</v>
      </c>
      <c r="G34" s="222">
        <v>1546.4</v>
      </c>
      <c r="H34" s="222">
        <v>11.04</v>
      </c>
      <c r="I34" s="207">
        <f t="shared" si="0"/>
        <v>195.43973941368077</v>
      </c>
      <c r="J34" s="242">
        <f t="shared" si="1"/>
        <v>2157.6547231270356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44246</v>
      </c>
      <c r="D35" s="161" t="s">
        <v>8</v>
      </c>
      <c r="E35" s="161" t="s">
        <v>433</v>
      </c>
      <c r="F35" s="222">
        <v>550</v>
      </c>
      <c r="G35" s="222">
        <v>538</v>
      </c>
      <c r="H35" s="222">
        <v>12</v>
      </c>
      <c r="I35" s="207">
        <f t="shared" si="0"/>
        <v>545.4545454545455</v>
      </c>
      <c r="J35" s="242">
        <f t="shared" si="1"/>
        <v>6545.454545454546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44249</v>
      </c>
      <c r="D36" s="161" t="s">
        <v>8</v>
      </c>
      <c r="E36" s="161" t="s">
        <v>78</v>
      </c>
      <c r="F36" s="222">
        <v>1470</v>
      </c>
      <c r="G36" s="222">
        <v>1449</v>
      </c>
      <c r="H36" s="222">
        <v>21</v>
      </c>
      <c r="I36" s="207">
        <f t="shared" si="0"/>
        <v>204.08163265306123</v>
      </c>
      <c r="J36" s="242">
        <f t="shared" si="1"/>
        <v>4285.7142857142862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44250</v>
      </c>
      <c r="D37" s="161" t="s">
        <v>9</v>
      </c>
      <c r="E37" s="161" t="s">
        <v>132</v>
      </c>
      <c r="F37" s="222">
        <v>499</v>
      </c>
      <c r="G37" s="222">
        <v>505.8</v>
      </c>
      <c r="H37" s="222">
        <v>6.8</v>
      </c>
      <c r="I37" s="207">
        <f t="shared" si="0"/>
        <v>601.20240480961922</v>
      </c>
      <c r="J37" s="242">
        <f t="shared" si="1"/>
        <v>4088.1763527054104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44250</v>
      </c>
      <c r="D38" s="161" t="s">
        <v>8</v>
      </c>
      <c r="E38" s="161" t="s">
        <v>2944</v>
      </c>
      <c r="F38" s="222">
        <v>1250</v>
      </c>
      <c r="G38" s="222">
        <v>1265</v>
      </c>
      <c r="H38" s="222">
        <v>-15</v>
      </c>
      <c r="I38" s="207">
        <f t="shared" si="0"/>
        <v>240</v>
      </c>
      <c r="J38" s="242">
        <f t="shared" si="1"/>
        <v>-3600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44251</v>
      </c>
      <c r="D39" s="161" t="s">
        <v>9</v>
      </c>
      <c r="E39" s="161" t="s">
        <v>95</v>
      </c>
      <c r="F39" s="222">
        <v>619</v>
      </c>
      <c r="G39" s="222">
        <v>625</v>
      </c>
      <c r="H39" s="222">
        <v>6</v>
      </c>
      <c r="I39" s="207">
        <f t="shared" si="0"/>
        <v>484.65266558966073</v>
      </c>
      <c r="J39" s="242">
        <f t="shared" si="1"/>
        <v>2907.9159935379644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44252</v>
      </c>
      <c r="D40" s="161" t="s">
        <v>9</v>
      </c>
      <c r="E40" s="161" t="s">
        <v>51</v>
      </c>
      <c r="F40" s="222">
        <v>1030</v>
      </c>
      <c r="G40" s="222">
        <v>1050</v>
      </c>
      <c r="H40" s="222">
        <v>20</v>
      </c>
      <c r="I40" s="207">
        <f t="shared" si="0"/>
        <v>291.26213592233012</v>
      </c>
      <c r="J40" s="242">
        <f t="shared" si="1"/>
        <v>5825.2427184466023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44252</v>
      </c>
      <c r="D41" s="161" t="s">
        <v>8</v>
      </c>
      <c r="E41" s="161" t="s">
        <v>3262</v>
      </c>
      <c r="F41" s="222">
        <v>2525</v>
      </c>
      <c r="G41" s="223">
        <v>2517</v>
      </c>
      <c r="H41" s="222">
        <v>8</v>
      </c>
      <c r="I41" s="207">
        <f t="shared" si="0"/>
        <v>118.81188118811882</v>
      </c>
      <c r="J41" s="242">
        <f t="shared" si="1"/>
        <v>950.49504950495054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44253</v>
      </c>
      <c r="D42" s="161" t="s">
        <v>9</v>
      </c>
      <c r="E42" s="161" t="s">
        <v>3263</v>
      </c>
      <c r="F42" s="222">
        <v>4530</v>
      </c>
      <c r="G42" s="222">
        <v>4558.6000000000004</v>
      </c>
      <c r="H42" s="222">
        <v>28.6</v>
      </c>
      <c r="I42" s="207">
        <f t="shared" si="0"/>
        <v>66.225165562913901</v>
      </c>
      <c r="J42" s="242">
        <f t="shared" si="1"/>
        <v>1894.0397350993376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44253</v>
      </c>
      <c r="D43" s="161" t="s">
        <v>8</v>
      </c>
      <c r="E43" s="161" t="s">
        <v>94</v>
      </c>
      <c r="F43" s="222">
        <v>2600</v>
      </c>
      <c r="G43" s="222">
        <v>2560</v>
      </c>
      <c r="H43" s="222">
        <v>40</v>
      </c>
      <c r="I43" s="207">
        <f t="shared" si="0"/>
        <v>115.38461538461539</v>
      </c>
      <c r="J43" s="242">
        <f t="shared" si="1"/>
        <v>4615.3846153846152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>
        <f t="shared" si="1"/>
        <v>0</v>
      </c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>
        <f t="shared" si="1"/>
        <v>0</v>
      </c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>
        <f t="shared" si="1"/>
        <v>0</v>
      </c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>
        <f t="shared" si="1"/>
        <v>0</v>
      </c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>
        <f t="shared" si="1"/>
        <v>0</v>
      </c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>
        <f t="shared" si="1"/>
        <v>0</v>
      </c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>
        <f t="shared" si="1"/>
        <v>0</v>
      </c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83860.667099647486</v>
      </c>
      <c r="K52" s="153"/>
      <c r="V52" s="25">
        <f>SUM(V6:V51)</f>
        <v>32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3210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44228</v>
      </c>
      <c r="D60" s="161" t="s">
        <v>9</v>
      </c>
      <c r="E60" s="161" t="s">
        <v>2023</v>
      </c>
      <c r="F60" s="222">
        <v>4840</v>
      </c>
      <c r="G60" s="222">
        <v>4900</v>
      </c>
      <c r="H60" s="222">
        <v>60</v>
      </c>
      <c r="I60" s="207">
        <v>250</v>
      </c>
      <c r="J60" s="241">
        <f t="shared" ref="J60:J83" si="13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44229</v>
      </c>
      <c r="D61" s="161" t="s">
        <v>9</v>
      </c>
      <c r="E61" s="161" t="s">
        <v>586</v>
      </c>
      <c r="F61" s="222">
        <v>1170</v>
      </c>
      <c r="G61" s="222">
        <v>1190</v>
      </c>
      <c r="H61" s="222">
        <v>20</v>
      </c>
      <c r="I61" s="207">
        <v>950</v>
      </c>
      <c r="J61" s="242">
        <f t="shared" si="13"/>
        <v>19000</v>
      </c>
      <c r="K61" s="153"/>
      <c r="O61" s="25" t="s">
        <v>2008</v>
      </c>
      <c r="V61" s="25">
        <f t="shared" ref="V61:V83" si="14">IF($J61&gt;0,1,0)</f>
        <v>1</v>
      </c>
      <c r="W61" s="25">
        <f t="shared" ref="W61:W83" si="15">IF($J61&lt;0,1,0)</f>
        <v>0</v>
      </c>
    </row>
    <row r="62" spans="1:23" x14ac:dyDescent="0.3">
      <c r="A62" s="147"/>
      <c r="B62" s="205">
        <f t="shared" ref="B62:B83" si="16">B61+1</f>
        <v>3</v>
      </c>
      <c r="C62" s="206">
        <v>44230</v>
      </c>
      <c r="D62" s="161" t="s">
        <v>9</v>
      </c>
      <c r="E62" s="161" t="s">
        <v>2563</v>
      </c>
      <c r="F62" s="222">
        <v>1662</v>
      </c>
      <c r="G62" s="222">
        <v>1670.85</v>
      </c>
      <c r="H62" s="222">
        <v>8.85</v>
      </c>
      <c r="I62" s="207">
        <v>500</v>
      </c>
      <c r="J62" s="242">
        <f t="shared" si="13"/>
        <v>4425</v>
      </c>
      <c r="K62" s="153"/>
      <c r="V62" s="25">
        <f t="shared" si="14"/>
        <v>1</v>
      </c>
      <c r="W62" s="25">
        <f t="shared" si="15"/>
        <v>0</v>
      </c>
    </row>
    <row r="63" spans="1:23" x14ac:dyDescent="0.3">
      <c r="A63" s="147"/>
      <c r="B63" s="205">
        <f t="shared" si="16"/>
        <v>4</v>
      </c>
      <c r="C63" s="206">
        <v>44231</v>
      </c>
      <c r="D63" s="161" t="s">
        <v>9</v>
      </c>
      <c r="E63" s="161" t="s">
        <v>2023</v>
      </c>
      <c r="F63" s="222">
        <v>5300</v>
      </c>
      <c r="G63" s="222">
        <v>5360</v>
      </c>
      <c r="H63" s="222">
        <v>60</v>
      </c>
      <c r="I63" s="207">
        <v>250</v>
      </c>
      <c r="J63" s="242">
        <f t="shared" si="13"/>
        <v>15000</v>
      </c>
      <c r="K63" s="153"/>
      <c r="L63" s="25" t="s">
        <v>2008</v>
      </c>
      <c r="V63" s="25">
        <f t="shared" si="14"/>
        <v>1</v>
      </c>
      <c r="W63" s="25">
        <f t="shared" si="15"/>
        <v>0</v>
      </c>
    </row>
    <row r="64" spans="1:23" x14ac:dyDescent="0.3">
      <c r="A64" s="147"/>
      <c r="B64" s="205">
        <f t="shared" si="16"/>
        <v>5</v>
      </c>
      <c r="C64" s="206">
        <v>44232</v>
      </c>
      <c r="D64" s="161" t="s">
        <v>8</v>
      </c>
      <c r="E64" s="161" t="s">
        <v>173</v>
      </c>
      <c r="F64" s="222">
        <v>2390</v>
      </c>
      <c r="G64" s="222">
        <v>2385.25</v>
      </c>
      <c r="H64" s="222">
        <v>4.75</v>
      </c>
      <c r="I64" s="207">
        <v>300</v>
      </c>
      <c r="J64" s="242">
        <f t="shared" si="13"/>
        <v>1425</v>
      </c>
      <c r="K64" s="153"/>
      <c r="V64" s="25">
        <f t="shared" si="14"/>
        <v>1</v>
      </c>
      <c r="W64" s="25">
        <f t="shared" si="15"/>
        <v>0</v>
      </c>
    </row>
    <row r="65" spans="1:23" x14ac:dyDescent="0.3">
      <c r="A65" s="147"/>
      <c r="B65" s="205">
        <f t="shared" si="16"/>
        <v>6</v>
      </c>
      <c r="C65" s="206">
        <v>44235</v>
      </c>
      <c r="D65" s="161" t="s">
        <v>9</v>
      </c>
      <c r="E65" s="161" t="s">
        <v>2563</v>
      </c>
      <c r="F65" s="207">
        <v>1710</v>
      </c>
      <c r="G65" s="222">
        <v>1740</v>
      </c>
      <c r="H65" s="222">
        <v>30</v>
      </c>
      <c r="I65" s="207">
        <v>500</v>
      </c>
      <c r="J65" s="242">
        <f t="shared" si="13"/>
        <v>15000</v>
      </c>
      <c r="K65" s="153"/>
      <c r="V65" s="25">
        <f t="shared" si="14"/>
        <v>1</v>
      </c>
      <c r="W65" s="25">
        <f t="shared" si="15"/>
        <v>0</v>
      </c>
    </row>
    <row r="66" spans="1:23" x14ac:dyDescent="0.3">
      <c r="A66" s="147"/>
      <c r="B66" s="205">
        <f t="shared" si="16"/>
        <v>7</v>
      </c>
      <c r="C66" s="206">
        <v>44236</v>
      </c>
      <c r="D66" s="161" t="s">
        <v>8</v>
      </c>
      <c r="E66" s="161" t="s">
        <v>2563</v>
      </c>
      <c r="F66" s="207">
        <v>1682</v>
      </c>
      <c r="G66" s="222">
        <v>1662.5</v>
      </c>
      <c r="H66" s="222">
        <v>19.5</v>
      </c>
      <c r="I66" s="207">
        <v>500</v>
      </c>
      <c r="J66" s="242">
        <f t="shared" si="13"/>
        <v>9750</v>
      </c>
      <c r="K66" s="153"/>
      <c r="V66" s="25">
        <f t="shared" si="14"/>
        <v>1</v>
      </c>
      <c r="W66" s="25">
        <f t="shared" si="15"/>
        <v>0</v>
      </c>
    </row>
    <row r="67" spans="1:23" x14ac:dyDescent="0.3">
      <c r="A67" s="147"/>
      <c r="B67" s="205">
        <f t="shared" si="16"/>
        <v>8</v>
      </c>
      <c r="C67" s="206">
        <v>44237</v>
      </c>
      <c r="D67" s="161" t="s">
        <v>9</v>
      </c>
      <c r="E67" s="161" t="s">
        <v>2023</v>
      </c>
      <c r="F67" s="222">
        <v>5480</v>
      </c>
      <c r="G67" s="222">
        <v>5450</v>
      </c>
      <c r="H67" s="222">
        <v>-30</v>
      </c>
      <c r="I67" s="207">
        <v>250</v>
      </c>
      <c r="J67" s="242">
        <f t="shared" si="13"/>
        <v>-7500</v>
      </c>
      <c r="K67" s="153"/>
      <c r="V67" s="25">
        <f t="shared" si="14"/>
        <v>0</v>
      </c>
      <c r="W67" s="25">
        <f t="shared" si="15"/>
        <v>1</v>
      </c>
    </row>
    <row r="68" spans="1:23" x14ac:dyDescent="0.3">
      <c r="A68" s="147"/>
      <c r="B68" s="205">
        <f t="shared" si="16"/>
        <v>9</v>
      </c>
      <c r="C68" s="206">
        <v>44238</v>
      </c>
      <c r="D68" s="161" t="s">
        <v>9</v>
      </c>
      <c r="E68" s="161" t="s">
        <v>2023</v>
      </c>
      <c r="F68" s="222">
        <v>5555</v>
      </c>
      <c r="G68" s="222">
        <v>5585</v>
      </c>
      <c r="H68" s="222">
        <v>30</v>
      </c>
      <c r="I68" s="207">
        <v>250</v>
      </c>
      <c r="J68" s="242">
        <f t="shared" si="13"/>
        <v>7500</v>
      </c>
      <c r="K68" s="153"/>
      <c r="V68" s="25">
        <f t="shared" si="14"/>
        <v>1</v>
      </c>
      <c r="W68" s="25">
        <f t="shared" si="15"/>
        <v>0</v>
      </c>
    </row>
    <row r="69" spans="1:23" x14ac:dyDescent="0.3">
      <c r="A69" s="147"/>
      <c r="B69" s="205">
        <f t="shared" si="16"/>
        <v>10</v>
      </c>
      <c r="C69" s="206">
        <v>44239</v>
      </c>
      <c r="D69" s="161" t="s">
        <v>9</v>
      </c>
      <c r="E69" s="161" t="s">
        <v>95</v>
      </c>
      <c r="F69" s="222">
        <v>637</v>
      </c>
      <c r="G69" s="222">
        <v>649</v>
      </c>
      <c r="H69" s="222">
        <v>12</v>
      </c>
      <c r="I69" s="207">
        <v>1375</v>
      </c>
      <c r="J69" s="242">
        <f t="shared" si="13"/>
        <v>16500</v>
      </c>
      <c r="K69" s="153"/>
      <c r="V69" s="25">
        <f t="shared" si="14"/>
        <v>1</v>
      </c>
      <c r="W69" s="25">
        <f t="shared" si="15"/>
        <v>0</v>
      </c>
    </row>
    <row r="70" spans="1:23" x14ac:dyDescent="0.3">
      <c r="A70" s="147"/>
      <c r="B70" s="205">
        <f t="shared" si="16"/>
        <v>11</v>
      </c>
      <c r="C70" s="206">
        <v>44242</v>
      </c>
      <c r="D70" s="161" t="s">
        <v>9</v>
      </c>
      <c r="E70" s="161" t="s">
        <v>95</v>
      </c>
      <c r="F70" s="161">
        <v>662</v>
      </c>
      <c r="G70" s="222">
        <v>674</v>
      </c>
      <c r="H70" s="222">
        <v>12</v>
      </c>
      <c r="I70" s="207">
        <v>1375</v>
      </c>
      <c r="J70" s="242">
        <f t="shared" si="13"/>
        <v>16500</v>
      </c>
      <c r="K70" s="153"/>
      <c r="V70" s="25">
        <f t="shared" si="14"/>
        <v>1</v>
      </c>
      <c r="W70" s="25">
        <f t="shared" si="15"/>
        <v>0</v>
      </c>
    </row>
    <row r="71" spans="1:23" x14ac:dyDescent="0.3">
      <c r="A71" s="147"/>
      <c r="B71" s="205">
        <f t="shared" si="16"/>
        <v>12</v>
      </c>
      <c r="C71" s="206">
        <v>44243</v>
      </c>
      <c r="D71" s="161" t="s">
        <v>9</v>
      </c>
      <c r="E71" s="161" t="s">
        <v>982</v>
      </c>
      <c r="F71" s="222">
        <v>641</v>
      </c>
      <c r="G71" s="222">
        <v>644</v>
      </c>
      <c r="H71" s="222">
        <v>3</v>
      </c>
      <c r="I71" s="207">
        <v>2500</v>
      </c>
      <c r="J71" s="242">
        <f t="shared" si="13"/>
        <v>7500</v>
      </c>
      <c r="K71" s="153"/>
      <c r="V71" s="25">
        <f t="shared" si="14"/>
        <v>1</v>
      </c>
      <c r="W71" s="25">
        <f t="shared" si="15"/>
        <v>0</v>
      </c>
    </row>
    <row r="72" spans="1:23" x14ac:dyDescent="0.3">
      <c r="A72" s="147"/>
      <c r="B72" s="205">
        <f t="shared" si="16"/>
        <v>13</v>
      </c>
      <c r="C72" s="206">
        <v>44244</v>
      </c>
      <c r="D72" s="161" t="s">
        <v>9</v>
      </c>
      <c r="E72" s="161" t="s">
        <v>2563</v>
      </c>
      <c r="F72" s="222">
        <v>1585</v>
      </c>
      <c r="G72" s="222">
        <v>1600</v>
      </c>
      <c r="H72" s="222">
        <v>-15</v>
      </c>
      <c r="I72" s="207">
        <v>500</v>
      </c>
      <c r="J72" s="242">
        <f t="shared" si="13"/>
        <v>-7500</v>
      </c>
      <c r="K72" s="153"/>
      <c r="V72" s="25">
        <f t="shared" si="14"/>
        <v>0</v>
      </c>
      <c r="W72" s="25">
        <f t="shared" si="15"/>
        <v>1</v>
      </c>
    </row>
    <row r="73" spans="1:23" x14ac:dyDescent="0.3">
      <c r="A73" s="147"/>
      <c r="B73" s="205">
        <f t="shared" si="16"/>
        <v>14</v>
      </c>
      <c r="C73" s="206">
        <v>44245</v>
      </c>
      <c r="D73" s="161" t="s">
        <v>9</v>
      </c>
      <c r="E73" s="161" t="s">
        <v>2023</v>
      </c>
      <c r="F73" s="223">
        <v>5665</v>
      </c>
      <c r="G73" s="222">
        <v>5635</v>
      </c>
      <c r="H73" s="255">
        <v>-30</v>
      </c>
      <c r="I73" s="207">
        <v>250</v>
      </c>
      <c r="J73" s="242">
        <f t="shared" si="13"/>
        <v>-7500</v>
      </c>
      <c r="K73" s="153"/>
      <c r="V73" s="25">
        <f t="shared" si="14"/>
        <v>0</v>
      </c>
      <c r="W73" s="25">
        <f t="shared" si="15"/>
        <v>1</v>
      </c>
    </row>
    <row r="74" spans="1:23" x14ac:dyDescent="0.3">
      <c r="A74" s="147"/>
      <c r="B74" s="205">
        <f t="shared" si="16"/>
        <v>15</v>
      </c>
      <c r="C74" s="206">
        <v>44246</v>
      </c>
      <c r="D74" s="161" t="s">
        <v>9</v>
      </c>
      <c r="E74" s="161" t="s">
        <v>2023</v>
      </c>
      <c r="F74" s="222">
        <v>5560</v>
      </c>
      <c r="G74" s="222">
        <v>5620</v>
      </c>
      <c r="H74" s="255">
        <v>60</v>
      </c>
      <c r="I74" s="207">
        <v>250</v>
      </c>
      <c r="J74" s="242">
        <f t="shared" si="13"/>
        <v>15000</v>
      </c>
      <c r="K74" s="153"/>
      <c r="V74" s="25">
        <f t="shared" si="14"/>
        <v>1</v>
      </c>
      <c r="W74" s="25">
        <f t="shared" si="15"/>
        <v>0</v>
      </c>
    </row>
    <row r="75" spans="1:23" x14ac:dyDescent="0.3">
      <c r="A75" s="147"/>
      <c r="B75" s="205">
        <f t="shared" si="16"/>
        <v>16</v>
      </c>
      <c r="C75" s="206">
        <v>44249</v>
      </c>
      <c r="D75" s="161" t="s">
        <v>9</v>
      </c>
      <c r="E75" s="161" t="s">
        <v>2023</v>
      </c>
      <c r="F75" s="222">
        <v>5430</v>
      </c>
      <c r="G75" s="222">
        <v>5413.5</v>
      </c>
      <c r="H75" s="255">
        <v>16.5</v>
      </c>
      <c r="I75" s="207">
        <v>250</v>
      </c>
      <c r="J75" s="242">
        <f t="shared" si="13"/>
        <v>4125</v>
      </c>
      <c r="K75" s="153"/>
      <c r="V75" s="25">
        <f t="shared" si="14"/>
        <v>1</v>
      </c>
      <c r="W75" s="25">
        <f t="shared" si="15"/>
        <v>0</v>
      </c>
    </row>
    <row r="76" spans="1:23" x14ac:dyDescent="0.3">
      <c r="A76" s="147"/>
      <c r="B76" s="205">
        <f t="shared" si="16"/>
        <v>17</v>
      </c>
      <c r="C76" s="206">
        <v>44250</v>
      </c>
      <c r="D76" s="161" t="s">
        <v>9</v>
      </c>
      <c r="E76" s="161" t="s">
        <v>19</v>
      </c>
      <c r="F76" s="222">
        <v>398</v>
      </c>
      <c r="G76" s="222">
        <v>394</v>
      </c>
      <c r="H76" s="222">
        <v>-4</v>
      </c>
      <c r="I76" s="207">
        <v>3000</v>
      </c>
      <c r="J76" s="242">
        <f t="shared" si="13"/>
        <v>-12000</v>
      </c>
      <c r="K76" s="153"/>
      <c r="V76" s="25">
        <f t="shared" si="14"/>
        <v>0</v>
      </c>
      <c r="W76" s="25">
        <f t="shared" si="15"/>
        <v>1</v>
      </c>
    </row>
    <row r="77" spans="1:23" x14ac:dyDescent="0.3">
      <c r="A77" s="147"/>
      <c r="B77" s="205">
        <f t="shared" si="16"/>
        <v>18</v>
      </c>
      <c r="C77" s="206">
        <v>44251</v>
      </c>
      <c r="D77" s="161" t="s">
        <v>9</v>
      </c>
      <c r="E77" s="161" t="s">
        <v>2023</v>
      </c>
      <c r="F77" s="222">
        <v>5490</v>
      </c>
      <c r="G77" s="222">
        <v>5550</v>
      </c>
      <c r="H77" s="222">
        <v>60</v>
      </c>
      <c r="I77" s="207">
        <v>250</v>
      </c>
      <c r="J77" s="242">
        <f t="shared" si="13"/>
        <v>15000</v>
      </c>
      <c r="K77" s="153"/>
      <c r="V77" s="25">
        <f t="shared" si="14"/>
        <v>1</v>
      </c>
      <c r="W77" s="25">
        <f t="shared" si="15"/>
        <v>0</v>
      </c>
    </row>
    <row r="78" spans="1:23" x14ac:dyDescent="0.3">
      <c r="A78" s="147"/>
      <c r="B78" s="205">
        <f t="shared" si="16"/>
        <v>19</v>
      </c>
      <c r="C78" s="206">
        <v>44252</v>
      </c>
      <c r="D78" s="161" t="s">
        <v>9</v>
      </c>
      <c r="E78" s="161" t="s">
        <v>25</v>
      </c>
      <c r="F78" s="222">
        <v>750</v>
      </c>
      <c r="G78" s="222">
        <v>753.5</v>
      </c>
      <c r="H78" s="222">
        <v>3.5</v>
      </c>
      <c r="I78" s="207">
        <v>1700</v>
      </c>
      <c r="J78" s="242">
        <f t="shared" si="13"/>
        <v>5950</v>
      </c>
      <c r="K78" s="153"/>
      <c r="V78" s="25">
        <f t="shared" si="14"/>
        <v>1</v>
      </c>
      <c r="W78" s="25">
        <f t="shared" si="15"/>
        <v>0</v>
      </c>
    </row>
    <row r="79" spans="1:23" x14ac:dyDescent="0.3">
      <c r="A79" s="147"/>
      <c r="B79" s="205">
        <f t="shared" si="16"/>
        <v>20</v>
      </c>
      <c r="C79" s="206">
        <v>44253</v>
      </c>
      <c r="D79" s="161" t="s">
        <v>9</v>
      </c>
      <c r="E79" s="161" t="s">
        <v>2023</v>
      </c>
      <c r="F79" s="222">
        <v>5460</v>
      </c>
      <c r="G79" s="222">
        <v>5472</v>
      </c>
      <c r="H79" s="222">
        <v>12</v>
      </c>
      <c r="I79" s="207">
        <v>250</v>
      </c>
      <c r="J79" s="242">
        <f t="shared" si="13"/>
        <v>3000</v>
      </c>
      <c r="K79" s="153"/>
      <c r="V79" s="25">
        <f t="shared" si="14"/>
        <v>1</v>
      </c>
      <c r="W79" s="25">
        <f t="shared" si="15"/>
        <v>0</v>
      </c>
    </row>
    <row r="80" spans="1:23" x14ac:dyDescent="0.3">
      <c r="A80" s="147"/>
      <c r="B80" s="205">
        <f t="shared" si="16"/>
        <v>21</v>
      </c>
      <c r="C80" s="206"/>
      <c r="D80" s="161"/>
      <c r="E80" s="161"/>
      <c r="F80" s="222"/>
      <c r="G80" s="222"/>
      <c r="H80" s="222"/>
      <c r="I80" s="207"/>
      <c r="J80" s="242">
        <f t="shared" si="13"/>
        <v>0</v>
      </c>
      <c r="K80" s="153"/>
      <c r="V80" s="25">
        <f t="shared" si="14"/>
        <v>0</v>
      </c>
      <c r="W80" s="25">
        <f t="shared" si="15"/>
        <v>0</v>
      </c>
    </row>
    <row r="81" spans="1:23" x14ac:dyDescent="0.3">
      <c r="A81" s="147"/>
      <c r="B81" s="205">
        <f t="shared" si="16"/>
        <v>22</v>
      </c>
      <c r="C81" s="206"/>
      <c r="D81" s="161"/>
      <c r="E81" s="161"/>
      <c r="F81" s="222"/>
      <c r="G81" s="222"/>
      <c r="H81" s="222"/>
      <c r="I81" s="207"/>
      <c r="J81" s="242">
        <f t="shared" si="13"/>
        <v>0</v>
      </c>
      <c r="K81" s="153"/>
    </row>
    <row r="82" spans="1:23" x14ac:dyDescent="0.3">
      <c r="A82" s="147"/>
      <c r="B82" s="205">
        <f t="shared" si="16"/>
        <v>23</v>
      </c>
      <c r="C82" s="206"/>
      <c r="D82" s="161"/>
      <c r="E82" s="161"/>
      <c r="F82" s="222"/>
      <c r="G82" s="222"/>
      <c r="H82" s="222"/>
      <c r="I82" s="207"/>
      <c r="J82" s="242">
        <f t="shared" si="13"/>
        <v>0</v>
      </c>
      <c r="K82" s="153"/>
      <c r="V82" s="25">
        <f t="shared" si="14"/>
        <v>0</v>
      </c>
      <c r="W82" s="25">
        <f t="shared" si="15"/>
        <v>0</v>
      </c>
    </row>
    <row r="83" spans="1:23" ht="15" thickBot="1" x14ac:dyDescent="0.35">
      <c r="A83" s="147"/>
      <c r="B83" s="205">
        <f t="shared" si="16"/>
        <v>24</v>
      </c>
      <c r="C83" s="209"/>
      <c r="D83" s="166"/>
      <c r="E83" s="166"/>
      <c r="F83" s="210"/>
      <c r="G83" s="210"/>
      <c r="H83" s="166"/>
      <c r="I83" s="210"/>
      <c r="J83" s="244">
        <f t="shared" si="13"/>
        <v>0</v>
      </c>
      <c r="K83" s="153"/>
      <c r="V83" s="25">
        <f t="shared" si="14"/>
        <v>0</v>
      </c>
      <c r="W83" s="25">
        <f t="shared" si="15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136175</v>
      </c>
      <c r="K84" s="153"/>
      <c r="V84" s="25">
        <f>SUM(V60:V83)</f>
        <v>16</v>
      </c>
      <c r="W84" s="25">
        <f>SUM(W60:W83)</f>
        <v>4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3211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44228</v>
      </c>
      <c r="D92" s="185" t="s">
        <v>9</v>
      </c>
      <c r="E92" s="185" t="s">
        <v>39</v>
      </c>
      <c r="F92" s="219">
        <v>13920</v>
      </c>
      <c r="G92" s="219">
        <v>13880</v>
      </c>
      <c r="H92" s="185">
        <v>-40</v>
      </c>
      <c r="I92" s="219">
        <v>150</v>
      </c>
      <c r="J92" s="246">
        <f t="shared" ref="J92:J114" si="17">I92*H92</f>
        <v>-6000</v>
      </c>
      <c r="K92" s="153"/>
      <c r="V92" s="25">
        <f>IF($J92&gt;0,1,0)</f>
        <v>0</v>
      </c>
      <c r="W92" s="25">
        <f>IF($J92&lt;0,1,0)</f>
        <v>1</v>
      </c>
    </row>
    <row r="93" spans="1:23" x14ac:dyDescent="0.3">
      <c r="A93" s="147"/>
      <c r="B93" s="205">
        <f>B92+1</f>
        <v>2</v>
      </c>
      <c r="C93" s="218">
        <v>44229</v>
      </c>
      <c r="D93" s="185" t="s">
        <v>9</v>
      </c>
      <c r="E93" s="185" t="s">
        <v>39</v>
      </c>
      <c r="F93" s="219">
        <v>14630</v>
      </c>
      <c r="G93" s="219">
        <v>14655</v>
      </c>
      <c r="H93" s="185">
        <v>25</v>
      </c>
      <c r="I93" s="219">
        <v>150</v>
      </c>
      <c r="J93" s="242">
        <f t="shared" si="17"/>
        <v>3750</v>
      </c>
      <c r="K93" s="153"/>
      <c r="V93" s="25">
        <f t="shared" ref="V93:V114" si="18">IF($J93&gt;0,1,0)</f>
        <v>1</v>
      </c>
      <c r="W93" s="25">
        <f t="shared" ref="W93:W114" si="19">IF($J93&lt;0,1,0)</f>
        <v>0</v>
      </c>
    </row>
    <row r="94" spans="1:23" x14ac:dyDescent="0.3">
      <c r="A94" s="147"/>
      <c r="B94" s="205">
        <f t="shared" ref="B94:B114" si="20">B93+1</f>
        <v>3</v>
      </c>
      <c r="C94" s="206">
        <v>44230</v>
      </c>
      <c r="D94" s="161" t="s">
        <v>9</v>
      </c>
      <c r="E94" s="161" t="s">
        <v>39</v>
      </c>
      <c r="F94" s="207">
        <v>14800</v>
      </c>
      <c r="G94" s="207">
        <v>14860</v>
      </c>
      <c r="H94" s="161">
        <v>60</v>
      </c>
      <c r="I94" s="207">
        <v>150</v>
      </c>
      <c r="J94" s="242">
        <f t="shared" si="17"/>
        <v>9000</v>
      </c>
      <c r="K94" s="153"/>
      <c r="V94" s="25">
        <f t="shared" si="18"/>
        <v>1</v>
      </c>
      <c r="W94" s="25">
        <f t="shared" si="19"/>
        <v>0</v>
      </c>
    </row>
    <row r="95" spans="1:23" x14ac:dyDescent="0.3">
      <c r="A95" s="147"/>
      <c r="B95" s="205">
        <f t="shared" si="20"/>
        <v>4</v>
      </c>
      <c r="C95" s="206">
        <v>44231</v>
      </c>
      <c r="D95" s="161" t="s">
        <v>8</v>
      </c>
      <c r="E95" s="161" t="s">
        <v>39</v>
      </c>
      <c r="F95" s="207">
        <v>14750</v>
      </c>
      <c r="G95" s="207">
        <v>14790</v>
      </c>
      <c r="H95" s="161">
        <v>40</v>
      </c>
      <c r="I95" s="207">
        <v>150</v>
      </c>
      <c r="J95" s="242">
        <f t="shared" si="17"/>
        <v>6000</v>
      </c>
      <c r="K95" s="153"/>
      <c r="V95" s="25">
        <f t="shared" si="18"/>
        <v>1</v>
      </c>
      <c r="W95" s="25">
        <f t="shared" si="19"/>
        <v>0</v>
      </c>
    </row>
    <row r="96" spans="1:23" x14ac:dyDescent="0.3">
      <c r="A96" s="147"/>
      <c r="B96" s="205">
        <f t="shared" si="20"/>
        <v>5</v>
      </c>
      <c r="C96" s="206">
        <v>44232</v>
      </c>
      <c r="D96" s="161" t="s">
        <v>9</v>
      </c>
      <c r="E96" s="161" t="s">
        <v>39</v>
      </c>
      <c r="F96" s="207">
        <v>14920</v>
      </c>
      <c r="G96" s="207">
        <v>14980</v>
      </c>
      <c r="H96" s="161">
        <v>60</v>
      </c>
      <c r="I96" s="207">
        <v>150</v>
      </c>
      <c r="J96" s="242">
        <f t="shared" si="17"/>
        <v>9000</v>
      </c>
      <c r="K96" s="153"/>
      <c r="V96" s="25">
        <f t="shared" si="18"/>
        <v>1</v>
      </c>
      <c r="W96" s="25">
        <f t="shared" si="19"/>
        <v>0</v>
      </c>
    </row>
    <row r="97" spans="1:23" x14ac:dyDescent="0.3">
      <c r="A97" s="147"/>
      <c r="B97" s="205">
        <f t="shared" si="20"/>
        <v>6</v>
      </c>
      <c r="C97" s="206">
        <v>44235</v>
      </c>
      <c r="D97" s="161" t="s">
        <v>9</v>
      </c>
      <c r="E97" s="161" t="s">
        <v>39</v>
      </c>
      <c r="F97" s="207">
        <v>15130</v>
      </c>
      <c r="G97" s="207">
        <v>15090</v>
      </c>
      <c r="H97" s="161">
        <v>-40</v>
      </c>
      <c r="I97" s="207">
        <v>150</v>
      </c>
      <c r="J97" s="242">
        <f t="shared" si="17"/>
        <v>-6000</v>
      </c>
      <c r="K97" s="153"/>
      <c r="V97" s="25">
        <f t="shared" si="18"/>
        <v>0</v>
      </c>
      <c r="W97" s="25">
        <f t="shared" si="19"/>
        <v>1</v>
      </c>
    </row>
    <row r="98" spans="1:23" x14ac:dyDescent="0.3">
      <c r="A98" s="147"/>
      <c r="B98" s="205">
        <f t="shared" si="20"/>
        <v>7</v>
      </c>
      <c r="C98" s="206">
        <v>44236</v>
      </c>
      <c r="D98" s="161" t="s">
        <v>9</v>
      </c>
      <c r="E98" s="161" t="s">
        <v>39</v>
      </c>
      <c r="F98" s="207">
        <v>15170</v>
      </c>
      <c r="G98" s="207">
        <v>15240</v>
      </c>
      <c r="H98" s="161">
        <v>70</v>
      </c>
      <c r="I98" s="207">
        <v>150</v>
      </c>
      <c r="J98" s="242">
        <f t="shared" si="17"/>
        <v>10500</v>
      </c>
      <c r="K98" s="153"/>
      <c r="V98" s="25">
        <f t="shared" si="18"/>
        <v>1</v>
      </c>
      <c r="W98" s="25">
        <f t="shared" si="19"/>
        <v>0</v>
      </c>
    </row>
    <row r="99" spans="1:23" x14ac:dyDescent="0.3">
      <c r="A99" s="147"/>
      <c r="B99" s="205">
        <f t="shared" si="20"/>
        <v>8</v>
      </c>
      <c r="C99" s="206">
        <v>44237</v>
      </c>
      <c r="D99" s="161" t="s">
        <v>9</v>
      </c>
      <c r="E99" s="161" t="s">
        <v>39</v>
      </c>
      <c r="F99" s="207">
        <v>15100</v>
      </c>
      <c r="G99" s="207">
        <v>15125</v>
      </c>
      <c r="H99" s="161">
        <v>25</v>
      </c>
      <c r="I99" s="207">
        <v>150</v>
      </c>
      <c r="J99" s="242">
        <f t="shared" si="17"/>
        <v>3750</v>
      </c>
      <c r="K99" s="153"/>
      <c r="V99" s="25">
        <f t="shared" si="18"/>
        <v>1</v>
      </c>
      <c r="W99" s="25">
        <f t="shared" si="19"/>
        <v>0</v>
      </c>
    </row>
    <row r="100" spans="1:23" x14ac:dyDescent="0.3">
      <c r="A100" s="147"/>
      <c r="B100" s="205">
        <f t="shared" si="20"/>
        <v>9</v>
      </c>
      <c r="C100" s="206">
        <v>44238</v>
      </c>
      <c r="D100" s="161" t="s">
        <v>9</v>
      </c>
      <c r="E100" s="161" t="s">
        <v>39</v>
      </c>
      <c r="F100" s="207">
        <v>15150</v>
      </c>
      <c r="G100" s="207">
        <v>15190</v>
      </c>
      <c r="H100" s="161">
        <v>40</v>
      </c>
      <c r="I100" s="207">
        <v>150</v>
      </c>
      <c r="J100" s="242">
        <f t="shared" si="17"/>
        <v>6000</v>
      </c>
      <c r="K100" s="153"/>
      <c r="V100" s="25">
        <f t="shared" si="18"/>
        <v>1</v>
      </c>
      <c r="W100" s="25">
        <f t="shared" si="19"/>
        <v>0</v>
      </c>
    </row>
    <row r="101" spans="1:23" x14ac:dyDescent="0.3">
      <c r="A101" s="147"/>
      <c r="B101" s="205">
        <f t="shared" si="20"/>
        <v>10</v>
      </c>
      <c r="C101" s="206">
        <v>44239</v>
      </c>
      <c r="D101" s="161" t="s">
        <v>9</v>
      </c>
      <c r="E101" s="161" t="s">
        <v>39</v>
      </c>
      <c r="F101" s="207">
        <v>15180</v>
      </c>
      <c r="G101" s="207">
        <v>15235</v>
      </c>
      <c r="H101" s="161">
        <v>55</v>
      </c>
      <c r="I101" s="207">
        <v>150</v>
      </c>
      <c r="J101" s="242">
        <f t="shared" si="17"/>
        <v>8250</v>
      </c>
      <c r="K101" s="153"/>
      <c r="V101" s="25">
        <f t="shared" si="18"/>
        <v>1</v>
      </c>
      <c r="W101" s="25">
        <f t="shared" si="19"/>
        <v>0</v>
      </c>
    </row>
    <row r="102" spans="1:23" x14ac:dyDescent="0.3">
      <c r="A102" s="147"/>
      <c r="B102" s="205">
        <f t="shared" si="20"/>
        <v>11</v>
      </c>
      <c r="C102" s="206">
        <v>44242</v>
      </c>
      <c r="D102" s="161" t="s">
        <v>9</v>
      </c>
      <c r="E102" s="161" t="s">
        <v>39</v>
      </c>
      <c r="F102" s="207">
        <v>15280</v>
      </c>
      <c r="G102" s="207">
        <v>15350</v>
      </c>
      <c r="H102" s="161">
        <v>70</v>
      </c>
      <c r="I102" s="207">
        <v>150</v>
      </c>
      <c r="J102" s="242">
        <f t="shared" si="17"/>
        <v>10500</v>
      </c>
      <c r="K102" s="153"/>
      <c r="V102" s="25">
        <f t="shared" si="18"/>
        <v>1</v>
      </c>
      <c r="W102" s="25">
        <f t="shared" si="19"/>
        <v>0</v>
      </c>
    </row>
    <row r="103" spans="1:23" x14ac:dyDescent="0.3">
      <c r="A103" s="147"/>
      <c r="B103" s="205">
        <f t="shared" si="20"/>
        <v>12</v>
      </c>
      <c r="C103" s="206">
        <v>44243</v>
      </c>
      <c r="D103" s="161" t="s">
        <v>9</v>
      </c>
      <c r="E103" s="161" t="s">
        <v>39</v>
      </c>
      <c r="F103" s="207">
        <v>15390</v>
      </c>
      <c r="G103" s="207">
        <v>15405</v>
      </c>
      <c r="H103" s="161">
        <v>15</v>
      </c>
      <c r="I103" s="207">
        <v>150</v>
      </c>
      <c r="J103" s="242">
        <f t="shared" si="17"/>
        <v>2250</v>
      </c>
      <c r="K103" s="153"/>
      <c r="V103" s="25">
        <f t="shared" si="18"/>
        <v>1</v>
      </c>
      <c r="W103" s="25">
        <f t="shared" si="19"/>
        <v>0</v>
      </c>
    </row>
    <row r="104" spans="1:23" x14ac:dyDescent="0.3">
      <c r="A104" s="147"/>
      <c r="B104" s="205">
        <f t="shared" si="20"/>
        <v>13</v>
      </c>
      <c r="C104" s="206">
        <v>44244</v>
      </c>
      <c r="D104" s="161" t="s">
        <v>9</v>
      </c>
      <c r="E104" s="161" t="s">
        <v>39</v>
      </c>
      <c r="F104" s="207">
        <v>15240</v>
      </c>
      <c r="G104" s="207">
        <v>15320</v>
      </c>
      <c r="H104" s="161">
        <v>80</v>
      </c>
      <c r="I104" s="207">
        <v>150</v>
      </c>
      <c r="J104" s="242">
        <f t="shared" si="17"/>
        <v>12000</v>
      </c>
      <c r="K104" s="153"/>
      <c r="V104" s="25">
        <f t="shared" si="18"/>
        <v>1</v>
      </c>
      <c r="W104" s="25">
        <f t="shared" si="19"/>
        <v>0</v>
      </c>
    </row>
    <row r="105" spans="1:23" x14ac:dyDescent="0.3">
      <c r="A105" s="147"/>
      <c r="B105" s="205">
        <f t="shared" si="20"/>
        <v>14</v>
      </c>
      <c r="C105" s="206">
        <v>44245</v>
      </c>
      <c r="D105" s="161" t="s">
        <v>9</v>
      </c>
      <c r="E105" s="161" t="s">
        <v>39</v>
      </c>
      <c r="F105" s="207">
        <v>15240</v>
      </c>
      <c r="G105" s="207">
        <v>15200</v>
      </c>
      <c r="H105" s="161">
        <v>-40</v>
      </c>
      <c r="I105" s="207">
        <v>150</v>
      </c>
      <c r="J105" s="242">
        <f t="shared" si="17"/>
        <v>-6000</v>
      </c>
      <c r="K105" s="153"/>
      <c r="V105" s="25">
        <f t="shared" si="18"/>
        <v>0</v>
      </c>
      <c r="W105" s="25">
        <f t="shared" si="19"/>
        <v>1</v>
      </c>
    </row>
    <row r="106" spans="1:23" x14ac:dyDescent="0.3">
      <c r="A106" s="147"/>
      <c r="B106" s="205">
        <f t="shared" si="20"/>
        <v>15</v>
      </c>
      <c r="C106" s="206">
        <v>44246</v>
      </c>
      <c r="D106" s="161" t="s">
        <v>9</v>
      </c>
      <c r="E106" s="161" t="s">
        <v>39</v>
      </c>
      <c r="F106" s="207">
        <v>15110</v>
      </c>
      <c r="G106" s="207">
        <v>15130</v>
      </c>
      <c r="H106" s="161">
        <v>20</v>
      </c>
      <c r="I106" s="207">
        <v>150</v>
      </c>
      <c r="J106" s="242">
        <f t="shared" si="17"/>
        <v>3000</v>
      </c>
      <c r="K106" s="153"/>
      <c r="V106" s="25">
        <f t="shared" si="18"/>
        <v>1</v>
      </c>
      <c r="W106" s="25">
        <f t="shared" si="19"/>
        <v>0</v>
      </c>
    </row>
    <row r="107" spans="1:23" x14ac:dyDescent="0.3">
      <c r="A107" s="147"/>
      <c r="B107" s="205">
        <f t="shared" si="20"/>
        <v>16</v>
      </c>
      <c r="C107" s="206">
        <v>44249</v>
      </c>
      <c r="D107" s="161" t="s">
        <v>9</v>
      </c>
      <c r="E107" s="161" t="s">
        <v>39</v>
      </c>
      <c r="F107" s="207">
        <v>14880</v>
      </c>
      <c r="G107" s="207">
        <v>14800</v>
      </c>
      <c r="H107" s="161">
        <v>80</v>
      </c>
      <c r="I107" s="207">
        <v>150</v>
      </c>
      <c r="J107" s="242">
        <f t="shared" si="17"/>
        <v>12000</v>
      </c>
      <c r="K107" s="153"/>
      <c r="V107" s="25">
        <f t="shared" si="18"/>
        <v>1</v>
      </c>
      <c r="W107" s="25">
        <f t="shared" si="19"/>
        <v>0</v>
      </c>
    </row>
    <row r="108" spans="1:23" x14ac:dyDescent="0.3">
      <c r="A108" s="147"/>
      <c r="B108" s="205">
        <f t="shared" si="20"/>
        <v>17</v>
      </c>
      <c r="C108" s="206">
        <v>44250</v>
      </c>
      <c r="D108" s="161" t="s">
        <v>9</v>
      </c>
      <c r="E108" s="161" t="s">
        <v>39</v>
      </c>
      <c r="F108" s="207">
        <v>14830</v>
      </c>
      <c r="G108" s="207">
        <v>14850</v>
      </c>
      <c r="H108" s="161">
        <v>20</v>
      </c>
      <c r="I108" s="207">
        <v>150</v>
      </c>
      <c r="J108" s="242">
        <f t="shared" si="17"/>
        <v>3000</v>
      </c>
      <c r="K108" s="153"/>
      <c r="V108" s="25">
        <f t="shared" si="18"/>
        <v>1</v>
      </c>
      <c r="W108" s="25">
        <f t="shared" si="19"/>
        <v>0</v>
      </c>
    </row>
    <row r="109" spans="1:23" x14ac:dyDescent="0.3">
      <c r="A109" s="147"/>
      <c r="B109" s="205">
        <f t="shared" si="20"/>
        <v>18</v>
      </c>
      <c r="C109" s="206">
        <v>43885</v>
      </c>
      <c r="D109" s="161" t="s">
        <v>9</v>
      </c>
      <c r="E109" s="161" t="s">
        <v>39</v>
      </c>
      <c r="F109" s="207">
        <v>14790</v>
      </c>
      <c r="G109" s="207">
        <v>14845</v>
      </c>
      <c r="H109" s="161">
        <v>55</v>
      </c>
      <c r="I109" s="207">
        <v>150</v>
      </c>
      <c r="J109" s="242">
        <f t="shared" si="17"/>
        <v>8250</v>
      </c>
      <c r="K109" s="153"/>
      <c r="V109" s="25">
        <f t="shared" si="18"/>
        <v>1</v>
      </c>
      <c r="W109" s="25">
        <f t="shared" si="19"/>
        <v>0</v>
      </c>
    </row>
    <row r="110" spans="1:23" x14ac:dyDescent="0.3">
      <c r="A110" s="147"/>
      <c r="B110" s="205">
        <f t="shared" si="20"/>
        <v>19</v>
      </c>
      <c r="C110" s="206">
        <v>43886</v>
      </c>
      <c r="D110" s="161" t="s">
        <v>9</v>
      </c>
      <c r="E110" s="161" t="s">
        <v>39</v>
      </c>
      <c r="F110" s="207">
        <v>15140</v>
      </c>
      <c r="G110" s="207">
        <v>15100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18"/>
        <v>1</v>
      </c>
      <c r="W110" s="25">
        <f t="shared" si="19"/>
        <v>0</v>
      </c>
    </row>
    <row r="111" spans="1:23" x14ac:dyDescent="0.3">
      <c r="A111" s="147"/>
      <c r="B111" s="205">
        <f t="shared" si="20"/>
        <v>20</v>
      </c>
      <c r="C111" s="206">
        <v>43887</v>
      </c>
      <c r="D111" s="161" t="s">
        <v>9</v>
      </c>
      <c r="E111" s="161" t="s">
        <v>39</v>
      </c>
      <c r="F111" s="207">
        <v>14800</v>
      </c>
      <c r="G111" s="207">
        <v>14720</v>
      </c>
      <c r="H111" s="161">
        <v>50</v>
      </c>
      <c r="I111" s="207">
        <v>150</v>
      </c>
      <c r="J111" s="242">
        <f t="shared" si="17"/>
        <v>7500</v>
      </c>
      <c r="K111" s="153"/>
      <c r="V111" s="25">
        <f t="shared" si="18"/>
        <v>1</v>
      </c>
      <c r="W111" s="25">
        <f t="shared" si="19"/>
        <v>0</v>
      </c>
    </row>
    <row r="112" spans="1:23" x14ac:dyDescent="0.3">
      <c r="A112" s="147"/>
      <c r="B112" s="205">
        <f t="shared" si="20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7"/>
        <v>0</v>
      </c>
      <c r="K112" s="153"/>
      <c r="V112" s="25">
        <f t="shared" si="18"/>
        <v>0</v>
      </c>
      <c r="W112" s="25">
        <f t="shared" si="19"/>
        <v>0</v>
      </c>
    </row>
    <row r="113" spans="1:23" x14ac:dyDescent="0.3">
      <c r="A113" s="147"/>
      <c r="B113" s="205">
        <f t="shared" si="20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7"/>
        <v>0</v>
      </c>
      <c r="K113" s="153"/>
      <c r="V113" s="25">
        <f t="shared" si="18"/>
        <v>0</v>
      </c>
      <c r="W113" s="25">
        <f t="shared" si="19"/>
        <v>0</v>
      </c>
    </row>
    <row r="114" spans="1:23" ht="15" thickBot="1" x14ac:dyDescent="0.35">
      <c r="A114" s="147"/>
      <c r="B114" s="208">
        <f t="shared" si="20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7"/>
        <v>0</v>
      </c>
      <c r="K114" s="153"/>
      <c r="V114" s="25">
        <f t="shared" si="18"/>
        <v>0</v>
      </c>
      <c r="W114" s="25">
        <f t="shared" si="19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102750</v>
      </c>
      <c r="K115" s="153"/>
      <c r="V115" s="25">
        <f>SUM(V92:V114)</f>
        <v>17</v>
      </c>
      <c r="W115" s="25">
        <f>SUM(W92:W114)</f>
        <v>3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3210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44228</v>
      </c>
      <c r="D123" s="185" t="s">
        <v>9</v>
      </c>
      <c r="E123" s="185" t="s">
        <v>3213</v>
      </c>
      <c r="F123" s="219">
        <v>120</v>
      </c>
      <c r="G123" s="219">
        <v>170</v>
      </c>
      <c r="H123" s="185">
        <v>50</v>
      </c>
      <c r="I123" s="219">
        <v>300</v>
      </c>
      <c r="J123" s="246">
        <f t="shared" ref="J123:J145" si="21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44229</v>
      </c>
      <c r="D124" s="185" t="s">
        <v>9</v>
      </c>
      <c r="E124" s="185" t="s">
        <v>3202</v>
      </c>
      <c r="F124" s="219">
        <v>115</v>
      </c>
      <c r="G124" s="219">
        <v>127</v>
      </c>
      <c r="H124" s="185">
        <v>12</v>
      </c>
      <c r="I124" s="219">
        <v>300</v>
      </c>
      <c r="J124" s="242">
        <f t="shared" si="21"/>
        <v>3600</v>
      </c>
      <c r="K124" s="153"/>
      <c r="V124" s="25">
        <f t="shared" ref="V124:V145" si="22">IF($J124&gt;0,1,0)</f>
        <v>1</v>
      </c>
      <c r="W124" s="25">
        <f t="shared" ref="W124:W145" si="23">IF($J124&lt;0,1,0)</f>
        <v>0</v>
      </c>
    </row>
    <row r="125" spans="1:23" x14ac:dyDescent="0.3">
      <c r="A125" s="147"/>
      <c r="B125" s="205">
        <f t="shared" ref="B125:B145" si="24">B124+1</f>
        <v>3</v>
      </c>
      <c r="C125" s="206">
        <v>44230</v>
      </c>
      <c r="D125" s="161" t="s">
        <v>9</v>
      </c>
      <c r="E125" s="161" t="s">
        <v>3217</v>
      </c>
      <c r="F125" s="207">
        <v>110</v>
      </c>
      <c r="G125" s="207">
        <v>135</v>
      </c>
      <c r="H125" s="161">
        <v>25</v>
      </c>
      <c r="I125" s="207">
        <v>300</v>
      </c>
      <c r="J125" s="242">
        <f t="shared" si="21"/>
        <v>7500</v>
      </c>
      <c r="K125" s="153"/>
      <c r="V125" s="25">
        <f t="shared" si="22"/>
        <v>1</v>
      </c>
      <c r="W125" s="25">
        <f t="shared" si="23"/>
        <v>0</v>
      </c>
    </row>
    <row r="126" spans="1:23" x14ac:dyDescent="0.3">
      <c r="A126" s="147"/>
      <c r="B126" s="205">
        <f t="shared" si="24"/>
        <v>4</v>
      </c>
      <c r="C126" s="206">
        <v>44231</v>
      </c>
      <c r="D126" s="161" t="s">
        <v>9</v>
      </c>
      <c r="E126" s="161" t="s">
        <v>3220</v>
      </c>
      <c r="F126" s="207">
        <v>55</v>
      </c>
      <c r="G126" s="207">
        <v>95</v>
      </c>
      <c r="H126" s="161">
        <v>40</v>
      </c>
      <c r="I126" s="207">
        <v>300</v>
      </c>
      <c r="J126" s="242">
        <f t="shared" si="21"/>
        <v>12000</v>
      </c>
      <c r="K126" s="153"/>
      <c r="V126" s="25">
        <f t="shared" si="22"/>
        <v>1</v>
      </c>
      <c r="W126" s="25">
        <f t="shared" si="23"/>
        <v>0</v>
      </c>
    </row>
    <row r="127" spans="1:23" x14ac:dyDescent="0.3">
      <c r="A127" s="147"/>
      <c r="B127" s="205">
        <f t="shared" si="24"/>
        <v>5</v>
      </c>
      <c r="C127" s="206">
        <v>44232</v>
      </c>
      <c r="D127" s="161" t="s">
        <v>9</v>
      </c>
      <c r="E127" s="161" t="s">
        <v>1291</v>
      </c>
      <c r="F127" s="207">
        <v>140</v>
      </c>
      <c r="G127" s="207">
        <v>152</v>
      </c>
      <c r="H127" s="161">
        <v>12</v>
      </c>
      <c r="I127" s="207">
        <v>300</v>
      </c>
      <c r="J127" s="242">
        <f t="shared" si="21"/>
        <v>3600</v>
      </c>
      <c r="K127" s="153"/>
      <c r="M127" s="25" t="s">
        <v>2008</v>
      </c>
      <c r="V127" s="25">
        <f t="shared" si="22"/>
        <v>1</v>
      </c>
      <c r="W127" s="25">
        <f t="shared" si="23"/>
        <v>0</v>
      </c>
    </row>
    <row r="128" spans="1:23" x14ac:dyDescent="0.3">
      <c r="A128" s="147"/>
      <c r="B128" s="205">
        <f t="shared" si="24"/>
        <v>6</v>
      </c>
      <c r="C128" s="206">
        <v>44235</v>
      </c>
      <c r="D128" s="161" t="s">
        <v>9</v>
      </c>
      <c r="E128" s="161" t="s">
        <v>1213</v>
      </c>
      <c r="F128" s="207">
        <v>130</v>
      </c>
      <c r="G128" s="222">
        <v>105</v>
      </c>
      <c r="H128" s="222">
        <v>-25</v>
      </c>
      <c r="I128" s="207">
        <v>300</v>
      </c>
      <c r="J128" s="242">
        <f t="shared" si="21"/>
        <v>-7500</v>
      </c>
      <c r="K128" s="153"/>
      <c r="V128" s="25">
        <f t="shared" si="22"/>
        <v>0</v>
      </c>
      <c r="W128" s="25">
        <f t="shared" si="23"/>
        <v>1</v>
      </c>
    </row>
    <row r="129" spans="1:23" x14ac:dyDescent="0.3">
      <c r="A129" s="147"/>
      <c r="B129" s="205">
        <f t="shared" si="24"/>
        <v>7</v>
      </c>
      <c r="C129" s="206">
        <v>44236</v>
      </c>
      <c r="D129" s="161" t="s">
        <v>9</v>
      </c>
      <c r="E129" s="161" t="s">
        <v>3227</v>
      </c>
      <c r="F129" s="207">
        <v>125</v>
      </c>
      <c r="G129" s="207">
        <v>159</v>
      </c>
      <c r="H129" s="161">
        <v>34</v>
      </c>
      <c r="I129" s="207">
        <v>300</v>
      </c>
      <c r="J129" s="242">
        <f t="shared" si="21"/>
        <v>10200</v>
      </c>
      <c r="K129" s="153"/>
      <c r="V129" s="25">
        <f t="shared" si="22"/>
        <v>1</v>
      </c>
      <c r="W129" s="25">
        <f t="shared" si="23"/>
        <v>0</v>
      </c>
    </row>
    <row r="130" spans="1:23" x14ac:dyDescent="0.3">
      <c r="A130" s="147"/>
      <c r="B130" s="205">
        <f t="shared" si="24"/>
        <v>8</v>
      </c>
      <c r="C130" s="206">
        <v>44237</v>
      </c>
      <c r="D130" s="161" t="s">
        <v>9</v>
      </c>
      <c r="E130" s="161" t="s">
        <v>3231</v>
      </c>
      <c r="F130" s="207">
        <v>110</v>
      </c>
      <c r="G130" s="207">
        <v>122</v>
      </c>
      <c r="H130" s="161">
        <v>12</v>
      </c>
      <c r="I130" s="207">
        <v>300</v>
      </c>
      <c r="J130" s="242">
        <f t="shared" si="21"/>
        <v>3600</v>
      </c>
      <c r="K130" s="153"/>
      <c r="V130" s="25">
        <f t="shared" si="22"/>
        <v>1</v>
      </c>
      <c r="W130" s="25">
        <f t="shared" si="23"/>
        <v>0</v>
      </c>
    </row>
    <row r="131" spans="1:23" x14ac:dyDescent="0.3">
      <c r="A131" s="147"/>
      <c r="B131" s="205">
        <f t="shared" si="24"/>
        <v>9</v>
      </c>
      <c r="C131" s="206">
        <v>44238</v>
      </c>
      <c r="D131" s="161" t="s">
        <v>9</v>
      </c>
      <c r="E131" s="161" t="s">
        <v>1165</v>
      </c>
      <c r="F131" s="207">
        <v>95</v>
      </c>
      <c r="G131" s="207">
        <v>104</v>
      </c>
      <c r="H131" s="161">
        <v>9</v>
      </c>
      <c r="I131" s="207">
        <v>300</v>
      </c>
      <c r="J131" s="242">
        <f t="shared" si="21"/>
        <v>2700</v>
      </c>
      <c r="K131" s="153"/>
      <c r="V131" s="25">
        <f t="shared" si="22"/>
        <v>1</v>
      </c>
      <c r="W131" s="25">
        <f t="shared" si="23"/>
        <v>0</v>
      </c>
    </row>
    <row r="132" spans="1:23" x14ac:dyDescent="0.3">
      <c r="A132" s="147"/>
      <c r="B132" s="205">
        <f t="shared" si="24"/>
        <v>10</v>
      </c>
      <c r="C132" s="206">
        <v>44239</v>
      </c>
      <c r="D132" s="161" t="s">
        <v>9</v>
      </c>
      <c r="E132" s="161" t="s">
        <v>3235</v>
      </c>
      <c r="F132" s="207">
        <v>135</v>
      </c>
      <c r="G132" s="222">
        <v>110</v>
      </c>
      <c r="H132" s="222">
        <v>-25</v>
      </c>
      <c r="I132" s="207">
        <v>300</v>
      </c>
      <c r="J132" s="242">
        <f t="shared" si="21"/>
        <v>-7500</v>
      </c>
      <c r="K132" s="153"/>
      <c r="V132" s="25">
        <f t="shared" si="22"/>
        <v>0</v>
      </c>
      <c r="W132" s="25">
        <f t="shared" si="23"/>
        <v>1</v>
      </c>
    </row>
    <row r="133" spans="1:23" x14ac:dyDescent="0.3">
      <c r="A133" s="147"/>
      <c r="B133" s="205">
        <f t="shared" si="24"/>
        <v>11</v>
      </c>
      <c r="C133" s="206">
        <v>44242</v>
      </c>
      <c r="D133" s="161" t="s">
        <v>9</v>
      </c>
      <c r="E133" s="161" t="s">
        <v>3238</v>
      </c>
      <c r="F133" s="207">
        <v>125</v>
      </c>
      <c r="G133" s="222">
        <v>150</v>
      </c>
      <c r="H133" s="222">
        <v>25</v>
      </c>
      <c r="I133" s="207">
        <v>300</v>
      </c>
      <c r="J133" s="242">
        <f t="shared" si="21"/>
        <v>7500</v>
      </c>
      <c r="K133" s="153"/>
      <c r="V133" s="25">
        <f t="shared" si="22"/>
        <v>1</v>
      </c>
      <c r="W133" s="25">
        <f t="shared" si="23"/>
        <v>0</v>
      </c>
    </row>
    <row r="134" spans="1:23" x14ac:dyDescent="0.3">
      <c r="A134" s="147"/>
      <c r="B134" s="205">
        <f t="shared" si="24"/>
        <v>12</v>
      </c>
      <c r="C134" s="206">
        <v>44243</v>
      </c>
      <c r="D134" s="161" t="s">
        <v>9</v>
      </c>
      <c r="E134" s="161" t="s">
        <v>3239</v>
      </c>
      <c r="F134" s="207">
        <v>120</v>
      </c>
      <c r="G134" s="222">
        <v>95</v>
      </c>
      <c r="H134" s="222">
        <v>-25</v>
      </c>
      <c r="I134" s="207">
        <v>300</v>
      </c>
      <c r="J134" s="242">
        <f t="shared" si="21"/>
        <v>-7500</v>
      </c>
      <c r="K134" s="153"/>
      <c r="V134" s="25">
        <f t="shared" si="22"/>
        <v>0</v>
      </c>
      <c r="W134" s="25">
        <f t="shared" si="23"/>
        <v>1</v>
      </c>
    </row>
    <row r="135" spans="1:23" x14ac:dyDescent="0.3">
      <c r="A135" s="147"/>
      <c r="B135" s="205">
        <f t="shared" si="24"/>
        <v>13</v>
      </c>
      <c r="C135" s="206">
        <v>44244</v>
      </c>
      <c r="D135" s="161" t="s">
        <v>9</v>
      </c>
      <c r="E135" s="161" t="s">
        <v>3235</v>
      </c>
      <c r="F135" s="207">
        <v>100</v>
      </c>
      <c r="G135" s="222">
        <v>135</v>
      </c>
      <c r="H135" s="222">
        <v>35</v>
      </c>
      <c r="I135" s="207">
        <v>300</v>
      </c>
      <c r="J135" s="242">
        <f t="shared" si="21"/>
        <v>10500</v>
      </c>
      <c r="K135" s="153"/>
      <c r="V135" s="25">
        <f t="shared" si="22"/>
        <v>1</v>
      </c>
      <c r="W135" s="25">
        <f t="shared" si="23"/>
        <v>0</v>
      </c>
    </row>
    <row r="136" spans="1:23" x14ac:dyDescent="0.3">
      <c r="A136" s="147"/>
      <c r="B136" s="205">
        <f t="shared" si="24"/>
        <v>14</v>
      </c>
      <c r="C136" s="206">
        <v>44245</v>
      </c>
      <c r="D136" s="161" t="s">
        <v>9</v>
      </c>
      <c r="E136" s="161" t="s">
        <v>3249</v>
      </c>
      <c r="F136" s="207">
        <v>95</v>
      </c>
      <c r="G136" s="207">
        <v>145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4"/>
        <v>15</v>
      </c>
      <c r="C137" s="206">
        <v>44246</v>
      </c>
      <c r="D137" s="161" t="s">
        <v>9</v>
      </c>
      <c r="E137" s="161" t="s">
        <v>1213</v>
      </c>
      <c r="F137" s="207">
        <v>120</v>
      </c>
      <c r="G137" s="207">
        <v>138</v>
      </c>
      <c r="H137" s="161">
        <v>18</v>
      </c>
      <c r="I137" s="207">
        <v>300</v>
      </c>
      <c r="J137" s="242">
        <f t="shared" si="21"/>
        <v>5400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4"/>
        <v>16</v>
      </c>
      <c r="C138" s="206">
        <v>44249</v>
      </c>
      <c r="D138" s="161" t="s">
        <v>9</v>
      </c>
      <c r="E138" s="161" t="s">
        <v>3252</v>
      </c>
      <c r="F138" s="207">
        <v>130</v>
      </c>
      <c r="G138" s="207">
        <v>180</v>
      </c>
      <c r="H138" s="161">
        <v>50</v>
      </c>
      <c r="I138" s="207">
        <v>300</v>
      </c>
      <c r="J138" s="242">
        <f t="shared" si="21"/>
        <v>15000</v>
      </c>
      <c r="K138" s="153"/>
      <c r="V138" s="25">
        <f t="shared" si="22"/>
        <v>1</v>
      </c>
      <c r="W138" s="25">
        <f t="shared" si="23"/>
        <v>0</v>
      </c>
    </row>
    <row r="139" spans="1:23" x14ac:dyDescent="0.3">
      <c r="A139" s="147"/>
      <c r="B139" s="205">
        <f t="shared" si="24"/>
        <v>17</v>
      </c>
      <c r="C139" s="206">
        <v>44250</v>
      </c>
      <c r="D139" s="161" t="s">
        <v>9</v>
      </c>
      <c r="E139" s="161" t="s">
        <v>3220</v>
      </c>
      <c r="F139" s="207">
        <v>130</v>
      </c>
      <c r="G139" s="207">
        <v>105</v>
      </c>
      <c r="H139" s="161">
        <v>-25</v>
      </c>
      <c r="I139" s="207">
        <v>300</v>
      </c>
      <c r="J139" s="242">
        <f t="shared" si="21"/>
        <v>-7500</v>
      </c>
      <c r="K139" s="153"/>
      <c r="V139" s="25">
        <f t="shared" si="22"/>
        <v>0</v>
      </c>
      <c r="W139" s="25">
        <f t="shared" si="23"/>
        <v>1</v>
      </c>
    </row>
    <row r="140" spans="1:23" x14ac:dyDescent="0.3">
      <c r="A140" s="147"/>
      <c r="B140" s="205">
        <f t="shared" si="24"/>
        <v>18</v>
      </c>
      <c r="C140" s="206">
        <v>44251</v>
      </c>
      <c r="D140" s="161" t="s">
        <v>9</v>
      </c>
      <c r="E140" s="161" t="s">
        <v>3217</v>
      </c>
      <c r="F140" s="207">
        <v>100</v>
      </c>
      <c r="G140" s="222">
        <v>150</v>
      </c>
      <c r="H140" s="222">
        <v>50</v>
      </c>
      <c r="I140" s="207">
        <v>300</v>
      </c>
      <c r="J140" s="242">
        <f t="shared" si="21"/>
        <v>15000</v>
      </c>
      <c r="K140" s="153"/>
      <c r="V140" s="25">
        <f t="shared" si="22"/>
        <v>1</v>
      </c>
      <c r="W140" s="25">
        <f t="shared" si="23"/>
        <v>0</v>
      </c>
    </row>
    <row r="141" spans="1:23" x14ac:dyDescent="0.3">
      <c r="A141" s="147"/>
      <c r="B141" s="205">
        <f t="shared" si="24"/>
        <v>19</v>
      </c>
      <c r="C141" s="206">
        <v>44252</v>
      </c>
      <c r="D141" s="161" t="s">
        <v>9</v>
      </c>
      <c r="E141" s="161" t="s">
        <v>3231</v>
      </c>
      <c r="F141" s="207">
        <v>80</v>
      </c>
      <c r="G141" s="207">
        <v>129</v>
      </c>
      <c r="H141" s="161">
        <v>49</v>
      </c>
      <c r="I141" s="207">
        <v>300</v>
      </c>
      <c r="J141" s="242">
        <f t="shared" si="21"/>
        <v>14700</v>
      </c>
      <c r="K141" s="153"/>
      <c r="V141" s="25">
        <f t="shared" si="22"/>
        <v>1</v>
      </c>
      <c r="W141" s="25">
        <f t="shared" si="23"/>
        <v>0</v>
      </c>
    </row>
    <row r="142" spans="1:23" x14ac:dyDescent="0.3">
      <c r="A142" s="147"/>
      <c r="B142" s="205">
        <f t="shared" si="24"/>
        <v>20</v>
      </c>
      <c r="C142" s="206">
        <v>44253</v>
      </c>
      <c r="D142" s="161" t="s">
        <v>9</v>
      </c>
      <c r="E142" s="161" t="s">
        <v>1222</v>
      </c>
      <c r="F142" s="207">
        <v>200</v>
      </c>
      <c r="G142" s="207">
        <v>260</v>
      </c>
      <c r="H142" s="161">
        <v>60</v>
      </c>
      <c r="I142" s="207">
        <v>300</v>
      </c>
      <c r="J142" s="242">
        <f t="shared" si="21"/>
        <v>18000</v>
      </c>
      <c r="K142" s="153"/>
      <c r="V142" s="25">
        <f t="shared" si="22"/>
        <v>1</v>
      </c>
      <c r="W142" s="25">
        <f t="shared" si="23"/>
        <v>0</v>
      </c>
    </row>
    <row r="143" spans="1:23" x14ac:dyDescent="0.3">
      <c r="A143" s="147"/>
      <c r="B143" s="205">
        <f t="shared" si="24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1"/>
        <v>0</v>
      </c>
      <c r="K143" s="153"/>
      <c r="V143" s="25">
        <f t="shared" si="22"/>
        <v>0</v>
      </c>
      <c r="W143" s="25">
        <f t="shared" si="23"/>
        <v>0</v>
      </c>
    </row>
    <row r="144" spans="1:23" x14ac:dyDescent="0.3">
      <c r="A144" s="147"/>
      <c r="B144" s="205">
        <f t="shared" si="24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1"/>
        <v>0</v>
      </c>
      <c r="K144" s="153"/>
      <c r="V144" s="25">
        <f t="shared" si="22"/>
        <v>0</v>
      </c>
      <c r="W144" s="25">
        <f t="shared" si="23"/>
        <v>0</v>
      </c>
    </row>
    <row r="145" spans="1:23" ht="15" thickBot="1" x14ac:dyDescent="0.35">
      <c r="A145" s="147"/>
      <c r="B145" s="208">
        <f t="shared" si="24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1"/>
        <v>0</v>
      </c>
      <c r="K145" s="153"/>
      <c r="V145" s="25">
        <f t="shared" si="22"/>
        <v>0</v>
      </c>
      <c r="W145" s="25">
        <f t="shared" si="23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129300</v>
      </c>
      <c r="K146" s="153"/>
      <c r="V146" s="25">
        <f>SUM(V123:V145)</f>
        <v>16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3210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44228</v>
      </c>
      <c r="D154" s="185" t="s">
        <v>9</v>
      </c>
      <c r="E154" s="185" t="s">
        <v>301</v>
      </c>
      <c r="F154" s="219">
        <v>31550</v>
      </c>
      <c r="G154" s="231">
        <v>31605</v>
      </c>
      <c r="H154" s="185">
        <v>55</v>
      </c>
      <c r="I154" s="219">
        <v>50</v>
      </c>
      <c r="J154" s="246">
        <f t="shared" ref="J154:J176" si="25">I154*H154</f>
        <v>2750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44229</v>
      </c>
      <c r="D155" s="185" t="s">
        <v>9</v>
      </c>
      <c r="E155" s="185" t="s">
        <v>301</v>
      </c>
      <c r="F155" s="219">
        <v>33900</v>
      </c>
      <c r="G155" s="219">
        <v>34200</v>
      </c>
      <c r="H155" s="185">
        <v>300</v>
      </c>
      <c r="I155" s="219">
        <v>50</v>
      </c>
      <c r="J155" s="242">
        <f t="shared" si="25"/>
        <v>15000</v>
      </c>
      <c r="K155" s="153"/>
      <c r="V155" s="25">
        <f t="shared" ref="V155:V176" si="26">IF($J155&gt;0,1,0)</f>
        <v>1</v>
      </c>
      <c r="W155" s="25">
        <f t="shared" ref="W155:W176" si="27">IF($J155&lt;0,1,0)</f>
        <v>0</v>
      </c>
    </row>
    <row r="156" spans="1:23" x14ac:dyDescent="0.3">
      <c r="A156" s="147"/>
      <c r="B156" s="205">
        <f t="shared" ref="B156:B176" si="28">B155+1</f>
        <v>3</v>
      </c>
      <c r="C156" s="206">
        <v>44230</v>
      </c>
      <c r="D156" s="161" t="s">
        <v>9</v>
      </c>
      <c r="E156" s="161" t="s">
        <v>301</v>
      </c>
      <c r="F156" s="207">
        <v>34550</v>
      </c>
      <c r="G156" s="207">
        <v>34850</v>
      </c>
      <c r="H156" s="161">
        <v>300</v>
      </c>
      <c r="I156" s="207">
        <v>50</v>
      </c>
      <c r="J156" s="242">
        <f t="shared" si="25"/>
        <v>15000</v>
      </c>
      <c r="K156" s="153"/>
      <c r="V156" s="25">
        <f t="shared" si="26"/>
        <v>1</v>
      </c>
      <c r="W156" s="25">
        <f t="shared" si="27"/>
        <v>0</v>
      </c>
    </row>
    <row r="157" spans="1:23" x14ac:dyDescent="0.3">
      <c r="A157" s="147"/>
      <c r="B157" s="205">
        <f t="shared" si="28"/>
        <v>4</v>
      </c>
      <c r="C157" s="206">
        <v>44231</v>
      </c>
      <c r="D157" s="161" t="s">
        <v>8</v>
      </c>
      <c r="E157" s="161" t="s">
        <v>301</v>
      </c>
      <c r="F157" s="207">
        <v>34400</v>
      </c>
      <c r="G157" s="207">
        <v>34550</v>
      </c>
      <c r="H157" s="161">
        <v>-150</v>
      </c>
      <c r="I157" s="207">
        <v>50</v>
      </c>
      <c r="J157" s="242">
        <f t="shared" si="25"/>
        <v>-7500</v>
      </c>
      <c r="K157" s="153"/>
      <c r="V157" s="25">
        <f t="shared" si="26"/>
        <v>0</v>
      </c>
      <c r="W157" s="25">
        <f t="shared" si="27"/>
        <v>1</v>
      </c>
    </row>
    <row r="158" spans="1:23" x14ac:dyDescent="0.3">
      <c r="A158" s="147"/>
      <c r="B158" s="205">
        <f t="shared" si="28"/>
        <v>5</v>
      </c>
      <c r="C158" s="206">
        <v>44232</v>
      </c>
      <c r="D158" s="161" t="s">
        <v>9</v>
      </c>
      <c r="E158" s="161" t="s">
        <v>301</v>
      </c>
      <c r="F158" s="207">
        <v>36200</v>
      </c>
      <c r="G158" s="207">
        <v>36260</v>
      </c>
      <c r="H158" s="161">
        <v>60</v>
      </c>
      <c r="I158" s="207">
        <v>50</v>
      </c>
      <c r="J158" s="242">
        <f t="shared" si="25"/>
        <v>3000</v>
      </c>
      <c r="K158" s="153"/>
      <c r="V158" s="25">
        <f t="shared" si="26"/>
        <v>1</v>
      </c>
      <c r="W158" s="25">
        <f t="shared" si="27"/>
        <v>0</v>
      </c>
    </row>
    <row r="159" spans="1:23" x14ac:dyDescent="0.3">
      <c r="A159" s="147"/>
      <c r="B159" s="205">
        <f t="shared" si="28"/>
        <v>6</v>
      </c>
      <c r="C159" s="206">
        <v>44235</v>
      </c>
      <c r="D159" s="161" t="s">
        <v>9</v>
      </c>
      <c r="E159" s="161" t="s">
        <v>301</v>
      </c>
      <c r="F159" s="207">
        <v>36450</v>
      </c>
      <c r="G159" s="207">
        <v>36300</v>
      </c>
      <c r="H159" s="161">
        <v>-150</v>
      </c>
      <c r="I159" s="207">
        <v>50</v>
      </c>
      <c r="J159" s="242">
        <f t="shared" si="25"/>
        <v>-7500</v>
      </c>
      <c r="K159" s="153"/>
      <c r="V159" s="25">
        <f t="shared" si="26"/>
        <v>0</v>
      </c>
      <c r="W159" s="25">
        <f t="shared" si="27"/>
        <v>1</v>
      </c>
    </row>
    <row r="160" spans="1:23" x14ac:dyDescent="0.3">
      <c r="A160" s="147"/>
      <c r="B160" s="205">
        <f t="shared" si="28"/>
        <v>7</v>
      </c>
      <c r="C160" s="206">
        <v>44236</v>
      </c>
      <c r="D160" s="161" t="s">
        <v>9</v>
      </c>
      <c r="E160" s="161" t="s">
        <v>301</v>
      </c>
      <c r="F160" s="207">
        <v>35800</v>
      </c>
      <c r="G160" s="207">
        <v>36100</v>
      </c>
      <c r="H160" s="161">
        <v>300</v>
      </c>
      <c r="I160" s="207">
        <v>50</v>
      </c>
      <c r="J160" s="242">
        <f t="shared" si="25"/>
        <v>15000</v>
      </c>
      <c r="K160" s="153"/>
      <c r="V160" s="25">
        <f t="shared" si="26"/>
        <v>1</v>
      </c>
      <c r="W160" s="25">
        <f t="shared" si="27"/>
        <v>0</v>
      </c>
    </row>
    <row r="161" spans="1:23" x14ac:dyDescent="0.3">
      <c r="A161" s="147"/>
      <c r="B161" s="205">
        <f t="shared" si="28"/>
        <v>8</v>
      </c>
      <c r="C161" s="206">
        <v>44237</v>
      </c>
      <c r="D161" s="161" t="s">
        <v>9</v>
      </c>
      <c r="E161" s="161" t="s">
        <v>301</v>
      </c>
      <c r="F161" s="207">
        <v>35950</v>
      </c>
      <c r="G161" s="207">
        <v>35800</v>
      </c>
      <c r="H161" s="161">
        <v>-150</v>
      </c>
      <c r="I161" s="207">
        <v>50</v>
      </c>
      <c r="J161" s="242">
        <f t="shared" si="25"/>
        <v>-7500</v>
      </c>
      <c r="K161" s="153"/>
      <c r="V161" s="25">
        <f t="shared" si="26"/>
        <v>0</v>
      </c>
      <c r="W161" s="25">
        <f t="shared" si="27"/>
        <v>1</v>
      </c>
    </row>
    <row r="162" spans="1:23" x14ac:dyDescent="0.3">
      <c r="A162" s="147"/>
      <c r="B162" s="205">
        <f t="shared" si="28"/>
        <v>9</v>
      </c>
      <c r="C162" s="206">
        <v>44238</v>
      </c>
      <c r="D162" s="161" t="s">
        <v>9</v>
      </c>
      <c r="E162" s="161" t="s">
        <v>301</v>
      </c>
      <c r="F162" s="207">
        <v>35950</v>
      </c>
      <c r="G162" s="207">
        <v>35800</v>
      </c>
      <c r="H162" s="161">
        <v>-150</v>
      </c>
      <c r="I162" s="207">
        <v>50</v>
      </c>
      <c r="J162" s="242">
        <f t="shared" si="25"/>
        <v>-7500</v>
      </c>
      <c r="K162" s="153"/>
      <c r="V162" s="25">
        <f t="shared" si="26"/>
        <v>0</v>
      </c>
      <c r="W162" s="25">
        <f t="shared" si="27"/>
        <v>1</v>
      </c>
    </row>
    <row r="163" spans="1:23" x14ac:dyDescent="0.3">
      <c r="A163" s="147"/>
      <c r="B163" s="205">
        <f t="shared" si="28"/>
        <v>10</v>
      </c>
      <c r="C163" s="206">
        <v>44239</v>
      </c>
      <c r="D163" s="161" t="s">
        <v>9</v>
      </c>
      <c r="E163" s="161" t="s">
        <v>301</v>
      </c>
      <c r="F163" s="207">
        <v>30850</v>
      </c>
      <c r="G163" s="207">
        <v>36150</v>
      </c>
      <c r="H163" s="161">
        <v>300</v>
      </c>
      <c r="I163" s="207">
        <v>50</v>
      </c>
      <c r="J163" s="242">
        <f t="shared" si="25"/>
        <v>15000</v>
      </c>
      <c r="K163" s="153"/>
      <c r="V163" s="25">
        <f t="shared" si="26"/>
        <v>1</v>
      </c>
      <c r="W163" s="25">
        <f t="shared" si="27"/>
        <v>0</v>
      </c>
    </row>
    <row r="164" spans="1:23" x14ac:dyDescent="0.3">
      <c r="A164" s="147"/>
      <c r="B164" s="205">
        <f t="shared" si="28"/>
        <v>11</v>
      </c>
      <c r="C164" s="206">
        <v>44242</v>
      </c>
      <c r="D164" s="161" t="s">
        <v>9</v>
      </c>
      <c r="E164" s="161" t="s">
        <v>301</v>
      </c>
      <c r="F164" s="207">
        <v>36750</v>
      </c>
      <c r="G164" s="207">
        <v>37050</v>
      </c>
      <c r="H164" s="161">
        <v>300</v>
      </c>
      <c r="I164" s="207">
        <v>50</v>
      </c>
      <c r="J164" s="242">
        <f t="shared" si="25"/>
        <v>15000</v>
      </c>
      <c r="K164" s="153"/>
      <c r="V164" s="25">
        <f t="shared" si="26"/>
        <v>1</v>
      </c>
      <c r="W164" s="25">
        <f t="shared" si="27"/>
        <v>0</v>
      </c>
    </row>
    <row r="165" spans="1:23" x14ac:dyDescent="0.3">
      <c r="A165" s="147"/>
      <c r="B165" s="205">
        <f t="shared" si="28"/>
        <v>12</v>
      </c>
      <c r="C165" s="206">
        <v>44243</v>
      </c>
      <c r="D165" s="161" t="s">
        <v>9</v>
      </c>
      <c r="E165" s="161" t="s">
        <v>301</v>
      </c>
      <c r="F165" s="207">
        <v>37350</v>
      </c>
      <c r="G165" s="207">
        <v>37500</v>
      </c>
      <c r="H165" s="161">
        <v>150</v>
      </c>
      <c r="I165" s="207">
        <v>50</v>
      </c>
      <c r="J165" s="242">
        <f t="shared" si="25"/>
        <v>7500</v>
      </c>
      <c r="K165" s="153"/>
      <c r="V165" s="25">
        <f t="shared" si="26"/>
        <v>1</v>
      </c>
      <c r="W165" s="25">
        <f t="shared" si="27"/>
        <v>0</v>
      </c>
    </row>
    <row r="166" spans="1:23" x14ac:dyDescent="0.3">
      <c r="A166" s="147"/>
      <c r="B166" s="205">
        <f t="shared" si="28"/>
        <v>13</v>
      </c>
      <c r="C166" s="206">
        <v>44244</v>
      </c>
      <c r="D166" s="161" t="s">
        <v>9</v>
      </c>
      <c r="E166" s="161" t="s">
        <v>301</v>
      </c>
      <c r="F166" s="207">
        <v>36950</v>
      </c>
      <c r="G166" s="207">
        <v>37250</v>
      </c>
      <c r="H166" s="161">
        <v>300</v>
      </c>
      <c r="I166" s="207">
        <v>50</v>
      </c>
      <c r="J166" s="242">
        <f t="shared" si="25"/>
        <v>15000</v>
      </c>
      <c r="K166" s="153"/>
      <c r="V166" s="25">
        <f t="shared" si="26"/>
        <v>1</v>
      </c>
      <c r="W166" s="25">
        <f t="shared" si="27"/>
        <v>0</v>
      </c>
    </row>
    <row r="167" spans="1:23" x14ac:dyDescent="0.3">
      <c r="A167" s="147"/>
      <c r="B167" s="205">
        <f t="shared" si="28"/>
        <v>14</v>
      </c>
      <c r="C167" s="206">
        <v>44245</v>
      </c>
      <c r="D167" s="161" t="s">
        <v>9</v>
      </c>
      <c r="E167" s="161" t="s">
        <v>301</v>
      </c>
      <c r="F167" s="207">
        <v>36950</v>
      </c>
      <c r="G167" s="207">
        <v>37000</v>
      </c>
      <c r="H167" s="161">
        <v>50</v>
      </c>
      <c r="I167" s="207">
        <v>50</v>
      </c>
      <c r="J167" s="242">
        <f t="shared" si="25"/>
        <v>2500</v>
      </c>
      <c r="K167" s="153"/>
      <c r="V167" s="25">
        <f t="shared" si="26"/>
        <v>1</v>
      </c>
      <c r="W167" s="25">
        <f t="shared" si="27"/>
        <v>0</v>
      </c>
    </row>
    <row r="168" spans="1:23" x14ac:dyDescent="0.3">
      <c r="A168" s="147"/>
      <c r="B168" s="205">
        <f t="shared" si="28"/>
        <v>15</v>
      </c>
      <c r="C168" s="206">
        <v>44246</v>
      </c>
      <c r="D168" s="161" t="s">
        <v>9</v>
      </c>
      <c r="E168" s="161" t="s">
        <v>301</v>
      </c>
      <c r="F168" s="207">
        <v>36550</v>
      </c>
      <c r="G168" s="207">
        <v>36680</v>
      </c>
      <c r="H168" s="161">
        <v>130</v>
      </c>
      <c r="I168" s="207">
        <v>50</v>
      </c>
      <c r="J168" s="242">
        <f t="shared" si="25"/>
        <v>6500</v>
      </c>
      <c r="K168" s="153"/>
      <c r="V168" s="25">
        <f t="shared" si="26"/>
        <v>1</v>
      </c>
      <c r="W168" s="25">
        <f t="shared" si="27"/>
        <v>0</v>
      </c>
    </row>
    <row r="169" spans="1:23" x14ac:dyDescent="0.3">
      <c r="A169" s="147"/>
      <c r="B169" s="205">
        <f t="shared" si="28"/>
        <v>16</v>
      </c>
      <c r="C169" s="206">
        <v>44249</v>
      </c>
      <c r="D169" s="161" t="s">
        <v>9</v>
      </c>
      <c r="E169" s="161" t="s">
        <v>301</v>
      </c>
      <c r="F169" s="207">
        <v>35850</v>
      </c>
      <c r="G169" s="207">
        <v>35920</v>
      </c>
      <c r="H169" s="161">
        <v>70</v>
      </c>
      <c r="I169" s="207">
        <v>50</v>
      </c>
      <c r="J169" s="242">
        <f t="shared" si="25"/>
        <v>3500</v>
      </c>
      <c r="K169" s="153"/>
      <c r="V169" s="25">
        <f t="shared" si="26"/>
        <v>1</v>
      </c>
      <c r="W169" s="25">
        <f t="shared" si="27"/>
        <v>0</v>
      </c>
    </row>
    <row r="170" spans="1:23" x14ac:dyDescent="0.3">
      <c r="A170" s="147"/>
      <c r="B170" s="205">
        <f t="shared" si="28"/>
        <v>17</v>
      </c>
      <c r="C170" s="206">
        <v>44250</v>
      </c>
      <c r="D170" s="161" t="s">
        <v>9</v>
      </c>
      <c r="E170" s="161" t="s">
        <v>301</v>
      </c>
      <c r="F170" s="207">
        <v>35500</v>
      </c>
      <c r="G170" s="207">
        <v>35580</v>
      </c>
      <c r="H170" s="161">
        <v>80</v>
      </c>
      <c r="I170" s="207">
        <v>50</v>
      </c>
      <c r="J170" s="242">
        <f t="shared" si="25"/>
        <v>4000</v>
      </c>
      <c r="K170" s="153"/>
      <c r="V170" s="25">
        <f t="shared" si="26"/>
        <v>1</v>
      </c>
      <c r="W170" s="25">
        <f t="shared" si="27"/>
        <v>0</v>
      </c>
    </row>
    <row r="171" spans="1:23" x14ac:dyDescent="0.3">
      <c r="A171" s="147"/>
      <c r="B171" s="205">
        <f t="shared" si="28"/>
        <v>18</v>
      </c>
      <c r="C171" s="206">
        <v>44251</v>
      </c>
      <c r="D171" s="161" t="s">
        <v>9</v>
      </c>
      <c r="E171" s="161" t="s">
        <v>301</v>
      </c>
      <c r="F171" s="207">
        <v>35480</v>
      </c>
      <c r="G171" s="207">
        <v>35780</v>
      </c>
      <c r="H171" s="161">
        <v>300</v>
      </c>
      <c r="I171" s="207">
        <v>50</v>
      </c>
      <c r="J171" s="242">
        <f t="shared" si="25"/>
        <v>15000</v>
      </c>
      <c r="K171" s="153"/>
      <c r="V171" s="25">
        <f t="shared" si="26"/>
        <v>1</v>
      </c>
      <c r="W171" s="25">
        <f t="shared" si="27"/>
        <v>0</v>
      </c>
    </row>
    <row r="172" spans="1:23" x14ac:dyDescent="0.3">
      <c r="A172" s="147"/>
      <c r="B172" s="205">
        <f t="shared" si="28"/>
        <v>19</v>
      </c>
      <c r="C172" s="206">
        <v>44252</v>
      </c>
      <c r="D172" s="161" t="s">
        <v>9</v>
      </c>
      <c r="E172" s="161" t="s">
        <v>301</v>
      </c>
      <c r="F172" s="207">
        <v>37100</v>
      </c>
      <c r="G172" s="207">
        <v>36950</v>
      </c>
      <c r="H172" s="161">
        <v>-150</v>
      </c>
      <c r="I172" s="207">
        <v>50</v>
      </c>
      <c r="J172" s="242">
        <f t="shared" si="25"/>
        <v>-7500</v>
      </c>
      <c r="K172" s="153"/>
      <c r="V172" s="25">
        <f t="shared" si="26"/>
        <v>0</v>
      </c>
      <c r="W172" s="25">
        <f t="shared" si="27"/>
        <v>1</v>
      </c>
    </row>
    <row r="173" spans="1:23" x14ac:dyDescent="0.3">
      <c r="A173" s="147"/>
      <c r="B173" s="205">
        <f t="shared" si="28"/>
        <v>20</v>
      </c>
      <c r="C173" s="206">
        <v>44253</v>
      </c>
      <c r="D173" s="161" t="s">
        <v>8</v>
      </c>
      <c r="E173" s="161" t="s">
        <v>301</v>
      </c>
      <c r="F173" s="207">
        <v>35150</v>
      </c>
      <c r="G173" s="207">
        <v>34850</v>
      </c>
      <c r="H173" s="161">
        <v>300</v>
      </c>
      <c r="I173" s="207">
        <v>50</v>
      </c>
      <c r="J173" s="242">
        <f t="shared" si="25"/>
        <v>15000</v>
      </c>
      <c r="K173" s="153"/>
      <c r="V173" s="25">
        <f t="shared" si="26"/>
        <v>1</v>
      </c>
      <c r="W173" s="25">
        <f t="shared" si="27"/>
        <v>0</v>
      </c>
    </row>
    <row r="174" spans="1:23" x14ac:dyDescent="0.3">
      <c r="A174" s="147"/>
      <c r="B174" s="205">
        <f t="shared" si="28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5"/>
        <v>0</v>
      </c>
      <c r="K174" s="153"/>
      <c r="V174" s="25">
        <f t="shared" si="26"/>
        <v>0</v>
      </c>
      <c r="W174" s="25">
        <f t="shared" si="27"/>
        <v>0</v>
      </c>
    </row>
    <row r="175" spans="1:23" x14ac:dyDescent="0.3">
      <c r="A175" s="147"/>
      <c r="B175" s="205">
        <f t="shared" si="28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5"/>
        <v>0</v>
      </c>
      <c r="K175" s="153"/>
      <c r="V175" s="25">
        <f t="shared" si="26"/>
        <v>0</v>
      </c>
      <c r="W175" s="25">
        <f t="shared" si="27"/>
        <v>0</v>
      </c>
    </row>
    <row r="176" spans="1:23" ht="15" thickBot="1" x14ac:dyDescent="0.35">
      <c r="A176" s="147"/>
      <c r="B176" s="208">
        <f t="shared" si="28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5"/>
        <v>0</v>
      </c>
      <c r="K176" s="153"/>
      <c r="V176" s="25">
        <f t="shared" si="26"/>
        <v>0</v>
      </c>
      <c r="W176" s="25">
        <f t="shared" si="27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112250</v>
      </c>
      <c r="K177" s="153"/>
      <c r="V177" s="25">
        <f>SUM(V154:V176)</f>
        <v>15</v>
      </c>
      <c r="W177" s="25">
        <f>SUM(W154:W176)</f>
        <v>5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3212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44228</v>
      </c>
      <c r="D185" s="185" t="s">
        <v>9</v>
      </c>
      <c r="E185" s="185" t="s">
        <v>2903</v>
      </c>
      <c r="F185" s="219">
        <v>400</v>
      </c>
      <c r="G185" s="219">
        <v>600</v>
      </c>
      <c r="H185" s="185">
        <v>200</v>
      </c>
      <c r="I185" s="219">
        <v>100</v>
      </c>
      <c r="J185" s="246">
        <f t="shared" ref="J185:J207" si="29">I185*H185</f>
        <v>20000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44229</v>
      </c>
      <c r="D186" s="185" t="s">
        <v>9</v>
      </c>
      <c r="E186" s="185" t="s">
        <v>3214</v>
      </c>
      <c r="F186" s="219">
        <v>420</v>
      </c>
      <c r="G186" s="219">
        <v>609</v>
      </c>
      <c r="H186" s="185">
        <v>189</v>
      </c>
      <c r="I186" s="219">
        <v>100</v>
      </c>
      <c r="J186" s="242">
        <f t="shared" si="29"/>
        <v>18900</v>
      </c>
      <c r="K186" s="153"/>
      <c r="V186" s="25">
        <f t="shared" ref="V186:V207" si="30">IF($J186&gt;0,1,0)</f>
        <v>1</v>
      </c>
      <c r="W186" s="25">
        <f t="shared" ref="W186:W207" si="31">IF($J186&lt;0,1,0)</f>
        <v>0</v>
      </c>
    </row>
    <row r="187" spans="1:23" x14ac:dyDescent="0.3">
      <c r="A187" s="147"/>
      <c r="B187" s="205">
        <f t="shared" ref="B187:B207" si="32">B186+1</f>
        <v>3</v>
      </c>
      <c r="C187" s="206">
        <v>44230</v>
      </c>
      <c r="D187" s="161" t="s">
        <v>9</v>
      </c>
      <c r="E187" s="161" t="s">
        <v>3218</v>
      </c>
      <c r="F187" s="207">
        <v>260</v>
      </c>
      <c r="G187" s="207">
        <v>360</v>
      </c>
      <c r="H187" s="161">
        <v>100</v>
      </c>
      <c r="I187" s="207">
        <v>100</v>
      </c>
      <c r="J187" s="242">
        <f t="shared" si="29"/>
        <v>10000</v>
      </c>
      <c r="K187" s="153"/>
      <c r="V187" s="25">
        <f t="shared" si="30"/>
        <v>1</v>
      </c>
      <c r="W187" s="25">
        <f t="shared" si="31"/>
        <v>0</v>
      </c>
    </row>
    <row r="188" spans="1:23" x14ac:dyDescent="0.3">
      <c r="A188" s="147"/>
      <c r="B188" s="205">
        <f t="shared" si="32"/>
        <v>4</v>
      </c>
      <c r="C188" s="206">
        <v>44231</v>
      </c>
      <c r="D188" s="161" t="s">
        <v>9</v>
      </c>
      <c r="E188" s="161" t="s">
        <v>3221</v>
      </c>
      <c r="F188" s="207">
        <v>120</v>
      </c>
      <c r="G188" s="207">
        <v>320</v>
      </c>
      <c r="H188" s="161">
        <v>200</v>
      </c>
      <c r="I188" s="207">
        <v>100</v>
      </c>
      <c r="J188" s="242">
        <f t="shared" si="29"/>
        <v>20000</v>
      </c>
      <c r="K188" s="153"/>
      <c r="V188" s="25">
        <f t="shared" si="30"/>
        <v>1</v>
      </c>
      <c r="W188" s="25">
        <f t="shared" si="31"/>
        <v>0</v>
      </c>
    </row>
    <row r="189" spans="1:23" x14ac:dyDescent="0.3">
      <c r="A189" s="147"/>
      <c r="B189" s="205">
        <f t="shared" si="32"/>
        <v>5</v>
      </c>
      <c r="C189" s="206">
        <v>44232</v>
      </c>
      <c r="D189" s="161" t="s">
        <v>9</v>
      </c>
      <c r="E189" s="161" t="s">
        <v>3222</v>
      </c>
      <c r="F189" s="207">
        <v>640</v>
      </c>
      <c r="G189" s="207">
        <v>690</v>
      </c>
      <c r="H189" s="161">
        <v>50</v>
      </c>
      <c r="I189" s="207">
        <v>100</v>
      </c>
      <c r="J189" s="242">
        <f t="shared" si="29"/>
        <v>5000</v>
      </c>
      <c r="K189" s="153"/>
      <c r="O189" s="25" t="s">
        <v>2008</v>
      </c>
      <c r="V189" s="25">
        <f t="shared" si="30"/>
        <v>1</v>
      </c>
      <c r="W189" s="25">
        <f t="shared" si="31"/>
        <v>0</v>
      </c>
    </row>
    <row r="190" spans="1:23" x14ac:dyDescent="0.3">
      <c r="A190" s="147"/>
      <c r="B190" s="205">
        <f t="shared" si="32"/>
        <v>6</v>
      </c>
      <c r="C190" s="206">
        <v>44235</v>
      </c>
      <c r="D190" s="161" t="s">
        <v>9</v>
      </c>
      <c r="E190" s="161" t="s">
        <v>3225</v>
      </c>
      <c r="F190" s="207">
        <v>480</v>
      </c>
      <c r="G190" s="207">
        <v>520</v>
      </c>
      <c r="H190" s="161">
        <v>40</v>
      </c>
      <c r="I190" s="207">
        <v>100</v>
      </c>
      <c r="J190" s="242">
        <f t="shared" si="29"/>
        <v>4000</v>
      </c>
      <c r="K190" s="153"/>
      <c r="V190" s="25">
        <f t="shared" si="30"/>
        <v>1</v>
      </c>
      <c r="W190" s="25">
        <f t="shared" si="31"/>
        <v>0</v>
      </c>
    </row>
    <row r="191" spans="1:23" x14ac:dyDescent="0.3">
      <c r="A191" s="147"/>
      <c r="B191" s="205">
        <f t="shared" si="32"/>
        <v>7</v>
      </c>
      <c r="C191" s="206">
        <v>44236</v>
      </c>
      <c r="D191" s="161" t="s">
        <v>9</v>
      </c>
      <c r="E191" s="161" t="s">
        <v>3222</v>
      </c>
      <c r="F191" s="207">
        <v>400</v>
      </c>
      <c r="G191" s="207">
        <v>550</v>
      </c>
      <c r="H191" s="161">
        <v>150</v>
      </c>
      <c r="I191" s="207">
        <v>100</v>
      </c>
      <c r="J191" s="242">
        <f t="shared" si="29"/>
        <v>15000</v>
      </c>
      <c r="K191" s="153"/>
      <c r="V191" s="25">
        <f t="shared" si="30"/>
        <v>1</v>
      </c>
      <c r="W191" s="25">
        <f t="shared" si="31"/>
        <v>0</v>
      </c>
    </row>
    <row r="192" spans="1:23" x14ac:dyDescent="0.3">
      <c r="A192" s="147"/>
      <c r="B192" s="205">
        <f t="shared" si="32"/>
        <v>8</v>
      </c>
      <c r="C192" s="206">
        <v>44237</v>
      </c>
      <c r="D192" s="161" t="s">
        <v>9</v>
      </c>
      <c r="E192" s="161" t="s">
        <v>3230</v>
      </c>
      <c r="F192" s="207">
        <v>340</v>
      </c>
      <c r="G192" s="207">
        <v>540</v>
      </c>
      <c r="H192" s="161">
        <v>200</v>
      </c>
      <c r="I192" s="207">
        <v>100</v>
      </c>
      <c r="J192" s="242">
        <f t="shared" si="29"/>
        <v>20000</v>
      </c>
      <c r="K192" s="153"/>
      <c r="V192" s="25">
        <f t="shared" si="30"/>
        <v>1</v>
      </c>
      <c r="W192" s="25">
        <f t="shared" si="31"/>
        <v>0</v>
      </c>
    </row>
    <row r="193" spans="1:23" x14ac:dyDescent="0.3">
      <c r="A193" s="147"/>
      <c r="B193" s="205">
        <f t="shared" si="32"/>
        <v>9</v>
      </c>
      <c r="C193" s="206">
        <v>44238</v>
      </c>
      <c r="D193" s="161" t="s">
        <v>9</v>
      </c>
      <c r="E193" s="161" t="s">
        <v>3233</v>
      </c>
      <c r="F193" s="207">
        <v>190</v>
      </c>
      <c r="G193" s="207">
        <v>290</v>
      </c>
      <c r="H193" s="161">
        <v>100</v>
      </c>
      <c r="I193" s="207">
        <v>100</v>
      </c>
      <c r="J193" s="242">
        <f t="shared" si="29"/>
        <v>10000</v>
      </c>
      <c r="K193" s="153"/>
      <c r="V193" s="25">
        <f t="shared" si="30"/>
        <v>1</v>
      </c>
      <c r="W193" s="25">
        <f t="shared" si="31"/>
        <v>0</v>
      </c>
    </row>
    <row r="194" spans="1:23" x14ac:dyDescent="0.3">
      <c r="A194" s="147"/>
      <c r="B194" s="205">
        <f t="shared" si="32"/>
        <v>10</v>
      </c>
      <c r="C194" s="206">
        <v>44239</v>
      </c>
      <c r="D194" s="161" t="s">
        <v>9</v>
      </c>
      <c r="E194" s="161" t="s">
        <v>3236</v>
      </c>
      <c r="F194" s="207">
        <v>480</v>
      </c>
      <c r="G194" s="207">
        <v>680</v>
      </c>
      <c r="H194" s="161">
        <v>200</v>
      </c>
      <c r="I194" s="207">
        <v>100</v>
      </c>
      <c r="J194" s="242">
        <f t="shared" si="29"/>
        <v>20000</v>
      </c>
      <c r="K194" s="153"/>
      <c r="V194" s="25">
        <f t="shared" si="30"/>
        <v>1</v>
      </c>
      <c r="W194" s="25">
        <f t="shared" si="31"/>
        <v>0</v>
      </c>
    </row>
    <row r="195" spans="1:23" x14ac:dyDescent="0.3">
      <c r="A195" s="147"/>
      <c r="B195" s="205">
        <f t="shared" si="32"/>
        <v>11</v>
      </c>
      <c r="C195" s="206">
        <v>44242</v>
      </c>
      <c r="D195" s="161" t="s">
        <v>9</v>
      </c>
      <c r="E195" s="161" t="s">
        <v>3240</v>
      </c>
      <c r="F195" s="207">
        <v>380</v>
      </c>
      <c r="G195" s="207">
        <v>580</v>
      </c>
      <c r="H195" s="161">
        <v>200</v>
      </c>
      <c r="I195" s="207">
        <v>100</v>
      </c>
      <c r="J195" s="242">
        <f t="shared" si="29"/>
        <v>20000</v>
      </c>
      <c r="K195" s="153"/>
      <c r="V195" s="25">
        <f t="shared" si="30"/>
        <v>1</v>
      </c>
      <c r="W195" s="25">
        <f t="shared" si="31"/>
        <v>0</v>
      </c>
    </row>
    <row r="196" spans="1:23" x14ac:dyDescent="0.3">
      <c r="A196" s="147"/>
      <c r="B196" s="205">
        <f t="shared" si="32"/>
        <v>12</v>
      </c>
      <c r="C196" s="206">
        <v>44243</v>
      </c>
      <c r="D196" s="161" t="s">
        <v>9</v>
      </c>
      <c r="E196" s="161" t="s">
        <v>3241</v>
      </c>
      <c r="F196" s="207">
        <v>390</v>
      </c>
      <c r="G196" s="207">
        <v>290</v>
      </c>
      <c r="H196" s="161">
        <v>-100</v>
      </c>
      <c r="I196" s="207">
        <v>100</v>
      </c>
      <c r="J196" s="242">
        <f t="shared" si="29"/>
        <v>-10000</v>
      </c>
      <c r="K196" s="153"/>
      <c r="V196" s="25">
        <f t="shared" si="30"/>
        <v>0</v>
      </c>
      <c r="W196" s="25">
        <f t="shared" si="31"/>
        <v>1</v>
      </c>
    </row>
    <row r="197" spans="1:23" x14ac:dyDescent="0.3">
      <c r="A197" s="147"/>
      <c r="B197" s="205">
        <f t="shared" si="32"/>
        <v>13</v>
      </c>
      <c r="C197" s="206">
        <v>44244</v>
      </c>
      <c r="D197" s="161" t="s">
        <v>9</v>
      </c>
      <c r="E197" s="161" t="s">
        <v>3242</v>
      </c>
      <c r="F197" s="207">
        <v>290</v>
      </c>
      <c r="G197" s="207">
        <v>420</v>
      </c>
      <c r="H197" s="161">
        <v>130</v>
      </c>
      <c r="I197" s="207">
        <v>100</v>
      </c>
      <c r="J197" s="242">
        <f t="shared" si="29"/>
        <v>13000</v>
      </c>
      <c r="K197" s="153"/>
      <c r="V197" s="25">
        <f t="shared" si="30"/>
        <v>1</v>
      </c>
      <c r="W197" s="25">
        <f t="shared" si="31"/>
        <v>0</v>
      </c>
    </row>
    <row r="198" spans="1:23" x14ac:dyDescent="0.3">
      <c r="A198" s="147"/>
      <c r="B198" s="205">
        <f t="shared" si="32"/>
        <v>14</v>
      </c>
      <c r="C198" s="206">
        <v>44245</v>
      </c>
      <c r="D198" s="161" t="s">
        <v>9</v>
      </c>
      <c r="E198" s="161" t="s">
        <v>3250</v>
      </c>
      <c r="F198" s="207">
        <v>200</v>
      </c>
      <c r="G198" s="207">
        <v>400</v>
      </c>
      <c r="H198" s="161">
        <v>200</v>
      </c>
      <c r="I198" s="207">
        <v>100</v>
      </c>
      <c r="J198" s="242">
        <f t="shared" si="29"/>
        <v>20000</v>
      </c>
      <c r="K198" s="153"/>
      <c r="V198" s="25">
        <f t="shared" si="30"/>
        <v>1</v>
      </c>
      <c r="W198" s="25">
        <f t="shared" si="31"/>
        <v>0</v>
      </c>
    </row>
    <row r="199" spans="1:23" x14ac:dyDescent="0.3">
      <c r="A199" s="147"/>
      <c r="B199" s="205">
        <f t="shared" si="32"/>
        <v>15</v>
      </c>
      <c r="C199" s="206">
        <v>44246</v>
      </c>
      <c r="D199" s="161" t="s">
        <v>9</v>
      </c>
      <c r="E199" s="161" t="s">
        <v>3246</v>
      </c>
      <c r="F199" s="207">
        <v>500</v>
      </c>
      <c r="G199" s="207">
        <v>545</v>
      </c>
      <c r="H199" s="161">
        <v>45</v>
      </c>
      <c r="I199" s="207">
        <v>100</v>
      </c>
      <c r="J199" s="242">
        <f t="shared" si="29"/>
        <v>4500</v>
      </c>
      <c r="K199" s="153"/>
      <c r="V199" s="25">
        <f t="shared" si="30"/>
        <v>1</v>
      </c>
      <c r="W199" s="25">
        <f t="shared" si="31"/>
        <v>0</v>
      </c>
    </row>
    <row r="200" spans="1:23" x14ac:dyDescent="0.3">
      <c r="A200" s="147"/>
      <c r="B200" s="205">
        <f t="shared" si="32"/>
        <v>16</v>
      </c>
      <c r="C200" s="206">
        <v>44249</v>
      </c>
      <c r="D200" s="161" t="s">
        <v>9</v>
      </c>
      <c r="E200" s="161" t="s">
        <v>3253</v>
      </c>
      <c r="F200" s="207">
        <v>450</v>
      </c>
      <c r="G200" s="207">
        <v>650</v>
      </c>
      <c r="H200" s="161">
        <v>200</v>
      </c>
      <c r="I200" s="207">
        <v>100</v>
      </c>
      <c r="J200" s="242">
        <f t="shared" si="29"/>
        <v>20000</v>
      </c>
      <c r="K200" s="153"/>
      <c r="V200" s="25">
        <f t="shared" si="30"/>
        <v>1</v>
      </c>
      <c r="W200" s="25">
        <f t="shared" si="31"/>
        <v>0</v>
      </c>
    </row>
    <row r="201" spans="1:23" x14ac:dyDescent="0.3">
      <c r="A201" s="147"/>
      <c r="B201" s="205">
        <f t="shared" si="32"/>
        <v>17</v>
      </c>
      <c r="C201" s="206">
        <v>44250</v>
      </c>
      <c r="D201" s="161" t="s">
        <v>9</v>
      </c>
      <c r="E201" s="161" t="s">
        <v>3254</v>
      </c>
      <c r="F201" s="207">
        <v>360</v>
      </c>
      <c r="G201" s="207">
        <v>457</v>
      </c>
      <c r="H201" s="161">
        <v>97</v>
      </c>
      <c r="I201" s="207">
        <v>100</v>
      </c>
      <c r="J201" s="242">
        <f t="shared" si="29"/>
        <v>9700</v>
      </c>
      <c r="K201" s="153"/>
      <c r="V201" s="25">
        <f t="shared" si="30"/>
        <v>1</v>
      </c>
      <c r="W201" s="25">
        <f t="shared" si="31"/>
        <v>0</v>
      </c>
    </row>
    <row r="202" spans="1:23" x14ac:dyDescent="0.3">
      <c r="A202" s="147"/>
      <c r="B202" s="205">
        <f t="shared" si="32"/>
        <v>18</v>
      </c>
      <c r="C202" s="206">
        <v>44251</v>
      </c>
      <c r="D202" s="161" t="s">
        <v>9</v>
      </c>
      <c r="E202" s="161" t="s">
        <v>3255</v>
      </c>
      <c r="F202" s="207">
        <v>280</v>
      </c>
      <c r="G202" s="207">
        <v>480</v>
      </c>
      <c r="H202" s="161">
        <v>200</v>
      </c>
      <c r="I202" s="207">
        <v>100</v>
      </c>
      <c r="J202" s="242">
        <f t="shared" si="29"/>
        <v>20000</v>
      </c>
      <c r="K202" s="153"/>
      <c r="V202" s="25">
        <f t="shared" si="30"/>
        <v>1</v>
      </c>
      <c r="W202" s="25">
        <f t="shared" si="31"/>
        <v>0</v>
      </c>
    </row>
    <row r="203" spans="1:23" x14ac:dyDescent="0.3">
      <c r="A203" s="147"/>
      <c r="B203" s="205">
        <f t="shared" si="32"/>
        <v>19</v>
      </c>
      <c r="C203" s="206">
        <v>44252</v>
      </c>
      <c r="D203" s="161" t="s">
        <v>9</v>
      </c>
      <c r="E203" s="161" t="s">
        <v>3259</v>
      </c>
      <c r="F203" s="207">
        <v>240</v>
      </c>
      <c r="G203" s="207">
        <v>140</v>
      </c>
      <c r="H203" s="161">
        <v>-100</v>
      </c>
      <c r="I203" s="207">
        <v>100</v>
      </c>
      <c r="J203" s="242">
        <f t="shared" si="29"/>
        <v>-10000</v>
      </c>
      <c r="K203" s="153"/>
      <c r="V203" s="25">
        <f t="shared" si="30"/>
        <v>0</v>
      </c>
      <c r="W203" s="25">
        <f t="shared" si="31"/>
        <v>1</v>
      </c>
    </row>
    <row r="204" spans="1:23" x14ac:dyDescent="0.3">
      <c r="A204" s="147"/>
      <c r="B204" s="205">
        <f t="shared" si="32"/>
        <v>20</v>
      </c>
      <c r="C204" s="206">
        <v>44253</v>
      </c>
      <c r="D204" s="161" t="s">
        <v>9</v>
      </c>
      <c r="E204" s="161" t="s">
        <v>3260</v>
      </c>
      <c r="F204" s="207">
        <v>630</v>
      </c>
      <c r="G204" s="207">
        <v>830</v>
      </c>
      <c r="H204" s="161">
        <v>200</v>
      </c>
      <c r="I204" s="207">
        <v>100</v>
      </c>
      <c r="J204" s="242">
        <f t="shared" si="29"/>
        <v>20000</v>
      </c>
      <c r="K204" s="153"/>
      <c r="V204" s="25">
        <f t="shared" si="30"/>
        <v>1</v>
      </c>
      <c r="W204" s="25">
        <f t="shared" si="31"/>
        <v>0</v>
      </c>
    </row>
    <row r="205" spans="1:23" x14ac:dyDescent="0.3">
      <c r="A205" s="147"/>
      <c r="B205" s="205">
        <f t="shared" si="32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29"/>
        <v>0</v>
      </c>
      <c r="K205" s="153"/>
      <c r="V205" s="25">
        <f t="shared" si="30"/>
        <v>0</v>
      </c>
      <c r="W205" s="25">
        <f t="shared" si="31"/>
        <v>0</v>
      </c>
    </row>
    <row r="206" spans="1:23" x14ac:dyDescent="0.3">
      <c r="A206" s="147"/>
      <c r="B206" s="205">
        <f t="shared" si="32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29"/>
        <v>0</v>
      </c>
      <c r="K206" s="153"/>
      <c r="V206" s="25">
        <f t="shared" si="30"/>
        <v>0</v>
      </c>
      <c r="W206" s="25">
        <f t="shared" si="31"/>
        <v>0</v>
      </c>
    </row>
    <row r="207" spans="1:23" ht="15" thickBot="1" x14ac:dyDescent="0.35">
      <c r="A207" s="147"/>
      <c r="B207" s="208">
        <f t="shared" si="32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29"/>
        <v>0</v>
      </c>
      <c r="K207" s="153"/>
      <c r="V207" s="25">
        <f t="shared" si="30"/>
        <v>0</v>
      </c>
      <c r="W207" s="25">
        <f t="shared" si="31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250100</v>
      </c>
      <c r="K208" s="153"/>
      <c r="V208" s="25">
        <f>SUM(V185:V207)</f>
        <v>18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3210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44228</v>
      </c>
      <c r="D216" s="185" t="s">
        <v>9</v>
      </c>
      <c r="E216" s="185" t="s">
        <v>3215</v>
      </c>
      <c r="F216" s="231">
        <v>18</v>
      </c>
      <c r="G216" s="231">
        <v>26</v>
      </c>
      <c r="H216" s="231">
        <v>8</v>
      </c>
      <c r="I216" s="219">
        <v>1375</v>
      </c>
      <c r="J216" s="246">
        <f t="shared" ref="J216:J239" si="33">I216*H216</f>
        <v>11000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44229</v>
      </c>
      <c r="D217" s="185" t="s">
        <v>9</v>
      </c>
      <c r="E217" s="185" t="s">
        <v>3216</v>
      </c>
      <c r="F217" s="231">
        <v>70</v>
      </c>
      <c r="G217" s="231">
        <v>80</v>
      </c>
      <c r="H217" s="231">
        <v>10</v>
      </c>
      <c r="I217" s="219">
        <v>250</v>
      </c>
      <c r="J217" s="242">
        <f>I217*H217</f>
        <v>2500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4">B217+1</f>
        <v>3</v>
      </c>
      <c r="C218" s="206">
        <v>44230</v>
      </c>
      <c r="D218" s="161" t="s">
        <v>9</v>
      </c>
      <c r="E218" s="161" t="s">
        <v>3219</v>
      </c>
      <c r="F218" s="222">
        <v>260</v>
      </c>
      <c r="G218" s="222">
        <v>275</v>
      </c>
      <c r="H218" s="222">
        <v>15</v>
      </c>
      <c r="I218" s="207">
        <v>100</v>
      </c>
      <c r="J218" s="242">
        <f t="shared" si="33"/>
        <v>1500</v>
      </c>
      <c r="K218" s="153"/>
      <c r="V218" s="25">
        <f t="shared" ref="V218:V239" si="35">IF($J218&gt;0,1,0)</f>
        <v>1</v>
      </c>
      <c r="W218" s="25">
        <f t="shared" ref="W218:W239" si="36">IF($J218&lt;0,1,0)</f>
        <v>0</v>
      </c>
    </row>
    <row r="219" spans="1:23" x14ac:dyDescent="0.3">
      <c r="A219" s="147"/>
      <c r="B219" s="205">
        <f t="shared" si="34"/>
        <v>4</v>
      </c>
      <c r="C219" s="206">
        <v>44231</v>
      </c>
      <c r="D219" s="161" t="s">
        <v>9</v>
      </c>
      <c r="E219" s="161" t="s">
        <v>3223</v>
      </c>
      <c r="F219" s="222">
        <v>180</v>
      </c>
      <c r="G219" s="222">
        <v>210</v>
      </c>
      <c r="H219" s="222">
        <v>40</v>
      </c>
      <c r="I219" s="207">
        <v>250</v>
      </c>
      <c r="J219" s="242">
        <f t="shared" si="33"/>
        <v>10000</v>
      </c>
      <c r="K219" s="153"/>
      <c r="V219" s="25">
        <f t="shared" si="35"/>
        <v>1</v>
      </c>
      <c r="W219" s="25">
        <f t="shared" si="36"/>
        <v>0</v>
      </c>
    </row>
    <row r="220" spans="1:23" x14ac:dyDescent="0.3">
      <c r="A220" s="147"/>
      <c r="B220" s="205">
        <f t="shared" si="34"/>
        <v>5</v>
      </c>
      <c r="C220" s="206">
        <v>44232</v>
      </c>
      <c r="D220" s="161" t="s">
        <v>9</v>
      </c>
      <c r="E220" s="161" t="s">
        <v>3224</v>
      </c>
      <c r="F220" s="222">
        <v>80</v>
      </c>
      <c r="G220" s="222">
        <v>79.349999999999994</v>
      </c>
      <c r="H220" s="222">
        <v>-0.65</v>
      </c>
      <c r="I220" s="207">
        <v>300</v>
      </c>
      <c r="J220" s="242">
        <f t="shared" si="33"/>
        <v>-195</v>
      </c>
      <c r="K220" s="153"/>
      <c r="V220" s="25">
        <f t="shared" si="35"/>
        <v>0</v>
      </c>
      <c r="W220" s="25">
        <f t="shared" si="36"/>
        <v>1</v>
      </c>
    </row>
    <row r="221" spans="1:23" x14ac:dyDescent="0.3">
      <c r="A221" s="147"/>
      <c r="B221" s="205">
        <f t="shared" si="34"/>
        <v>6</v>
      </c>
      <c r="C221" s="206">
        <v>44235</v>
      </c>
      <c r="D221" s="161" t="s">
        <v>9</v>
      </c>
      <c r="E221" s="161" t="s">
        <v>3226</v>
      </c>
      <c r="F221" s="222">
        <v>180</v>
      </c>
      <c r="G221" s="222">
        <v>210</v>
      </c>
      <c r="H221" s="222">
        <v>30</v>
      </c>
      <c r="I221" s="207">
        <v>200</v>
      </c>
      <c r="J221" s="242">
        <f t="shared" si="33"/>
        <v>6000</v>
      </c>
      <c r="K221" s="153"/>
      <c r="V221" s="25">
        <f t="shared" si="35"/>
        <v>1</v>
      </c>
      <c r="W221" s="25">
        <f t="shared" si="36"/>
        <v>0</v>
      </c>
    </row>
    <row r="222" spans="1:23" x14ac:dyDescent="0.3">
      <c r="A222" s="147"/>
      <c r="B222" s="205">
        <f t="shared" si="34"/>
        <v>7</v>
      </c>
      <c r="C222" s="206">
        <v>44236</v>
      </c>
      <c r="D222" s="161" t="s">
        <v>9</v>
      </c>
      <c r="E222" s="161" t="s">
        <v>3228</v>
      </c>
      <c r="F222" s="222">
        <v>65</v>
      </c>
      <c r="G222" s="222">
        <v>69</v>
      </c>
      <c r="H222" s="222">
        <v>4</v>
      </c>
      <c r="I222" s="207">
        <v>750</v>
      </c>
      <c r="J222" s="242">
        <f t="shared" si="33"/>
        <v>3000</v>
      </c>
      <c r="K222" s="153"/>
      <c r="V222" s="25">
        <f t="shared" si="35"/>
        <v>1</v>
      </c>
      <c r="W222" s="25">
        <f t="shared" si="36"/>
        <v>0</v>
      </c>
    </row>
    <row r="223" spans="1:23" x14ac:dyDescent="0.3">
      <c r="A223" s="147"/>
      <c r="B223" s="205">
        <f t="shared" si="34"/>
        <v>8</v>
      </c>
      <c r="C223" s="206">
        <v>44237</v>
      </c>
      <c r="D223" s="161" t="s">
        <v>9</v>
      </c>
      <c r="E223" s="161" t="s">
        <v>3229</v>
      </c>
      <c r="F223" s="222">
        <v>200</v>
      </c>
      <c r="G223" s="222">
        <v>241</v>
      </c>
      <c r="H223" s="222">
        <v>41</v>
      </c>
      <c r="I223" s="207">
        <v>250</v>
      </c>
      <c r="J223" s="242">
        <f t="shared" si="33"/>
        <v>10250</v>
      </c>
      <c r="K223" s="153"/>
      <c r="V223" s="25">
        <f t="shared" si="35"/>
        <v>1</v>
      </c>
      <c r="W223" s="25">
        <f t="shared" si="36"/>
        <v>0</v>
      </c>
    </row>
    <row r="224" spans="1:23" x14ac:dyDescent="0.3">
      <c r="A224" s="147"/>
      <c r="B224" s="205">
        <f t="shared" si="34"/>
        <v>9</v>
      </c>
      <c r="C224" s="206">
        <v>44238</v>
      </c>
      <c r="D224" s="161" t="s">
        <v>9</v>
      </c>
      <c r="E224" s="161" t="s">
        <v>3234</v>
      </c>
      <c r="F224" s="222">
        <v>7</v>
      </c>
      <c r="G224" s="222">
        <v>8</v>
      </c>
      <c r="H224" s="255">
        <v>1</v>
      </c>
      <c r="I224" s="207">
        <v>6000</v>
      </c>
      <c r="J224" s="242">
        <f t="shared" si="33"/>
        <v>6000</v>
      </c>
      <c r="K224" s="153"/>
      <c r="V224" s="25">
        <f t="shared" si="35"/>
        <v>1</v>
      </c>
      <c r="W224" s="25">
        <f t="shared" si="36"/>
        <v>0</v>
      </c>
    </row>
    <row r="225" spans="1:23" x14ac:dyDescent="0.3">
      <c r="A225" s="147"/>
      <c r="B225" s="205">
        <f t="shared" si="34"/>
        <v>10</v>
      </c>
      <c r="C225" s="206">
        <v>44239</v>
      </c>
      <c r="D225" s="161" t="s">
        <v>9</v>
      </c>
      <c r="E225" s="161" t="s">
        <v>2649</v>
      </c>
      <c r="F225" s="222">
        <v>24</v>
      </c>
      <c r="G225" s="222">
        <v>31</v>
      </c>
      <c r="H225" s="255">
        <v>7</v>
      </c>
      <c r="I225" s="207">
        <v>1200</v>
      </c>
      <c r="J225" s="242">
        <f t="shared" si="33"/>
        <v>8400</v>
      </c>
      <c r="K225" s="153"/>
      <c r="V225" s="25">
        <f t="shared" si="35"/>
        <v>1</v>
      </c>
      <c r="W225" s="25">
        <f t="shared" si="36"/>
        <v>0</v>
      </c>
    </row>
    <row r="226" spans="1:23" x14ac:dyDescent="0.3">
      <c r="A226" s="147"/>
      <c r="B226" s="205">
        <f t="shared" si="34"/>
        <v>11</v>
      </c>
      <c r="C226" s="206">
        <v>44242</v>
      </c>
      <c r="D226" s="161" t="s">
        <v>9</v>
      </c>
      <c r="E226" s="161" t="s">
        <v>3243</v>
      </c>
      <c r="F226" s="222">
        <v>22</v>
      </c>
      <c r="G226" s="222">
        <v>30</v>
      </c>
      <c r="H226" s="255">
        <v>8</v>
      </c>
      <c r="I226" s="207">
        <v>1200</v>
      </c>
      <c r="J226" s="242">
        <f t="shared" si="33"/>
        <v>9600</v>
      </c>
      <c r="K226" s="153"/>
      <c r="V226" s="25">
        <f t="shared" si="35"/>
        <v>1</v>
      </c>
      <c r="W226" s="25">
        <f t="shared" si="36"/>
        <v>0</v>
      </c>
    </row>
    <row r="227" spans="1:23" x14ac:dyDescent="0.3">
      <c r="A227" s="147"/>
      <c r="B227" s="205">
        <f t="shared" si="34"/>
        <v>12</v>
      </c>
      <c r="C227" s="206">
        <v>44243</v>
      </c>
      <c r="D227" s="161" t="s">
        <v>9</v>
      </c>
      <c r="E227" s="161" t="s">
        <v>3244</v>
      </c>
      <c r="F227" s="222">
        <v>55</v>
      </c>
      <c r="G227" s="222">
        <v>60.45</v>
      </c>
      <c r="H227" s="255">
        <v>5.45</v>
      </c>
      <c r="I227" s="207">
        <v>250</v>
      </c>
      <c r="J227" s="242">
        <f t="shared" si="33"/>
        <v>1362.5</v>
      </c>
      <c r="K227" s="153"/>
      <c r="V227" s="25">
        <f t="shared" si="35"/>
        <v>1</v>
      </c>
      <c r="W227" s="25">
        <f t="shared" si="36"/>
        <v>0</v>
      </c>
    </row>
    <row r="228" spans="1:23" x14ac:dyDescent="0.3">
      <c r="A228" s="147"/>
      <c r="B228" s="205">
        <f t="shared" si="34"/>
        <v>13</v>
      </c>
      <c r="C228" s="206">
        <v>44244</v>
      </c>
      <c r="D228" s="161" t="s">
        <v>9</v>
      </c>
      <c r="E228" s="161" t="s">
        <v>3245</v>
      </c>
      <c r="F228" s="222">
        <v>12</v>
      </c>
      <c r="G228" s="222">
        <v>16</v>
      </c>
      <c r="H228" s="255">
        <v>4</v>
      </c>
      <c r="I228" s="207">
        <v>3000</v>
      </c>
      <c r="J228" s="242">
        <f t="shared" si="33"/>
        <v>12000</v>
      </c>
      <c r="K228" s="153"/>
      <c r="V228" s="25">
        <f t="shared" si="35"/>
        <v>1</v>
      </c>
      <c r="W228" s="25">
        <f t="shared" si="36"/>
        <v>0</v>
      </c>
    </row>
    <row r="229" spans="1:23" x14ac:dyDescent="0.3">
      <c r="A229" s="147"/>
      <c r="B229" s="205">
        <f t="shared" si="34"/>
        <v>14</v>
      </c>
      <c r="C229" s="206">
        <v>44245</v>
      </c>
      <c r="D229" s="161" t="s">
        <v>9</v>
      </c>
      <c r="E229" s="161" t="s">
        <v>3251</v>
      </c>
      <c r="F229" s="222">
        <v>8</v>
      </c>
      <c r="G229" s="222">
        <v>6</v>
      </c>
      <c r="H229" s="255">
        <v>-2</v>
      </c>
      <c r="I229" s="207">
        <v>4300</v>
      </c>
      <c r="J229" s="242">
        <f>I229*H229</f>
        <v>-8600</v>
      </c>
      <c r="K229" s="153"/>
      <c r="V229" s="25">
        <f t="shared" si="35"/>
        <v>0</v>
      </c>
      <c r="W229" s="25">
        <f t="shared" si="36"/>
        <v>1</v>
      </c>
    </row>
    <row r="230" spans="1:23" x14ac:dyDescent="0.3">
      <c r="A230" s="147"/>
      <c r="B230" s="205">
        <f t="shared" si="34"/>
        <v>15</v>
      </c>
      <c r="C230" s="206">
        <v>44246</v>
      </c>
      <c r="D230" s="161" t="s">
        <v>9</v>
      </c>
      <c r="E230" s="161" t="s">
        <v>3247</v>
      </c>
      <c r="F230" s="222">
        <v>30</v>
      </c>
      <c r="G230" s="222">
        <v>38.25</v>
      </c>
      <c r="H230" s="255">
        <v>8.25</v>
      </c>
      <c r="I230" s="207">
        <v>550</v>
      </c>
      <c r="J230" s="242">
        <f t="shared" si="33"/>
        <v>4537.5</v>
      </c>
      <c r="K230" s="153"/>
      <c r="V230" s="25">
        <f t="shared" si="35"/>
        <v>1</v>
      </c>
      <c r="W230" s="25">
        <f t="shared" si="36"/>
        <v>0</v>
      </c>
    </row>
    <row r="231" spans="1:23" x14ac:dyDescent="0.3">
      <c r="A231" s="147"/>
      <c r="B231" s="205">
        <f t="shared" si="34"/>
        <v>16</v>
      </c>
      <c r="C231" s="206">
        <v>44249</v>
      </c>
      <c r="D231" s="161" t="s">
        <v>9</v>
      </c>
      <c r="E231" s="161" t="s">
        <v>3256</v>
      </c>
      <c r="F231" s="222">
        <v>14</v>
      </c>
      <c r="G231" s="222">
        <v>22</v>
      </c>
      <c r="H231" s="222">
        <v>8</v>
      </c>
      <c r="I231" s="207">
        <v>1200</v>
      </c>
      <c r="J231" s="242">
        <f t="shared" si="33"/>
        <v>9600</v>
      </c>
      <c r="K231" s="153"/>
      <c r="V231" s="25">
        <f t="shared" si="35"/>
        <v>1</v>
      </c>
      <c r="W231" s="25">
        <f t="shared" si="36"/>
        <v>0</v>
      </c>
    </row>
    <row r="232" spans="1:23" x14ac:dyDescent="0.3">
      <c r="A232" s="147"/>
      <c r="B232" s="205">
        <f t="shared" si="34"/>
        <v>17</v>
      </c>
      <c r="C232" s="206">
        <v>44250</v>
      </c>
      <c r="D232" s="161" t="s">
        <v>9</v>
      </c>
      <c r="E232" s="161" t="s">
        <v>3257</v>
      </c>
      <c r="F232" s="222">
        <v>8.5</v>
      </c>
      <c r="G232" s="222">
        <v>11</v>
      </c>
      <c r="H232" s="222">
        <v>2.5</v>
      </c>
      <c r="I232" s="207">
        <v>3000</v>
      </c>
      <c r="J232" s="242">
        <f t="shared" si="33"/>
        <v>7500</v>
      </c>
      <c r="K232" s="153"/>
      <c r="V232" s="25">
        <f t="shared" si="35"/>
        <v>1</v>
      </c>
      <c r="W232" s="25">
        <f t="shared" si="36"/>
        <v>0</v>
      </c>
    </row>
    <row r="233" spans="1:23" x14ac:dyDescent="0.3">
      <c r="A233" s="147"/>
      <c r="B233" s="205">
        <f t="shared" si="34"/>
        <v>18</v>
      </c>
      <c r="C233" s="206">
        <v>44251</v>
      </c>
      <c r="D233" s="161" t="s">
        <v>9</v>
      </c>
      <c r="E233" s="161" t="s">
        <v>2859</v>
      </c>
      <c r="F233" s="222">
        <v>7.5</v>
      </c>
      <c r="G233" s="222">
        <v>10</v>
      </c>
      <c r="H233" s="222">
        <v>2.5</v>
      </c>
      <c r="I233" s="207">
        <v>1200</v>
      </c>
      <c r="J233" s="242">
        <f t="shared" si="33"/>
        <v>3000</v>
      </c>
      <c r="K233" s="153"/>
      <c r="V233" s="25">
        <f t="shared" si="35"/>
        <v>1</v>
      </c>
      <c r="W233" s="25">
        <f t="shared" si="36"/>
        <v>0</v>
      </c>
    </row>
    <row r="234" spans="1:23" x14ac:dyDescent="0.3">
      <c r="A234" s="147"/>
      <c r="B234" s="205">
        <f t="shared" si="34"/>
        <v>19</v>
      </c>
      <c r="C234" s="206">
        <v>44252</v>
      </c>
      <c r="D234" s="161" t="s">
        <v>9</v>
      </c>
      <c r="E234" s="161" t="s">
        <v>3258</v>
      </c>
      <c r="F234" s="222">
        <v>7</v>
      </c>
      <c r="G234" s="222">
        <v>8.5</v>
      </c>
      <c r="H234" s="222">
        <v>1.5</v>
      </c>
      <c r="I234" s="207">
        <v>1700</v>
      </c>
      <c r="J234" s="242">
        <f t="shared" si="33"/>
        <v>2550</v>
      </c>
      <c r="K234" s="153"/>
      <c r="V234" s="25">
        <f t="shared" si="35"/>
        <v>1</v>
      </c>
      <c r="W234" s="25">
        <f t="shared" si="36"/>
        <v>0</v>
      </c>
    </row>
    <row r="235" spans="1:23" x14ac:dyDescent="0.3">
      <c r="A235" s="147"/>
      <c r="B235" s="205">
        <f t="shared" si="34"/>
        <v>20</v>
      </c>
      <c r="C235" s="206">
        <v>44253</v>
      </c>
      <c r="D235" s="161" t="s">
        <v>9</v>
      </c>
      <c r="E235" s="161" t="s">
        <v>3261</v>
      </c>
      <c r="F235" s="222">
        <v>200</v>
      </c>
      <c r="G235" s="222">
        <v>170</v>
      </c>
      <c r="H235" s="222">
        <v>-30</v>
      </c>
      <c r="I235" s="207">
        <v>125</v>
      </c>
      <c r="J235" s="242">
        <f t="shared" si="33"/>
        <v>-3750</v>
      </c>
      <c r="K235" s="153"/>
      <c r="V235" s="25">
        <f t="shared" si="35"/>
        <v>0</v>
      </c>
      <c r="W235" s="25">
        <f t="shared" si="36"/>
        <v>1</v>
      </c>
    </row>
    <row r="236" spans="1:23" x14ac:dyDescent="0.3">
      <c r="A236" s="147"/>
      <c r="B236" s="205">
        <f t="shared" si="34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3"/>
        <v>0</v>
      </c>
      <c r="K236" s="153"/>
      <c r="V236" s="25">
        <f t="shared" si="35"/>
        <v>0</v>
      </c>
      <c r="W236" s="25">
        <f t="shared" si="36"/>
        <v>0</v>
      </c>
    </row>
    <row r="237" spans="1:23" x14ac:dyDescent="0.3">
      <c r="A237" s="147"/>
      <c r="B237" s="205">
        <f t="shared" si="34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3"/>
        <v>0</v>
      </c>
      <c r="K237" s="153"/>
      <c r="V237" s="25">
        <f t="shared" si="35"/>
        <v>0</v>
      </c>
      <c r="W237" s="25">
        <f t="shared" si="36"/>
        <v>0</v>
      </c>
    </row>
    <row r="238" spans="1:23" x14ac:dyDescent="0.3">
      <c r="A238" s="147"/>
      <c r="B238" s="205">
        <f t="shared" si="34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3"/>
        <v>0</v>
      </c>
      <c r="K238" s="153"/>
      <c r="V238" s="25">
        <f t="shared" si="35"/>
        <v>0</v>
      </c>
      <c r="W238" s="25">
        <f t="shared" si="36"/>
        <v>0</v>
      </c>
    </row>
    <row r="239" spans="1:23" ht="15" thickBot="1" x14ac:dyDescent="0.35">
      <c r="A239" s="147"/>
      <c r="B239" s="208">
        <f t="shared" si="34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3"/>
        <v>0</v>
      </c>
      <c r="K239" s="153"/>
      <c r="V239" s="25">
        <f t="shared" si="35"/>
        <v>0</v>
      </c>
      <c r="W239" s="25">
        <f t="shared" si="36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96255</v>
      </c>
      <c r="K240" s="153"/>
      <c r="V240" s="25">
        <f>SUM(V216:V239)</f>
        <v>17</v>
      </c>
      <c r="W240" s="25">
        <f>SUM(W216:W239)</f>
        <v>3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5E00-000000000000}"/>
    <hyperlink ref="B84" r:id="rId2" xr:uid="{00000000-0004-0000-5E00-000001000000}"/>
    <hyperlink ref="B115" r:id="rId3" xr:uid="{00000000-0004-0000-5E00-000002000000}"/>
    <hyperlink ref="B146" r:id="rId4" xr:uid="{00000000-0004-0000-5E00-000003000000}"/>
    <hyperlink ref="B177" r:id="rId5" xr:uid="{00000000-0004-0000-5E00-000004000000}"/>
    <hyperlink ref="B208" r:id="rId6" xr:uid="{00000000-0004-0000-5E00-000005000000}"/>
    <hyperlink ref="B240" r:id="rId7" xr:uid="{00000000-0004-0000-5E00-000006000000}"/>
    <hyperlink ref="M1" location="'MASTER '!A1" display="Back" xr:uid="{00000000-0004-0000-5E00-000007000000}"/>
    <hyperlink ref="M6:M7" location="'FEB 2021'!A77" display="STOCK FUTURE" xr:uid="{00000000-0004-0000-5E00-000008000000}"/>
    <hyperlink ref="M12:M13" location="'FEB 2021'!A170" display="BANK NIFTY" xr:uid="{00000000-0004-0000-5E00-000009000000}"/>
    <hyperlink ref="M10:M11" location="'FEB 2021'!A139" display="NF. OPTION" xr:uid="{00000000-0004-0000-5E00-00000A000000}"/>
    <hyperlink ref="M8:M9" location="'FEB 2021'!A108" display="NIFTY FUTURE" xr:uid="{00000000-0004-0000-5E00-00000B000000}"/>
    <hyperlink ref="M4:M5" location="'FEB 2021'!A1" display="CASH" xr:uid="{00000000-0004-0000-5E00-00000C000000}"/>
    <hyperlink ref="M14:M15" location="'FEB 2021'!A201" display="B.NIFTY OPTION" xr:uid="{00000000-0004-0000-5E00-00000D000000}"/>
    <hyperlink ref="M16:M17" location="'FEB 2021'!A216" display="STOCK OPTION" xr:uid="{00000000-0004-0000-5E00-00000E000000}"/>
  </hyperlinks>
  <pageMargins left="0" right="0" top="0" bottom="0" header="0" footer="0"/>
  <pageSetup scale="95" orientation="portrait" r:id="rId8"/>
  <drawing r:id="rId9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241"/>
  <sheetViews>
    <sheetView workbookViewId="0"/>
  </sheetViews>
  <sheetFormatPr defaultColWidth="9.109375" defaultRowHeight="14.4" x14ac:dyDescent="0.3"/>
  <cols>
    <col min="1" max="1" width="6.33203125" style="201" customWidth="1"/>
    <col min="2" max="2" width="3.5546875" style="201" bestFit="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hidden="1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3264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42</v>
      </c>
      <c r="O4" s="386">
        <f>V52</f>
        <v>31</v>
      </c>
      <c r="P4" s="386">
        <f>W52</f>
        <v>11</v>
      </c>
      <c r="Q4" s="387">
        <f>N4-O4-P4</f>
        <v>0</v>
      </c>
      <c r="R4" s="380">
        <f>O4/N4</f>
        <v>0.73809523809523814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44256</v>
      </c>
      <c r="D6" s="158" t="s">
        <v>9</v>
      </c>
      <c r="E6" s="158" t="s">
        <v>126</v>
      </c>
      <c r="F6" s="230">
        <v>2945</v>
      </c>
      <c r="G6" s="222">
        <v>2964</v>
      </c>
      <c r="H6" s="222">
        <v>19</v>
      </c>
      <c r="I6" s="207">
        <f t="shared" ref="I6:I7" si="0">300000/F6</f>
        <v>101.86757215619694</v>
      </c>
      <c r="J6" s="161">
        <f t="shared" ref="J6:J7" si="1">H6*I6</f>
        <v>1935.483870967742</v>
      </c>
      <c r="K6" s="153"/>
      <c r="M6" s="394" t="s">
        <v>450</v>
      </c>
      <c r="N6" s="344">
        <f>COUNT(C60:C83)</f>
        <v>21</v>
      </c>
      <c r="O6" s="346">
        <f>V84</f>
        <v>19</v>
      </c>
      <c r="P6" s="346">
        <f>W84</f>
        <v>2</v>
      </c>
      <c r="Q6" s="374">
        <f>N6-O6-P6</f>
        <v>0</v>
      </c>
      <c r="R6" s="376">
        <f t="shared" ref="R6" si="2">O6/N6</f>
        <v>0.90476190476190477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44256</v>
      </c>
      <c r="D7" s="161" t="s">
        <v>8</v>
      </c>
      <c r="E7" s="161" t="s">
        <v>31</v>
      </c>
      <c r="F7" s="222">
        <v>2095</v>
      </c>
      <c r="G7" s="231">
        <v>2065</v>
      </c>
      <c r="H7" s="255">
        <v>30</v>
      </c>
      <c r="I7" s="207">
        <f t="shared" si="0"/>
        <v>143.19809069212411</v>
      </c>
      <c r="J7" s="161">
        <f t="shared" si="1"/>
        <v>4295.9427207637236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44257</v>
      </c>
      <c r="D8" s="161" t="s">
        <v>9</v>
      </c>
      <c r="E8" s="161" t="s">
        <v>310</v>
      </c>
      <c r="F8" s="222">
        <v>551</v>
      </c>
      <c r="G8" s="222">
        <v>556.20000000000005</v>
      </c>
      <c r="H8" s="222">
        <v>5.2</v>
      </c>
      <c r="I8" s="207">
        <f t="shared" ref="I8:I47" si="6">300000/F8</f>
        <v>544.46460980036295</v>
      </c>
      <c r="J8" s="161">
        <f t="shared" ref="J8:J47" si="7">H8*I8</f>
        <v>2831.2159709618873</v>
      </c>
      <c r="K8" s="153"/>
      <c r="M8" s="394" t="s">
        <v>451</v>
      </c>
      <c r="N8" s="344">
        <f>COUNT(C92:C114)</f>
        <v>21</v>
      </c>
      <c r="O8" s="346">
        <f>V115</f>
        <v>19</v>
      </c>
      <c r="P8" s="346">
        <f>W115</f>
        <v>2</v>
      </c>
      <c r="Q8" s="374">
        <f>N8-O8-P8</f>
        <v>0</v>
      </c>
      <c r="R8" s="376">
        <f t="shared" ref="R8" si="8">O8/N8</f>
        <v>0.90476190476190477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44257</v>
      </c>
      <c r="D9" s="161" t="s">
        <v>8</v>
      </c>
      <c r="E9" s="161" t="s">
        <v>3248</v>
      </c>
      <c r="F9" s="222">
        <v>1530</v>
      </c>
      <c r="G9" s="231">
        <v>1509</v>
      </c>
      <c r="H9" s="255">
        <v>21</v>
      </c>
      <c r="I9" s="207">
        <f t="shared" si="6"/>
        <v>196.07843137254903</v>
      </c>
      <c r="J9" s="161">
        <f t="shared" si="7"/>
        <v>4117.6470588235297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44258</v>
      </c>
      <c r="D10" s="161" t="s">
        <v>9</v>
      </c>
      <c r="E10" s="161" t="s">
        <v>85</v>
      </c>
      <c r="F10" s="222">
        <v>546</v>
      </c>
      <c r="G10" s="222">
        <v>549</v>
      </c>
      <c r="H10" s="222">
        <v>3</v>
      </c>
      <c r="I10" s="207">
        <f t="shared" si="6"/>
        <v>549.45054945054949</v>
      </c>
      <c r="J10" s="161">
        <f t="shared" si="7"/>
        <v>1648.3516483516485</v>
      </c>
      <c r="K10" s="153"/>
      <c r="M10" s="394" t="s">
        <v>1176</v>
      </c>
      <c r="N10" s="344">
        <f>COUNT(C123:C145)</f>
        <v>21</v>
      </c>
      <c r="O10" s="346">
        <f>V146</f>
        <v>17</v>
      </c>
      <c r="P10" s="346">
        <f>W146</f>
        <v>4</v>
      </c>
      <c r="Q10" s="374">
        <f>N10-O10-P10</f>
        <v>0</v>
      </c>
      <c r="R10" s="376">
        <f t="shared" ref="R10:R16" si="9">O10/N10</f>
        <v>0.80952380952380953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44258</v>
      </c>
      <c r="D11" s="161" t="s">
        <v>8</v>
      </c>
      <c r="E11" s="161" t="s">
        <v>31</v>
      </c>
      <c r="F11" s="222">
        <v>2115</v>
      </c>
      <c r="G11" s="222">
        <v>2107.5</v>
      </c>
      <c r="H11" s="255">
        <v>7.5</v>
      </c>
      <c r="I11" s="207">
        <f t="shared" si="6"/>
        <v>141.84397163120568</v>
      </c>
      <c r="J11" s="161">
        <f t="shared" si="7"/>
        <v>1063.8297872340427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44259</v>
      </c>
      <c r="D12" s="161" t="s">
        <v>9</v>
      </c>
      <c r="E12" s="161" t="s">
        <v>2563</v>
      </c>
      <c r="F12" s="222">
        <v>1790</v>
      </c>
      <c r="G12" s="222">
        <v>1810</v>
      </c>
      <c r="H12" s="222">
        <v>20</v>
      </c>
      <c r="I12" s="207">
        <f t="shared" si="6"/>
        <v>167.5977653631285</v>
      </c>
      <c r="J12" s="242">
        <f t="shared" si="7"/>
        <v>3351.9553072625699</v>
      </c>
      <c r="K12" s="153"/>
      <c r="M12" s="394" t="s">
        <v>41</v>
      </c>
      <c r="N12" s="344">
        <f>COUNT(C154:C176)</f>
        <v>21</v>
      </c>
      <c r="O12" s="346">
        <f>V177</f>
        <v>19</v>
      </c>
      <c r="P12" s="346">
        <f>W177</f>
        <v>2</v>
      </c>
      <c r="Q12" s="374">
        <f t="shared" ref="Q12" si="10">N12-O12-P12</f>
        <v>0</v>
      </c>
      <c r="R12" s="376">
        <f t="shared" si="9"/>
        <v>0.90476190476190477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44259</v>
      </c>
      <c r="D13" s="161" t="s">
        <v>8</v>
      </c>
      <c r="E13" s="161" t="s">
        <v>2023</v>
      </c>
      <c r="F13" s="222">
        <v>5420</v>
      </c>
      <c r="G13" s="222">
        <v>5450</v>
      </c>
      <c r="H13" s="255">
        <v>-30</v>
      </c>
      <c r="I13" s="207">
        <f t="shared" si="6"/>
        <v>55.350553505535053</v>
      </c>
      <c r="J13" s="242">
        <f t="shared" si="7"/>
        <v>-1660.5166051660517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0</v>
      </c>
      <c r="W13" s="25">
        <f t="shared" si="4"/>
        <v>1</v>
      </c>
    </row>
    <row r="14" spans="1:23" x14ac:dyDescent="0.3">
      <c r="A14" s="147"/>
      <c r="B14" s="205">
        <f t="shared" si="5"/>
        <v>9</v>
      </c>
      <c r="C14" s="206">
        <v>44260</v>
      </c>
      <c r="D14" s="161" t="s">
        <v>9</v>
      </c>
      <c r="E14" s="161" t="s">
        <v>2023</v>
      </c>
      <c r="F14" s="222">
        <v>5500</v>
      </c>
      <c r="G14" s="222">
        <v>5512</v>
      </c>
      <c r="H14" s="222">
        <v>12</v>
      </c>
      <c r="I14" s="207">
        <f t="shared" si="6"/>
        <v>54.545454545454547</v>
      </c>
      <c r="J14" s="242">
        <f t="shared" si="7"/>
        <v>654.5454545454545</v>
      </c>
      <c r="K14" s="153"/>
      <c r="M14" s="394" t="s">
        <v>1175</v>
      </c>
      <c r="N14" s="344">
        <f>COUNT(C185:C207)</f>
        <v>21</v>
      </c>
      <c r="O14" s="346">
        <f>V208</f>
        <v>19</v>
      </c>
      <c r="P14" s="346">
        <f>W208</f>
        <v>2</v>
      </c>
      <c r="Q14" s="374">
        <f t="shared" ref="Q14" si="11">N14-O14-P14</f>
        <v>0</v>
      </c>
      <c r="R14" s="376">
        <f t="shared" si="9"/>
        <v>0.90476190476190477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44260</v>
      </c>
      <c r="D15" s="161" t="s">
        <v>8</v>
      </c>
      <c r="E15" s="161" t="s">
        <v>51</v>
      </c>
      <c r="F15" s="222">
        <v>1050</v>
      </c>
      <c r="G15" s="222">
        <v>1030.0999999999999</v>
      </c>
      <c r="H15" s="222">
        <v>19.899999999999999</v>
      </c>
      <c r="I15" s="207">
        <f t="shared" si="6"/>
        <v>285.71428571428572</v>
      </c>
      <c r="J15" s="242">
        <f t="shared" si="7"/>
        <v>5685.7142857142853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44263</v>
      </c>
      <c r="D16" s="161" t="s">
        <v>9</v>
      </c>
      <c r="E16" s="161" t="s">
        <v>19</v>
      </c>
      <c r="F16" s="222">
        <v>389</v>
      </c>
      <c r="G16" s="222">
        <v>393</v>
      </c>
      <c r="H16" s="222">
        <v>4</v>
      </c>
      <c r="I16" s="207">
        <f t="shared" si="6"/>
        <v>771.20822622107971</v>
      </c>
      <c r="J16" s="242">
        <f t="shared" si="7"/>
        <v>3084.8329048843189</v>
      </c>
      <c r="K16" s="153"/>
      <c r="L16" s="25" t="s">
        <v>2008</v>
      </c>
      <c r="M16" s="394" t="s">
        <v>1090</v>
      </c>
      <c r="N16" s="344">
        <f>COUNT(C216:C239)</f>
        <v>21</v>
      </c>
      <c r="O16" s="346">
        <f>V240</f>
        <v>15</v>
      </c>
      <c r="P16" s="346">
        <f>W240</f>
        <v>6</v>
      </c>
      <c r="Q16" s="374">
        <f t="shared" ref="Q16" si="12">N16-O16-P16</f>
        <v>0</v>
      </c>
      <c r="R16" s="376">
        <f t="shared" si="9"/>
        <v>0.7142857142857143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44263</v>
      </c>
      <c r="D17" s="161" t="s">
        <v>8</v>
      </c>
      <c r="E17" s="161" t="s">
        <v>2023</v>
      </c>
      <c r="F17" s="222">
        <v>5365</v>
      </c>
      <c r="G17" s="222">
        <v>5320</v>
      </c>
      <c r="H17" s="222">
        <v>45</v>
      </c>
      <c r="I17" s="207">
        <f t="shared" si="6"/>
        <v>55.917986952469711</v>
      </c>
      <c r="J17" s="242">
        <f t="shared" si="7"/>
        <v>2516.3094128611369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44264</v>
      </c>
      <c r="D18" s="161" t="s">
        <v>9</v>
      </c>
      <c r="E18" s="161" t="s">
        <v>3063</v>
      </c>
      <c r="F18" s="222">
        <v>958</v>
      </c>
      <c r="G18" s="222">
        <v>978</v>
      </c>
      <c r="H18" s="222">
        <v>20</v>
      </c>
      <c r="I18" s="207">
        <f t="shared" si="6"/>
        <v>313.15240083507308</v>
      </c>
      <c r="J18" s="242">
        <f t="shared" si="7"/>
        <v>6263.0480167014612</v>
      </c>
      <c r="K18" s="153"/>
      <c r="M18" s="392" t="s">
        <v>946</v>
      </c>
      <c r="N18" s="378">
        <f>SUM(N4:N17)</f>
        <v>168</v>
      </c>
      <c r="O18" s="378">
        <f t="shared" ref="O18:Q18" si="13">SUM(O4:O17)</f>
        <v>139</v>
      </c>
      <c r="P18" s="378">
        <f t="shared" si="13"/>
        <v>29</v>
      </c>
      <c r="Q18" s="378">
        <f t="shared" si="13"/>
        <v>0</v>
      </c>
      <c r="R18" s="380">
        <f t="shared" ref="R18" si="14">O18/N18</f>
        <v>0.82738095238095233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44264</v>
      </c>
      <c r="D19" s="161" t="s">
        <v>8</v>
      </c>
      <c r="E19" s="161" t="s">
        <v>19</v>
      </c>
      <c r="F19" s="222">
        <v>391</v>
      </c>
      <c r="G19" s="222">
        <v>383</v>
      </c>
      <c r="H19" s="222">
        <v>8</v>
      </c>
      <c r="I19" s="207">
        <f t="shared" si="6"/>
        <v>767.26342710997437</v>
      </c>
      <c r="J19" s="242">
        <f t="shared" si="7"/>
        <v>6138.107416879795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44265</v>
      </c>
      <c r="D20" s="161" t="s">
        <v>9</v>
      </c>
      <c r="E20" s="161" t="s">
        <v>78</v>
      </c>
      <c r="F20" s="222">
        <v>1525</v>
      </c>
      <c r="G20" s="222">
        <v>1510</v>
      </c>
      <c r="H20" s="222">
        <v>-15</v>
      </c>
      <c r="I20" s="207">
        <f t="shared" si="6"/>
        <v>196.72131147540983</v>
      </c>
      <c r="J20" s="242">
        <f t="shared" si="7"/>
        <v>-2950.8196721311474</v>
      </c>
      <c r="K20" s="153"/>
      <c r="M20" s="316" t="s">
        <v>2253</v>
      </c>
      <c r="N20" s="317"/>
      <c r="O20" s="318"/>
      <c r="P20" s="325">
        <f>R18</f>
        <v>0.82738095238095233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44265</v>
      </c>
      <c r="D21" s="161" t="s">
        <v>8</v>
      </c>
      <c r="E21" s="161" t="s">
        <v>31</v>
      </c>
      <c r="F21" s="222">
        <v>2195</v>
      </c>
      <c r="G21" s="222">
        <v>2175</v>
      </c>
      <c r="H21" s="222">
        <v>20</v>
      </c>
      <c r="I21" s="207">
        <f t="shared" si="6"/>
        <v>136.67425968109339</v>
      </c>
      <c r="J21" s="242">
        <f t="shared" si="7"/>
        <v>2733.4851936218679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44267</v>
      </c>
      <c r="D22" s="161" t="s">
        <v>9</v>
      </c>
      <c r="E22" s="161" t="s">
        <v>2911</v>
      </c>
      <c r="F22" s="222">
        <v>166</v>
      </c>
      <c r="G22" s="222">
        <v>168.25</v>
      </c>
      <c r="H22" s="222">
        <v>2.25</v>
      </c>
      <c r="I22" s="207">
        <f t="shared" si="6"/>
        <v>1807.2289156626507</v>
      </c>
      <c r="J22" s="242">
        <f t="shared" si="7"/>
        <v>4066.265060240964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44267</v>
      </c>
      <c r="D23" s="161" t="s">
        <v>8</v>
      </c>
      <c r="E23" s="161" t="s">
        <v>834</v>
      </c>
      <c r="F23" s="222">
        <v>224.5</v>
      </c>
      <c r="G23" s="222">
        <v>218.5</v>
      </c>
      <c r="H23" s="222">
        <v>6</v>
      </c>
      <c r="I23" s="207">
        <f t="shared" si="6"/>
        <v>1336.3028953229398</v>
      </c>
      <c r="J23" s="242">
        <f t="shared" si="7"/>
        <v>8017.8173719376391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44270</v>
      </c>
      <c r="D24" s="161" t="s">
        <v>9</v>
      </c>
      <c r="E24" s="161" t="s">
        <v>2023</v>
      </c>
      <c r="F24" s="222">
        <v>5470</v>
      </c>
      <c r="G24" s="222">
        <v>5440</v>
      </c>
      <c r="H24" s="222">
        <v>-30</v>
      </c>
      <c r="I24" s="207">
        <f t="shared" si="6"/>
        <v>54.844606946983546</v>
      </c>
      <c r="J24" s="242">
        <f t="shared" si="7"/>
        <v>-1645.3382084095065</v>
      </c>
      <c r="K24" s="153"/>
      <c r="V24" s="25">
        <f t="shared" si="3"/>
        <v>0</v>
      </c>
      <c r="W24" s="25">
        <f t="shared" si="4"/>
        <v>1</v>
      </c>
    </row>
    <row r="25" spans="1:23" x14ac:dyDescent="0.3">
      <c r="A25" s="147"/>
      <c r="B25" s="205">
        <f t="shared" si="5"/>
        <v>20</v>
      </c>
      <c r="C25" s="206">
        <v>44270</v>
      </c>
      <c r="D25" s="161" t="s">
        <v>8</v>
      </c>
      <c r="E25" s="161" t="s">
        <v>19</v>
      </c>
      <c r="F25" s="222">
        <v>373</v>
      </c>
      <c r="G25" s="222">
        <v>369.35</v>
      </c>
      <c r="H25" s="222">
        <v>3.65</v>
      </c>
      <c r="I25" s="207">
        <f t="shared" si="6"/>
        <v>804.28954423592495</v>
      </c>
      <c r="J25" s="242">
        <f t="shared" si="7"/>
        <v>2935.6568364611262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44271</v>
      </c>
      <c r="D26" s="161" t="s">
        <v>9</v>
      </c>
      <c r="E26" s="161" t="s">
        <v>2995</v>
      </c>
      <c r="F26" s="222">
        <v>616</v>
      </c>
      <c r="G26" s="222">
        <v>610</v>
      </c>
      <c r="H26" s="222">
        <v>-6</v>
      </c>
      <c r="I26" s="207">
        <f t="shared" si="6"/>
        <v>487.01298701298703</v>
      </c>
      <c r="J26" s="242">
        <f t="shared" si="7"/>
        <v>-2922.0779220779223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44271</v>
      </c>
      <c r="D27" s="161" t="s">
        <v>8</v>
      </c>
      <c r="E27" s="161" t="s">
        <v>19</v>
      </c>
      <c r="F27" s="222">
        <v>379</v>
      </c>
      <c r="G27" s="222">
        <v>383</v>
      </c>
      <c r="H27" s="222">
        <v>-4</v>
      </c>
      <c r="I27" s="207">
        <f t="shared" si="6"/>
        <v>791.55672823218993</v>
      </c>
      <c r="J27" s="242">
        <f t="shared" si="7"/>
        <v>-3166.2269129287597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44272</v>
      </c>
      <c r="D28" s="161" t="s">
        <v>8</v>
      </c>
      <c r="E28" s="161" t="s">
        <v>19</v>
      </c>
      <c r="F28" s="222">
        <v>375</v>
      </c>
      <c r="G28" s="222">
        <v>370</v>
      </c>
      <c r="H28" s="222">
        <v>5</v>
      </c>
      <c r="I28" s="207">
        <f t="shared" si="6"/>
        <v>800</v>
      </c>
      <c r="J28" s="242">
        <f t="shared" si="7"/>
        <v>4000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44272</v>
      </c>
      <c r="D29" s="161" t="s">
        <v>8</v>
      </c>
      <c r="E29" s="161" t="s">
        <v>78</v>
      </c>
      <c r="F29" s="222">
        <v>1465</v>
      </c>
      <c r="G29" s="222">
        <v>1445.5</v>
      </c>
      <c r="H29" s="222">
        <v>19.5</v>
      </c>
      <c r="I29" s="207">
        <f t="shared" si="6"/>
        <v>204.77815699658703</v>
      </c>
      <c r="J29" s="242">
        <f t="shared" si="7"/>
        <v>3993.1740614334472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44273</v>
      </c>
      <c r="D30" s="161" t="s">
        <v>9</v>
      </c>
      <c r="E30" s="161" t="s">
        <v>95</v>
      </c>
      <c r="F30" s="222">
        <v>597</v>
      </c>
      <c r="G30" s="222">
        <v>601.4</v>
      </c>
      <c r="H30" s="222">
        <v>4.4000000000000004</v>
      </c>
      <c r="I30" s="207">
        <f t="shared" si="6"/>
        <v>502.51256281407035</v>
      </c>
      <c r="J30" s="242">
        <f t="shared" si="7"/>
        <v>2211.0552763819096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44273</v>
      </c>
      <c r="D31" s="161" t="s">
        <v>8</v>
      </c>
      <c r="E31" s="161" t="s">
        <v>31</v>
      </c>
      <c r="F31" s="222">
        <v>2065</v>
      </c>
      <c r="G31" s="222">
        <v>2025</v>
      </c>
      <c r="H31" s="222">
        <v>40</v>
      </c>
      <c r="I31" s="207">
        <f t="shared" si="6"/>
        <v>145.27845036319613</v>
      </c>
      <c r="J31" s="242">
        <f t="shared" si="7"/>
        <v>5811.1380145278454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44274</v>
      </c>
      <c r="D32" s="161" t="s">
        <v>9</v>
      </c>
      <c r="E32" s="161" t="s">
        <v>137</v>
      </c>
      <c r="F32" s="222">
        <v>2215</v>
      </c>
      <c r="G32" s="222">
        <v>2255</v>
      </c>
      <c r="H32" s="222">
        <v>40</v>
      </c>
      <c r="I32" s="207">
        <f t="shared" si="6"/>
        <v>135.44018058690745</v>
      </c>
      <c r="J32" s="242">
        <f t="shared" si="7"/>
        <v>5417.6072234762978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44274</v>
      </c>
      <c r="D33" s="161" t="s">
        <v>8</v>
      </c>
      <c r="E33" s="161" t="s">
        <v>103</v>
      </c>
      <c r="F33" s="222">
        <v>120.5</v>
      </c>
      <c r="G33" s="222">
        <v>122.5</v>
      </c>
      <c r="H33" s="222">
        <v>-2</v>
      </c>
      <c r="I33" s="207">
        <f t="shared" si="6"/>
        <v>2489.6265560165975</v>
      </c>
      <c r="J33" s="242">
        <f t="shared" si="7"/>
        <v>-4979.2531120331951</v>
      </c>
      <c r="K33" s="153"/>
      <c r="V33" s="25">
        <f t="shared" si="3"/>
        <v>0</v>
      </c>
      <c r="W33" s="25">
        <f t="shared" si="4"/>
        <v>1</v>
      </c>
    </row>
    <row r="34" spans="1:23" x14ac:dyDescent="0.3">
      <c r="A34" s="147"/>
      <c r="B34" s="205">
        <f t="shared" si="5"/>
        <v>29</v>
      </c>
      <c r="C34" s="206">
        <v>44277</v>
      </c>
      <c r="D34" s="161" t="s">
        <v>9</v>
      </c>
      <c r="E34" s="161" t="s">
        <v>586</v>
      </c>
      <c r="F34" s="222">
        <v>1425</v>
      </c>
      <c r="G34" s="222">
        <v>1410</v>
      </c>
      <c r="H34" s="222">
        <v>-15</v>
      </c>
      <c r="I34" s="207">
        <f t="shared" si="6"/>
        <v>210.52631578947367</v>
      </c>
      <c r="J34" s="242">
        <f t="shared" si="7"/>
        <v>-3157.894736842105</v>
      </c>
      <c r="K34" s="153"/>
      <c r="V34" s="25">
        <f t="shared" si="3"/>
        <v>0</v>
      </c>
      <c r="W34" s="25">
        <f t="shared" si="4"/>
        <v>1</v>
      </c>
    </row>
    <row r="35" spans="1:23" x14ac:dyDescent="0.3">
      <c r="A35" s="147"/>
      <c r="B35" s="205">
        <f t="shared" si="5"/>
        <v>30</v>
      </c>
      <c r="C35" s="206">
        <v>44277</v>
      </c>
      <c r="D35" s="161" t="s">
        <v>8</v>
      </c>
      <c r="E35" s="161" t="s">
        <v>31</v>
      </c>
      <c r="F35" s="222">
        <v>2055</v>
      </c>
      <c r="G35" s="222">
        <v>2035</v>
      </c>
      <c r="H35" s="222">
        <v>20</v>
      </c>
      <c r="I35" s="207">
        <f t="shared" si="6"/>
        <v>145.98540145985402</v>
      </c>
      <c r="J35" s="242">
        <f t="shared" si="7"/>
        <v>2919.7080291970806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44278</v>
      </c>
      <c r="D36" s="161" t="s">
        <v>9</v>
      </c>
      <c r="E36" s="161" t="s">
        <v>137</v>
      </c>
      <c r="F36" s="222">
        <v>2365</v>
      </c>
      <c r="G36" s="222">
        <v>2340</v>
      </c>
      <c r="H36" s="222">
        <v>-15</v>
      </c>
      <c r="I36" s="207">
        <f t="shared" si="6"/>
        <v>126.84989429175475</v>
      </c>
      <c r="J36" s="242">
        <f t="shared" si="7"/>
        <v>-1902.7484143763213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44278</v>
      </c>
      <c r="D37" s="161" t="s">
        <v>8</v>
      </c>
      <c r="E37" s="161" t="s">
        <v>667</v>
      </c>
      <c r="F37" s="222">
        <v>205.5</v>
      </c>
      <c r="G37" s="222">
        <v>204</v>
      </c>
      <c r="H37" s="222">
        <v>1.5</v>
      </c>
      <c r="I37" s="207">
        <f t="shared" si="6"/>
        <v>1459.8540145985401</v>
      </c>
      <c r="J37" s="242">
        <f t="shared" si="7"/>
        <v>2189.7810218978102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44279</v>
      </c>
      <c r="D38" s="161" t="s">
        <v>9</v>
      </c>
      <c r="E38" s="161" t="s">
        <v>58</v>
      </c>
      <c r="F38" s="222">
        <v>724</v>
      </c>
      <c r="G38" s="222">
        <v>717</v>
      </c>
      <c r="H38" s="222">
        <v>-7</v>
      </c>
      <c r="I38" s="207">
        <f t="shared" si="6"/>
        <v>414.36464088397793</v>
      </c>
      <c r="J38" s="242">
        <f t="shared" si="7"/>
        <v>-2900.5524861878457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44279</v>
      </c>
      <c r="D39" s="161" t="s">
        <v>8</v>
      </c>
      <c r="E39" s="161" t="s">
        <v>31</v>
      </c>
      <c r="F39" s="222">
        <v>2065</v>
      </c>
      <c r="G39" s="222">
        <v>2045</v>
      </c>
      <c r="H39" s="222">
        <v>20</v>
      </c>
      <c r="I39" s="207">
        <f t="shared" si="6"/>
        <v>145.27845036319613</v>
      </c>
      <c r="J39" s="242">
        <f t="shared" si="7"/>
        <v>2905.5690072639227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44280</v>
      </c>
      <c r="D40" s="161" t="s">
        <v>9</v>
      </c>
      <c r="E40" s="161" t="s">
        <v>365</v>
      </c>
      <c r="F40" s="222">
        <v>439</v>
      </c>
      <c r="G40" s="222">
        <v>441</v>
      </c>
      <c r="H40" s="222">
        <v>2</v>
      </c>
      <c r="I40" s="207">
        <f t="shared" si="6"/>
        <v>683.37129840546697</v>
      </c>
      <c r="J40" s="242">
        <f t="shared" si="7"/>
        <v>1366.7425968109339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44280</v>
      </c>
      <c r="D41" s="161" t="s">
        <v>8</v>
      </c>
      <c r="E41" s="161" t="s">
        <v>31</v>
      </c>
      <c r="F41" s="222">
        <v>2025</v>
      </c>
      <c r="G41" s="223">
        <v>2005</v>
      </c>
      <c r="H41" s="222">
        <v>20</v>
      </c>
      <c r="I41" s="207">
        <f t="shared" si="6"/>
        <v>148.14814814814815</v>
      </c>
      <c r="J41" s="242">
        <f t="shared" si="7"/>
        <v>2962.962962962963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44281</v>
      </c>
      <c r="D42" s="161" t="s">
        <v>9</v>
      </c>
      <c r="E42" s="161" t="s">
        <v>25</v>
      </c>
      <c r="F42" s="222">
        <v>741</v>
      </c>
      <c r="G42" s="222">
        <v>756</v>
      </c>
      <c r="H42" s="222">
        <v>15</v>
      </c>
      <c r="I42" s="207">
        <f t="shared" si="6"/>
        <v>404.85829959514172</v>
      </c>
      <c r="J42" s="242">
        <f t="shared" si="7"/>
        <v>6072.8744939271255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44281</v>
      </c>
      <c r="D43" s="161" t="s">
        <v>8</v>
      </c>
      <c r="E43" s="161" t="s">
        <v>31</v>
      </c>
      <c r="F43" s="222">
        <v>1980</v>
      </c>
      <c r="G43" s="222">
        <v>2000</v>
      </c>
      <c r="H43" s="222">
        <v>-20</v>
      </c>
      <c r="I43" s="207">
        <f t="shared" si="6"/>
        <v>151.5151515151515</v>
      </c>
      <c r="J43" s="242">
        <f t="shared" si="7"/>
        <v>-3030.30303030303</v>
      </c>
      <c r="K43" s="153"/>
      <c r="V43" s="25">
        <f t="shared" si="3"/>
        <v>0</v>
      </c>
      <c r="W43" s="25">
        <f t="shared" si="4"/>
        <v>1</v>
      </c>
    </row>
    <row r="44" spans="1:23" x14ac:dyDescent="0.3">
      <c r="A44" s="147"/>
      <c r="B44" s="205">
        <f t="shared" si="5"/>
        <v>39</v>
      </c>
      <c r="C44" s="206">
        <v>44285</v>
      </c>
      <c r="D44" s="161" t="s">
        <v>9</v>
      </c>
      <c r="E44" s="161" t="s">
        <v>25</v>
      </c>
      <c r="F44" s="222">
        <v>802</v>
      </c>
      <c r="G44" s="222">
        <v>804.5</v>
      </c>
      <c r="H44" s="222">
        <v>2.5</v>
      </c>
      <c r="I44" s="207">
        <f t="shared" si="6"/>
        <v>374.06483790523691</v>
      </c>
      <c r="J44" s="242">
        <f t="shared" si="7"/>
        <v>935.16209476309223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44285</v>
      </c>
      <c r="D45" s="161" t="s">
        <v>8</v>
      </c>
      <c r="E45" s="161" t="s">
        <v>275</v>
      </c>
      <c r="F45" s="222">
        <v>422</v>
      </c>
      <c r="G45" s="222">
        <v>427</v>
      </c>
      <c r="H45" s="222">
        <v>-5</v>
      </c>
      <c r="I45" s="207">
        <f t="shared" si="6"/>
        <v>710.90047393364932</v>
      </c>
      <c r="J45" s="242">
        <f t="shared" si="7"/>
        <v>-3554.5023696682465</v>
      </c>
      <c r="K45" s="153"/>
      <c r="V45" s="25">
        <f t="shared" si="3"/>
        <v>0</v>
      </c>
      <c r="W45" s="25">
        <f t="shared" si="4"/>
        <v>1</v>
      </c>
    </row>
    <row r="46" spans="1:23" x14ac:dyDescent="0.3">
      <c r="A46" s="147"/>
      <c r="B46" s="205">
        <f t="shared" si="5"/>
        <v>41</v>
      </c>
      <c r="C46" s="206">
        <v>44286</v>
      </c>
      <c r="D46" s="161" t="s">
        <v>9</v>
      </c>
      <c r="E46" s="161" t="s">
        <v>31</v>
      </c>
      <c r="F46" s="222">
        <v>2040</v>
      </c>
      <c r="G46" s="222">
        <v>2048</v>
      </c>
      <c r="H46" s="222">
        <v>8</v>
      </c>
      <c r="I46" s="207">
        <f t="shared" si="6"/>
        <v>147.05882352941177</v>
      </c>
      <c r="J46" s="242">
        <f t="shared" si="7"/>
        <v>1176.4705882352941</v>
      </c>
      <c r="K46" s="153"/>
      <c r="V46" s="25">
        <f t="shared" si="3"/>
        <v>1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>
        <v>44286</v>
      </c>
      <c r="D47" s="161" t="s">
        <v>8</v>
      </c>
      <c r="E47" s="161" t="s">
        <v>94</v>
      </c>
      <c r="F47" s="222">
        <v>1493</v>
      </c>
      <c r="G47" s="222">
        <v>1488</v>
      </c>
      <c r="H47" s="222">
        <v>5</v>
      </c>
      <c r="I47" s="207">
        <f t="shared" si="6"/>
        <v>200.93770931011386</v>
      </c>
      <c r="J47" s="242">
        <f t="shared" si="7"/>
        <v>1004.6885465505693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72436.90876551735</v>
      </c>
      <c r="K52" s="153"/>
      <c r="V52" s="25">
        <f>SUM(V6:V51)</f>
        <v>31</v>
      </c>
      <c r="W52" s="25">
        <f>SUM(W6:W51)</f>
        <v>11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3264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44256</v>
      </c>
      <c r="D60" s="161" t="s">
        <v>9</v>
      </c>
      <c r="E60" s="161" t="s">
        <v>2563</v>
      </c>
      <c r="F60" s="222">
        <v>1665</v>
      </c>
      <c r="G60" s="222">
        <v>1685</v>
      </c>
      <c r="H60" s="222">
        <v>20</v>
      </c>
      <c r="I60" s="207">
        <v>500</v>
      </c>
      <c r="J60" s="241">
        <f t="shared" ref="J60:J83" si="15">I60*H60</f>
        <v>10000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44257</v>
      </c>
      <c r="D61" s="161" t="s">
        <v>8</v>
      </c>
      <c r="E61" s="161" t="s">
        <v>2563</v>
      </c>
      <c r="F61" s="222">
        <v>1675</v>
      </c>
      <c r="G61" s="222">
        <v>1690</v>
      </c>
      <c r="H61" s="222">
        <v>-15</v>
      </c>
      <c r="I61" s="207">
        <v>500</v>
      </c>
      <c r="J61" s="242">
        <f t="shared" si="15"/>
        <v>-7500</v>
      </c>
      <c r="K61" s="153"/>
      <c r="O61" s="25" t="s">
        <v>2008</v>
      </c>
      <c r="V61" s="25">
        <f t="shared" ref="V61:V83" si="16">IF($J61&gt;0,1,0)</f>
        <v>0</v>
      </c>
      <c r="W61" s="25">
        <f t="shared" ref="W61:W83" si="17">IF($J61&lt;0,1,0)</f>
        <v>1</v>
      </c>
    </row>
    <row r="62" spans="1:23" x14ac:dyDescent="0.3">
      <c r="A62" s="147"/>
      <c r="B62" s="205">
        <f t="shared" ref="B62:B83" si="18">B61+1</f>
        <v>3</v>
      </c>
      <c r="C62" s="206">
        <v>44258</v>
      </c>
      <c r="D62" s="161" t="s">
        <v>9</v>
      </c>
      <c r="E62" s="161" t="s">
        <v>2023</v>
      </c>
      <c r="F62" s="222">
        <v>5410</v>
      </c>
      <c r="G62" s="222">
        <v>5470</v>
      </c>
      <c r="H62" s="222">
        <v>60</v>
      </c>
      <c r="I62" s="207">
        <v>250</v>
      </c>
      <c r="J62" s="242">
        <f t="shared" si="15"/>
        <v>15000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44259</v>
      </c>
      <c r="D63" s="161" t="s">
        <v>9</v>
      </c>
      <c r="E63" s="161" t="s">
        <v>2563</v>
      </c>
      <c r="F63" s="222">
        <v>1790</v>
      </c>
      <c r="G63" s="222">
        <v>1820</v>
      </c>
      <c r="H63" s="222">
        <v>30</v>
      </c>
      <c r="I63" s="207">
        <v>500</v>
      </c>
      <c r="J63" s="242">
        <f t="shared" si="15"/>
        <v>15000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44260</v>
      </c>
      <c r="D64" s="161" t="s">
        <v>9</v>
      </c>
      <c r="E64" s="161" t="s">
        <v>2023</v>
      </c>
      <c r="F64" s="222">
        <v>5475</v>
      </c>
      <c r="G64" s="222">
        <v>5515</v>
      </c>
      <c r="H64" s="222">
        <v>40</v>
      </c>
      <c r="I64" s="207">
        <v>250</v>
      </c>
      <c r="J64" s="242">
        <f t="shared" si="15"/>
        <v>10000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44263</v>
      </c>
      <c r="D65" s="161" t="s">
        <v>9</v>
      </c>
      <c r="E65" s="161" t="s">
        <v>58</v>
      </c>
      <c r="F65" s="207">
        <v>751</v>
      </c>
      <c r="G65" s="222">
        <v>753.7</v>
      </c>
      <c r="H65" s="222">
        <v>2.7</v>
      </c>
      <c r="I65" s="207">
        <v>1200</v>
      </c>
      <c r="J65" s="242">
        <f t="shared" si="15"/>
        <v>3240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44264</v>
      </c>
      <c r="D66" s="161" t="s">
        <v>9</v>
      </c>
      <c r="E66" s="161" t="s">
        <v>586</v>
      </c>
      <c r="F66" s="207">
        <v>1400</v>
      </c>
      <c r="G66" s="222">
        <v>1408.5</v>
      </c>
      <c r="H66" s="222">
        <v>8.5</v>
      </c>
      <c r="I66" s="207">
        <v>950</v>
      </c>
      <c r="J66" s="242">
        <f t="shared" si="15"/>
        <v>8075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44265</v>
      </c>
      <c r="D67" s="161" t="s">
        <v>9</v>
      </c>
      <c r="E67" s="161" t="s">
        <v>2563</v>
      </c>
      <c r="F67" s="222">
        <v>1705</v>
      </c>
      <c r="G67" s="222">
        <v>1690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44267</v>
      </c>
      <c r="D68" s="161" t="s">
        <v>9</v>
      </c>
      <c r="E68" s="161" t="s">
        <v>2023</v>
      </c>
      <c r="F68" s="222">
        <v>5625</v>
      </c>
      <c r="G68" s="222">
        <v>5665</v>
      </c>
      <c r="H68" s="222">
        <v>60</v>
      </c>
      <c r="I68" s="207">
        <v>250</v>
      </c>
      <c r="J68" s="242">
        <f t="shared" si="15"/>
        <v>15000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44270</v>
      </c>
      <c r="D69" s="161" t="s">
        <v>8</v>
      </c>
      <c r="E69" s="161" t="s">
        <v>58</v>
      </c>
      <c r="F69" s="222">
        <v>738</v>
      </c>
      <c r="G69" s="222">
        <v>726</v>
      </c>
      <c r="H69" s="222">
        <v>12</v>
      </c>
      <c r="I69" s="207">
        <v>1200</v>
      </c>
      <c r="J69" s="242">
        <f t="shared" si="15"/>
        <v>14400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44271</v>
      </c>
      <c r="D70" s="161" t="s">
        <v>8</v>
      </c>
      <c r="E70" s="161" t="s">
        <v>2023</v>
      </c>
      <c r="F70" s="161">
        <v>5475</v>
      </c>
      <c r="G70" s="222">
        <v>5460</v>
      </c>
      <c r="H70" s="222">
        <v>15</v>
      </c>
      <c r="I70" s="207">
        <v>250</v>
      </c>
      <c r="J70" s="242">
        <f t="shared" si="15"/>
        <v>3750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44272</v>
      </c>
      <c r="D71" s="161" t="s">
        <v>8</v>
      </c>
      <c r="E71" s="161" t="s">
        <v>2023</v>
      </c>
      <c r="F71" s="222">
        <v>5440</v>
      </c>
      <c r="G71" s="222">
        <v>5380</v>
      </c>
      <c r="H71" s="222">
        <v>60</v>
      </c>
      <c r="I71" s="207">
        <v>250</v>
      </c>
      <c r="J71" s="242">
        <f t="shared" si="15"/>
        <v>15000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44273</v>
      </c>
      <c r="D72" s="161" t="s">
        <v>8</v>
      </c>
      <c r="E72" s="161" t="s">
        <v>31</v>
      </c>
      <c r="F72" s="222">
        <v>2075</v>
      </c>
      <c r="G72" s="222">
        <v>2035</v>
      </c>
      <c r="H72" s="222">
        <v>40</v>
      </c>
      <c r="I72" s="207">
        <v>250</v>
      </c>
      <c r="J72" s="242">
        <f t="shared" si="15"/>
        <v>10000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44274</v>
      </c>
      <c r="D73" s="161" t="s">
        <v>9</v>
      </c>
      <c r="E73" s="161" t="s">
        <v>2563</v>
      </c>
      <c r="F73" s="223">
        <v>1710</v>
      </c>
      <c r="G73" s="222">
        <v>1730</v>
      </c>
      <c r="H73" s="255">
        <v>20</v>
      </c>
      <c r="I73" s="207">
        <v>500</v>
      </c>
      <c r="J73" s="242">
        <f t="shared" si="15"/>
        <v>10000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44277</v>
      </c>
      <c r="D74" s="161" t="s">
        <v>9</v>
      </c>
      <c r="E74" s="161" t="s">
        <v>2563</v>
      </c>
      <c r="F74" s="222">
        <v>1655</v>
      </c>
      <c r="G74" s="222">
        <v>1685</v>
      </c>
      <c r="H74" s="255">
        <v>30</v>
      </c>
      <c r="I74" s="207">
        <v>500</v>
      </c>
      <c r="J74" s="242">
        <f t="shared" si="15"/>
        <v>15000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44278</v>
      </c>
      <c r="D75" s="161" t="s">
        <v>9</v>
      </c>
      <c r="E75" s="161" t="s">
        <v>31</v>
      </c>
      <c r="F75" s="222">
        <v>2074</v>
      </c>
      <c r="G75" s="222">
        <v>2094</v>
      </c>
      <c r="H75" s="255">
        <v>20</v>
      </c>
      <c r="I75" s="207">
        <v>250</v>
      </c>
      <c r="J75" s="242">
        <f t="shared" si="15"/>
        <v>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44279</v>
      </c>
      <c r="D76" s="161" t="s">
        <v>9</v>
      </c>
      <c r="E76" s="161" t="s">
        <v>2023</v>
      </c>
      <c r="F76" s="222">
        <v>5350</v>
      </c>
      <c r="G76" s="222">
        <v>5357</v>
      </c>
      <c r="H76" s="222">
        <v>7</v>
      </c>
      <c r="I76" s="207">
        <v>250</v>
      </c>
      <c r="J76" s="242">
        <f t="shared" si="15"/>
        <v>1750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44280</v>
      </c>
      <c r="D77" s="161" t="s">
        <v>8</v>
      </c>
      <c r="E77" s="161" t="s">
        <v>2023</v>
      </c>
      <c r="F77" s="222">
        <v>5170</v>
      </c>
      <c r="G77" s="222">
        <v>5110</v>
      </c>
      <c r="H77" s="222"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44281</v>
      </c>
      <c r="D78" s="161" t="s">
        <v>8</v>
      </c>
      <c r="E78" s="161" t="s">
        <v>2563</v>
      </c>
      <c r="F78" s="222">
        <v>1635</v>
      </c>
      <c r="G78" s="222">
        <v>1613.5</v>
      </c>
      <c r="H78" s="222">
        <v>21.5</v>
      </c>
      <c r="I78" s="207">
        <v>500</v>
      </c>
      <c r="J78" s="242">
        <f t="shared" si="15"/>
        <v>10750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44285</v>
      </c>
      <c r="D79" s="161" t="s">
        <v>9</v>
      </c>
      <c r="E79" s="161" t="s">
        <v>3023</v>
      </c>
      <c r="F79" s="222">
        <v>592</v>
      </c>
      <c r="G79" s="222">
        <v>595.29999999999995</v>
      </c>
      <c r="H79" s="222">
        <v>3.3</v>
      </c>
      <c r="I79" s="207">
        <v>1375</v>
      </c>
      <c r="J79" s="242">
        <f t="shared" si="15"/>
        <v>4537.5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>
        <v>44286</v>
      </c>
      <c r="D80" s="161" t="s">
        <v>9</v>
      </c>
      <c r="E80" s="161" t="s">
        <v>31</v>
      </c>
      <c r="F80" s="222">
        <v>2050</v>
      </c>
      <c r="G80" s="222">
        <v>2058</v>
      </c>
      <c r="H80" s="222">
        <v>8</v>
      </c>
      <c r="I80" s="207">
        <v>250</v>
      </c>
      <c r="J80" s="242">
        <f t="shared" si="15"/>
        <v>2000</v>
      </c>
      <c r="K80" s="153"/>
      <c r="V80" s="25">
        <f t="shared" si="16"/>
        <v>1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168502.5</v>
      </c>
      <c r="K84" s="153"/>
      <c r="V84" s="25">
        <f>SUM(V60:V83)</f>
        <v>19</v>
      </c>
      <c r="W84" s="25">
        <f>SUM(W60:W83)</f>
        <v>2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3265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44256</v>
      </c>
      <c r="D92" s="185" t="s">
        <v>9</v>
      </c>
      <c r="E92" s="185" t="s">
        <v>39</v>
      </c>
      <c r="F92" s="219">
        <v>14810</v>
      </c>
      <c r="G92" s="219">
        <v>14835</v>
      </c>
      <c r="H92" s="185">
        <v>25</v>
      </c>
      <c r="I92" s="219">
        <v>150</v>
      </c>
      <c r="J92" s="246">
        <f t="shared" ref="J92:J114" si="19">I92*H92</f>
        <v>3750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44257</v>
      </c>
      <c r="D93" s="185" t="s">
        <v>9</v>
      </c>
      <c r="E93" s="185" t="s">
        <v>39</v>
      </c>
      <c r="F93" s="219">
        <v>14840</v>
      </c>
      <c r="G93" s="219">
        <v>14920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44258</v>
      </c>
      <c r="D94" s="161" t="s">
        <v>9</v>
      </c>
      <c r="E94" s="161" t="s">
        <v>39</v>
      </c>
      <c r="F94" s="207">
        <v>15070</v>
      </c>
      <c r="G94" s="207">
        <v>15150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44259</v>
      </c>
      <c r="D95" s="161" t="s">
        <v>9</v>
      </c>
      <c r="E95" s="161" t="s">
        <v>39</v>
      </c>
      <c r="F95" s="207">
        <v>15090</v>
      </c>
      <c r="G95" s="207">
        <v>15170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44260</v>
      </c>
      <c r="D96" s="161" t="s">
        <v>8</v>
      </c>
      <c r="E96" s="161" t="s">
        <v>39</v>
      </c>
      <c r="F96" s="207">
        <v>15000</v>
      </c>
      <c r="G96" s="207">
        <v>14960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44263</v>
      </c>
      <c r="D97" s="161" t="s">
        <v>9</v>
      </c>
      <c r="E97" s="161" t="s">
        <v>39</v>
      </c>
      <c r="F97" s="207">
        <v>15020</v>
      </c>
      <c r="G97" s="207">
        <v>15060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44264</v>
      </c>
      <c r="D98" s="161" t="s">
        <v>9</v>
      </c>
      <c r="E98" s="161" t="s">
        <v>39</v>
      </c>
      <c r="F98" s="207">
        <v>15080</v>
      </c>
      <c r="G98" s="207">
        <v>15120</v>
      </c>
      <c r="H98" s="161">
        <v>40</v>
      </c>
      <c r="I98" s="207">
        <v>150</v>
      </c>
      <c r="J98" s="242">
        <f t="shared" si="19"/>
        <v>6000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44265</v>
      </c>
      <c r="D99" s="161" t="s">
        <v>9</v>
      </c>
      <c r="E99" s="161" t="s">
        <v>39</v>
      </c>
      <c r="F99" s="207">
        <v>15210</v>
      </c>
      <c r="G99" s="207">
        <v>15170</v>
      </c>
      <c r="H99" s="161">
        <v>-40</v>
      </c>
      <c r="I99" s="207">
        <v>150</v>
      </c>
      <c r="J99" s="242">
        <f t="shared" si="19"/>
        <v>-6000</v>
      </c>
      <c r="K99" s="153"/>
      <c r="V99" s="25">
        <f t="shared" si="20"/>
        <v>0</v>
      </c>
      <c r="W99" s="25">
        <f t="shared" si="21"/>
        <v>1</v>
      </c>
    </row>
    <row r="100" spans="1:23" x14ac:dyDescent="0.3">
      <c r="A100" s="147"/>
      <c r="B100" s="205">
        <f t="shared" si="22"/>
        <v>9</v>
      </c>
      <c r="C100" s="206">
        <v>44267</v>
      </c>
      <c r="D100" s="161" t="s">
        <v>9</v>
      </c>
      <c r="E100" s="161" t="s">
        <v>39</v>
      </c>
      <c r="F100" s="207">
        <v>15310</v>
      </c>
      <c r="G100" s="207">
        <v>15270</v>
      </c>
      <c r="H100" s="161">
        <v>-40</v>
      </c>
      <c r="I100" s="207">
        <v>150</v>
      </c>
      <c r="J100" s="242">
        <f t="shared" si="19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44270</v>
      </c>
      <c r="D101" s="161" t="s">
        <v>8</v>
      </c>
      <c r="E101" s="161" t="s">
        <v>39</v>
      </c>
      <c r="F101" s="207">
        <v>14890</v>
      </c>
      <c r="G101" s="207">
        <v>14810</v>
      </c>
      <c r="H101" s="161">
        <v>80</v>
      </c>
      <c r="I101" s="207">
        <v>150</v>
      </c>
      <c r="J101" s="242">
        <f t="shared" si="19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44271</v>
      </c>
      <c r="D102" s="161" t="s">
        <v>9</v>
      </c>
      <c r="E102" s="161" t="s">
        <v>39</v>
      </c>
      <c r="F102" s="207">
        <v>15020</v>
      </c>
      <c r="G102" s="207">
        <v>15075</v>
      </c>
      <c r="H102" s="161">
        <v>55</v>
      </c>
      <c r="I102" s="207">
        <v>150</v>
      </c>
      <c r="J102" s="242">
        <f t="shared" si="19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44272</v>
      </c>
      <c r="D103" s="161" t="s">
        <v>9</v>
      </c>
      <c r="E103" s="161" t="s">
        <v>39</v>
      </c>
      <c r="F103" s="207">
        <v>14900</v>
      </c>
      <c r="G103" s="207">
        <v>14980</v>
      </c>
      <c r="H103" s="161">
        <v>80</v>
      </c>
      <c r="I103" s="207">
        <v>150</v>
      </c>
      <c r="J103" s="242">
        <f t="shared" si="19"/>
        <v>12000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44273</v>
      </c>
      <c r="D104" s="161" t="s">
        <v>8</v>
      </c>
      <c r="E104" s="161" t="s">
        <v>39</v>
      </c>
      <c r="F104" s="207">
        <v>14840</v>
      </c>
      <c r="G104" s="207">
        <v>14760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44274</v>
      </c>
      <c r="D105" s="161" t="s">
        <v>9</v>
      </c>
      <c r="E105" s="161" t="s">
        <v>39</v>
      </c>
      <c r="F105" s="207">
        <v>14540</v>
      </c>
      <c r="G105" s="207">
        <v>14580</v>
      </c>
      <c r="H105" s="161">
        <v>40</v>
      </c>
      <c r="I105" s="207">
        <v>150</v>
      </c>
      <c r="J105" s="242">
        <f t="shared" si="19"/>
        <v>6000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44277</v>
      </c>
      <c r="D106" s="161" t="s">
        <v>8</v>
      </c>
      <c r="E106" s="161" t="s">
        <v>39</v>
      </c>
      <c r="F106" s="207">
        <v>14710</v>
      </c>
      <c r="G106" s="207">
        <v>14630</v>
      </c>
      <c r="H106" s="161">
        <v>80</v>
      </c>
      <c r="I106" s="207">
        <v>150</v>
      </c>
      <c r="J106" s="242">
        <f t="shared" si="19"/>
        <v>12000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44278</v>
      </c>
      <c r="D107" s="161" t="s">
        <v>9</v>
      </c>
      <c r="E107" s="161" t="s">
        <v>39</v>
      </c>
      <c r="F107" s="207">
        <v>14790</v>
      </c>
      <c r="G107" s="207">
        <v>14870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44279</v>
      </c>
      <c r="D108" s="161" t="s">
        <v>8</v>
      </c>
      <c r="E108" s="161" t="s">
        <v>39</v>
      </c>
      <c r="F108" s="207">
        <v>14690</v>
      </c>
      <c r="G108" s="207">
        <v>14610</v>
      </c>
      <c r="H108" s="161">
        <v>80</v>
      </c>
      <c r="I108" s="207">
        <v>150</v>
      </c>
      <c r="J108" s="242">
        <f t="shared" si="19"/>
        <v>12000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44280</v>
      </c>
      <c r="D109" s="161" t="s">
        <v>8</v>
      </c>
      <c r="E109" s="161" t="s">
        <v>39</v>
      </c>
      <c r="F109" s="207">
        <v>14410</v>
      </c>
      <c r="G109" s="207">
        <v>14330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44281</v>
      </c>
      <c r="D110" s="161" t="s">
        <v>8</v>
      </c>
      <c r="E110" s="161" t="s">
        <v>39</v>
      </c>
      <c r="F110" s="207">
        <v>14570</v>
      </c>
      <c r="G110" s="207">
        <v>14535</v>
      </c>
      <c r="H110" s="161">
        <v>35</v>
      </c>
      <c r="I110" s="207">
        <v>150</v>
      </c>
      <c r="J110" s="242">
        <f>I110*H110</f>
        <v>5250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44285</v>
      </c>
      <c r="D111" s="161" t="s">
        <v>9</v>
      </c>
      <c r="E111" s="161" t="s">
        <v>39</v>
      </c>
      <c r="F111" s="207">
        <v>14830</v>
      </c>
      <c r="G111" s="207">
        <v>14870</v>
      </c>
      <c r="H111" s="161">
        <v>40</v>
      </c>
      <c r="I111" s="207">
        <v>150</v>
      </c>
      <c r="J111" s="242">
        <f t="shared" si="19"/>
        <v>6000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>
        <v>44286</v>
      </c>
      <c r="D112" s="161" t="s">
        <v>8</v>
      </c>
      <c r="E112" s="161" t="s">
        <v>39</v>
      </c>
      <c r="F112" s="207">
        <v>14800</v>
      </c>
      <c r="G112" s="207">
        <v>14762</v>
      </c>
      <c r="H112" s="161">
        <v>38</v>
      </c>
      <c r="I112" s="207">
        <v>150</v>
      </c>
      <c r="J112" s="242">
        <f t="shared" si="19"/>
        <v>5700</v>
      </c>
      <c r="K112" s="153"/>
      <c r="V112" s="25">
        <f t="shared" si="20"/>
        <v>1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160950</v>
      </c>
      <c r="K115" s="153"/>
      <c r="V115" s="25">
        <f>SUM(V92:V114)</f>
        <v>19</v>
      </c>
      <c r="W115" s="25">
        <f>SUM(W92:W114)</f>
        <v>2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3264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44256</v>
      </c>
      <c r="D123" s="185" t="s">
        <v>9</v>
      </c>
      <c r="E123" s="185" t="s">
        <v>3267</v>
      </c>
      <c r="F123" s="219">
        <v>140</v>
      </c>
      <c r="G123" s="219">
        <v>115</v>
      </c>
      <c r="H123" s="185">
        <v>25</v>
      </c>
      <c r="I123" s="219">
        <v>300</v>
      </c>
      <c r="J123" s="246">
        <f t="shared" ref="J123:J145" si="23">I123*H123</f>
        <v>7500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44257</v>
      </c>
      <c r="D124" s="185" t="s">
        <v>9</v>
      </c>
      <c r="E124" s="185" t="s">
        <v>3220</v>
      </c>
      <c r="F124" s="219">
        <v>125</v>
      </c>
      <c r="G124" s="219">
        <v>175</v>
      </c>
      <c r="H124" s="185">
        <v>50</v>
      </c>
      <c r="I124" s="219">
        <v>300</v>
      </c>
      <c r="J124" s="242">
        <f t="shared" si="23"/>
        <v>15000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44258</v>
      </c>
      <c r="D125" s="161" t="s">
        <v>9</v>
      </c>
      <c r="E125" s="161" t="s">
        <v>1291</v>
      </c>
      <c r="F125" s="207">
        <v>105</v>
      </c>
      <c r="G125" s="207">
        <v>155</v>
      </c>
      <c r="H125" s="161">
        <v>50</v>
      </c>
      <c r="I125" s="207">
        <v>300</v>
      </c>
      <c r="J125" s="242">
        <f t="shared" si="23"/>
        <v>15000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44259</v>
      </c>
      <c r="D126" s="161" t="s">
        <v>9</v>
      </c>
      <c r="E126" s="161" t="s">
        <v>1291</v>
      </c>
      <c r="F126" s="207">
        <v>95</v>
      </c>
      <c r="G126" s="207">
        <v>145</v>
      </c>
      <c r="H126" s="161">
        <v>50</v>
      </c>
      <c r="I126" s="207">
        <v>300</v>
      </c>
      <c r="J126" s="242">
        <f t="shared" si="23"/>
        <v>15000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44260</v>
      </c>
      <c r="D127" s="161" t="s">
        <v>9</v>
      </c>
      <c r="E127" s="161" t="s">
        <v>1213</v>
      </c>
      <c r="F127" s="207">
        <v>160</v>
      </c>
      <c r="G127" s="207">
        <v>170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44263</v>
      </c>
      <c r="D128" s="161" t="s">
        <v>9</v>
      </c>
      <c r="E128" s="161" t="s">
        <v>3231</v>
      </c>
      <c r="F128" s="207">
        <v>130</v>
      </c>
      <c r="G128" s="222">
        <v>140</v>
      </c>
      <c r="H128" s="222">
        <v>10</v>
      </c>
      <c r="I128" s="207">
        <v>300</v>
      </c>
      <c r="J128" s="242">
        <f t="shared" si="23"/>
        <v>3000</v>
      </c>
      <c r="K128" s="153"/>
      <c r="V128" s="25">
        <f t="shared" si="24"/>
        <v>1</v>
      </c>
      <c r="W128" s="25">
        <f t="shared" si="25"/>
        <v>0</v>
      </c>
    </row>
    <row r="129" spans="1:23" x14ac:dyDescent="0.3">
      <c r="A129" s="147"/>
      <c r="B129" s="205">
        <f t="shared" si="26"/>
        <v>7</v>
      </c>
      <c r="C129" s="206">
        <v>44264</v>
      </c>
      <c r="D129" s="161" t="s">
        <v>9</v>
      </c>
      <c r="E129" s="161" t="s">
        <v>3231</v>
      </c>
      <c r="F129" s="207">
        <v>110</v>
      </c>
      <c r="G129" s="207">
        <v>120</v>
      </c>
      <c r="H129" s="161">
        <v>10</v>
      </c>
      <c r="I129" s="207">
        <v>300</v>
      </c>
      <c r="J129" s="242">
        <f t="shared" si="23"/>
        <v>3000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44265</v>
      </c>
      <c r="D130" s="161" t="s">
        <v>9</v>
      </c>
      <c r="E130" s="161" t="s">
        <v>1213</v>
      </c>
      <c r="F130" s="207">
        <v>75</v>
      </c>
      <c r="G130" s="207">
        <v>50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44267</v>
      </c>
      <c r="D131" s="161" t="s">
        <v>9</v>
      </c>
      <c r="E131" s="161" t="s">
        <v>3239</v>
      </c>
      <c r="F131" s="207">
        <v>120</v>
      </c>
      <c r="G131" s="207">
        <v>95</v>
      </c>
      <c r="H131" s="161">
        <v>-25</v>
      </c>
      <c r="I131" s="207">
        <v>300</v>
      </c>
      <c r="J131" s="242">
        <f t="shared" si="23"/>
        <v>-7500</v>
      </c>
      <c r="K131" s="153"/>
      <c r="V131" s="25">
        <f t="shared" si="24"/>
        <v>0</v>
      </c>
      <c r="W131" s="25">
        <f t="shared" si="25"/>
        <v>1</v>
      </c>
    </row>
    <row r="132" spans="1:23" x14ac:dyDescent="0.3">
      <c r="A132" s="147"/>
      <c r="B132" s="205">
        <f t="shared" si="26"/>
        <v>10</v>
      </c>
      <c r="C132" s="206">
        <v>44270</v>
      </c>
      <c r="D132" s="161" t="s">
        <v>9</v>
      </c>
      <c r="E132" s="161" t="s">
        <v>3252</v>
      </c>
      <c r="F132" s="207">
        <v>135</v>
      </c>
      <c r="G132" s="222">
        <v>185</v>
      </c>
      <c r="H132" s="222">
        <v>50</v>
      </c>
      <c r="I132" s="207">
        <v>300</v>
      </c>
      <c r="J132" s="242">
        <f t="shared" si="23"/>
        <v>15000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44271</v>
      </c>
      <c r="D133" s="161" t="s">
        <v>9</v>
      </c>
      <c r="E133" s="161" t="s">
        <v>1291</v>
      </c>
      <c r="F133" s="207">
        <v>130</v>
      </c>
      <c r="G133" s="222">
        <v>140</v>
      </c>
      <c r="H133" s="222">
        <v>10</v>
      </c>
      <c r="I133" s="207">
        <v>300</v>
      </c>
      <c r="J133" s="242">
        <f t="shared" si="23"/>
        <v>3000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44272</v>
      </c>
      <c r="D134" s="161" t="s">
        <v>9</v>
      </c>
      <c r="E134" s="161" t="s">
        <v>3267</v>
      </c>
      <c r="F134" s="207">
        <v>120</v>
      </c>
      <c r="G134" s="222">
        <v>145</v>
      </c>
      <c r="H134" s="222">
        <v>15</v>
      </c>
      <c r="I134" s="207">
        <v>300</v>
      </c>
      <c r="J134" s="242">
        <f t="shared" si="23"/>
        <v>4500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44273</v>
      </c>
      <c r="D135" s="161" t="s">
        <v>9</v>
      </c>
      <c r="E135" s="161" t="s">
        <v>3252</v>
      </c>
      <c r="F135" s="207">
        <v>85</v>
      </c>
      <c r="G135" s="222">
        <v>60</v>
      </c>
      <c r="H135" s="222">
        <v>-15</v>
      </c>
      <c r="I135" s="207">
        <v>300</v>
      </c>
      <c r="J135" s="242">
        <f t="shared" si="23"/>
        <v>-4500</v>
      </c>
      <c r="K135" s="153"/>
      <c r="V135" s="25">
        <f t="shared" si="24"/>
        <v>0</v>
      </c>
      <c r="W135" s="25">
        <f t="shared" si="25"/>
        <v>1</v>
      </c>
    </row>
    <row r="136" spans="1:23" x14ac:dyDescent="0.3">
      <c r="A136" s="147"/>
      <c r="B136" s="205">
        <f t="shared" si="26"/>
        <v>14</v>
      </c>
      <c r="C136" s="206">
        <v>44274</v>
      </c>
      <c r="D136" s="161" t="s">
        <v>9</v>
      </c>
      <c r="E136" s="161" t="s">
        <v>3283</v>
      </c>
      <c r="F136" s="207">
        <v>150</v>
      </c>
      <c r="G136" s="207">
        <v>190</v>
      </c>
      <c r="H136" s="161">
        <v>40</v>
      </c>
      <c r="I136" s="207">
        <v>300</v>
      </c>
      <c r="J136" s="242">
        <f>I136*H136</f>
        <v>12000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44277</v>
      </c>
      <c r="D137" s="161" t="s">
        <v>9</v>
      </c>
      <c r="E137" s="161" t="s">
        <v>3287</v>
      </c>
      <c r="F137" s="207">
        <v>135</v>
      </c>
      <c r="G137" s="207">
        <v>170</v>
      </c>
      <c r="H137" s="161">
        <v>35</v>
      </c>
      <c r="I137" s="207">
        <v>300</v>
      </c>
      <c r="J137" s="242">
        <f t="shared" si="23"/>
        <v>10500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44278</v>
      </c>
      <c r="D138" s="161" t="s">
        <v>9</v>
      </c>
      <c r="E138" s="161" t="s">
        <v>3220</v>
      </c>
      <c r="F138" s="207">
        <v>120</v>
      </c>
      <c r="G138" s="207">
        <v>160</v>
      </c>
      <c r="H138" s="161">
        <v>40</v>
      </c>
      <c r="I138" s="207">
        <v>300</v>
      </c>
      <c r="J138" s="242">
        <f t="shared" si="23"/>
        <v>12000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44279</v>
      </c>
      <c r="D139" s="161" t="s">
        <v>9</v>
      </c>
      <c r="E139" s="161" t="s">
        <v>1222</v>
      </c>
      <c r="F139" s="207">
        <v>130</v>
      </c>
      <c r="G139" s="207">
        <v>166</v>
      </c>
      <c r="H139" s="161">
        <v>36</v>
      </c>
      <c r="I139" s="207">
        <v>300</v>
      </c>
      <c r="J139" s="242">
        <f t="shared" si="23"/>
        <v>10800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44280</v>
      </c>
      <c r="D140" s="161" t="s">
        <v>9</v>
      </c>
      <c r="E140" s="161" t="s">
        <v>1212</v>
      </c>
      <c r="F140" s="207">
        <v>110</v>
      </c>
      <c r="G140" s="222">
        <v>160</v>
      </c>
      <c r="H140" s="222">
        <v>50</v>
      </c>
      <c r="I140" s="207">
        <v>300</v>
      </c>
      <c r="J140" s="242">
        <f t="shared" si="23"/>
        <v>15000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44281</v>
      </c>
      <c r="D141" s="161" t="s">
        <v>9</v>
      </c>
      <c r="E141" s="161" t="s">
        <v>3293</v>
      </c>
      <c r="F141" s="207">
        <v>145</v>
      </c>
      <c r="G141" s="207">
        <v>120</v>
      </c>
      <c r="H141" s="161">
        <v>-25</v>
      </c>
      <c r="I141" s="207">
        <v>300</v>
      </c>
      <c r="J141" s="242">
        <f t="shared" si="23"/>
        <v>-7500</v>
      </c>
      <c r="K141" s="153"/>
      <c r="V141" s="25">
        <f t="shared" si="24"/>
        <v>0</v>
      </c>
      <c r="W141" s="25">
        <f t="shared" si="25"/>
        <v>1</v>
      </c>
    </row>
    <row r="142" spans="1:23" x14ac:dyDescent="0.3">
      <c r="A142" s="147"/>
      <c r="B142" s="205">
        <f t="shared" si="26"/>
        <v>20</v>
      </c>
      <c r="C142" s="206">
        <v>44285</v>
      </c>
      <c r="D142" s="161" t="s">
        <v>9</v>
      </c>
      <c r="E142" s="161" t="s">
        <v>3217</v>
      </c>
      <c r="F142" s="207">
        <v>115</v>
      </c>
      <c r="G142" s="207">
        <v>165</v>
      </c>
      <c r="H142" s="161">
        <v>30</v>
      </c>
      <c r="I142" s="207">
        <v>300</v>
      </c>
      <c r="J142" s="242">
        <f t="shared" si="23"/>
        <v>9000</v>
      </c>
      <c r="K142" s="153"/>
      <c r="V142" s="25">
        <f t="shared" si="24"/>
        <v>1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>
        <v>44286</v>
      </c>
      <c r="D143" s="161" t="s">
        <v>9</v>
      </c>
      <c r="E143" s="161" t="s">
        <v>1212</v>
      </c>
      <c r="F143" s="207">
        <v>125</v>
      </c>
      <c r="G143" s="207">
        <v>140</v>
      </c>
      <c r="H143" s="161">
        <v>15</v>
      </c>
      <c r="I143" s="207">
        <v>300</v>
      </c>
      <c r="J143" s="242">
        <f t="shared" si="23"/>
        <v>4500</v>
      </c>
      <c r="K143" s="153"/>
      <c r="V143" s="25">
        <f t="shared" si="24"/>
        <v>1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130800</v>
      </c>
      <c r="K146" s="153"/>
      <c r="V146" s="25">
        <f>SUM(V123:V145)</f>
        <v>17</v>
      </c>
      <c r="W146" s="25">
        <f>SUM(W123:W145)</f>
        <v>4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3264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44256</v>
      </c>
      <c r="D154" s="185" t="s">
        <v>9</v>
      </c>
      <c r="E154" s="185" t="s">
        <v>301</v>
      </c>
      <c r="F154" s="219">
        <v>35500</v>
      </c>
      <c r="G154" s="231">
        <v>35600</v>
      </c>
      <c r="H154" s="185">
        <v>100</v>
      </c>
      <c r="I154" s="219">
        <v>50</v>
      </c>
      <c r="J154" s="246">
        <f t="shared" ref="J154:J176" si="27">I154*H154</f>
        <v>5000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44257</v>
      </c>
      <c r="D155" s="185" t="s">
        <v>9</v>
      </c>
      <c r="E155" s="185" t="s">
        <v>301</v>
      </c>
      <c r="F155" s="219">
        <v>35100</v>
      </c>
      <c r="G155" s="219">
        <v>35400</v>
      </c>
      <c r="H155" s="185">
        <v>300</v>
      </c>
      <c r="I155" s="219">
        <v>50</v>
      </c>
      <c r="J155" s="242">
        <f t="shared" si="27"/>
        <v>15000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44258</v>
      </c>
      <c r="D156" s="161" t="s">
        <v>9</v>
      </c>
      <c r="E156" s="161" t="s">
        <v>301</v>
      </c>
      <c r="F156" s="207">
        <v>35950</v>
      </c>
      <c r="G156" s="207">
        <v>36250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44259</v>
      </c>
      <c r="D157" s="161" t="s">
        <v>9</v>
      </c>
      <c r="E157" s="161" t="s">
        <v>301</v>
      </c>
      <c r="F157" s="207">
        <v>35650</v>
      </c>
      <c r="G157" s="207">
        <v>35950</v>
      </c>
      <c r="H157" s="161">
        <v>300</v>
      </c>
      <c r="I157" s="207">
        <v>50</v>
      </c>
      <c r="J157" s="242">
        <f t="shared" si="27"/>
        <v>15000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44260</v>
      </c>
      <c r="D158" s="161" t="s">
        <v>8</v>
      </c>
      <c r="E158" s="161" t="s">
        <v>301</v>
      </c>
      <c r="F158" s="207">
        <v>35200</v>
      </c>
      <c r="G158" s="207">
        <v>35350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44263</v>
      </c>
      <c r="D159" s="161" t="s">
        <v>9</v>
      </c>
      <c r="E159" s="161" t="s">
        <v>301</v>
      </c>
      <c r="F159" s="207">
        <v>35350</v>
      </c>
      <c r="G159" s="207">
        <v>35465</v>
      </c>
      <c r="H159" s="161">
        <v>115</v>
      </c>
      <c r="I159" s="207">
        <v>50</v>
      </c>
      <c r="J159" s="242">
        <f t="shared" si="27"/>
        <v>5750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44264</v>
      </c>
      <c r="D160" s="161" t="s">
        <v>9</v>
      </c>
      <c r="E160" s="161" t="s">
        <v>301</v>
      </c>
      <c r="F160" s="207">
        <v>35850</v>
      </c>
      <c r="G160" s="207">
        <v>36150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44265</v>
      </c>
      <c r="D161" s="161" t="s">
        <v>9</v>
      </c>
      <c r="E161" s="161" t="s">
        <v>301</v>
      </c>
      <c r="F161" s="207">
        <v>36100</v>
      </c>
      <c r="G161" s="207">
        <v>36150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44267</v>
      </c>
      <c r="D162" s="161" t="s">
        <v>9</v>
      </c>
      <c r="E162" s="161" t="s">
        <v>301</v>
      </c>
      <c r="F162" s="207">
        <v>36300</v>
      </c>
      <c r="G162" s="207">
        <v>36150</v>
      </c>
      <c r="H162" s="161">
        <v>-150</v>
      </c>
      <c r="I162" s="207">
        <v>50</v>
      </c>
      <c r="J162" s="242">
        <f t="shared" si="27"/>
        <v>-7500</v>
      </c>
      <c r="K162" s="153"/>
      <c r="V162" s="25">
        <f t="shared" si="28"/>
        <v>0</v>
      </c>
      <c r="W162" s="25">
        <f t="shared" si="29"/>
        <v>1</v>
      </c>
    </row>
    <row r="163" spans="1:23" x14ac:dyDescent="0.3">
      <c r="A163" s="147"/>
      <c r="B163" s="205">
        <f t="shared" si="30"/>
        <v>10</v>
      </c>
      <c r="C163" s="206">
        <v>44270</v>
      </c>
      <c r="D163" s="161" t="s">
        <v>8</v>
      </c>
      <c r="E163" s="161" t="s">
        <v>301</v>
      </c>
      <c r="F163" s="207">
        <v>34800</v>
      </c>
      <c r="G163" s="207">
        <v>34500</v>
      </c>
      <c r="H163" s="161">
        <v>300</v>
      </c>
      <c r="I163" s="207">
        <v>50</v>
      </c>
      <c r="J163" s="242">
        <f t="shared" si="27"/>
        <v>15000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44271</v>
      </c>
      <c r="D164" s="161" t="s">
        <v>9</v>
      </c>
      <c r="E164" s="161" t="s">
        <v>301</v>
      </c>
      <c r="F164" s="207">
        <v>35150</v>
      </c>
      <c r="G164" s="207">
        <v>35420</v>
      </c>
      <c r="H164" s="161">
        <v>270</v>
      </c>
      <c r="I164" s="207">
        <v>50</v>
      </c>
      <c r="J164" s="242">
        <f t="shared" si="27"/>
        <v>13500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44272</v>
      </c>
      <c r="D165" s="161" t="s">
        <v>9</v>
      </c>
      <c r="E165" s="161" t="s">
        <v>301</v>
      </c>
      <c r="F165" s="207">
        <v>34800</v>
      </c>
      <c r="G165" s="207">
        <v>35100</v>
      </c>
      <c r="H165" s="161">
        <v>300</v>
      </c>
      <c r="I165" s="207">
        <v>50</v>
      </c>
      <c r="J165" s="242">
        <f t="shared" si="27"/>
        <v>15000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44273</v>
      </c>
      <c r="D166" s="161" t="s">
        <v>8</v>
      </c>
      <c r="E166" s="161" t="s">
        <v>301</v>
      </c>
      <c r="F166" s="207">
        <v>34550</v>
      </c>
      <c r="G166" s="207">
        <v>34495</v>
      </c>
      <c r="H166" s="161">
        <v>45</v>
      </c>
      <c r="I166" s="207">
        <v>50</v>
      </c>
      <c r="J166" s="242">
        <f t="shared" si="27"/>
        <v>2250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44274</v>
      </c>
      <c r="D167" s="161" t="s">
        <v>9</v>
      </c>
      <c r="E167" s="161" t="s">
        <v>301</v>
      </c>
      <c r="F167" s="207">
        <v>33800</v>
      </c>
      <c r="G167" s="207">
        <v>34100</v>
      </c>
      <c r="H167" s="161">
        <v>300</v>
      </c>
      <c r="I167" s="207">
        <v>50</v>
      </c>
      <c r="J167" s="242">
        <f t="shared" si="27"/>
        <v>15000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44277</v>
      </c>
      <c r="D168" s="161" t="s">
        <v>8</v>
      </c>
      <c r="E168" s="161" t="s">
        <v>301</v>
      </c>
      <c r="F168" s="207">
        <v>33950</v>
      </c>
      <c r="G168" s="207">
        <v>33650</v>
      </c>
      <c r="H168" s="161">
        <v>300</v>
      </c>
      <c r="I168" s="207">
        <v>50</v>
      </c>
      <c r="J168" s="242">
        <f t="shared" si="27"/>
        <v>15000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44278</v>
      </c>
      <c r="D169" s="161" t="s">
        <v>9</v>
      </c>
      <c r="E169" s="161" t="s">
        <v>301</v>
      </c>
      <c r="F169" s="207">
        <v>33800</v>
      </c>
      <c r="G169" s="207">
        <v>34100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44279</v>
      </c>
      <c r="D170" s="161" t="s">
        <v>8</v>
      </c>
      <c r="E170" s="161" t="s">
        <v>301</v>
      </c>
      <c r="F170" s="207">
        <v>33650</v>
      </c>
      <c r="G170" s="207">
        <v>33350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44280</v>
      </c>
      <c r="D171" s="161" t="s">
        <v>8</v>
      </c>
      <c r="E171" s="161" t="s">
        <v>301</v>
      </c>
      <c r="F171" s="207">
        <v>32900</v>
      </c>
      <c r="G171" s="207">
        <v>32600</v>
      </c>
      <c r="H171" s="161">
        <v>300</v>
      </c>
      <c r="I171" s="207">
        <v>50</v>
      </c>
      <c r="J171" s="242">
        <f t="shared" si="27"/>
        <v>15000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44281</v>
      </c>
      <c r="D172" s="161" t="s">
        <v>8</v>
      </c>
      <c r="E172" s="161" t="s">
        <v>301</v>
      </c>
      <c r="F172" s="207">
        <v>33600</v>
      </c>
      <c r="G172" s="207">
        <v>33380</v>
      </c>
      <c r="H172" s="161">
        <v>220</v>
      </c>
      <c r="I172" s="207">
        <v>50</v>
      </c>
      <c r="J172" s="242">
        <f t="shared" si="27"/>
        <v>11000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>
        <v>44285</v>
      </c>
      <c r="D173" s="161" t="s">
        <v>9</v>
      </c>
      <c r="E173" s="161" t="s">
        <v>301</v>
      </c>
      <c r="F173" s="207">
        <v>34050</v>
      </c>
      <c r="G173" s="207">
        <v>34100</v>
      </c>
      <c r="H173" s="161">
        <v>50</v>
      </c>
      <c r="I173" s="207">
        <v>50</v>
      </c>
      <c r="J173" s="242">
        <f t="shared" si="27"/>
        <v>2500</v>
      </c>
      <c r="K173" s="153"/>
      <c r="V173" s="25">
        <f t="shared" si="28"/>
        <v>1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>
        <v>44286</v>
      </c>
      <c r="D174" s="161" t="s">
        <v>8</v>
      </c>
      <c r="E174" s="161" t="s">
        <v>301</v>
      </c>
      <c r="F174" s="207">
        <v>33500</v>
      </c>
      <c r="G174" s="207">
        <v>33280</v>
      </c>
      <c r="H174" s="161">
        <v>220</v>
      </c>
      <c r="I174" s="207">
        <v>50</v>
      </c>
      <c r="J174" s="242">
        <f t="shared" si="27"/>
        <v>11000</v>
      </c>
      <c r="K174" s="153"/>
      <c r="V174" s="25">
        <f t="shared" si="28"/>
        <v>1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203500</v>
      </c>
      <c r="K177" s="153"/>
      <c r="V177" s="25">
        <f>SUM(V154:V176)</f>
        <v>19</v>
      </c>
      <c r="W177" s="25">
        <f>SUM(W154:W176)</f>
        <v>2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3266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44256</v>
      </c>
      <c r="D185" s="185" t="s">
        <v>9</v>
      </c>
      <c r="E185" s="185" t="s">
        <v>3268</v>
      </c>
      <c r="F185" s="219">
        <v>520</v>
      </c>
      <c r="G185" s="219">
        <v>420</v>
      </c>
      <c r="H185" s="185">
        <v>100</v>
      </c>
      <c r="I185" s="219">
        <v>100</v>
      </c>
      <c r="J185" s="246">
        <f t="shared" ref="J185:J207" si="31">I185*H185</f>
        <v>10000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44257</v>
      </c>
      <c r="D186" s="185" t="s">
        <v>9</v>
      </c>
      <c r="E186" s="185" t="s">
        <v>3254</v>
      </c>
      <c r="F186" s="219">
        <v>410</v>
      </c>
      <c r="G186" s="219">
        <v>540</v>
      </c>
      <c r="H186" s="185">
        <v>130</v>
      </c>
      <c r="I186" s="219">
        <v>100</v>
      </c>
      <c r="J186" s="242">
        <f t="shared" si="31"/>
        <v>13000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44258</v>
      </c>
      <c r="D187" s="161" t="s">
        <v>9</v>
      </c>
      <c r="E187" s="161" t="s">
        <v>3271</v>
      </c>
      <c r="F187" s="207">
        <v>280</v>
      </c>
      <c r="G187" s="207">
        <v>480</v>
      </c>
      <c r="H187" s="161">
        <v>200</v>
      </c>
      <c r="I187" s="207">
        <v>100</v>
      </c>
      <c r="J187" s="242">
        <f t="shared" si="31"/>
        <v>20000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44259</v>
      </c>
      <c r="D188" s="161" t="s">
        <v>9</v>
      </c>
      <c r="E188" s="161" t="s">
        <v>3268</v>
      </c>
      <c r="F188" s="207">
        <v>210</v>
      </c>
      <c r="G188" s="207">
        <v>410</v>
      </c>
      <c r="H188" s="161">
        <v>200</v>
      </c>
      <c r="I188" s="207">
        <v>100</v>
      </c>
      <c r="J188" s="242">
        <f t="shared" si="31"/>
        <v>20000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44260</v>
      </c>
      <c r="D189" s="161" t="s">
        <v>9</v>
      </c>
      <c r="E189" s="161" t="s">
        <v>3273</v>
      </c>
      <c r="F189" s="207">
        <v>650</v>
      </c>
      <c r="G189" s="207">
        <v>715</v>
      </c>
      <c r="H189" s="161">
        <v>65</v>
      </c>
      <c r="I189" s="207">
        <v>100</v>
      </c>
      <c r="J189" s="242">
        <f t="shared" si="31"/>
        <v>6500</v>
      </c>
      <c r="K189" s="153"/>
      <c r="O189" s="25" t="s">
        <v>2008</v>
      </c>
      <c r="V189" s="25">
        <f t="shared" si="32"/>
        <v>1</v>
      </c>
      <c r="W189" s="25">
        <f t="shared" si="33"/>
        <v>0</v>
      </c>
    </row>
    <row r="190" spans="1:23" x14ac:dyDescent="0.3">
      <c r="A190" s="147"/>
      <c r="B190" s="205">
        <f t="shared" si="34"/>
        <v>6</v>
      </c>
      <c r="C190" s="206">
        <v>44263</v>
      </c>
      <c r="D190" s="161" t="s">
        <v>9</v>
      </c>
      <c r="E190" s="161" t="s">
        <v>3273</v>
      </c>
      <c r="F190" s="207">
        <v>450</v>
      </c>
      <c r="G190" s="207">
        <v>490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44264</v>
      </c>
      <c r="D191" s="161" t="s">
        <v>9</v>
      </c>
      <c r="E191" s="161" t="s">
        <v>3274</v>
      </c>
      <c r="F191" s="207">
        <v>300</v>
      </c>
      <c r="G191" s="207">
        <v>445</v>
      </c>
      <c r="H191" s="161">
        <v>145</v>
      </c>
      <c r="I191" s="207">
        <v>100</v>
      </c>
      <c r="J191" s="242">
        <f t="shared" si="31"/>
        <v>14500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44265</v>
      </c>
      <c r="D192" s="161" t="s">
        <v>9</v>
      </c>
      <c r="E192" s="161" t="s">
        <v>3236</v>
      </c>
      <c r="F192" s="207">
        <v>200</v>
      </c>
      <c r="G192" s="207">
        <v>100</v>
      </c>
      <c r="H192" s="161">
        <v>-100</v>
      </c>
      <c r="I192" s="207">
        <v>100</v>
      </c>
      <c r="J192" s="242">
        <f t="shared" si="31"/>
        <v>-10000</v>
      </c>
      <c r="K192" s="153"/>
      <c r="V192" s="25">
        <f t="shared" si="32"/>
        <v>0</v>
      </c>
      <c r="W192" s="25">
        <f t="shared" si="33"/>
        <v>1</v>
      </c>
    </row>
    <row r="193" spans="1:23" x14ac:dyDescent="0.3">
      <c r="A193" s="147"/>
      <c r="B193" s="205">
        <f t="shared" si="34"/>
        <v>9</v>
      </c>
      <c r="C193" s="206">
        <v>44267</v>
      </c>
      <c r="D193" s="161" t="s">
        <v>9</v>
      </c>
      <c r="E193" s="161" t="s">
        <v>3278</v>
      </c>
      <c r="F193" s="207">
        <v>500</v>
      </c>
      <c r="G193" s="207">
        <v>400</v>
      </c>
      <c r="H193" s="161">
        <v>-100</v>
      </c>
      <c r="I193" s="207">
        <v>100</v>
      </c>
      <c r="J193" s="242">
        <f t="shared" si="31"/>
        <v>-10000</v>
      </c>
      <c r="K193" s="153"/>
      <c r="V193" s="25">
        <f t="shared" si="32"/>
        <v>0</v>
      </c>
      <c r="W193" s="25">
        <f t="shared" si="33"/>
        <v>1</v>
      </c>
    </row>
    <row r="194" spans="1:23" x14ac:dyDescent="0.3">
      <c r="A194" s="147"/>
      <c r="B194" s="205">
        <f t="shared" si="34"/>
        <v>10</v>
      </c>
      <c r="C194" s="206">
        <v>44270</v>
      </c>
      <c r="D194" s="161" t="s">
        <v>9</v>
      </c>
      <c r="E194" s="161" t="s">
        <v>3279</v>
      </c>
      <c r="F194" s="207">
        <v>500</v>
      </c>
      <c r="G194" s="207">
        <v>700</v>
      </c>
      <c r="H194" s="161">
        <v>200</v>
      </c>
      <c r="I194" s="207">
        <v>100</v>
      </c>
      <c r="J194" s="242">
        <f t="shared" si="31"/>
        <v>20000</v>
      </c>
      <c r="K194" s="153"/>
      <c r="V194" s="25">
        <f t="shared" si="32"/>
        <v>1</v>
      </c>
      <c r="W194" s="25">
        <f t="shared" si="33"/>
        <v>0</v>
      </c>
    </row>
    <row r="195" spans="1:23" x14ac:dyDescent="0.3">
      <c r="A195" s="147"/>
      <c r="B195" s="205">
        <f t="shared" si="34"/>
        <v>11</v>
      </c>
      <c r="C195" s="206">
        <v>44271</v>
      </c>
      <c r="D195" s="161" t="s">
        <v>9</v>
      </c>
      <c r="E195" s="161" t="s">
        <v>3280</v>
      </c>
      <c r="F195" s="207">
        <v>380</v>
      </c>
      <c r="G195" s="207">
        <v>450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44272</v>
      </c>
      <c r="D196" s="161" t="s">
        <v>9</v>
      </c>
      <c r="E196" s="161" t="s">
        <v>3284</v>
      </c>
      <c r="F196" s="207">
        <v>330</v>
      </c>
      <c r="G196" s="207">
        <v>430</v>
      </c>
      <c r="H196" s="161">
        <v>100</v>
      </c>
      <c r="I196" s="207">
        <v>100</v>
      </c>
      <c r="J196" s="242">
        <f t="shared" si="31"/>
        <v>10000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44273</v>
      </c>
      <c r="D197" s="161" t="s">
        <v>9</v>
      </c>
      <c r="E197" s="161" t="s">
        <v>3285</v>
      </c>
      <c r="F197" s="207">
        <v>190</v>
      </c>
      <c r="G197" s="207">
        <v>390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44274</v>
      </c>
      <c r="D198" s="161" t="s">
        <v>9</v>
      </c>
      <c r="E198" s="161" t="s">
        <v>3286</v>
      </c>
      <c r="F198" s="207">
        <v>600</v>
      </c>
      <c r="G198" s="207">
        <v>735</v>
      </c>
      <c r="H198" s="161">
        <v>135</v>
      </c>
      <c r="I198" s="207">
        <v>100</v>
      </c>
      <c r="J198" s="242">
        <f t="shared" si="31"/>
        <v>13500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44277</v>
      </c>
      <c r="D199" s="161" t="s">
        <v>9</v>
      </c>
      <c r="E199" s="161" t="s">
        <v>3288</v>
      </c>
      <c r="F199" s="207">
        <v>500</v>
      </c>
      <c r="G199" s="207">
        <v>700</v>
      </c>
      <c r="H199" s="161">
        <v>200</v>
      </c>
      <c r="I199" s="207">
        <v>100</v>
      </c>
      <c r="J199" s="242">
        <f t="shared" si="31"/>
        <v>20000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44278</v>
      </c>
      <c r="D200" s="161" t="s">
        <v>9</v>
      </c>
      <c r="E200" s="161" t="s">
        <v>3289</v>
      </c>
      <c r="F200" s="207">
        <v>380</v>
      </c>
      <c r="G200" s="207">
        <v>280</v>
      </c>
      <c r="H200" s="161">
        <v>100</v>
      </c>
      <c r="I200" s="207">
        <v>100</v>
      </c>
      <c r="J200" s="242">
        <f t="shared" si="31"/>
        <v>10000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44279</v>
      </c>
      <c r="D201" s="161" t="s">
        <v>9</v>
      </c>
      <c r="E201" s="161" t="s">
        <v>3290</v>
      </c>
      <c r="F201" s="207">
        <v>350</v>
      </c>
      <c r="G201" s="207">
        <v>500</v>
      </c>
      <c r="H201" s="161">
        <v>150</v>
      </c>
      <c r="I201" s="207">
        <v>100</v>
      </c>
      <c r="J201" s="242">
        <f t="shared" si="31"/>
        <v>15000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44280</v>
      </c>
      <c r="D202" s="161" t="s">
        <v>9</v>
      </c>
      <c r="E202" s="161" t="s">
        <v>3294</v>
      </c>
      <c r="F202" s="207">
        <v>250</v>
      </c>
      <c r="G202" s="207">
        <v>450</v>
      </c>
      <c r="H202" s="161">
        <v>200</v>
      </c>
      <c r="I202" s="207">
        <v>100</v>
      </c>
      <c r="J202" s="242">
        <f t="shared" si="31"/>
        <v>20000</v>
      </c>
      <c r="K202" s="153"/>
      <c r="V202" s="25">
        <f t="shared" si="32"/>
        <v>1</v>
      </c>
      <c r="W202" s="25">
        <f t="shared" si="33"/>
        <v>0</v>
      </c>
    </row>
    <row r="203" spans="1:23" x14ac:dyDescent="0.3">
      <c r="A203" s="147"/>
      <c r="B203" s="205">
        <f t="shared" si="34"/>
        <v>19</v>
      </c>
      <c r="C203" s="206">
        <v>44281</v>
      </c>
      <c r="D203" s="161" t="s">
        <v>9</v>
      </c>
      <c r="E203" s="161" t="s">
        <v>3295</v>
      </c>
      <c r="F203" s="207">
        <v>600</v>
      </c>
      <c r="G203" s="207">
        <v>699</v>
      </c>
      <c r="H203" s="161">
        <v>99</v>
      </c>
      <c r="I203" s="207">
        <v>100</v>
      </c>
      <c r="J203" s="242">
        <f t="shared" si="31"/>
        <v>9900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>
        <v>44285</v>
      </c>
      <c r="D204" s="161" t="s">
        <v>9</v>
      </c>
      <c r="E204" s="161" t="s">
        <v>3296</v>
      </c>
      <c r="F204" s="207">
        <v>350</v>
      </c>
      <c r="G204" s="207">
        <v>390</v>
      </c>
      <c r="H204" s="161">
        <v>40</v>
      </c>
      <c r="I204" s="207">
        <v>100</v>
      </c>
      <c r="J204" s="242">
        <f t="shared" si="31"/>
        <v>4000</v>
      </c>
      <c r="K204" s="153"/>
      <c r="V204" s="25">
        <f t="shared" si="32"/>
        <v>1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>
        <v>44286</v>
      </c>
      <c r="D205" s="161" t="s">
        <v>9</v>
      </c>
      <c r="E205" s="161" t="s">
        <v>3297</v>
      </c>
      <c r="F205" s="207">
        <v>420</v>
      </c>
      <c r="G205" s="207">
        <v>520</v>
      </c>
      <c r="H205" s="161">
        <v>100</v>
      </c>
      <c r="I205" s="207">
        <v>100</v>
      </c>
      <c r="J205" s="242">
        <f t="shared" si="31"/>
        <v>10000</v>
      </c>
      <c r="K205" s="153"/>
      <c r="V205" s="25">
        <f t="shared" si="32"/>
        <v>1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227400</v>
      </c>
      <c r="K208" s="153"/>
      <c r="V208" s="25">
        <f>SUM(V185:V207)</f>
        <v>19</v>
      </c>
      <c r="W208" s="25">
        <f>SUM(W185:W207)</f>
        <v>2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3264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44256</v>
      </c>
      <c r="D216" s="185" t="s">
        <v>9</v>
      </c>
      <c r="E216" s="185" t="s">
        <v>3269</v>
      </c>
      <c r="F216" s="231">
        <v>28</v>
      </c>
      <c r="G216" s="231">
        <v>29.2</v>
      </c>
      <c r="H216" s="231">
        <v>1.2</v>
      </c>
      <c r="I216" s="219">
        <v>1375</v>
      </c>
      <c r="J216" s="246">
        <f t="shared" ref="J216:J239" si="35">I216*H216</f>
        <v>1650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44257</v>
      </c>
      <c r="D217" s="185" t="s">
        <v>9</v>
      </c>
      <c r="E217" s="185" t="s">
        <v>3270</v>
      </c>
      <c r="F217" s="231">
        <v>25</v>
      </c>
      <c r="G217" s="231">
        <v>24.5</v>
      </c>
      <c r="H217" s="231">
        <v>-0.5</v>
      </c>
      <c r="I217" s="219">
        <v>1250</v>
      </c>
      <c r="J217" s="242">
        <f>I217*H217</f>
        <v>-625</v>
      </c>
      <c r="K217" s="153"/>
      <c r="V217" s="25">
        <f>IF($J217&gt;0,1,0)</f>
        <v>0</v>
      </c>
      <c r="W217" s="25">
        <f>IF($J217&lt;0,1,0)</f>
        <v>1</v>
      </c>
    </row>
    <row r="218" spans="1:23" x14ac:dyDescent="0.3">
      <c r="A218" s="147"/>
      <c r="B218" s="205">
        <f t="shared" ref="B218:B239" si="36">B217+1</f>
        <v>3</v>
      </c>
      <c r="C218" s="206">
        <v>44258</v>
      </c>
      <c r="D218" s="161" t="s">
        <v>9</v>
      </c>
      <c r="E218" s="161" t="s">
        <v>2861</v>
      </c>
      <c r="F218" s="222">
        <v>31</v>
      </c>
      <c r="G218" s="222">
        <v>38</v>
      </c>
      <c r="H218" s="222">
        <v>7</v>
      </c>
      <c r="I218" s="207">
        <v>1200</v>
      </c>
      <c r="J218" s="242">
        <f t="shared" si="35"/>
        <v>8400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44259</v>
      </c>
      <c r="D219" s="161" t="s">
        <v>9</v>
      </c>
      <c r="E219" s="161" t="s">
        <v>3272</v>
      </c>
      <c r="F219" s="222">
        <v>63</v>
      </c>
      <c r="G219" s="222">
        <v>83</v>
      </c>
      <c r="H219" s="222">
        <v>20</v>
      </c>
      <c r="I219" s="207">
        <v>500</v>
      </c>
      <c r="J219" s="242">
        <f t="shared" si="35"/>
        <v>10000</v>
      </c>
      <c r="K219" s="153"/>
      <c r="V219" s="25">
        <f t="shared" si="37"/>
        <v>1</v>
      </c>
      <c r="W219" s="25">
        <f t="shared" si="38"/>
        <v>0</v>
      </c>
    </row>
    <row r="220" spans="1:23" x14ac:dyDescent="0.3">
      <c r="A220" s="147"/>
      <c r="B220" s="205">
        <f t="shared" si="36"/>
        <v>5</v>
      </c>
      <c r="C220" s="206">
        <v>44260</v>
      </c>
      <c r="D220" s="161" t="s">
        <v>9</v>
      </c>
      <c r="E220" s="161" t="s">
        <v>2649</v>
      </c>
      <c r="F220" s="222">
        <v>35</v>
      </c>
      <c r="G220" s="222">
        <v>30</v>
      </c>
      <c r="H220" s="222">
        <v>-5</v>
      </c>
      <c r="I220" s="207">
        <v>1200</v>
      </c>
      <c r="J220" s="242">
        <f t="shared" si="35"/>
        <v>-6000</v>
      </c>
      <c r="K220" s="153"/>
      <c r="V220" s="25">
        <f t="shared" si="37"/>
        <v>0</v>
      </c>
      <c r="W220" s="25">
        <f t="shared" si="38"/>
        <v>1</v>
      </c>
    </row>
    <row r="221" spans="1:23" x14ac:dyDescent="0.3">
      <c r="A221" s="147"/>
      <c r="B221" s="205">
        <f t="shared" si="36"/>
        <v>6</v>
      </c>
      <c r="C221" s="206">
        <v>44263</v>
      </c>
      <c r="D221" s="161" t="s">
        <v>9</v>
      </c>
      <c r="E221" s="161" t="s">
        <v>2743</v>
      </c>
      <c r="F221" s="222">
        <v>51</v>
      </c>
      <c r="G221" s="222">
        <v>64.709999999999994</v>
      </c>
      <c r="H221" s="222">
        <v>13.71</v>
      </c>
      <c r="I221" s="207">
        <v>575</v>
      </c>
      <c r="J221" s="242">
        <f t="shared" si="35"/>
        <v>7883.2500000000009</v>
      </c>
      <c r="K221" s="153"/>
      <c r="V221" s="25">
        <f t="shared" si="37"/>
        <v>1</v>
      </c>
      <c r="W221" s="25">
        <f t="shared" si="38"/>
        <v>0</v>
      </c>
    </row>
    <row r="222" spans="1:23" x14ac:dyDescent="0.3">
      <c r="A222" s="147"/>
      <c r="B222" s="205">
        <f t="shared" si="36"/>
        <v>7</v>
      </c>
      <c r="C222" s="206">
        <v>44264</v>
      </c>
      <c r="D222" s="161" t="s">
        <v>9</v>
      </c>
      <c r="E222" s="161" t="s">
        <v>3275</v>
      </c>
      <c r="F222" s="222">
        <v>20</v>
      </c>
      <c r="G222" s="222">
        <v>26</v>
      </c>
      <c r="H222" s="222">
        <v>6</v>
      </c>
      <c r="I222" s="207">
        <v>1375</v>
      </c>
      <c r="J222" s="242">
        <f t="shared" si="35"/>
        <v>8250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44265</v>
      </c>
      <c r="D223" s="161" t="s">
        <v>9</v>
      </c>
      <c r="E223" s="161" t="s">
        <v>3276</v>
      </c>
      <c r="F223" s="222">
        <v>22</v>
      </c>
      <c r="G223" s="222">
        <v>23.4</v>
      </c>
      <c r="H223" s="222">
        <v>1.4</v>
      </c>
      <c r="I223" s="207">
        <v>1350</v>
      </c>
      <c r="J223" s="242">
        <f t="shared" si="35"/>
        <v>1889.9999999999998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44267</v>
      </c>
      <c r="D224" s="161" t="s">
        <v>9</v>
      </c>
      <c r="E224" s="161" t="s">
        <v>3277</v>
      </c>
      <c r="F224" s="222">
        <v>54</v>
      </c>
      <c r="G224" s="222">
        <v>74</v>
      </c>
      <c r="H224" s="255">
        <v>20</v>
      </c>
      <c r="I224" s="207">
        <v>250</v>
      </c>
      <c r="J224" s="242">
        <f t="shared" si="35"/>
        <v>5000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44270</v>
      </c>
      <c r="D225" s="161" t="s">
        <v>9</v>
      </c>
      <c r="E225" s="161" t="s">
        <v>3281</v>
      </c>
      <c r="F225" s="222">
        <v>130</v>
      </c>
      <c r="G225" s="222">
        <v>170</v>
      </c>
      <c r="H225" s="255">
        <v>30</v>
      </c>
      <c r="I225" s="207">
        <v>250</v>
      </c>
      <c r="J225" s="242">
        <f t="shared" si="35"/>
        <v>7500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44271</v>
      </c>
      <c r="D226" s="161" t="s">
        <v>9</v>
      </c>
      <c r="E226" s="161" t="s">
        <v>3282</v>
      </c>
      <c r="F226" s="222">
        <v>13.5</v>
      </c>
      <c r="G226" s="222">
        <v>14.5</v>
      </c>
      <c r="H226" s="255">
        <v>1</v>
      </c>
      <c r="I226" s="207">
        <v>1100</v>
      </c>
      <c r="J226" s="242">
        <f t="shared" si="35"/>
        <v>1100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44272</v>
      </c>
      <c r="D227" s="161" t="s">
        <v>9</v>
      </c>
      <c r="E227" s="161" t="s">
        <v>3281</v>
      </c>
      <c r="F227" s="222">
        <v>120</v>
      </c>
      <c r="G227" s="222">
        <v>129</v>
      </c>
      <c r="H227" s="255">
        <v>9</v>
      </c>
      <c r="I227" s="207">
        <v>250</v>
      </c>
      <c r="J227" s="242">
        <f t="shared" si="35"/>
        <v>2250</v>
      </c>
      <c r="K227" s="153"/>
      <c r="V227" s="25">
        <f t="shared" si="37"/>
        <v>1</v>
      </c>
      <c r="W227" s="25">
        <f t="shared" si="38"/>
        <v>0</v>
      </c>
    </row>
    <row r="228" spans="1:23" x14ac:dyDescent="0.3">
      <c r="A228" s="147"/>
      <c r="B228" s="205">
        <f t="shared" si="36"/>
        <v>13</v>
      </c>
      <c r="C228" s="206">
        <v>44273</v>
      </c>
      <c r="D228" s="161" t="s">
        <v>9</v>
      </c>
      <c r="E228" s="161" t="s">
        <v>2213</v>
      </c>
      <c r="F228" s="222">
        <v>110</v>
      </c>
      <c r="G228" s="222">
        <v>80</v>
      </c>
      <c r="H228" s="255">
        <v>-20</v>
      </c>
      <c r="I228" s="207">
        <v>100</v>
      </c>
      <c r="J228" s="242">
        <f t="shared" si="35"/>
        <v>-2000</v>
      </c>
      <c r="K228" s="153"/>
      <c r="V228" s="25">
        <f t="shared" si="37"/>
        <v>0</v>
      </c>
      <c r="W228" s="25">
        <f t="shared" si="38"/>
        <v>1</v>
      </c>
    </row>
    <row r="229" spans="1:23" x14ac:dyDescent="0.3">
      <c r="A229" s="147"/>
      <c r="B229" s="205">
        <f t="shared" si="36"/>
        <v>14</v>
      </c>
      <c r="C229" s="206">
        <v>44274</v>
      </c>
      <c r="D229" s="161" t="s">
        <v>9</v>
      </c>
      <c r="E229" s="161" t="s">
        <v>3120</v>
      </c>
      <c r="F229" s="222">
        <v>37</v>
      </c>
      <c r="G229" s="222">
        <v>57</v>
      </c>
      <c r="H229" s="255">
        <v>20</v>
      </c>
      <c r="I229" s="207">
        <v>250</v>
      </c>
      <c r="J229" s="242">
        <f>I229*H229</f>
        <v>5000</v>
      </c>
      <c r="K229" s="153"/>
      <c r="V229" s="25">
        <f t="shared" si="37"/>
        <v>1</v>
      </c>
      <c r="W229" s="25">
        <f t="shared" si="38"/>
        <v>0</v>
      </c>
    </row>
    <row r="230" spans="1:23" x14ac:dyDescent="0.3">
      <c r="A230" s="147"/>
      <c r="B230" s="205">
        <f t="shared" si="36"/>
        <v>15</v>
      </c>
      <c r="C230" s="206">
        <v>44277</v>
      </c>
      <c r="D230" s="161" t="s">
        <v>9</v>
      </c>
      <c r="E230" s="161" t="s">
        <v>3291</v>
      </c>
      <c r="F230" s="222">
        <v>34</v>
      </c>
      <c r="G230" s="222">
        <v>40</v>
      </c>
      <c r="H230" s="255">
        <v>6</v>
      </c>
      <c r="I230" s="207">
        <v>250</v>
      </c>
      <c r="J230" s="242">
        <f t="shared" si="35"/>
        <v>1500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44278</v>
      </c>
      <c r="D231" s="161" t="s">
        <v>9</v>
      </c>
      <c r="E231" s="161" t="s">
        <v>3281</v>
      </c>
      <c r="F231" s="222">
        <v>95</v>
      </c>
      <c r="G231" s="222">
        <v>70</v>
      </c>
      <c r="H231" s="222">
        <v>-25</v>
      </c>
      <c r="I231" s="207">
        <v>250</v>
      </c>
      <c r="J231" s="242">
        <f t="shared" si="35"/>
        <v>-6250</v>
      </c>
      <c r="K231" s="153"/>
      <c r="V231" s="25">
        <f t="shared" si="37"/>
        <v>0</v>
      </c>
      <c r="W231" s="25">
        <f t="shared" si="38"/>
        <v>1</v>
      </c>
    </row>
    <row r="232" spans="1:23" x14ac:dyDescent="0.3">
      <c r="A232" s="147"/>
      <c r="B232" s="205">
        <f t="shared" si="36"/>
        <v>17</v>
      </c>
      <c r="C232" s="206">
        <v>44279</v>
      </c>
      <c r="D232" s="161" t="s">
        <v>9</v>
      </c>
      <c r="E232" s="161" t="s">
        <v>3292</v>
      </c>
      <c r="F232" s="222">
        <v>5</v>
      </c>
      <c r="G232" s="222">
        <v>7.7</v>
      </c>
      <c r="H232" s="222">
        <v>2.7</v>
      </c>
      <c r="I232" s="207">
        <v>1375</v>
      </c>
      <c r="J232" s="242">
        <f t="shared" si="35"/>
        <v>3712.5000000000005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44280</v>
      </c>
      <c r="D233" s="161" t="s">
        <v>9</v>
      </c>
      <c r="E233" s="161" t="s">
        <v>3183</v>
      </c>
      <c r="F233" s="222">
        <v>70</v>
      </c>
      <c r="G233" s="222">
        <v>100</v>
      </c>
      <c r="H233" s="222">
        <v>30</v>
      </c>
      <c r="I233" s="207">
        <v>250</v>
      </c>
      <c r="J233" s="242">
        <f t="shared" si="35"/>
        <v>7500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44281</v>
      </c>
      <c r="D234" s="161" t="s">
        <v>9</v>
      </c>
      <c r="E234" s="161" t="s">
        <v>3298</v>
      </c>
      <c r="F234" s="222">
        <v>28</v>
      </c>
      <c r="G234" s="222">
        <v>24</v>
      </c>
      <c r="H234" s="222">
        <v>-4</v>
      </c>
      <c r="I234" s="207">
        <v>1200</v>
      </c>
      <c r="J234" s="242">
        <f t="shared" si="35"/>
        <v>-4800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>
        <v>44285</v>
      </c>
      <c r="D235" s="161" t="s">
        <v>9</v>
      </c>
      <c r="E235" s="161" t="s">
        <v>3299</v>
      </c>
      <c r="F235" s="222">
        <v>80</v>
      </c>
      <c r="G235" s="222">
        <v>87</v>
      </c>
      <c r="H235" s="222">
        <v>7</v>
      </c>
      <c r="I235" s="207">
        <v>500</v>
      </c>
      <c r="J235" s="242">
        <f t="shared" si="35"/>
        <v>3500</v>
      </c>
      <c r="K235" s="153"/>
      <c r="V235" s="25">
        <f t="shared" si="37"/>
        <v>1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>
        <v>44286</v>
      </c>
      <c r="D236" s="161" t="s">
        <v>9</v>
      </c>
      <c r="E236" s="161" t="s">
        <v>3184</v>
      </c>
      <c r="F236" s="222">
        <v>195</v>
      </c>
      <c r="G236" s="222">
        <v>165</v>
      </c>
      <c r="H236" s="222">
        <v>-30</v>
      </c>
      <c r="I236" s="207">
        <v>250</v>
      </c>
      <c r="J236" s="242">
        <f t="shared" si="35"/>
        <v>-7500</v>
      </c>
      <c r="K236" s="153"/>
      <c r="V236" s="25">
        <f t="shared" si="37"/>
        <v>0</v>
      </c>
      <c r="W236" s="25">
        <f t="shared" si="38"/>
        <v>1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47960.75</v>
      </c>
      <c r="K240" s="153"/>
      <c r="V240" s="25">
        <f>SUM(V216:V239)</f>
        <v>15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M14:M15"/>
    <mergeCell ref="N14:N15"/>
    <mergeCell ref="O14:O15"/>
    <mergeCell ref="P14:P15"/>
    <mergeCell ref="Q14:Q15"/>
    <mergeCell ref="N12:N13"/>
    <mergeCell ref="O12:O13"/>
    <mergeCell ref="P12:P13"/>
    <mergeCell ref="Q12:Q13"/>
    <mergeCell ref="R12:R13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M6:M7"/>
    <mergeCell ref="N6:N7"/>
    <mergeCell ref="O6:O7"/>
    <mergeCell ref="P6:P7"/>
    <mergeCell ref="Q6:Q7"/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</mergeCells>
  <hyperlinks>
    <hyperlink ref="B52" r:id="rId1" xr:uid="{00000000-0004-0000-5F00-000000000000}"/>
    <hyperlink ref="B84" r:id="rId2" xr:uid="{00000000-0004-0000-5F00-000001000000}"/>
    <hyperlink ref="B115" r:id="rId3" xr:uid="{00000000-0004-0000-5F00-000002000000}"/>
    <hyperlink ref="B146" r:id="rId4" xr:uid="{00000000-0004-0000-5F00-000003000000}"/>
    <hyperlink ref="B177" r:id="rId5" xr:uid="{00000000-0004-0000-5F00-000004000000}"/>
    <hyperlink ref="B208" r:id="rId6" xr:uid="{00000000-0004-0000-5F00-000005000000}"/>
    <hyperlink ref="B240" r:id="rId7" xr:uid="{00000000-0004-0000-5F00-000006000000}"/>
    <hyperlink ref="M1" location="'MASTER '!A1" display="Back" xr:uid="{00000000-0004-0000-5F00-000007000000}"/>
    <hyperlink ref="M6:M7" location="'MARCH 2021'!A77" display="STOCK FUTURE" xr:uid="{00000000-0004-0000-5F00-000008000000}"/>
    <hyperlink ref="M12:M13" location="'MARCH 2021'!A170" display="BANK NIFTY" xr:uid="{00000000-0004-0000-5F00-000009000000}"/>
    <hyperlink ref="M10:M11" location="'MARCH 2021'!A139" display="NF. OPTION" xr:uid="{00000000-0004-0000-5F00-00000A000000}"/>
    <hyperlink ref="M8:M9" location="'MARCH 2021'!A108" display="NIFTY FUTURE" xr:uid="{00000000-0004-0000-5F00-00000B000000}"/>
    <hyperlink ref="M4:M5" location="'MARCH 2021'!A1" display="CASH" xr:uid="{00000000-0004-0000-5F00-00000C000000}"/>
    <hyperlink ref="M14:M15" location="'MARCH 2021'!A201" display="B.NIFTY OPTION" xr:uid="{00000000-0004-0000-5F00-00000D000000}"/>
    <hyperlink ref="M16:M17" location="'MARCH 2021'!A216" display="STOCK OPTION" xr:uid="{00000000-0004-0000-5F00-00000E000000}"/>
  </hyperlinks>
  <pageMargins left="0" right="0" top="0" bottom="0" header="0" footer="0"/>
  <pageSetup scale="95" orientation="portrait" r:id="rId8"/>
  <drawing r:id="rId9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241"/>
  <sheetViews>
    <sheetView topLeftCell="A145" zoomScaleNormal="100" workbookViewId="0">
      <selection activeCell="O90" sqref="O90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3300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38</v>
      </c>
      <c r="O4" s="386">
        <f>V52</f>
        <v>30</v>
      </c>
      <c r="P4" s="386">
        <f>W52</f>
        <v>8</v>
      </c>
      <c r="Q4" s="387">
        <f>N4-O4-P4</f>
        <v>0</v>
      </c>
      <c r="R4" s="380">
        <f>O4/N4</f>
        <v>0.78947368421052633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44287</v>
      </c>
      <c r="D6" s="158" t="s">
        <v>9</v>
      </c>
      <c r="E6" s="158" t="s">
        <v>3303</v>
      </c>
      <c r="F6" s="230">
        <v>824</v>
      </c>
      <c r="G6" s="222">
        <v>840</v>
      </c>
      <c r="H6" s="222">
        <v>16</v>
      </c>
      <c r="I6" s="207">
        <f t="shared" ref="I6:I7" si="0">300000/F6</f>
        <v>364.07766990291265</v>
      </c>
      <c r="J6" s="161">
        <f t="shared" ref="J6:J7" si="1">H6*I6</f>
        <v>5825.2427184466023</v>
      </c>
      <c r="K6" s="153"/>
      <c r="M6" s="394" t="s">
        <v>450</v>
      </c>
      <c r="N6" s="344">
        <f>COUNT(C60:C83)</f>
        <v>19</v>
      </c>
      <c r="O6" s="346">
        <f>V84</f>
        <v>18</v>
      </c>
      <c r="P6" s="346">
        <f>W84</f>
        <v>1</v>
      </c>
      <c r="Q6" s="374">
        <f>N6-O6-P6</f>
        <v>0</v>
      </c>
      <c r="R6" s="376">
        <f t="shared" ref="R6" si="2">O6/N6</f>
        <v>0.94736842105263153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44287</v>
      </c>
      <c r="D7" s="161" t="s">
        <v>8</v>
      </c>
      <c r="E7" s="161" t="s">
        <v>1439</v>
      </c>
      <c r="F7" s="222">
        <v>2015</v>
      </c>
      <c r="G7" s="231">
        <v>2007</v>
      </c>
      <c r="H7" s="255">
        <v>8</v>
      </c>
      <c r="I7" s="207">
        <f t="shared" si="0"/>
        <v>148.8833746898263</v>
      </c>
      <c r="J7" s="161">
        <f t="shared" si="1"/>
        <v>1191.0669975186104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44291</v>
      </c>
      <c r="D8" s="161" t="s">
        <v>9</v>
      </c>
      <c r="E8" s="161" t="s">
        <v>3237</v>
      </c>
      <c r="F8" s="222">
        <v>3695</v>
      </c>
      <c r="G8" s="222">
        <v>3665</v>
      </c>
      <c r="H8" s="222">
        <v>-30</v>
      </c>
      <c r="I8" s="207">
        <f t="shared" ref="I8:I43" si="6">300000/F8</f>
        <v>81.190798376184034</v>
      </c>
      <c r="J8" s="161">
        <f t="shared" ref="J8:J43" si="7">H8*I8</f>
        <v>-2435.7239512855213</v>
      </c>
      <c r="K8" s="153"/>
      <c r="M8" s="394" t="s">
        <v>451</v>
      </c>
      <c r="N8" s="344">
        <f>COUNT(C92:C114)</f>
        <v>19</v>
      </c>
      <c r="O8" s="346">
        <f>V115</f>
        <v>18</v>
      </c>
      <c r="P8" s="346">
        <f>W115</f>
        <v>1</v>
      </c>
      <c r="Q8" s="374">
        <f>N8-O8-P8</f>
        <v>0</v>
      </c>
      <c r="R8" s="376">
        <f t="shared" ref="R8" si="8">O8/N8</f>
        <v>0.94736842105263153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44291</v>
      </c>
      <c r="D9" s="161" t="s">
        <v>8</v>
      </c>
      <c r="E9" s="161" t="s">
        <v>1439</v>
      </c>
      <c r="F9" s="222">
        <v>2000</v>
      </c>
      <c r="G9" s="231">
        <v>1965</v>
      </c>
      <c r="H9" s="255">
        <v>35</v>
      </c>
      <c r="I9" s="207">
        <f t="shared" si="6"/>
        <v>150</v>
      </c>
      <c r="J9" s="161">
        <f t="shared" si="7"/>
        <v>5250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44292</v>
      </c>
      <c r="D10" s="161" t="s">
        <v>9</v>
      </c>
      <c r="E10" s="161" t="s">
        <v>2563</v>
      </c>
      <c r="F10" s="222">
        <v>1580</v>
      </c>
      <c r="G10" s="222">
        <v>1565</v>
      </c>
      <c r="H10" s="222">
        <v>-15</v>
      </c>
      <c r="I10" s="207">
        <f t="shared" si="6"/>
        <v>189.87341772151899</v>
      </c>
      <c r="J10" s="161">
        <f t="shared" si="7"/>
        <v>-2848.1012658227846</v>
      </c>
      <c r="K10" s="153"/>
      <c r="M10" s="394" t="s">
        <v>1176</v>
      </c>
      <c r="N10" s="344">
        <f>COUNT(C123:C145)</f>
        <v>19</v>
      </c>
      <c r="O10" s="346">
        <f>V146</f>
        <v>17</v>
      </c>
      <c r="P10" s="346">
        <f>W146</f>
        <v>2</v>
      </c>
      <c r="Q10" s="374">
        <f>N10-O10-P10</f>
        <v>0</v>
      </c>
      <c r="R10" s="376">
        <f t="shared" ref="R10:R16" si="9">O10/N10</f>
        <v>0.89473684210526316</v>
      </c>
      <c r="V10" s="25">
        <f>IF($J10&gt;0,1,0)</f>
        <v>0</v>
      </c>
      <c r="W10" s="25">
        <f>IF($J10&lt;0,1,0)</f>
        <v>1</v>
      </c>
    </row>
    <row r="11" spans="1:23" x14ac:dyDescent="0.3">
      <c r="A11" s="147"/>
      <c r="B11" s="205">
        <f t="shared" si="5"/>
        <v>6</v>
      </c>
      <c r="C11" s="206">
        <v>44292</v>
      </c>
      <c r="D11" s="161" t="s">
        <v>8</v>
      </c>
      <c r="E11" s="161" t="s">
        <v>800</v>
      </c>
      <c r="F11" s="222">
        <v>1135</v>
      </c>
      <c r="G11" s="222">
        <v>1115</v>
      </c>
      <c r="H11" s="255">
        <v>20</v>
      </c>
      <c r="I11" s="207">
        <f t="shared" si="6"/>
        <v>264.31718061674007</v>
      </c>
      <c r="J11" s="161">
        <f t="shared" si="7"/>
        <v>5286.3436123348019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44293</v>
      </c>
      <c r="D12" s="161" t="s">
        <v>9</v>
      </c>
      <c r="E12" s="161" t="s">
        <v>365</v>
      </c>
      <c r="F12" s="222">
        <v>551</v>
      </c>
      <c r="G12" s="222">
        <v>556</v>
      </c>
      <c r="H12" s="222">
        <v>5</v>
      </c>
      <c r="I12" s="207">
        <f t="shared" si="6"/>
        <v>544.46460980036295</v>
      </c>
      <c r="J12" s="242">
        <f t="shared" si="7"/>
        <v>2722.323049001815</v>
      </c>
      <c r="K12" s="153"/>
      <c r="M12" s="394" t="s">
        <v>41</v>
      </c>
      <c r="N12" s="344">
        <f>COUNT(C154:C176)</f>
        <v>19</v>
      </c>
      <c r="O12" s="346">
        <f>V177</f>
        <v>18</v>
      </c>
      <c r="P12" s="346">
        <f>W177</f>
        <v>1</v>
      </c>
      <c r="Q12" s="374">
        <f t="shared" ref="Q12" si="10">N12-O12-P12</f>
        <v>0</v>
      </c>
      <c r="R12" s="376">
        <f t="shared" si="9"/>
        <v>0.94736842105263153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44293</v>
      </c>
      <c r="D13" s="161" t="s">
        <v>8</v>
      </c>
      <c r="E13" s="161" t="s">
        <v>157</v>
      </c>
      <c r="F13" s="222">
        <v>612</v>
      </c>
      <c r="G13" s="222">
        <v>609.20000000000005</v>
      </c>
      <c r="H13" s="255">
        <v>2.8</v>
      </c>
      <c r="I13" s="207">
        <f t="shared" si="6"/>
        <v>490.19607843137254</v>
      </c>
      <c r="J13" s="242">
        <f t="shared" si="7"/>
        <v>1372.5490196078431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44294</v>
      </c>
      <c r="D14" s="161" t="s">
        <v>9</v>
      </c>
      <c r="E14" s="161" t="s">
        <v>361</v>
      </c>
      <c r="F14" s="222">
        <v>228</v>
      </c>
      <c r="G14" s="222">
        <v>229.2</v>
      </c>
      <c r="H14" s="222">
        <v>1.2</v>
      </c>
      <c r="I14" s="207">
        <f t="shared" si="6"/>
        <v>1315.7894736842106</v>
      </c>
      <c r="J14" s="242">
        <f t="shared" si="7"/>
        <v>1578.9473684210527</v>
      </c>
      <c r="K14" s="153"/>
      <c r="M14" s="394" t="s">
        <v>1175</v>
      </c>
      <c r="N14" s="344">
        <f>COUNT(C185:C207)</f>
        <v>19</v>
      </c>
      <c r="O14" s="346">
        <f>V208</f>
        <v>16</v>
      </c>
      <c r="P14" s="346">
        <f>W208</f>
        <v>3</v>
      </c>
      <c r="Q14" s="374">
        <f t="shared" ref="Q14" si="11">N14-O14-P14</f>
        <v>0</v>
      </c>
      <c r="R14" s="376">
        <f t="shared" si="9"/>
        <v>0.84210526315789469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44294</v>
      </c>
      <c r="D15" s="161" t="s">
        <v>8</v>
      </c>
      <c r="E15" s="161" t="s">
        <v>1439</v>
      </c>
      <c r="F15" s="222">
        <v>2002</v>
      </c>
      <c r="G15" s="222">
        <v>1995</v>
      </c>
      <c r="H15" s="222">
        <v>7</v>
      </c>
      <c r="I15" s="207">
        <f t="shared" si="6"/>
        <v>149.85014985014985</v>
      </c>
      <c r="J15" s="242">
        <f t="shared" si="7"/>
        <v>1048.951048951049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44295</v>
      </c>
      <c r="D16" s="161" t="s">
        <v>9</v>
      </c>
      <c r="E16" s="161" t="s">
        <v>982</v>
      </c>
      <c r="F16" s="222">
        <v>832</v>
      </c>
      <c r="G16" s="222">
        <v>822</v>
      </c>
      <c r="H16" s="222">
        <v>-10</v>
      </c>
      <c r="I16" s="207">
        <f t="shared" si="6"/>
        <v>360.57692307692309</v>
      </c>
      <c r="J16" s="242">
        <f t="shared" si="7"/>
        <v>-3605.7692307692309</v>
      </c>
      <c r="K16" s="153"/>
      <c r="L16" s="25" t="s">
        <v>2008</v>
      </c>
      <c r="M16" s="394" t="s">
        <v>1090</v>
      </c>
      <c r="N16" s="344">
        <f>COUNT(C216:C239)</f>
        <v>19</v>
      </c>
      <c r="O16" s="346">
        <f>V240</f>
        <v>13</v>
      </c>
      <c r="P16" s="346">
        <f>W240</f>
        <v>6</v>
      </c>
      <c r="Q16" s="374">
        <f t="shared" ref="Q16" si="12">N16-O16-P16</f>
        <v>0</v>
      </c>
      <c r="R16" s="376">
        <f t="shared" si="9"/>
        <v>0.68421052631578949</v>
      </c>
      <c r="V16" s="25">
        <f>IF($J16&gt;0,1,0)</f>
        <v>0</v>
      </c>
      <c r="W16" s="25">
        <f>IF($J16&lt;0,1,0)</f>
        <v>1</v>
      </c>
    </row>
    <row r="17" spans="1:23" ht="15" thickBot="1" x14ac:dyDescent="0.35">
      <c r="A17" s="147"/>
      <c r="B17" s="205">
        <f t="shared" si="5"/>
        <v>12</v>
      </c>
      <c r="C17" s="206">
        <v>44295</v>
      </c>
      <c r="D17" s="161" t="s">
        <v>8</v>
      </c>
      <c r="E17" s="161" t="s">
        <v>800</v>
      </c>
      <c r="F17" s="222">
        <v>1110</v>
      </c>
      <c r="G17" s="222">
        <v>1100</v>
      </c>
      <c r="H17" s="222">
        <v>10</v>
      </c>
      <c r="I17" s="207">
        <f t="shared" si="6"/>
        <v>270.27027027027026</v>
      </c>
      <c r="J17" s="242">
        <f t="shared" si="7"/>
        <v>2702.7027027027025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44298</v>
      </c>
      <c r="D18" s="161" t="s">
        <v>9</v>
      </c>
      <c r="E18" s="161" t="s">
        <v>133</v>
      </c>
      <c r="F18" s="222">
        <v>1090</v>
      </c>
      <c r="G18" s="222">
        <v>1094</v>
      </c>
      <c r="H18" s="222">
        <v>4</v>
      </c>
      <c r="I18" s="207">
        <f t="shared" si="6"/>
        <v>275.22935779816515</v>
      </c>
      <c r="J18" s="242">
        <f t="shared" si="7"/>
        <v>1100.9174311926606</v>
      </c>
      <c r="K18" s="153"/>
      <c r="M18" s="392" t="s">
        <v>946</v>
      </c>
      <c r="N18" s="378">
        <f>SUM(N4:N17)</f>
        <v>152</v>
      </c>
      <c r="O18" s="378">
        <f t="shared" ref="O18:Q18" si="13">SUM(O4:O17)</f>
        <v>130</v>
      </c>
      <c r="P18" s="378">
        <f t="shared" si="13"/>
        <v>22</v>
      </c>
      <c r="Q18" s="378">
        <f t="shared" si="13"/>
        <v>0</v>
      </c>
      <c r="R18" s="380">
        <f t="shared" ref="R18" si="14">O18/N18</f>
        <v>0.85526315789473684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44298</v>
      </c>
      <c r="D19" s="161" t="s">
        <v>8</v>
      </c>
      <c r="E19" s="161" t="s">
        <v>1439</v>
      </c>
      <c r="F19" s="222">
        <v>1935</v>
      </c>
      <c r="G19" s="222">
        <v>1906</v>
      </c>
      <c r="H19" s="222">
        <v>29</v>
      </c>
      <c r="I19" s="207">
        <f t="shared" si="6"/>
        <v>155.03875968992247</v>
      </c>
      <c r="J19" s="242">
        <f t="shared" si="7"/>
        <v>4496.1240310077519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44299</v>
      </c>
      <c r="D20" s="161" t="s">
        <v>9</v>
      </c>
      <c r="E20" s="161" t="s">
        <v>3317</v>
      </c>
      <c r="F20" s="222">
        <v>662</v>
      </c>
      <c r="G20" s="222">
        <v>648</v>
      </c>
      <c r="H20" s="222">
        <v>14</v>
      </c>
      <c r="I20" s="207">
        <f t="shared" si="6"/>
        <v>453.17220543806644</v>
      </c>
      <c r="J20" s="242">
        <f t="shared" si="7"/>
        <v>6344.4108761329298</v>
      </c>
      <c r="K20" s="153"/>
      <c r="M20" s="316" t="s">
        <v>2253</v>
      </c>
      <c r="N20" s="317"/>
      <c r="O20" s="318"/>
      <c r="P20" s="325">
        <f>R18</f>
        <v>0.85526315789473684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44299</v>
      </c>
      <c r="D21" s="161" t="s">
        <v>8</v>
      </c>
      <c r="E21" s="161" t="s">
        <v>50</v>
      </c>
      <c r="F21" s="222">
        <v>618</v>
      </c>
      <c r="G21" s="222">
        <v>625</v>
      </c>
      <c r="H21" s="222">
        <v>7</v>
      </c>
      <c r="I21" s="207">
        <f t="shared" si="6"/>
        <v>485.43689320388347</v>
      </c>
      <c r="J21" s="242">
        <f t="shared" si="7"/>
        <v>3398.0582524271845</v>
      </c>
      <c r="K21" s="153"/>
      <c r="M21" s="319"/>
      <c r="N21" s="320"/>
      <c r="O21" s="321"/>
      <c r="P21" s="328"/>
      <c r="Q21" s="329"/>
      <c r="R21" s="330"/>
      <c r="V21" s="25">
        <f t="shared" si="3"/>
        <v>1</v>
      </c>
      <c r="W21" s="25">
        <f t="shared" si="4"/>
        <v>0</v>
      </c>
    </row>
    <row r="22" spans="1:23" ht="15" customHeight="1" thickBot="1" x14ac:dyDescent="0.35">
      <c r="A22" s="147"/>
      <c r="B22" s="205">
        <f t="shared" si="5"/>
        <v>17</v>
      </c>
      <c r="C22" s="206">
        <v>44301</v>
      </c>
      <c r="D22" s="161" t="s">
        <v>9</v>
      </c>
      <c r="E22" s="161" t="s">
        <v>119</v>
      </c>
      <c r="F22" s="222">
        <v>1800</v>
      </c>
      <c r="G22" s="222">
        <v>1780</v>
      </c>
      <c r="H22" s="222">
        <v>-20</v>
      </c>
      <c r="I22" s="207">
        <f t="shared" si="6"/>
        <v>166.66666666666666</v>
      </c>
      <c r="J22" s="242">
        <f t="shared" si="7"/>
        <v>-3333.333333333333</v>
      </c>
      <c r="K22" s="153"/>
      <c r="M22" s="322"/>
      <c r="N22" s="323"/>
      <c r="O22" s="324"/>
      <c r="P22" s="331"/>
      <c r="Q22" s="332"/>
      <c r="R22" s="333"/>
      <c r="V22" s="25">
        <f t="shared" si="3"/>
        <v>0</v>
      </c>
      <c r="W22" s="25">
        <f t="shared" si="4"/>
        <v>1</v>
      </c>
    </row>
    <row r="23" spans="1:23" ht="15" customHeight="1" x14ac:dyDescent="0.3">
      <c r="A23" s="147"/>
      <c r="B23" s="205">
        <f t="shared" si="5"/>
        <v>18</v>
      </c>
      <c r="C23" s="206">
        <v>44301</v>
      </c>
      <c r="D23" s="161" t="s">
        <v>8</v>
      </c>
      <c r="E23" s="161" t="s">
        <v>2944</v>
      </c>
      <c r="F23" s="222">
        <v>1188</v>
      </c>
      <c r="G23" s="222">
        <v>1178</v>
      </c>
      <c r="H23" s="222">
        <v>10</v>
      </c>
      <c r="I23" s="207">
        <f t="shared" si="6"/>
        <v>252.52525252525251</v>
      </c>
      <c r="J23" s="242">
        <f t="shared" si="7"/>
        <v>2525.2525252525252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44302</v>
      </c>
      <c r="D24" s="161" t="s">
        <v>9</v>
      </c>
      <c r="E24" s="161" t="s">
        <v>25</v>
      </c>
      <c r="F24" s="222">
        <v>902</v>
      </c>
      <c r="G24" s="222">
        <v>912</v>
      </c>
      <c r="H24" s="222">
        <v>10</v>
      </c>
      <c r="I24" s="207">
        <f t="shared" si="6"/>
        <v>332.59423503325945</v>
      </c>
      <c r="J24" s="242">
        <f t="shared" si="7"/>
        <v>3325.9423503325943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44302</v>
      </c>
      <c r="D25" s="161" t="s">
        <v>8</v>
      </c>
      <c r="E25" s="161" t="s">
        <v>1439</v>
      </c>
      <c r="F25" s="222">
        <v>1930</v>
      </c>
      <c r="G25" s="222">
        <v>1933</v>
      </c>
      <c r="H25" s="222">
        <v>-3</v>
      </c>
      <c r="I25" s="207">
        <f t="shared" si="6"/>
        <v>155.44041450777203</v>
      </c>
      <c r="J25" s="242">
        <f t="shared" si="7"/>
        <v>-466.32124352331607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44305</v>
      </c>
      <c r="D26" s="161" t="s">
        <v>9</v>
      </c>
      <c r="E26" s="161" t="s">
        <v>25</v>
      </c>
      <c r="F26" s="222">
        <v>878</v>
      </c>
      <c r="G26" s="222">
        <v>898</v>
      </c>
      <c r="H26" s="222">
        <v>20</v>
      </c>
      <c r="I26" s="207">
        <f t="shared" si="6"/>
        <v>341.68564920273349</v>
      </c>
      <c r="J26" s="242">
        <f t="shared" si="7"/>
        <v>6833.7129840546695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44305</v>
      </c>
      <c r="D27" s="161" t="s">
        <v>8</v>
      </c>
      <c r="E27" s="161" t="s">
        <v>2416</v>
      </c>
      <c r="F27" s="222">
        <v>4385</v>
      </c>
      <c r="G27" s="222">
        <v>4415</v>
      </c>
      <c r="H27" s="222">
        <v>-30</v>
      </c>
      <c r="I27" s="207">
        <f t="shared" si="6"/>
        <v>68.415051311288479</v>
      </c>
      <c r="J27" s="242">
        <f t="shared" si="7"/>
        <v>-2052.4515393386546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44306</v>
      </c>
      <c r="D28" s="161" t="s">
        <v>9</v>
      </c>
      <c r="E28" s="161" t="s">
        <v>3063</v>
      </c>
      <c r="F28" s="222">
        <v>925</v>
      </c>
      <c r="G28" s="222">
        <v>929.25</v>
      </c>
      <c r="H28" s="222">
        <v>4.25</v>
      </c>
      <c r="I28" s="207">
        <f t="shared" si="6"/>
        <v>324.32432432432432</v>
      </c>
      <c r="J28" s="242">
        <f t="shared" si="7"/>
        <v>1378.3783783783783</v>
      </c>
      <c r="K28" s="153"/>
      <c r="M28" s="25" t="s">
        <v>2008</v>
      </c>
      <c r="V28" s="25">
        <f t="shared" si="3"/>
        <v>1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44306</v>
      </c>
      <c r="D29" s="161" t="s">
        <v>8</v>
      </c>
      <c r="E29" s="161" t="s">
        <v>129</v>
      </c>
      <c r="F29" s="222">
        <v>2485</v>
      </c>
      <c r="G29" s="222">
        <v>2435</v>
      </c>
      <c r="H29" s="222">
        <v>50</v>
      </c>
      <c r="I29" s="207">
        <f t="shared" si="6"/>
        <v>120.72434607645876</v>
      </c>
      <c r="J29" s="242">
        <f t="shared" si="7"/>
        <v>6036.2173038229375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44308</v>
      </c>
      <c r="D30" s="161" t="s">
        <v>9</v>
      </c>
      <c r="E30" s="161" t="s">
        <v>25</v>
      </c>
      <c r="F30" s="222">
        <v>930</v>
      </c>
      <c r="G30" s="222">
        <v>934.5</v>
      </c>
      <c r="H30" s="222">
        <v>4.5</v>
      </c>
      <c r="I30" s="207">
        <f t="shared" si="6"/>
        <v>322.58064516129031</v>
      </c>
      <c r="J30" s="242">
        <f t="shared" si="7"/>
        <v>1451.6129032258063</v>
      </c>
      <c r="K30" s="153"/>
      <c r="V30" s="25">
        <f t="shared" si="3"/>
        <v>1</v>
      </c>
      <c r="W30" s="25">
        <f t="shared" si="4"/>
        <v>0</v>
      </c>
    </row>
    <row r="31" spans="1:23" x14ac:dyDescent="0.3">
      <c r="A31" s="147"/>
      <c r="B31" s="205">
        <f t="shared" si="5"/>
        <v>26</v>
      </c>
      <c r="C31" s="206">
        <v>44308</v>
      </c>
      <c r="D31" s="161" t="s">
        <v>8</v>
      </c>
      <c r="E31" s="161" t="s">
        <v>137</v>
      </c>
      <c r="F31" s="222">
        <v>2340</v>
      </c>
      <c r="G31" s="222">
        <v>2333</v>
      </c>
      <c r="H31" s="222">
        <v>7</v>
      </c>
      <c r="I31" s="207">
        <f t="shared" si="6"/>
        <v>128.2051282051282</v>
      </c>
      <c r="J31" s="242">
        <f t="shared" si="7"/>
        <v>897.43589743589746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44309</v>
      </c>
      <c r="D32" s="161" t="s">
        <v>9</v>
      </c>
      <c r="E32" s="161" t="s">
        <v>49</v>
      </c>
      <c r="F32" s="222">
        <v>2910</v>
      </c>
      <c r="G32" s="222">
        <v>2925</v>
      </c>
      <c r="H32" s="222">
        <v>15</v>
      </c>
      <c r="I32" s="207">
        <f t="shared" si="6"/>
        <v>103.09278350515464</v>
      </c>
      <c r="J32" s="242">
        <f t="shared" si="7"/>
        <v>1546.3917525773197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44309</v>
      </c>
      <c r="D33" s="161" t="s">
        <v>8</v>
      </c>
      <c r="E33" s="161" t="s">
        <v>137</v>
      </c>
      <c r="F33" s="222">
        <v>2320</v>
      </c>
      <c r="G33" s="222">
        <v>2300</v>
      </c>
      <c r="H33" s="222">
        <v>20</v>
      </c>
      <c r="I33" s="207">
        <f t="shared" si="6"/>
        <v>129.31034482758622</v>
      </c>
      <c r="J33" s="242">
        <f t="shared" si="7"/>
        <v>2586.2068965517246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44312</v>
      </c>
      <c r="D34" s="161" t="s">
        <v>9</v>
      </c>
      <c r="E34" s="161" t="s">
        <v>1439</v>
      </c>
      <c r="F34" s="222">
        <v>1925</v>
      </c>
      <c r="G34" s="222">
        <v>1952</v>
      </c>
      <c r="H34" s="222">
        <v>27</v>
      </c>
      <c r="I34" s="207">
        <f t="shared" si="6"/>
        <v>155.84415584415584</v>
      </c>
      <c r="J34" s="242">
        <f t="shared" si="7"/>
        <v>4207.7922077922076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44312</v>
      </c>
      <c r="D35" s="161" t="s">
        <v>8</v>
      </c>
      <c r="E35" s="161" t="s">
        <v>502</v>
      </c>
      <c r="F35" s="222">
        <v>1350</v>
      </c>
      <c r="G35" s="222">
        <v>1328.5</v>
      </c>
      <c r="H35" s="222">
        <v>21.5</v>
      </c>
      <c r="I35" s="207">
        <f t="shared" si="6"/>
        <v>222.22222222222223</v>
      </c>
      <c r="J35" s="242">
        <f t="shared" si="7"/>
        <v>4777.7777777777783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44313</v>
      </c>
      <c r="D36" s="161" t="s">
        <v>9</v>
      </c>
      <c r="E36" s="161" t="s">
        <v>1439</v>
      </c>
      <c r="F36" s="222">
        <v>1975</v>
      </c>
      <c r="G36" s="222">
        <v>1990</v>
      </c>
      <c r="H36" s="222">
        <v>15</v>
      </c>
      <c r="I36" s="207">
        <f t="shared" si="6"/>
        <v>151.8987341772152</v>
      </c>
      <c r="J36" s="242">
        <f t="shared" si="7"/>
        <v>2278.4810126582279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44313</v>
      </c>
      <c r="D37" s="161" t="s">
        <v>8</v>
      </c>
      <c r="E37" s="161" t="s">
        <v>502</v>
      </c>
      <c r="F37" s="222">
        <v>1340</v>
      </c>
      <c r="G37" s="222">
        <v>1332</v>
      </c>
      <c r="H37" s="222">
        <v>8</v>
      </c>
      <c r="I37" s="207">
        <f t="shared" si="6"/>
        <v>223.88059701492537</v>
      </c>
      <c r="J37" s="242">
        <f t="shared" si="7"/>
        <v>1791.044776119403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44314</v>
      </c>
      <c r="D38" s="161" t="s">
        <v>9</v>
      </c>
      <c r="E38" s="161" t="s">
        <v>3137</v>
      </c>
      <c r="F38" s="222">
        <v>2850</v>
      </c>
      <c r="G38" s="222">
        <v>2880</v>
      </c>
      <c r="H38" s="222">
        <v>30</v>
      </c>
      <c r="I38" s="207">
        <f t="shared" si="6"/>
        <v>105.26315789473684</v>
      </c>
      <c r="J38" s="242">
        <f t="shared" si="7"/>
        <v>3157.894736842105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44314</v>
      </c>
      <c r="D39" s="161" t="s">
        <v>8</v>
      </c>
      <c r="E39" s="161" t="s">
        <v>1439</v>
      </c>
      <c r="F39" s="222">
        <v>1985</v>
      </c>
      <c r="G39" s="222">
        <v>2005</v>
      </c>
      <c r="H39" s="222">
        <v>-20</v>
      </c>
      <c r="I39" s="207">
        <f t="shared" si="6"/>
        <v>151.13350125944584</v>
      </c>
      <c r="J39" s="242">
        <f t="shared" si="7"/>
        <v>-3022.670025188917</v>
      </c>
      <c r="K39" s="153"/>
      <c r="V39" s="25">
        <f t="shared" si="3"/>
        <v>0</v>
      </c>
      <c r="W39" s="25">
        <f t="shared" si="4"/>
        <v>1</v>
      </c>
    </row>
    <row r="40" spans="1:23" x14ac:dyDescent="0.3">
      <c r="A40" s="147"/>
      <c r="B40" s="205">
        <f t="shared" si="5"/>
        <v>35</v>
      </c>
      <c r="C40" s="206">
        <v>44315</v>
      </c>
      <c r="D40" s="161" t="s">
        <v>9</v>
      </c>
      <c r="E40" s="161" t="s">
        <v>175</v>
      </c>
      <c r="F40" s="222">
        <v>985</v>
      </c>
      <c r="G40" s="222">
        <v>970</v>
      </c>
      <c r="H40" s="222">
        <v>-15</v>
      </c>
      <c r="I40" s="207">
        <f t="shared" si="6"/>
        <v>304.56852791878174</v>
      </c>
      <c r="J40" s="242">
        <f t="shared" si="7"/>
        <v>-4568.5279187817259</v>
      </c>
      <c r="K40" s="153"/>
      <c r="V40" s="25">
        <f t="shared" si="3"/>
        <v>0</v>
      </c>
      <c r="W40" s="25">
        <f t="shared" si="4"/>
        <v>1</v>
      </c>
    </row>
    <row r="41" spans="1:23" x14ac:dyDescent="0.3">
      <c r="A41" s="147"/>
      <c r="B41" s="205">
        <f t="shared" si="5"/>
        <v>36</v>
      </c>
      <c r="C41" s="206">
        <v>44315</v>
      </c>
      <c r="D41" s="161" t="s">
        <v>8</v>
      </c>
      <c r="E41" s="161" t="s">
        <v>95</v>
      </c>
      <c r="F41" s="222">
        <v>617</v>
      </c>
      <c r="G41" s="223">
        <v>611</v>
      </c>
      <c r="H41" s="222">
        <v>16</v>
      </c>
      <c r="I41" s="207">
        <f t="shared" si="6"/>
        <v>486.22366288492708</v>
      </c>
      <c r="J41" s="242">
        <f t="shared" si="7"/>
        <v>7779.5786061588333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44316</v>
      </c>
      <c r="D42" s="161" t="s">
        <v>9</v>
      </c>
      <c r="E42" s="161" t="s">
        <v>1439</v>
      </c>
      <c r="F42" s="222">
        <v>2022</v>
      </c>
      <c r="G42" s="222">
        <v>2028</v>
      </c>
      <c r="H42" s="222">
        <v>6</v>
      </c>
      <c r="I42" s="207">
        <f t="shared" si="6"/>
        <v>148.36795252225519</v>
      </c>
      <c r="J42" s="242">
        <f t="shared" si="7"/>
        <v>890.20771513353111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44316</v>
      </c>
      <c r="D43" s="161" t="s">
        <v>8</v>
      </c>
      <c r="E43" s="161" t="s">
        <v>94</v>
      </c>
      <c r="F43" s="222">
        <v>1430</v>
      </c>
      <c r="G43" s="222">
        <v>1410</v>
      </c>
      <c r="H43" s="222">
        <v>20</v>
      </c>
      <c r="I43" s="207">
        <f t="shared" si="6"/>
        <v>209.79020979020979</v>
      </c>
      <c r="J43" s="242">
        <f t="shared" si="7"/>
        <v>4195.8041958041958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/>
      <c r="D44" s="161"/>
      <c r="E44" s="161"/>
      <c r="F44" s="222"/>
      <c r="G44" s="222"/>
      <c r="H44" s="222"/>
      <c r="I44" s="207"/>
      <c r="J44" s="242"/>
      <c r="K44" s="153"/>
      <c r="V44" s="25">
        <f t="shared" si="3"/>
        <v>0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/>
      <c r="D45" s="161"/>
      <c r="E45" s="161"/>
      <c r="F45" s="222"/>
      <c r="G45" s="222"/>
      <c r="H45" s="222"/>
      <c r="I45" s="207"/>
      <c r="J45" s="242"/>
      <c r="K45" s="153"/>
      <c r="V45" s="25">
        <f t="shared" si="3"/>
        <v>0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75644.470619619678</v>
      </c>
      <c r="K52" s="153"/>
      <c r="V52" s="25">
        <f>SUM(V6:V51)</f>
        <v>30</v>
      </c>
      <c r="W52" s="25">
        <f>SUM(W6:W51)</f>
        <v>8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3300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44287</v>
      </c>
      <c r="D60" s="161" t="s">
        <v>9</v>
      </c>
      <c r="E60" s="161" t="s">
        <v>365</v>
      </c>
      <c r="F60" s="222">
        <v>485</v>
      </c>
      <c r="G60" s="222">
        <v>495</v>
      </c>
      <c r="H60" s="222">
        <v>10</v>
      </c>
      <c r="I60" s="207">
        <v>2700</v>
      </c>
      <c r="J60" s="241">
        <f t="shared" ref="J60:J83" si="15">I60*H60</f>
        <v>27000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44291</v>
      </c>
      <c r="D61" s="161" t="s">
        <v>8</v>
      </c>
      <c r="E61" s="161" t="s">
        <v>2563</v>
      </c>
      <c r="F61" s="222">
        <v>1570</v>
      </c>
      <c r="G61" s="222">
        <v>1540.4</v>
      </c>
      <c r="H61" s="222">
        <v>29.6</v>
      </c>
      <c r="I61" s="207">
        <v>500</v>
      </c>
      <c r="J61" s="242">
        <f t="shared" si="15"/>
        <v>14800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44292</v>
      </c>
      <c r="D62" s="161" t="s">
        <v>9</v>
      </c>
      <c r="E62" s="161" t="s">
        <v>137</v>
      </c>
      <c r="F62" s="222">
        <v>2410</v>
      </c>
      <c r="G62" s="222">
        <v>2421</v>
      </c>
      <c r="H62" s="222">
        <v>11</v>
      </c>
      <c r="I62" s="207">
        <v>300</v>
      </c>
      <c r="J62" s="242">
        <f t="shared" si="15"/>
        <v>3300</v>
      </c>
      <c r="K62" s="153"/>
      <c r="V62" s="25">
        <f t="shared" si="16"/>
        <v>1</v>
      </c>
      <c r="W62" s="25">
        <f t="shared" si="17"/>
        <v>0</v>
      </c>
    </row>
    <row r="63" spans="1:23" x14ac:dyDescent="0.3">
      <c r="A63" s="147"/>
      <c r="B63" s="205">
        <f t="shared" si="18"/>
        <v>4</v>
      </c>
      <c r="C63" s="206">
        <v>44293</v>
      </c>
      <c r="D63" s="161" t="s">
        <v>9</v>
      </c>
      <c r="E63" s="161" t="s">
        <v>2563</v>
      </c>
      <c r="F63" s="222">
        <v>1590</v>
      </c>
      <c r="G63" s="222">
        <v>1605</v>
      </c>
      <c r="H63" s="222">
        <v>15</v>
      </c>
      <c r="I63" s="207">
        <v>500</v>
      </c>
      <c r="J63" s="242">
        <f t="shared" si="15"/>
        <v>7500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44294</v>
      </c>
      <c r="D64" s="161" t="s">
        <v>8</v>
      </c>
      <c r="E64" s="161" t="s">
        <v>2023</v>
      </c>
      <c r="F64" s="222">
        <v>5100</v>
      </c>
      <c r="G64" s="222">
        <v>5053</v>
      </c>
      <c r="H64" s="222">
        <v>47</v>
      </c>
      <c r="I64" s="207">
        <v>250</v>
      </c>
      <c r="J64" s="242">
        <f t="shared" si="15"/>
        <v>11750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44295</v>
      </c>
      <c r="D65" s="161" t="s">
        <v>9</v>
      </c>
      <c r="E65" s="161" t="s">
        <v>19</v>
      </c>
      <c r="F65" s="207">
        <v>358</v>
      </c>
      <c r="G65" s="222">
        <v>364</v>
      </c>
      <c r="H65" s="222">
        <v>6</v>
      </c>
      <c r="I65" s="207">
        <v>3000</v>
      </c>
      <c r="J65" s="242">
        <f t="shared" si="15"/>
        <v>18000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44298</v>
      </c>
      <c r="D66" s="161" t="s">
        <v>8</v>
      </c>
      <c r="E66" s="161" t="s">
        <v>2563</v>
      </c>
      <c r="F66" s="207">
        <v>1570</v>
      </c>
      <c r="G66" s="222">
        <v>1540</v>
      </c>
      <c r="H66" s="222">
        <v>30</v>
      </c>
      <c r="I66" s="207">
        <v>500</v>
      </c>
      <c r="J66" s="242">
        <f t="shared" si="15"/>
        <v>15000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44299</v>
      </c>
      <c r="D67" s="161" t="s">
        <v>9</v>
      </c>
      <c r="E67" s="161" t="s">
        <v>2023</v>
      </c>
      <c r="F67" s="222">
        <v>4670</v>
      </c>
      <c r="G67" s="222">
        <v>4730</v>
      </c>
      <c r="H67" s="222">
        <v>60</v>
      </c>
      <c r="I67" s="207">
        <v>250</v>
      </c>
      <c r="J67" s="242">
        <f t="shared" si="15"/>
        <v>15000</v>
      </c>
      <c r="K67" s="153"/>
      <c r="V67" s="25">
        <f t="shared" si="16"/>
        <v>1</v>
      </c>
      <c r="W67" s="25">
        <f t="shared" si="17"/>
        <v>0</v>
      </c>
    </row>
    <row r="68" spans="1:23" x14ac:dyDescent="0.3">
      <c r="A68" s="147"/>
      <c r="B68" s="205">
        <f t="shared" si="18"/>
        <v>9</v>
      </c>
      <c r="C68" s="206">
        <v>44301</v>
      </c>
      <c r="D68" s="161" t="s">
        <v>8</v>
      </c>
      <c r="E68" s="161" t="s">
        <v>95</v>
      </c>
      <c r="F68" s="222">
        <v>558</v>
      </c>
      <c r="G68" s="222">
        <v>564</v>
      </c>
      <c r="H68" s="222">
        <v>-6</v>
      </c>
      <c r="I68" s="207">
        <v>1375</v>
      </c>
      <c r="J68" s="242">
        <f t="shared" si="15"/>
        <v>-8250</v>
      </c>
      <c r="K68" s="153"/>
      <c r="V68" s="25">
        <f t="shared" si="16"/>
        <v>0</v>
      </c>
      <c r="W68" s="25">
        <f t="shared" si="17"/>
        <v>1</v>
      </c>
    </row>
    <row r="69" spans="1:23" x14ac:dyDescent="0.3">
      <c r="A69" s="147"/>
      <c r="B69" s="205">
        <f t="shared" si="18"/>
        <v>10</v>
      </c>
      <c r="C69" s="206">
        <v>44302</v>
      </c>
      <c r="D69" s="161" t="s">
        <v>9</v>
      </c>
      <c r="E69" s="161" t="s">
        <v>2023</v>
      </c>
      <c r="F69" s="222">
        <v>4670</v>
      </c>
      <c r="G69" s="222">
        <v>4710</v>
      </c>
      <c r="H69" s="222">
        <v>40</v>
      </c>
      <c r="I69" s="207">
        <v>250</v>
      </c>
      <c r="J69" s="242">
        <f t="shared" si="15"/>
        <v>10000</v>
      </c>
      <c r="K69" s="153"/>
      <c r="V69" s="25">
        <f t="shared" si="16"/>
        <v>1</v>
      </c>
      <c r="W69" s="25">
        <f t="shared" si="17"/>
        <v>0</v>
      </c>
    </row>
    <row r="70" spans="1:23" x14ac:dyDescent="0.3">
      <c r="A70" s="147"/>
      <c r="B70" s="205">
        <f t="shared" si="18"/>
        <v>11</v>
      </c>
      <c r="C70" s="206">
        <v>44305</v>
      </c>
      <c r="D70" s="161" t="s">
        <v>9</v>
      </c>
      <c r="E70" s="161" t="s">
        <v>25</v>
      </c>
      <c r="F70" s="161">
        <v>885</v>
      </c>
      <c r="G70" s="222">
        <v>900</v>
      </c>
      <c r="H70" s="222">
        <v>15</v>
      </c>
      <c r="I70" s="207">
        <v>1700</v>
      </c>
      <c r="J70" s="242">
        <f t="shared" si="15"/>
        <v>25500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44306</v>
      </c>
      <c r="D71" s="161" t="s">
        <v>9</v>
      </c>
      <c r="E71" s="161" t="s">
        <v>2023</v>
      </c>
      <c r="F71" s="222">
        <v>4695</v>
      </c>
      <c r="G71" s="222">
        <v>4715</v>
      </c>
      <c r="H71" s="222">
        <v>20</v>
      </c>
      <c r="I71" s="207">
        <v>250</v>
      </c>
      <c r="J71" s="242">
        <f t="shared" si="15"/>
        <v>5000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44308</v>
      </c>
      <c r="D72" s="161" t="s">
        <v>9</v>
      </c>
      <c r="E72" s="161" t="s">
        <v>2563</v>
      </c>
      <c r="F72" s="222">
        <v>1550</v>
      </c>
      <c r="G72" s="222">
        <v>1559</v>
      </c>
      <c r="H72" s="222">
        <v>9</v>
      </c>
      <c r="I72" s="207">
        <v>500</v>
      </c>
      <c r="J72" s="242">
        <f t="shared" si="15"/>
        <v>4500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44309</v>
      </c>
      <c r="D73" s="161" t="s">
        <v>9</v>
      </c>
      <c r="E73" s="161" t="s">
        <v>2023</v>
      </c>
      <c r="F73" s="223">
        <v>4725</v>
      </c>
      <c r="G73" s="222">
        <v>4755</v>
      </c>
      <c r="H73" s="255">
        <v>30</v>
      </c>
      <c r="I73" s="207">
        <v>250</v>
      </c>
      <c r="J73" s="242">
        <f t="shared" si="15"/>
        <v>7500</v>
      </c>
      <c r="K73" s="153"/>
      <c r="V73" s="25">
        <f t="shared" si="16"/>
        <v>1</v>
      </c>
      <c r="W73" s="25">
        <f t="shared" si="17"/>
        <v>0</v>
      </c>
    </row>
    <row r="74" spans="1:23" x14ac:dyDescent="0.3">
      <c r="A74" s="147"/>
      <c r="B74" s="205">
        <f t="shared" si="18"/>
        <v>15</v>
      </c>
      <c r="C74" s="206">
        <v>44312</v>
      </c>
      <c r="D74" s="161" t="s">
        <v>9</v>
      </c>
      <c r="E74" s="161" t="s">
        <v>58</v>
      </c>
      <c r="F74" s="222">
        <v>697</v>
      </c>
      <c r="G74" s="222">
        <v>704</v>
      </c>
      <c r="H74" s="255">
        <f>704-697</f>
        <v>7</v>
      </c>
      <c r="I74" s="207">
        <v>1200</v>
      </c>
      <c r="J74" s="242">
        <f t="shared" si="15"/>
        <v>8400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44313</v>
      </c>
      <c r="D75" s="161" t="s">
        <v>9</v>
      </c>
      <c r="E75" s="161" t="s">
        <v>2023</v>
      </c>
      <c r="F75" s="222">
        <v>4785</v>
      </c>
      <c r="G75" s="222">
        <v>4845</v>
      </c>
      <c r="H75" s="255">
        <v>60</v>
      </c>
      <c r="I75" s="207">
        <v>250</v>
      </c>
      <c r="J75" s="242">
        <f t="shared" si="15"/>
        <v>15000</v>
      </c>
      <c r="K75" s="153"/>
      <c r="V75" s="25">
        <f t="shared" si="16"/>
        <v>1</v>
      </c>
      <c r="W75" s="25">
        <f t="shared" si="17"/>
        <v>0</v>
      </c>
    </row>
    <row r="76" spans="1:23" x14ac:dyDescent="0.3">
      <c r="A76" s="147"/>
      <c r="B76" s="205">
        <f t="shared" si="18"/>
        <v>17</v>
      </c>
      <c r="C76" s="206">
        <v>44314</v>
      </c>
      <c r="D76" s="161" t="s">
        <v>9</v>
      </c>
      <c r="E76" s="161" t="s">
        <v>95</v>
      </c>
      <c r="F76" s="222">
        <v>603</v>
      </c>
      <c r="G76" s="222">
        <v>613</v>
      </c>
      <c r="H76" s="222">
        <v>10</v>
      </c>
      <c r="I76" s="207">
        <v>1375</v>
      </c>
      <c r="J76" s="242">
        <f t="shared" si="15"/>
        <v>13750</v>
      </c>
      <c r="K76" s="153"/>
      <c r="V76" s="25">
        <f t="shared" si="16"/>
        <v>1</v>
      </c>
      <c r="W76" s="25">
        <f t="shared" si="17"/>
        <v>0</v>
      </c>
    </row>
    <row r="77" spans="1:23" x14ac:dyDescent="0.3">
      <c r="A77" s="147"/>
      <c r="B77" s="205">
        <f t="shared" si="18"/>
        <v>18</v>
      </c>
      <c r="C77" s="206">
        <v>44315</v>
      </c>
      <c r="D77" s="161" t="s">
        <v>8</v>
      </c>
      <c r="E77" s="161" t="s">
        <v>2023</v>
      </c>
      <c r="F77" s="222">
        <v>5370</v>
      </c>
      <c r="G77" s="222">
        <v>5350</v>
      </c>
      <c r="H77" s="222">
        <v>20</v>
      </c>
      <c r="I77" s="207">
        <v>250</v>
      </c>
      <c r="J77" s="242">
        <f t="shared" si="15"/>
        <v>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44316</v>
      </c>
      <c r="D78" s="161" t="s">
        <v>8</v>
      </c>
      <c r="E78" s="161" t="s">
        <v>94</v>
      </c>
      <c r="F78" s="222">
        <v>1433</v>
      </c>
      <c r="G78" s="222">
        <v>1420</v>
      </c>
      <c r="H78" s="222">
        <v>13</v>
      </c>
      <c r="I78" s="207">
        <v>550</v>
      </c>
      <c r="J78" s="242">
        <f t="shared" si="15"/>
        <v>7150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/>
      <c r="D79" s="161"/>
      <c r="E79" s="161"/>
      <c r="F79" s="222"/>
      <c r="G79" s="222"/>
      <c r="H79" s="222"/>
      <c r="I79" s="207"/>
      <c r="J79" s="242">
        <f t="shared" si="15"/>
        <v>0</v>
      </c>
      <c r="K79" s="153"/>
      <c r="V79" s="25">
        <f t="shared" si="16"/>
        <v>0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205900</v>
      </c>
      <c r="K84" s="153"/>
      <c r="V84" s="25">
        <f>SUM(V60:V83)</f>
        <v>18</v>
      </c>
      <c r="W84" s="25">
        <f>SUM(W60:W83)</f>
        <v>1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3301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44287</v>
      </c>
      <c r="D92" s="185" t="s">
        <v>8</v>
      </c>
      <c r="E92" s="185" t="s">
        <v>39</v>
      </c>
      <c r="F92" s="219">
        <v>14830</v>
      </c>
      <c r="G92" s="219">
        <v>14770</v>
      </c>
      <c r="H92" s="185">
        <v>60</v>
      </c>
      <c r="I92" s="219">
        <v>150</v>
      </c>
      <c r="J92" s="246">
        <f t="shared" ref="J92:J114" si="19">I92*H92</f>
        <v>9000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44291</v>
      </c>
      <c r="D93" s="185" t="s">
        <v>8</v>
      </c>
      <c r="E93" s="185" t="s">
        <v>39</v>
      </c>
      <c r="F93" s="219">
        <v>14580</v>
      </c>
      <c r="G93" s="219">
        <v>14500</v>
      </c>
      <c r="H93" s="185">
        <v>80</v>
      </c>
      <c r="I93" s="219">
        <v>150</v>
      </c>
      <c r="J93" s="242">
        <f t="shared" si="19"/>
        <v>12000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44292</v>
      </c>
      <c r="D94" s="161" t="s">
        <v>9</v>
      </c>
      <c r="E94" s="161" t="s">
        <v>39</v>
      </c>
      <c r="F94" s="207">
        <v>14740</v>
      </c>
      <c r="G94" s="207">
        <v>14820</v>
      </c>
      <c r="H94" s="161">
        <v>80</v>
      </c>
      <c r="I94" s="207">
        <v>150</v>
      </c>
      <c r="J94" s="242">
        <f t="shared" si="19"/>
        <v>12000</v>
      </c>
      <c r="K94" s="153"/>
      <c r="V94" s="25">
        <f t="shared" si="20"/>
        <v>1</v>
      </c>
      <c r="W94" s="25">
        <f t="shared" si="21"/>
        <v>0</v>
      </c>
    </row>
    <row r="95" spans="1:23" x14ac:dyDescent="0.3">
      <c r="A95" s="147"/>
      <c r="B95" s="205">
        <f t="shared" si="22"/>
        <v>4</v>
      </c>
      <c r="C95" s="206">
        <v>44293</v>
      </c>
      <c r="D95" s="161" t="s">
        <v>9</v>
      </c>
      <c r="E95" s="161" t="s">
        <v>39</v>
      </c>
      <c r="F95" s="207">
        <v>14830</v>
      </c>
      <c r="G95" s="207">
        <v>14910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44294</v>
      </c>
      <c r="D96" s="161" t="s">
        <v>9</v>
      </c>
      <c r="E96" s="161" t="s">
        <v>39</v>
      </c>
      <c r="F96" s="207">
        <v>15000</v>
      </c>
      <c r="G96" s="207">
        <v>15025</v>
      </c>
      <c r="H96" s="161">
        <v>25</v>
      </c>
      <c r="I96" s="207">
        <v>150</v>
      </c>
      <c r="J96" s="242">
        <f t="shared" si="19"/>
        <v>3750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44295</v>
      </c>
      <c r="D97" s="161" t="s">
        <v>9</v>
      </c>
      <c r="E97" s="161" t="s">
        <v>39</v>
      </c>
      <c r="F97" s="207">
        <v>14950</v>
      </c>
      <c r="G97" s="207">
        <v>14910</v>
      </c>
      <c r="H97" s="161">
        <v>40</v>
      </c>
      <c r="I97" s="207">
        <v>150</v>
      </c>
      <c r="J97" s="242">
        <f t="shared" si="19"/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44298</v>
      </c>
      <c r="D98" s="161" t="s">
        <v>8</v>
      </c>
      <c r="E98" s="161" t="s">
        <v>39</v>
      </c>
      <c r="F98" s="207">
        <v>14460</v>
      </c>
      <c r="G98" s="207">
        <v>14380</v>
      </c>
      <c r="H98" s="161">
        <v>80</v>
      </c>
      <c r="I98" s="207">
        <v>150</v>
      </c>
      <c r="J98" s="242">
        <f t="shared" si="19"/>
        <v>12000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44299</v>
      </c>
      <c r="D99" s="161" t="s">
        <v>9</v>
      </c>
      <c r="E99" s="161" t="s">
        <v>39</v>
      </c>
      <c r="F99" s="207">
        <v>14390</v>
      </c>
      <c r="G99" s="207">
        <v>14408</v>
      </c>
      <c r="H99" s="161">
        <v>18</v>
      </c>
      <c r="I99" s="207">
        <v>150</v>
      </c>
      <c r="J99" s="242">
        <f t="shared" si="19"/>
        <v>2700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44301</v>
      </c>
      <c r="D100" s="161" t="s">
        <v>8</v>
      </c>
      <c r="E100" s="161" t="s">
        <v>39</v>
      </c>
      <c r="F100" s="207">
        <v>14400</v>
      </c>
      <c r="G100" s="207">
        <v>14375</v>
      </c>
      <c r="H100" s="161">
        <v>25</v>
      </c>
      <c r="I100" s="207">
        <v>150</v>
      </c>
      <c r="J100" s="242">
        <f t="shared" si="19"/>
        <v>3750</v>
      </c>
      <c r="K100" s="153"/>
      <c r="V100" s="25">
        <f t="shared" si="20"/>
        <v>1</v>
      </c>
      <c r="W100" s="25">
        <f t="shared" si="21"/>
        <v>0</v>
      </c>
    </row>
    <row r="101" spans="1:23" x14ac:dyDescent="0.3">
      <c r="A101" s="147"/>
      <c r="B101" s="205">
        <f t="shared" si="22"/>
        <v>10</v>
      </c>
      <c r="C101" s="206">
        <v>44302</v>
      </c>
      <c r="D101" s="161" t="s">
        <v>9</v>
      </c>
      <c r="E101" s="161" t="s">
        <v>39</v>
      </c>
      <c r="F101" s="207">
        <v>14700</v>
      </c>
      <c r="G101" s="207">
        <v>17717</v>
      </c>
      <c r="H101" s="161">
        <v>17</v>
      </c>
      <c r="I101" s="207">
        <v>150</v>
      </c>
      <c r="J101" s="242">
        <f t="shared" si="19"/>
        <v>2550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44305</v>
      </c>
      <c r="D102" s="161" t="s">
        <v>8</v>
      </c>
      <c r="E102" s="161" t="s">
        <v>39</v>
      </c>
      <c r="F102" s="207">
        <v>14320</v>
      </c>
      <c r="G102" s="207">
        <v>14280</v>
      </c>
      <c r="H102" s="161">
        <v>40</v>
      </c>
      <c r="I102" s="207">
        <v>150</v>
      </c>
      <c r="J102" s="242">
        <f t="shared" si="19"/>
        <v>6000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44306</v>
      </c>
      <c r="D103" s="161" t="s">
        <v>9</v>
      </c>
      <c r="E103" s="161" t="s">
        <v>39</v>
      </c>
      <c r="F103" s="207">
        <v>14470</v>
      </c>
      <c r="G103" s="207">
        <v>14486</v>
      </c>
      <c r="H103" s="161">
        <v>16</v>
      </c>
      <c r="I103" s="207">
        <v>150</v>
      </c>
      <c r="J103" s="242">
        <f t="shared" si="19"/>
        <v>2400</v>
      </c>
      <c r="K103" s="153"/>
      <c r="V103" s="25">
        <f t="shared" si="20"/>
        <v>1</v>
      </c>
      <c r="W103" s="25">
        <f t="shared" si="21"/>
        <v>0</v>
      </c>
    </row>
    <row r="104" spans="1:23" x14ac:dyDescent="0.3">
      <c r="A104" s="147"/>
      <c r="B104" s="205">
        <f t="shared" si="22"/>
        <v>13</v>
      </c>
      <c r="C104" s="206">
        <v>44308</v>
      </c>
      <c r="D104" s="161" t="s">
        <v>9</v>
      </c>
      <c r="E104" s="161" t="s">
        <v>39</v>
      </c>
      <c r="F104" s="207">
        <v>14250</v>
      </c>
      <c r="G104" s="207">
        <v>14320</v>
      </c>
      <c r="H104" s="161">
        <v>70</v>
      </c>
      <c r="I104" s="207">
        <v>150</v>
      </c>
      <c r="J104" s="242">
        <f t="shared" si="19"/>
        <v>10500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44309</v>
      </c>
      <c r="D105" s="161" t="s">
        <v>9</v>
      </c>
      <c r="E105" s="161" t="s">
        <v>39</v>
      </c>
      <c r="F105" s="207">
        <v>14380</v>
      </c>
      <c r="G105" s="207">
        <v>14460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44312</v>
      </c>
      <c r="D106" s="161" t="s">
        <v>9</v>
      </c>
      <c r="E106" s="161" t="s">
        <v>39</v>
      </c>
      <c r="F106" s="207">
        <v>14540</v>
      </c>
      <c r="G106" s="207">
        <v>14500</v>
      </c>
      <c r="H106" s="161">
        <v>-40</v>
      </c>
      <c r="I106" s="207">
        <v>150</v>
      </c>
      <c r="J106" s="242">
        <f t="shared" si="19"/>
        <v>-6000</v>
      </c>
      <c r="K106" s="153"/>
      <c r="V106" s="25">
        <f t="shared" si="20"/>
        <v>0</v>
      </c>
      <c r="W106" s="25">
        <f t="shared" si="21"/>
        <v>1</v>
      </c>
    </row>
    <row r="107" spans="1:23" x14ac:dyDescent="0.3">
      <c r="A107" s="147"/>
      <c r="B107" s="205">
        <f t="shared" si="22"/>
        <v>16</v>
      </c>
      <c r="C107" s="206">
        <v>44313</v>
      </c>
      <c r="D107" s="161" t="s">
        <v>9</v>
      </c>
      <c r="E107" s="161" t="s">
        <v>39</v>
      </c>
      <c r="F107" s="207">
        <v>14540</v>
      </c>
      <c r="G107" s="207">
        <v>14600</v>
      </c>
      <c r="H107" s="161">
        <v>60</v>
      </c>
      <c r="I107" s="207">
        <v>150</v>
      </c>
      <c r="J107" s="242">
        <f t="shared" si="19"/>
        <v>9000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44314</v>
      </c>
      <c r="D108" s="161" t="s">
        <v>9</v>
      </c>
      <c r="E108" s="161" t="s">
        <v>39</v>
      </c>
      <c r="F108" s="207">
        <v>14740</v>
      </c>
      <c r="G108" s="207">
        <v>14805</v>
      </c>
      <c r="H108" s="161">
        <f>14805-14740</f>
        <v>65</v>
      </c>
      <c r="I108" s="207">
        <v>150</v>
      </c>
      <c r="J108" s="242">
        <f t="shared" si="19"/>
        <v>9750</v>
      </c>
      <c r="K108" s="153"/>
      <c r="V108" s="25">
        <f t="shared" si="20"/>
        <v>1</v>
      </c>
      <c r="W108" s="25">
        <f t="shared" si="21"/>
        <v>0</v>
      </c>
    </row>
    <row r="109" spans="1:23" x14ac:dyDescent="0.3">
      <c r="A109" s="147"/>
      <c r="B109" s="205">
        <f t="shared" si="22"/>
        <v>18</v>
      </c>
      <c r="C109" s="206">
        <v>44315</v>
      </c>
      <c r="D109" s="161" t="s">
        <v>8</v>
      </c>
      <c r="E109" s="161" t="s">
        <v>39</v>
      </c>
      <c r="F109" s="207">
        <v>14920</v>
      </c>
      <c r="G109" s="207">
        <v>14840</v>
      </c>
      <c r="H109" s="161">
        <v>80</v>
      </c>
      <c r="I109" s="207">
        <v>150</v>
      </c>
      <c r="J109" s="242">
        <f t="shared" si="19"/>
        <v>12000</v>
      </c>
      <c r="K109" s="153"/>
      <c r="V109" s="25">
        <f t="shared" si="20"/>
        <v>1</v>
      </c>
      <c r="W109" s="25">
        <f t="shared" si="21"/>
        <v>0</v>
      </c>
    </row>
    <row r="110" spans="1:23" x14ac:dyDescent="0.3">
      <c r="A110" s="147"/>
      <c r="B110" s="205">
        <f t="shared" si="22"/>
        <v>19</v>
      </c>
      <c r="C110" s="206">
        <v>44316</v>
      </c>
      <c r="D110" s="161" t="s">
        <v>8</v>
      </c>
      <c r="E110" s="161" t="s">
        <v>39</v>
      </c>
      <c r="F110" s="207">
        <v>14730</v>
      </c>
      <c r="G110" s="207">
        <v>14677</v>
      </c>
      <c r="H110" s="161">
        <v>53</v>
      </c>
      <c r="I110" s="207">
        <v>150</v>
      </c>
      <c r="J110" s="242">
        <f>I110*H110</f>
        <v>7950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/>
      <c r="D111" s="161"/>
      <c r="E111" s="161"/>
      <c r="F111" s="207"/>
      <c r="G111" s="207"/>
      <c r="H111" s="161"/>
      <c r="I111" s="207"/>
      <c r="J111" s="242">
        <f t="shared" si="19"/>
        <v>0</v>
      </c>
      <c r="K111" s="153"/>
      <c r="V111" s="25">
        <f t="shared" si="20"/>
        <v>0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139350</v>
      </c>
      <c r="K115" s="153"/>
      <c r="V115" s="25">
        <f>SUM(V92:V114)</f>
        <v>18</v>
      </c>
      <c r="W115" s="25">
        <f>SUM(W92:W114)</f>
        <v>1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3300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44287</v>
      </c>
      <c r="D123" s="185" t="s">
        <v>9</v>
      </c>
      <c r="E123" s="185" t="s">
        <v>3252</v>
      </c>
      <c r="F123" s="219">
        <v>115</v>
      </c>
      <c r="G123" s="219">
        <v>165</v>
      </c>
      <c r="H123" s="185">
        <v>30</v>
      </c>
      <c r="I123" s="219">
        <v>300</v>
      </c>
      <c r="J123" s="246">
        <f t="shared" ref="J123:J145" si="23">I123*H123</f>
        <v>9000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44291</v>
      </c>
      <c r="D124" s="185" t="s">
        <v>9</v>
      </c>
      <c r="E124" s="185" t="s">
        <v>3203</v>
      </c>
      <c r="F124" s="219">
        <v>140</v>
      </c>
      <c r="G124" s="219">
        <v>180</v>
      </c>
      <c r="H124" s="185">
        <v>40</v>
      </c>
      <c r="I124" s="219">
        <v>300</v>
      </c>
      <c r="J124" s="242">
        <f t="shared" si="23"/>
        <v>12000</v>
      </c>
      <c r="K124" s="153"/>
      <c r="V124" s="25">
        <f t="shared" ref="V124:V145" si="24">IF($J124&gt;0,1,0)</f>
        <v>1</v>
      </c>
      <c r="W124" s="25">
        <f t="shared" ref="W124:W145" si="25">IF($J124&lt;0,1,0)</f>
        <v>0</v>
      </c>
    </row>
    <row r="125" spans="1:23" x14ac:dyDescent="0.3">
      <c r="A125" s="147"/>
      <c r="B125" s="205">
        <f t="shared" ref="B125:B145" si="26">B124+1</f>
        <v>3</v>
      </c>
      <c r="C125" s="206">
        <v>44292</v>
      </c>
      <c r="D125" s="161" t="s">
        <v>9</v>
      </c>
      <c r="E125" s="161" t="s">
        <v>3304</v>
      </c>
      <c r="F125" s="207">
        <v>120</v>
      </c>
      <c r="G125" s="207">
        <v>157</v>
      </c>
      <c r="H125" s="161">
        <v>37</v>
      </c>
      <c r="I125" s="207">
        <v>300</v>
      </c>
      <c r="J125" s="242">
        <f t="shared" si="23"/>
        <v>11100</v>
      </c>
      <c r="K125" s="153"/>
      <c r="V125" s="25">
        <f t="shared" si="24"/>
        <v>1</v>
      </c>
      <c r="W125" s="25">
        <f t="shared" si="25"/>
        <v>0</v>
      </c>
    </row>
    <row r="126" spans="1:23" x14ac:dyDescent="0.3">
      <c r="A126" s="147"/>
      <c r="B126" s="205">
        <f t="shared" si="26"/>
        <v>4</v>
      </c>
      <c r="C126" s="206">
        <v>44293</v>
      </c>
      <c r="D126" s="161" t="s">
        <v>9</v>
      </c>
      <c r="E126" s="161" t="s">
        <v>3220</v>
      </c>
      <c r="F126" s="207">
        <v>110</v>
      </c>
      <c r="G126" s="207">
        <v>125</v>
      </c>
      <c r="H126" s="161">
        <v>15</v>
      </c>
      <c r="I126" s="207">
        <v>300</v>
      </c>
      <c r="J126" s="242">
        <f t="shared" si="23"/>
        <v>4500</v>
      </c>
      <c r="K126" s="153"/>
      <c r="V126" s="25">
        <f t="shared" si="24"/>
        <v>1</v>
      </c>
      <c r="W126" s="25">
        <f t="shared" si="25"/>
        <v>0</v>
      </c>
    </row>
    <row r="127" spans="1:23" x14ac:dyDescent="0.3">
      <c r="A127" s="147"/>
      <c r="B127" s="205">
        <f t="shared" si="26"/>
        <v>5</v>
      </c>
      <c r="C127" s="206">
        <v>44294</v>
      </c>
      <c r="D127" s="161" t="s">
        <v>9</v>
      </c>
      <c r="E127" s="161" t="s">
        <v>3267</v>
      </c>
      <c r="F127" s="207">
        <v>105</v>
      </c>
      <c r="G127" s="207">
        <v>115</v>
      </c>
      <c r="H127" s="161">
        <v>10</v>
      </c>
      <c r="I127" s="207">
        <v>300</v>
      </c>
      <c r="J127" s="242">
        <f t="shared" si="23"/>
        <v>3000</v>
      </c>
      <c r="K127" s="153"/>
      <c r="M127" s="25" t="s">
        <v>2008</v>
      </c>
      <c r="V127" s="25">
        <f t="shared" si="24"/>
        <v>1</v>
      </c>
      <c r="W127" s="25">
        <f t="shared" si="25"/>
        <v>0</v>
      </c>
    </row>
    <row r="128" spans="1:23" x14ac:dyDescent="0.3">
      <c r="A128" s="147"/>
      <c r="B128" s="205">
        <f t="shared" si="26"/>
        <v>6</v>
      </c>
      <c r="C128" s="206">
        <v>44295</v>
      </c>
      <c r="D128" s="161" t="s">
        <v>9</v>
      </c>
      <c r="E128" s="161" t="s">
        <v>3305</v>
      </c>
      <c r="F128" s="207">
        <v>115</v>
      </c>
      <c r="G128" s="222">
        <v>90</v>
      </c>
      <c r="H128" s="222">
        <v>-25</v>
      </c>
      <c r="I128" s="207">
        <v>300</v>
      </c>
      <c r="J128" s="242">
        <f t="shared" si="23"/>
        <v>-7500</v>
      </c>
      <c r="K128" s="153"/>
      <c r="V128" s="25">
        <f t="shared" si="24"/>
        <v>0</v>
      </c>
      <c r="W128" s="25">
        <f t="shared" si="25"/>
        <v>1</v>
      </c>
    </row>
    <row r="129" spans="1:23" x14ac:dyDescent="0.3">
      <c r="A129" s="147"/>
      <c r="B129" s="205">
        <f t="shared" si="26"/>
        <v>7</v>
      </c>
      <c r="C129" s="206">
        <v>44298</v>
      </c>
      <c r="D129" s="161" t="s">
        <v>9</v>
      </c>
      <c r="E129" s="161" t="s">
        <v>1241</v>
      </c>
      <c r="F129" s="207">
        <v>115</v>
      </c>
      <c r="G129" s="207">
        <v>165</v>
      </c>
      <c r="H129" s="161">
        <v>50</v>
      </c>
      <c r="I129" s="207">
        <v>300</v>
      </c>
      <c r="J129" s="242">
        <f t="shared" si="23"/>
        <v>15000</v>
      </c>
      <c r="K129" s="153"/>
      <c r="V129" s="25">
        <f t="shared" si="24"/>
        <v>1</v>
      </c>
      <c r="W129" s="25">
        <f t="shared" si="25"/>
        <v>0</v>
      </c>
    </row>
    <row r="130" spans="1:23" x14ac:dyDescent="0.3">
      <c r="A130" s="147"/>
      <c r="B130" s="205">
        <f t="shared" si="26"/>
        <v>8</v>
      </c>
      <c r="C130" s="206">
        <v>44299</v>
      </c>
      <c r="D130" s="161" t="s">
        <v>9</v>
      </c>
      <c r="E130" s="161" t="s">
        <v>3315</v>
      </c>
      <c r="F130" s="207">
        <v>110</v>
      </c>
      <c r="G130" s="207">
        <v>85</v>
      </c>
      <c r="H130" s="161">
        <v>-25</v>
      </c>
      <c r="I130" s="207">
        <v>300</v>
      </c>
      <c r="J130" s="242">
        <f t="shared" si="23"/>
        <v>-7500</v>
      </c>
      <c r="K130" s="153"/>
      <c r="V130" s="25">
        <f t="shared" si="24"/>
        <v>0</v>
      </c>
      <c r="W130" s="25">
        <f t="shared" si="25"/>
        <v>1</v>
      </c>
    </row>
    <row r="131" spans="1:23" x14ac:dyDescent="0.3">
      <c r="A131" s="147"/>
      <c r="B131" s="205">
        <f t="shared" si="26"/>
        <v>9</v>
      </c>
      <c r="C131" s="206">
        <v>44301</v>
      </c>
      <c r="D131" s="161" t="s">
        <v>9</v>
      </c>
      <c r="E131" s="161" t="s">
        <v>3316</v>
      </c>
      <c r="F131" s="207">
        <v>110</v>
      </c>
      <c r="G131" s="207">
        <v>160</v>
      </c>
      <c r="H131" s="161">
        <v>50</v>
      </c>
      <c r="I131" s="207">
        <v>300</v>
      </c>
      <c r="J131" s="242">
        <f t="shared" si="23"/>
        <v>15000</v>
      </c>
      <c r="K131" s="153"/>
      <c r="V131" s="25">
        <f t="shared" si="24"/>
        <v>1</v>
      </c>
      <c r="W131" s="25">
        <f t="shared" si="25"/>
        <v>0</v>
      </c>
    </row>
    <row r="132" spans="1:23" x14ac:dyDescent="0.3">
      <c r="A132" s="147"/>
      <c r="B132" s="205">
        <f t="shared" si="26"/>
        <v>10</v>
      </c>
      <c r="C132" s="206">
        <v>44302</v>
      </c>
      <c r="D132" s="161" t="s">
        <v>9</v>
      </c>
      <c r="E132" s="161" t="s">
        <v>3304</v>
      </c>
      <c r="F132" s="207">
        <v>125</v>
      </c>
      <c r="G132" s="222">
        <v>140</v>
      </c>
      <c r="H132" s="222">
        <v>15</v>
      </c>
      <c r="I132" s="207">
        <v>300</v>
      </c>
      <c r="J132" s="242">
        <f t="shared" si="23"/>
        <v>4500</v>
      </c>
      <c r="K132" s="153"/>
      <c r="V132" s="25">
        <f t="shared" si="24"/>
        <v>1</v>
      </c>
      <c r="W132" s="25">
        <f t="shared" si="25"/>
        <v>0</v>
      </c>
    </row>
    <row r="133" spans="1:23" x14ac:dyDescent="0.3">
      <c r="A133" s="147"/>
      <c r="B133" s="205">
        <f t="shared" si="26"/>
        <v>11</v>
      </c>
      <c r="C133" s="206">
        <v>44305</v>
      </c>
      <c r="D133" s="161" t="s">
        <v>9</v>
      </c>
      <c r="E133" s="161" t="s">
        <v>3318</v>
      </c>
      <c r="F133" s="207">
        <v>145</v>
      </c>
      <c r="G133" s="222">
        <v>164.5</v>
      </c>
      <c r="H133" s="222">
        <v>19.5</v>
      </c>
      <c r="I133" s="207">
        <v>300</v>
      </c>
      <c r="J133" s="242">
        <f t="shared" si="23"/>
        <v>5850</v>
      </c>
      <c r="K133" s="153"/>
      <c r="V133" s="25">
        <f t="shared" si="24"/>
        <v>1</v>
      </c>
      <c r="W133" s="25">
        <f t="shared" si="25"/>
        <v>0</v>
      </c>
    </row>
    <row r="134" spans="1:23" x14ac:dyDescent="0.3">
      <c r="A134" s="147"/>
      <c r="B134" s="205">
        <f t="shared" si="26"/>
        <v>12</v>
      </c>
      <c r="C134" s="206">
        <v>44306</v>
      </c>
      <c r="D134" s="161" t="s">
        <v>9</v>
      </c>
      <c r="E134" s="161" t="s">
        <v>3320</v>
      </c>
      <c r="F134" s="207">
        <v>120</v>
      </c>
      <c r="G134" s="222">
        <v>152</v>
      </c>
      <c r="H134" s="222">
        <v>32</v>
      </c>
      <c r="I134" s="207">
        <v>300</v>
      </c>
      <c r="J134" s="242">
        <f t="shared" si="23"/>
        <v>9600</v>
      </c>
      <c r="K134" s="153"/>
      <c r="V134" s="25">
        <f t="shared" si="24"/>
        <v>1</v>
      </c>
      <c r="W134" s="25">
        <f t="shared" si="25"/>
        <v>0</v>
      </c>
    </row>
    <row r="135" spans="1:23" x14ac:dyDescent="0.3">
      <c r="A135" s="147"/>
      <c r="B135" s="205">
        <f t="shared" si="26"/>
        <v>13</v>
      </c>
      <c r="C135" s="206">
        <v>44308</v>
      </c>
      <c r="D135" s="161" t="s">
        <v>9</v>
      </c>
      <c r="E135" s="161" t="s">
        <v>1243</v>
      </c>
      <c r="F135" s="207">
        <v>100</v>
      </c>
      <c r="G135" s="222">
        <v>135</v>
      </c>
      <c r="H135" s="222">
        <v>35</v>
      </c>
      <c r="I135" s="207">
        <v>300</v>
      </c>
      <c r="J135" s="242">
        <f t="shared" si="23"/>
        <v>10500</v>
      </c>
      <c r="K135" s="153"/>
      <c r="V135" s="25">
        <f t="shared" si="24"/>
        <v>1</v>
      </c>
      <c r="W135" s="25">
        <f t="shared" si="25"/>
        <v>0</v>
      </c>
    </row>
    <row r="136" spans="1:23" x14ac:dyDescent="0.3">
      <c r="A136" s="147"/>
      <c r="B136" s="205">
        <f t="shared" si="26"/>
        <v>14</v>
      </c>
      <c r="C136" s="206">
        <v>44309</v>
      </c>
      <c r="D136" s="161" t="s">
        <v>9</v>
      </c>
      <c r="E136" s="161" t="s">
        <v>3323</v>
      </c>
      <c r="F136" s="207">
        <v>140</v>
      </c>
      <c r="G136" s="207">
        <v>177</v>
      </c>
      <c r="H136" s="161">
        <v>37</v>
      </c>
      <c r="I136" s="207">
        <v>300</v>
      </c>
      <c r="J136" s="242">
        <f>I136*H136</f>
        <v>11100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6"/>
        <v>15</v>
      </c>
      <c r="C137" s="206">
        <v>44312</v>
      </c>
      <c r="D137" s="161" t="s">
        <v>9</v>
      </c>
      <c r="E137" s="161" t="s">
        <v>3191</v>
      </c>
      <c r="F137" s="207">
        <v>115</v>
      </c>
      <c r="G137" s="207">
        <v>132</v>
      </c>
      <c r="H137" s="161">
        <f>132-115</f>
        <v>17</v>
      </c>
      <c r="I137" s="207">
        <v>300</v>
      </c>
      <c r="J137" s="242">
        <f t="shared" si="23"/>
        <v>5100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6"/>
        <v>16</v>
      </c>
      <c r="C138" s="206">
        <v>44313</v>
      </c>
      <c r="D138" s="161" t="s">
        <v>9</v>
      </c>
      <c r="E138" s="161" t="s">
        <v>3191</v>
      </c>
      <c r="F138" s="207">
        <v>120</v>
      </c>
      <c r="G138" s="207">
        <v>145</v>
      </c>
      <c r="H138" s="161">
        <v>25</v>
      </c>
      <c r="I138" s="207">
        <v>300</v>
      </c>
      <c r="J138" s="242">
        <f t="shared" si="23"/>
        <v>7500</v>
      </c>
      <c r="K138" s="153"/>
      <c r="V138" s="25">
        <f t="shared" si="24"/>
        <v>1</v>
      </c>
      <c r="W138" s="25">
        <f t="shared" si="25"/>
        <v>0</v>
      </c>
    </row>
    <row r="139" spans="1:23" x14ac:dyDescent="0.3">
      <c r="A139" s="147"/>
      <c r="B139" s="205">
        <f t="shared" si="26"/>
        <v>17</v>
      </c>
      <c r="C139" s="206">
        <v>44314</v>
      </c>
      <c r="D139" s="161" t="s">
        <v>9</v>
      </c>
      <c r="E139" s="161" t="s">
        <v>3304</v>
      </c>
      <c r="F139" s="207">
        <v>105</v>
      </c>
      <c r="G139" s="207">
        <v>155</v>
      </c>
      <c r="H139" s="161">
        <v>50</v>
      </c>
      <c r="I139" s="207">
        <v>300</v>
      </c>
      <c r="J139" s="242">
        <f t="shared" si="23"/>
        <v>15000</v>
      </c>
      <c r="K139" s="153"/>
      <c r="V139" s="25">
        <f t="shared" si="24"/>
        <v>1</v>
      </c>
      <c r="W139" s="25">
        <f t="shared" si="25"/>
        <v>0</v>
      </c>
    </row>
    <row r="140" spans="1:23" x14ac:dyDescent="0.3">
      <c r="A140" s="147"/>
      <c r="B140" s="205">
        <f t="shared" si="26"/>
        <v>18</v>
      </c>
      <c r="C140" s="206">
        <v>44315</v>
      </c>
      <c r="D140" s="161" t="s">
        <v>9</v>
      </c>
      <c r="E140" s="161" t="s">
        <v>3330</v>
      </c>
      <c r="F140" s="207">
        <v>105</v>
      </c>
      <c r="G140" s="222">
        <v>140</v>
      </c>
      <c r="H140" s="222">
        <v>35</v>
      </c>
      <c r="I140" s="207">
        <v>300</v>
      </c>
      <c r="J140" s="242">
        <f t="shared" si="23"/>
        <v>10500</v>
      </c>
      <c r="K140" s="153"/>
      <c r="V140" s="25">
        <f t="shared" si="24"/>
        <v>1</v>
      </c>
      <c r="W140" s="25">
        <f t="shared" si="25"/>
        <v>0</v>
      </c>
    </row>
    <row r="141" spans="1:23" x14ac:dyDescent="0.3">
      <c r="A141" s="147"/>
      <c r="B141" s="205">
        <f t="shared" si="26"/>
        <v>19</v>
      </c>
      <c r="C141" s="206">
        <v>44316</v>
      </c>
      <c r="D141" s="161" t="s">
        <v>9</v>
      </c>
      <c r="E141" s="161" t="s">
        <v>1223</v>
      </c>
      <c r="F141" s="207">
        <v>125</v>
      </c>
      <c r="G141" s="207">
        <v>150</v>
      </c>
      <c r="H141" s="161">
        <v>25</v>
      </c>
      <c r="I141" s="207">
        <v>300</v>
      </c>
      <c r="J141" s="242">
        <f t="shared" si="23"/>
        <v>7500</v>
      </c>
      <c r="K141" s="153"/>
      <c r="V141" s="25">
        <f t="shared" si="24"/>
        <v>1</v>
      </c>
      <c r="W141" s="25">
        <f t="shared" si="25"/>
        <v>0</v>
      </c>
    </row>
    <row r="142" spans="1:23" x14ac:dyDescent="0.3">
      <c r="A142" s="147"/>
      <c r="B142" s="205">
        <f t="shared" si="26"/>
        <v>20</v>
      </c>
      <c r="C142" s="206"/>
      <c r="D142" s="161"/>
      <c r="E142" s="161"/>
      <c r="F142" s="207"/>
      <c r="G142" s="207"/>
      <c r="H142" s="161"/>
      <c r="I142" s="207"/>
      <c r="J142" s="242">
        <f t="shared" si="23"/>
        <v>0</v>
      </c>
      <c r="K142" s="153"/>
      <c r="V142" s="25">
        <f t="shared" si="24"/>
        <v>0</v>
      </c>
      <c r="W142" s="25">
        <f t="shared" si="25"/>
        <v>0</v>
      </c>
    </row>
    <row r="143" spans="1:23" x14ac:dyDescent="0.3">
      <c r="A143" s="147"/>
      <c r="B143" s="205">
        <f t="shared" si="26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3"/>
        <v>0</v>
      </c>
      <c r="K143" s="153"/>
      <c r="V143" s="25">
        <f t="shared" si="24"/>
        <v>0</v>
      </c>
      <c r="W143" s="25">
        <f t="shared" si="25"/>
        <v>0</v>
      </c>
    </row>
    <row r="144" spans="1:23" x14ac:dyDescent="0.3">
      <c r="A144" s="147"/>
      <c r="B144" s="205">
        <f t="shared" si="26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3"/>
        <v>0</v>
      </c>
      <c r="K144" s="153"/>
      <c r="V144" s="25">
        <f t="shared" si="24"/>
        <v>0</v>
      </c>
      <c r="W144" s="25">
        <f t="shared" si="25"/>
        <v>0</v>
      </c>
    </row>
    <row r="145" spans="1:23" ht="15" thickBot="1" x14ac:dyDescent="0.35">
      <c r="A145" s="147"/>
      <c r="B145" s="208">
        <f t="shared" si="26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3"/>
        <v>0</v>
      </c>
      <c r="K145" s="153"/>
      <c r="V145" s="25">
        <f t="shared" si="24"/>
        <v>0</v>
      </c>
      <c r="W145" s="25">
        <f t="shared" si="25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141750</v>
      </c>
      <c r="K146" s="153"/>
      <c r="V146" s="25">
        <f>SUM(V123:V145)</f>
        <v>17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3300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44287</v>
      </c>
      <c r="D154" s="185" t="s">
        <v>8</v>
      </c>
      <c r="E154" s="185" t="s">
        <v>301</v>
      </c>
      <c r="F154" s="219">
        <v>33550</v>
      </c>
      <c r="G154" s="231">
        <v>33400</v>
      </c>
      <c r="H154" s="185">
        <v>150</v>
      </c>
      <c r="I154" s="219">
        <v>50</v>
      </c>
      <c r="J154" s="246">
        <f t="shared" ref="J154:J176" si="27">I154*H154</f>
        <v>7500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44291</v>
      </c>
      <c r="D155" s="185" t="s">
        <v>8</v>
      </c>
      <c r="E155" s="185" t="s">
        <v>301</v>
      </c>
      <c r="F155" s="219">
        <v>32700</v>
      </c>
      <c r="G155" s="219">
        <v>32420</v>
      </c>
      <c r="H155" s="185">
        <v>280</v>
      </c>
      <c r="I155" s="219">
        <v>50</v>
      </c>
      <c r="J155" s="242">
        <f t="shared" si="27"/>
        <v>14000</v>
      </c>
      <c r="K155" s="153"/>
      <c r="V155" s="25">
        <f t="shared" ref="V155:V176" si="28">IF($J155&gt;0,1,0)</f>
        <v>1</v>
      </c>
      <c r="W155" s="25">
        <f t="shared" ref="W155:W176" si="29">IF($J155&lt;0,1,0)</f>
        <v>0</v>
      </c>
    </row>
    <row r="156" spans="1:23" x14ac:dyDescent="0.3">
      <c r="A156" s="147"/>
      <c r="B156" s="205">
        <f t="shared" ref="B156:B176" si="30">B155+1</f>
        <v>3</v>
      </c>
      <c r="C156" s="206">
        <v>44292</v>
      </c>
      <c r="D156" s="161" t="s">
        <v>9</v>
      </c>
      <c r="E156" s="161" t="s">
        <v>301</v>
      </c>
      <c r="F156" s="207">
        <v>32800</v>
      </c>
      <c r="G156" s="207">
        <v>33100</v>
      </c>
      <c r="H156" s="161">
        <v>300</v>
      </c>
      <c r="I156" s="207">
        <v>50</v>
      </c>
      <c r="J156" s="242">
        <f t="shared" si="27"/>
        <v>15000</v>
      </c>
      <c r="K156" s="153"/>
      <c r="V156" s="25">
        <f t="shared" si="28"/>
        <v>1</v>
      </c>
      <c r="W156" s="25">
        <f t="shared" si="29"/>
        <v>0</v>
      </c>
    </row>
    <row r="157" spans="1:23" x14ac:dyDescent="0.3">
      <c r="A157" s="147"/>
      <c r="B157" s="205">
        <f t="shared" si="30"/>
        <v>4</v>
      </c>
      <c r="C157" s="206">
        <v>44293</v>
      </c>
      <c r="D157" s="161" t="s">
        <v>9</v>
      </c>
      <c r="E157" s="161" t="s">
        <v>301</v>
      </c>
      <c r="F157" s="207">
        <v>32800</v>
      </c>
      <c r="G157" s="207">
        <v>33060</v>
      </c>
      <c r="H157" s="161">
        <v>260</v>
      </c>
      <c r="I157" s="207">
        <v>50</v>
      </c>
      <c r="J157" s="242">
        <f t="shared" si="27"/>
        <v>13000</v>
      </c>
      <c r="K157" s="153"/>
      <c r="V157" s="25">
        <f t="shared" si="28"/>
        <v>1</v>
      </c>
      <c r="W157" s="25">
        <f t="shared" si="29"/>
        <v>0</v>
      </c>
    </row>
    <row r="158" spans="1:23" x14ac:dyDescent="0.3">
      <c r="A158" s="147"/>
      <c r="B158" s="205">
        <f t="shared" si="30"/>
        <v>5</v>
      </c>
      <c r="C158" s="206">
        <v>44294</v>
      </c>
      <c r="D158" s="161" t="s">
        <v>9</v>
      </c>
      <c r="E158" s="161" t="s">
        <v>301</v>
      </c>
      <c r="F158" s="207">
        <v>33400</v>
      </c>
      <c r="G158" s="207">
        <v>3350</v>
      </c>
      <c r="H158" s="161">
        <v>-150</v>
      </c>
      <c r="I158" s="207">
        <v>50</v>
      </c>
      <c r="J158" s="242">
        <f t="shared" si="27"/>
        <v>-7500</v>
      </c>
      <c r="K158" s="153"/>
      <c r="V158" s="25">
        <f t="shared" si="28"/>
        <v>0</v>
      </c>
      <c r="W158" s="25">
        <f t="shared" si="29"/>
        <v>1</v>
      </c>
    </row>
    <row r="159" spans="1:23" x14ac:dyDescent="0.3">
      <c r="A159" s="147"/>
      <c r="B159" s="205">
        <f t="shared" si="30"/>
        <v>6</v>
      </c>
      <c r="C159" s="206">
        <v>44295</v>
      </c>
      <c r="D159" s="161" t="s">
        <v>9</v>
      </c>
      <c r="E159" s="161" t="s">
        <v>301</v>
      </c>
      <c r="F159" s="207">
        <v>33000</v>
      </c>
      <c r="G159" s="207">
        <v>33135</v>
      </c>
      <c r="H159" s="161">
        <v>135</v>
      </c>
      <c r="I159" s="207">
        <v>50</v>
      </c>
      <c r="J159" s="242">
        <f t="shared" si="27"/>
        <v>6750</v>
      </c>
      <c r="K159" s="153"/>
      <c r="V159" s="25">
        <f t="shared" si="28"/>
        <v>1</v>
      </c>
      <c r="W159" s="25">
        <f t="shared" si="29"/>
        <v>0</v>
      </c>
    </row>
    <row r="160" spans="1:23" x14ac:dyDescent="0.3">
      <c r="A160" s="147"/>
      <c r="B160" s="205">
        <f t="shared" si="30"/>
        <v>7</v>
      </c>
      <c r="C160" s="206">
        <v>44298</v>
      </c>
      <c r="D160" s="161" t="s">
        <v>8</v>
      </c>
      <c r="E160" s="161" t="s">
        <v>301</v>
      </c>
      <c r="F160" s="207">
        <v>31250</v>
      </c>
      <c r="G160" s="207">
        <v>30950</v>
      </c>
      <c r="H160" s="161">
        <v>300</v>
      </c>
      <c r="I160" s="207">
        <v>50</v>
      </c>
      <c r="J160" s="242">
        <f t="shared" si="27"/>
        <v>15000</v>
      </c>
      <c r="K160" s="153"/>
      <c r="V160" s="25">
        <f t="shared" si="28"/>
        <v>1</v>
      </c>
      <c r="W160" s="25">
        <f t="shared" si="29"/>
        <v>0</v>
      </c>
    </row>
    <row r="161" spans="1:23" x14ac:dyDescent="0.3">
      <c r="A161" s="147"/>
      <c r="B161" s="205">
        <f t="shared" si="30"/>
        <v>8</v>
      </c>
      <c r="C161" s="206">
        <v>44299</v>
      </c>
      <c r="D161" s="161" t="s">
        <v>9</v>
      </c>
      <c r="E161" s="161" t="s">
        <v>301</v>
      </c>
      <c r="F161" s="207">
        <v>31300</v>
      </c>
      <c r="G161" s="207">
        <v>31350</v>
      </c>
      <c r="H161" s="161">
        <v>50</v>
      </c>
      <c r="I161" s="207">
        <v>50</v>
      </c>
      <c r="J161" s="242">
        <f t="shared" si="27"/>
        <v>2500</v>
      </c>
      <c r="K161" s="153"/>
      <c r="V161" s="25">
        <f t="shared" si="28"/>
        <v>1</v>
      </c>
      <c r="W161" s="25">
        <f t="shared" si="29"/>
        <v>0</v>
      </c>
    </row>
    <row r="162" spans="1:23" x14ac:dyDescent="0.3">
      <c r="A162" s="147"/>
      <c r="B162" s="205">
        <f t="shared" si="30"/>
        <v>9</v>
      </c>
      <c r="C162" s="206">
        <v>44301</v>
      </c>
      <c r="D162" s="161" t="s">
        <v>8</v>
      </c>
      <c r="E162" s="161" t="s">
        <v>301</v>
      </c>
      <c r="F162" s="207">
        <v>31700</v>
      </c>
      <c r="G162" s="207">
        <v>31450</v>
      </c>
      <c r="H162" s="161">
        <v>250</v>
      </c>
      <c r="I162" s="207">
        <v>50</v>
      </c>
      <c r="J162" s="242">
        <f t="shared" si="27"/>
        <v>12500</v>
      </c>
      <c r="K162" s="153"/>
      <c r="V162" s="25">
        <f t="shared" si="28"/>
        <v>1</v>
      </c>
      <c r="W162" s="25">
        <f t="shared" si="29"/>
        <v>0</v>
      </c>
    </row>
    <row r="163" spans="1:23" x14ac:dyDescent="0.3">
      <c r="A163" s="147"/>
      <c r="B163" s="205">
        <f t="shared" si="30"/>
        <v>10</v>
      </c>
      <c r="C163" s="206">
        <v>44302</v>
      </c>
      <c r="D163" s="161" t="s">
        <v>9</v>
      </c>
      <c r="E163" s="161" t="s">
        <v>301</v>
      </c>
      <c r="F163" s="207">
        <v>32250</v>
      </c>
      <c r="G163" s="207">
        <v>32295</v>
      </c>
      <c r="H163" s="161">
        <v>45</v>
      </c>
      <c r="I163" s="207">
        <v>50</v>
      </c>
      <c r="J163" s="242">
        <f t="shared" si="27"/>
        <v>2250</v>
      </c>
      <c r="K163" s="153"/>
      <c r="V163" s="25">
        <f t="shared" si="28"/>
        <v>1</v>
      </c>
      <c r="W163" s="25">
        <f t="shared" si="29"/>
        <v>0</v>
      </c>
    </row>
    <row r="164" spans="1:23" x14ac:dyDescent="0.3">
      <c r="A164" s="147"/>
      <c r="B164" s="205">
        <f t="shared" si="30"/>
        <v>11</v>
      </c>
      <c r="C164" s="206">
        <v>44305</v>
      </c>
      <c r="D164" s="161" t="s">
        <v>8</v>
      </c>
      <c r="E164" s="161" t="s">
        <v>301</v>
      </c>
      <c r="F164" s="207">
        <v>30800</v>
      </c>
      <c r="G164" s="207">
        <v>30580</v>
      </c>
      <c r="H164" s="161">
        <v>220</v>
      </c>
      <c r="I164" s="207">
        <v>50</v>
      </c>
      <c r="J164" s="242">
        <f t="shared" si="27"/>
        <v>11000</v>
      </c>
      <c r="K164" s="153"/>
      <c r="V164" s="25">
        <f t="shared" si="28"/>
        <v>1</v>
      </c>
      <c r="W164" s="25">
        <f t="shared" si="29"/>
        <v>0</v>
      </c>
    </row>
    <row r="165" spans="1:23" x14ac:dyDescent="0.3">
      <c r="A165" s="147"/>
      <c r="B165" s="205">
        <f t="shared" si="30"/>
        <v>12</v>
      </c>
      <c r="C165" s="206">
        <v>44306</v>
      </c>
      <c r="D165" s="161" t="s">
        <v>9</v>
      </c>
      <c r="E165" s="161" t="s">
        <v>301</v>
      </c>
      <c r="F165" s="207">
        <v>31600</v>
      </c>
      <c r="G165" s="207">
        <v>31650</v>
      </c>
      <c r="H165" s="161">
        <v>50</v>
      </c>
      <c r="I165" s="207">
        <v>50</v>
      </c>
      <c r="J165" s="242">
        <f t="shared" si="27"/>
        <v>2500</v>
      </c>
      <c r="K165" s="153"/>
      <c r="V165" s="25">
        <f t="shared" si="28"/>
        <v>1</v>
      </c>
      <c r="W165" s="25">
        <f t="shared" si="29"/>
        <v>0</v>
      </c>
    </row>
    <row r="166" spans="1:23" x14ac:dyDescent="0.3">
      <c r="A166" s="147"/>
      <c r="B166" s="205">
        <f t="shared" si="30"/>
        <v>13</v>
      </c>
      <c r="C166" s="206">
        <v>44308</v>
      </c>
      <c r="D166" s="161" t="s">
        <v>9</v>
      </c>
      <c r="E166" s="161" t="s">
        <v>301</v>
      </c>
      <c r="F166" s="207">
        <v>30950</v>
      </c>
      <c r="G166" s="207">
        <v>31250</v>
      </c>
      <c r="H166" s="161">
        <v>300</v>
      </c>
      <c r="I166" s="207">
        <v>50</v>
      </c>
      <c r="J166" s="242">
        <f t="shared" si="27"/>
        <v>15000</v>
      </c>
      <c r="K166" s="153"/>
      <c r="V166" s="25">
        <f t="shared" si="28"/>
        <v>1</v>
      </c>
      <c r="W166" s="25">
        <f t="shared" si="29"/>
        <v>0</v>
      </c>
    </row>
    <row r="167" spans="1:23" x14ac:dyDescent="0.3">
      <c r="A167" s="147"/>
      <c r="B167" s="205">
        <f t="shared" si="30"/>
        <v>14</v>
      </c>
      <c r="C167" s="206">
        <v>44309</v>
      </c>
      <c r="D167" s="161" t="s">
        <v>9</v>
      </c>
      <c r="E167" s="161" t="s">
        <v>301</v>
      </c>
      <c r="F167" s="207">
        <v>31750</v>
      </c>
      <c r="G167" s="207">
        <v>32050</v>
      </c>
      <c r="H167" s="161">
        <v>300</v>
      </c>
      <c r="I167" s="207">
        <v>50</v>
      </c>
      <c r="J167" s="242">
        <f t="shared" si="27"/>
        <v>15000</v>
      </c>
      <c r="K167" s="153"/>
      <c r="V167" s="25">
        <f t="shared" si="28"/>
        <v>1</v>
      </c>
      <c r="W167" s="25">
        <f t="shared" si="29"/>
        <v>0</v>
      </c>
    </row>
    <row r="168" spans="1:23" x14ac:dyDescent="0.3">
      <c r="A168" s="147"/>
      <c r="B168" s="205">
        <f t="shared" si="30"/>
        <v>15</v>
      </c>
      <c r="C168" s="206">
        <v>44312</v>
      </c>
      <c r="D168" s="161" t="s">
        <v>9</v>
      </c>
      <c r="E168" s="161" t="s">
        <v>301</v>
      </c>
      <c r="F168" s="207">
        <v>32450</v>
      </c>
      <c r="G168" s="207">
        <v>32600</v>
      </c>
      <c r="H168" s="161">
        <v>150</v>
      </c>
      <c r="I168" s="207">
        <v>50</v>
      </c>
      <c r="J168" s="242">
        <f t="shared" si="27"/>
        <v>7500</v>
      </c>
      <c r="K168" s="153"/>
      <c r="V168" s="25">
        <f t="shared" si="28"/>
        <v>1</v>
      </c>
      <c r="W168" s="25">
        <f t="shared" si="29"/>
        <v>0</v>
      </c>
    </row>
    <row r="169" spans="1:23" x14ac:dyDescent="0.3">
      <c r="A169" s="147"/>
      <c r="B169" s="205">
        <f t="shared" si="30"/>
        <v>16</v>
      </c>
      <c r="C169" s="206">
        <v>44313</v>
      </c>
      <c r="D169" s="161" t="s">
        <v>9</v>
      </c>
      <c r="E169" s="161" t="s">
        <v>301</v>
      </c>
      <c r="F169" s="207">
        <v>32300</v>
      </c>
      <c r="G169" s="207">
        <v>32600</v>
      </c>
      <c r="H169" s="161">
        <v>300</v>
      </c>
      <c r="I169" s="207">
        <v>50</v>
      </c>
      <c r="J169" s="242">
        <f t="shared" si="27"/>
        <v>15000</v>
      </c>
      <c r="K169" s="153"/>
      <c r="V169" s="25">
        <f t="shared" si="28"/>
        <v>1</v>
      </c>
      <c r="W169" s="25">
        <f t="shared" si="29"/>
        <v>0</v>
      </c>
    </row>
    <row r="170" spans="1:23" x14ac:dyDescent="0.3">
      <c r="A170" s="147"/>
      <c r="B170" s="205">
        <f t="shared" si="30"/>
        <v>17</v>
      </c>
      <c r="C170" s="206">
        <v>44314</v>
      </c>
      <c r="D170" s="161" t="s">
        <v>9</v>
      </c>
      <c r="E170" s="161" t="s">
        <v>301</v>
      </c>
      <c r="F170" s="207">
        <v>33100</v>
      </c>
      <c r="G170" s="207">
        <v>33400</v>
      </c>
      <c r="H170" s="161">
        <v>300</v>
      </c>
      <c r="I170" s="207">
        <v>50</v>
      </c>
      <c r="J170" s="242">
        <f t="shared" si="27"/>
        <v>15000</v>
      </c>
      <c r="K170" s="153"/>
      <c r="V170" s="25">
        <f t="shared" si="28"/>
        <v>1</v>
      </c>
      <c r="W170" s="25">
        <f t="shared" si="29"/>
        <v>0</v>
      </c>
    </row>
    <row r="171" spans="1:23" x14ac:dyDescent="0.3">
      <c r="A171" s="147"/>
      <c r="B171" s="205">
        <f t="shared" si="30"/>
        <v>18</v>
      </c>
      <c r="C171" s="206">
        <v>44315</v>
      </c>
      <c r="D171" s="161" t="s">
        <v>8</v>
      </c>
      <c r="E171" s="161" t="s">
        <v>301</v>
      </c>
      <c r="F171" s="207">
        <v>33550</v>
      </c>
      <c r="G171" s="207">
        <v>33350</v>
      </c>
      <c r="H171" s="161">
        <v>200</v>
      </c>
      <c r="I171" s="207">
        <v>50</v>
      </c>
      <c r="J171" s="242">
        <f t="shared" si="27"/>
        <v>10000</v>
      </c>
      <c r="K171" s="153"/>
      <c r="V171" s="25">
        <f t="shared" si="28"/>
        <v>1</v>
      </c>
      <c r="W171" s="25">
        <f t="shared" si="29"/>
        <v>0</v>
      </c>
    </row>
    <row r="172" spans="1:23" x14ac:dyDescent="0.3">
      <c r="A172" s="147"/>
      <c r="B172" s="205">
        <f t="shared" si="30"/>
        <v>19</v>
      </c>
      <c r="C172" s="206">
        <v>44316</v>
      </c>
      <c r="D172" s="161" t="s">
        <v>9</v>
      </c>
      <c r="E172" s="161" t="s">
        <v>301</v>
      </c>
      <c r="F172" s="207">
        <v>33400</v>
      </c>
      <c r="G172" s="207">
        <v>33550</v>
      </c>
      <c r="H172" s="161">
        <v>150</v>
      </c>
      <c r="I172" s="207">
        <v>50</v>
      </c>
      <c r="J172" s="242">
        <f t="shared" si="27"/>
        <v>7500</v>
      </c>
      <c r="K172" s="153"/>
      <c r="V172" s="25">
        <f t="shared" si="28"/>
        <v>1</v>
      </c>
      <c r="W172" s="25">
        <f t="shared" si="29"/>
        <v>0</v>
      </c>
    </row>
    <row r="173" spans="1:23" x14ac:dyDescent="0.3">
      <c r="A173" s="147"/>
      <c r="B173" s="205">
        <f t="shared" si="30"/>
        <v>20</v>
      </c>
      <c r="C173" s="206"/>
      <c r="D173" s="161"/>
      <c r="E173" s="161"/>
      <c r="F173" s="207"/>
      <c r="G173" s="207"/>
      <c r="H173" s="161"/>
      <c r="I173" s="207"/>
      <c r="J173" s="242">
        <f t="shared" si="27"/>
        <v>0</v>
      </c>
      <c r="K173" s="153"/>
      <c r="V173" s="25">
        <f t="shared" si="28"/>
        <v>0</v>
      </c>
      <c r="W173" s="25">
        <f t="shared" si="29"/>
        <v>0</v>
      </c>
    </row>
    <row r="174" spans="1:23" x14ac:dyDescent="0.3">
      <c r="A174" s="147"/>
      <c r="B174" s="205">
        <f t="shared" si="30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7"/>
        <v>0</v>
      </c>
      <c r="K174" s="153"/>
      <c r="V174" s="25">
        <f t="shared" si="28"/>
        <v>0</v>
      </c>
      <c r="W174" s="25">
        <f t="shared" si="29"/>
        <v>0</v>
      </c>
    </row>
    <row r="175" spans="1:23" x14ac:dyDescent="0.3">
      <c r="A175" s="147"/>
      <c r="B175" s="205">
        <f t="shared" si="30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7"/>
        <v>0</v>
      </c>
      <c r="K175" s="153"/>
      <c r="V175" s="25">
        <f t="shared" si="28"/>
        <v>0</v>
      </c>
      <c r="W175" s="25">
        <f t="shared" si="29"/>
        <v>0</v>
      </c>
    </row>
    <row r="176" spans="1:23" ht="15" thickBot="1" x14ac:dyDescent="0.35">
      <c r="A176" s="147"/>
      <c r="B176" s="208">
        <f t="shared" si="30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7"/>
        <v>0</v>
      </c>
      <c r="K176" s="153"/>
      <c r="V176" s="25">
        <f t="shared" si="28"/>
        <v>0</v>
      </c>
      <c r="W176" s="25">
        <f t="shared" si="29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179500</v>
      </c>
      <c r="K177" s="153"/>
      <c r="V177" s="25">
        <f>SUM(V154:V176)</f>
        <v>18</v>
      </c>
      <c r="W177" s="25">
        <f>SUM(W154:W176)</f>
        <v>1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3302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44287</v>
      </c>
      <c r="D185" s="185" t="s">
        <v>9</v>
      </c>
      <c r="E185" s="185" t="s">
        <v>3297</v>
      </c>
      <c r="F185" s="219">
        <v>300</v>
      </c>
      <c r="G185" s="219">
        <v>340</v>
      </c>
      <c r="H185" s="185">
        <v>40</v>
      </c>
      <c r="I185" s="219">
        <v>100</v>
      </c>
      <c r="J185" s="246">
        <f t="shared" ref="J185:J207" si="31">I185*H185</f>
        <v>4000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44291</v>
      </c>
      <c r="D186" s="185" t="s">
        <v>9</v>
      </c>
      <c r="E186" s="185" t="s">
        <v>3306</v>
      </c>
      <c r="F186" s="219">
        <v>600</v>
      </c>
      <c r="G186" s="219">
        <v>700</v>
      </c>
      <c r="H186" s="185">
        <v>100</v>
      </c>
      <c r="I186" s="219">
        <v>100</v>
      </c>
      <c r="J186" s="242">
        <f t="shared" si="31"/>
        <v>10000</v>
      </c>
      <c r="K186" s="153"/>
      <c r="V186" s="25">
        <f t="shared" ref="V186:V207" si="32">IF($J186&gt;0,1,0)</f>
        <v>1</v>
      </c>
      <c r="W186" s="25">
        <f t="shared" ref="W186:W207" si="33">IF($J186&lt;0,1,0)</f>
        <v>0</v>
      </c>
    </row>
    <row r="187" spans="1:23" x14ac:dyDescent="0.3">
      <c r="A187" s="147"/>
      <c r="B187" s="205">
        <f t="shared" ref="B187:B207" si="34">B186+1</f>
        <v>3</v>
      </c>
      <c r="C187" s="206">
        <v>44292</v>
      </c>
      <c r="D187" s="161" t="s">
        <v>9</v>
      </c>
      <c r="E187" s="161" t="s">
        <v>3307</v>
      </c>
      <c r="F187" s="207">
        <v>400</v>
      </c>
      <c r="G187" s="207">
        <v>535</v>
      </c>
      <c r="H187" s="161">
        <v>135</v>
      </c>
      <c r="I187" s="207">
        <v>100</v>
      </c>
      <c r="J187" s="242">
        <f t="shared" si="31"/>
        <v>13500</v>
      </c>
      <c r="K187" s="153"/>
      <c r="V187" s="25">
        <f t="shared" si="32"/>
        <v>1</v>
      </c>
      <c r="W187" s="25">
        <f t="shared" si="33"/>
        <v>0</v>
      </c>
    </row>
    <row r="188" spans="1:23" x14ac:dyDescent="0.3">
      <c r="A188" s="147"/>
      <c r="B188" s="205">
        <f t="shared" si="34"/>
        <v>4</v>
      </c>
      <c r="C188" s="206">
        <v>44293</v>
      </c>
      <c r="D188" s="161" t="s">
        <v>9</v>
      </c>
      <c r="E188" s="161" t="s">
        <v>3308</v>
      </c>
      <c r="F188" s="207">
        <v>300</v>
      </c>
      <c r="G188" s="207">
        <v>400</v>
      </c>
      <c r="H188" s="161">
        <v>100</v>
      </c>
      <c r="I188" s="207">
        <v>100</v>
      </c>
      <c r="J188" s="242">
        <f t="shared" si="31"/>
        <v>10000</v>
      </c>
      <c r="K188" s="153"/>
      <c r="V188" s="25">
        <f t="shared" si="32"/>
        <v>1</v>
      </c>
      <c r="W188" s="25">
        <f t="shared" si="33"/>
        <v>0</v>
      </c>
    </row>
    <row r="189" spans="1:23" x14ac:dyDescent="0.3">
      <c r="A189" s="147"/>
      <c r="B189" s="205">
        <f t="shared" si="34"/>
        <v>5</v>
      </c>
      <c r="C189" s="206">
        <v>44294</v>
      </c>
      <c r="D189" s="161" t="s">
        <v>9</v>
      </c>
      <c r="E189" s="161" t="s">
        <v>3309</v>
      </c>
      <c r="F189" s="207">
        <v>150</v>
      </c>
      <c r="G189" s="207">
        <v>50</v>
      </c>
      <c r="H189" s="161">
        <v>-100</v>
      </c>
      <c r="I189" s="207">
        <v>100</v>
      </c>
      <c r="J189" s="242">
        <f t="shared" si="31"/>
        <v>-10000</v>
      </c>
      <c r="K189" s="153"/>
      <c r="O189" s="25" t="s">
        <v>2008</v>
      </c>
      <c r="V189" s="25">
        <f t="shared" si="32"/>
        <v>0</v>
      </c>
      <c r="W189" s="25">
        <f t="shared" si="33"/>
        <v>1</v>
      </c>
    </row>
    <row r="190" spans="1:23" x14ac:dyDescent="0.3">
      <c r="A190" s="147"/>
      <c r="B190" s="205">
        <f t="shared" si="34"/>
        <v>6</v>
      </c>
      <c r="C190" s="206">
        <v>44295</v>
      </c>
      <c r="D190" s="161" t="s">
        <v>9</v>
      </c>
      <c r="E190" s="161" t="s">
        <v>3310</v>
      </c>
      <c r="F190" s="207">
        <v>420</v>
      </c>
      <c r="G190" s="207">
        <v>460</v>
      </c>
      <c r="H190" s="161">
        <v>40</v>
      </c>
      <c r="I190" s="207">
        <v>100</v>
      </c>
      <c r="J190" s="242">
        <f t="shared" si="31"/>
        <v>4000</v>
      </c>
      <c r="K190" s="153"/>
      <c r="V190" s="25">
        <f t="shared" si="32"/>
        <v>1</v>
      </c>
      <c r="W190" s="25">
        <f t="shared" si="33"/>
        <v>0</v>
      </c>
    </row>
    <row r="191" spans="1:23" x14ac:dyDescent="0.3">
      <c r="A191" s="147"/>
      <c r="B191" s="205">
        <f t="shared" si="34"/>
        <v>7</v>
      </c>
      <c r="C191" s="206">
        <v>44298</v>
      </c>
      <c r="D191" s="161" t="s">
        <v>9</v>
      </c>
      <c r="E191" s="161" t="s">
        <v>2740</v>
      </c>
      <c r="F191" s="207">
        <v>470</v>
      </c>
      <c r="G191" s="207">
        <v>670</v>
      </c>
      <c r="H191" s="161">
        <v>200</v>
      </c>
      <c r="I191" s="207">
        <v>100</v>
      </c>
      <c r="J191" s="242">
        <f t="shared" si="31"/>
        <v>20000</v>
      </c>
      <c r="K191" s="153"/>
      <c r="V191" s="25">
        <f t="shared" si="32"/>
        <v>1</v>
      </c>
      <c r="W191" s="25">
        <f t="shared" si="33"/>
        <v>0</v>
      </c>
    </row>
    <row r="192" spans="1:23" x14ac:dyDescent="0.3">
      <c r="A192" s="147"/>
      <c r="B192" s="205">
        <f t="shared" si="34"/>
        <v>8</v>
      </c>
      <c r="C192" s="206">
        <v>44299</v>
      </c>
      <c r="D192" s="161" t="s">
        <v>9</v>
      </c>
      <c r="E192" s="161" t="s">
        <v>2752</v>
      </c>
      <c r="F192" s="207">
        <v>280</v>
      </c>
      <c r="G192" s="207">
        <v>400</v>
      </c>
      <c r="H192" s="161">
        <v>120</v>
      </c>
      <c r="I192" s="207">
        <v>100</v>
      </c>
      <c r="J192" s="242">
        <f t="shared" si="31"/>
        <v>12000</v>
      </c>
      <c r="K192" s="153"/>
      <c r="V192" s="25">
        <f t="shared" si="32"/>
        <v>1</v>
      </c>
      <c r="W192" s="25">
        <f t="shared" si="33"/>
        <v>0</v>
      </c>
    </row>
    <row r="193" spans="1:23" x14ac:dyDescent="0.3">
      <c r="A193" s="147"/>
      <c r="B193" s="205">
        <f t="shared" si="34"/>
        <v>9</v>
      </c>
      <c r="C193" s="206">
        <v>44301</v>
      </c>
      <c r="D193" s="161" t="s">
        <v>9</v>
      </c>
      <c r="E193" s="161" t="s">
        <v>2867</v>
      </c>
      <c r="F193" s="207">
        <v>300</v>
      </c>
      <c r="G193" s="207">
        <v>440</v>
      </c>
      <c r="H193" s="161">
        <v>140</v>
      </c>
      <c r="I193" s="207">
        <v>100</v>
      </c>
      <c r="J193" s="242">
        <f t="shared" si="31"/>
        <v>14000</v>
      </c>
      <c r="K193" s="153"/>
      <c r="V193" s="25">
        <f t="shared" si="32"/>
        <v>1</v>
      </c>
      <c r="W193" s="25">
        <f t="shared" si="33"/>
        <v>0</v>
      </c>
    </row>
    <row r="194" spans="1:23" x14ac:dyDescent="0.3">
      <c r="A194" s="147"/>
      <c r="B194" s="205">
        <f t="shared" si="34"/>
        <v>10</v>
      </c>
      <c r="C194" s="206">
        <v>44302</v>
      </c>
      <c r="D194" s="161" t="s">
        <v>9</v>
      </c>
      <c r="E194" s="161" t="s">
        <v>2894</v>
      </c>
      <c r="F194" s="207">
        <v>480</v>
      </c>
      <c r="G194" s="207">
        <v>380</v>
      </c>
      <c r="H194" s="161">
        <v>-100</v>
      </c>
      <c r="I194" s="207">
        <v>100</v>
      </c>
      <c r="J194" s="242">
        <f t="shared" si="31"/>
        <v>-10000</v>
      </c>
      <c r="K194" s="153"/>
      <c r="V194" s="25">
        <f t="shared" si="32"/>
        <v>0</v>
      </c>
      <c r="W194" s="25">
        <f t="shared" si="33"/>
        <v>1</v>
      </c>
    </row>
    <row r="195" spans="1:23" x14ac:dyDescent="0.3">
      <c r="A195" s="147"/>
      <c r="B195" s="205">
        <f t="shared" si="34"/>
        <v>11</v>
      </c>
      <c r="C195" s="206">
        <v>44305</v>
      </c>
      <c r="D195" s="161" t="s">
        <v>9</v>
      </c>
      <c r="E195" s="161" t="s">
        <v>2717</v>
      </c>
      <c r="F195" s="207">
        <v>520</v>
      </c>
      <c r="G195" s="207">
        <v>590</v>
      </c>
      <c r="H195" s="161">
        <v>70</v>
      </c>
      <c r="I195" s="207">
        <v>100</v>
      </c>
      <c r="J195" s="242">
        <f t="shared" si="31"/>
        <v>7000</v>
      </c>
      <c r="K195" s="153"/>
      <c r="V195" s="25">
        <f t="shared" si="32"/>
        <v>1</v>
      </c>
      <c r="W195" s="25">
        <f t="shared" si="33"/>
        <v>0</v>
      </c>
    </row>
    <row r="196" spans="1:23" x14ac:dyDescent="0.3">
      <c r="A196" s="147"/>
      <c r="B196" s="205">
        <f t="shared" si="34"/>
        <v>12</v>
      </c>
      <c r="C196" s="206">
        <v>44306</v>
      </c>
      <c r="D196" s="161" t="s">
        <v>9</v>
      </c>
      <c r="E196" s="161" t="s">
        <v>2754</v>
      </c>
      <c r="F196" s="207">
        <v>320</v>
      </c>
      <c r="G196" s="207">
        <v>460</v>
      </c>
      <c r="H196" s="161">
        <v>140</v>
      </c>
      <c r="I196" s="207">
        <v>100</v>
      </c>
      <c r="J196" s="242">
        <f t="shared" si="31"/>
        <v>14000</v>
      </c>
      <c r="K196" s="153"/>
      <c r="V196" s="25">
        <f t="shared" si="32"/>
        <v>1</v>
      </c>
      <c r="W196" s="25">
        <f t="shared" si="33"/>
        <v>0</v>
      </c>
    </row>
    <row r="197" spans="1:23" x14ac:dyDescent="0.3">
      <c r="A197" s="147"/>
      <c r="B197" s="205">
        <f t="shared" si="34"/>
        <v>13</v>
      </c>
      <c r="C197" s="206">
        <v>44308</v>
      </c>
      <c r="D197" s="161" t="s">
        <v>9</v>
      </c>
      <c r="E197" s="161" t="s">
        <v>2750</v>
      </c>
      <c r="F197" s="207">
        <v>250</v>
      </c>
      <c r="G197" s="207">
        <v>450</v>
      </c>
      <c r="H197" s="161">
        <v>200</v>
      </c>
      <c r="I197" s="207">
        <v>100</v>
      </c>
      <c r="J197" s="242">
        <f t="shared" si="31"/>
        <v>20000</v>
      </c>
      <c r="K197" s="153"/>
      <c r="V197" s="25">
        <f t="shared" si="32"/>
        <v>1</v>
      </c>
      <c r="W197" s="25">
        <f t="shared" si="33"/>
        <v>0</v>
      </c>
    </row>
    <row r="198" spans="1:23" x14ac:dyDescent="0.3">
      <c r="A198" s="147"/>
      <c r="B198" s="205">
        <f t="shared" si="34"/>
        <v>14</v>
      </c>
      <c r="C198" s="206">
        <v>44309</v>
      </c>
      <c r="D198" s="161" t="s">
        <v>9</v>
      </c>
      <c r="E198" s="161" t="s">
        <v>3182</v>
      </c>
      <c r="F198" s="207">
        <v>560</v>
      </c>
      <c r="G198" s="207">
        <v>760</v>
      </c>
      <c r="H198" s="161">
        <v>200</v>
      </c>
      <c r="I198" s="207">
        <v>100</v>
      </c>
      <c r="J198" s="242">
        <f t="shared" si="31"/>
        <v>20000</v>
      </c>
      <c r="K198" s="153"/>
      <c r="V198" s="25">
        <f t="shared" si="32"/>
        <v>1</v>
      </c>
      <c r="W198" s="25">
        <f t="shared" si="33"/>
        <v>0</v>
      </c>
    </row>
    <row r="199" spans="1:23" x14ac:dyDescent="0.3">
      <c r="A199" s="147"/>
      <c r="B199" s="205">
        <f t="shared" si="34"/>
        <v>15</v>
      </c>
      <c r="C199" s="206">
        <v>44312</v>
      </c>
      <c r="D199" s="161" t="s">
        <v>9</v>
      </c>
      <c r="E199" s="161" t="s">
        <v>3325</v>
      </c>
      <c r="F199" s="207">
        <v>500</v>
      </c>
      <c r="G199" s="207">
        <v>560</v>
      </c>
      <c r="H199" s="161">
        <v>60</v>
      </c>
      <c r="I199" s="207">
        <v>100</v>
      </c>
      <c r="J199" s="242">
        <f t="shared" si="31"/>
        <v>6000</v>
      </c>
      <c r="K199" s="153"/>
      <c r="V199" s="25">
        <f t="shared" si="32"/>
        <v>1</v>
      </c>
      <c r="W199" s="25">
        <f t="shared" si="33"/>
        <v>0</v>
      </c>
    </row>
    <row r="200" spans="1:23" x14ac:dyDescent="0.3">
      <c r="A200" s="147"/>
      <c r="B200" s="205">
        <f t="shared" si="34"/>
        <v>16</v>
      </c>
      <c r="C200" s="206">
        <v>44313</v>
      </c>
      <c r="D200" s="161" t="s">
        <v>9</v>
      </c>
      <c r="E200" s="161" t="s">
        <v>2901</v>
      </c>
      <c r="F200" s="207">
        <v>400</v>
      </c>
      <c r="G200" s="207">
        <v>540</v>
      </c>
      <c r="H200" s="161">
        <v>140</v>
      </c>
      <c r="I200" s="207">
        <v>100</v>
      </c>
      <c r="J200" s="242">
        <f t="shared" si="31"/>
        <v>14000</v>
      </c>
      <c r="K200" s="153"/>
      <c r="V200" s="25">
        <f t="shared" si="32"/>
        <v>1</v>
      </c>
      <c r="W200" s="25">
        <f t="shared" si="33"/>
        <v>0</v>
      </c>
    </row>
    <row r="201" spans="1:23" x14ac:dyDescent="0.3">
      <c r="A201" s="147"/>
      <c r="B201" s="205">
        <f t="shared" si="34"/>
        <v>17</v>
      </c>
      <c r="C201" s="206">
        <v>44314</v>
      </c>
      <c r="D201" s="161" t="s">
        <v>9</v>
      </c>
      <c r="E201" s="161" t="s">
        <v>3308</v>
      </c>
      <c r="F201" s="207">
        <v>350</v>
      </c>
      <c r="G201" s="207">
        <v>550</v>
      </c>
      <c r="H201" s="161">
        <v>200</v>
      </c>
      <c r="I201" s="207">
        <v>100</v>
      </c>
      <c r="J201" s="242">
        <f t="shared" si="31"/>
        <v>20000</v>
      </c>
      <c r="K201" s="153"/>
      <c r="V201" s="25">
        <f t="shared" si="32"/>
        <v>1</v>
      </c>
      <c r="W201" s="25">
        <f t="shared" si="33"/>
        <v>0</v>
      </c>
    </row>
    <row r="202" spans="1:23" x14ac:dyDescent="0.3">
      <c r="A202" s="147"/>
      <c r="B202" s="205">
        <f t="shared" si="34"/>
        <v>18</v>
      </c>
      <c r="C202" s="206">
        <v>44315</v>
      </c>
      <c r="D202" s="161" t="s">
        <v>9</v>
      </c>
      <c r="E202" s="161" t="s">
        <v>3295</v>
      </c>
      <c r="F202" s="207">
        <v>250</v>
      </c>
      <c r="G202" s="207">
        <v>150</v>
      </c>
      <c r="H202" s="161">
        <v>-100</v>
      </c>
      <c r="I202" s="207">
        <v>100</v>
      </c>
      <c r="J202" s="242">
        <f t="shared" si="31"/>
        <v>-10000</v>
      </c>
      <c r="K202" s="153"/>
      <c r="V202" s="25">
        <f t="shared" si="32"/>
        <v>0</v>
      </c>
      <c r="W202" s="25">
        <f t="shared" si="33"/>
        <v>1</v>
      </c>
    </row>
    <row r="203" spans="1:23" x14ac:dyDescent="0.3">
      <c r="A203" s="147"/>
      <c r="B203" s="205">
        <f t="shared" si="34"/>
        <v>19</v>
      </c>
      <c r="C203" s="206">
        <v>44316</v>
      </c>
      <c r="D203" s="161" t="s">
        <v>9</v>
      </c>
      <c r="E203" s="161" t="s">
        <v>3329</v>
      </c>
      <c r="F203" s="207">
        <v>540</v>
      </c>
      <c r="G203" s="207">
        <v>634</v>
      </c>
      <c r="H203" s="161">
        <v>94</v>
      </c>
      <c r="I203" s="207">
        <v>100</v>
      </c>
      <c r="J203" s="242">
        <f t="shared" si="31"/>
        <v>9400</v>
      </c>
      <c r="K203" s="153"/>
      <c r="V203" s="25">
        <f t="shared" si="32"/>
        <v>1</v>
      </c>
      <c r="W203" s="25">
        <f t="shared" si="33"/>
        <v>0</v>
      </c>
    </row>
    <row r="204" spans="1:23" x14ac:dyDescent="0.3">
      <c r="A204" s="147"/>
      <c r="B204" s="205">
        <f t="shared" si="34"/>
        <v>20</v>
      </c>
      <c r="C204" s="206"/>
      <c r="D204" s="161"/>
      <c r="E204" s="161"/>
      <c r="F204" s="207"/>
      <c r="G204" s="207"/>
      <c r="H204" s="161"/>
      <c r="I204" s="207"/>
      <c r="J204" s="242">
        <f t="shared" si="31"/>
        <v>0</v>
      </c>
      <c r="K204" s="153"/>
      <c r="V204" s="25">
        <f t="shared" si="32"/>
        <v>0</v>
      </c>
      <c r="W204" s="25">
        <f t="shared" si="33"/>
        <v>0</v>
      </c>
    </row>
    <row r="205" spans="1:23" x14ac:dyDescent="0.3">
      <c r="A205" s="147"/>
      <c r="B205" s="205">
        <f t="shared" si="34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1"/>
        <v>0</v>
      </c>
      <c r="K205" s="153"/>
      <c r="V205" s="25">
        <f t="shared" si="32"/>
        <v>0</v>
      </c>
      <c r="W205" s="25">
        <f t="shared" si="33"/>
        <v>0</v>
      </c>
    </row>
    <row r="206" spans="1:23" x14ac:dyDescent="0.3">
      <c r="A206" s="147"/>
      <c r="B206" s="205">
        <f t="shared" si="34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1"/>
        <v>0</v>
      </c>
      <c r="K206" s="153"/>
      <c r="V206" s="25">
        <f t="shared" si="32"/>
        <v>0</v>
      </c>
      <c r="W206" s="25">
        <f t="shared" si="33"/>
        <v>0</v>
      </c>
    </row>
    <row r="207" spans="1:23" ht="15" thickBot="1" x14ac:dyDescent="0.35">
      <c r="A207" s="147"/>
      <c r="B207" s="208">
        <f t="shared" si="34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1"/>
        <v>0</v>
      </c>
      <c r="K207" s="153"/>
      <c r="V207" s="25">
        <f t="shared" si="32"/>
        <v>0</v>
      </c>
      <c r="W207" s="25">
        <f t="shared" si="33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167900</v>
      </c>
      <c r="K208" s="153"/>
      <c r="V208" s="25">
        <f>SUM(V185:V207)</f>
        <v>16</v>
      </c>
      <c r="W208" s="25">
        <f>SUM(W185:W207)</f>
        <v>3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3300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44287</v>
      </c>
      <c r="D216" s="185" t="s">
        <v>9</v>
      </c>
      <c r="E216" s="185" t="s">
        <v>3174</v>
      </c>
      <c r="F216" s="231">
        <v>55</v>
      </c>
      <c r="G216" s="231">
        <v>45</v>
      </c>
      <c r="H216" s="231">
        <v>-10</v>
      </c>
      <c r="I216" s="219">
        <v>250</v>
      </c>
      <c r="J216" s="246">
        <f t="shared" ref="J216:J239" si="35">I216*H216</f>
        <v>-2500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18">
        <v>44291</v>
      </c>
      <c r="D217" s="185" t="s">
        <v>9</v>
      </c>
      <c r="E217" s="185" t="s">
        <v>3292</v>
      </c>
      <c r="F217" s="231">
        <v>22.5</v>
      </c>
      <c r="G217" s="231">
        <v>25</v>
      </c>
      <c r="H217" s="231">
        <v>2.5</v>
      </c>
      <c r="I217" s="219">
        <v>1375</v>
      </c>
      <c r="J217" s="242">
        <f>I217*H217</f>
        <v>3437.5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6">B217+1</f>
        <v>3</v>
      </c>
      <c r="C218" s="206">
        <v>44292</v>
      </c>
      <c r="D218" s="161" t="s">
        <v>9</v>
      </c>
      <c r="E218" s="161" t="s">
        <v>3311</v>
      </c>
      <c r="F218" s="222">
        <v>52</v>
      </c>
      <c r="G218" s="222">
        <v>60</v>
      </c>
      <c r="H218" s="222">
        <v>8</v>
      </c>
      <c r="I218" s="207">
        <v>250</v>
      </c>
      <c r="J218" s="242">
        <f t="shared" si="35"/>
        <v>2000</v>
      </c>
      <c r="K218" s="153"/>
      <c r="V218" s="25">
        <f t="shared" ref="V218:V239" si="37">IF($J218&gt;0,1,0)</f>
        <v>1</v>
      </c>
      <c r="W218" s="25">
        <f t="shared" ref="W218:W239" si="38">IF($J218&lt;0,1,0)</f>
        <v>0</v>
      </c>
    </row>
    <row r="219" spans="1:23" x14ac:dyDescent="0.3">
      <c r="A219" s="147"/>
      <c r="B219" s="205">
        <f t="shared" si="36"/>
        <v>4</v>
      </c>
      <c r="C219" s="206">
        <v>44293</v>
      </c>
      <c r="D219" s="161" t="s">
        <v>9</v>
      </c>
      <c r="E219" s="161" t="s">
        <v>3312</v>
      </c>
      <c r="F219" s="222">
        <v>54</v>
      </c>
      <c r="G219" s="222">
        <v>46</v>
      </c>
      <c r="H219" s="222">
        <v>-8</v>
      </c>
      <c r="I219" s="207">
        <v>250</v>
      </c>
      <c r="J219" s="242">
        <f t="shared" si="35"/>
        <v>-2000</v>
      </c>
      <c r="K219" s="153"/>
      <c r="V219" s="25">
        <f t="shared" si="37"/>
        <v>0</v>
      </c>
      <c r="W219" s="25">
        <f t="shared" si="38"/>
        <v>1</v>
      </c>
    </row>
    <row r="220" spans="1:23" x14ac:dyDescent="0.3">
      <c r="A220" s="147"/>
      <c r="B220" s="205">
        <f t="shared" si="36"/>
        <v>5</v>
      </c>
      <c r="C220" s="206">
        <v>44294</v>
      </c>
      <c r="D220" s="161" t="s">
        <v>9</v>
      </c>
      <c r="E220" s="161" t="s">
        <v>3313</v>
      </c>
      <c r="F220" s="222">
        <v>25.5</v>
      </c>
      <c r="G220" s="222">
        <v>33.5</v>
      </c>
      <c r="H220" s="222">
        <v>8</v>
      </c>
      <c r="I220" s="207">
        <v>2700</v>
      </c>
      <c r="J220" s="242">
        <f t="shared" si="35"/>
        <v>21600</v>
      </c>
      <c r="K220" s="153"/>
      <c r="V220" s="25">
        <f t="shared" si="37"/>
        <v>1</v>
      </c>
      <c r="W220" s="25">
        <f t="shared" si="38"/>
        <v>0</v>
      </c>
    </row>
    <row r="221" spans="1:23" x14ac:dyDescent="0.3">
      <c r="A221" s="147"/>
      <c r="B221" s="205">
        <f t="shared" si="36"/>
        <v>6</v>
      </c>
      <c r="C221" s="206">
        <v>44295</v>
      </c>
      <c r="D221" s="161" t="s">
        <v>9</v>
      </c>
      <c r="E221" s="161" t="s">
        <v>3120</v>
      </c>
      <c r="F221" s="222">
        <v>65</v>
      </c>
      <c r="G221" s="222">
        <v>57</v>
      </c>
      <c r="H221" s="222">
        <v>-8</v>
      </c>
      <c r="I221" s="207">
        <v>250</v>
      </c>
      <c r="J221" s="242">
        <f t="shared" si="35"/>
        <v>-2000</v>
      </c>
      <c r="K221" s="153"/>
      <c r="V221" s="25">
        <f t="shared" si="37"/>
        <v>0</v>
      </c>
      <c r="W221" s="25">
        <f t="shared" si="38"/>
        <v>1</v>
      </c>
    </row>
    <row r="222" spans="1:23" x14ac:dyDescent="0.3">
      <c r="A222" s="147"/>
      <c r="B222" s="205">
        <f t="shared" si="36"/>
        <v>7</v>
      </c>
      <c r="C222" s="206">
        <v>44298</v>
      </c>
      <c r="D222" s="161" t="s">
        <v>9</v>
      </c>
      <c r="E222" s="161" t="s">
        <v>3124</v>
      </c>
      <c r="F222" s="222">
        <v>57</v>
      </c>
      <c r="G222" s="222">
        <v>77</v>
      </c>
      <c r="H222" s="222">
        <v>20</v>
      </c>
      <c r="I222" s="207">
        <v>250</v>
      </c>
      <c r="J222" s="242">
        <f t="shared" si="35"/>
        <v>5000</v>
      </c>
      <c r="K222" s="153"/>
      <c r="V222" s="25">
        <f t="shared" si="37"/>
        <v>1</v>
      </c>
      <c r="W222" s="25">
        <f t="shared" si="38"/>
        <v>0</v>
      </c>
    </row>
    <row r="223" spans="1:23" x14ac:dyDescent="0.3">
      <c r="A223" s="147"/>
      <c r="B223" s="205">
        <f t="shared" si="36"/>
        <v>8</v>
      </c>
      <c r="C223" s="206">
        <v>44299</v>
      </c>
      <c r="D223" s="161" t="s">
        <v>9</v>
      </c>
      <c r="E223" s="161" t="s">
        <v>2560</v>
      </c>
      <c r="F223" s="222">
        <v>22</v>
      </c>
      <c r="G223" s="222">
        <v>30</v>
      </c>
      <c r="H223" s="222">
        <v>8</v>
      </c>
      <c r="I223" s="207">
        <v>1200</v>
      </c>
      <c r="J223" s="242">
        <f t="shared" si="35"/>
        <v>9600</v>
      </c>
      <c r="K223" s="153"/>
      <c r="V223" s="25">
        <f t="shared" si="37"/>
        <v>1</v>
      </c>
      <c r="W223" s="25">
        <f t="shared" si="38"/>
        <v>0</v>
      </c>
    </row>
    <row r="224" spans="1:23" x14ac:dyDescent="0.3">
      <c r="A224" s="147"/>
      <c r="B224" s="205">
        <f t="shared" si="36"/>
        <v>9</v>
      </c>
      <c r="C224" s="206">
        <v>44301</v>
      </c>
      <c r="D224" s="161" t="s">
        <v>9</v>
      </c>
      <c r="E224" s="161" t="s">
        <v>2793</v>
      </c>
      <c r="F224" s="222">
        <v>21</v>
      </c>
      <c r="G224" s="222">
        <v>24.5</v>
      </c>
      <c r="H224" s="255">
        <v>3.5</v>
      </c>
      <c r="I224" s="207">
        <v>1200</v>
      </c>
      <c r="J224" s="242">
        <f t="shared" si="35"/>
        <v>4200</v>
      </c>
      <c r="K224" s="153"/>
      <c r="V224" s="25">
        <f t="shared" si="37"/>
        <v>1</v>
      </c>
      <c r="W224" s="25">
        <f t="shared" si="38"/>
        <v>0</v>
      </c>
    </row>
    <row r="225" spans="1:23" x14ac:dyDescent="0.3">
      <c r="A225" s="147"/>
      <c r="B225" s="205">
        <f t="shared" si="36"/>
        <v>10</v>
      </c>
      <c r="C225" s="206">
        <v>44302</v>
      </c>
      <c r="D225" s="161" t="s">
        <v>9</v>
      </c>
      <c r="E225" s="161" t="s">
        <v>3314</v>
      </c>
      <c r="F225" s="222">
        <v>24</v>
      </c>
      <c r="G225" s="222">
        <v>28.45</v>
      </c>
      <c r="H225" s="255">
        <v>4.45</v>
      </c>
      <c r="I225" s="207">
        <v>1700</v>
      </c>
      <c r="J225" s="242">
        <f t="shared" si="35"/>
        <v>7565</v>
      </c>
      <c r="K225" s="153"/>
      <c r="V225" s="25">
        <f t="shared" si="37"/>
        <v>1</v>
      </c>
      <c r="W225" s="25">
        <f t="shared" si="38"/>
        <v>0</v>
      </c>
    </row>
    <row r="226" spans="1:23" x14ac:dyDescent="0.3">
      <c r="A226" s="147"/>
      <c r="B226" s="205">
        <f t="shared" si="36"/>
        <v>11</v>
      </c>
      <c r="C226" s="206">
        <v>44305</v>
      </c>
      <c r="D226" s="161" t="s">
        <v>9</v>
      </c>
      <c r="E226" s="161" t="s">
        <v>3319</v>
      </c>
      <c r="F226" s="222">
        <v>22</v>
      </c>
      <c r="G226" s="222">
        <v>27</v>
      </c>
      <c r="H226" s="255">
        <v>5</v>
      </c>
      <c r="I226" s="207">
        <v>1700</v>
      </c>
      <c r="J226" s="242">
        <f t="shared" si="35"/>
        <v>8500</v>
      </c>
      <c r="K226" s="153"/>
      <c r="V226" s="25">
        <f t="shared" si="37"/>
        <v>1</v>
      </c>
      <c r="W226" s="25">
        <f t="shared" si="38"/>
        <v>0</v>
      </c>
    </row>
    <row r="227" spans="1:23" x14ac:dyDescent="0.3">
      <c r="A227" s="147"/>
      <c r="B227" s="205">
        <f t="shared" si="36"/>
        <v>12</v>
      </c>
      <c r="C227" s="206">
        <v>44306</v>
      </c>
      <c r="D227" s="161" t="s">
        <v>9</v>
      </c>
      <c r="E227" s="161" t="s">
        <v>3321</v>
      </c>
      <c r="F227" s="222">
        <v>37</v>
      </c>
      <c r="G227" s="222">
        <v>30</v>
      </c>
      <c r="H227" s="255">
        <v>-7</v>
      </c>
      <c r="I227" s="207">
        <v>250</v>
      </c>
      <c r="J227" s="242">
        <f t="shared" si="35"/>
        <v>-1750</v>
      </c>
      <c r="K227" s="153"/>
      <c r="V227" s="25">
        <f t="shared" si="37"/>
        <v>0</v>
      </c>
      <c r="W227" s="25">
        <f t="shared" si="38"/>
        <v>1</v>
      </c>
    </row>
    <row r="228" spans="1:23" x14ac:dyDescent="0.3">
      <c r="A228" s="147"/>
      <c r="B228" s="205">
        <f t="shared" si="36"/>
        <v>13</v>
      </c>
      <c r="C228" s="206">
        <v>44308</v>
      </c>
      <c r="D228" s="161" t="s">
        <v>9</v>
      </c>
      <c r="E228" s="161" t="s">
        <v>3322</v>
      </c>
      <c r="F228" s="222">
        <v>34</v>
      </c>
      <c r="G228" s="222">
        <v>37.5</v>
      </c>
      <c r="H228" s="255">
        <v>3.5</v>
      </c>
      <c r="I228" s="207">
        <v>750</v>
      </c>
      <c r="J228" s="242">
        <f t="shared" si="35"/>
        <v>2625</v>
      </c>
      <c r="K228" s="153"/>
      <c r="V228" s="25">
        <f t="shared" si="37"/>
        <v>1</v>
      </c>
      <c r="W228" s="25">
        <f t="shared" si="38"/>
        <v>0</v>
      </c>
    </row>
    <row r="229" spans="1:23" x14ac:dyDescent="0.3">
      <c r="A229" s="147"/>
      <c r="B229" s="205">
        <f t="shared" si="36"/>
        <v>14</v>
      </c>
      <c r="C229" s="206">
        <v>44309</v>
      </c>
      <c r="D229" s="161" t="s">
        <v>9</v>
      </c>
      <c r="E229" s="161" t="s">
        <v>3324</v>
      </c>
      <c r="F229" s="222">
        <v>16</v>
      </c>
      <c r="G229" s="222">
        <v>12</v>
      </c>
      <c r="H229" s="255">
        <v>-4</v>
      </c>
      <c r="I229" s="207">
        <v>1350</v>
      </c>
      <c r="J229" s="242">
        <f>I229*H229</f>
        <v>-5400</v>
      </c>
      <c r="K229" s="153"/>
      <c r="V229" s="25">
        <f t="shared" si="37"/>
        <v>0</v>
      </c>
      <c r="W229" s="25">
        <f t="shared" si="38"/>
        <v>1</v>
      </c>
    </row>
    <row r="230" spans="1:23" x14ac:dyDescent="0.3">
      <c r="A230" s="147"/>
      <c r="B230" s="205">
        <f t="shared" si="36"/>
        <v>15</v>
      </c>
      <c r="C230" s="206">
        <v>44312</v>
      </c>
      <c r="D230" s="161" t="s">
        <v>9</v>
      </c>
      <c r="E230" s="161" t="s">
        <v>3144</v>
      </c>
      <c r="F230" s="222">
        <v>100</v>
      </c>
      <c r="G230" s="222">
        <v>111</v>
      </c>
      <c r="H230" s="255">
        <v>11</v>
      </c>
      <c r="I230" s="207">
        <v>250</v>
      </c>
      <c r="J230" s="242">
        <f t="shared" si="35"/>
        <v>2750</v>
      </c>
      <c r="K230" s="153"/>
      <c r="V230" s="25">
        <f t="shared" si="37"/>
        <v>1</v>
      </c>
      <c r="W230" s="25">
        <f t="shared" si="38"/>
        <v>0</v>
      </c>
    </row>
    <row r="231" spans="1:23" x14ac:dyDescent="0.3">
      <c r="A231" s="147"/>
      <c r="B231" s="205">
        <f t="shared" si="36"/>
        <v>16</v>
      </c>
      <c r="C231" s="206">
        <v>44313</v>
      </c>
      <c r="D231" s="161" t="s">
        <v>9</v>
      </c>
      <c r="E231" s="161" t="s">
        <v>3326</v>
      </c>
      <c r="F231" s="222">
        <v>5</v>
      </c>
      <c r="G231" s="222">
        <v>8</v>
      </c>
      <c r="H231" s="222">
        <v>3</v>
      </c>
      <c r="I231" s="207">
        <v>3000</v>
      </c>
      <c r="J231" s="242">
        <f t="shared" si="35"/>
        <v>9000</v>
      </c>
      <c r="K231" s="153"/>
      <c r="V231" s="25">
        <f t="shared" si="37"/>
        <v>1</v>
      </c>
      <c r="W231" s="25">
        <f t="shared" si="38"/>
        <v>0</v>
      </c>
    </row>
    <row r="232" spans="1:23" x14ac:dyDescent="0.3">
      <c r="A232" s="147"/>
      <c r="B232" s="205">
        <f t="shared" si="36"/>
        <v>17</v>
      </c>
      <c r="C232" s="206">
        <v>44314</v>
      </c>
      <c r="D232" s="161" t="s">
        <v>9</v>
      </c>
      <c r="E232" s="161" t="s">
        <v>3327</v>
      </c>
      <c r="F232" s="222">
        <v>11</v>
      </c>
      <c r="G232" s="222">
        <v>15</v>
      </c>
      <c r="H232" s="222">
        <v>4</v>
      </c>
      <c r="I232" s="207">
        <v>1200</v>
      </c>
      <c r="J232" s="242">
        <f t="shared" si="35"/>
        <v>4800</v>
      </c>
      <c r="K232" s="153"/>
      <c r="V232" s="25">
        <f t="shared" si="37"/>
        <v>1</v>
      </c>
      <c r="W232" s="25">
        <f t="shared" si="38"/>
        <v>0</v>
      </c>
    </row>
    <row r="233" spans="1:23" x14ac:dyDescent="0.3">
      <c r="A233" s="147"/>
      <c r="B233" s="205">
        <f t="shared" si="36"/>
        <v>18</v>
      </c>
      <c r="C233" s="206">
        <v>44315</v>
      </c>
      <c r="D233" s="161" t="s">
        <v>9</v>
      </c>
      <c r="E233" s="161" t="s">
        <v>3328</v>
      </c>
      <c r="F233" s="222">
        <v>7</v>
      </c>
      <c r="G233" s="222">
        <v>10.85</v>
      </c>
      <c r="H233" s="222">
        <v>3.85</v>
      </c>
      <c r="I233" s="207">
        <v>1375</v>
      </c>
      <c r="J233" s="242">
        <f t="shared" si="35"/>
        <v>5293.75</v>
      </c>
      <c r="K233" s="153"/>
      <c r="V233" s="25">
        <f t="shared" si="37"/>
        <v>1</v>
      </c>
      <c r="W233" s="25">
        <f t="shared" si="38"/>
        <v>0</v>
      </c>
    </row>
    <row r="234" spans="1:23" x14ac:dyDescent="0.3">
      <c r="A234" s="147"/>
      <c r="B234" s="205">
        <f t="shared" si="36"/>
        <v>19</v>
      </c>
      <c r="C234" s="206">
        <v>44316</v>
      </c>
      <c r="D234" s="161" t="s">
        <v>9</v>
      </c>
      <c r="E234" s="161" t="s">
        <v>3055</v>
      </c>
      <c r="F234" s="222">
        <v>75</v>
      </c>
      <c r="G234" s="222">
        <v>65</v>
      </c>
      <c r="H234" s="222">
        <v>-10</v>
      </c>
      <c r="I234" s="207">
        <v>250</v>
      </c>
      <c r="J234" s="242">
        <f t="shared" si="35"/>
        <v>-2500</v>
      </c>
      <c r="K234" s="153"/>
      <c r="V234" s="25">
        <f t="shared" si="37"/>
        <v>0</v>
      </c>
      <c r="W234" s="25">
        <f t="shared" si="38"/>
        <v>1</v>
      </c>
    </row>
    <row r="235" spans="1:23" x14ac:dyDescent="0.3">
      <c r="A235" s="147"/>
      <c r="B235" s="205">
        <f t="shared" si="36"/>
        <v>20</v>
      </c>
      <c r="C235" s="206"/>
      <c r="D235" s="161"/>
      <c r="E235" s="161"/>
      <c r="F235" s="222"/>
      <c r="G235" s="222"/>
      <c r="H235" s="222"/>
      <c r="I235" s="207"/>
      <c r="J235" s="242">
        <f t="shared" si="35"/>
        <v>0</v>
      </c>
      <c r="K235" s="153"/>
      <c r="V235" s="25">
        <f t="shared" si="37"/>
        <v>0</v>
      </c>
      <c r="W235" s="25">
        <f t="shared" si="38"/>
        <v>0</v>
      </c>
    </row>
    <row r="236" spans="1:23" x14ac:dyDescent="0.3">
      <c r="A236" s="147"/>
      <c r="B236" s="205">
        <f t="shared" si="36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5"/>
        <v>0</v>
      </c>
      <c r="K236" s="153"/>
      <c r="V236" s="25">
        <f t="shared" si="37"/>
        <v>0</v>
      </c>
      <c r="W236" s="25">
        <f t="shared" si="38"/>
        <v>0</v>
      </c>
    </row>
    <row r="237" spans="1:23" x14ac:dyDescent="0.3">
      <c r="A237" s="147"/>
      <c r="B237" s="205">
        <f t="shared" si="36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5"/>
        <v>0</v>
      </c>
      <c r="K237" s="153"/>
      <c r="V237" s="25">
        <f t="shared" si="37"/>
        <v>0</v>
      </c>
      <c r="W237" s="25">
        <f t="shared" si="38"/>
        <v>0</v>
      </c>
    </row>
    <row r="238" spans="1:23" x14ac:dyDescent="0.3">
      <c r="A238" s="147"/>
      <c r="B238" s="205">
        <f t="shared" si="36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5"/>
        <v>0</v>
      </c>
      <c r="K238" s="153"/>
      <c r="V238" s="25">
        <f t="shared" si="37"/>
        <v>0</v>
      </c>
      <c r="W238" s="25">
        <f t="shared" si="38"/>
        <v>0</v>
      </c>
    </row>
    <row r="239" spans="1:23" ht="15" thickBot="1" x14ac:dyDescent="0.35">
      <c r="A239" s="147"/>
      <c r="B239" s="208">
        <f t="shared" si="36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5"/>
        <v>0</v>
      </c>
      <c r="K239" s="153"/>
      <c r="V239" s="25">
        <f t="shared" si="37"/>
        <v>0</v>
      </c>
      <c r="W239" s="25">
        <f t="shared" si="38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70221.25</v>
      </c>
      <c r="K240" s="153"/>
      <c r="V240" s="25">
        <f>SUM(V216:V239)</f>
        <v>13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000-000000000000}"/>
    <hyperlink ref="B84" r:id="rId2" xr:uid="{00000000-0004-0000-6000-000001000000}"/>
    <hyperlink ref="B115" r:id="rId3" xr:uid="{00000000-0004-0000-6000-000002000000}"/>
    <hyperlink ref="B146" r:id="rId4" xr:uid="{00000000-0004-0000-6000-000003000000}"/>
    <hyperlink ref="B177" r:id="rId5" xr:uid="{00000000-0004-0000-6000-000004000000}"/>
    <hyperlink ref="B208" r:id="rId6" xr:uid="{00000000-0004-0000-6000-000005000000}"/>
    <hyperlink ref="B240" r:id="rId7" xr:uid="{00000000-0004-0000-6000-000006000000}"/>
    <hyperlink ref="M1" location="'MASTER '!A1" display="Back" xr:uid="{00000000-0004-0000-6000-000007000000}"/>
    <hyperlink ref="M6:M7" location="'APRIL 2021'!A77" display="STOCK FUTURE" xr:uid="{00000000-0004-0000-6000-000008000000}"/>
    <hyperlink ref="M12:M13" location="'APRIL 2021'!A170" display="BANK NIFTY" xr:uid="{00000000-0004-0000-6000-000009000000}"/>
    <hyperlink ref="M10:M11" location="'APRIL 2021'!A139" display="NF. OPTION" xr:uid="{00000000-0004-0000-6000-00000A000000}"/>
    <hyperlink ref="M8:M9" location="'APRIL 2021'!A108" display="NIFTY FUTURE" xr:uid="{00000000-0004-0000-6000-00000B000000}"/>
    <hyperlink ref="M4:M5" location="'APRIL 2021'!A1" display="CASH" xr:uid="{00000000-0004-0000-6000-00000C000000}"/>
    <hyperlink ref="M14:M15" location="'APRIL 2021'!A201" display="B.NIFTY OPTION" xr:uid="{00000000-0004-0000-6000-00000D000000}"/>
    <hyperlink ref="M16:M17" location="'APRIL 2021'!A216" display="STOCK OPTION" xr:uid="{00000000-0004-0000-6000-00000E000000}"/>
  </hyperlinks>
  <pageMargins left="0" right="0" top="0" bottom="0" header="0" footer="0"/>
  <pageSetup scale="95" orientation="portrait" r:id="rId8"/>
  <drawing r:id="rId9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W241"/>
  <sheetViews>
    <sheetView topLeftCell="A31" zoomScaleNormal="100" workbookViewId="0"/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3331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40</v>
      </c>
      <c r="O4" s="386">
        <f>V52</f>
        <v>33</v>
      </c>
      <c r="P4" s="386">
        <f>W52</f>
        <v>6</v>
      </c>
      <c r="Q4" s="387">
        <f>N4-O4-P4</f>
        <v>1</v>
      </c>
      <c r="R4" s="380">
        <f>O4/N4</f>
        <v>0.82499999999999996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44319</v>
      </c>
      <c r="D6" s="158" t="s">
        <v>9</v>
      </c>
      <c r="E6" s="158" t="s">
        <v>94</v>
      </c>
      <c r="F6" s="230">
        <v>1400</v>
      </c>
      <c r="G6" s="222">
        <v>1421.5</v>
      </c>
      <c r="H6" s="222">
        <v>21.5</v>
      </c>
      <c r="I6" s="207">
        <f t="shared" ref="I6:I7" si="0">300000/F6</f>
        <v>214.28571428571428</v>
      </c>
      <c r="J6" s="161">
        <f t="shared" ref="J6:J7" si="1">H6*I6</f>
        <v>4607.1428571428569</v>
      </c>
      <c r="K6" s="153"/>
      <c r="M6" s="394" t="s">
        <v>450</v>
      </c>
      <c r="N6" s="344">
        <f>COUNT(C60:C83)</f>
        <v>20</v>
      </c>
      <c r="O6" s="346">
        <f>V84</f>
        <v>14</v>
      </c>
      <c r="P6" s="346">
        <f>W84</f>
        <v>6</v>
      </c>
      <c r="Q6" s="374">
        <f>N6-O6-P6</f>
        <v>0</v>
      </c>
      <c r="R6" s="376">
        <f t="shared" ref="R6" si="2">O6/N6</f>
        <v>0.7</v>
      </c>
      <c r="V6" s="25">
        <f>IF($J6&gt;0,1,0)</f>
        <v>1</v>
      </c>
      <c r="W6" s="25">
        <f>IF($J6&lt;0,1,0)</f>
        <v>0</v>
      </c>
    </row>
    <row r="7" spans="1:23" x14ac:dyDescent="0.3">
      <c r="A7" s="147"/>
      <c r="B7" s="205">
        <f>B6+1</f>
        <v>2</v>
      </c>
      <c r="C7" s="206">
        <v>44319</v>
      </c>
      <c r="D7" s="161" t="s">
        <v>8</v>
      </c>
      <c r="E7" s="161" t="s">
        <v>16</v>
      </c>
      <c r="F7" s="222">
        <v>1445</v>
      </c>
      <c r="G7" s="231">
        <v>1424</v>
      </c>
      <c r="H7" s="255">
        <f>1445-1424</f>
        <v>21</v>
      </c>
      <c r="I7" s="207">
        <f t="shared" si="0"/>
        <v>207.61245674740485</v>
      </c>
      <c r="J7" s="161">
        <f t="shared" si="1"/>
        <v>4359.8615916955023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44320</v>
      </c>
      <c r="D8" s="161" t="s">
        <v>9</v>
      </c>
      <c r="E8" s="161" t="s">
        <v>19</v>
      </c>
      <c r="F8" s="222">
        <v>355</v>
      </c>
      <c r="G8" s="222">
        <v>359</v>
      </c>
      <c r="H8" s="222">
        <v>4</v>
      </c>
      <c r="I8" s="207">
        <f t="shared" ref="I8:I45" si="6">300000/F8</f>
        <v>845.07042253521126</v>
      </c>
      <c r="J8" s="161">
        <f t="shared" ref="J8:J45" si="7">H8*I8</f>
        <v>3380.2816901408451</v>
      </c>
      <c r="K8" s="153"/>
      <c r="M8" s="394" t="s">
        <v>451</v>
      </c>
      <c r="N8" s="344">
        <f>COUNT(C92:C114)</f>
        <v>20</v>
      </c>
      <c r="O8" s="346">
        <f>V115</f>
        <v>15</v>
      </c>
      <c r="P8" s="346">
        <f>W115</f>
        <v>5</v>
      </c>
      <c r="Q8" s="374">
        <f>N8-O8-P8</f>
        <v>0</v>
      </c>
      <c r="R8" s="376">
        <f t="shared" ref="R8" si="8">O8/N8</f>
        <v>0.75</v>
      </c>
      <c r="V8" s="25">
        <f>IF($J8&gt;0,1,0)</f>
        <v>1</v>
      </c>
      <c r="W8" s="25">
        <f>IF($J8&lt;0,1,0)</f>
        <v>0</v>
      </c>
    </row>
    <row r="9" spans="1:23" x14ac:dyDescent="0.3">
      <c r="A9" s="147"/>
      <c r="B9" s="205">
        <f t="shared" si="5"/>
        <v>4</v>
      </c>
      <c r="C9" s="206">
        <v>44320</v>
      </c>
      <c r="D9" s="161" t="s">
        <v>8</v>
      </c>
      <c r="E9" s="161" t="s">
        <v>2995</v>
      </c>
      <c r="F9" s="222">
        <v>658</v>
      </c>
      <c r="G9" s="231">
        <v>642</v>
      </c>
      <c r="H9" s="255">
        <f>658-642</f>
        <v>16</v>
      </c>
      <c r="I9" s="207">
        <f t="shared" si="6"/>
        <v>455.9270516717325</v>
      </c>
      <c r="J9" s="161">
        <f t="shared" si="7"/>
        <v>7294.83282674772</v>
      </c>
      <c r="K9" s="153"/>
      <c r="M9" s="396"/>
      <c r="N9" s="385"/>
      <c r="O9" s="382"/>
      <c r="P9" s="382"/>
      <c r="Q9" s="383"/>
      <c r="R9" s="384"/>
      <c r="V9" s="25">
        <f>IF($J9&gt;0,1,0)</f>
        <v>1</v>
      </c>
      <c r="W9" s="25">
        <f>IF($J9&lt;0,1,0)</f>
        <v>0</v>
      </c>
    </row>
    <row r="10" spans="1:23" x14ac:dyDescent="0.3">
      <c r="A10" s="147"/>
      <c r="B10" s="205">
        <f t="shared" si="5"/>
        <v>5</v>
      </c>
      <c r="C10" s="206">
        <v>44321</v>
      </c>
      <c r="D10" s="161" t="s">
        <v>9</v>
      </c>
      <c r="E10" s="161" t="s">
        <v>58</v>
      </c>
      <c r="F10" s="222">
        <v>710</v>
      </c>
      <c r="G10" s="222">
        <v>719</v>
      </c>
      <c r="H10" s="222">
        <v>9</v>
      </c>
      <c r="I10" s="207">
        <f t="shared" si="6"/>
        <v>422.53521126760563</v>
      </c>
      <c r="J10" s="161">
        <f t="shared" si="7"/>
        <v>3802.8169014084506</v>
      </c>
      <c r="K10" s="153"/>
      <c r="M10" s="394" t="s">
        <v>1176</v>
      </c>
      <c r="N10" s="344">
        <f>COUNT(C123:C145)</f>
        <v>20</v>
      </c>
      <c r="O10" s="346">
        <f>V146</f>
        <v>18</v>
      </c>
      <c r="P10" s="346">
        <f>W146</f>
        <v>2</v>
      </c>
      <c r="Q10" s="374">
        <f>N10-O10-P10</f>
        <v>0</v>
      </c>
      <c r="R10" s="376">
        <f t="shared" ref="R10:R16" si="9">O10/N10</f>
        <v>0.9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44321</v>
      </c>
      <c r="D11" s="161" t="s">
        <v>8</v>
      </c>
      <c r="E11" s="161" t="s">
        <v>2563</v>
      </c>
      <c r="F11" s="222">
        <v>1650</v>
      </c>
      <c r="G11" s="222">
        <v>1648</v>
      </c>
      <c r="H11" s="255">
        <v>-2</v>
      </c>
      <c r="I11" s="207">
        <f t="shared" si="6"/>
        <v>181.81818181818181</v>
      </c>
      <c r="J11" s="161">
        <f t="shared" si="7"/>
        <v>-363.63636363636363</v>
      </c>
      <c r="K11" s="153"/>
      <c r="M11" s="396"/>
      <c r="N11" s="385"/>
      <c r="O11" s="382"/>
      <c r="P11" s="382"/>
      <c r="Q11" s="383"/>
      <c r="R11" s="384"/>
      <c r="V11" s="25">
        <f t="shared" si="3"/>
        <v>0</v>
      </c>
      <c r="W11" s="25">
        <f t="shared" si="4"/>
        <v>1</v>
      </c>
    </row>
    <row r="12" spans="1:23" x14ac:dyDescent="0.3">
      <c r="A12" s="147"/>
      <c r="B12" s="205">
        <f t="shared" si="5"/>
        <v>7</v>
      </c>
      <c r="C12" s="206">
        <v>44322</v>
      </c>
      <c r="D12" s="161" t="s">
        <v>9</v>
      </c>
      <c r="E12" s="161" t="s">
        <v>25</v>
      </c>
      <c r="F12" s="222">
        <v>1115</v>
      </c>
      <c r="G12" s="222">
        <v>1124</v>
      </c>
      <c r="H12" s="222">
        <v>9</v>
      </c>
      <c r="I12" s="207">
        <f t="shared" si="6"/>
        <v>269.05829596412553</v>
      </c>
      <c r="J12" s="242">
        <f t="shared" si="7"/>
        <v>2421.5246636771299</v>
      </c>
      <c r="K12" s="153"/>
      <c r="M12" s="394" t="s">
        <v>41</v>
      </c>
      <c r="N12" s="344">
        <f>COUNT(C154:C176)</f>
        <v>20</v>
      </c>
      <c r="O12" s="346">
        <f>V177</f>
        <v>17</v>
      </c>
      <c r="P12" s="346">
        <f>W177</f>
        <v>3</v>
      </c>
      <c r="Q12" s="374">
        <f t="shared" ref="Q12" si="10">N12-O12-P12</f>
        <v>0</v>
      </c>
      <c r="R12" s="376">
        <f t="shared" si="9"/>
        <v>0.85</v>
      </c>
      <c r="V12" s="25">
        <f t="shared" si="3"/>
        <v>1</v>
      </c>
      <c r="W12" s="25">
        <f t="shared" si="4"/>
        <v>0</v>
      </c>
    </row>
    <row r="13" spans="1:23" x14ac:dyDescent="0.3">
      <c r="A13" s="147"/>
      <c r="B13" s="205">
        <f t="shared" si="5"/>
        <v>8</v>
      </c>
      <c r="C13" s="206">
        <v>44322</v>
      </c>
      <c r="D13" s="161" t="s">
        <v>8</v>
      </c>
      <c r="E13" s="161" t="s">
        <v>19</v>
      </c>
      <c r="F13" s="222">
        <v>355</v>
      </c>
      <c r="G13" s="222">
        <v>350.8</v>
      </c>
      <c r="H13" s="255">
        <f>355-350.8</f>
        <v>4.1999999999999886</v>
      </c>
      <c r="I13" s="207">
        <f t="shared" si="6"/>
        <v>845.07042253521126</v>
      </c>
      <c r="J13" s="242">
        <f t="shared" si="7"/>
        <v>3549.2957746478778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44323</v>
      </c>
      <c r="D14" s="161" t="s">
        <v>9</v>
      </c>
      <c r="E14" s="161" t="s">
        <v>137</v>
      </c>
      <c r="F14" s="222">
        <v>2420</v>
      </c>
      <c r="G14" s="222">
        <v>2400</v>
      </c>
      <c r="H14" s="222">
        <v>-20</v>
      </c>
      <c r="I14" s="207">
        <f t="shared" si="6"/>
        <v>123.96694214876032</v>
      </c>
      <c r="J14" s="242">
        <f t="shared" si="7"/>
        <v>-2479.3388429752067</v>
      </c>
      <c r="K14" s="153"/>
      <c r="M14" s="394" t="s">
        <v>1175</v>
      </c>
      <c r="N14" s="344">
        <f>COUNT(C185:C207)</f>
        <v>20</v>
      </c>
      <c r="O14" s="346">
        <f>V208</f>
        <v>16</v>
      </c>
      <c r="P14" s="346">
        <f>W208</f>
        <v>4</v>
      </c>
      <c r="Q14" s="374">
        <f t="shared" ref="Q14" si="11">N14-O14-P14</f>
        <v>0</v>
      </c>
      <c r="R14" s="376">
        <f t="shared" si="9"/>
        <v>0.8</v>
      </c>
      <c r="V14" s="25">
        <f t="shared" si="3"/>
        <v>0</v>
      </c>
      <c r="W14" s="25">
        <f t="shared" si="4"/>
        <v>1</v>
      </c>
    </row>
    <row r="15" spans="1:23" x14ac:dyDescent="0.3">
      <c r="A15" s="147"/>
      <c r="B15" s="205">
        <f t="shared" si="5"/>
        <v>10</v>
      </c>
      <c r="C15" s="206">
        <v>44323</v>
      </c>
      <c r="D15" s="161" t="s">
        <v>8</v>
      </c>
      <c r="E15" s="161" t="s">
        <v>3334</v>
      </c>
      <c r="F15" s="222">
        <v>2720</v>
      </c>
      <c r="G15" s="222">
        <v>2700</v>
      </c>
      <c r="H15" s="222">
        <v>20</v>
      </c>
      <c r="I15" s="207">
        <f t="shared" si="6"/>
        <v>110.29411764705883</v>
      </c>
      <c r="J15" s="242">
        <f t="shared" si="7"/>
        <v>2205.8823529411766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44326</v>
      </c>
      <c r="D16" s="161" t="s">
        <v>9</v>
      </c>
      <c r="E16" s="161" t="s">
        <v>3248</v>
      </c>
      <c r="F16" s="222">
        <v>1240</v>
      </c>
      <c r="G16" s="222">
        <v>1254.5</v>
      </c>
      <c r="H16" s="222">
        <f>1254.5-1240</f>
        <v>14.5</v>
      </c>
      <c r="I16" s="207">
        <f t="shared" si="6"/>
        <v>241.93548387096774</v>
      </c>
      <c r="J16" s="242">
        <f t="shared" si="7"/>
        <v>3508.0645161290322</v>
      </c>
      <c r="K16" s="153"/>
      <c r="L16" s="25" t="s">
        <v>2008</v>
      </c>
      <c r="M16" s="394" t="s">
        <v>1090</v>
      </c>
      <c r="N16" s="344">
        <f>COUNT(C216:C239)</f>
        <v>20</v>
      </c>
      <c r="O16" s="346">
        <f>V240</f>
        <v>18</v>
      </c>
      <c r="P16" s="346">
        <f>W240</f>
        <v>2</v>
      </c>
      <c r="Q16" s="374">
        <f t="shared" ref="Q16" si="12">N16-O16-P16</f>
        <v>0</v>
      </c>
      <c r="R16" s="376">
        <f t="shared" si="9"/>
        <v>0.9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44326</v>
      </c>
      <c r="D17" s="161" t="s">
        <v>8</v>
      </c>
      <c r="E17" s="161" t="s">
        <v>58</v>
      </c>
      <c r="F17" s="222">
        <v>718</v>
      </c>
      <c r="G17" s="222">
        <v>714</v>
      </c>
      <c r="H17" s="222">
        <v>4</v>
      </c>
      <c r="I17" s="207">
        <f t="shared" si="6"/>
        <v>417.82729805013929</v>
      </c>
      <c r="J17" s="242">
        <f t="shared" si="7"/>
        <v>1671.3091922005572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44327</v>
      </c>
      <c r="D18" s="161" t="s">
        <v>9</v>
      </c>
      <c r="E18" s="161" t="s">
        <v>3343</v>
      </c>
      <c r="F18" s="222">
        <v>950</v>
      </c>
      <c r="G18" s="222">
        <v>970</v>
      </c>
      <c r="H18" s="222">
        <v>20</v>
      </c>
      <c r="I18" s="207">
        <f t="shared" si="6"/>
        <v>315.78947368421052</v>
      </c>
      <c r="J18" s="242">
        <f t="shared" si="7"/>
        <v>6315.78947368421</v>
      </c>
      <c r="K18" s="153"/>
      <c r="M18" s="392" t="s">
        <v>946</v>
      </c>
      <c r="N18" s="378">
        <f>SUM(N4:N17)</f>
        <v>160</v>
      </c>
      <c r="O18" s="378">
        <f t="shared" ref="O18:Q18" si="13">SUM(O4:O17)</f>
        <v>131</v>
      </c>
      <c r="P18" s="378">
        <f t="shared" si="13"/>
        <v>28</v>
      </c>
      <c r="Q18" s="378">
        <f t="shared" si="13"/>
        <v>1</v>
      </c>
      <c r="R18" s="380">
        <f t="shared" ref="R18" si="14">O18/N18</f>
        <v>0.81874999999999998</v>
      </c>
      <c r="V18" s="25">
        <f t="shared" si="3"/>
        <v>1</v>
      </c>
      <c r="W18" s="25">
        <f t="shared" si="4"/>
        <v>0</v>
      </c>
    </row>
    <row r="19" spans="1:23" ht="15" thickBot="1" x14ac:dyDescent="0.35">
      <c r="A19" s="147"/>
      <c r="B19" s="205">
        <f t="shared" si="5"/>
        <v>14</v>
      </c>
      <c r="C19" s="206">
        <v>44327</v>
      </c>
      <c r="D19" s="161" t="s">
        <v>8</v>
      </c>
      <c r="E19" s="161" t="s">
        <v>129</v>
      </c>
      <c r="F19" s="222">
        <v>2470</v>
      </c>
      <c r="G19" s="222">
        <v>2450</v>
      </c>
      <c r="H19" s="222">
        <v>20</v>
      </c>
      <c r="I19" s="207">
        <f t="shared" si="6"/>
        <v>121.4574898785425</v>
      </c>
      <c r="J19" s="242">
        <f t="shared" si="7"/>
        <v>2429.1497975708498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44328</v>
      </c>
      <c r="D20" s="161" t="s">
        <v>9</v>
      </c>
      <c r="E20" s="161" t="s">
        <v>78</v>
      </c>
      <c r="F20" s="222">
        <v>1410</v>
      </c>
      <c r="G20" s="222">
        <v>1425</v>
      </c>
      <c r="H20" s="222">
        <v>15</v>
      </c>
      <c r="I20" s="207">
        <f t="shared" si="6"/>
        <v>212.7659574468085</v>
      </c>
      <c r="J20" s="242">
        <f t="shared" si="7"/>
        <v>3191.4893617021276</v>
      </c>
      <c r="K20" s="153"/>
      <c r="M20" s="316" t="s">
        <v>2253</v>
      </c>
      <c r="N20" s="317"/>
      <c r="O20" s="318"/>
      <c r="P20" s="325">
        <f>R18</f>
        <v>0.81874999999999998</v>
      </c>
      <c r="Q20" s="326"/>
      <c r="R20" s="327"/>
      <c r="V20" s="25">
        <f t="shared" si="3"/>
        <v>1</v>
      </c>
      <c r="W20" s="25">
        <f t="shared" si="4"/>
        <v>0</v>
      </c>
    </row>
    <row r="21" spans="1:23" ht="15" customHeight="1" x14ac:dyDescent="0.3">
      <c r="A21" s="147"/>
      <c r="B21" s="205">
        <f t="shared" si="5"/>
        <v>16</v>
      </c>
      <c r="C21" s="206">
        <v>44328</v>
      </c>
      <c r="D21" s="161" t="s">
        <v>8</v>
      </c>
      <c r="E21" s="161" t="s">
        <v>2203</v>
      </c>
      <c r="F21" s="222">
        <v>1145</v>
      </c>
      <c r="G21" s="222">
        <v>1158</v>
      </c>
      <c r="H21" s="222">
        <v>-13</v>
      </c>
      <c r="I21" s="207">
        <f t="shared" si="6"/>
        <v>262.00873362445412</v>
      </c>
      <c r="J21" s="242">
        <f t="shared" si="7"/>
        <v>-3406.1135371179034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44330</v>
      </c>
      <c r="D22" s="161" t="s">
        <v>9</v>
      </c>
      <c r="E22" s="161" t="s">
        <v>58</v>
      </c>
      <c r="F22" s="222">
        <v>696</v>
      </c>
      <c r="G22" s="222">
        <v>698.5</v>
      </c>
      <c r="H22" s="222">
        <f>698.5-696</f>
        <v>2.5</v>
      </c>
      <c r="I22" s="207">
        <f t="shared" si="6"/>
        <v>431.0344827586207</v>
      </c>
      <c r="J22" s="242">
        <f t="shared" si="7"/>
        <v>1077.5862068965516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44330</v>
      </c>
      <c r="D23" s="161" t="s">
        <v>8</v>
      </c>
      <c r="E23" s="161" t="s">
        <v>299</v>
      </c>
      <c r="F23" s="222">
        <v>1240</v>
      </c>
      <c r="G23" s="222">
        <v>1227</v>
      </c>
      <c r="H23" s="222">
        <f>1240-1227</f>
        <v>13</v>
      </c>
      <c r="I23" s="207">
        <f t="shared" si="6"/>
        <v>241.93548387096774</v>
      </c>
      <c r="J23" s="242">
        <f t="shared" si="7"/>
        <v>3145.1612903225805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44333</v>
      </c>
      <c r="D24" s="161" t="s">
        <v>9</v>
      </c>
      <c r="E24" s="161" t="s">
        <v>299</v>
      </c>
      <c r="F24" s="222">
        <v>1265</v>
      </c>
      <c r="G24" s="222">
        <v>1295</v>
      </c>
      <c r="H24" s="222">
        <v>30</v>
      </c>
      <c r="I24" s="207">
        <f t="shared" si="6"/>
        <v>237.15415019762847</v>
      </c>
      <c r="J24" s="242">
        <f t="shared" si="7"/>
        <v>7114.624505928854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44333</v>
      </c>
      <c r="D25" s="161" t="s">
        <v>8</v>
      </c>
      <c r="E25" s="161" t="s">
        <v>25</v>
      </c>
      <c r="F25" s="222">
        <v>1115</v>
      </c>
      <c r="G25" s="222">
        <v>1105</v>
      </c>
      <c r="H25" s="222">
        <v>10</v>
      </c>
      <c r="I25" s="207">
        <f t="shared" si="6"/>
        <v>269.05829596412553</v>
      </c>
      <c r="J25" s="242">
        <f t="shared" si="7"/>
        <v>2690.5829596412555</v>
      </c>
      <c r="K25" s="153"/>
      <c r="V25" s="25">
        <f t="shared" si="3"/>
        <v>1</v>
      </c>
      <c r="W25" s="25">
        <f t="shared" si="4"/>
        <v>0</v>
      </c>
    </row>
    <row r="26" spans="1:23" x14ac:dyDescent="0.3">
      <c r="A26" s="147"/>
      <c r="B26" s="205">
        <f t="shared" si="5"/>
        <v>21</v>
      </c>
      <c r="C26" s="206">
        <v>44334</v>
      </c>
      <c r="D26" s="161" t="s">
        <v>9</v>
      </c>
      <c r="E26" s="161" t="s">
        <v>25</v>
      </c>
      <c r="F26" s="222">
        <v>1190</v>
      </c>
      <c r="G26" s="222">
        <v>1175</v>
      </c>
      <c r="H26" s="222">
        <v>-15</v>
      </c>
      <c r="I26" s="207">
        <f t="shared" si="6"/>
        <v>252.10084033613447</v>
      </c>
      <c r="J26" s="242">
        <f t="shared" si="7"/>
        <v>-3781.5126050420172</v>
      </c>
      <c r="K26" s="153"/>
      <c r="V26" s="25">
        <f t="shared" si="3"/>
        <v>0</v>
      </c>
      <c r="W26" s="25">
        <f t="shared" si="4"/>
        <v>1</v>
      </c>
    </row>
    <row r="27" spans="1:23" x14ac:dyDescent="0.3">
      <c r="A27" s="147"/>
      <c r="B27" s="205">
        <f t="shared" si="5"/>
        <v>22</v>
      </c>
      <c r="C27" s="206">
        <v>44334</v>
      </c>
      <c r="D27" s="161" t="s">
        <v>8</v>
      </c>
      <c r="E27" s="161" t="s">
        <v>31</v>
      </c>
      <c r="F27" s="222">
        <v>1977</v>
      </c>
      <c r="G27" s="222">
        <v>1992</v>
      </c>
      <c r="H27" s="222">
        <v>-15</v>
      </c>
      <c r="I27" s="207">
        <f t="shared" si="6"/>
        <v>151.74506828528072</v>
      </c>
      <c r="J27" s="242">
        <f t="shared" si="7"/>
        <v>-2276.1760242792107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44335</v>
      </c>
      <c r="D28" s="161" t="s">
        <v>9</v>
      </c>
      <c r="E28" s="161" t="s">
        <v>3248</v>
      </c>
      <c r="F28" s="222">
        <v>825</v>
      </c>
      <c r="G28" s="222">
        <v>825</v>
      </c>
      <c r="H28" s="222">
        <v>0</v>
      </c>
      <c r="I28" s="207">
        <f t="shared" si="6"/>
        <v>363.63636363636363</v>
      </c>
      <c r="J28" s="242">
        <f t="shared" si="7"/>
        <v>0</v>
      </c>
      <c r="K28" s="153"/>
      <c r="M28" s="25" t="s">
        <v>2008</v>
      </c>
      <c r="V28" s="25">
        <f t="shared" si="3"/>
        <v>0</v>
      </c>
      <c r="W28" s="25">
        <f t="shared" si="4"/>
        <v>0</v>
      </c>
    </row>
    <row r="29" spans="1:23" x14ac:dyDescent="0.3">
      <c r="A29" s="147"/>
      <c r="B29" s="205">
        <f t="shared" si="5"/>
        <v>24</v>
      </c>
      <c r="C29" s="206">
        <v>44335</v>
      </c>
      <c r="D29" s="161" t="s">
        <v>8</v>
      </c>
      <c r="E29" s="161" t="s">
        <v>2023</v>
      </c>
      <c r="F29" s="222">
        <v>5650</v>
      </c>
      <c r="G29" s="222">
        <v>5610</v>
      </c>
      <c r="H29" s="222">
        <v>40</v>
      </c>
      <c r="I29" s="207">
        <f t="shared" si="6"/>
        <v>53.097345132743364</v>
      </c>
      <c r="J29" s="242">
        <f t="shared" si="7"/>
        <v>2123.8938053097345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44336</v>
      </c>
      <c r="D30" s="161" t="s">
        <v>9</v>
      </c>
      <c r="E30" s="161" t="s">
        <v>16</v>
      </c>
      <c r="F30" s="222">
        <v>1560</v>
      </c>
      <c r="G30" s="222">
        <v>1545</v>
      </c>
      <c r="H30" s="222">
        <v>-15</v>
      </c>
      <c r="I30" s="207">
        <f t="shared" si="6"/>
        <v>192.30769230769232</v>
      </c>
      <c r="J30" s="242">
        <f t="shared" si="7"/>
        <v>-2884.6153846153848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44336</v>
      </c>
      <c r="D31" s="161" t="s">
        <v>9</v>
      </c>
      <c r="E31" s="161" t="s">
        <v>3352</v>
      </c>
      <c r="F31" s="222">
        <v>161.5</v>
      </c>
      <c r="G31" s="222">
        <v>162.5</v>
      </c>
      <c r="H31" s="222">
        <v>1</v>
      </c>
      <c r="I31" s="207">
        <f t="shared" si="6"/>
        <v>1857.5851393188855</v>
      </c>
      <c r="J31" s="242">
        <f t="shared" si="7"/>
        <v>1857.5851393188855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44337</v>
      </c>
      <c r="D32" s="161" t="s">
        <v>9</v>
      </c>
      <c r="E32" s="161" t="s">
        <v>2944</v>
      </c>
      <c r="F32" s="222">
        <v>1166</v>
      </c>
      <c r="G32" s="222">
        <v>1169</v>
      </c>
      <c r="H32" s="222">
        <v>3</v>
      </c>
      <c r="I32" s="207">
        <f t="shared" si="6"/>
        <v>257.28987993138935</v>
      </c>
      <c r="J32" s="242">
        <f t="shared" si="7"/>
        <v>771.86963979416805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44337</v>
      </c>
      <c r="D33" s="161" t="s">
        <v>8</v>
      </c>
      <c r="E33" s="161" t="s">
        <v>2298</v>
      </c>
      <c r="F33" s="222">
        <v>2133</v>
      </c>
      <c r="G33" s="222">
        <v>2118</v>
      </c>
      <c r="H33" s="222">
        <f>2133-2118</f>
        <v>15</v>
      </c>
      <c r="I33" s="207">
        <f t="shared" si="6"/>
        <v>140.64697609001408</v>
      </c>
      <c r="J33" s="242">
        <f t="shared" si="7"/>
        <v>2109.7046413502112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44340</v>
      </c>
      <c r="D34" s="161" t="s">
        <v>9</v>
      </c>
      <c r="E34" s="161" t="s">
        <v>3248</v>
      </c>
      <c r="F34" s="222">
        <v>1325</v>
      </c>
      <c r="G34" s="222">
        <v>1355</v>
      </c>
      <c r="H34" s="222">
        <f>1355-1325</f>
        <v>30</v>
      </c>
      <c r="I34" s="207">
        <f t="shared" si="6"/>
        <v>226.41509433962264</v>
      </c>
      <c r="J34" s="242">
        <f t="shared" si="7"/>
        <v>6792.4528301886794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44340</v>
      </c>
      <c r="D35" s="161" t="s">
        <v>8</v>
      </c>
      <c r="E35" s="161" t="s">
        <v>3188</v>
      </c>
      <c r="F35" s="222">
        <v>1510</v>
      </c>
      <c r="G35" s="222">
        <v>1490</v>
      </c>
      <c r="H35" s="222">
        <f>1510-1490</f>
        <v>20</v>
      </c>
      <c r="I35" s="207">
        <f t="shared" si="6"/>
        <v>198.67549668874173</v>
      </c>
      <c r="J35" s="242">
        <f t="shared" si="7"/>
        <v>3973.5099337748347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44341</v>
      </c>
      <c r="D36" s="161" t="s">
        <v>9</v>
      </c>
      <c r="E36" s="161" t="s">
        <v>25</v>
      </c>
      <c r="F36" s="222">
        <v>1118</v>
      </c>
      <c r="G36" s="222">
        <v>1123</v>
      </c>
      <c r="H36" s="222">
        <v>5</v>
      </c>
      <c r="I36" s="207">
        <f t="shared" si="6"/>
        <v>268.33631484794273</v>
      </c>
      <c r="J36" s="242">
        <f t="shared" si="7"/>
        <v>1341.6815742397137</v>
      </c>
      <c r="K36" s="153"/>
      <c r="V36" s="25">
        <f t="shared" si="3"/>
        <v>1</v>
      </c>
      <c r="W36" s="25">
        <f t="shared" si="4"/>
        <v>0</v>
      </c>
    </row>
    <row r="37" spans="1:23" x14ac:dyDescent="0.3">
      <c r="A37" s="147"/>
      <c r="B37" s="205">
        <f t="shared" si="5"/>
        <v>32</v>
      </c>
      <c r="C37" s="206">
        <v>44341</v>
      </c>
      <c r="D37" s="161" t="s">
        <v>8</v>
      </c>
      <c r="E37" s="161" t="s">
        <v>78</v>
      </c>
      <c r="F37" s="222">
        <v>1448</v>
      </c>
      <c r="G37" s="222">
        <v>1443.5</v>
      </c>
      <c r="H37" s="222">
        <f>1448-1443.5</f>
        <v>4.5</v>
      </c>
      <c r="I37" s="207">
        <f t="shared" si="6"/>
        <v>207.18232044198896</v>
      </c>
      <c r="J37" s="242">
        <f t="shared" si="7"/>
        <v>932.32044198895028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44342</v>
      </c>
      <c r="D38" s="161" t="s">
        <v>9</v>
      </c>
      <c r="E38" s="161" t="s">
        <v>361</v>
      </c>
      <c r="F38" s="222">
        <v>223</v>
      </c>
      <c r="G38" s="222">
        <v>224</v>
      </c>
      <c r="H38" s="222">
        <v>1</v>
      </c>
      <c r="I38" s="207">
        <f t="shared" si="6"/>
        <v>1345.2914798206277</v>
      </c>
      <c r="J38" s="242">
        <f t="shared" si="7"/>
        <v>1345.2914798206277</v>
      </c>
      <c r="K38" s="153"/>
      <c r="V38" s="25">
        <f t="shared" si="3"/>
        <v>1</v>
      </c>
      <c r="W38" s="25">
        <f t="shared" si="4"/>
        <v>0</v>
      </c>
    </row>
    <row r="39" spans="1:23" x14ac:dyDescent="0.3">
      <c r="A39" s="147"/>
      <c r="B39" s="205">
        <f t="shared" si="5"/>
        <v>34</v>
      </c>
      <c r="C39" s="206">
        <v>44342</v>
      </c>
      <c r="D39" s="161" t="s">
        <v>8</v>
      </c>
      <c r="E39" s="161" t="s">
        <v>2023</v>
      </c>
      <c r="F39" s="222">
        <v>5600</v>
      </c>
      <c r="G39" s="222">
        <v>5587</v>
      </c>
      <c r="H39" s="222">
        <f>5600-5587</f>
        <v>13</v>
      </c>
      <c r="I39" s="207">
        <f t="shared" si="6"/>
        <v>53.571428571428569</v>
      </c>
      <c r="J39" s="242">
        <f t="shared" si="7"/>
        <v>696.42857142857144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44343</v>
      </c>
      <c r="D40" s="161" t="s">
        <v>9</v>
      </c>
      <c r="E40" s="161" t="s">
        <v>862</v>
      </c>
      <c r="F40" s="222">
        <v>822</v>
      </c>
      <c r="G40" s="222">
        <v>812</v>
      </c>
      <c r="H40" s="222">
        <f>822-812</f>
        <v>10</v>
      </c>
      <c r="I40" s="207">
        <f t="shared" si="6"/>
        <v>364.96350364963502</v>
      </c>
      <c r="J40" s="242">
        <f t="shared" si="7"/>
        <v>3649.63503649635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44343</v>
      </c>
      <c r="D41" s="161" t="s">
        <v>8</v>
      </c>
      <c r="E41" s="161" t="s">
        <v>364</v>
      </c>
      <c r="F41" s="222">
        <v>5250</v>
      </c>
      <c r="G41" s="223">
        <v>5235</v>
      </c>
      <c r="H41" s="222">
        <f>5250-5235</f>
        <v>15</v>
      </c>
      <c r="I41" s="207">
        <f t="shared" si="6"/>
        <v>57.142857142857146</v>
      </c>
      <c r="J41" s="242">
        <f t="shared" si="7"/>
        <v>857.14285714285722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44344</v>
      </c>
      <c r="D42" s="161" t="s">
        <v>9</v>
      </c>
      <c r="E42" s="161" t="s">
        <v>31</v>
      </c>
      <c r="F42" s="222">
        <v>2010</v>
      </c>
      <c r="G42" s="222">
        <v>2050</v>
      </c>
      <c r="H42" s="222">
        <v>40</v>
      </c>
      <c r="I42" s="207">
        <f t="shared" si="6"/>
        <v>149.25373134328359</v>
      </c>
      <c r="J42" s="242">
        <f t="shared" si="7"/>
        <v>5970.1492537313434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44344</v>
      </c>
      <c r="D43" s="161" t="s">
        <v>8</v>
      </c>
      <c r="E43" s="161" t="s">
        <v>16</v>
      </c>
      <c r="F43" s="222">
        <v>1575</v>
      </c>
      <c r="G43" s="222">
        <v>1571</v>
      </c>
      <c r="H43" s="222">
        <v>4</v>
      </c>
      <c r="I43" s="207">
        <f t="shared" si="6"/>
        <v>190.47619047619048</v>
      </c>
      <c r="J43" s="242">
        <f t="shared" si="7"/>
        <v>761.90476190476193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44347</v>
      </c>
      <c r="D44" s="161" t="s">
        <v>9</v>
      </c>
      <c r="E44" s="161" t="s">
        <v>31</v>
      </c>
      <c r="F44" s="222">
        <v>2120</v>
      </c>
      <c r="G44" s="222">
        <v>2160</v>
      </c>
      <c r="H44" s="222">
        <v>40</v>
      </c>
      <c r="I44" s="207">
        <f t="shared" si="6"/>
        <v>141.50943396226415</v>
      </c>
      <c r="J44" s="242">
        <f t="shared" si="7"/>
        <v>5660.3773584905666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44347</v>
      </c>
      <c r="D45" s="161" t="s">
        <v>8</v>
      </c>
      <c r="E45" s="161" t="s">
        <v>2563</v>
      </c>
      <c r="F45" s="222">
        <v>1740</v>
      </c>
      <c r="G45" s="222">
        <v>1733</v>
      </c>
      <c r="H45" s="222">
        <f>1740-1733</f>
        <v>7</v>
      </c>
      <c r="I45" s="207">
        <f t="shared" si="6"/>
        <v>172.41379310344828</v>
      </c>
      <c r="J45" s="242">
        <f t="shared" si="7"/>
        <v>1206.8965517241379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/>
      <c r="D46" s="161"/>
      <c r="E46" s="161"/>
      <c r="F46" s="222"/>
      <c r="G46" s="222"/>
      <c r="H46" s="222"/>
      <c r="I46" s="207"/>
      <c r="J46" s="242"/>
      <c r="K46" s="153"/>
      <c r="V46" s="25">
        <f t="shared" si="3"/>
        <v>0</v>
      </c>
      <c r="W46" s="25">
        <f t="shared" si="4"/>
        <v>0</v>
      </c>
    </row>
    <row r="47" spans="1:23" x14ac:dyDescent="0.3">
      <c r="A47" s="147"/>
      <c r="B47" s="205">
        <f t="shared" si="5"/>
        <v>42</v>
      </c>
      <c r="C47" s="206"/>
      <c r="D47" s="161"/>
      <c r="E47" s="161"/>
      <c r="F47" s="222"/>
      <c r="G47" s="222"/>
      <c r="H47" s="222"/>
      <c r="I47" s="207"/>
      <c r="J47" s="242"/>
      <c r="K47" s="153"/>
      <c r="V47" s="25">
        <f t="shared" si="3"/>
        <v>0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/>
      <c r="D48" s="161"/>
      <c r="E48" s="161"/>
      <c r="F48" s="222"/>
      <c r="G48" s="222"/>
      <c r="H48" s="222"/>
      <c r="I48" s="207"/>
      <c r="J48" s="242"/>
      <c r="K48" s="153"/>
      <c r="V48" s="25">
        <f t="shared" si="3"/>
        <v>0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/>
      <c r="D49" s="161"/>
      <c r="E49" s="161"/>
      <c r="F49" s="222"/>
      <c r="G49" s="222"/>
      <c r="H49" s="222"/>
      <c r="I49" s="207"/>
      <c r="J49" s="242"/>
      <c r="K49" s="153"/>
      <c r="V49" s="25">
        <f t="shared" si="3"/>
        <v>0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87624.847081515894</v>
      </c>
      <c r="K52" s="153"/>
      <c r="V52" s="25">
        <f>SUM(V6:V51)</f>
        <v>33</v>
      </c>
      <c r="W52" s="25">
        <f>SUM(W6:W51)</f>
        <v>6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3331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44319</v>
      </c>
      <c r="D60" s="161" t="s">
        <v>9</v>
      </c>
      <c r="E60" s="161" t="s">
        <v>2023</v>
      </c>
      <c r="F60" s="222">
        <v>5430</v>
      </c>
      <c r="G60" s="222">
        <v>5490</v>
      </c>
      <c r="H60" s="222">
        <v>60</v>
      </c>
      <c r="I60" s="207">
        <v>250</v>
      </c>
      <c r="J60" s="241">
        <f t="shared" ref="J60:J83" si="15">I60*H60</f>
        <v>15000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44320</v>
      </c>
      <c r="D61" s="161" t="s">
        <v>9</v>
      </c>
      <c r="E61" s="161" t="s">
        <v>2023</v>
      </c>
      <c r="F61" s="222">
        <v>5640</v>
      </c>
      <c r="G61" s="222">
        <v>5700</v>
      </c>
      <c r="H61" s="222">
        <v>60</v>
      </c>
      <c r="I61" s="207">
        <v>250</v>
      </c>
      <c r="J61" s="242">
        <f t="shared" si="15"/>
        <v>15000</v>
      </c>
      <c r="K61" s="153"/>
      <c r="O61" s="25" t="s">
        <v>2008</v>
      </c>
      <c r="V61" s="25">
        <f t="shared" ref="V61:V83" si="16">IF($J61&gt;0,1,0)</f>
        <v>1</v>
      </c>
      <c r="W61" s="25">
        <f t="shared" ref="W61:W83" si="17">IF($J61&lt;0,1,0)</f>
        <v>0</v>
      </c>
    </row>
    <row r="62" spans="1:23" x14ac:dyDescent="0.3">
      <c r="A62" s="147"/>
      <c r="B62" s="205">
        <f t="shared" ref="B62:B83" si="18">B61+1</f>
        <v>3</v>
      </c>
      <c r="C62" s="206">
        <v>44321</v>
      </c>
      <c r="D62" s="161" t="s">
        <v>9</v>
      </c>
      <c r="E62" s="161" t="s">
        <v>2023</v>
      </c>
      <c r="F62" s="222">
        <v>5600</v>
      </c>
      <c r="G62" s="222">
        <v>5570</v>
      </c>
      <c r="H62" s="222">
        <v>-30</v>
      </c>
      <c r="I62" s="207">
        <v>250</v>
      </c>
      <c r="J62" s="242">
        <f t="shared" si="15"/>
        <v>-7500</v>
      </c>
      <c r="K62" s="153"/>
      <c r="V62" s="25">
        <f t="shared" si="16"/>
        <v>0</v>
      </c>
      <c r="W62" s="25">
        <f t="shared" si="17"/>
        <v>1</v>
      </c>
    </row>
    <row r="63" spans="1:23" x14ac:dyDescent="0.3">
      <c r="A63" s="147"/>
      <c r="B63" s="205">
        <f t="shared" si="18"/>
        <v>4</v>
      </c>
      <c r="C63" s="206">
        <v>44322</v>
      </c>
      <c r="D63" s="161" t="s">
        <v>9</v>
      </c>
      <c r="E63" s="161" t="s">
        <v>78</v>
      </c>
      <c r="F63" s="222">
        <v>1352</v>
      </c>
      <c r="G63" s="222">
        <v>1363.9</v>
      </c>
      <c r="H63" s="222">
        <f>1363.9-1352</f>
        <v>11.900000000000091</v>
      </c>
      <c r="I63" s="207">
        <v>375</v>
      </c>
      <c r="J63" s="242">
        <f t="shared" si="15"/>
        <v>4462.5000000000346</v>
      </c>
      <c r="K63" s="153"/>
      <c r="L63" s="25" t="s">
        <v>2008</v>
      </c>
      <c r="V63" s="25">
        <f t="shared" si="16"/>
        <v>1</v>
      </c>
      <c r="W63" s="25">
        <f t="shared" si="17"/>
        <v>0</v>
      </c>
    </row>
    <row r="64" spans="1:23" x14ac:dyDescent="0.3">
      <c r="A64" s="147"/>
      <c r="B64" s="205">
        <f t="shared" si="18"/>
        <v>5</v>
      </c>
      <c r="C64" s="206">
        <v>44323</v>
      </c>
      <c r="D64" s="161" t="s">
        <v>8</v>
      </c>
      <c r="E64" s="161" t="s">
        <v>2023</v>
      </c>
      <c r="F64" s="222">
        <v>5580</v>
      </c>
      <c r="G64" s="222">
        <v>5520</v>
      </c>
      <c r="H64" s="222">
        <v>60</v>
      </c>
      <c r="I64" s="207">
        <v>250</v>
      </c>
      <c r="J64" s="242">
        <f t="shared" si="15"/>
        <v>15000</v>
      </c>
      <c r="K64" s="153"/>
      <c r="V64" s="25">
        <f t="shared" si="16"/>
        <v>1</v>
      </c>
      <c r="W64" s="25">
        <f t="shared" si="17"/>
        <v>0</v>
      </c>
    </row>
    <row r="65" spans="1:23" x14ac:dyDescent="0.3">
      <c r="A65" s="147"/>
      <c r="B65" s="205">
        <f t="shared" si="18"/>
        <v>6</v>
      </c>
      <c r="C65" s="206">
        <v>44326</v>
      </c>
      <c r="D65" s="161" t="s">
        <v>9</v>
      </c>
      <c r="E65" s="161" t="s">
        <v>3248</v>
      </c>
      <c r="F65" s="222">
        <v>1252</v>
      </c>
      <c r="G65" s="222">
        <v>1260.5</v>
      </c>
      <c r="H65" s="222">
        <f>1260.5-1252</f>
        <v>8.5</v>
      </c>
      <c r="I65" s="207">
        <v>650</v>
      </c>
      <c r="J65" s="242">
        <f t="shared" si="15"/>
        <v>5525</v>
      </c>
      <c r="K65" s="153"/>
      <c r="V65" s="25">
        <f t="shared" si="16"/>
        <v>1</v>
      </c>
      <c r="W65" s="25">
        <f t="shared" si="17"/>
        <v>0</v>
      </c>
    </row>
    <row r="66" spans="1:23" x14ac:dyDescent="0.3">
      <c r="A66" s="147"/>
      <c r="B66" s="205">
        <f t="shared" si="18"/>
        <v>7</v>
      </c>
      <c r="C66" s="206">
        <v>44327</v>
      </c>
      <c r="D66" s="161" t="s">
        <v>9</v>
      </c>
      <c r="E66" s="161" t="s">
        <v>534</v>
      </c>
      <c r="F66" s="222">
        <v>6560</v>
      </c>
      <c r="G66" s="222">
        <v>6636</v>
      </c>
      <c r="H66" s="222">
        <v>76</v>
      </c>
      <c r="I66" s="207">
        <v>100</v>
      </c>
      <c r="J66" s="242">
        <f t="shared" si="15"/>
        <v>7600</v>
      </c>
      <c r="K66" s="153"/>
      <c r="V66" s="25">
        <f t="shared" si="16"/>
        <v>1</v>
      </c>
      <c r="W66" s="25">
        <f t="shared" si="17"/>
        <v>0</v>
      </c>
    </row>
    <row r="67" spans="1:23" x14ac:dyDescent="0.3">
      <c r="A67" s="147"/>
      <c r="B67" s="205">
        <f t="shared" si="18"/>
        <v>8</v>
      </c>
      <c r="C67" s="206">
        <v>44328</v>
      </c>
      <c r="D67" s="161" t="s">
        <v>9</v>
      </c>
      <c r="E67" s="161" t="s">
        <v>2563</v>
      </c>
      <c r="F67" s="222">
        <v>1690</v>
      </c>
      <c r="G67" s="222">
        <v>1675</v>
      </c>
      <c r="H67" s="222">
        <v>-15</v>
      </c>
      <c r="I67" s="207">
        <v>500</v>
      </c>
      <c r="J67" s="242">
        <f t="shared" si="15"/>
        <v>-7500</v>
      </c>
      <c r="K67" s="153"/>
      <c r="V67" s="25">
        <f t="shared" si="16"/>
        <v>0</v>
      </c>
      <c r="W67" s="25">
        <f t="shared" si="17"/>
        <v>1</v>
      </c>
    </row>
    <row r="68" spans="1:23" x14ac:dyDescent="0.3">
      <c r="A68" s="147"/>
      <c r="B68" s="205">
        <f t="shared" si="18"/>
        <v>9</v>
      </c>
      <c r="C68" s="206">
        <v>44330</v>
      </c>
      <c r="D68" s="161" t="s">
        <v>9</v>
      </c>
      <c r="E68" s="161" t="s">
        <v>95</v>
      </c>
      <c r="F68" s="222">
        <v>601</v>
      </c>
      <c r="G68" s="222">
        <v>603.20000000000005</v>
      </c>
      <c r="H68" s="222">
        <v>2.2000000000000002</v>
      </c>
      <c r="I68" s="207">
        <v>1375</v>
      </c>
      <c r="J68" s="242">
        <f t="shared" si="15"/>
        <v>3025.0000000000005</v>
      </c>
      <c r="K68" s="153"/>
      <c r="V68" s="25">
        <f t="shared" si="16"/>
        <v>1</v>
      </c>
      <c r="W68" s="25">
        <f t="shared" si="17"/>
        <v>0</v>
      </c>
    </row>
    <row r="69" spans="1:23" x14ac:dyDescent="0.3">
      <c r="A69" s="147"/>
      <c r="B69" s="205">
        <f t="shared" si="18"/>
        <v>10</v>
      </c>
      <c r="C69" s="206">
        <v>44333</v>
      </c>
      <c r="D69" s="161" t="s">
        <v>9</v>
      </c>
      <c r="E69" s="161" t="s">
        <v>2107</v>
      </c>
      <c r="F69" s="222">
        <v>1660</v>
      </c>
      <c r="G69" s="222">
        <v>1645</v>
      </c>
      <c r="H69" s="222">
        <v>-15</v>
      </c>
      <c r="I69" s="207">
        <v>275</v>
      </c>
      <c r="J69" s="242">
        <f t="shared" si="15"/>
        <v>-4125</v>
      </c>
      <c r="K69" s="153"/>
      <c r="V69" s="25">
        <f t="shared" si="16"/>
        <v>0</v>
      </c>
      <c r="W69" s="25">
        <f t="shared" si="17"/>
        <v>1</v>
      </c>
    </row>
    <row r="70" spans="1:23" x14ac:dyDescent="0.3">
      <c r="A70" s="147"/>
      <c r="B70" s="205">
        <f t="shared" si="18"/>
        <v>11</v>
      </c>
      <c r="C70" s="206">
        <v>44334</v>
      </c>
      <c r="D70" s="161" t="s">
        <v>8</v>
      </c>
      <c r="E70" s="161" t="s">
        <v>3248</v>
      </c>
      <c r="F70" s="161">
        <v>833</v>
      </c>
      <c r="G70" s="222">
        <v>819.2</v>
      </c>
      <c r="H70" s="222">
        <f>833-819.2</f>
        <v>13.799999999999955</v>
      </c>
      <c r="I70" s="207">
        <v>1000</v>
      </c>
      <c r="J70" s="242">
        <f t="shared" si="15"/>
        <v>13799.999999999955</v>
      </c>
      <c r="K70" s="153"/>
      <c r="V70" s="25">
        <f t="shared" si="16"/>
        <v>1</v>
      </c>
      <c r="W70" s="25">
        <f t="shared" si="17"/>
        <v>0</v>
      </c>
    </row>
    <row r="71" spans="1:23" x14ac:dyDescent="0.3">
      <c r="A71" s="147"/>
      <c r="B71" s="205">
        <f t="shared" si="18"/>
        <v>12</v>
      </c>
      <c r="C71" s="206">
        <v>44335</v>
      </c>
      <c r="D71" s="161" t="s">
        <v>9</v>
      </c>
      <c r="E71" s="161" t="s">
        <v>2023</v>
      </c>
      <c r="F71" s="222">
        <v>5700</v>
      </c>
      <c r="G71" s="222">
        <v>5730</v>
      </c>
      <c r="H71" s="222">
        <v>30</v>
      </c>
      <c r="I71" s="207">
        <v>250</v>
      </c>
      <c r="J71" s="242">
        <f t="shared" si="15"/>
        <v>7500</v>
      </c>
      <c r="K71" s="153"/>
      <c r="V71" s="25">
        <f t="shared" si="16"/>
        <v>1</v>
      </c>
      <c r="W71" s="25">
        <f t="shared" si="17"/>
        <v>0</v>
      </c>
    </row>
    <row r="72" spans="1:23" x14ac:dyDescent="0.3">
      <c r="A72" s="147"/>
      <c r="B72" s="205">
        <f t="shared" si="18"/>
        <v>13</v>
      </c>
      <c r="C72" s="206">
        <v>44336</v>
      </c>
      <c r="D72" s="161" t="s">
        <v>8</v>
      </c>
      <c r="E72" s="161" t="s">
        <v>126</v>
      </c>
      <c r="F72" s="222">
        <v>3060</v>
      </c>
      <c r="G72" s="222">
        <v>3049</v>
      </c>
      <c r="H72" s="222">
        <f>3060-3049</f>
        <v>11</v>
      </c>
      <c r="I72" s="207">
        <v>300</v>
      </c>
      <c r="J72" s="242">
        <f t="shared" si="15"/>
        <v>3300</v>
      </c>
      <c r="K72" s="153"/>
      <c r="V72" s="25">
        <f t="shared" si="16"/>
        <v>1</v>
      </c>
      <c r="W72" s="25">
        <f t="shared" si="17"/>
        <v>0</v>
      </c>
    </row>
    <row r="73" spans="1:23" x14ac:dyDescent="0.3">
      <c r="A73" s="147"/>
      <c r="B73" s="205">
        <f t="shared" si="18"/>
        <v>14</v>
      </c>
      <c r="C73" s="206">
        <v>44337</v>
      </c>
      <c r="D73" s="161" t="s">
        <v>9</v>
      </c>
      <c r="E73" s="161" t="s">
        <v>2023</v>
      </c>
      <c r="F73" s="223">
        <v>5710</v>
      </c>
      <c r="G73" s="222">
        <v>5680</v>
      </c>
      <c r="H73" s="255">
        <v>-30</v>
      </c>
      <c r="I73" s="207">
        <v>250</v>
      </c>
      <c r="J73" s="242">
        <f t="shared" si="15"/>
        <v>-7500</v>
      </c>
      <c r="K73" s="153"/>
      <c r="V73" s="25">
        <f t="shared" si="16"/>
        <v>0</v>
      </c>
      <c r="W73" s="25">
        <f t="shared" si="17"/>
        <v>1</v>
      </c>
    </row>
    <row r="74" spans="1:23" x14ac:dyDescent="0.3">
      <c r="A74" s="147"/>
      <c r="B74" s="205">
        <f t="shared" si="18"/>
        <v>15</v>
      </c>
      <c r="C74" s="206">
        <v>44340</v>
      </c>
      <c r="D74" s="161" t="s">
        <v>8</v>
      </c>
      <c r="E74" s="161" t="s">
        <v>1361</v>
      </c>
      <c r="F74" s="222">
        <v>808</v>
      </c>
      <c r="G74" s="222">
        <v>803.5</v>
      </c>
      <c r="H74" s="255">
        <f>808-803.5</f>
        <v>4.5</v>
      </c>
      <c r="I74" s="207">
        <v>1000</v>
      </c>
      <c r="J74" s="242">
        <f t="shared" si="15"/>
        <v>4500</v>
      </c>
      <c r="K74" s="153"/>
      <c r="V74" s="25">
        <f t="shared" si="16"/>
        <v>1</v>
      </c>
      <c r="W74" s="25">
        <f t="shared" si="17"/>
        <v>0</v>
      </c>
    </row>
    <row r="75" spans="1:23" x14ac:dyDescent="0.3">
      <c r="A75" s="147"/>
      <c r="B75" s="205">
        <f t="shared" si="18"/>
        <v>16</v>
      </c>
      <c r="C75" s="206">
        <v>44341</v>
      </c>
      <c r="D75" s="161" t="s">
        <v>8</v>
      </c>
      <c r="E75" s="161" t="s">
        <v>586</v>
      </c>
      <c r="F75" s="222">
        <v>1360</v>
      </c>
      <c r="G75" s="222">
        <v>1375</v>
      </c>
      <c r="H75" s="255">
        <v>-15</v>
      </c>
      <c r="I75" s="207">
        <v>1350</v>
      </c>
      <c r="J75" s="242">
        <f t="shared" si="15"/>
        <v>-20250</v>
      </c>
      <c r="K75" s="153"/>
      <c r="V75" s="25">
        <f t="shared" si="16"/>
        <v>0</v>
      </c>
      <c r="W75" s="25">
        <f t="shared" si="17"/>
        <v>1</v>
      </c>
    </row>
    <row r="76" spans="1:23" x14ac:dyDescent="0.3">
      <c r="A76" s="147"/>
      <c r="B76" s="205">
        <f t="shared" si="18"/>
        <v>17</v>
      </c>
      <c r="C76" s="206">
        <v>44342</v>
      </c>
      <c r="D76" s="161" t="s">
        <v>8</v>
      </c>
      <c r="E76" s="161" t="s">
        <v>58</v>
      </c>
      <c r="F76" s="222">
        <v>733.5</v>
      </c>
      <c r="G76" s="222">
        <v>739.5</v>
      </c>
      <c r="H76" s="222">
        <v>-6</v>
      </c>
      <c r="I76" s="207">
        <v>1200</v>
      </c>
      <c r="J76" s="242">
        <f t="shared" si="15"/>
        <v>-7200</v>
      </c>
      <c r="K76" s="153"/>
      <c r="V76" s="25">
        <f t="shared" si="16"/>
        <v>0</v>
      </c>
      <c r="W76" s="25">
        <f t="shared" si="17"/>
        <v>1</v>
      </c>
    </row>
    <row r="77" spans="1:23" x14ac:dyDescent="0.3">
      <c r="A77" s="147"/>
      <c r="B77" s="205">
        <f t="shared" si="18"/>
        <v>18</v>
      </c>
      <c r="C77" s="206">
        <v>44343</v>
      </c>
      <c r="D77" s="161" t="s">
        <v>8</v>
      </c>
      <c r="E77" s="161" t="s">
        <v>2023</v>
      </c>
      <c r="F77" s="222">
        <v>5710</v>
      </c>
      <c r="G77" s="222">
        <v>5650</v>
      </c>
      <c r="H77" s="222">
        <f>5710-5650</f>
        <v>60</v>
      </c>
      <c r="I77" s="207">
        <v>250</v>
      </c>
      <c r="J77" s="242">
        <f t="shared" si="15"/>
        <v>15000</v>
      </c>
      <c r="K77" s="153"/>
      <c r="V77" s="25">
        <f t="shared" si="16"/>
        <v>1</v>
      </c>
      <c r="W77" s="25">
        <f t="shared" si="17"/>
        <v>0</v>
      </c>
    </row>
    <row r="78" spans="1:23" x14ac:dyDescent="0.3">
      <c r="A78" s="147"/>
      <c r="B78" s="205">
        <f t="shared" si="18"/>
        <v>19</v>
      </c>
      <c r="C78" s="206">
        <v>44344</v>
      </c>
      <c r="D78" s="161" t="s">
        <v>8</v>
      </c>
      <c r="E78" s="161" t="s">
        <v>95</v>
      </c>
      <c r="F78" s="222">
        <v>657</v>
      </c>
      <c r="G78" s="222">
        <v>646</v>
      </c>
      <c r="H78" s="222">
        <f>657-646</f>
        <v>11</v>
      </c>
      <c r="I78" s="207">
        <v>1375</v>
      </c>
      <c r="J78" s="242">
        <f t="shared" si="15"/>
        <v>15125</v>
      </c>
      <c r="K78" s="153"/>
      <c r="V78" s="25">
        <f t="shared" si="16"/>
        <v>1</v>
      </c>
      <c r="W78" s="25">
        <f t="shared" si="17"/>
        <v>0</v>
      </c>
    </row>
    <row r="79" spans="1:23" x14ac:dyDescent="0.3">
      <c r="A79" s="147"/>
      <c r="B79" s="205">
        <f t="shared" si="18"/>
        <v>20</v>
      </c>
      <c r="C79" s="206">
        <v>44347</v>
      </c>
      <c r="D79" s="161" t="s">
        <v>9</v>
      </c>
      <c r="E79" s="161" t="s">
        <v>95</v>
      </c>
      <c r="F79" s="222">
        <v>654</v>
      </c>
      <c r="G79" s="222">
        <v>664.95</v>
      </c>
      <c r="H79" s="222">
        <v>10.95</v>
      </c>
      <c r="I79" s="207">
        <v>1375</v>
      </c>
      <c r="J79" s="242">
        <f t="shared" si="15"/>
        <v>15056.249999999998</v>
      </c>
      <c r="K79" s="153"/>
      <c r="V79" s="25">
        <f t="shared" si="16"/>
        <v>1</v>
      </c>
      <c r="W79" s="25">
        <f t="shared" si="17"/>
        <v>0</v>
      </c>
    </row>
    <row r="80" spans="1:23" x14ac:dyDescent="0.3">
      <c r="A80" s="147"/>
      <c r="B80" s="205">
        <f t="shared" si="18"/>
        <v>21</v>
      </c>
      <c r="C80" s="206"/>
      <c r="D80" s="161"/>
      <c r="E80" s="161"/>
      <c r="F80" s="222"/>
      <c r="G80" s="222"/>
      <c r="H80" s="222"/>
      <c r="I80" s="207"/>
      <c r="J80" s="242">
        <f t="shared" si="15"/>
        <v>0</v>
      </c>
      <c r="K80" s="153"/>
      <c r="V80" s="25">
        <f t="shared" si="16"/>
        <v>0</v>
      </c>
      <c r="W80" s="25">
        <f t="shared" si="17"/>
        <v>0</v>
      </c>
    </row>
    <row r="81" spans="1:23" x14ac:dyDescent="0.3">
      <c r="A81" s="147"/>
      <c r="B81" s="205">
        <f t="shared" si="18"/>
        <v>22</v>
      </c>
      <c r="C81" s="206"/>
      <c r="D81" s="161"/>
      <c r="E81" s="161"/>
      <c r="F81" s="222"/>
      <c r="G81" s="222"/>
      <c r="H81" s="222"/>
      <c r="I81" s="207"/>
      <c r="J81" s="242">
        <f t="shared" si="15"/>
        <v>0</v>
      </c>
      <c r="K81" s="153"/>
    </row>
    <row r="82" spans="1:23" x14ac:dyDescent="0.3">
      <c r="A82" s="147"/>
      <c r="B82" s="205">
        <f t="shared" si="18"/>
        <v>23</v>
      </c>
      <c r="C82" s="206"/>
      <c r="D82" s="161"/>
      <c r="E82" s="161"/>
      <c r="F82" s="222"/>
      <c r="G82" s="222"/>
      <c r="H82" s="222"/>
      <c r="I82" s="207"/>
      <c r="J82" s="242">
        <f t="shared" si="15"/>
        <v>0</v>
      </c>
      <c r="K82" s="153"/>
      <c r="V82" s="25">
        <f t="shared" si="16"/>
        <v>0</v>
      </c>
      <c r="W82" s="25">
        <f t="shared" si="17"/>
        <v>0</v>
      </c>
    </row>
    <row r="83" spans="1:23" ht="15" thickBot="1" x14ac:dyDescent="0.35">
      <c r="A83" s="147"/>
      <c r="B83" s="205">
        <f t="shared" si="18"/>
        <v>24</v>
      </c>
      <c r="C83" s="209"/>
      <c r="D83" s="166"/>
      <c r="E83" s="166"/>
      <c r="F83" s="210"/>
      <c r="G83" s="210"/>
      <c r="H83" s="166"/>
      <c r="I83" s="210"/>
      <c r="J83" s="244">
        <f t="shared" si="15"/>
        <v>0</v>
      </c>
      <c r="K83" s="153"/>
      <c r="V83" s="25">
        <f t="shared" si="16"/>
        <v>0</v>
      </c>
      <c r="W83" s="25">
        <f t="shared" si="17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85818.75</v>
      </c>
      <c r="K84" s="153"/>
      <c r="V84" s="25">
        <f>SUM(V60:V83)</f>
        <v>14</v>
      </c>
      <c r="W84" s="25">
        <f>SUM(W60:W83)</f>
        <v>6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3332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44319</v>
      </c>
      <c r="D92" s="185" t="s">
        <v>9</v>
      </c>
      <c r="E92" s="185" t="s">
        <v>39</v>
      </c>
      <c r="F92" s="219">
        <v>14600</v>
      </c>
      <c r="G92" s="219">
        <v>14680</v>
      </c>
      <c r="H92" s="185">
        <v>80</v>
      </c>
      <c r="I92" s="219">
        <v>150</v>
      </c>
      <c r="J92" s="246">
        <f t="shared" ref="J92:J114" si="19">I92*H92</f>
        <v>12000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44320</v>
      </c>
      <c r="D93" s="185" t="s">
        <v>9</v>
      </c>
      <c r="E93" s="185" t="s">
        <v>39</v>
      </c>
      <c r="F93" s="219">
        <v>14690</v>
      </c>
      <c r="G93" s="219">
        <v>14745</v>
      </c>
      <c r="H93" s="185">
        <f>14745-14690</f>
        <v>55</v>
      </c>
      <c r="I93" s="219">
        <v>150</v>
      </c>
      <c r="J93" s="242">
        <f t="shared" si="19"/>
        <v>8250</v>
      </c>
      <c r="K93" s="153"/>
      <c r="V93" s="25">
        <f t="shared" ref="V93:V114" si="20">IF($J93&gt;0,1,0)</f>
        <v>1</v>
      </c>
      <c r="W93" s="25">
        <f t="shared" ref="W93:W114" si="21">IF($J93&lt;0,1,0)</f>
        <v>0</v>
      </c>
    </row>
    <row r="94" spans="1:23" x14ac:dyDescent="0.3">
      <c r="A94" s="147"/>
      <c r="B94" s="205">
        <f t="shared" ref="B94:B114" si="22">B93+1</f>
        <v>3</v>
      </c>
      <c r="C94" s="206">
        <v>44321</v>
      </c>
      <c r="D94" s="161" t="s">
        <v>9</v>
      </c>
      <c r="E94" s="161" t="s">
        <v>39</v>
      </c>
      <c r="F94" s="207">
        <v>14630</v>
      </c>
      <c r="G94" s="207">
        <v>14590</v>
      </c>
      <c r="H94" s="161">
        <v>-40</v>
      </c>
      <c r="I94" s="207">
        <v>150</v>
      </c>
      <c r="J94" s="242">
        <f t="shared" si="19"/>
        <v>-6000</v>
      </c>
      <c r="K94" s="153"/>
      <c r="V94" s="25">
        <f t="shared" si="20"/>
        <v>0</v>
      </c>
      <c r="W94" s="25">
        <f t="shared" si="21"/>
        <v>1</v>
      </c>
    </row>
    <row r="95" spans="1:23" x14ac:dyDescent="0.3">
      <c r="A95" s="147"/>
      <c r="B95" s="205">
        <f t="shared" si="22"/>
        <v>4</v>
      </c>
      <c r="C95" s="206">
        <v>44322</v>
      </c>
      <c r="D95" s="161" t="s">
        <v>9</v>
      </c>
      <c r="E95" s="161" t="s">
        <v>39</v>
      </c>
      <c r="F95" s="207">
        <v>14680</v>
      </c>
      <c r="G95" s="207">
        <v>14760</v>
      </c>
      <c r="H95" s="161">
        <v>80</v>
      </c>
      <c r="I95" s="207">
        <v>150</v>
      </c>
      <c r="J95" s="242">
        <f t="shared" si="19"/>
        <v>12000</v>
      </c>
      <c r="K95" s="153"/>
      <c r="V95" s="25">
        <f t="shared" si="20"/>
        <v>1</v>
      </c>
      <c r="W95" s="25">
        <f t="shared" si="21"/>
        <v>0</v>
      </c>
    </row>
    <row r="96" spans="1:23" x14ac:dyDescent="0.3">
      <c r="A96" s="147"/>
      <c r="B96" s="205">
        <f t="shared" si="22"/>
        <v>5</v>
      </c>
      <c r="C96" s="206">
        <v>44323</v>
      </c>
      <c r="D96" s="161" t="s">
        <v>8</v>
      </c>
      <c r="E96" s="161" t="s">
        <v>39</v>
      </c>
      <c r="F96" s="207">
        <v>14850</v>
      </c>
      <c r="G96" s="207">
        <v>14810</v>
      </c>
      <c r="H96" s="161">
        <v>40</v>
      </c>
      <c r="I96" s="207">
        <v>150</v>
      </c>
      <c r="J96" s="242">
        <f t="shared" si="19"/>
        <v>6000</v>
      </c>
      <c r="K96" s="153"/>
      <c r="V96" s="25">
        <f t="shared" si="20"/>
        <v>1</v>
      </c>
      <c r="W96" s="25">
        <f t="shared" si="21"/>
        <v>0</v>
      </c>
    </row>
    <row r="97" spans="1:23" x14ac:dyDescent="0.3">
      <c r="A97" s="147"/>
      <c r="B97" s="205">
        <f t="shared" si="22"/>
        <v>6</v>
      </c>
      <c r="C97" s="206">
        <v>44326</v>
      </c>
      <c r="D97" s="161" t="s">
        <v>9</v>
      </c>
      <c r="E97" s="161" t="s">
        <v>39</v>
      </c>
      <c r="F97" s="207">
        <v>14970</v>
      </c>
      <c r="G97" s="207">
        <v>15010</v>
      </c>
      <c r="H97" s="161">
        <v>40</v>
      </c>
      <c r="I97" s="207">
        <v>150</v>
      </c>
      <c r="J97" s="242">
        <f t="shared" ref="J97:J102" si="23">I97*H97</f>
        <v>6000</v>
      </c>
      <c r="K97" s="153"/>
      <c r="V97" s="25">
        <f t="shared" si="20"/>
        <v>1</v>
      </c>
      <c r="W97" s="25">
        <f t="shared" si="21"/>
        <v>0</v>
      </c>
    </row>
    <row r="98" spans="1:23" x14ac:dyDescent="0.3">
      <c r="A98" s="147"/>
      <c r="B98" s="205">
        <f t="shared" si="22"/>
        <v>7</v>
      </c>
      <c r="C98" s="206">
        <v>44327</v>
      </c>
      <c r="D98" s="161" t="s">
        <v>8</v>
      </c>
      <c r="E98" s="161" t="s">
        <v>39</v>
      </c>
      <c r="F98" s="207">
        <v>14850</v>
      </c>
      <c r="G98" s="207">
        <v>14830</v>
      </c>
      <c r="H98" s="161">
        <v>20</v>
      </c>
      <c r="I98" s="207">
        <v>150</v>
      </c>
      <c r="J98" s="242">
        <f t="shared" si="23"/>
        <v>3000</v>
      </c>
      <c r="K98" s="153"/>
      <c r="V98" s="25">
        <f t="shared" si="20"/>
        <v>1</v>
      </c>
      <c r="W98" s="25">
        <f t="shared" si="21"/>
        <v>0</v>
      </c>
    </row>
    <row r="99" spans="1:23" x14ac:dyDescent="0.3">
      <c r="A99" s="147"/>
      <c r="B99" s="205">
        <f t="shared" si="22"/>
        <v>8</v>
      </c>
      <c r="C99" s="206">
        <v>44328</v>
      </c>
      <c r="D99" s="161" t="s">
        <v>8</v>
      </c>
      <c r="E99" s="161" t="s">
        <v>39</v>
      </c>
      <c r="F99" s="207">
        <v>14730</v>
      </c>
      <c r="G99" s="207">
        <v>14710</v>
      </c>
      <c r="H99" s="161">
        <v>20</v>
      </c>
      <c r="I99" s="207">
        <v>150</v>
      </c>
      <c r="J99" s="242">
        <f t="shared" si="23"/>
        <v>3000</v>
      </c>
      <c r="K99" s="153"/>
      <c r="V99" s="25">
        <f t="shared" si="20"/>
        <v>1</v>
      </c>
      <c r="W99" s="25">
        <f t="shared" si="21"/>
        <v>0</v>
      </c>
    </row>
    <row r="100" spans="1:23" x14ac:dyDescent="0.3">
      <c r="A100" s="147"/>
      <c r="B100" s="205">
        <f t="shared" si="22"/>
        <v>9</v>
      </c>
      <c r="C100" s="206">
        <v>44330</v>
      </c>
      <c r="D100" s="161" t="s">
        <v>9</v>
      </c>
      <c r="E100" s="161" t="s">
        <v>39</v>
      </c>
      <c r="F100" s="207">
        <v>14730</v>
      </c>
      <c r="G100" s="207">
        <v>14690</v>
      </c>
      <c r="H100" s="161">
        <v>-40</v>
      </c>
      <c r="I100" s="207">
        <v>150</v>
      </c>
      <c r="J100" s="242">
        <f t="shared" si="23"/>
        <v>-6000</v>
      </c>
      <c r="K100" s="153"/>
      <c r="V100" s="25">
        <f t="shared" si="20"/>
        <v>0</v>
      </c>
      <c r="W100" s="25">
        <f t="shared" si="21"/>
        <v>1</v>
      </c>
    </row>
    <row r="101" spans="1:23" x14ac:dyDescent="0.3">
      <c r="A101" s="147"/>
      <c r="B101" s="205">
        <f t="shared" si="22"/>
        <v>10</v>
      </c>
      <c r="C101" s="206">
        <v>44333</v>
      </c>
      <c r="D101" s="161" t="s">
        <v>9</v>
      </c>
      <c r="E101" s="161" t="s">
        <v>39</v>
      </c>
      <c r="F101" s="207">
        <v>14820</v>
      </c>
      <c r="G101" s="207">
        <v>14900</v>
      </c>
      <c r="H101" s="161">
        <v>80</v>
      </c>
      <c r="I101" s="207">
        <v>150</v>
      </c>
      <c r="J101" s="242">
        <f t="shared" si="23"/>
        <v>12000</v>
      </c>
      <c r="K101" s="153"/>
      <c r="V101" s="25">
        <f t="shared" si="20"/>
        <v>1</v>
      </c>
      <c r="W101" s="25">
        <f t="shared" si="21"/>
        <v>0</v>
      </c>
    </row>
    <row r="102" spans="1:23" x14ac:dyDescent="0.3">
      <c r="A102" s="147"/>
      <c r="B102" s="205">
        <f t="shared" si="22"/>
        <v>11</v>
      </c>
      <c r="C102" s="206">
        <v>44334</v>
      </c>
      <c r="D102" s="161" t="s">
        <v>9</v>
      </c>
      <c r="E102" s="161" t="s">
        <v>39</v>
      </c>
      <c r="F102" s="207">
        <v>15110</v>
      </c>
      <c r="G102" s="207">
        <v>15165</v>
      </c>
      <c r="H102" s="161">
        <f>15165-15110</f>
        <v>55</v>
      </c>
      <c r="I102" s="207">
        <v>150</v>
      </c>
      <c r="J102" s="242">
        <f t="shared" si="23"/>
        <v>8250</v>
      </c>
      <c r="K102" s="153"/>
      <c r="V102" s="25">
        <f t="shared" si="20"/>
        <v>1</v>
      </c>
      <c r="W102" s="25">
        <f t="shared" si="21"/>
        <v>0</v>
      </c>
    </row>
    <row r="103" spans="1:23" x14ac:dyDescent="0.3">
      <c r="A103" s="147"/>
      <c r="B103" s="205">
        <f t="shared" si="22"/>
        <v>12</v>
      </c>
      <c r="C103" s="206">
        <v>44335</v>
      </c>
      <c r="D103" s="161" t="s">
        <v>9</v>
      </c>
      <c r="E103" s="161" t="s">
        <v>39</v>
      </c>
      <c r="F103" s="207">
        <v>15140</v>
      </c>
      <c r="G103" s="207">
        <v>15100</v>
      </c>
      <c r="H103" s="161">
        <v>-40</v>
      </c>
      <c r="I103" s="207">
        <v>150</v>
      </c>
      <c r="J103" s="242">
        <f t="shared" si="19"/>
        <v>-6000</v>
      </c>
      <c r="K103" s="153"/>
      <c r="V103" s="25">
        <f t="shared" si="20"/>
        <v>0</v>
      </c>
      <c r="W103" s="25">
        <f t="shared" si="21"/>
        <v>1</v>
      </c>
    </row>
    <row r="104" spans="1:23" x14ac:dyDescent="0.3">
      <c r="A104" s="147"/>
      <c r="B104" s="205">
        <f t="shared" si="22"/>
        <v>13</v>
      </c>
      <c r="C104" s="206">
        <v>44336</v>
      </c>
      <c r="D104" s="161" t="s">
        <v>8</v>
      </c>
      <c r="E104" s="161" t="s">
        <v>39</v>
      </c>
      <c r="F104" s="207">
        <v>15020</v>
      </c>
      <c r="G104" s="207">
        <v>14940</v>
      </c>
      <c r="H104" s="161">
        <v>80</v>
      </c>
      <c r="I104" s="207">
        <v>150</v>
      </c>
      <c r="J104" s="242">
        <f t="shared" si="19"/>
        <v>12000</v>
      </c>
      <c r="K104" s="153"/>
      <c r="V104" s="25">
        <f t="shared" si="20"/>
        <v>1</v>
      </c>
      <c r="W104" s="25">
        <f t="shared" si="21"/>
        <v>0</v>
      </c>
    </row>
    <row r="105" spans="1:23" x14ac:dyDescent="0.3">
      <c r="A105" s="147"/>
      <c r="B105" s="205">
        <f t="shared" si="22"/>
        <v>14</v>
      </c>
      <c r="C105" s="206">
        <v>44337</v>
      </c>
      <c r="D105" s="161" t="s">
        <v>9</v>
      </c>
      <c r="E105" s="161" t="s">
        <v>39</v>
      </c>
      <c r="F105" s="207">
        <v>15080</v>
      </c>
      <c r="G105" s="207">
        <v>15160</v>
      </c>
      <c r="H105" s="161">
        <v>80</v>
      </c>
      <c r="I105" s="207">
        <v>150</v>
      </c>
      <c r="J105" s="242">
        <f t="shared" si="19"/>
        <v>12000</v>
      </c>
      <c r="K105" s="153"/>
      <c r="V105" s="25">
        <f t="shared" si="20"/>
        <v>1</v>
      </c>
      <c r="W105" s="25">
        <f t="shared" si="21"/>
        <v>0</v>
      </c>
    </row>
    <row r="106" spans="1:23" x14ac:dyDescent="0.3">
      <c r="A106" s="147"/>
      <c r="B106" s="205">
        <f t="shared" si="22"/>
        <v>15</v>
      </c>
      <c r="C106" s="206">
        <v>44340</v>
      </c>
      <c r="D106" s="161" t="s">
        <v>9</v>
      </c>
      <c r="E106" s="161" t="s">
        <v>39</v>
      </c>
      <c r="F106" s="207">
        <v>15210</v>
      </c>
      <c r="G106" s="207">
        <v>15249</v>
      </c>
      <c r="H106" s="161">
        <v>39</v>
      </c>
      <c r="I106" s="207">
        <v>150</v>
      </c>
      <c r="J106" s="242">
        <f t="shared" si="19"/>
        <v>5850</v>
      </c>
      <c r="K106" s="153"/>
      <c r="V106" s="25">
        <f t="shared" si="20"/>
        <v>1</v>
      </c>
      <c r="W106" s="25">
        <f t="shared" si="21"/>
        <v>0</v>
      </c>
    </row>
    <row r="107" spans="1:23" x14ac:dyDescent="0.3">
      <c r="A107" s="147"/>
      <c r="B107" s="205">
        <f t="shared" si="22"/>
        <v>16</v>
      </c>
      <c r="C107" s="206">
        <v>44341</v>
      </c>
      <c r="D107" s="161" t="s">
        <v>8</v>
      </c>
      <c r="E107" s="161" t="s">
        <v>39</v>
      </c>
      <c r="F107" s="207">
        <v>15280</v>
      </c>
      <c r="G107" s="207">
        <v>15200</v>
      </c>
      <c r="H107" s="161">
        <v>80</v>
      </c>
      <c r="I107" s="207">
        <v>150</v>
      </c>
      <c r="J107" s="242">
        <f t="shared" si="19"/>
        <v>12000</v>
      </c>
      <c r="K107" s="153"/>
      <c r="V107" s="25">
        <f t="shared" si="20"/>
        <v>1</v>
      </c>
      <c r="W107" s="25">
        <f t="shared" si="21"/>
        <v>0</v>
      </c>
    </row>
    <row r="108" spans="1:23" x14ac:dyDescent="0.3">
      <c r="A108" s="147"/>
      <c r="B108" s="205">
        <f t="shared" si="22"/>
        <v>17</v>
      </c>
      <c r="C108" s="206">
        <v>44342</v>
      </c>
      <c r="D108" s="161" t="s">
        <v>8</v>
      </c>
      <c r="E108" s="161" t="s">
        <v>39</v>
      </c>
      <c r="F108" s="207">
        <v>15210</v>
      </c>
      <c r="G108" s="207">
        <v>15250</v>
      </c>
      <c r="H108" s="161">
        <v>-40</v>
      </c>
      <c r="I108" s="207">
        <v>150</v>
      </c>
      <c r="J108" s="242">
        <f t="shared" si="19"/>
        <v>-6000</v>
      </c>
      <c r="K108" s="153"/>
      <c r="V108" s="25">
        <f t="shared" si="20"/>
        <v>0</v>
      </c>
      <c r="W108" s="25">
        <f t="shared" si="21"/>
        <v>1</v>
      </c>
    </row>
    <row r="109" spans="1:23" x14ac:dyDescent="0.3">
      <c r="A109" s="147"/>
      <c r="B109" s="205">
        <f t="shared" si="22"/>
        <v>18</v>
      </c>
      <c r="C109" s="206">
        <v>44343</v>
      </c>
      <c r="D109" s="161" t="s">
        <v>8</v>
      </c>
      <c r="E109" s="161" t="s">
        <v>39</v>
      </c>
      <c r="F109" s="207">
        <v>15300</v>
      </c>
      <c r="G109" s="207">
        <v>15340</v>
      </c>
      <c r="H109" s="161">
        <v>-40</v>
      </c>
      <c r="I109" s="207">
        <v>150</v>
      </c>
      <c r="J109" s="242">
        <f t="shared" si="19"/>
        <v>-6000</v>
      </c>
      <c r="K109" s="153"/>
      <c r="V109" s="25">
        <f t="shared" si="20"/>
        <v>0</v>
      </c>
      <c r="W109" s="25">
        <f t="shared" si="21"/>
        <v>1</v>
      </c>
    </row>
    <row r="110" spans="1:23" x14ac:dyDescent="0.3">
      <c r="A110" s="147"/>
      <c r="B110" s="205">
        <f t="shared" si="22"/>
        <v>19</v>
      </c>
      <c r="C110" s="206">
        <v>44344</v>
      </c>
      <c r="D110" s="161" t="s">
        <v>9</v>
      </c>
      <c r="E110" s="161" t="s">
        <v>39</v>
      </c>
      <c r="F110" s="207">
        <v>15460</v>
      </c>
      <c r="G110" s="207">
        <v>15500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0"/>
        <v>1</v>
      </c>
      <c r="W110" s="25">
        <f t="shared" si="21"/>
        <v>0</v>
      </c>
    </row>
    <row r="111" spans="1:23" x14ac:dyDescent="0.3">
      <c r="A111" s="147"/>
      <c r="B111" s="205">
        <f t="shared" si="22"/>
        <v>20</v>
      </c>
      <c r="C111" s="206">
        <v>44347</v>
      </c>
      <c r="D111" s="161" t="s">
        <v>9</v>
      </c>
      <c r="E111" s="161" t="s">
        <v>39</v>
      </c>
      <c r="F111" s="207">
        <v>15520</v>
      </c>
      <c r="G111" s="207">
        <v>15580</v>
      </c>
      <c r="H111" s="161">
        <v>60</v>
      </c>
      <c r="I111" s="207">
        <v>150</v>
      </c>
      <c r="J111" s="242">
        <f t="shared" si="19"/>
        <v>9000</v>
      </c>
      <c r="K111" s="153"/>
      <c r="V111" s="25">
        <f t="shared" si="20"/>
        <v>1</v>
      </c>
      <c r="W111" s="25">
        <f t="shared" si="21"/>
        <v>0</v>
      </c>
    </row>
    <row r="112" spans="1:23" x14ac:dyDescent="0.3">
      <c r="A112" s="147"/>
      <c r="B112" s="205">
        <f t="shared" si="22"/>
        <v>21</v>
      </c>
      <c r="C112" s="206"/>
      <c r="D112" s="161"/>
      <c r="E112" s="161"/>
      <c r="F112" s="207"/>
      <c r="G112" s="207"/>
      <c r="H112" s="161"/>
      <c r="I112" s="207"/>
      <c r="J112" s="242">
        <f t="shared" si="19"/>
        <v>0</v>
      </c>
      <c r="K112" s="153"/>
      <c r="V112" s="25">
        <f t="shared" si="20"/>
        <v>0</v>
      </c>
      <c r="W112" s="25">
        <f t="shared" si="21"/>
        <v>0</v>
      </c>
    </row>
    <row r="113" spans="1:23" x14ac:dyDescent="0.3">
      <c r="A113" s="147"/>
      <c r="B113" s="205">
        <f t="shared" si="22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19"/>
        <v>0</v>
      </c>
      <c r="K113" s="153"/>
      <c r="V113" s="25">
        <f t="shared" si="20"/>
        <v>0</v>
      </c>
      <c r="W113" s="25">
        <f t="shared" si="21"/>
        <v>0</v>
      </c>
    </row>
    <row r="114" spans="1:23" ht="15" thickBot="1" x14ac:dyDescent="0.35">
      <c r="A114" s="147"/>
      <c r="B114" s="208">
        <f t="shared" si="22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19"/>
        <v>0</v>
      </c>
      <c r="K114" s="153"/>
      <c r="V114" s="25">
        <f t="shared" si="20"/>
        <v>0</v>
      </c>
      <c r="W114" s="25">
        <f t="shared" si="21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97350</v>
      </c>
      <c r="K115" s="153"/>
      <c r="V115" s="25">
        <f>SUM(V92:V114)</f>
        <v>15</v>
      </c>
      <c r="W115" s="25">
        <f>SUM(W92:W114)</f>
        <v>5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3331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44319</v>
      </c>
      <c r="D123" s="185" t="s">
        <v>9</v>
      </c>
      <c r="E123" s="185" t="s">
        <v>3202</v>
      </c>
      <c r="F123" s="219">
        <v>125</v>
      </c>
      <c r="G123" s="219">
        <v>175</v>
      </c>
      <c r="H123" s="185">
        <v>50</v>
      </c>
      <c r="I123" s="219">
        <v>300</v>
      </c>
      <c r="J123" s="246">
        <f t="shared" ref="J123:J145" si="24">I123*H123</f>
        <v>15000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44320</v>
      </c>
      <c r="D124" s="185" t="s">
        <v>9</v>
      </c>
      <c r="E124" s="185" t="s">
        <v>3283</v>
      </c>
      <c r="F124" s="219">
        <v>115</v>
      </c>
      <c r="G124" s="219">
        <v>140</v>
      </c>
      <c r="H124" s="185">
        <v>25</v>
      </c>
      <c r="I124" s="219">
        <v>300</v>
      </c>
      <c r="J124" s="242">
        <f t="shared" si="24"/>
        <v>7500</v>
      </c>
      <c r="K124" s="153"/>
      <c r="V124" s="25">
        <f t="shared" ref="V124:V145" si="25">IF($J124&gt;0,1,0)</f>
        <v>1</v>
      </c>
      <c r="W124" s="25">
        <f t="shared" ref="W124:W145" si="26">IF($J124&lt;0,1,0)</f>
        <v>0</v>
      </c>
    </row>
    <row r="125" spans="1:23" x14ac:dyDescent="0.3">
      <c r="A125" s="147"/>
      <c r="B125" s="205">
        <f t="shared" ref="B125:B145" si="27">B124+1</f>
        <v>3</v>
      </c>
      <c r="C125" s="206">
        <v>44321</v>
      </c>
      <c r="D125" s="161" t="s">
        <v>9</v>
      </c>
      <c r="E125" s="161" t="s">
        <v>3202</v>
      </c>
      <c r="F125" s="207">
        <v>65</v>
      </c>
      <c r="G125" s="207">
        <v>100</v>
      </c>
      <c r="H125" s="161">
        <f>100-65</f>
        <v>35</v>
      </c>
      <c r="I125" s="207">
        <v>300</v>
      </c>
      <c r="J125" s="242">
        <f t="shared" si="24"/>
        <v>10500</v>
      </c>
      <c r="K125" s="153"/>
      <c r="V125" s="25">
        <f t="shared" si="25"/>
        <v>1</v>
      </c>
      <c r="W125" s="25">
        <f t="shared" si="26"/>
        <v>0</v>
      </c>
    </row>
    <row r="126" spans="1:23" x14ac:dyDescent="0.3">
      <c r="A126" s="147"/>
      <c r="B126" s="205">
        <f t="shared" si="27"/>
        <v>4</v>
      </c>
      <c r="C126" s="206">
        <v>44322</v>
      </c>
      <c r="D126" s="161" t="s">
        <v>9</v>
      </c>
      <c r="E126" s="161" t="s">
        <v>3191</v>
      </c>
      <c r="F126" s="207">
        <v>110</v>
      </c>
      <c r="G126" s="207">
        <v>160</v>
      </c>
      <c r="H126" s="161">
        <v>50</v>
      </c>
      <c r="I126" s="207">
        <v>300</v>
      </c>
      <c r="J126" s="242">
        <f t="shared" si="24"/>
        <v>15000</v>
      </c>
      <c r="K126" s="153"/>
      <c r="V126" s="25">
        <f t="shared" si="25"/>
        <v>1</v>
      </c>
      <c r="W126" s="25">
        <f t="shared" si="26"/>
        <v>0</v>
      </c>
    </row>
    <row r="127" spans="1:23" x14ac:dyDescent="0.3">
      <c r="A127" s="147"/>
      <c r="B127" s="205">
        <f t="shared" si="27"/>
        <v>5</v>
      </c>
      <c r="C127" s="206">
        <v>44323</v>
      </c>
      <c r="D127" s="161" t="s">
        <v>9</v>
      </c>
      <c r="E127" s="161" t="s">
        <v>3335</v>
      </c>
      <c r="F127" s="207">
        <v>105</v>
      </c>
      <c r="G127" s="207">
        <v>121</v>
      </c>
      <c r="H127" s="161">
        <f>121-105</f>
        <v>16</v>
      </c>
      <c r="I127" s="207">
        <v>300</v>
      </c>
      <c r="J127" s="242">
        <f t="shared" si="24"/>
        <v>4800</v>
      </c>
      <c r="K127" s="153"/>
      <c r="M127" s="25" t="s">
        <v>2008</v>
      </c>
      <c r="V127" s="25">
        <f t="shared" si="25"/>
        <v>1</v>
      </c>
      <c r="W127" s="25">
        <f t="shared" si="26"/>
        <v>0</v>
      </c>
    </row>
    <row r="128" spans="1:23" x14ac:dyDescent="0.3">
      <c r="A128" s="147"/>
      <c r="B128" s="205">
        <f t="shared" si="27"/>
        <v>6</v>
      </c>
      <c r="C128" s="206">
        <v>44326</v>
      </c>
      <c r="D128" s="161" t="s">
        <v>9</v>
      </c>
      <c r="E128" s="161" t="s">
        <v>1290</v>
      </c>
      <c r="F128" s="207">
        <v>115</v>
      </c>
      <c r="G128" s="222">
        <v>132</v>
      </c>
      <c r="H128" s="222">
        <f>132-115</f>
        <v>17</v>
      </c>
      <c r="I128" s="207">
        <v>300</v>
      </c>
      <c r="J128" s="242">
        <f t="shared" si="24"/>
        <v>5100</v>
      </c>
      <c r="K128" s="153"/>
      <c r="V128" s="25">
        <f t="shared" si="25"/>
        <v>1</v>
      </c>
      <c r="W128" s="25">
        <f t="shared" si="26"/>
        <v>0</v>
      </c>
    </row>
    <row r="129" spans="1:23" x14ac:dyDescent="0.3">
      <c r="A129" s="147"/>
      <c r="B129" s="205">
        <f t="shared" si="27"/>
        <v>7</v>
      </c>
      <c r="C129" s="206">
        <v>44327</v>
      </c>
      <c r="D129" s="161" t="s">
        <v>9</v>
      </c>
      <c r="E129" s="161" t="s">
        <v>3252</v>
      </c>
      <c r="F129" s="207">
        <v>90</v>
      </c>
      <c r="G129" s="207">
        <v>98</v>
      </c>
      <c r="H129" s="161">
        <v>8</v>
      </c>
      <c r="I129" s="207">
        <v>300</v>
      </c>
      <c r="J129" s="242">
        <f t="shared" si="24"/>
        <v>2400</v>
      </c>
      <c r="K129" s="153"/>
      <c r="V129" s="25">
        <f t="shared" si="25"/>
        <v>1</v>
      </c>
      <c r="W129" s="25">
        <f t="shared" si="26"/>
        <v>0</v>
      </c>
    </row>
    <row r="130" spans="1:23" x14ac:dyDescent="0.3">
      <c r="A130" s="147"/>
      <c r="B130" s="205">
        <f t="shared" si="27"/>
        <v>8</v>
      </c>
      <c r="C130" s="206">
        <v>44328</v>
      </c>
      <c r="D130" s="161" t="s">
        <v>9</v>
      </c>
      <c r="E130" s="161" t="s">
        <v>1212</v>
      </c>
      <c r="F130" s="207">
        <v>90</v>
      </c>
      <c r="G130" s="207">
        <v>105</v>
      </c>
      <c r="H130" s="161">
        <f>105-90</f>
        <v>15</v>
      </c>
      <c r="I130" s="207">
        <v>300</v>
      </c>
      <c r="J130" s="242">
        <f t="shared" si="24"/>
        <v>4500</v>
      </c>
      <c r="K130" s="153"/>
      <c r="V130" s="25">
        <f t="shared" si="25"/>
        <v>1</v>
      </c>
      <c r="W130" s="25">
        <f t="shared" si="26"/>
        <v>0</v>
      </c>
    </row>
    <row r="131" spans="1:23" x14ac:dyDescent="0.3">
      <c r="A131" s="147"/>
      <c r="B131" s="205">
        <f t="shared" si="27"/>
        <v>9</v>
      </c>
      <c r="C131" s="206">
        <v>44330</v>
      </c>
      <c r="D131" s="161" t="s">
        <v>9</v>
      </c>
      <c r="E131" s="161" t="s">
        <v>1223</v>
      </c>
      <c r="F131" s="207">
        <v>100</v>
      </c>
      <c r="G131" s="207">
        <v>110</v>
      </c>
      <c r="H131" s="161">
        <v>10</v>
      </c>
      <c r="I131" s="207">
        <v>300</v>
      </c>
      <c r="J131" s="242">
        <f t="shared" si="24"/>
        <v>3000</v>
      </c>
      <c r="K131" s="153"/>
      <c r="V131" s="25">
        <f t="shared" si="25"/>
        <v>1</v>
      </c>
      <c r="W131" s="25">
        <f t="shared" si="26"/>
        <v>0</v>
      </c>
    </row>
    <row r="132" spans="1:23" x14ac:dyDescent="0.3">
      <c r="A132" s="147"/>
      <c r="B132" s="205">
        <f t="shared" si="27"/>
        <v>10</v>
      </c>
      <c r="C132" s="206">
        <v>44333</v>
      </c>
      <c r="D132" s="161" t="s">
        <v>9</v>
      </c>
      <c r="E132" s="161" t="s">
        <v>3220</v>
      </c>
      <c r="F132" s="207">
        <v>105</v>
      </c>
      <c r="G132" s="222">
        <v>155</v>
      </c>
      <c r="H132" s="222">
        <f>155-105</f>
        <v>50</v>
      </c>
      <c r="I132" s="207">
        <v>300</v>
      </c>
      <c r="J132" s="242">
        <f t="shared" si="24"/>
        <v>15000</v>
      </c>
      <c r="K132" s="153"/>
      <c r="V132" s="25">
        <f t="shared" si="25"/>
        <v>1</v>
      </c>
      <c r="W132" s="25">
        <f t="shared" si="26"/>
        <v>0</v>
      </c>
    </row>
    <row r="133" spans="1:23" x14ac:dyDescent="0.3">
      <c r="A133" s="147"/>
      <c r="B133" s="205">
        <f t="shared" si="27"/>
        <v>11</v>
      </c>
      <c r="C133" s="206">
        <v>44334</v>
      </c>
      <c r="D133" s="161" t="s">
        <v>9</v>
      </c>
      <c r="E133" s="161" t="s">
        <v>3231</v>
      </c>
      <c r="F133" s="207">
        <v>110</v>
      </c>
      <c r="G133" s="222">
        <v>135</v>
      </c>
      <c r="H133" s="222">
        <v>25</v>
      </c>
      <c r="I133" s="207">
        <v>300</v>
      </c>
      <c r="J133" s="242">
        <f t="shared" si="24"/>
        <v>7500</v>
      </c>
      <c r="K133" s="153"/>
      <c r="V133" s="25">
        <f t="shared" si="25"/>
        <v>1</v>
      </c>
      <c r="W133" s="25">
        <f t="shared" si="26"/>
        <v>0</v>
      </c>
    </row>
    <row r="134" spans="1:23" x14ac:dyDescent="0.3">
      <c r="A134" s="147"/>
      <c r="B134" s="205">
        <f t="shared" si="27"/>
        <v>12</v>
      </c>
      <c r="C134" s="206">
        <v>44335</v>
      </c>
      <c r="D134" s="161" t="s">
        <v>9</v>
      </c>
      <c r="E134" s="161" t="s">
        <v>3231</v>
      </c>
      <c r="F134" s="207">
        <v>110</v>
      </c>
      <c r="G134" s="222">
        <v>85</v>
      </c>
      <c r="H134" s="222">
        <v>-25</v>
      </c>
      <c r="I134" s="207">
        <v>300</v>
      </c>
      <c r="J134" s="242">
        <f t="shared" si="24"/>
        <v>-7500</v>
      </c>
      <c r="K134" s="153"/>
      <c r="V134" s="25">
        <f t="shared" si="25"/>
        <v>0</v>
      </c>
      <c r="W134" s="25">
        <f t="shared" si="26"/>
        <v>1</v>
      </c>
    </row>
    <row r="135" spans="1:23" x14ac:dyDescent="0.3">
      <c r="A135" s="147"/>
      <c r="B135" s="205">
        <f t="shared" si="27"/>
        <v>13</v>
      </c>
      <c r="C135" s="206">
        <v>44336</v>
      </c>
      <c r="D135" s="161" t="s">
        <v>9</v>
      </c>
      <c r="E135" s="161" t="s">
        <v>1155</v>
      </c>
      <c r="F135" s="207">
        <v>105</v>
      </c>
      <c r="G135" s="222">
        <v>155</v>
      </c>
      <c r="H135" s="222">
        <v>50</v>
      </c>
      <c r="I135" s="207">
        <v>300</v>
      </c>
      <c r="J135" s="242">
        <f t="shared" si="24"/>
        <v>15000</v>
      </c>
      <c r="K135" s="153"/>
      <c r="V135" s="25">
        <f t="shared" si="25"/>
        <v>1</v>
      </c>
      <c r="W135" s="25">
        <f t="shared" si="26"/>
        <v>0</v>
      </c>
    </row>
    <row r="136" spans="1:23" x14ac:dyDescent="0.3">
      <c r="A136" s="147"/>
      <c r="B136" s="205">
        <f t="shared" si="27"/>
        <v>14</v>
      </c>
      <c r="C136" s="206">
        <v>44337</v>
      </c>
      <c r="D136" s="161" t="s">
        <v>9</v>
      </c>
      <c r="E136" s="161" t="s">
        <v>1213</v>
      </c>
      <c r="F136" s="207">
        <v>120</v>
      </c>
      <c r="G136" s="207">
        <v>170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27"/>
        <v>15</v>
      </c>
      <c r="C137" s="206">
        <v>44340</v>
      </c>
      <c r="D137" s="161" t="s">
        <v>9</v>
      </c>
      <c r="E137" s="161" t="s">
        <v>3235</v>
      </c>
      <c r="F137" s="207">
        <v>105</v>
      </c>
      <c r="G137" s="207">
        <v>129</v>
      </c>
      <c r="H137" s="161">
        <f>129-105</f>
        <v>24</v>
      </c>
      <c r="I137" s="207">
        <v>300</v>
      </c>
      <c r="J137" s="242">
        <f t="shared" si="24"/>
        <v>7200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27"/>
        <v>16</v>
      </c>
      <c r="C138" s="206">
        <v>44341</v>
      </c>
      <c r="D138" s="161" t="s">
        <v>9</v>
      </c>
      <c r="E138" s="161" t="s">
        <v>3356</v>
      </c>
      <c r="F138" s="207">
        <v>120</v>
      </c>
      <c r="G138" s="207">
        <v>170</v>
      </c>
      <c r="H138" s="161">
        <v>50</v>
      </c>
      <c r="I138" s="207">
        <v>300</v>
      </c>
      <c r="J138" s="242">
        <f t="shared" si="24"/>
        <v>15000</v>
      </c>
      <c r="K138" s="153"/>
      <c r="V138" s="25">
        <f t="shared" si="25"/>
        <v>1</v>
      </c>
      <c r="W138" s="25">
        <f t="shared" si="26"/>
        <v>0</v>
      </c>
    </row>
    <row r="139" spans="1:23" x14ac:dyDescent="0.3">
      <c r="A139" s="147"/>
      <c r="B139" s="205">
        <f t="shared" si="27"/>
        <v>17</v>
      </c>
      <c r="C139" s="206">
        <v>44342</v>
      </c>
      <c r="D139" s="161" t="s">
        <v>9</v>
      </c>
      <c r="E139" s="161" t="s">
        <v>3235</v>
      </c>
      <c r="F139" s="207">
        <v>120</v>
      </c>
      <c r="G139" s="207">
        <v>138</v>
      </c>
      <c r="H139" s="161">
        <f>138-120</f>
        <v>18</v>
      </c>
      <c r="I139" s="207">
        <v>300</v>
      </c>
      <c r="J139" s="242">
        <f t="shared" si="24"/>
        <v>5400</v>
      </c>
      <c r="K139" s="153"/>
      <c r="V139" s="25">
        <f t="shared" si="25"/>
        <v>1</v>
      </c>
      <c r="W139" s="25">
        <f t="shared" si="26"/>
        <v>0</v>
      </c>
    </row>
    <row r="140" spans="1:23" x14ac:dyDescent="0.3">
      <c r="A140" s="147"/>
      <c r="B140" s="205">
        <f t="shared" si="27"/>
        <v>18</v>
      </c>
      <c r="C140" s="206">
        <v>44343</v>
      </c>
      <c r="D140" s="161" t="s">
        <v>9</v>
      </c>
      <c r="E140" s="161" t="s">
        <v>1292</v>
      </c>
      <c r="F140" s="207">
        <v>70</v>
      </c>
      <c r="G140" s="222">
        <v>45</v>
      </c>
      <c r="H140" s="222">
        <v>-25</v>
      </c>
      <c r="I140" s="207">
        <v>300</v>
      </c>
      <c r="J140" s="242">
        <f t="shared" si="24"/>
        <v>-7500</v>
      </c>
      <c r="K140" s="153"/>
      <c r="V140" s="25">
        <f t="shared" si="25"/>
        <v>0</v>
      </c>
      <c r="W140" s="25">
        <f t="shared" si="26"/>
        <v>1</v>
      </c>
    </row>
    <row r="141" spans="1:23" x14ac:dyDescent="0.3">
      <c r="A141" s="147"/>
      <c r="B141" s="205">
        <f t="shared" si="27"/>
        <v>19</v>
      </c>
      <c r="C141" s="206">
        <v>44344</v>
      </c>
      <c r="D141" s="161" t="s">
        <v>9</v>
      </c>
      <c r="E141" s="161" t="s">
        <v>3357</v>
      </c>
      <c r="F141" s="207">
        <v>100</v>
      </c>
      <c r="G141" s="207">
        <v>116</v>
      </c>
      <c r="H141" s="161">
        <v>16</v>
      </c>
      <c r="I141" s="207">
        <v>300</v>
      </c>
      <c r="J141" s="242">
        <f t="shared" si="24"/>
        <v>4800</v>
      </c>
      <c r="K141" s="153"/>
      <c r="V141" s="25">
        <f t="shared" si="25"/>
        <v>1</v>
      </c>
      <c r="W141" s="25">
        <f t="shared" si="26"/>
        <v>0</v>
      </c>
    </row>
    <row r="142" spans="1:23" x14ac:dyDescent="0.3">
      <c r="A142" s="147"/>
      <c r="B142" s="205">
        <f t="shared" si="27"/>
        <v>20</v>
      </c>
      <c r="C142" s="206">
        <v>44347</v>
      </c>
      <c r="D142" s="161" t="s">
        <v>9</v>
      </c>
      <c r="E142" s="161" t="s">
        <v>3357</v>
      </c>
      <c r="F142" s="207">
        <v>115</v>
      </c>
      <c r="G142" s="207">
        <v>152</v>
      </c>
      <c r="H142" s="161">
        <f>152-115</f>
        <v>37</v>
      </c>
      <c r="I142" s="207">
        <v>300</v>
      </c>
      <c r="J142" s="242">
        <f t="shared" si="24"/>
        <v>11100</v>
      </c>
      <c r="K142" s="153"/>
      <c r="V142" s="25">
        <f t="shared" si="25"/>
        <v>1</v>
      </c>
      <c r="W142" s="25">
        <f t="shared" si="26"/>
        <v>0</v>
      </c>
    </row>
    <row r="143" spans="1:23" x14ac:dyDescent="0.3">
      <c r="A143" s="147"/>
      <c r="B143" s="205">
        <f t="shared" si="27"/>
        <v>21</v>
      </c>
      <c r="C143" s="206"/>
      <c r="D143" s="161"/>
      <c r="E143" s="161"/>
      <c r="F143" s="207"/>
      <c r="G143" s="207"/>
      <c r="H143" s="161"/>
      <c r="I143" s="207"/>
      <c r="J143" s="242">
        <f t="shared" si="24"/>
        <v>0</v>
      </c>
      <c r="K143" s="153"/>
      <c r="V143" s="25">
        <f t="shared" si="25"/>
        <v>0</v>
      </c>
      <c r="W143" s="25">
        <f t="shared" si="26"/>
        <v>0</v>
      </c>
    </row>
    <row r="144" spans="1:23" x14ac:dyDescent="0.3">
      <c r="A144" s="147"/>
      <c r="B144" s="205">
        <f t="shared" si="27"/>
        <v>22</v>
      </c>
      <c r="C144" s="206"/>
      <c r="D144" s="161"/>
      <c r="E144" s="161"/>
      <c r="F144" s="207"/>
      <c r="G144" s="207"/>
      <c r="H144" s="161"/>
      <c r="I144" s="207"/>
      <c r="J144" s="242">
        <f t="shared" si="24"/>
        <v>0</v>
      </c>
      <c r="K144" s="153"/>
      <c r="V144" s="25">
        <f t="shared" si="25"/>
        <v>0</v>
      </c>
      <c r="W144" s="25">
        <f t="shared" si="26"/>
        <v>0</v>
      </c>
    </row>
    <row r="145" spans="1:23" ht="15" thickBot="1" x14ac:dyDescent="0.35">
      <c r="A145" s="147"/>
      <c r="B145" s="208">
        <f t="shared" si="27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4"/>
        <v>0</v>
      </c>
      <c r="K145" s="153"/>
      <c r="V145" s="25">
        <f t="shared" si="25"/>
        <v>0</v>
      </c>
      <c r="W145" s="25">
        <f t="shared" si="26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148800</v>
      </c>
      <c r="K146" s="153"/>
      <c r="V146" s="25">
        <f>SUM(V123:V145)</f>
        <v>18</v>
      </c>
      <c r="W146" s="25">
        <f>SUM(W123:W145)</f>
        <v>2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3331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44319</v>
      </c>
      <c r="D154" s="185" t="s">
        <v>9</v>
      </c>
      <c r="E154" s="185" t="s">
        <v>301</v>
      </c>
      <c r="F154" s="219">
        <v>32400</v>
      </c>
      <c r="G154" s="231">
        <v>32680</v>
      </c>
      <c r="H154" s="185">
        <f>32680-32400</f>
        <v>280</v>
      </c>
      <c r="I154" s="219">
        <v>50</v>
      </c>
      <c r="J154" s="246">
        <f t="shared" ref="J154:J176" si="28">I154*H154</f>
        <v>14000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44320</v>
      </c>
      <c r="D155" s="185" t="s">
        <v>9</v>
      </c>
      <c r="E155" s="185" t="s">
        <v>301</v>
      </c>
      <c r="F155" s="219">
        <v>33000</v>
      </c>
      <c r="G155" s="219">
        <v>33200</v>
      </c>
      <c r="H155" s="185">
        <v>200</v>
      </c>
      <c r="I155" s="219">
        <v>50</v>
      </c>
      <c r="J155" s="242">
        <f t="shared" si="28"/>
        <v>10000</v>
      </c>
      <c r="K155" s="153"/>
      <c r="V155" s="25">
        <f t="shared" ref="V155:V176" si="29">IF($J155&gt;0,1,0)</f>
        <v>1</v>
      </c>
      <c r="W155" s="25">
        <f t="shared" ref="W155:W176" si="30">IF($J155&lt;0,1,0)</f>
        <v>0</v>
      </c>
    </row>
    <row r="156" spans="1:23" x14ac:dyDescent="0.3">
      <c r="A156" s="147"/>
      <c r="B156" s="205">
        <f t="shared" ref="B156:B176" si="31">B155+1</f>
        <v>3</v>
      </c>
      <c r="C156" s="206">
        <v>44321</v>
      </c>
      <c r="D156" s="161" t="s">
        <v>9</v>
      </c>
      <c r="E156" s="161" t="s">
        <v>301</v>
      </c>
      <c r="F156" s="207">
        <v>32700</v>
      </c>
      <c r="G156" s="207">
        <v>33000</v>
      </c>
      <c r="H156" s="161">
        <v>300</v>
      </c>
      <c r="I156" s="207">
        <v>50</v>
      </c>
      <c r="J156" s="242">
        <f t="shared" si="28"/>
        <v>15000</v>
      </c>
      <c r="K156" s="153"/>
      <c r="V156" s="25">
        <f t="shared" si="29"/>
        <v>1</v>
      </c>
      <c r="W156" s="25">
        <f t="shared" si="30"/>
        <v>0</v>
      </c>
    </row>
    <row r="157" spans="1:23" x14ac:dyDescent="0.3">
      <c r="A157" s="147"/>
      <c r="B157" s="205">
        <f t="shared" si="31"/>
        <v>4</v>
      </c>
      <c r="C157" s="206">
        <v>44322</v>
      </c>
      <c r="D157" s="161" t="s">
        <v>9</v>
      </c>
      <c r="E157" s="161" t="s">
        <v>301</v>
      </c>
      <c r="F157" s="207">
        <v>32800</v>
      </c>
      <c r="G157" s="207">
        <v>33000</v>
      </c>
      <c r="H157" s="161">
        <f>33000-32800</f>
        <v>200</v>
      </c>
      <c r="I157" s="207">
        <v>50</v>
      </c>
      <c r="J157" s="242">
        <f t="shared" si="28"/>
        <v>10000</v>
      </c>
      <c r="K157" s="153"/>
      <c r="V157" s="25">
        <f t="shared" si="29"/>
        <v>1</v>
      </c>
      <c r="W157" s="25">
        <f t="shared" si="30"/>
        <v>0</v>
      </c>
    </row>
    <row r="158" spans="1:23" x14ac:dyDescent="0.3">
      <c r="A158" s="147"/>
      <c r="B158" s="205">
        <f t="shared" si="31"/>
        <v>5</v>
      </c>
      <c r="C158" s="206">
        <v>44323</v>
      </c>
      <c r="D158" s="161" t="s">
        <v>8</v>
      </c>
      <c r="E158" s="161" t="s">
        <v>301</v>
      </c>
      <c r="F158" s="207">
        <v>33100</v>
      </c>
      <c r="G158" s="207">
        <v>32870</v>
      </c>
      <c r="H158" s="161">
        <f>33100-32870</f>
        <v>230</v>
      </c>
      <c r="I158" s="207">
        <v>50</v>
      </c>
      <c r="J158" s="242">
        <f t="shared" si="28"/>
        <v>11500</v>
      </c>
      <c r="K158" s="153"/>
      <c r="V158" s="25">
        <f t="shared" si="29"/>
        <v>1</v>
      </c>
      <c r="W158" s="25">
        <f t="shared" si="30"/>
        <v>0</v>
      </c>
    </row>
    <row r="159" spans="1:23" x14ac:dyDescent="0.3">
      <c r="A159" s="147"/>
      <c r="B159" s="205">
        <f t="shared" si="31"/>
        <v>6</v>
      </c>
      <c r="C159" s="206">
        <v>44326</v>
      </c>
      <c r="D159" s="161" t="s">
        <v>9</v>
      </c>
      <c r="E159" s="161" t="s">
        <v>301</v>
      </c>
      <c r="F159" s="207">
        <v>33400</v>
      </c>
      <c r="G159" s="207">
        <v>33450</v>
      </c>
      <c r="H159" s="161">
        <v>50</v>
      </c>
      <c r="I159" s="207">
        <v>50</v>
      </c>
      <c r="J159" s="242">
        <f t="shared" si="28"/>
        <v>2500</v>
      </c>
      <c r="K159" s="153"/>
      <c r="V159" s="25">
        <f t="shared" si="29"/>
        <v>1</v>
      </c>
      <c r="W159" s="25">
        <f t="shared" si="30"/>
        <v>0</v>
      </c>
    </row>
    <row r="160" spans="1:23" x14ac:dyDescent="0.3">
      <c r="A160" s="147"/>
      <c r="B160" s="205">
        <f t="shared" si="31"/>
        <v>7</v>
      </c>
      <c r="C160" s="206">
        <v>44327</v>
      </c>
      <c r="D160" s="161" t="s">
        <v>8</v>
      </c>
      <c r="E160" s="161" t="s">
        <v>301</v>
      </c>
      <c r="F160" s="207">
        <v>32900</v>
      </c>
      <c r="G160" s="207">
        <v>32855</v>
      </c>
      <c r="H160" s="161">
        <f>32900-32855</f>
        <v>45</v>
      </c>
      <c r="I160" s="207">
        <v>50</v>
      </c>
      <c r="J160" s="242">
        <f t="shared" si="28"/>
        <v>2250</v>
      </c>
      <c r="K160" s="153"/>
      <c r="V160" s="25">
        <f t="shared" si="29"/>
        <v>1</v>
      </c>
      <c r="W160" s="25">
        <f t="shared" si="30"/>
        <v>0</v>
      </c>
    </row>
    <row r="161" spans="1:23" x14ac:dyDescent="0.3">
      <c r="A161" s="147"/>
      <c r="B161" s="205">
        <f t="shared" si="31"/>
        <v>8</v>
      </c>
      <c r="C161" s="206">
        <v>44328</v>
      </c>
      <c r="D161" s="161" t="s">
        <v>8</v>
      </c>
      <c r="E161" s="161" t="s">
        <v>301</v>
      </c>
      <c r="F161" s="207">
        <v>32600</v>
      </c>
      <c r="G161" s="207">
        <v>32450</v>
      </c>
      <c r="H161" s="161">
        <v>150</v>
      </c>
      <c r="I161" s="207">
        <v>50</v>
      </c>
      <c r="J161" s="242">
        <f t="shared" si="28"/>
        <v>7500</v>
      </c>
      <c r="K161" s="153"/>
      <c r="V161" s="25">
        <f t="shared" si="29"/>
        <v>1</v>
      </c>
      <c r="W161" s="25">
        <f t="shared" si="30"/>
        <v>0</v>
      </c>
    </row>
    <row r="162" spans="1:23" x14ac:dyDescent="0.3">
      <c r="A162" s="147"/>
      <c r="B162" s="205">
        <f t="shared" si="31"/>
        <v>9</v>
      </c>
      <c r="C162" s="206">
        <v>44330</v>
      </c>
      <c r="D162" s="161" t="s">
        <v>8</v>
      </c>
      <c r="E162" s="161" t="s">
        <v>301</v>
      </c>
      <c r="F162" s="207">
        <v>32300</v>
      </c>
      <c r="G162" s="207">
        <v>32210</v>
      </c>
      <c r="H162" s="161">
        <v>140</v>
      </c>
      <c r="I162" s="207">
        <v>50</v>
      </c>
      <c r="J162" s="242">
        <f t="shared" si="28"/>
        <v>7000</v>
      </c>
      <c r="K162" s="153"/>
      <c r="V162" s="25">
        <f t="shared" si="29"/>
        <v>1</v>
      </c>
      <c r="W162" s="25">
        <f t="shared" si="30"/>
        <v>0</v>
      </c>
    </row>
    <row r="163" spans="1:23" x14ac:dyDescent="0.3">
      <c r="A163" s="147"/>
      <c r="B163" s="205">
        <f t="shared" si="31"/>
        <v>10</v>
      </c>
      <c r="C163" s="206">
        <v>44333</v>
      </c>
      <c r="D163" s="161" t="s">
        <v>9</v>
      </c>
      <c r="E163" s="161" t="s">
        <v>301</v>
      </c>
      <c r="F163" s="207">
        <v>32850</v>
      </c>
      <c r="G163" s="207">
        <v>33150</v>
      </c>
      <c r="H163" s="161">
        <v>300</v>
      </c>
      <c r="I163" s="207">
        <v>50</v>
      </c>
      <c r="J163" s="242">
        <f t="shared" si="28"/>
        <v>15000</v>
      </c>
      <c r="K163" s="153"/>
      <c r="V163" s="25">
        <f t="shared" si="29"/>
        <v>1</v>
      </c>
      <c r="W163" s="25">
        <f t="shared" si="30"/>
        <v>0</v>
      </c>
    </row>
    <row r="164" spans="1:23" x14ac:dyDescent="0.3">
      <c r="A164" s="147"/>
      <c r="B164" s="205">
        <f t="shared" si="31"/>
        <v>11</v>
      </c>
      <c r="C164" s="206">
        <v>44334</v>
      </c>
      <c r="D164" s="161" t="s">
        <v>9</v>
      </c>
      <c r="E164" s="161" t="s">
        <v>301</v>
      </c>
      <c r="F164" s="207">
        <v>33950</v>
      </c>
      <c r="G164" s="207">
        <v>34144</v>
      </c>
      <c r="H164" s="161">
        <f>34144-33950</f>
        <v>194</v>
      </c>
      <c r="I164" s="207">
        <v>50</v>
      </c>
      <c r="J164" s="242">
        <f t="shared" si="28"/>
        <v>9700</v>
      </c>
      <c r="K164" s="153"/>
      <c r="V164" s="25">
        <f t="shared" si="29"/>
        <v>1</v>
      </c>
      <c r="W164" s="25">
        <f t="shared" si="30"/>
        <v>0</v>
      </c>
    </row>
    <row r="165" spans="1:23" x14ac:dyDescent="0.3">
      <c r="A165" s="147"/>
      <c r="B165" s="205">
        <f t="shared" si="31"/>
        <v>12</v>
      </c>
      <c r="C165" s="206">
        <v>44335</v>
      </c>
      <c r="D165" s="161" t="s">
        <v>9</v>
      </c>
      <c r="E165" s="161" t="s">
        <v>301</v>
      </c>
      <c r="F165" s="207">
        <v>33800</v>
      </c>
      <c r="G165" s="207">
        <v>33900</v>
      </c>
      <c r="H165" s="161">
        <v>100</v>
      </c>
      <c r="I165" s="207">
        <v>50</v>
      </c>
      <c r="J165" s="242">
        <f t="shared" si="28"/>
        <v>5000</v>
      </c>
      <c r="K165" s="153"/>
      <c r="V165" s="25">
        <f t="shared" si="29"/>
        <v>1</v>
      </c>
      <c r="W165" s="25">
        <f t="shared" si="30"/>
        <v>0</v>
      </c>
    </row>
    <row r="166" spans="1:23" x14ac:dyDescent="0.3">
      <c r="A166" s="147"/>
      <c r="B166" s="205">
        <f t="shared" si="31"/>
        <v>13</v>
      </c>
      <c r="C166" s="206">
        <v>44336</v>
      </c>
      <c r="D166" s="161" t="s">
        <v>8</v>
      </c>
      <c r="E166" s="161" t="s">
        <v>301</v>
      </c>
      <c r="F166" s="207">
        <v>33800</v>
      </c>
      <c r="G166" s="207">
        <v>33500</v>
      </c>
      <c r="H166" s="161">
        <v>300</v>
      </c>
      <c r="I166" s="207">
        <v>50</v>
      </c>
      <c r="J166" s="242">
        <f t="shared" si="28"/>
        <v>15000</v>
      </c>
      <c r="K166" s="153"/>
      <c r="V166" s="25">
        <f t="shared" si="29"/>
        <v>1</v>
      </c>
      <c r="W166" s="25">
        <f t="shared" si="30"/>
        <v>0</v>
      </c>
    </row>
    <row r="167" spans="1:23" x14ac:dyDescent="0.3">
      <c r="A167" s="147"/>
      <c r="B167" s="205">
        <f t="shared" si="31"/>
        <v>14</v>
      </c>
      <c r="C167" s="206">
        <v>44337</v>
      </c>
      <c r="D167" s="161" t="s">
        <v>9</v>
      </c>
      <c r="E167" s="161" t="s">
        <v>301</v>
      </c>
      <c r="F167" s="207">
        <v>34050</v>
      </c>
      <c r="G167" s="207">
        <v>34350</v>
      </c>
      <c r="H167" s="161">
        <v>300</v>
      </c>
      <c r="I167" s="207">
        <v>50</v>
      </c>
      <c r="J167" s="242">
        <f t="shared" si="28"/>
        <v>15000</v>
      </c>
      <c r="K167" s="153"/>
      <c r="V167" s="25">
        <f t="shared" si="29"/>
        <v>1</v>
      </c>
      <c r="W167" s="25">
        <f t="shared" si="30"/>
        <v>0</v>
      </c>
    </row>
    <row r="168" spans="1:23" x14ac:dyDescent="0.3">
      <c r="A168" s="147"/>
      <c r="B168" s="205">
        <f t="shared" si="31"/>
        <v>15</v>
      </c>
      <c r="C168" s="206">
        <v>44340</v>
      </c>
      <c r="D168" s="161" t="s">
        <v>9</v>
      </c>
      <c r="E168" s="161" t="s">
        <v>301</v>
      </c>
      <c r="F168" s="207">
        <v>34900</v>
      </c>
      <c r="G168" s="207">
        <v>35008</v>
      </c>
      <c r="H168" s="161">
        <f>35008-34900</f>
        <v>108</v>
      </c>
      <c r="I168" s="207">
        <v>50</v>
      </c>
      <c r="J168" s="242">
        <f t="shared" si="28"/>
        <v>5400</v>
      </c>
      <c r="K168" s="153"/>
      <c r="V168" s="25">
        <f t="shared" si="29"/>
        <v>1</v>
      </c>
      <c r="W168" s="25">
        <f t="shared" si="30"/>
        <v>0</v>
      </c>
    </row>
    <row r="169" spans="1:23" x14ac:dyDescent="0.3">
      <c r="A169" s="147"/>
      <c r="B169" s="205">
        <f t="shared" si="31"/>
        <v>16</v>
      </c>
      <c r="C169" s="206">
        <v>44341</v>
      </c>
      <c r="D169" s="161" t="s">
        <v>8</v>
      </c>
      <c r="E169" s="161" t="s">
        <v>301</v>
      </c>
      <c r="F169" s="207">
        <v>34850</v>
      </c>
      <c r="G169" s="207">
        <v>34550</v>
      </c>
      <c r="H169" s="161">
        <v>300</v>
      </c>
      <c r="I169" s="207">
        <v>50</v>
      </c>
      <c r="J169" s="242">
        <f t="shared" si="28"/>
        <v>15000</v>
      </c>
      <c r="K169" s="153"/>
      <c r="V169" s="25">
        <f t="shared" si="29"/>
        <v>1</v>
      </c>
      <c r="W169" s="25">
        <f t="shared" si="30"/>
        <v>0</v>
      </c>
    </row>
    <row r="170" spans="1:23" x14ac:dyDescent="0.3">
      <c r="A170" s="147"/>
      <c r="B170" s="205">
        <f t="shared" si="31"/>
        <v>17</v>
      </c>
      <c r="C170" s="206">
        <v>44342</v>
      </c>
      <c r="D170" s="161" t="s">
        <v>8</v>
      </c>
      <c r="E170" s="161" t="s">
        <v>301</v>
      </c>
      <c r="F170" s="207">
        <v>34850</v>
      </c>
      <c r="G170" s="207">
        <v>34740</v>
      </c>
      <c r="H170" s="161">
        <f>34850-34740</f>
        <v>110</v>
      </c>
      <c r="I170" s="207">
        <v>50</v>
      </c>
      <c r="J170" s="242">
        <f t="shared" si="28"/>
        <v>5500</v>
      </c>
      <c r="K170" s="153"/>
      <c r="V170" s="25">
        <f t="shared" si="29"/>
        <v>1</v>
      </c>
      <c r="W170" s="25">
        <f t="shared" si="30"/>
        <v>0</v>
      </c>
    </row>
    <row r="171" spans="1:23" x14ac:dyDescent="0.3">
      <c r="A171" s="147"/>
      <c r="B171" s="205">
        <f t="shared" si="31"/>
        <v>18</v>
      </c>
      <c r="C171" s="206">
        <v>44343</v>
      </c>
      <c r="D171" s="161" t="s">
        <v>8</v>
      </c>
      <c r="E171" s="161" t="s">
        <v>301</v>
      </c>
      <c r="F171" s="207">
        <v>34550</v>
      </c>
      <c r="G171" s="207">
        <v>34700</v>
      </c>
      <c r="H171" s="161">
        <v>-150</v>
      </c>
      <c r="I171" s="207">
        <v>50</v>
      </c>
      <c r="J171" s="242">
        <f t="shared" si="28"/>
        <v>-7500</v>
      </c>
      <c r="K171" s="153"/>
      <c r="V171" s="25">
        <f t="shared" si="29"/>
        <v>0</v>
      </c>
      <c r="W171" s="25">
        <f t="shared" si="30"/>
        <v>1</v>
      </c>
    </row>
    <row r="172" spans="1:23" x14ac:dyDescent="0.3">
      <c r="A172" s="147"/>
      <c r="B172" s="205">
        <f t="shared" si="31"/>
        <v>19</v>
      </c>
      <c r="C172" s="206">
        <v>44344</v>
      </c>
      <c r="D172" s="161" t="s">
        <v>9</v>
      </c>
      <c r="E172" s="161" t="s">
        <v>301</v>
      </c>
      <c r="F172" s="207">
        <v>35450</v>
      </c>
      <c r="G172" s="207">
        <v>35300</v>
      </c>
      <c r="H172" s="161">
        <v>-150</v>
      </c>
      <c r="I172" s="207">
        <v>50</v>
      </c>
      <c r="J172" s="242">
        <f t="shared" si="28"/>
        <v>-7500</v>
      </c>
      <c r="K172" s="153"/>
      <c r="V172" s="25">
        <f t="shared" si="29"/>
        <v>0</v>
      </c>
      <c r="W172" s="25">
        <f t="shared" si="30"/>
        <v>1</v>
      </c>
    </row>
    <row r="173" spans="1:23" x14ac:dyDescent="0.3">
      <c r="A173" s="147"/>
      <c r="B173" s="205">
        <f t="shared" si="31"/>
        <v>20</v>
      </c>
      <c r="C173" s="206">
        <v>44347</v>
      </c>
      <c r="D173" s="161" t="s">
        <v>9</v>
      </c>
      <c r="E173" s="161" t="s">
        <v>301</v>
      </c>
      <c r="F173" s="207">
        <v>35500</v>
      </c>
      <c r="G173" s="207">
        <v>35350</v>
      </c>
      <c r="H173" s="161">
        <v>-150</v>
      </c>
      <c r="I173" s="207">
        <v>50</v>
      </c>
      <c r="J173" s="242">
        <f t="shared" si="28"/>
        <v>-7500</v>
      </c>
      <c r="K173" s="153"/>
      <c r="V173" s="25">
        <f t="shared" si="29"/>
        <v>0</v>
      </c>
      <c r="W173" s="25">
        <f t="shared" si="30"/>
        <v>1</v>
      </c>
    </row>
    <row r="174" spans="1:23" x14ac:dyDescent="0.3">
      <c r="A174" s="147"/>
      <c r="B174" s="205">
        <f t="shared" si="31"/>
        <v>21</v>
      </c>
      <c r="C174" s="206"/>
      <c r="D174" s="161"/>
      <c r="E174" s="161"/>
      <c r="F174" s="207"/>
      <c r="G174" s="207"/>
      <c r="H174" s="161"/>
      <c r="I174" s="207"/>
      <c r="J174" s="242">
        <f t="shared" si="28"/>
        <v>0</v>
      </c>
      <c r="K174" s="153"/>
      <c r="V174" s="25">
        <f t="shared" si="29"/>
        <v>0</v>
      </c>
      <c r="W174" s="25">
        <f t="shared" si="30"/>
        <v>0</v>
      </c>
    </row>
    <row r="175" spans="1:23" x14ac:dyDescent="0.3">
      <c r="A175" s="147"/>
      <c r="B175" s="205">
        <f t="shared" si="31"/>
        <v>22</v>
      </c>
      <c r="C175" s="206"/>
      <c r="D175" s="161"/>
      <c r="E175" s="161"/>
      <c r="F175" s="207"/>
      <c r="G175" s="207"/>
      <c r="H175" s="161"/>
      <c r="I175" s="207"/>
      <c r="J175" s="242">
        <f t="shared" si="28"/>
        <v>0</v>
      </c>
      <c r="K175" s="153"/>
      <c r="V175" s="25">
        <f t="shared" si="29"/>
        <v>0</v>
      </c>
      <c r="W175" s="25">
        <f t="shared" si="30"/>
        <v>0</v>
      </c>
    </row>
    <row r="176" spans="1:23" ht="15" thickBot="1" x14ac:dyDescent="0.35">
      <c r="A176" s="147"/>
      <c r="B176" s="208">
        <f t="shared" si="31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28"/>
        <v>0</v>
      </c>
      <c r="K176" s="153"/>
      <c r="V176" s="25">
        <f t="shared" si="29"/>
        <v>0</v>
      </c>
      <c r="W176" s="25">
        <f t="shared" si="30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142850</v>
      </c>
      <c r="K177" s="153"/>
      <c r="V177" s="25">
        <f>SUM(V154:V176)</f>
        <v>17</v>
      </c>
      <c r="W177" s="25">
        <f>SUM(W154:W176)</f>
        <v>3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3333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44319</v>
      </c>
      <c r="D185" s="185" t="s">
        <v>9</v>
      </c>
      <c r="E185" s="185" t="s">
        <v>3192</v>
      </c>
      <c r="F185" s="219">
        <v>500</v>
      </c>
      <c r="G185" s="219">
        <v>575</v>
      </c>
      <c r="H185" s="185">
        <v>75</v>
      </c>
      <c r="I185" s="219">
        <v>100</v>
      </c>
      <c r="J185" s="246">
        <f t="shared" ref="J185:J207" si="32">I185*H185</f>
        <v>7500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44320</v>
      </c>
      <c r="D186" s="185" t="s">
        <v>9</v>
      </c>
      <c r="E186" s="185" t="s">
        <v>3308</v>
      </c>
      <c r="F186" s="219">
        <v>330</v>
      </c>
      <c r="G186" s="219">
        <v>430</v>
      </c>
      <c r="H186" s="185">
        <v>100</v>
      </c>
      <c r="I186" s="219">
        <v>100</v>
      </c>
      <c r="J186" s="242">
        <f t="shared" si="32"/>
        <v>10000</v>
      </c>
      <c r="K186" s="153"/>
      <c r="V186" s="25">
        <f t="shared" ref="V186:V207" si="33">IF($J186&gt;0,1,0)</f>
        <v>1</v>
      </c>
      <c r="W186" s="25">
        <f t="shared" ref="W186:W207" si="34">IF($J186&lt;0,1,0)</f>
        <v>0</v>
      </c>
    </row>
    <row r="187" spans="1:23" x14ac:dyDescent="0.3">
      <c r="A187" s="147"/>
      <c r="B187" s="205">
        <f t="shared" ref="B187:B207" si="35">B186+1</f>
        <v>3</v>
      </c>
      <c r="C187" s="206">
        <v>44321</v>
      </c>
      <c r="D187" s="161" t="s">
        <v>9</v>
      </c>
      <c r="E187" s="161" t="s">
        <v>3336</v>
      </c>
      <c r="F187" s="207">
        <v>250</v>
      </c>
      <c r="G187" s="207">
        <v>400</v>
      </c>
      <c r="H187" s="161">
        <f>400-250</f>
        <v>150</v>
      </c>
      <c r="I187" s="207">
        <v>100</v>
      </c>
      <c r="J187" s="242">
        <f t="shared" si="32"/>
        <v>15000</v>
      </c>
      <c r="K187" s="153"/>
      <c r="V187" s="25">
        <f t="shared" si="33"/>
        <v>1</v>
      </c>
      <c r="W187" s="25">
        <f t="shared" si="34"/>
        <v>0</v>
      </c>
    </row>
    <row r="188" spans="1:23" x14ac:dyDescent="0.3">
      <c r="A188" s="147"/>
      <c r="B188" s="205">
        <f t="shared" si="35"/>
        <v>4</v>
      </c>
      <c r="C188" s="206">
        <v>44322</v>
      </c>
      <c r="D188" s="161" t="s">
        <v>9</v>
      </c>
      <c r="E188" s="161" t="s">
        <v>3336</v>
      </c>
      <c r="F188" s="207">
        <v>170</v>
      </c>
      <c r="G188" s="207">
        <v>235</v>
      </c>
      <c r="H188" s="161">
        <f>235-170</f>
        <v>65</v>
      </c>
      <c r="I188" s="207">
        <v>100</v>
      </c>
      <c r="J188" s="242">
        <f t="shared" si="32"/>
        <v>6500</v>
      </c>
      <c r="K188" s="153"/>
      <c r="V188" s="25">
        <f t="shared" si="33"/>
        <v>1</v>
      </c>
      <c r="W188" s="25">
        <f t="shared" si="34"/>
        <v>0</v>
      </c>
    </row>
    <row r="189" spans="1:23" x14ac:dyDescent="0.3">
      <c r="A189" s="147"/>
      <c r="B189" s="205">
        <f t="shared" si="35"/>
        <v>5</v>
      </c>
      <c r="C189" s="206">
        <v>44323</v>
      </c>
      <c r="D189" s="161" t="s">
        <v>9</v>
      </c>
      <c r="E189" s="161" t="s">
        <v>3337</v>
      </c>
      <c r="F189" s="207">
        <v>530</v>
      </c>
      <c r="G189" s="207">
        <v>700</v>
      </c>
      <c r="H189" s="161">
        <f>700-530</f>
        <v>170</v>
      </c>
      <c r="I189" s="207">
        <v>100</v>
      </c>
      <c r="J189" s="242">
        <f t="shared" si="32"/>
        <v>17000</v>
      </c>
      <c r="K189" s="153"/>
      <c r="O189" s="25" t="s">
        <v>2008</v>
      </c>
      <c r="V189" s="25">
        <f t="shared" si="33"/>
        <v>1</v>
      </c>
      <c r="W189" s="25">
        <f t="shared" si="34"/>
        <v>0</v>
      </c>
    </row>
    <row r="190" spans="1:23" x14ac:dyDescent="0.3">
      <c r="A190" s="147"/>
      <c r="B190" s="205">
        <f t="shared" si="35"/>
        <v>6</v>
      </c>
      <c r="C190" s="206">
        <v>44326</v>
      </c>
      <c r="D190" s="161" t="s">
        <v>9</v>
      </c>
      <c r="E190" s="161" t="s">
        <v>3344</v>
      </c>
      <c r="F190" s="207">
        <v>320</v>
      </c>
      <c r="G190" s="207">
        <v>220</v>
      </c>
      <c r="H190" s="161">
        <v>-100</v>
      </c>
      <c r="I190" s="207">
        <v>100</v>
      </c>
      <c r="J190" s="242">
        <f t="shared" si="32"/>
        <v>-10000</v>
      </c>
      <c r="K190" s="153"/>
      <c r="V190" s="25">
        <f t="shared" si="33"/>
        <v>0</v>
      </c>
      <c r="W190" s="25">
        <f t="shared" si="34"/>
        <v>1</v>
      </c>
    </row>
    <row r="191" spans="1:23" x14ac:dyDescent="0.3">
      <c r="A191" s="147"/>
      <c r="B191" s="205">
        <f t="shared" si="35"/>
        <v>7</v>
      </c>
      <c r="C191" s="206">
        <v>44327</v>
      </c>
      <c r="D191" s="161" t="s">
        <v>9</v>
      </c>
      <c r="E191" s="161" t="s">
        <v>3345</v>
      </c>
      <c r="F191" s="207">
        <v>200</v>
      </c>
      <c r="G191" s="207">
        <v>230</v>
      </c>
      <c r="H191" s="161">
        <v>30</v>
      </c>
      <c r="I191" s="207">
        <v>100</v>
      </c>
      <c r="J191" s="242">
        <f t="shared" si="32"/>
        <v>3000</v>
      </c>
      <c r="K191" s="153"/>
      <c r="V191" s="25">
        <f t="shared" si="33"/>
        <v>1</v>
      </c>
      <c r="W191" s="25">
        <f t="shared" si="34"/>
        <v>0</v>
      </c>
    </row>
    <row r="192" spans="1:23" x14ac:dyDescent="0.3">
      <c r="A192" s="147"/>
      <c r="B192" s="205">
        <f t="shared" si="35"/>
        <v>8</v>
      </c>
      <c r="C192" s="206">
        <v>44328</v>
      </c>
      <c r="D192" s="161" t="s">
        <v>9</v>
      </c>
      <c r="E192" s="161" t="s">
        <v>3306</v>
      </c>
      <c r="F192" s="207">
        <v>220</v>
      </c>
      <c r="G192" s="207">
        <v>265</v>
      </c>
      <c r="H192" s="161">
        <f>265-220</f>
        <v>45</v>
      </c>
      <c r="I192" s="207">
        <v>100</v>
      </c>
      <c r="J192" s="242">
        <f t="shared" si="32"/>
        <v>4500</v>
      </c>
      <c r="K192" s="153"/>
      <c r="V192" s="25">
        <f t="shared" si="33"/>
        <v>1</v>
      </c>
      <c r="W192" s="25">
        <f t="shared" si="34"/>
        <v>0</v>
      </c>
    </row>
    <row r="193" spans="1:23" x14ac:dyDescent="0.3">
      <c r="A193" s="147"/>
      <c r="B193" s="205">
        <f t="shared" si="35"/>
        <v>9</v>
      </c>
      <c r="C193" s="206">
        <v>44330</v>
      </c>
      <c r="D193" s="161" t="s">
        <v>9</v>
      </c>
      <c r="E193" s="161" t="s">
        <v>2903</v>
      </c>
      <c r="F193" s="207">
        <v>400</v>
      </c>
      <c r="G193" s="207">
        <v>300</v>
      </c>
      <c r="H193" s="161">
        <v>-100</v>
      </c>
      <c r="I193" s="207">
        <v>100</v>
      </c>
      <c r="J193" s="242">
        <f t="shared" si="32"/>
        <v>-10000</v>
      </c>
      <c r="K193" s="153"/>
      <c r="V193" s="25">
        <f t="shared" si="33"/>
        <v>0</v>
      </c>
      <c r="W193" s="25">
        <f t="shared" si="34"/>
        <v>1</v>
      </c>
    </row>
    <row r="194" spans="1:23" x14ac:dyDescent="0.3">
      <c r="A194" s="147"/>
      <c r="B194" s="205">
        <f t="shared" si="35"/>
        <v>10</v>
      </c>
      <c r="C194" s="206">
        <v>44333</v>
      </c>
      <c r="D194" s="161" t="s">
        <v>9</v>
      </c>
      <c r="E194" s="161" t="s">
        <v>3308</v>
      </c>
      <c r="F194" s="207">
        <v>300</v>
      </c>
      <c r="G194" s="207">
        <v>500</v>
      </c>
      <c r="H194" s="161">
        <v>200</v>
      </c>
      <c r="I194" s="207">
        <v>100</v>
      </c>
      <c r="J194" s="242">
        <f t="shared" si="32"/>
        <v>20000</v>
      </c>
      <c r="K194" s="153"/>
      <c r="V194" s="25">
        <f t="shared" si="33"/>
        <v>1</v>
      </c>
      <c r="W194" s="25">
        <f t="shared" si="34"/>
        <v>0</v>
      </c>
    </row>
    <row r="195" spans="1:23" x14ac:dyDescent="0.3">
      <c r="A195" s="147"/>
      <c r="B195" s="205">
        <f t="shared" si="35"/>
        <v>11</v>
      </c>
      <c r="C195" s="206">
        <v>44334</v>
      </c>
      <c r="D195" s="161" t="s">
        <v>9</v>
      </c>
      <c r="E195" s="161" t="s">
        <v>3296</v>
      </c>
      <c r="F195" s="207">
        <v>290</v>
      </c>
      <c r="G195" s="207">
        <v>380</v>
      </c>
      <c r="H195" s="161">
        <f>380-290</f>
        <v>90</v>
      </c>
      <c r="I195" s="207">
        <v>100</v>
      </c>
      <c r="J195" s="242">
        <f t="shared" si="32"/>
        <v>9000</v>
      </c>
      <c r="K195" s="153"/>
      <c r="V195" s="25">
        <f t="shared" si="33"/>
        <v>1</v>
      </c>
      <c r="W195" s="25">
        <f t="shared" si="34"/>
        <v>0</v>
      </c>
    </row>
    <row r="196" spans="1:23" x14ac:dyDescent="0.3">
      <c r="A196" s="147"/>
      <c r="B196" s="205">
        <f t="shared" si="35"/>
        <v>12</v>
      </c>
      <c r="C196" s="206">
        <v>44335</v>
      </c>
      <c r="D196" s="161" t="s">
        <v>9</v>
      </c>
      <c r="E196" s="161" t="s">
        <v>3286</v>
      </c>
      <c r="F196" s="207">
        <v>180</v>
      </c>
      <c r="G196" s="207">
        <v>210</v>
      </c>
      <c r="H196" s="161">
        <v>30</v>
      </c>
      <c r="I196" s="207">
        <v>100</v>
      </c>
      <c r="J196" s="242">
        <f t="shared" si="32"/>
        <v>3000</v>
      </c>
      <c r="K196" s="153"/>
      <c r="V196" s="25">
        <f t="shared" si="33"/>
        <v>1</v>
      </c>
      <c r="W196" s="25">
        <f t="shared" si="34"/>
        <v>0</v>
      </c>
    </row>
    <row r="197" spans="1:23" x14ac:dyDescent="0.3">
      <c r="A197" s="147"/>
      <c r="B197" s="205">
        <f t="shared" si="35"/>
        <v>13</v>
      </c>
      <c r="C197" s="206">
        <v>44336</v>
      </c>
      <c r="D197" s="161" t="s">
        <v>9</v>
      </c>
      <c r="E197" s="161" t="s">
        <v>3353</v>
      </c>
      <c r="F197" s="207">
        <v>180</v>
      </c>
      <c r="G197" s="207">
        <v>380</v>
      </c>
      <c r="H197" s="161">
        <v>200</v>
      </c>
      <c r="I197" s="207">
        <v>100</v>
      </c>
      <c r="J197" s="242">
        <f t="shared" si="32"/>
        <v>20000</v>
      </c>
      <c r="K197" s="153"/>
      <c r="V197" s="25">
        <f t="shared" si="33"/>
        <v>1</v>
      </c>
      <c r="W197" s="25">
        <f t="shared" si="34"/>
        <v>0</v>
      </c>
    </row>
    <row r="198" spans="1:23" x14ac:dyDescent="0.3">
      <c r="A198" s="147"/>
      <c r="B198" s="205">
        <f t="shared" si="35"/>
        <v>14</v>
      </c>
      <c r="C198" s="206">
        <v>44337</v>
      </c>
      <c r="D198" s="161" t="s">
        <v>9</v>
      </c>
      <c r="E198" s="161" t="s">
        <v>3214</v>
      </c>
      <c r="F198" s="207">
        <v>460</v>
      </c>
      <c r="G198" s="207">
        <v>660</v>
      </c>
      <c r="H198" s="161">
        <v>200</v>
      </c>
      <c r="I198" s="207">
        <v>100</v>
      </c>
      <c r="J198" s="242">
        <f t="shared" si="32"/>
        <v>20000</v>
      </c>
      <c r="K198" s="153"/>
      <c r="V198" s="25">
        <f t="shared" si="33"/>
        <v>1</v>
      </c>
      <c r="W198" s="25">
        <f t="shared" si="34"/>
        <v>0</v>
      </c>
    </row>
    <row r="199" spans="1:23" x14ac:dyDescent="0.3">
      <c r="A199" s="147"/>
      <c r="B199" s="205">
        <f t="shared" si="35"/>
        <v>15</v>
      </c>
      <c r="C199" s="206">
        <v>44340</v>
      </c>
      <c r="D199" s="161" t="s">
        <v>9</v>
      </c>
      <c r="E199" s="161" t="s">
        <v>3221</v>
      </c>
      <c r="F199" s="207">
        <v>350</v>
      </c>
      <c r="G199" s="207">
        <v>550</v>
      </c>
      <c r="H199" s="161">
        <v>200</v>
      </c>
      <c r="I199" s="207">
        <v>100</v>
      </c>
      <c r="J199" s="242">
        <f t="shared" si="32"/>
        <v>20000</v>
      </c>
      <c r="K199" s="153"/>
      <c r="V199" s="25">
        <f t="shared" si="33"/>
        <v>1</v>
      </c>
      <c r="W199" s="25">
        <f t="shared" si="34"/>
        <v>0</v>
      </c>
    </row>
    <row r="200" spans="1:23" x14ac:dyDescent="0.3">
      <c r="A200" s="147"/>
      <c r="B200" s="205">
        <f t="shared" si="35"/>
        <v>16</v>
      </c>
      <c r="C200" s="206">
        <v>44341</v>
      </c>
      <c r="D200" s="161" t="s">
        <v>9</v>
      </c>
      <c r="E200" s="161" t="s">
        <v>3279</v>
      </c>
      <c r="F200" s="207">
        <v>320</v>
      </c>
      <c r="G200" s="207">
        <v>520</v>
      </c>
      <c r="H200" s="161">
        <v>200</v>
      </c>
      <c r="I200" s="207">
        <v>100</v>
      </c>
      <c r="J200" s="242">
        <f t="shared" si="32"/>
        <v>20000</v>
      </c>
      <c r="K200" s="153"/>
      <c r="V200" s="25">
        <f t="shared" si="33"/>
        <v>1</v>
      </c>
      <c r="W200" s="25">
        <f t="shared" si="34"/>
        <v>0</v>
      </c>
    </row>
    <row r="201" spans="1:23" x14ac:dyDescent="0.3">
      <c r="A201" s="147"/>
      <c r="B201" s="205">
        <f t="shared" si="35"/>
        <v>17</v>
      </c>
      <c r="C201" s="206">
        <v>44342</v>
      </c>
      <c r="D201" s="161" t="s">
        <v>9</v>
      </c>
      <c r="E201" s="161" t="s">
        <v>3285</v>
      </c>
      <c r="F201" s="207">
        <v>300</v>
      </c>
      <c r="G201" s="207">
        <v>200</v>
      </c>
      <c r="H201" s="161">
        <v>-100</v>
      </c>
      <c r="I201" s="207">
        <v>100</v>
      </c>
      <c r="J201" s="242">
        <f t="shared" si="32"/>
        <v>-10000</v>
      </c>
      <c r="K201" s="153"/>
      <c r="V201" s="25">
        <f t="shared" si="33"/>
        <v>0</v>
      </c>
      <c r="W201" s="25">
        <f t="shared" si="34"/>
        <v>1</v>
      </c>
    </row>
    <row r="202" spans="1:23" x14ac:dyDescent="0.3">
      <c r="A202" s="147"/>
      <c r="B202" s="205">
        <f t="shared" si="35"/>
        <v>18</v>
      </c>
      <c r="C202" s="206">
        <v>44343</v>
      </c>
      <c r="D202" s="161" t="s">
        <v>9</v>
      </c>
      <c r="E202" s="161" t="s">
        <v>3358</v>
      </c>
      <c r="F202" s="207">
        <v>220</v>
      </c>
      <c r="G202" s="207">
        <v>120</v>
      </c>
      <c r="H202" s="161">
        <v>-100</v>
      </c>
      <c r="I202" s="207">
        <v>100</v>
      </c>
      <c r="J202" s="242">
        <f t="shared" si="32"/>
        <v>-10000</v>
      </c>
      <c r="K202" s="153"/>
      <c r="V202" s="25">
        <f t="shared" si="33"/>
        <v>0</v>
      </c>
      <c r="W202" s="25">
        <f t="shared" si="34"/>
        <v>1</v>
      </c>
    </row>
    <row r="203" spans="1:23" x14ac:dyDescent="0.3">
      <c r="A203" s="147"/>
      <c r="B203" s="205">
        <f t="shared" si="35"/>
        <v>19</v>
      </c>
      <c r="C203" s="206">
        <v>44344</v>
      </c>
      <c r="D203" s="161" t="s">
        <v>9</v>
      </c>
      <c r="E203" s="161" t="s">
        <v>3359</v>
      </c>
      <c r="F203" s="207">
        <v>500</v>
      </c>
      <c r="G203" s="207">
        <v>564</v>
      </c>
      <c r="H203" s="161">
        <v>64</v>
      </c>
      <c r="I203" s="207">
        <v>100</v>
      </c>
      <c r="J203" s="242">
        <f t="shared" si="32"/>
        <v>6400</v>
      </c>
      <c r="K203" s="153"/>
      <c r="V203" s="25">
        <f t="shared" si="33"/>
        <v>1</v>
      </c>
      <c r="W203" s="25">
        <f t="shared" si="34"/>
        <v>0</v>
      </c>
    </row>
    <row r="204" spans="1:23" x14ac:dyDescent="0.3">
      <c r="A204" s="147"/>
      <c r="B204" s="205">
        <f t="shared" si="35"/>
        <v>20</v>
      </c>
      <c r="C204" s="206">
        <v>44347</v>
      </c>
      <c r="D204" s="161" t="s">
        <v>9</v>
      </c>
      <c r="E204" s="161" t="s">
        <v>3273</v>
      </c>
      <c r="F204" s="207">
        <v>330</v>
      </c>
      <c r="G204" s="207">
        <v>430</v>
      </c>
      <c r="H204" s="161">
        <v>100</v>
      </c>
      <c r="I204" s="207">
        <v>100</v>
      </c>
      <c r="J204" s="242">
        <f t="shared" si="32"/>
        <v>10000</v>
      </c>
      <c r="K204" s="153"/>
      <c r="V204" s="25">
        <f t="shared" si="33"/>
        <v>1</v>
      </c>
      <c r="W204" s="25">
        <f t="shared" si="34"/>
        <v>0</v>
      </c>
    </row>
    <row r="205" spans="1:23" x14ac:dyDescent="0.3">
      <c r="A205" s="147"/>
      <c r="B205" s="205">
        <f t="shared" si="35"/>
        <v>21</v>
      </c>
      <c r="C205" s="206"/>
      <c r="D205" s="161"/>
      <c r="E205" s="161"/>
      <c r="F205" s="207"/>
      <c r="G205" s="207"/>
      <c r="H205" s="161"/>
      <c r="I205" s="207"/>
      <c r="J205" s="242">
        <f t="shared" si="32"/>
        <v>0</v>
      </c>
      <c r="K205" s="153"/>
      <c r="V205" s="25">
        <f t="shared" si="33"/>
        <v>0</v>
      </c>
      <c r="W205" s="25">
        <f t="shared" si="34"/>
        <v>0</v>
      </c>
    </row>
    <row r="206" spans="1:23" x14ac:dyDescent="0.3">
      <c r="A206" s="147"/>
      <c r="B206" s="205">
        <f t="shared" si="35"/>
        <v>22</v>
      </c>
      <c r="C206" s="206"/>
      <c r="D206" s="161"/>
      <c r="E206" s="161"/>
      <c r="F206" s="207"/>
      <c r="G206" s="207"/>
      <c r="H206" s="161"/>
      <c r="I206" s="207"/>
      <c r="J206" s="242">
        <f t="shared" si="32"/>
        <v>0</v>
      </c>
      <c r="K206" s="153"/>
      <c r="V206" s="25">
        <f t="shared" si="33"/>
        <v>0</v>
      </c>
      <c r="W206" s="25">
        <f t="shared" si="34"/>
        <v>0</v>
      </c>
    </row>
    <row r="207" spans="1:23" ht="15" thickBot="1" x14ac:dyDescent="0.35">
      <c r="A207" s="147"/>
      <c r="B207" s="208">
        <f t="shared" si="35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2"/>
        <v>0</v>
      </c>
      <c r="K207" s="153"/>
      <c r="V207" s="25">
        <f t="shared" si="33"/>
        <v>0</v>
      </c>
      <c r="W207" s="25">
        <f t="shared" si="34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151900</v>
      </c>
      <c r="K208" s="153"/>
      <c r="V208" s="25">
        <f>SUM(V185:V207)</f>
        <v>16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3331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44319</v>
      </c>
      <c r="D216" s="185" t="s">
        <v>9</v>
      </c>
      <c r="E216" s="185" t="s">
        <v>3338</v>
      </c>
      <c r="F216" s="231">
        <v>46</v>
      </c>
      <c r="G216" s="231">
        <v>52</v>
      </c>
      <c r="H216" s="231">
        <f>52-46</f>
        <v>6</v>
      </c>
      <c r="I216" s="219">
        <v>375</v>
      </c>
      <c r="J216" s="246">
        <f t="shared" ref="J216:J239" si="36">I216*H216</f>
        <v>2250</v>
      </c>
      <c r="K216" s="153"/>
      <c r="V216" s="25">
        <f>IF($J216&gt;0,1,0)</f>
        <v>1</v>
      </c>
      <c r="W216" s="25">
        <f>IF($J216&lt;0,1,0)</f>
        <v>0</v>
      </c>
    </row>
    <row r="217" spans="1:23" x14ac:dyDescent="0.3">
      <c r="A217" s="147"/>
      <c r="B217" s="205">
        <f>B216+1</f>
        <v>2</v>
      </c>
      <c r="C217" s="218">
        <v>44320</v>
      </c>
      <c r="D217" s="185" t="s">
        <v>9</v>
      </c>
      <c r="E217" s="185" t="s">
        <v>3339</v>
      </c>
      <c r="F217" s="231">
        <v>10</v>
      </c>
      <c r="G217" s="231">
        <v>11.3</v>
      </c>
      <c r="H217" s="231">
        <v>1.3</v>
      </c>
      <c r="I217" s="219">
        <v>2900</v>
      </c>
      <c r="J217" s="242">
        <f>I217*H217</f>
        <v>3770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37">B217+1</f>
        <v>3</v>
      </c>
      <c r="C218" s="206">
        <v>44321</v>
      </c>
      <c r="D218" s="161" t="s">
        <v>9</v>
      </c>
      <c r="E218" s="161" t="s">
        <v>3340</v>
      </c>
      <c r="F218" s="222">
        <v>25</v>
      </c>
      <c r="G218" s="222">
        <v>30</v>
      </c>
      <c r="H218" s="222">
        <v>5</v>
      </c>
      <c r="I218" s="207">
        <v>1200</v>
      </c>
      <c r="J218" s="242">
        <f t="shared" si="36"/>
        <v>6000</v>
      </c>
      <c r="K218" s="153"/>
      <c r="V218" s="25">
        <f t="shared" ref="V218:V239" si="38">IF($J218&gt;0,1,0)</f>
        <v>1</v>
      </c>
      <c r="W218" s="25">
        <f t="shared" ref="W218:W239" si="39">IF($J218&lt;0,1,0)</f>
        <v>0</v>
      </c>
    </row>
    <row r="219" spans="1:23" x14ac:dyDescent="0.3">
      <c r="A219" s="147"/>
      <c r="B219" s="205">
        <f t="shared" si="37"/>
        <v>4</v>
      </c>
      <c r="C219" s="206">
        <v>44322</v>
      </c>
      <c r="D219" s="161" t="s">
        <v>9</v>
      </c>
      <c r="E219" s="161" t="s">
        <v>3341</v>
      </c>
      <c r="F219" s="222">
        <v>51</v>
      </c>
      <c r="G219" s="222">
        <v>41</v>
      </c>
      <c r="H219" s="222">
        <v>-10</v>
      </c>
      <c r="I219" s="207">
        <v>850</v>
      </c>
      <c r="J219" s="242">
        <f t="shared" si="36"/>
        <v>-8500</v>
      </c>
      <c r="K219" s="153"/>
      <c r="V219" s="25">
        <f t="shared" si="38"/>
        <v>0</v>
      </c>
      <c r="W219" s="25">
        <f t="shared" si="39"/>
        <v>1</v>
      </c>
    </row>
    <row r="220" spans="1:23" x14ac:dyDescent="0.3">
      <c r="A220" s="147"/>
      <c r="B220" s="205">
        <f t="shared" si="37"/>
        <v>5</v>
      </c>
      <c r="C220" s="206">
        <v>44323</v>
      </c>
      <c r="D220" s="161" t="s">
        <v>9</v>
      </c>
      <c r="E220" s="161" t="s">
        <v>3342</v>
      </c>
      <c r="F220" s="222">
        <v>55</v>
      </c>
      <c r="G220" s="222">
        <v>61</v>
      </c>
      <c r="H220" s="222">
        <f>61-55</f>
        <v>6</v>
      </c>
      <c r="I220" s="207">
        <v>550</v>
      </c>
      <c r="J220" s="242">
        <f t="shared" si="36"/>
        <v>3300</v>
      </c>
      <c r="K220" s="153"/>
      <c r="V220" s="25">
        <f t="shared" si="38"/>
        <v>1</v>
      </c>
      <c r="W220" s="25">
        <f t="shared" si="39"/>
        <v>0</v>
      </c>
    </row>
    <row r="221" spans="1:23" x14ac:dyDescent="0.3">
      <c r="A221" s="147"/>
      <c r="B221" s="205">
        <f t="shared" si="37"/>
        <v>6</v>
      </c>
      <c r="C221" s="206">
        <v>44326</v>
      </c>
      <c r="D221" s="161" t="s">
        <v>9</v>
      </c>
      <c r="E221" s="161" t="s">
        <v>3346</v>
      </c>
      <c r="F221" s="222">
        <v>13</v>
      </c>
      <c r="G221" s="222">
        <v>13.7</v>
      </c>
      <c r="H221" s="222">
        <v>0.7</v>
      </c>
      <c r="I221" s="207">
        <v>3000</v>
      </c>
      <c r="J221" s="242">
        <f t="shared" si="36"/>
        <v>2100</v>
      </c>
      <c r="K221" s="153"/>
      <c r="V221" s="25">
        <f t="shared" si="38"/>
        <v>1</v>
      </c>
      <c r="W221" s="25">
        <f t="shared" si="39"/>
        <v>0</v>
      </c>
    </row>
    <row r="222" spans="1:23" x14ac:dyDescent="0.3">
      <c r="A222" s="147"/>
      <c r="B222" s="205">
        <f t="shared" si="37"/>
        <v>7</v>
      </c>
      <c r="C222" s="206">
        <v>44327</v>
      </c>
      <c r="D222" s="161" t="s">
        <v>9</v>
      </c>
      <c r="E222" s="161" t="s">
        <v>3226</v>
      </c>
      <c r="F222" s="222">
        <v>195</v>
      </c>
      <c r="G222" s="222">
        <v>250</v>
      </c>
      <c r="H222" s="222">
        <f>250-195</f>
        <v>55</v>
      </c>
      <c r="I222" s="207">
        <v>100</v>
      </c>
      <c r="J222" s="242">
        <f t="shared" si="36"/>
        <v>5500</v>
      </c>
      <c r="K222" s="153"/>
      <c r="V222" s="25">
        <f t="shared" si="38"/>
        <v>1</v>
      </c>
      <c r="W222" s="25">
        <f t="shared" si="39"/>
        <v>0</v>
      </c>
    </row>
    <row r="223" spans="1:23" x14ac:dyDescent="0.3">
      <c r="A223" s="147"/>
      <c r="B223" s="205">
        <f t="shared" si="37"/>
        <v>8</v>
      </c>
      <c r="C223" s="206">
        <v>44328</v>
      </c>
      <c r="D223" s="161" t="s">
        <v>9</v>
      </c>
      <c r="E223" s="161" t="s">
        <v>3347</v>
      </c>
      <c r="F223" s="222">
        <v>14</v>
      </c>
      <c r="G223" s="222">
        <v>15.5</v>
      </c>
      <c r="H223" s="222">
        <v>1.95</v>
      </c>
      <c r="I223" s="207">
        <v>1375</v>
      </c>
      <c r="J223" s="242">
        <f t="shared" si="36"/>
        <v>2681.25</v>
      </c>
      <c r="K223" s="153"/>
      <c r="V223" s="25">
        <f t="shared" si="38"/>
        <v>1</v>
      </c>
      <c r="W223" s="25">
        <f t="shared" si="39"/>
        <v>0</v>
      </c>
    </row>
    <row r="224" spans="1:23" x14ac:dyDescent="0.3">
      <c r="A224" s="147"/>
      <c r="B224" s="205">
        <f t="shared" si="37"/>
        <v>9</v>
      </c>
      <c r="C224" s="206">
        <v>44330</v>
      </c>
      <c r="D224" s="161" t="s">
        <v>9</v>
      </c>
      <c r="E224" s="161" t="s">
        <v>3348</v>
      </c>
      <c r="F224" s="222">
        <v>43</v>
      </c>
      <c r="G224" s="222">
        <v>53</v>
      </c>
      <c r="H224" s="255">
        <v>10</v>
      </c>
      <c r="I224" s="207">
        <v>1000</v>
      </c>
      <c r="J224" s="242">
        <f t="shared" si="36"/>
        <v>10000</v>
      </c>
      <c r="K224" s="153"/>
      <c r="V224" s="25">
        <f t="shared" si="38"/>
        <v>1</v>
      </c>
      <c r="W224" s="25">
        <f t="shared" si="39"/>
        <v>0</v>
      </c>
    </row>
    <row r="225" spans="1:23" x14ac:dyDescent="0.3">
      <c r="A225" s="147"/>
      <c r="B225" s="205">
        <f t="shared" si="37"/>
        <v>10</v>
      </c>
      <c r="C225" s="206">
        <v>44333</v>
      </c>
      <c r="D225" s="161" t="s">
        <v>9</v>
      </c>
      <c r="E225" s="161" t="s">
        <v>3349</v>
      </c>
      <c r="F225" s="222">
        <v>30</v>
      </c>
      <c r="G225" s="222">
        <v>33.6</v>
      </c>
      <c r="H225" s="255">
        <v>3.6</v>
      </c>
      <c r="I225" s="207">
        <v>850</v>
      </c>
      <c r="J225" s="242">
        <f t="shared" si="36"/>
        <v>3060</v>
      </c>
      <c r="K225" s="153"/>
      <c r="V225" s="25">
        <f t="shared" si="38"/>
        <v>1</v>
      </c>
      <c r="W225" s="25">
        <f t="shared" si="39"/>
        <v>0</v>
      </c>
    </row>
    <row r="226" spans="1:23" x14ac:dyDescent="0.3">
      <c r="A226" s="147"/>
      <c r="B226" s="205">
        <f t="shared" si="37"/>
        <v>11</v>
      </c>
      <c r="C226" s="206">
        <v>44334</v>
      </c>
      <c r="D226" s="161" t="s">
        <v>9</v>
      </c>
      <c r="E226" s="161" t="s">
        <v>3350</v>
      </c>
      <c r="F226" s="222">
        <v>26</v>
      </c>
      <c r="G226" s="222">
        <v>35</v>
      </c>
      <c r="H226" s="255">
        <f>35-26</f>
        <v>9</v>
      </c>
      <c r="I226" s="207">
        <v>375</v>
      </c>
      <c r="J226" s="242">
        <f t="shared" si="36"/>
        <v>3375</v>
      </c>
      <c r="K226" s="153"/>
      <c r="V226" s="25">
        <f t="shared" si="38"/>
        <v>1</v>
      </c>
      <c r="W226" s="25">
        <f t="shared" si="39"/>
        <v>0</v>
      </c>
    </row>
    <row r="227" spans="1:23" x14ac:dyDescent="0.3">
      <c r="A227" s="147"/>
      <c r="B227" s="205">
        <f t="shared" si="37"/>
        <v>12</v>
      </c>
      <c r="C227" s="206">
        <v>44335</v>
      </c>
      <c r="D227" s="161" t="s">
        <v>9</v>
      </c>
      <c r="E227" s="161" t="s">
        <v>3351</v>
      </c>
      <c r="F227" s="222">
        <v>23</v>
      </c>
      <c r="G227" s="222">
        <v>26</v>
      </c>
      <c r="H227" s="255">
        <v>3</v>
      </c>
      <c r="I227" s="207">
        <v>375</v>
      </c>
      <c r="J227" s="242">
        <f t="shared" si="36"/>
        <v>1125</v>
      </c>
      <c r="K227" s="153"/>
      <c r="V227" s="25">
        <f t="shared" si="38"/>
        <v>1</v>
      </c>
      <c r="W227" s="25">
        <f t="shared" si="39"/>
        <v>0</v>
      </c>
    </row>
    <row r="228" spans="1:23" x14ac:dyDescent="0.3">
      <c r="A228" s="147"/>
      <c r="B228" s="205">
        <f t="shared" si="37"/>
        <v>13</v>
      </c>
      <c r="C228" s="206">
        <v>44336</v>
      </c>
      <c r="D228" s="161" t="s">
        <v>9</v>
      </c>
      <c r="E228" s="161" t="s">
        <v>3354</v>
      </c>
      <c r="F228" s="222">
        <v>110</v>
      </c>
      <c r="G228" s="222">
        <v>135</v>
      </c>
      <c r="H228" s="255">
        <f>135-110</f>
        <v>25</v>
      </c>
      <c r="I228" s="207">
        <v>250</v>
      </c>
      <c r="J228" s="242">
        <f t="shared" si="36"/>
        <v>6250</v>
      </c>
      <c r="K228" s="153"/>
      <c r="V228" s="25">
        <f t="shared" si="38"/>
        <v>1</v>
      </c>
      <c r="W228" s="25">
        <f t="shared" si="39"/>
        <v>0</v>
      </c>
    </row>
    <row r="229" spans="1:23" x14ac:dyDescent="0.3">
      <c r="A229" s="147"/>
      <c r="B229" s="205">
        <f t="shared" si="37"/>
        <v>14</v>
      </c>
      <c r="C229" s="206">
        <v>44337</v>
      </c>
      <c r="D229" s="161" t="s">
        <v>9</v>
      </c>
      <c r="E229" s="161" t="s">
        <v>3355</v>
      </c>
      <c r="F229" s="222">
        <v>10.5</v>
      </c>
      <c r="G229" s="222">
        <v>16.5</v>
      </c>
      <c r="H229" s="255">
        <v>6</v>
      </c>
      <c r="I229" s="207">
        <v>1375</v>
      </c>
      <c r="J229" s="242">
        <f>I229*H229</f>
        <v>8250</v>
      </c>
      <c r="K229" s="153"/>
      <c r="V229" s="25">
        <f t="shared" si="38"/>
        <v>1</v>
      </c>
      <c r="W229" s="25">
        <f t="shared" si="39"/>
        <v>0</v>
      </c>
    </row>
    <row r="230" spans="1:23" x14ac:dyDescent="0.3">
      <c r="A230" s="147"/>
      <c r="B230" s="205">
        <f t="shared" si="37"/>
        <v>15</v>
      </c>
      <c r="C230" s="206">
        <v>44340</v>
      </c>
      <c r="D230" s="161" t="s">
        <v>9</v>
      </c>
      <c r="E230" s="161" t="s">
        <v>3360</v>
      </c>
      <c r="F230" s="222">
        <v>100</v>
      </c>
      <c r="G230" s="222">
        <v>116</v>
      </c>
      <c r="H230" s="255">
        <v>16</v>
      </c>
      <c r="I230" s="207">
        <v>250</v>
      </c>
      <c r="J230" s="242">
        <f t="shared" si="36"/>
        <v>4000</v>
      </c>
      <c r="K230" s="153"/>
      <c r="V230" s="25">
        <f t="shared" si="38"/>
        <v>1</v>
      </c>
      <c r="W230" s="25">
        <f t="shared" si="39"/>
        <v>0</v>
      </c>
    </row>
    <row r="231" spans="1:23" x14ac:dyDescent="0.3">
      <c r="A231" s="147"/>
      <c r="B231" s="205">
        <f t="shared" si="37"/>
        <v>16</v>
      </c>
      <c r="C231" s="206">
        <v>44341</v>
      </c>
      <c r="D231" s="161" t="s">
        <v>9</v>
      </c>
      <c r="E231" s="161" t="s">
        <v>3361</v>
      </c>
      <c r="F231" s="222">
        <v>6</v>
      </c>
      <c r="G231" s="222">
        <v>4</v>
      </c>
      <c r="H231" s="222">
        <v>-2</v>
      </c>
      <c r="I231" s="207">
        <v>1375</v>
      </c>
      <c r="J231" s="242">
        <f t="shared" si="36"/>
        <v>-2750</v>
      </c>
      <c r="K231" s="153"/>
      <c r="V231" s="25">
        <f t="shared" si="38"/>
        <v>0</v>
      </c>
      <c r="W231" s="25">
        <f t="shared" si="39"/>
        <v>1</v>
      </c>
    </row>
    <row r="232" spans="1:23" x14ac:dyDescent="0.3">
      <c r="A232" s="147"/>
      <c r="B232" s="205">
        <f t="shared" si="37"/>
        <v>17</v>
      </c>
      <c r="C232" s="206">
        <v>44342</v>
      </c>
      <c r="D232" s="161" t="s">
        <v>9</v>
      </c>
      <c r="E232" s="161" t="s">
        <v>3362</v>
      </c>
      <c r="F232" s="222">
        <v>7</v>
      </c>
      <c r="G232" s="222">
        <v>13</v>
      </c>
      <c r="H232" s="222">
        <v>6</v>
      </c>
      <c r="I232" s="207">
        <v>850</v>
      </c>
      <c r="J232" s="242">
        <f t="shared" si="36"/>
        <v>5100</v>
      </c>
      <c r="K232" s="153"/>
      <c r="V232" s="25">
        <f t="shared" si="38"/>
        <v>1</v>
      </c>
      <c r="W232" s="25">
        <f t="shared" si="39"/>
        <v>0</v>
      </c>
    </row>
    <row r="233" spans="1:23" x14ac:dyDescent="0.3">
      <c r="A233" s="147"/>
      <c r="B233" s="205">
        <f t="shared" si="37"/>
        <v>18</v>
      </c>
      <c r="C233" s="206">
        <v>44343</v>
      </c>
      <c r="D233" s="161" t="s">
        <v>9</v>
      </c>
      <c r="E233" s="161" t="s">
        <v>3363</v>
      </c>
      <c r="F233" s="222">
        <v>12</v>
      </c>
      <c r="G233" s="222">
        <v>20</v>
      </c>
      <c r="H233" s="222">
        <f>20-12</f>
        <v>8</v>
      </c>
      <c r="I233" s="207">
        <v>300</v>
      </c>
      <c r="J233" s="242">
        <f t="shared" si="36"/>
        <v>2400</v>
      </c>
      <c r="K233" s="153"/>
      <c r="V233" s="25">
        <f t="shared" si="38"/>
        <v>1</v>
      </c>
      <c r="W233" s="25">
        <f t="shared" si="39"/>
        <v>0</v>
      </c>
    </row>
    <row r="234" spans="1:23" x14ac:dyDescent="0.3">
      <c r="A234" s="147"/>
      <c r="B234" s="205">
        <f t="shared" si="37"/>
        <v>19</v>
      </c>
      <c r="C234" s="206">
        <v>44344</v>
      </c>
      <c r="D234" s="161" t="s">
        <v>9</v>
      </c>
      <c r="E234" s="161" t="s">
        <v>3299</v>
      </c>
      <c r="F234" s="222">
        <v>65</v>
      </c>
      <c r="G234" s="222">
        <v>95</v>
      </c>
      <c r="H234" s="222">
        <v>30</v>
      </c>
      <c r="I234" s="207">
        <v>250</v>
      </c>
      <c r="J234" s="242">
        <f t="shared" si="36"/>
        <v>7500</v>
      </c>
      <c r="K234" s="153"/>
      <c r="V234" s="25">
        <f t="shared" si="38"/>
        <v>1</v>
      </c>
      <c r="W234" s="25">
        <f t="shared" si="39"/>
        <v>0</v>
      </c>
    </row>
    <row r="235" spans="1:23" x14ac:dyDescent="0.3">
      <c r="A235" s="147"/>
      <c r="B235" s="205">
        <f t="shared" si="37"/>
        <v>20</v>
      </c>
      <c r="C235" s="206">
        <v>44347</v>
      </c>
      <c r="D235" s="161" t="s">
        <v>9</v>
      </c>
      <c r="E235" s="161" t="s">
        <v>3364</v>
      </c>
      <c r="F235" s="222">
        <v>75</v>
      </c>
      <c r="G235" s="222">
        <v>105</v>
      </c>
      <c r="H235" s="222">
        <f>105-75</f>
        <v>30</v>
      </c>
      <c r="I235" s="207">
        <v>250</v>
      </c>
      <c r="J235" s="242">
        <f t="shared" si="36"/>
        <v>7500</v>
      </c>
      <c r="K235" s="153"/>
      <c r="V235" s="25">
        <f t="shared" si="38"/>
        <v>1</v>
      </c>
      <c r="W235" s="25">
        <f t="shared" si="39"/>
        <v>0</v>
      </c>
    </row>
    <row r="236" spans="1:23" x14ac:dyDescent="0.3">
      <c r="A236" s="147"/>
      <c r="B236" s="205">
        <f t="shared" si="37"/>
        <v>21</v>
      </c>
      <c r="C236" s="206"/>
      <c r="D236" s="161"/>
      <c r="E236" s="161"/>
      <c r="F236" s="222"/>
      <c r="G236" s="222"/>
      <c r="H236" s="222"/>
      <c r="I236" s="207"/>
      <c r="J236" s="242">
        <f t="shared" si="36"/>
        <v>0</v>
      </c>
      <c r="K236" s="153"/>
      <c r="V236" s="25">
        <f t="shared" si="38"/>
        <v>0</v>
      </c>
      <c r="W236" s="25">
        <f t="shared" si="39"/>
        <v>0</v>
      </c>
    </row>
    <row r="237" spans="1:23" x14ac:dyDescent="0.3">
      <c r="A237" s="147"/>
      <c r="B237" s="205">
        <f t="shared" si="37"/>
        <v>22</v>
      </c>
      <c r="C237" s="206"/>
      <c r="D237" s="161"/>
      <c r="E237" s="161"/>
      <c r="F237" s="222"/>
      <c r="G237" s="222"/>
      <c r="H237" s="222"/>
      <c r="I237" s="207"/>
      <c r="J237" s="242">
        <f t="shared" si="36"/>
        <v>0</v>
      </c>
      <c r="K237" s="153"/>
      <c r="V237" s="25">
        <f t="shared" si="38"/>
        <v>0</v>
      </c>
      <c r="W237" s="25">
        <f t="shared" si="39"/>
        <v>0</v>
      </c>
    </row>
    <row r="238" spans="1:23" x14ac:dyDescent="0.3">
      <c r="A238" s="147"/>
      <c r="B238" s="205">
        <f t="shared" si="37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6"/>
        <v>0</v>
      </c>
      <c r="K238" s="153"/>
      <c r="V238" s="25">
        <f t="shared" si="38"/>
        <v>0</v>
      </c>
      <c r="W238" s="25">
        <f t="shared" si="39"/>
        <v>0</v>
      </c>
    </row>
    <row r="239" spans="1:23" ht="15" thickBot="1" x14ac:dyDescent="0.35">
      <c r="A239" s="147"/>
      <c r="B239" s="208">
        <f t="shared" si="37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6"/>
        <v>0</v>
      </c>
      <c r="K239" s="153"/>
      <c r="V239" s="25">
        <f t="shared" si="38"/>
        <v>0</v>
      </c>
      <c r="W239" s="25">
        <f t="shared" si="39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72911.25</v>
      </c>
      <c r="K240" s="153"/>
      <c r="V240" s="25">
        <f>SUM(V216:V239)</f>
        <v>18</v>
      </c>
      <c r="W240" s="25">
        <f>SUM(W216:W239)</f>
        <v>2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100-000000000000}"/>
    <hyperlink ref="B84" r:id="rId2" xr:uid="{00000000-0004-0000-6100-000001000000}"/>
    <hyperlink ref="B115" r:id="rId3" xr:uid="{00000000-0004-0000-6100-000002000000}"/>
    <hyperlink ref="B146" r:id="rId4" xr:uid="{00000000-0004-0000-6100-000003000000}"/>
    <hyperlink ref="B177" r:id="rId5" xr:uid="{00000000-0004-0000-6100-000004000000}"/>
    <hyperlink ref="B208" r:id="rId6" xr:uid="{00000000-0004-0000-6100-000005000000}"/>
    <hyperlink ref="B240" r:id="rId7" xr:uid="{00000000-0004-0000-6100-000006000000}"/>
    <hyperlink ref="M1" location="'MASTER '!A1" display="Back" xr:uid="{00000000-0004-0000-6100-000007000000}"/>
    <hyperlink ref="M6:M7" location="'MAY 2021'!A77" display="STOCK FUTURE" xr:uid="{00000000-0004-0000-6100-000008000000}"/>
    <hyperlink ref="M12:M13" location="'MAY 2021'!A170" display="BANK NIFTY" xr:uid="{00000000-0004-0000-6100-000009000000}"/>
    <hyperlink ref="M10:M11" location="'MAY 2021'!A139" display="NF. OPTION" xr:uid="{00000000-0004-0000-6100-00000A000000}"/>
    <hyperlink ref="M8:M9" location="'MAY 2021'!A108" display="NIFTY FUTURE" xr:uid="{00000000-0004-0000-6100-00000B000000}"/>
    <hyperlink ref="M4:M5" location="'APRIL 2021'!A1" display="CASH" xr:uid="{00000000-0004-0000-6100-00000C000000}"/>
    <hyperlink ref="M14:M15" location="'MAY 2021'!A201" display="B.NIFTY OPTION" xr:uid="{00000000-0004-0000-6100-00000D000000}"/>
    <hyperlink ref="M16:M17" location="'MAY 2021'!A216" display="STOCK OPTION" xr:uid="{00000000-0004-0000-6100-00000E000000}"/>
  </hyperlinks>
  <pageMargins left="0" right="0" top="0" bottom="0" header="0" footer="0"/>
  <pageSetup scale="95" orientation="portrait" r:id="rId8"/>
  <drawing r:id="rId9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W241"/>
  <sheetViews>
    <sheetView workbookViewId="0">
      <selection activeCell="I6" sqref="I6"/>
    </sheetView>
  </sheetViews>
  <sheetFormatPr defaultColWidth="9.109375" defaultRowHeight="14.4" x14ac:dyDescent="0.3"/>
  <cols>
    <col min="1" max="1" width="6.33203125" style="201" customWidth="1"/>
    <col min="2" max="2" width="3.5546875" style="201" customWidth="1"/>
    <col min="3" max="3" width="10.44140625" style="201" bestFit="1" customWidth="1"/>
    <col min="4" max="4" width="9.33203125" style="201" customWidth="1"/>
    <col min="5" max="5" width="22" style="201" customWidth="1"/>
    <col min="6" max="6" width="12" style="201" customWidth="1"/>
    <col min="7" max="7" width="12.109375" style="201" customWidth="1"/>
    <col min="8" max="8" width="12.6640625" style="236" customWidth="1"/>
    <col min="9" max="9" width="13.44140625" style="201" customWidth="1"/>
    <col min="10" max="10" width="10.6640625" style="236" customWidth="1"/>
    <col min="11" max="11" width="6.6640625" style="201" customWidth="1"/>
    <col min="12" max="12" width="6" style="25" customWidth="1"/>
    <col min="13" max="13" width="15.33203125" style="25" customWidth="1"/>
    <col min="14" max="17" width="9.109375" style="25"/>
    <col min="18" max="18" width="10.6640625" style="25" bestFit="1" customWidth="1"/>
    <col min="19" max="21" width="9.109375" style="25"/>
    <col min="22" max="23" width="9.109375" style="25" customWidth="1"/>
    <col min="24" max="16384" width="9.109375" style="25"/>
  </cols>
  <sheetData>
    <row r="1" spans="1:23" ht="30" customHeight="1" thickBot="1" x14ac:dyDescent="0.35">
      <c r="A1" s="198"/>
      <c r="B1" s="143"/>
      <c r="C1" s="143"/>
      <c r="D1" s="143"/>
      <c r="E1" s="143"/>
      <c r="F1" s="143"/>
      <c r="G1" s="143"/>
      <c r="H1" s="232"/>
      <c r="I1" s="143"/>
      <c r="J1" s="232"/>
      <c r="K1" s="199"/>
      <c r="M1" s="200" t="s">
        <v>2286</v>
      </c>
    </row>
    <row r="2" spans="1:23" ht="27" customHeight="1" thickBot="1" x14ac:dyDescent="0.35">
      <c r="A2" s="147" t="s">
        <v>0</v>
      </c>
      <c r="B2" s="361" t="s">
        <v>2244</v>
      </c>
      <c r="C2" s="362"/>
      <c r="D2" s="362"/>
      <c r="E2" s="362"/>
      <c r="F2" s="362"/>
      <c r="G2" s="362"/>
      <c r="H2" s="362"/>
      <c r="I2" s="362"/>
      <c r="J2" s="363"/>
      <c r="K2" s="153"/>
      <c r="M2" s="357" t="s">
        <v>453</v>
      </c>
      <c r="N2" s="359" t="s">
        <v>448</v>
      </c>
      <c r="O2" s="359" t="s">
        <v>454</v>
      </c>
      <c r="P2" s="359" t="s">
        <v>455</v>
      </c>
      <c r="Q2" s="359" t="s">
        <v>456</v>
      </c>
      <c r="R2" s="350" t="s">
        <v>2245</v>
      </c>
    </row>
    <row r="3" spans="1:23" ht="16.2" thickBot="1" x14ac:dyDescent="0.35">
      <c r="A3" s="147"/>
      <c r="B3" s="364" t="s">
        <v>3365</v>
      </c>
      <c r="C3" s="365"/>
      <c r="D3" s="365"/>
      <c r="E3" s="365"/>
      <c r="F3" s="365"/>
      <c r="G3" s="365"/>
      <c r="H3" s="365"/>
      <c r="I3" s="365"/>
      <c r="J3" s="366"/>
      <c r="K3" s="153"/>
      <c r="M3" s="358"/>
      <c r="N3" s="360"/>
      <c r="O3" s="360"/>
      <c r="P3" s="360"/>
      <c r="Q3" s="360"/>
      <c r="R3" s="351"/>
    </row>
    <row r="4" spans="1:23" ht="16.2" thickBot="1" x14ac:dyDescent="0.35">
      <c r="A4" s="147"/>
      <c r="B4" s="367" t="s">
        <v>2247</v>
      </c>
      <c r="C4" s="368"/>
      <c r="D4" s="368"/>
      <c r="E4" s="368"/>
      <c r="F4" s="368"/>
      <c r="G4" s="368"/>
      <c r="H4" s="368"/>
      <c r="I4" s="368"/>
      <c r="J4" s="369"/>
      <c r="K4" s="153"/>
      <c r="M4" s="397" t="s">
        <v>449</v>
      </c>
      <c r="N4" s="388">
        <f>COUNT(C6:C51)</f>
        <v>44</v>
      </c>
      <c r="O4" s="386">
        <f>V52</f>
        <v>30</v>
      </c>
      <c r="P4" s="386">
        <f>W52</f>
        <v>14</v>
      </c>
      <c r="Q4" s="387">
        <f>N4-O4-P4</f>
        <v>0</v>
      </c>
      <c r="R4" s="380">
        <f>O4/N4</f>
        <v>0.68181818181818177</v>
      </c>
    </row>
    <row r="5" spans="1:23" s="201" customFormat="1" ht="15.75" customHeight="1" thickBot="1" x14ac:dyDescent="0.35">
      <c r="A5" s="147"/>
      <c r="B5" s="148" t="s">
        <v>2248</v>
      </c>
      <c r="C5" s="149" t="s">
        <v>1</v>
      </c>
      <c r="D5" s="150" t="s">
        <v>5</v>
      </c>
      <c r="E5" s="150" t="s">
        <v>6</v>
      </c>
      <c r="F5" s="151" t="s">
        <v>2249</v>
      </c>
      <c r="G5" s="151" t="s">
        <v>2250</v>
      </c>
      <c r="H5" s="233" t="s">
        <v>2251</v>
      </c>
      <c r="I5" s="152" t="s">
        <v>2252</v>
      </c>
      <c r="J5" s="240" t="s">
        <v>4</v>
      </c>
      <c r="K5" s="153"/>
      <c r="M5" s="396"/>
      <c r="N5" s="385"/>
      <c r="O5" s="382"/>
      <c r="P5" s="382"/>
      <c r="Q5" s="383"/>
      <c r="R5" s="384"/>
      <c r="V5" s="201" t="s">
        <v>454</v>
      </c>
      <c r="W5" s="201" t="s">
        <v>455</v>
      </c>
    </row>
    <row r="6" spans="1:23" ht="15" customHeight="1" x14ac:dyDescent="0.3">
      <c r="A6" s="147"/>
      <c r="B6" s="202">
        <v>1</v>
      </c>
      <c r="C6" s="203">
        <v>44348</v>
      </c>
      <c r="D6" s="158" t="s">
        <v>9</v>
      </c>
      <c r="E6" s="158" t="s">
        <v>31</v>
      </c>
      <c r="F6" s="230">
        <v>2195</v>
      </c>
      <c r="G6" s="222">
        <v>2175</v>
      </c>
      <c r="H6" s="222">
        <v>-20</v>
      </c>
      <c r="I6" s="207">
        <f t="shared" ref="I6:I7" si="0">300000/F6</f>
        <v>136.67425968109339</v>
      </c>
      <c r="J6" s="161">
        <f t="shared" ref="J6:J7" si="1">H6*I6</f>
        <v>-2733.4851936218679</v>
      </c>
      <c r="K6" s="153"/>
      <c r="M6" s="394" t="s">
        <v>450</v>
      </c>
      <c r="N6" s="344">
        <f>COUNT(C60:C83)</f>
        <v>22</v>
      </c>
      <c r="O6" s="346">
        <f>V84</f>
        <v>16</v>
      </c>
      <c r="P6" s="346">
        <f>W84</f>
        <v>5</v>
      </c>
      <c r="Q6" s="374">
        <f>N6-O6-P6</f>
        <v>1</v>
      </c>
      <c r="R6" s="376">
        <f t="shared" ref="R6" si="2">O6/N6</f>
        <v>0.72727272727272729</v>
      </c>
      <c r="V6" s="25">
        <f>IF($J6&gt;0,1,0)</f>
        <v>0</v>
      </c>
      <c r="W6" s="25">
        <f>IF($J6&lt;0,1,0)</f>
        <v>1</v>
      </c>
    </row>
    <row r="7" spans="1:23" x14ac:dyDescent="0.3">
      <c r="A7" s="147"/>
      <c r="B7" s="205">
        <f>B6+1</f>
        <v>2</v>
      </c>
      <c r="C7" s="206">
        <v>44348</v>
      </c>
      <c r="D7" s="161" t="s">
        <v>8</v>
      </c>
      <c r="E7" s="161" t="s">
        <v>25</v>
      </c>
      <c r="F7" s="222">
        <v>1105</v>
      </c>
      <c r="G7" s="231">
        <v>1090</v>
      </c>
      <c r="H7" s="255">
        <f>1105-1090</f>
        <v>15</v>
      </c>
      <c r="I7" s="207">
        <f t="shared" si="0"/>
        <v>271.49321266968326</v>
      </c>
      <c r="J7" s="161">
        <f t="shared" si="1"/>
        <v>4072.3981900452491</v>
      </c>
      <c r="K7" s="153"/>
      <c r="M7" s="396"/>
      <c r="N7" s="385"/>
      <c r="O7" s="382"/>
      <c r="P7" s="382"/>
      <c r="Q7" s="383"/>
      <c r="R7" s="384"/>
      <c r="V7" s="25">
        <f t="shared" ref="V7:V51" si="3">IF($J7&gt;0,1,0)</f>
        <v>1</v>
      </c>
      <c r="W7" s="25">
        <f t="shared" ref="W7:W51" si="4">IF($J7&lt;0,1,0)</f>
        <v>0</v>
      </c>
    </row>
    <row r="8" spans="1:23" x14ac:dyDescent="0.3">
      <c r="A8" s="147"/>
      <c r="B8" s="205">
        <f t="shared" ref="B8:B51" si="5">B7+1</f>
        <v>3</v>
      </c>
      <c r="C8" s="206">
        <v>44349</v>
      </c>
      <c r="D8" s="161" t="s">
        <v>9</v>
      </c>
      <c r="E8" s="161" t="s">
        <v>25</v>
      </c>
      <c r="F8" s="222">
        <v>1118</v>
      </c>
      <c r="G8" s="222">
        <v>1108</v>
      </c>
      <c r="H8" s="222">
        <v>-10</v>
      </c>
      <c r="I8" s="207">
        <f t="shared" ref="I8:I9" si="6">300000/F8</f>
        <v>268.33631484794273</v>
      </c>
      <c r="J8" s="161">
        <f t="shared" ref="J8:J9" si="7">H8*I8</f>
        <v>-2683.3631484794273</v>
      </c>
      <c r="K8" s="153"/>
      <c r="M8" s="394" t="s">
        <v>451</v>
      </c>
      <c r="N8" s="344">
        <f>COUNT(C92:C114)</f>
        <v>21</v>
      </c>
      <c r="O8" s="346">
        <f>V115</f>
        <v>17</v>
      </c>
      <c r="P8" s="346">
        <f>W115</f>
        <v>4</v>
      </c>
      <c r="Q8" s="374">
        <f>N8-O8-P8</f>
        <v>0</v>
      </c>
      <c r="R8" s="376">
        <f t="shared" ref="R8" si="8">O8/N8</f>
        <v>0.80952380952380953</v>
      </c>
      <c r="V8" s="25">
        <f>IF($J8&gt;0,1,0)</f>
        <v>0</v>
      </c>
      <c r="W8" s="25">
        <f>IF($J8&lt;0,1,0)</f>
        <v>1</v>
      </c>
    </row>
    <row r="9" spans="1:23" x14ac:dyDescent="0.3">
      <c r="A9" s="147"/>
      <c r="B9" s="205">
        <f t="shared" si="5"/>
        <v>4</v>
      </c>
      <c r="C9" s="206">
        <v>44349</v>
      </c>
      <c r="D9" s="161" t="s">
        <v>9</v>
      </c>
      <c r="E9" s="161" t="s">
        <v>2023</v>
      </c>
      <c r="F9" s="222">
        <v>5810</v>
      </c>
      <c r="G9" s="231">
        <v>5780</v>
      </c>
      <c r="H9" s="255">
        <v>-30</v>
      </c>
      <c r="I9" s="207">
        <f t="shared" si="6"/>
        <v>51.635111876075733</v>
      </c>
      <c r="J9" s="161">
        <f t="shared" si="7"/>
        <v>-1549.053356282272</v>
      </c>
      <c r="K9" s="153"/>
      <c r="M9" s="396"/>
      <c r="N9" s="385"/>
      <c r="O9" s="382"/>
      <c r="P9" s="382"/>
      <c r="Q9" s="383"/>
      <c r="R9" s="384"/>
      <c r="V9" s="25">
        <f>IF($J9&gt;0,1,0)</f>
        <v>0</v>
      </c>
      <c r="W9" s="25">
        <f>IF($J9&lt;0,1,0)</f>
        <v>1</v>
      </c>
    </row>
    <row r="10" spans="1:23" x14ac:dyDescent="0.3">
      <c r="A10" s="147"/>
      <c r="B10" s="205">
        <f t="shared" si="5"/>
        <v>5</v>
      </c>
      <c r="C10" s="206">
        <v>44350</v>
      </c>
      <c r="D10" s="161" t="s">
        <v>9</v>
      </c>
      <c r="E10" s="161" t="s">
        <v>15</v>
      </c>
      <c r="F10" s="222">
        <v>2110</v>
      </c>
      <c r="G10" s="222">
        <v>2150</v>
      </c>
      <c r="H10" s="222">
        <v>40</v>
      </c>
      <c r="I10" s="207">
        <f t="shared" ref="I10" si="9">300000/F10</f>
        <v>142.18009478672985</v>
      </c>
      <c r="J10" s="161">
        <f t="shared" ref="J10" si="10">H10*I10</f>
        <v>5687.2037914691937</v>
      </c>
      <c r="K10" s="153"/>
      <c r="M10" s="394" t="s">
        <v>1176</v>
      </c>
      <c r="N10" s="344">
        <f>COUNT(C123:C145)</f>
        <v>22</v>
      </c>
      <c r="O10" s="346">
        <f>V146</f>
        <v>21</v>
      </c>
      <c r="P10" s="346">
        <f>W146</f>
        <v>1</v>
      </c>
      <c r="Q10" s="374">
        <f>N10-O10-P10</f>
        <v>0</v>
      </c>
      <c r="R10" s="376">
        <f t="shared" ref="R10:R16" si="11">O10/N10</f>
        <v>0.95454545454545459</v>
      </c>
      <c r="V10" s="25">
        <f>IF($J10&gt;0,1,0)</f>
        <v>1</v>
      </c>
      <c r="W10" s="25">
        <f>IF($J10&lt;0,1,0)</f>
        <v>0</v>
      </c>
    </row>
    <row r="11" spans="1:23" x14ac:dyDescent="0.3">
      <c r="A11" s="147"/>
      <c r="B11" s="205">
        <f t="shared" si="5"/>
        <v>6</v>
      </c>
      <c r="C11" s="206">
        <v>44350</v>
      </c>
      <c r="D11" s="161" t="s">
        <v>8</v>
      </c>
      <c r="E11" s="161" t="s">
        <v>550</v>
      </c>
      <c r="F11" s="222">
        <v>397</v>
      </c>
      <c r="G11" s="222">
        <v>395</v>
      </c>
      <c r="H11" s="255">
        <v>2</v>
      </c>
      <c r="I11" s="207">
        <f t="shared" ref="I11:I49" si="12">300000/F11</f>
        <v>755.66750629722924</v>
      </c>
      <c r="J11" s="161">
        <f t="shared" ref="J11:J49" si="13">H11*I11</f>
        <v>1511.3350125944585</v>
      </c>
      <c r="K11" s="153"/>
      <c r="M11" s="396"/>
      <c r="N11" s="385"/>
      <c r="O11" s="382"/>
      <c r="P11" s="382"/>
      <c r="Q11" s="383"/>
      <c r="R11" s="384"/>
      <c r="V11" s="25">
        <f t="shared" si="3"/>
        <v>1</v>
      </c>
      <c r="W11" s="25">
        <f t="shared" si="4"/>
        <v>0</v>
      </c>
    </row>
    <row r="12" spans="1:23" x14ac:dyDescent="0.3">
      <c r="A12" s="147"/>
      <c r="B12" s="205">
        <f t="shared" si="5"/>
        <v>7</v>
      </c>
      <c r="C12" s="206">
        <v>44351</v>
      </c>
      <c r="D12" s="161" t="s">
        <v>9</v>
      </c>
      <c r="E12" s="161" t="s">
        <v>29</v>
      </c>
      <c r="F12" s="222">
        <v>942</v>
      </c>
      <c r="G12" s="222">
        <v>932</v>
      </c>
      <c r="H12" s="222">
        <v>-10</v>
      </c>
      <c r="I12" s="207">
        <f t="shared" si="12"/>
        <v>318.47133757961785</v>
      </c>
      <c r="J12" s="242">
        <f t="shared" si="13"/>
        <v>-3184.7133757961783</v>
      </c>
      <c r="K12" s="153"/>
      <c r="M12" s="394" t="s">
        <v>41</v>
      </c>
      <c r="N12" s="344">
        <f>COUNT(C154:C176)</f>
        <v>22</v>
      </c>
      <c r="O12" s="346">
        <f>V177</f>
        <v>18</v>
      </c>
      <c r="P12" s="346">
        <f>W177</f>
        <v>4</v>
      </c>
      <c r="Q12" s="374">
        <f t="shared" ref="Q12" si="14">N12-O12-P12</f>
        <v>0</v>
      </c>
      <c r="R12" s="376">
        <f t="shared" si="11"/>
        <v>0.81818181818181823</v>
      </c>
      <c r="V12" s="25">
        <f t="shared" si="3"/>
        <v>0</v>
      </c>
      <c r="W12" s="25">
        <f t="shared" si="4"/>
        <v>1</v>
      </c>
    </row>
    <row r="13" spans="1:23" x14ac:dyDescent="0.3">
      <c r="A13" s="147"/>
      <c r="B13" s="205">
        <f t="shared" si="5"/>
        <v>8</v>
      </c>
      <c r="C13" s="206">
        <v>44351</v>
      </c>
      <c r="D13" s="161" t="s">
        <v>8</v>
      </c>
      <c r="E13" s="161" t="s">
        <v>3188</v>
      </c>
      <c r="F13" s="222">
        <v>1450</v>
      </c>
      <c r="G13" s="222">
        <v>1444</v>
      </c>
      <c r="H13" s="255">
        <v>6</v>
      </c>
      <c r="I13" s="207">
        <f t="shared" si="12"/>
        <v>206.89655172413794</v>
      </c>
      <c r="J13" s="242">
        <f t="shared" si="13"/>
        <v>1241.3793103448277</v>
      </c>
      <c r="K13" s="153"/>
      <c r="L13" s="229"/>
      <c r="M13" s="396"/>
      <c r="N13" s="385"/>
      <c r="O13" s="382"/>
      <c r="P13" s="382"/>
      <c r="Q13" s="383"/>
      <c r="R13" s="384"/>
      <c r="V13" s="25">
        <f t="shared" si="3"/>
        <v>1</v>
      </c>
      <c r="W13" s="25">
        <f t="shared" si="4"/>
        <v>0</v>
      </c>
    </row>
    <row r="14" spans="1:23" x14ac:dyDescent="0.3">
      <c r="A14" s="147"/>
      <c r="B14" s="205">
        <f t="shared" si="5"/>
        <v>9</v>
      </c>
      <c r="C14" s="206">
        <v>44354</v>
      </c>
      <c r="D14" s="161" t="s">
        <v>9</v>
      </c>
      <c r="E14" s="161" t="s">
        <v>78</v>
      </c>
      <c r="F14" s="222">
        <v>1565</v>
      </c>
      <c r="G14" s="222">
        <v>1569</v>
      </c>
      <c r="H14" s="222">
        <v>3</v>
      </c>
      <c r="I14" s="207">
        <f t="shared" si="12"/>
        <v>191.69329073482427</v>
      </c>
      <c r="J14" s="242">
        <f t="shared" si="13"/>
        <v>575.07987220447285</v>
      </c>
      <c r="K14" s="153"/>
      <c r="M14" s="394" t="s">
        <v>1175</v>
      </c>
      <c r="N14" s="344">
        <f>COUNT(C185:C207)</f>
        <v>22</v>
      </c>
      <c r="O14" s="346">
        <f>V208</f>
        <v>18</v>
      </c>
      <c r="P14" s="346">
        <f>W208</f>
        <v>4</v>
      </c>
      <c r="Q14" s="374">
        <f t="shared" ref="Q14" si="15">N14-O14-P14</f>
        <v>0</v>
      </c>
      <c r="R14" s="376">
        <f t="shared" si="11"/>
        <v>0.81818181818181823</v>
      </c>
      <c r="V14" s="25">
        <f t="shared" si="3"/>
        <v>1</v>
      </c>
      <c r="W14" s="25">
        <f t="shared" si="4"/>
        <v>0</v>
      </c>
    </row>
    <row r="15" spans="1:23" x14ac:dyDescent="0.3">
      <c r="A15" s="147"/>
      <c r="B15" s="205">
        <f t="shared" si="5"/>
        <v>10</v>
      </c>
      <c r="C15" s="206">
        <v>44354</v>
      </c>
      <c r="D15" s="161" t="s">
        <v>8</v>
      </c>
      <c r="E15" s="161" t="s">
        <v>796</v>
      </c>
      <c r="F15" s="222">
        <v>3335</v>
      </c>
      <c r="G15" s="222">
        <v>3310</v>
      </c>
      <c r="H15" s="222">
        <f>3335-3310</f>
        <v>25</v>
      </c>
      <c r="I15" s="207">
        <f t="shared" si="12"/>
        <v>89.955022488755617</v>
      </c>
      <c r="J15" s="242">
        <f t="shared" si="13"/>
        <v>2248.8755622188905</v>
      </c>
      <c r="K15" s="153"/>
      <c r="M15" s="396"/>
      <c r="N15" s="385"/>
      <c r="O15" s="382"/>
      <c r="P15" s="382"/>
      <c r="Q15" s="383"/>
      <c r="R15" s="384"/>
      <c r="V15" s="25">
        <f>IF($J15&gt;0,1,0)</f>
        <v>1</v>
      </c>
      <c r="W15" s="25">
        <f>IF($J15&lt;0,1,0)</f>
        <v>0</v>
      </c>
    </row>
    <row r="16" spans="1:23" x14ac:dyDescent="0.3">
      <c r="A16" s="147"/>
      <c r="B16" s="205">
        <f t="shared" si="5"/>
        <v>11</v>
      </c>
      <c r="C16" s="206">
        <v>44355</v>
      </c>
      <c r="D16" s="161" t="s">
        <v>9</v>
      </c>
      <c r="E16" s="161" t="s">
        <v>2999</v>
      </c>
      <c r="F16" s="222">
        <v>685</v>
      </c>
      <c r="G16" s="222">
        <v>691</v>
      </c>
      <c r="H16" s="222">
        <f>691-685</f>
        <v>6</v>
      </c>
      <c r="I16" s="207">
        <f t="shared" si="12"/>
        <v>437.95620437956205</v>
      </c>
      <c r="J16" s="242">
        <f t="shared" si="13"/>
        <v>2627.7372262773724</v>
      </c>
      <c r="K16" s="153"/>
      <c r="L16" s="25" t="s">
        <v>2008</v>
      </c>
      <c r="M16" s="394" t="s">
        <v>1090</v>
      </c>
      <c r="N16" s="344">
        <f>COUNT(C216:C239)</f>
        <v>22</v>
      </c>
      <c r="O16" s="346">
        <f>V240</f>
        <v>16</v>
      </c>
      <c r="P16" s="346">
        <f>W240</f>
        <v>6</v>
      </c>
      <c r="Q16" s="374">
        <f t="shared" ref="Q16" si="16">N16-O16-P16</f>
        <v>0</v>
      </c>
      <c r="R16" s="376">
        <f t="shared" si="11"/>
        <v>0.72727272727272729</v>
      </c>
      <c r="V16" s="25">
        <f>IF($J16&gt;0,1,0)</f>
        <v>1</v>
      </c>
      <c r="W16" s="25">
        <f>IF($J16&lt;0,1,0)</f>
        <v>0</v>
      </c>
    </row>
    <row r="17" spans="1:23" ht="15" thickBot="1" x14ac:dyDescent="0.35">
      <c r="A17" s="147"/>
      <c r="B17" s="205">
        <f t="shared" si="5"/>
        <v>12</v>
      </c>
      <c r="C17" s="206">
        <v>44355</v>
      </c>
      <c r="D17" s="161" t="s">
        <v>8</v>
      </c>
      <c r="E17" s="161" t="s">
        <v>37</v>
      </c>
      <c r="F17" s="222">
        <v>386</v>
      </c>
      <c r="G17" s="222">
        <v>382</v>
      </c>
      <c r="H17" s="222">
        <v>3</v>
      </c>
      <c r="I17" s="207">
        <f t="shared" si="12"/>
        <v>777.20207253886008</v>
      </c>
      <c r="J17" s="242">
        <f t="shared" si="13"/>
        <v>2331.6062176165801</v>
      </c>
      <c r="K17" s="153"/>
      <c r="M17" s="395"/>
      <c r="N17" s="381"/>
      <c r="O17" s="373"/>
      <c r="P17" s="373"/>
      <c r="Q17" s="375"/>
      <c r="R17" s="377"/>
      <c r="V17" s="25">
        <f t="shared" si="3"/>
        <v>1</v>
      </c>
      <c r="W17" s="25">
        <f t="shared" si="4"/>
        <v>0</v>
      </c>
    </row>
    <row r="18" spans="1:23" x14ac:dyDescent="0.3">
      <c r="A18" s="147"/>
      <c r="B18" s="205">
        <f t="shared" si="5"/>
        <v>13</v>
      </c>
      <c r="C18" s="206">
        <v>44356</v>
      </c>
      <c r="D18" s="161" t="s">
        <v>9</v>
      </c>
      <c r="E18" s="161" t="s">
        <v>3248</v>
      </c>
      <c r="F18" s="222">
        <v>1438</v>
      </c>
      <c r="G18" s="222">
        <v>1425</v>
      </c>
      <c r="H18" s="222">
        <v>-13</v>
      </c>
      <c r="I18" s="207">
        <f t="shared" si="12"/>
        <v>208.62308762169681</v>
      </c>
      <c r="J18" s="242">
        <f t="shared" si="13"/>
        <v>-2712.1001390820584</v>
      </c>
      <c r="K18" s="153"/>
      <c r="M18" s="392" t="s">
        <v>946</v>
      </c>
      <c r="N18" s="378">
        <f>SUM(N4:N17)</f>
        <v>175</v>
      </c>
      <c r="O18" s="378">
        <f t="shared" ref="O18:Q18" si="17">SUM(O4:O17)</f>
        <v>136</v>
      </c>
      <c r="P18" s="378">
        <f t="shared" si="17"/>
        <v>38</v>
      </c>
      <c r="Q18" s="378">
        <f t="shared" si="17"/>
        <v>1</v>
      </c>
      <c r="R18" s="380">
        <f t="shared" ref="R18" si="18">O18/N18</f>
        <v>0.77714285714285714</v>
      </c>
      <c r="V18" s="25">
        <f t="shared" si="3"/>
        <v>0</v>
      </c>
      <c r="W18" s="25">
        <f t="shared" si="4"/>
        <v>1</v>
      </c>
    </row>
    <row r="19" spans="1:23" ht="15" thickBot="1" x14ac:dyDescent="0.35">
      <c r="A19" s="147"/>
      <c r="B19" s="205">
        <f t="shared" si="5"/>
        <v>14</v>
      </c>
      <c r="C19" s="206">
        <v>44356</v>
      </c>
      <c r="D19" s="161" t="s">
        <v>8</v>
      </c>
      <c r="E19" s="161" t="s">
        <v>31</v>
      </c>
      <c r="F19" s="222">
        <v>2210</v>
      </c>
      <c r="G19" s="222">
        <v>2170</v>
      </c>
      <c r="H19" s="222">
        <f>2210-2170</f>
        <v>40</v>
      </c>
      <c r="I19" s="207">
        <f t="shared" si="12"/>
        <v>135.74660633484163</v>
      </c>
      <c r="J19" s="242">
        <f t="shared" si="13"/>
        <v>5429.8642533936654</v>
      </c>
      <c r="K19" s="153"/>
      <c r="M19" s="393"/>
      <c r="N19" s="379"/>
      <c r="O19" s="379"/>
      <c r="P19" s="379"/>
      <c r="Q19" s="379"/>
      <c r="R19" s="377"/>
      <c r="V19" s="25">
        <f t="shared" si="3"/>
        <v>1</v>
      </c>
      <c r="W19" s="25">
        <f t="shared" si="4"/>
        <v>0</v>
      </c>
    </row>
    <row r="20" spans="1:23" ht="15" customHeight="1" x14ac:dyDescent="0.3">
      <c r="A20" s="147"/>
      <c r="B20" s="205">
        <f t="shared" si="5"/>
        <v>15</v>
      </c>
      <c r="C20" s="206">
        <v>44357</v>
      </c>
      <c r="D20" s="161" t="s">
        <v>9</v>
      </c>
      <c r="E20" s="161" t="s">
        <v>3063</v>
      </c>
      <c r="F20" s="222">
        <v>1002</v>
      </c>
      <c r="G20" s="222">
        <v>998</v>
      </c>
      <c r="H20" s="222">
        <v>-4</v>
      </c>
      <c r="I20" s="207">
        <f t="shared" si="12"/>
        <v>299.40119760479041</v>
      </c>
      <c r="J20" s="242">
        <f t="shared" si="13"/>
        <v>-1197.6047904191616</v>
      </c>
      <c r="K20" s="153"/>
      <c r="M20" s="316" t="s">
        <v>2253</v>
      </c>
      <c r="N20" s="317"/>
      <c r="O20" s="318"/>
      <c r="P20" s="325">
        <f>R18</f>
        <v>0.77714285714285714</v>
      </c>
      <c r="Q20" s="326"/>
      <c r="R20" s="327"/>
      <c r="V20" s="25">
        <f t="shared" si="3"/>
        <v>0</v>
      </c>
      <c r="W20" s="25">
        <f t="shared" si="4"/>
        <v>1</v>
      </c>
    </row>
    <row r="21" spans="1:23" ht="15" customHeight="1" x14ac:dyDescent="0.3">
      <c r="A21" s="147"/>
      <c r="B21" s="205">
        <f t="shared" si="5"/>
        <v>16</v>
      </c>
      <c r="C21" s="206">
        <v>44357</v>
      </c>
      <c r="D21" s="161" t="s">
        <v>8</v>
      </c>
      <c r="E21" s="161" t="s">
        <v>31</v>
      </c>
      <c r="F21" s="222">
        <v>2187</v>
      </c>
      <c r="G21" s="222">
        <v>2203</v>
      </c>
      <c r="H21" s="222">
        <v>-16</v>
      </c>
      <c r="I21" s="207">
        <f t="shared" si="12"/>
        <v>137.17421124828533</v>
      </c>
      <c r="J21" s="242">
        <f t="shared" si="13"/>
        <v>-2194.7873799725653</v>
      </c>
      <c r="K21" s="153"/>
      <c r="M21" s="319"/>
      <c r="N21" s="320"/>
      <c r="O21" s="321"/>
      <c r="P21" s="328"/>
      <c r="Q21" s="329"/>
      <c r="R21" s="330"/>
      <c r="V21" s="25">
        <f t="shared" si="3"/>
        <v>0</v>
      </c>
      <c r="W21" s="25">
        <f t="shared" si="4"/>
        <v>1</v>
      </c>
    </row>
    <row r="22" spans="1:23" ht="15" customHeight="1" thickBot="1" x14ac:dyDescent="0.35">
      <c r="A22" s="147"/>
      <c r="B22" s="205">
        <f t="shared" si="5"/>
        <v>17</v>
      </c>
      <c r="C22" s="206">
        <v>44358</v>
      </c>
      <c r="D22" s="161" t="s">
        <v>9</v>
      </c>
      <c r="E22" s="161" t="s">
        <v>31</v>
      </c>
      <c r="F22" s="222">
        <v>2220</v>
      </c>
      <c r="G22" s="222">
        <v>2228</v>
      </c>
      <c r="H22" s="222">
        <v>8</v>
      </c>
      <c r="I22" s="207">
        <f t="shared" si="12"/>
        <v>135.13513513513513</v>
      </c>
      <c r="J22" s="242">
        <f t="shared" si="13"/>
        <v>1081.081081081081</v>
      </c>
      <c r="K22" s="153"/>
      <c r="M22" s="322"/>
      <c r="N22" s="323"/>
      <c r="O22" s="324"/>
      <c r="P22" s="331"/>
      <c r="Q22" s="332"/>
      <c r="R22" s="333"/>
      <c r="V22" s="25">
        <f t="shared" si="3"/>
        <v>1</v>
      </c>
      <c r="W22" s="25">
        <f t="shared" si="4"/>
        <v>0</v>
      </c>
    </row>
    <row r="23" spans="1:23" ht="15" customHeight="1" x14ac:dyDescent="0.3">
      <c r="A23" s="147"/>
      <c r="B23" s="205">
        <f t="shared" si="5"/>
        <v>18</v>
      </c>
      <c r="C23" s="206">
        <v>44358</v>
      </c>
      <c r="D23" s="161" t="s">
        <v>8</v>
      </c>
      <c r="E23" s="161" t="s">
        <v>19</v>
      </c>
      <c r="F23" s="222">
        <v>432</v>
      </c>
      <c r="G23" s="222">
        <v>426.5</v>
      </c>
      <c r="H23" s="222">
        <f>432-426.5</f>
        <v>5.5</v>
      </c>
      <c r="I23" s="207">
        <f t="shared" si="12"/>
        <v>694.44444444444446</v>
      </c>
      <c r="J23" s="242">
        <f t="shared" si="13"/>
        <v>3819.4444444444443</v>
      </c>
      <c r="K23" s="153"/>
      <c r="V23" s="25">
        <f t="shared" si="3"/>
        <v>1</v>
      </c>
      <c r="W23" s="25">
        <f t="shared" si="4"/>
        <v>0</v>
      </c>
    </row>
    <row r="24" spans="1:23" ht="15.75" customHeight="1" x14ac:dyDescent="0.3">
      <c r="A24" s="147"/>
      <c r="B24" s="205">
        <f t="shared" si="5"/>
        <v>19</v>
      </c>
      <c r="C24" s="206">
        <v>44361</v>
      </c>
      <c r="D24" s="161" t="s">
        <v>9</v>
      </c>
      <c r="E24" s="161" t="s">
        <v>90</v>
      </c>
      <c r="F24" s="222">
        <v>1070</v>
      </c>
      <c r="G24" s="222">
        <v>1079.3</v>
      </c>
      <c r="H24" s="222">
        <v>9.3000000000000007</v>
      </c>
      <c r="I24" s="207">
        <f t="shared" si="12"/>
        <v>280.37383177570092</v>
      </c>
      <c r="J24" s="242">
        <f t="shared" si="13"/>
        <v>2607.4766355140187</v>
      </c>
      <c r="K24" s="153"/>
      <c r="V24" s="25">
        <f t="shared" si="3"/>
        <v>1</v>
      </c>
      <c r="W24" s="25">
        <f t="shared" si="4"/>
        <v>0</v>
      </c>
    </row>
    <row r="25" spans="1:23" x14ac:dyDescent="0.3">
      <c r="A25" s="147"/>
      <c r="B25" s="205">
        <f t="shared" si="5"/>
        <v>20</v>
      </c>
      <c r="C25" s="206">
        <v>44361</v>
      </c>
      <c r="D25" s="161" t="s">
        <v>8</v>
      </c>
      <c r="E25" s="161" t="s">
        <v>2563</v>
      </c>
      <c r="F25" s="222">
        <v>1775</v>
      </c>
      <c r="G25" s="222">
        <v>1774</v>
      </c>
      <c r="H25" s="222">
        <v>-1</v>
      </c>
      <c r="I25" s="207">
        <f t="shared" si="12"/>
        <v>169.01408450704224</v>
      </c>
      <c r="J25" s="242">
        <f t="shared" si="13"/>
        <v>-169.01408450704224</v>
      </c>
      <c r="K25" s="153"/>
      <c r="V25" s="25">
        <f t="shared" si="3"/>
        <v>0</v>
      </c>
      <c r="W25" s="25">
        <f t="shared" si="4"/>
        <v>1</v>
      </c>
    </row>
    <row r="26" spans="1:23" x14ac:dyDescent="0.3">
      <c r="A26" s="147"/>
      <c r="B26" s="205">
        <f t="shared" si="5"/>
        <v>21</v>
      </c>
      <c r="C26" s="206">
        <v>44362</v>
      </c>
      <c r="D26" s="161" t="s">
        <v>9</v>
      </c>
      <c r="E26" s="161" t="s">
        <v>3248</v>
      </c>
      <c r="F26" s="222">
        <v>1425</v>
      </c>
      <c r="G26" s="222">
        <v>1438</v>
      </c>
      <c r="H26" s="222">
        <f>1438-1425</f>
        <v>13</v>
      </c>
      <c r="I26" s="207">
        <f t="shared" si="12"/>
        <v>210.52631578947367</v>
      </c>
      <c r="J26" s="242">
        <f t="shared" si="13"/>
        <v>2736.8421052631579</v>
      </c>
      <c r="K26" s="153"/>
      <c r="V26" s="25">
        <f t="shared" si="3"/>
        <v>1</v>
      </c>
      <c r="W26" s="25">
        <f t="shared" si="4"/>
        <v>0</v>
      </c>
    </row>
    <row r="27" spans="1:23" x14ac:dyDescent="0.3">
      <c r="A27" s="147"/>
      <c r="B27" s="205">
        <f t="shared" si="5"/>
        <v>22</v>
      </c>
      <c r="C27" s="206">
        <v>44362</v>
      </c>
      <c r="D27" s="161" t="s">
        <v>8</v>
      </c>
      <c r="E27" s="161" t="s">
        <v>31</v>
      </c>
      <c r="F27" s="222">
        <v>2245</v>
      </c>
      <c r="G27" s="222">
        <v>2265</v>
      </c>
      <c r="H27" s="222">
        <v>-20</v>
      </c>
      <c r="I27" s="207">
        <f t="shared" si="12"/>
        <v>133.630289532294</v>
      </c>
      <c r="J27" s="242">
        <f t="shared" si="13"/>
        <v>-2672.60579064588</v>
      </c>
      <c r="K27" s="153"/>
      <c r="V27" s="25">
        <f t="shared" si="3"/>
        <v>0</v>
      </c>
      <c r="W27" s="25">
        <f t="shared" si="4"/>
        <v>1</v>
      </c>
    </row>
    <row r="28" spans="1:23" x14ac:dyDescent="0.3">
      <c r="A28" s="147"/>
      <c r="B28" s="205">
        <f t="shared" si="5"/>
        <v>23</v>
      </c>
      <c r="C28" s="206">
        <v>44363</v>
      </c>
      <c r="D28" s="161" t="s">
        <v>9</v>
      </c>
      <c r="E28" s="161" t="s">
        <v>78</v>
      </c>
      <c r="F28" s="222">
        <v>1512</v>
      </c>
      <c r="G28" s="222">
        <v>1500</v>
      </c>
      <c r="H28" s="222">
        <v>-12</v>
      </c>
      <c r="I28" s="207">
        <f t="shared" si="12"/>
        <v>198.4126984126984</v>
      </c>
      <c r="J28" s="242">
        <f t="shared" si="13"/>
        <v>-2380.9523809523807</v>
      </c>
      <c r="K28" s="153"/>
      <c r="M28" s="25" t="s">
        <v>2008</v>
      </c>
      <c r="V28" s="25">
        <f t="shared" si="3"/>
        <v>0</v>
      </c>
      <c r="W28" s="25">
        <f t="shared" si="4"/>
        <v>1</v>
      </c>
    </row>
    <row r="29" spans="1:23" x14ac:dyDescent="0.3">
      <c r="A29" s="147"/>
      <c r="B29" s="205">
        <f t="shared" si="5"/>
        <v>24</v>
      </c>
      <c r="C29" s="206">
        <v>44363</v>
      </c>
      <c r="D29" s="161" t="s">
        <v>8</v>
      </c>
      <c r="E29" s="161" t="s">
        <v>550</v>
      </c>
      <c r="F29" s="222">
        <v>412</v>
      </c>
      <c r="G29" s="222">
        <v>409</v>
      </c>
      <c r="H29" s="222">
        <v>3</v>
      </c>
      <c r="I29" s="207">
        <f t="shared" si="12"/>
        <v>728.15533980582529</v>
      </c>
      <c r="J29" s="242">
        <f t="shared" si="13"/>
        <v>2184.4660194174758</v>
      </c>
      <c r="K29" s="153"/>
      <c r="V29" s="25">
        <f t="shared" si="3"/>
        <v>1</v>
      </c>
      <c r="W29" s="25">
        <f t="shared" si="4"/>
        <v>0</v>
      </c>
    </row>
    <row r="30" spans="1:23" x14ac:dyDescent="0.3">
      <c r="A30" s="147"/>
      <c r="B30" s="205">
        <f t="shared" si="5"/>
        <v>25</v>
      </c>
      <c r="C30" s="206">
        <v>44364</v>
      </c>
      <c r="D30" s="161" t="s">
        <v>9</v>
      </c>
      <c r="E30" s="161" t="s">
        <v>496</v>
      </c>
      <c r="F30" s="222">
        <v>497</v>
      </c>
      <c r="G30" s="222">
        <v>492</v>
      </c>
      <c r="H30" s="222">
        <v>-5</v>
      </c>
      <c r="I30" s="207">
        <f t="shared" si="12"/>
        <v>603.62173038229378</v>
      </c>
      <c r="J30" s="242">
        <f t="shared" si="13"/>
        <v>-3018.1086519114688</v>
      </c>
      <c r="K30" s="153"/>
      <c r="V30" s="25">
        <f t="shared" si="3"/>
        <v>0</v>
      </c>
      <c r="W30" s="25">
        <f t="shared" si="4"/>
        <v>1</v>
      </c>
    </row>
    <row r="31" spans="1:23" x14ac:dyDescent="0.3">
      <c r="A31" s="147"/>
      <c r="B31" s="205">
        <f t="shared" si="5"/>
        <v>26</v>
      </c>
      <c r="C31" s="206">
        <v>44364</v>
      </c>
      <c r="D31" s="161" t="s">
        <v>8</v>
      </c>
      <c r="E31" s="161" t="s">
        <v>982</v>
      </c>
      <c r="F31" s="222">
        <v>670</v>
      </c>
      <c r="G31" s="222">
        <v>658</v>
      </c>
      <c r="H31" s="222">
        <f>670-658</f>
        <v>12</v>
      </c>
      <c r="I31" s="207">
        <f t="shared" si="12"/>
        <v>447.76119402985074</v>
      </c>
      <c r="J31" s="242">
        <f t="shared" si="13"/>
        <v>5373.1343283582091</v>
      </c>
      <c r="K31" s="153"/>
      <c r="V31" s="25">
        <f t="shared" si="3"/>
        <v>1</v>
      </c>
      <c r="W31" s="25">
        <f t="shared" si="4"/>
        <v>0</v>
      </c>
    </row>
    <row r="32" spans="1:23" x14ac:dyDescent="0.3">
      <c r="A32" s="147"/>
      <c r="B32" s="205">
        <f t="shared" si="5"/>
        <v>27</v>
      </c>
      <c r="C32" s="206">
        <v>44365</v>
      </c>
      <c r="D32" s="161" t="s">
        <v>9</v>
      </c>
      <c r="E32" s="161" t="s">
        <v>94</v>
      </c>
      <c r="F32" s="222">
        <v>1465</v>
      </c>
      <c r="G32" s="222">
        <v>1480</v>
      </c>
      <c r="H32" s="222">
        <f>1480-1465</f>
        <v>15</v>
      </c>
      <c r="I32" s="207">
        <f t="shared" si="12"/>
        <v>204.77815699658703</v>
      </c>
      <c r="J32" s="242">
        <f t="shared" si="13"/>
        <v>3071.6723549488056</v>
      </c>
      <c r="K32" s="153"/>
      <c r="V32" s="25">
        <f t="shared" si="3"/>
        <v>1</v>
      </c>
      <c r="W32" s="25">
        <f t="shared" si="4"/>
        <v>0</v>
      </c>
    </row>
    <row r="33" spans="1:23" x14ac:dyDescent="0.3">
      <c r="A33" s="147"/>
      <c r="B33" s="205">
        <f t="shared" si="5"/>
        <v>28</v>
      </c>
      <c r="C33" s="206">
        <v>44365</v>
      </c>
      <c r="D33" s="161" t="s">
        <v>8</v>
      </c>
      <c r="E33" s="161" t="s">
        <v>58</v>
      </c>
      <c r="F33" s="222">
        <v>736</v>
      </c>
      <c r="G33" s="222">
        <v>724</v>
      </c>
      <c r="H33" s="222">
        <f>736-724</f>
        <v>12</v>
      </c>
      <c r="I33" s="207">
        <f t="shared" si="12"/>
        <v>407.60869565217394</v>
      </c>
      <c r="J33" s="242">
        <f t="shared" si="13"/>
        <v>4891.304347826087</v>
      </c>
      <c r="K33" s="153"/>
      <c r="V33" s="25">
        <f t="shared" si="3"/>
        <v>1</v>
      </c>
      <c r="W33" s="25">
        <f t="shared" si="4"/>
        <v>0</v>
      </c>
    </row>
    <row r="34" spans="1:23" x14ac:dyDescent="0.3">
      <c r="A34" s="147"/>
      <c r="B34" s="205">
        <f t="shared" si="5"/>
        <v>29</v>
      </c>
      <c r="C34" s="206">
        <v>44368</v>
      </c>
      <c r="D34" s="161" t="s">
        <v>9</v>
      </c>
      <c r="E34" s="161" t="s">
        <v>800</v>
      </c>
      <c r="F34" s="222">
        <v>1405</v>
      </c>
      <c r="G34" s="222">
        <v>1435</v>
      </c>
      <c r="H34" s="222">
        <v>20</v>
      </c>
      <c r="I34" s="207">
        <f t="shared" si="12"/>
        <v>213.52313167259786</v>
      </c>
      <c r="J34" s="242">
        <f t="shared" si="13"/>
        <v>4270.4626334519571</v>
      </c>
      <c r="K34" s="153"/>
      <c r="V34" s="25">
        <f t="shared" si="3"/>
        <v>1</v>
      </c>
      <c r="W34" s="25">
        <f t="shared" si="4"/>
        <v>0</v>
      </c>
    </row>
    <row r="35" spans="1:23" x14ac:dyDescent="0.3">
      <c r="A35" s="147"/>
      <c r="B35" s="205">
        <f t="shared" si="5"/>
        <v>30</v>
      </c>
      <c r="C35" s="206">
        <v>44368</v>
      </c>
      <c r="D35" s="161" t="s">
        <v>8</v>
      </c>
      <c r="E35" s="161" t="s">
        <v>78</v>
      </c>
      <c r="F35" s="222">
        <v>1455</v>
      </c>
      <c r="G35" s="222">
        <v>1447.5</v>
      </c>
      <c r="H35" s="222">
        <f>1455-1447.5</f>
        <v>7.5</v>
      </c>
      <c r="I35" s="207">
        <f t="shared" si="12"/>
        <v>206.18556701030928</v>
      </c>
      <c r="J35" s="242">
        <f t="shared" si="13"/>
        <v>1546.3917525773197</v>
      </c>
      <c r="K35" s="153"/>
      <c r="V35" s="25">
        <f t="shared" si="3"/>
        <v>1</v>
      </c>
      <c r="W35" s="25">
        <f t="shared" si="4"/>
        <v>0</v>
      </c>
    </row>
    <row r="36" spans="1:23" x14ac:dyDescent="0.3">
      <c r="A36" s="147"/>
      <c r="B36" s="205">
        <f t="shared" si="5"/>
        <v>31</v>
      </c>
      <c r="C36" s="206">
        <v>44369</v>
      </c>
      <c r="D36" s="161" t="s">
        <v>9</v>
      </c>
      <c r="E36" s="161" t="s">
        <v>94</v>
      </c>
      <c r="F36" s="222">
        <v>1505</v>
      </c>
      <c r="G36" s="222">
        <v>1490</v>
      </c>
      <c r="H36" s="222">
        <v>-15</v>
      </c>
      <c r="I36" s="207">
        <f t="shared" si="12"/>
        <v>199.33554817275748</v>
      </c>
      <c r="J36" s="242">
        <f t="shared" si="13"/>
        <v>-2990.0332225913621</v>
      </c>
      <c r="K36" s="153"/>
      <c r="V36" s="25">
        <f t="shared" si="3"/>
        <v>0</v>
      </c>
      <c r="W36" s="25">
        <f t="shared" si="4"/>
        <v>1</v>
      </c>
    </row>
    <row r="37" spans="1:23" x14ac:dyDescent="0.3">
      <c r="A37" s="147"/>
      <c r="B37" s="205">
        <f t="shared" si="5"/>
        <v>32</v>
      </c>
      <c r="C37" s="206">
        <v>44369</v>
      </c>
      <c r="D37" s="161" t="s">
        <v>8</v>
      </c>
      <c r="E37" s="161" t="s">
        <v>800</v>
      </c>
      <c r="F37" s="222">
        <v>1425</v>
      </c>
      <c r="G37" s="222">
        <v>1418</v>
      </c>
      <c r="H37" s="222">
        <v>7</v>
      </c>
      <c r="I37" s="207">
        <f t="shared" si="12"/>
        <v>210.52631578947367</v>
      </c>
      <c r="J37" s="242">
        <f t="shared" si="13"/>
        <v>1473.6842105263156</v>
      </c>
      <c r="K37" s="153"/>
      <c r="V37" s="25">
        <f t="shared" si="3"/>
        <v>1</v>
      </c>
      <c r="W37" s="25">
        <f t="shared" si="4"/>
        <v>0</v>
      </c>
    </row>
    <row r="38" spans="1:23" x14ac:dyDescent="0.3">
      <c r="A38" s="147"/>
      <c r="B38" s="205">
        <f t="shared" si="5"/>
        <v>33</v>
      </c>
      <c r="C38" s="206">
        <v>44370</v>
      </c>
      <c r="D38" s="161" t="s">
        <v>9</v>
      </c>
      <c r="E38" s="161" t="s">
        <v>2023</v>
      </c>
      <c r="F38" s="222">
        <v>6105</v>
      </c>
      <c r="G38" s="222">
        <v>6075</v>
      </c>
      <c r="H38" s="222">
        <v>-30</v>
      </c>
      <c r="I38" s="207">
        <f t="shared" si="12"/>
        <v>49.140049140049143</v>
      </c>
      <c r="J38" s="242">
        <f t="shared" si="13"/>
        <v>-1474.2014742014744</v>
      </c>
      <c r="K38" s="153"/>
      <c r="V38" s="25">
        <f t="shared" si="3"/>
        <v>0</v>
      </c>
      <c r="W38" s="25">
        <f t="shared" si="4"/>
        <v>1</v>
      </c>
    </row>
    <row r="39" spans="1:23" x14ac:dyDescent="0.3">
      <c r="A39" s="147"/>
      <c r="B39" s="205">
        <f t="shared" si="5"/>
        <v>34</v>
      </c>
      <c r="C39" s="206">
        <v>44370</v>
      </c>
      <c r="D39" s="161" t="s">
        <v>8</v>
      </c>
      <c r="E39" s="161" t="s">
        <v>78</v>
      </c>
      <c r="F39" s="222">
        <v>1490</v>
      </c>
      <c r="G39" s="222">
        <v>1482</v>
      </c>
      <c r="H39" s="222">
        <f>1490-1482</f>
        <v>8</v>
      </c>
      <c r="I39" s="207">
        <f t="shared" si="12"/>
        <v>201.34228187919464</v>
      </c>
      <c r="J39" s="242">
        <f t="shared" si="13"/>
        <v>1610.7382550335572</v>
      </c>
      <c r="K39" s="153"/>
      <c r="V39" s="25">
        <f t="shared" si="3"/>
        <v>1</v>
      </c>
      <c r="W39" s="25">
        <f t="shared" si="4"/>
        <v>0</v>
      </c>
    </row>
    <row r="40" spans="1:23" x14ac:dyDescent="0.3">
      <c r="A40" s="147"/>
      <c r="B40" s="205">
        <f t="shared" si="5"/>
        <v>35</v>
      </c>
      <c r="C40" s="206">
        <v>44371</v>
      </c>
      <c r="D40" s="161" t="s">
        <v>9</v>
      </c>
      <c r="E40" s="161" t="s">
        <v>578</v>
      </c>
      <c r="F40" s="222">
        <v>1520</v>
      </c>
      <c r="G40" s="222">
        <v>1540</v>
      </c>
      <c r="H40" s="222">
        <v>20</v>
      </c>
      <c r="I40" s="207">
        <f t="shared" si="12"/>
        <v>197.36842105263159</v>
      </c>
      <c r="J40" s="242">
        <f t="shared" si="13"/>
        <v>3947.3684210526317</v>
      </c>
      <c r="K40" s="153"/>
      <c r="V40" s="25">
        <f t="shared" si="3"/>
        <v>1</v>
      </c>
      <c r="W40" s="25">
        <f t="shared" si="4"/>
        <v>0</v>
      </c>
    </row>
    <row r="41" spans="1:23" x14ac:dyDescent="0.3">
      <c r="A41" s="147"/>
      <c r="B41" s="205">
        <f t="shared" si="5"/>
        <v>36</v>
      </c>
      <c r="C41" s="206">
        <v>44371</v>
      </c>
      <c r="D41" s="161" t="s">
        <v>8</v>
      </c>
      <c r="E41" s="161" t="s">
        <v>800</v>
      </c>
      <c r="F41" s="222">
        <v>1395</v>
      </c>
      <c r="G41" s="223">
        <v>1372</v>
      </c>
      <c r="H41" s="222">
        <f>1395-1372</f>
        <v>23</v>
      </c>
      <c r="I41" s="207">
        <f t="shared" si="12"/>
        <v>215.05376344086022</v>
      </c>
      <c r="J41" s="242">
        <f t="shared" si="13"/>
        <v>4946.2365591397847</v>
      </c>
      <c r="K41" s="153"/>
      <c r="V41" s="25">
        <f t="shared" si="3"/>
        <v>1</v>
      </c>
      <c r="W41" s="25">
        <f t="shared" si="4"/>
        <v>0</v>
      </c>
    </row>
    <row r="42" spans="1:23" x14ac:dyDescent="0.3">
      <c r="A42" s="147"/>
      <c r="B42" s="205">
        <f t="shared" si="5"/>
        <v>37</v>
      </c>
      <c r="C42" s="206">
        <v>44372</v>
      </c>
      <c r="D42" s="161" t="s">
        <v>9</v>
      </c>
      <c r="E42" s="161" t="s">
        <v>800</v>
      </c>
      <c r="F42" s="222">
        <v>1385</v>
      </c>
      <c r="G42" s="222">
        <v>1400</v>
      </c>
      <c r="H42" s="222">
        <f>1400-1385</f>
        <v>15</v>
      </c>
      <c r="I42" s="207">
        <f t="shared" si="12"/>
        <v>216.60649819494586</v>
      </c>
      <c r="J42" s="242">
        <f t="shared" si="13"/>
        <v>3249.097472924188</v>
      </c>
      <c r="K42" s="153"/>
      <c r="V42" s="25">
        <f t="shared" si="3"/>
        <v>1</v>
      </c>
      <c r="W42" s="25">
        <f t="shared" si="4"/>
        <v>0</v>
      </c>
    </row>
    <row r="43" spans="1:23" x14ac:dyDescent="0.3">
      <c r="A43" s="147"/>
      <c r="B43" s="205">
        <f t="shared" si="5"/>
        <v>38</v>
      </c>
      <c r="C43" s="206">
        <v>44372</v>
      </c>
      <c r="D43" s="161" t="s">
        <v>8</v>
      </c>
      <c r="E43" s="161" t="s">
        <v>78</v>
      </c>
      <c r="F43" s="222">
        <v>1512</v>
      </c>
      <c r="G43" s="222">
        <v>1525</v>
      </c>
      <c r="H43" s="222">
        <f>1525-1512</f>
        <v>13</v>
      </c>
      <c r="I43" s="207">
        <f t="shared" si="12"/>
        <v>198.4126984126984</v>
      </c>
      <c r="J43" s="242">
        <f t="shared" si="13"/>
        <v>2579.3650793650791</v>
      </c>
      <c r="K43" s="153"/>
      <c r="V43" s="25">
        <f t="shared" si="3"/>
        <v>1</v>
      </c>
      <c r="W43" s="25">
        <f t="shared" si="4"/>
        <v>0</v>
      </c>
    </row>
    <row r="44" spans="1:23" x14ac:dyDescent="0.3">
      <c r="A44" s="147"/>
      <c r="B44" s="205">
        <f t="shared" si="5"/>
        <v>39</v>
      </c>
      <c r="C44" s="206">
        <v>44375</v>
      </c>
      <c r="D44" s="161" t="s">
        <v>9</v>
      </c>
      <c r="E44" s="161" t="s">
        <v>800</v>
      </c>
      <c r="F44" s="222">
        <v>1400</v>
      </c>
      <c r="G44" s="222">
        <v>1430</v>
      </c>
      <c r="H44" s="222">
        <v>30</v>
      </c>
      <c r="I44" s="207">
        <f t="shared" si="12"/>
        <v>214.28571428571428</v>
      </c>
      <c r="J44" s="242">
        <f t="shared" si="13"/>
        <v>6428.5714285714284</v>
      </c>
      <c r="K44" s="153"/>
      <c r="V44" s="25">
        <f t="shared" si="3"/>
        <v>1</v>
      </c>
      <c r="W44" s="25">
        <f t="shared" si="4"/>
        <v>0</v>
      </c>
    </row>
    <row r="45" spans="1:23" x14ac:dyDescent="0.3">
      <c r="A45" s="147"/>
      <c r="B45" s="205">
        <f t="shared" si="5"/>
        <v>40</v>
      </c>
      <c r="C45" s="206">
        <v>44375</v>
      </c>
      <c r="D45" s="161" t="s">
        <v>8</v>
      </c>
      <c r="E45" s="161" t="s">
        <v>94</v>
      </c>
      <c r="F45" s="222">
        <v>1515</v>
      </c>
      <c r="G45" s="222">
        <v>1507.5</v>
      </c>
      <c r="H45" s="222">
        <f>1515-1507.5</f>
        <v>7.5</v>
      </c>
      <c r="I45" s="207">
        <f t="shared" si="12"/>
        <v>198.01980198019803</v>
      </c>
      <c r="J45" s="242">
        <f t="shared" si="13"/>
        <v>1485.1485148514853</v>
      </c>
      <c r="K45" s="153"/>
      <c r="V45" s="25">
        <f t="shared" si="3"/>
        <v>1</v>
      </c>
      <c r="W45" s="25">
        <f t="shared" si="4"/>
        <v>0</v>
      </c>
    </row>
    <row r="46" spans="1:23" x14ac:dyDescent="0.3">
      <c r="A46" s="147"/>
      <c r="B46" s="205">
        <f t="shared" si="5"/>
        <v>41</v>
      </c>
      <c r="C46" s="206">
        <v>44376</v>
      </c>
      <c r="D46" s="161" t="s">
        <v>9</v>
      </c>
      <c r="E46" s="161" t="s">
        <v>124</v>
      </c>
      <c r="F46" s="222">
        <v>345</v>
      </c>
      <c r="G46" s="222">
        <v>340</v>
      </c>
      <c r="H46" s="222">
        <v>-5</v>
      </c>
      <c r="I46" s="207">
        <f t="shared" si="12"/>
        <v>869.56521739130437</v>
      </c>
      <c r="J46" s="242">
        <f t="shared" si="13"/>
        <v>-4347.826086956522</v>
      </c>
      <c r="K46" s="153"/>
      <c r="V46" s="25">
        <f t="shared" si="3"/>
        <v>0</v>
      </c>
      <c r="W46" s="25">
        <f t="shared" si="4"/>
        <v>1</v>
      </c>
    </row>
    <row r="47" spans="1:23" x14ac:dyDescent="0.3">
      <c r="A47" s="147"/>
      <c r="B47" s="205">
        <f t="shared" si="5"/>
        <v>42</v>
      </c>
      <c r="C47" s="206">
        <v>44376</v>
      </c>
      <c r="D47" s="161" t="s">
        <v>8</v>
      </c>
      <c r="E47" s="161" t="s">
        <v>95</v>
      </c>
      <c r="F47" s="222">
        <v>644</v>
      </c>
      <c r="G47" s="222">
        <v>637</v>
      </c>
      <c r="H47" s="222">
        <f>644-637</f>
        <v>7</v>
      </c>
      <c r="I47" s="207">
        <f t="shared" si="12"/>
        <v>465.83850931677017</v>
      </c>
      <c r="J47" s="242">
        <f t="shared" si="13"/>
        <v>3260.869565217391</v>
      </c>
      <c r="K47" s="153"/>
      <c r="V47" s="25">
        <f t="shared" si="3"/>
        <v>1</v>
      </c>
      <c r="W47" s="25">
        <f t="shared" si="4"/>
        <v>0</v>
      </c>
    </row>
    <row r="48" spans="1:23" x14ac:dyDescent="0.3">
      <c r="A48" s="147"/>
      <c r="B48" s="205">
        <f t="shared" si="5"/>
        <v>43</v>
      </c>
      <c r="C48" s="206">
        <v>44377</v>
      </c>
      <c r="D48" s="161" t="s">
        <v>9</v>
      </c>
      <c r="E48" s="161" t="s">
        <v>800</v>
      </c>
      <c r="F48" s="222">
        <v>1460</v>
      </c>
      <c r="G48" s="222">
        <v>1467.5</v>
      </c>
      <c r="H48" s="222">
        <v>7.5</v>
      </c>
      <c r="I48" s="207">
        <f t="shared" si="12"/>
        <v>205.47945205479451</v>
      </c>
      <c r="J48" s="242">
        <f t="shared" si="13"/>
        <v>1541.0958904109589</v>
      </c>
      <c r="K48" s="153"/>
      <c r="V48" s="25">
        <f t="shared" si="3"/>
        <v>1</v>
      </c>
      <c r="W48" s="25">
        <f t="shared" si="4"/>
        <v>0</v>
      </c>
    </row>
    <row r="49" spans="1:23" x14ac:dyDescent="0.3">
      <c r="A49" s="147"/>
      <c r="B49" s="205">
        <f t="shared" si="5"/>
        <v>44</v>
      </c>
      <c r="C49" s="206">
        <v>44377</v>
      </c>
      <c r="D49" s="161" t="s">
        <v>8</v>
      </c>
      <c r="E49" s="161" t="s">
        <v>78</v>
      </c>
      <c r="F49" s="222">
        <v>1505</v>
      </c>
      <c r="G49" s="222">
        <v>1500</v>
      </c>
      <c r="H49" s="222">
        <v>5</v>
      </c>
      <c r="I49" s="207">
        <f t="shared" si="12"/>
        <v>199.33554817275748</v>
      </c>
      <c r="J49" s="242">
        <f t="shared" si="13"/>
        <v>996.67774086378745</v>
      </c>
      <c r="K49" s="153"/>
      <c r="V49" s="25">
        <f t="shared" si="3"/>
        <v>1</v>
      </c>
      <c r="W49" s="25">
        <f t="shared" si="4"/>
        <v>0</v>
      </c>
    </row>
    <row r="50" spans="1:23" x14ac:dyDescent="0.3">
      <c r="A50" s="147"/>
      <c r="B50" s="205">
        <f t="shared" si="5"/>
        <v>45</v>
      </c>
      <c r="C50" s="206"/>
      <c r="D50" s="161"/>
      <c r="E50" s="161"/>
      <c r="F50" s="222"/>
      <c r="G50" s="222"/>
      <c r="H50" s="222"/>
      <c r="I50" s="207"/>
      <c r="J50" s="242"/>
      <c r="K50" s="153"/>
      <c r="V50" s="25">
        <f t="shared" si="3"/>
        <v>0</v>
      </c>
      <c r="W50" s="25">
        <f t="shared" si="4"/>
        <v>0</v>
      </c>
    </row>
    <row r="51" spans="1:23" ht="15" thickBot="1" x14ac:dyDescent="0.35">
      <c r="A51" s="147"/>
      <c r="B51" s="208">
        <f t="shared" si="5"/>
        <v>46</v>
      </c>
      <c r="C51" s="209"/>
      <c r="D51" s="166"/>
      <c r="E51" s="166"/>
      <c r="F51" s="210"/>
      <c r="G51" s="210"/>
      <c r="H51" s="166"/>
      <c r="I51" s="210"/>
      <c r="J51" s="244"/>
      <c r="K51" s="153"/>
      <c r="V51" s="25">
        <f t="shared" si="3"/>
        <v>0</v>
      </c>
      <c r="W51" s="25">
        <f t="shared" si="4"/>
        <v>0</v>
      </c>
    </row>
    <row r="52" spans="1:23" ht="24" thickBot="1" x14ac:dyDescent="0.5">
      <c r="A52" s="147"/>
      <c r="B52" s="370" t="s">
        <v>2254</v>
      </c>
      <c r="C52" s="371"/>
      <c r="D52" s="371"/>
      <c r="E52" s="371"/>
      <c r="F52" s="371"/>
      <c r="G52" s="371"/>
      <c r="H52" s="372"/>
      <c r="I52" s="211" t="s">
        <v>2255</v>
      </c>
      <c r="J52" s="212">
        <f>SUM(J6:J51)</f>
        <v>55518.759201584209</v>
      </c>
      <c r="K52" s="153"/>
      <c r="V52" s="25">
        <f>SUM(V6:V51)</f>
        <v>30</v>
      </c>
      <c r="W52" s="25">
        <f>SUM(W6:W51)</f>
        <v>14</v>
      </c>
    </row>
    <row r="53" spans="1:23" ht="30" customHeight="1" thickBot="1" x14ac:dyDescent="0.35">
      <c r="A53" s="213"/>
      <c r="B53" s="172"/>
      <c r="C53" s="172"/>
      <c r="D53" s="172"/>
      <c r="E53" s="172"/>
      <c r="F53" s="172"/>
      <c r="G53" s="172"/>
      <c r="H53" s="235"/>
      <c r="I53" s="172"/>
      <c r="J53" s="235"/>
      <c r="K53" s="214"/>
      <c r="M53" s="25" t="s">
        <v>2008</v>
      </c>
    </row>
    <row r="54" spans="1:23" ht="15" thickBot="1" x14ac:dyDescent="0.35"/>
    <row r="55" spans="1:23" ht="30" customHeight="1" thickBot="1" x14ac:dyDescent="0.35">
      <c r="A55" s="198"/>
      <c r="B55" s="143"/>
      <c r="C55" s="143"/>
      <c r="D55" s="143"/>
      <c r="E55" s="143"/>
      <c r="F55" s="143"/>
      <c r="G55" s="143"/>
      <c r="H55" s="232"/>
      <c r="I55" s="143"/>
      <c r="J55" s="232"/>
      <c r="K55" s="199"/>
    </row>
    <row r="56" spans="1:23" ht="25.2" thickBot="1" x14ac:dyDescent="0.35">
      <c r="A56" s="147" t="s">
        <v>0</v>
      </c>
      <c r="B56" s="361" t="s">
        <v>2244</v>
      </c>
      <c r="C56" s="362"/>
      <c r="D56" s="362"/>
      <c r="E56" s="362"/>
      <c r="F56" s="362"/>
      <c r="G56" s="362"/>
      <c r="H56" s="362"/>
      <c r="I56" s="362"/>
      <c r="J56" s="363"/>
      <c r="K56" s="153"/>
      <c r="O56" s="215"/>
      <c r="P56" s="215"/>
      <c r="Q56" s="215"/>
      <c r="R56" s="215"/>
    </row>
    <row r="57" spans="1:23" ht="16.2" thickBot="1" x14ac:dyDescent="0.35">
      <c r="A57" s="147"/>
      <c r="B57" s="364" t="s">
        <v>3366</v>
      </c>
      <c r="C57" s="365"/>
      <c r="D57" s="365"/>
      <c r="E57" s="365"/>
      <c r="F57" s="365"/>
      <c r="G57" s="365"/>
      <c r="H57" s="365"/>
      <c r="I57" s="365"/>
      <c r="J57" s="366"/>
      <c r="K57" s="153"/>
    </row>
    <row r="58" spans="1:23" ht="16.2" thickBot="1" x14ac:dyDescent="0.35">
      <c r="A58" s="147"/>
      <c r="B58" s="367" t="s">
        <v>2256</v>
      </c>
      <c r="C58" s="368"/>
      <c r="D58" s="368"/>
      <c r="E58" s="368"/>
      <c r="F58" s="368"/>
      <c r="G58" s="368"/>
      <c r="H58" s="368"/>
      <c r="I58" s="368"/>
      <c r="J58" s="369"/>
      <c r="K58" s="153"/>
    </row>
    <row r="59" spans="1:23" s="215" customFormat="1" ht="15" thickBot="1" x14ac:dyDescent="0.35">
      <c r="A59" s="175"/>
      <c r="B59" s="148" t="s">
        <v>2248</v>
      </c>
      <c r="C59" s="149" t="s">
        <v>1</v>
      </c>
      <c r="D59" s="150" t="s">
        <v>5</v>
      </c>
      <c r="E59" s="150" t="s">
        <v>6</v>
      </c>
      <c r="F59" s="151" t="s">
        <v>2249</v>
      </c>
      <c r="G59" s="151" t="s">
        <v>2250</v>
      </c>
      <c r="H59" s="237" t="s">
        <v>2251</v>
      </c>
      <c r="I59" s="151" t="s">
        <v>2257</v>
      </c>
      <c r="J59" s="240" t="s">
        <v>4</v>
      </c>
      <c r="K59" s="176"/>
      <c r="M59" s="25"/>
      <c r="N59" s="25"/>
      <c r="O59" s="25"/>
      <c r="P59" s="25"/>
      <c r="Q59" s="25"/>
      <c r="R59" s="25"/>
      <c r="V59" s="201" t="s">
        <v>454</v>
      </c>
      <c r="W59" s="201" t="s">
        <v>455</v>
      </c>
    </row>
    <row r="60" spans="1:23" x14ac:dyDescent="0.3">
      <c r="A60" s="147"/>
      <c r="B60" s="202">
        <v>1</v>
      </c>
      <c r="C60" s="206">
        <v>44348</v>
      </c>
      <c r="D60" s="161" t="s">
        <v>8</v>
      </c>
      <c r="E60" s="161" t="s">
        <v>25</v>
      </c>
      <c r="F60" s="222">
        <v>1078</v>
      </c>
      <c r="G60" s="222">
        <v>1068</v>
      </c>
      <c r="H60" s="222">
        <v>10</v>
      </c>
      <c r="I60" s="207">
        <v>850</v>
      </c>
      <c r="J60" s="241">
        <f t="shared" ref="J60:J83" si="19">I60*H60</f>
        <v>8500</v>
      </c>
      <c r="K60" s="153"/>
      <c r="V60" s="25">
        <f>IF($J60&gt;0,1,0)</f>
        <v>1</v>
      </c>
      <c r="W60" s="25">
        <f>IF($J60&lt;0,1,0)</f>
        <v>0</v>
      </c>
    </row>
    <row r="61" spans="1:23" x14ac:dyDescent="0.3">
      <c r="A61" s="147"/>
      <c r="B61" s="205">
        <f>B60+1</f>
        <v>2</v>
      </c>
      <c r="C61" s="206">
        <v>44349</v>
      </c>
      <c r="D61" s="161" t="s">
        <v>8</v>
      </c>
      <c r="E61" s="161" t="s">
        <v>58</v>
      </c>
      <c r="F61" s="222">
        <v>740</v>
      </c>
      <c r="G61" s="222">
        <v>740.8</v>
      </c>
      <c r="H61" s="222">
        <v>-0.8</v>
      </c>
      <c r="I61" s="207">
        <v>1200</v>
      </c>
      <c r="J61" s="242">
        <f t="shared" si="19"/>
        <v>-960</v>
      </c>
      <c r="K61" s="153"/>
      <c r="O61" s="25" t="s">
        <v>2008</v>
      </c>
      <c r="V61" s="25">
        <f t="shared" ref="V61:V83" si="20">IF($J61&gt;0,1,0)</f>
        <v>0</v>
      </c>
      <c r="W61" s="25">
        <f t="shared" ref="W61:W83" si="21">IF($J61&lt;0,1,0)</f>
        <v>1</v>
      </c>
    </row>
    <row r="62" spans="1:23" x14ac:dyDescent="0.3">
      <c r="A62" s="147"/>
      <c r="B62" s="205">
        <f t="shared" ref="B62:B83" si="22">B61+1</f>
        <v>3</v>
      </c>
      <c r="C62" s="206">
        <v>44350</v>
      </c>
      <c r="D62" s="161" t="s">
        <v>8</v>
      </c>
      <c r="E62" s="161" t="s">
        <v>2023</v>
      </c>
      <c r="F62" s="222">
        <v>5820</v>
      </c>
      <c r="G62" s="222">
        <v>5808</v>
      </c>
      <c r="H62" s="222">
        <f>5820-5808</f>
        <v>12</v>
      </c>
      <c r="I62" s="207">
        <v>125</v>
      </c>
      <c r="J62" s="242">
        <f t="shared" si="19"/>
        <v>1500</v>
      </c>
      <c r="K62" s="153"/>
      <c r="V62" s="25">
        <f t="shared" si="20"/>
        <v>1</v>
      </c>
      <c r="W62" s="25">
        <f t="shared" si="21"/>
        <v>0</v>
      </c>
    </row>
    <row r="63" spans="1:23" x14ac:dyDescent="0.3">
      <c r="A63" s="147"/>
      <c r="B63" s="205">
        <f t="shared" si="22"/>
        <v>4</v>
      </c>
      <c r="C63" s="206">
        <v>44351</v>
      </c>
      <c r="D63" s="161" t="s">
        <v>9</v>
      </c>
      <c r="E63" s="161" t="s">
        <v>2563</v>
      </c>
      <c r="F63" s="222">
        <v>1770</v>
      </c>
      <c r="G63" s="222">
        <v>1785</v>
      </c>
      <c r="H63" s="222">
        <f>1785-1770</f>
        <v>15</v>
      </c>
      <c r="I63" s="207">
        <v>500</v>
      </c>
      <c r="J63" s="242">
        <f t="shared" si="19"/>
        <v>7500</v>
      </c>
      <c r="K63" s="153"/>
      <c r="L63" s="25" t="s">
        <v>2008</v>
      </c>
      <c r="V63" s="25">
        <f t="shared" si="20"/>
        <v>1</v>
      </c>
      <c r="W63" s="25">
        <f t="shared" si="21"/>
        <v>0</v>
      </c>
    </row>
    <row r="64" spans="1:23" x14ac:dyDescent="0.3">
      <c r="A64" s="147"/>
      <c r="B64" s="205">
        <f t="shared" si="22"/>
        <v>5</v>
      </c>
      <c r="C64" s="206">
        <v>44354</v>
      </c>
      <c r="D64" s="161" t="s">
        <v>9</v>
      </c>
      <c r="E64" s="161" t="s">
        <v>58</v>
      </c>
      <c r="F64" s="222">
        <v>750</v>
      </c>
      <c r="G64" s="222">
        <v>754.9</v>
      </c>
      <c r="H64" s="222">
        <v>4.9000000000000004</v>
      </c>
      <c r="I64" s="207">
        <v>1200</v>
      </c>
      <c r="J64" s="242">
        <f t="shared" si="19"/>
        <v>5880</v>
      </c>
      <c r="K64" s="153"/>
      <c r="V64" s="25">
        <f t="shared" si="20"/>
        <v>1</v>
      </c>
      <c r="W64" s="25">
        <f t="shared" si="21"/>
        <v>0</v>
      </c>
    </row>
    <row r="65" spans="1:23" x14ac:dyDescent="0.3">
      <c r="A65" s="147"/>
      <c r="B65" s="205">
        <f t="shared" si="22"/>
        <v>6</v>
      </c>
      <c r="C65" s="206">
        <v>44355</v>
      </c>
      <c r="D65" s="161" t="s">
        <v>9</v>
      </c>
      <c r="E65" s="161" t="s">
        <v>578</v>
      </c>
      <c r="F65" s="222">
        <v>1415</v>
      </c>
      <c r="G65" s="222">
        <v>1424</v>
      </c>
      <c r="H65" s="222">
        <f>1424-1415</f>
        <v>9</v>
      </c>
      <c r="I65" s="207">
        <v>600</v>
      </c>
      <c r="J65" s="242">
        <f t="shared" si="19"/>
        <v>5400</v>
      </c>
      <c r="K65" s="153"/>
      <c r="V65" s="25">
        <f t="shared" si="20"/>
        <v>1</v>
      </c>
      <c r="W65" s="25">
        <f t="shared" si="21"/>
        <v>0</v>
      </c>
    </row>
    <row r="66" spans="1:23" x14ac:dyDescent="0.3">
      <c r="A66" s="147"/>
      <c r="B66" s="205">
        <f t="shared" si="22"/>
        <v>7</v>
      </c>
      <c r="C66" s="206">
        <v>44356</v>
      </c>
      <c r="D66" s="161" t="s">
        <v>9</v>
      </c>
      <c r="E66" s="161" t="s">
        <v>95</v>
      </c>
      <c r="F66" s="222">
        <v>647</v>
      </c>
      <c r="G66" s="222">
        <v>641</v>
      </c>
      <c r="H66" s="222">
        <v>-6</v>
      </c>
      <c r="I66" s="207">
        <v>1375</v>
      </c>
      <c r="J66" s="242">
        <f t="shared" si="19"/>
        <v>-8250</v>
      </c>
      <c r="K66" s="153"/>
      <c r="V66" s="25">
        <f t="shared" si="20"/>
        <v>0</v>
      </c>
      <c r="W66" s="25">
        <f t="shared" si="21"/>
        <v>1</v>
      </c>
    </row>
    <row r="67" spans="1:23" x14ac:dyDescent="0.3">
      <c r="A67" s="147"/>
      <c r="B67" s="205">
        <f t="shared" si="22"/>
        <v>8</v>
      </c>
      <c r="C67" s="206">
        <v>44357</v>
      </c>
      <c r="D67" s="161" t="s">
        <v>9</v>
      </c>
      <c r="E67" s="161" t="s">
        <v>2023</v>
      </c>
      <c r="F67" s="222">
        <v>5760</v>
      </c>
      <c r="G67" s="222">
        <v>5820</v>
      </c>
      <c r="H67" s="222">
        <f>5820-5760</f>
        <v>60</v>
      </c>
      <c r="I67" s="207">
        <v>125</v>
      </c>
      <c r="J67" s="242">
        <f t="shared" si="19"/>
        <v>7500</v>
      </c>
      <c r="K67" s="153"/>
      <c r="V67" s="25">
        <f t="shared" si="20"/>
        <v>1</v>
      </c>
      <c r="W67" s="25">
        <f t="shared" si="21"/>
        <v>0</v>
      </c>
    </row>
    <row r="68" spans="1:23" x14ac:dyDescent="0.3">
      <c r="A68" s="147"/>
      <c r="B68" s="205">
        <f t="shared" si="22"/>
        <v>9</v>
      </c>
      <c r="C68" s="206">
        <v>44358</v>
      </c>
      <c r="D68" s="161" t="s">
        <v>8</v>
      </c>
      <c r="E68" s="161" t="s">
        <v>95</v>
      </c>
      <c r="F68" s="222">
        <v>642</v>
      </c>
      <c r="G68" s="222">
        <v>634</v>
      </c>
      <c r="H68" s="222">
        <f>642-634</f>
        <v>8</v>
      </c>
      <c r="I68" s="207">
        <v>1375</v>
      </c>
      <c r="J68" s="242">
        <f t="shared" si="19"/>
        <v>11000</v>
      </c>
      <c r="K68" s="153"/>
      <c r="V68" s="25">
        <f t="shared" si="20"/>
        <v>1</v>
      </c>
      <c r="W68" s="25">
        <f t="shared" si="21"/>
        <v>0</v>
      </c>
    </row>
    <row r="69" spans="1:23" x14ac:dyDescent="0.3">
      <c r="A69" s="147"/>
      <c r="B69" s="205">
        <f t="shared" si="22"/>
        <v>10</v>
      </c>
      <c r="C69" s="206">
        <v>44361</v>
      </c>
      <c r="D69" s="161" t="s">
        <v>9</v>
      </c>
      <c r="E69" s="161" t="s">
        <v>90</v>
      </c>
      <c r="F69" s="222">
        <v>1080</v>
      </c>
      <c r="G69" s="222">
        <v>1070</v>
      </c>
      <c r="H69" s="222">
        <v>-10</v>
      </c>
      <c r="I69" s="207">
        <v>700</v>
      </c>
      <c r="J69" s="242">
        <f t="shared" si="19"/>
        <v>-7000</v>
      </c>
      <c r="K69" s="153"/>
      <c r="V69" s="25">
        <f t="shared" si="20"/>
        <v>0</v>
      </c>
      <c r="W69" s="25">
        <f t="shared" si="21"/>
        <v>1</v>
      </c>
    </row>
    <row r="70" spans="1:23" x14ac:dyDescent="0.3">
      <c r="A70" s="147"/>
      <c r="B70" s="205">
        <f t="shared" si="22"/>
        <v>11</v>
      </c>
      <c r="C70" s="206">
        <v>44362</v>
      </c>
      <c r="D70" s="161" t="s">
        <v>9</v>
      </c>
      <c r="E70" s="161" t="s">
        <v>2023</v>
      </c>
      <c r="F70" s="161">
        <v>6210</v>
      </c>
      <c r="G70" s="222">
        <v>6250</v>
      </c>
      <c r="H70" s="222">
        <v>40</v>
      </c>
      <c r="I70" s="207">
        <v>125</v>
      </c>
      <c r="J70" s="242">
        <f t="shared" si="19"/>
        <v>5000</v>
      </c>
      <c r="K70" s="153"/>
      <c r="V70" s="25">
        <f t="shared" si="20"/>
        <v>1</v>
      </c>
      <c r="W70" s="25">
        <f t="shared" si="21"/>
        <v>0</v>
      </c>
    </row>
    <row r="71" spans="1:23" x14ac:dyDescent="0.3">
      <c r="A71" s="147"/>
      <c r="B71" s="205">
        <f t="shared" si="22"/>
        <v>12</v>
      </c>
      <c r="C71" s="206">
        <v>44363</v>
      </c>
      <c r="D71" s="161" t="s">
        <v>9</v>
      </c>
      <c r="E71" s="161" t="s">
        <v>58</v>
      </c>
      <c r="F71" s="222">
        <v>755</v>
      </c>
      <c r="G71" s="222">
        <v>751</v>
      </c>
      <c r="H71" s="222">
        <v>-4</v>
      </c>
      <c r="I71" s="207">
        <v>1200</v>
      </c>
      <c r="J71" s="242">
        <f t="shared" si="19"/>
        <v>-4800</v>
      </c>
      <c r="K71" s="153"/>
      <c r="V71" s="25">
        <f t="shared" si="20"/>
        <v>0</v>
      </c>
      <c r="W71" s="25">
        <f t="shared" si="21"/>
        <v>1</v>
      </c>
    </row>
    <row r="72" spans="1:23" x14ac:dyDescent="0.3">
      <c r="A72" s="147"/>
      <c r="B72" s="205">
        <f t="shared" si="22"/>
        <v>13</v>
      </c>
      <c r="C72" s="206">
        <v>44364</v>
      </c>
      <c r="D72" s="161" t="s">
        <v>9</v>
      </c>
      <c r="E72" s="161" t="s">
        <v>58</v>
      </c>
      <c r="F72" s="222">
        <v>746</v>
      </c>
      <c r="G72" s="222">
        <v>740</v>
      </c>
      <c r="H72" s="222">
        <v>-6</v>
      </c>
      <c r="I72" s="207">
        <v>1200</v>
      </c>
      <c r="J72" s="242">
        <f t="shared" si="19"/>
        <v>-7200</v>
      </c>
      <c r="K72" s="153"/>
      <c r="V72" s="25">
        <f t="shared" si="20"/>
        <v>0</v>
      </c>
      <c r="W72" s="25">
        <f t="shared" si="21"/>
        <v>1</v>
      </c>
    </row>
    <row r="73" spans="1:23" x14ac:dyDescent="0.3">
      <c r="A73" s="147"/>
      <c r="B73" s="205">
        <f t="shared" si="22"/>
        <v>14</v>
      </c>
      <c r="C73" s="206">
        <v>44365</v>
      </c>
      <c r="D73" s="161" t="s">
        <v>8</v>
      </c>
      <c r="E73" s="161" t="s">
        <v>834</v>
      </c>
      <c r="F73" s="223">
        <v>254</v>
      </c>
      <c r="G73" s="222">
        <v>248</v>
      </c>
      <c r="H73" s="255">
        <f>254-248</f>
        <v>6</v>
      </c>
      <c r="I73" s="207">
        <v>3100</v>
      </c>
      <c r="J73" s="242">
        <f t="shared" si="19"/>
        <v>18600</v>
      </c>
      <c r="K73" s="153"/>
      <c r="V73" s="25">
        <f t="shared" si="20"/>
        <v>1</v>
      </c>
      <c r="W73" s="25">
        <f t="shared" si="21"/>
        <v>0</v>
      </c>
    </row>
    <row r="74" spans="1:23" x14ac:dyDescent="0.3">
      <c r="A74" s="147"/>
      <c r="B74" s="205">
        <f t="shared" si="22"/>
        <v>15</v>
      </c>
      <c r="C74" s="206">
        <v>44368</v>
      </c>
      <c r="D74" s="161" t="s">
        <v>9</v>
      </c>
      <c r="E74" s="161" t="s">
        <v>2563</v>
      </c>
      <c r="F74" s="222">
        <v>1700</v>
      </c>
      <c r="G74" s="222">
        <v>1720</v>
      </c>
      <c r="H74" s="255">
        <v>20</v>
      </c>
      <c r="I74" s="207">
        <v>500</v>
      </c>
      <c r="J74" s="242">
        <f t="shared" si="19"/>
        <v>10000</v>
      </c>
      <c r="K74" s="153"/>
      <c r="V74" s="25">
        <f t="shared" si="20"/>
        <v>1</v>
      </c>
      <c r="W74" s="25">
        <f t="shared" si="21"/>
        <v>0</v>
      </c>
    </row>
    <row r="75" spans="1:23" x14ac:dyDescent="0.3">
      <c r="A75" s="147"/>
      <c r="B75" s="205">
        <f t="shared" si="22"/>
        <v>16</v>
      </c>
      <c r="C75" s="206">
        <v>44369</v>
      </c>
      <c r="D75" s="161" t="s">
        <v>9</v>
      </c>
      <c r="E75" s="161" t="s">
        <v>2563</v>
      </c>
      <c r="F75" s="222">
        <v>1725</v>
      </c>
      <c r="G75" s="222">
        <v>1740</v>
      </c>
      <c r="H75" s="255">
        <f>1740-1725</f>
        <v>15</v>
      </c>
      <c r="I75" s="207">
        <v>500</v>
      </c>
      <c r="J75" s="242">
        <f t="shared" si="19"/>
        <v>7500</v>
      </c>
      <c r="K75" s="153"/>
      <c r="V75" s="25">
        <f t="shared" si="20"/>
        <v>1</v>
      </c>
      <c r="W75" s="25">
        <f t="shared" si="21"/>
        <v>0</v>
      </c>
    </row>
    <row r="76" spans="1:23" x14ac:dyDescent="0.3">
      <c r="A76" s="147"/>
      <c r="B76" s="205">
        <f t="shared" si="22"/>
        <v>17</v>
      </c>
      <c r="C76" s="206">
        <v>44370</v>
      </c>
      <c r="D76" s="161" t="s">
        <v>9</v>
      </c>
      <c r="E76" s="161" t="s">
        <v>84</v>
      </c>
      <c r="F76" s="222">
        <v>7360</v>
      </c>
      <c r="G76" s="222">
        <v>7465</v>
      </c>
      <c r="H76" s="222">
        <f>7465-7360</f>
        <v>105</v>
      </c>
      <c r="I76" s="207">
        <v>100</v>
      </c>
      <c r="J76" s="242">
        <f t="shared" si="19"/>
        <v>10500</v>
      </c>
      <c r="K76" s="153"/>
      <c r="V76" s="25">
        <f t="shared" si="20"/>
        <v>1</v>
      </c>
      <c r="W76" s="25">
        <f t="shared" si="21"/>
        <v>0</v>
      </c>
    </row>
    <row r="77" spans="1:23" x14ac:dyDescent="0.3">
      <c r="A77" s="147"/>
      <c r="B77" s="205">
        <f t="shared" si="22"/>
        <v>18</v>
      </c>
      <c r="C77" s="206">
        <v>44371</v>
      </c>
      <c r="D77" s="161" t="s">
        <v>9</v>
      </c>
      <c r="E77" s="161" t="s">
        <v>95</v>
      </c>
      <c r="F77" s="222">
        <v>630</v>
      </c>
      <c r="G77" s="222">
        <v>635</v>
      </c>
      <c r="H77" s="222">
        <v>5</v>
      </c>
      <c r="I77" s="207">
        <v>1375</v>
      </c>
      <c r="J77" s="242">
        <f t="shared" si="19"/>
        <v>6875</v>
      </c>
      <c r="K77" s="153"/>
      <c r="V77" s="25">
        <f t="shared" si="20"/>
        <v>1</v>
      </c>
      <c r="W77" s="25">
        <f t="shared" si="21"/>
        <v>0</v>
      </c>
    </row>
    <row r="78" spans="1:23" x14ac:dyDescent="0.3">
      <c r="A78" s="147"/>
      <c r="B78" s="205">
        <f t="shared" si="22"/>
        <v>19</v>
      </c>
      <c r="C78" s="206">
        <v>44372</v>
      </c>
      <c r="D78" s="161" t="s">
        <v>9</v>
      </c>
      <c r="E78" s="161" t="s">
        <v>2023</v>
      </c>
      <c r="F78" s="222">
        <v>6095</v>
      </c>
      <c r="G78" s="222">
        <v>6105</v>
      </c>
      <c r="H78" s="222">
        <f>6105-6095</f>
        <v>10</v>
      </c>
      <c r="I78" s="207">
        <v>125</v>
      </c>
      <c r="J78" s="242">
        <f t="shared" si="19"/>
        <v>1250</v>
      </c>
      <c r="K78" s="153"/>
      <c r="V78" s="25">
        <f t="shared" si="20"/>
        <v>1</v>
      </c>
      <c r="W78" s="25">
        <f t="shared" si="21"/>
        <v>0</v>
      </c>
    </row>
    <row r="79" spans="1:23" x14ac:dyDescent="0.3">
      <c r="A79" s="147"/>
      <c r="B79" s="205">
        <f t="shared" si="22"/>
        <v>20</v>
      </c>
      <c r="C79" s="206">
        <v>44375</v>
      </c>
      <c r="D79" s="161" t="s">
        <v>8</v>
      </c>
      <c r="E79" s="161" t="s">
        <v>2023</v>
      </c>
      <c r="F79" s="222">
        <v>6090</v>
      </c>
      <c r="G79" s="222">
        <v>6030</v>
      </c>
      <c r="H79" s="222">
        <v>30</v>
      </c>
      <c r="I79" s="207">
        <v>125</v>
      </c>
      <c r="J79" s="242">
        <f t="shared" si="19"/>
        <v>3750</v>
      </c>
      <c r="K79" s="153"/>
      <c r="V79" s="25">
        <f t="shared" si="20"/>
        <v>1</v>
      </c>
      <c r="W79" s="25">
        <f t="shared" si="21"/>
        <v>0</v>
      </c>
    </row>
    <row r="80" spans="1:23" x14ac:dyDescent="0.3">
      <c r="A80" s="147"/>
      <c r="B80" s="205">
        <f t="shared" si="22"/>
        <v>21</v>
      </c>
      <c r="C80" s="206">
        <v>44376</v>
      </c>
      <c r="D80" s="161" t="s">
        <v>9</v>
      </c>
      <c r="E80" s="161" t="s">
        <v>133</v>
      </c>
      <c r="F80" s="222">
        <v>1168</v>
      </c>
      <c r="G80" s="222">
        <v>1174</v>
      </c>
      <c r="H80" s="222">
        <f>1174-1168</f>
        <v>6</v>
      </c>
      <c r="I80" s="207">
        <v>850</v>
      </c>
      <c r="J80" s="242">
        <f t="shared" si="19"/>
        <v>5100</v>
      </c>
      <c r="K80" s="153"/>
      <c r="V80" s="25">
        <f t="shared" si="20"/>
        <v>1</v>
      </c>
      <c r="W80" s="25">
        <f t="shared" si="21"/>
        <v>0</v>
      </c>
    </row>
    <row r="81" spans="1:23" x14ac:dyDescent="0.3">
      <c r="A81" s="147"/>
      <c r="B81" s="205">
        <f t="shared" si="22"/>
        <v>22</v>
      </c>
      <c r="C81" s="206">
        <v>44377</v>
      </c>
      <c r="D81" s="161" t="s">
        <v>9</v>
      </c>
      <c r="E81" s="161" t="s">
        <v>800</v>
      </c>
      <c r="F81" s="222">
        <v>1460</v>
      </c>
      <c r="G81" s="222">
        <v>1467</v>
      </c>
      <c r="H81" s="222">
        <v>7</v>
      </c>
      <c r="I81" s="207">
        <v>700</v>
      </c>
      <c r="J81" s="242">
        <f t="shared" si="19"/>
        <v>4900</v>
      </c>
      <c r="K81" s="153"/>
    </row>
    <row r="82" spans="1:23" x14ac:dyDescent="0.3">
      <c r="A82" s="147"/>
      <c r="B82" s="205">
        <f t="shared" si="22"/>
        <v>23</v>
      </c>
      <c r="C82" s="206"/>
      <c r="D82" s="161"/>
      <c r="E82" s="161"/>
      <c r="F82" s="222"/>
      <c r="G82" s="222"/>
      <c r="H82" s="222"/>
      <c r="I82" s="207"/>
      <c r="J82" s="242">
        <f t="shared" si="19"/>
        <v>0</v>
      </c>
      <c r="K82" s="153"/>
      <c r="V82" s="25">
        <f t="shared" si="20"/>
        <v>0</v>
      </c>
      <c r="W82" s="25">
        <f t="shared" si="21"/>
        <v>0</v>
      </c>
    </row>
    <row r="83" spans="1:23" ht="15" thickBot="1" x14ac:dyDescent="0.35">
      <c r="A83" s="147"/>
      <c r="B83" s="205">
        <f t="shared" si="22"/>
        <v>24</v>
      </c>
      <c r="C83" s="209"/>
      <c r="D83" s="166"/>
      <c r="E83" s="166"/>
      <c r="F83" s="210"/>
      <c r="G83" s="210"/>
      <c r="H83" s="166"/>
      <c r="I83" s="210"/>
      <c r="J83" s="244">
        <f t="shared" si="19"/>
        <v>0</v>
      </c>
      <c r="K83" s="153"/>
      <c r="V83" s="25">
        <f t="shared" si="20"/>
        <v>0</v>
      </c>
      <c r="W83" s="25">
        <f t="shared" si="21"/>
        <v>0</v>
      </c>
    </row>
    <row r="84" spans="1:23" ht="24" thickBot="1" x14ac:dyDescent="0.5">
      <c r="A84" s="147"/>
      <c r="B84" s="370" t="s">
        <v>2254</v>
      </c>
      <c r="C84" s="371"/>
      <c r="D84" s="371"/>
      <c r="E84" s="371"/>
      <c r="F84" s="371"/>
      <c r="G84" s="371"/>
      <c r="H84" s="372"/>
      <c r="I84" s="211" t="s">
        <v>2255</v>
      </c>
      <c r="J84" s="212">
        <f>SUM(J60:J83)</f>
        <v>92545</v>
      </c>
      <c r="K84" s="153"/>
      <c r="V84" s="25">
        <f>SUM(V60:V83)</f>
        <v>16</v>
      </c>
      <c r="W84" s="25">
        <f>SUM(W60:W83)</f>
        <v>5</v>
      </c>
    </row>
    <row r="85" spans="1:23" ht="30" customHeight="1" thickBot="1" x14ac:dyDescent="0.35">
      <c r="A85" s="213"/>
      <c r="B85" s="172"/>
      <c r="C85" s="172"/>
      <c r="D85" s="172"/>
      <c r="E85" s="172"/>
      <c r="F85" s="172"/>
      <c r="G85" s="172"/>
      <c r="H85" s="235"/>
      <c r="I85" s="172"/>
      <c r="J85" s="235"/>
      <c r="K85" s="214"/>
    </row>
    <row r="86" spans="1:23" ht="15" thickBot="1" x14ac:dyDescent="0.35"/>
    <row r="87" spans="1:23" ht="30" customHeight="1" thickBot="1" x14ac:dyDescent="0.35">
      <c r="A87" s="198"/>
      <c r="B87" s="143"/>
      <c r="C87" s="143"/>
      <c r="D87" s="143"/>
      <c r="E87" s="143"/>
      <c r="F87" s="143"/>
      <c r="G87" s="143"/>
      <c r="H87" s="232"/>
      <c r="I87" s="143"/>
      <c r="J87" s="232"/>
      <c r="K87" s="199"/>
    </row>
    <row r="88" spans="1:23" ht="25.2" thickBot="1" x14ac:dyDescent="0.35">
      <c r="A88" s="147" t="s">
        <v>0</v>
      </c>
      <c r="B88" s="361" t="s">
        <v>2244</v>
      </c>
      <c r="C88" s="362"/>
      <c r="D88" s="362"/>
      <c r="E88" s="362"/>
      <c r="F88" s="362"/>
      <c r="G88" s="362"/>
      <c r="H88" s="362"/>
      <c r="I88" s="362"/>
      <c r="J88" s="363"/>
      <c r="K88" s="153"/>
    </row>
    <row r="89" spans="1:23" ht="16.2" thickBot="1" x14ac:dyDescent="0.35">
      <c r="A89" s="147"/>
      <c r="B89" s="364" t="s">
        <v>3365</v>
      </c>
      <c r="C89" s="365"/>
      <c r="D89" s="365"/>
      <c r="E89" s="365"/>
      <c r="F89" s="365"/>
      <c r="G89" s="365"/>
      <c r="H89" s="365"/>
      <c r="I89" s="365"/>
      <c r="J89" s="366"/>
      <c r="K89" s="153"/>
    </row>
    <row r="90" spans="1:23" ht="16.2" thickBot="1" x14ac:dyDescent="0.35">
      <c r="A90" s="147"/>
      <c r="B90" s="367" t="s">
        <v>2258</v>
      </c>
      <c r="C90" s="368"/>
      <c r="D90" s="368"/>
      <c r="E90" s="368"/>
      <c r="F90" s="368"/>
      <c r="G90" s="368"/>
      <c r="H90" s="368"/>
      <c r="I90" s="368"/>
      <c r="J90" s="369"/>
      <c r="K90" s="153"/>
    </row>
    <row r="91" spans="1:23" ht="15" thickBot="1" x14ac:dyDescent="0.35">
      <c r="A91" s="175"/>
      <c r="B91" s="178" t="s">
        <v>2248</v>
      </c>
      <c r="C91" s="179" t="s">
        <v>1</v>
      </c>
      <c r="D91" s="180" t="s">
        <v>5</v>
      </c>
      <c r="E91" s="180" t="s">
        <v>6</v>
      </c>
      <c r="F91" s="181" t="s">
        <v>2249</v>
      </c>
      <c r="G91" s="181" t="s">
        <v>2250</v>
      </c>
      <c r="H91" s="239" t="s">
        <v>2251</v>
      </c>
      <c r="I91" s="181" t="s">
        <v>2257</v>
      </c>
      <c r="J91" s="245" t="s">
        <v>4</v>
      </c>
      <c r="K91" s="176"/>
      <c r="L91" s="215"/>
      <c r="V91" s="201" t="s">
        <v>454</v>
      </c>
      <c r="W91" s="201" t="s">
        <v>455</v>
      </c>
    </row>
    <row r="92" spans="1:23" x14ac:dyDescent="0.3">
      <c r="A92" s="147"/>
      <c r="B92" s="217">
        <v>1</v>
      </c>
      <c r="C92" s="218">
        <v>44348</v>
      </c>
      <c r="D92" s="185" t="s">
        <v>8</v>
      </c>
      <c r="E92" s="185" t="s">
        <v>39</v>
      </c>
      <c r="F92" s="219">
        <v>15600</v>
      </c>
      <c r="G92" s="219">
        <v>15560</v>
      </c>
      <c r="H92" s="185">
        <v>40</v>
      </c>
      <c r="I92" s="219">
        <v>150</v>
      </c>
      <c r="J92" s="246">
        <f t="shared" ref="J92:J114" si="23">I92*H92</f>
        <v>6000</v>
      </c>
      <c r="K92" s="153"/>
      <c r="V92" s="25">
        <f>IF($J92&gt;0,1,0)</f>
        <v>1</v>
      </c>
      <c r="W92" s="25">
        <f>IF($J92&lt;0,1,0)</f>
        <v>0</v>
      </c>
    </row>
    <row r="93" spans="1:23" x14ac:dyDescent="0.3">
      <c r="A93" s="147"/>
      <c r="B93" s="205">
        <f>B92+1</f>
        <v>2</v>
      </c>
      <c r="C93" s="218">
        <v>44349</v>
      </c>
      <c r="D93" s="185" t="s">
        <v>8</v>
      </c>
      <c r="E93" s="185" t="s">
        <v>39</v>
      </c>
      <c r="F93" s="219">
        <v>15530</v>
      </c>
      <c r="G93" s="219">
        <v>15510</v>
      </c>
      <c r="H93" s="185">
        <v>20</v>
      </c>
      <c r="I93" s="219">
        <v>150</v>
      </c>
      <c r="J93" s="242">
        <f t="shared" si="23"/>
        <v>3000</v>
      </c>
      <c r="K93" s="153"/>
      <c r="V93" s="25">
        <f t="shared" ref="V93:V114" si="24">IF($J93&gt;0,1,0)</f>
        <v>1</v>
      </c>
      <c r="W93" s="25">
        <f t="shared" ref="W93:W114" si="25">IF($J93&lt;0,1,0)</f>
        <v>0</v>
      </c>
    </row>
    <row r="94" spans="1:23" x14ac:dyDescent="0.3">
      <c r="A94" s="147"/>
      <c r="B94" s="205">
        <f t="shared" ref="B94:B114" si="26">B93+1</f>
        <v>3</v>
      </c>
      <c r="C94" s="206">
        <v>44350</v>
      </c>
      <c r="D94" s="161" t="s">
        <v>9</v>
      </c>
      <c r="E94" s="161" t="s">
        <v>39</v>
      </c>
      <c r="F94" s="207">
        <v>15680</v>
      </c>
      <c r="G94" s="207">
        <v>15710</v>
      </c>
      <c r="H94" s="161">
        <f>15710-15680</f>
        <v>30</v>
      </c>
      <c r="I94" s="207">
        <v>150</v>
      </c>
      <c r="J94" s="242">
        <f t="shared" si="23"/>
        <v>4500</v>
      </c>
      <c r="K94" s="153"/>
      <c r="V94" s="25">
        <f t="shared" si="24"/>
        <v>1</v>
      </c>
      <c r="W94" s="25">
        <f t="shared" si="25"/>
        <v>0</v>
      </c>
    </row>
    <row r="95" spans="1:23" x14ac:dyDescent="0.3">
      <c r="A95" s="147"/>
      <c r="B95" s="205">
        <f t="shared" si="26"/>
        <v>4</v>
      </c>
      <c r="C95" s="206">
        <v>44354</v>
      </c>
      <c r="D95" s="161" t="s">
        <v>9</v>
      </c>
      <c r="E95" s="161" t="s">
        <v>39</v>
      </c>
      <c r="F95" s="207">
        <v>15750</v>
      </c>
      <c r="G95" s="207">
        <v>15807</v>
      </c>
      <c r="H95" s="161">
        <f>15807-15750</f>
        <v>57</v>
      </c>
      <c r="I95" s="207">
        <v>150</v>
      </c>
      <c r="J95" s="242">
        <f t="shared" si="23"/>
        <v>8550</v>
      </c>
      <c r="K95" s="153"/>
      <c r="V95" s="25">
        <f t="shared" si="24"/>
        <v>1</v>
      </c>
      <c r="W95" s="25">
        <f t="shared" si="25"/>
        <v>0</v>
      </c>
    </row>
    <row r="96" spans="1:23" x14ac:dyDescent="0.3">
      <c r="A96" s="147"/>
      <c r="B96" s="205">
        <f t="shared" si="26"/>
        <v>5</v>
      </c>
      <c r="C96" s="206">
        <v>44355</v>
      </c>
      <c r="D96" s="161" t="s">
        <v>8</v>
      </c>
      <c r="E96" s="161" t="s">
        <v>39</v>
      </c>
      <c r="F96" s="207">
        <v>15730</v>
      </c>
      <c r="G96" s="207">
        <v>15770</v>
      </c>
      <c r="H96" s="161">
        <v>-40</v>
      </c>
      <c r="I96" s="207">
        <v>150</v>
      </c>
      <c r="J96" s="242">
        <f t="shared" si="23"/>
        <v>-6000</v>
      </c>
      <c r="K96" s="153"/>
      <c r="V96" s="25">
        <f t="shared" si="24"/>
        <v>0</v>
      </c>
      <c r="W96" s="25">
        <f t="shared" si="25"/>
        <v>1</v>
      </c>
    </row>
    <row r="97" spans="1:23" x14ac:dyDescent="0.3">
      <c r="A97" s="147"/>
      <c r="B97" s="205">
        <f t="shared" si="26"/>
        <v>6</v>
      </c>
      <c r="C97" s="206">
        <v>44356</v>
      </c>
      <c r="D97" s="161" t="s">
        <v>9</v>
      </c>
      <c r="E97" s="161" t="s">
        <v>39</v>
      </c>
      <c r="F97" s="207">
        <v>15790</v>
      </c>
      <c r="G97" s="207">
        <v>15806</v>
      </c>
      <c r="H97" s="161">
        <f>15806-15790</f>
        <v>16</v>
      </c>
      <c r="I97" s="207">
        <v>150</v>
      </c>
      <c r="J97" s="242">
        <f t="shared" si="23"/>
        <v>2400</v>
      </c>
      <c r="K97" s="153"/>
      <c r="V97" s="25">
        <f t="shared" si="24"/>
        <v>1</v>
      </c>
      <c r="W97" s="25">
        <f t="shared" si="25"/>
        <v>0</v>
      </c>
    </row>
    <row r="98" spans="1:23" x14ac:dyDescent="0.3">
      <c r="A98" s="147"/>
      <c r="B98" s="205">
        <f t="shared" si="26"/>
        <v>7</v>
      </c>
      <c r="C98" s="206">
        <v>44357</v>
      </c>
      <c r="D98" s="161" t="s">
        <v>9</v>
      </c>
      <c r="E98" s="161" t="s">
        <v>39</v>
      </c>
      <c r="F98" s="207">
        <v>15740</v>
      </c>
      <c r="G98" s="207">
        <v>15767</v>
      </c>
      <c r="H98" s="161">
        <f>15767-15740</f>
        <v>27</v>
      </c>
      <c r="I98" s="207">
        <v>150</v>
      </c>
      <c r="J98" s="242">
        <f t="shared" si="23"/>
        <v>4050</v>
      </c>
      <c r="K98" s="153"/>
      <c r="V98" s="25">
        <f t="shared" si="24"/>
        <v>1</v>
      </c>
      <c r="W98" s="25">
        <f t="shared" si="25"/>
        <v>0</v>
      </c>
    </row>
    <row r="99" spans="1:23" x14ac:dyDescent="0.3">
      <c r="A99" s="147"/>
      <c r="B99" s="205">
        <f t="shared" si="26"/>
        <v>8</v>
      </c>
      <c r="C99" s="206">
        <v>44358</v>
      </c>
      <c r="D99" s="161" t="s">
        <v>9</v>
      </c>
      <c r="E99" s="161" t="s">
        <v>39</v>
      </c>
      <c r="F99" s="207">
        <v>15830</v>
      </c>
      <c r="G99" s="207">
        <v>15855</v>
      </c>
      <c r="H99" s="161">
        <f>15855-15830</f>
        <v>25</v>
      </c>
      <c r="I99" s="207">
        <v>150</v>
      </c>
      <c r="J99" s="242">
        <f t="shared" si="23"/>
        <v>3750</v>
      </c>
      <c r="K99" s="153"/>
      <c r="V99" s="25">
        <f t="shared" si="24"/>
        <v>1</v>
      </c>
      <c r="W99" s="25">
        <f t="shared" si="25"/>
        <v>0</v>
      </c>
    </row>
    <row r="100" spans="1:23" x14ac:dyDescent="0.3">
      <c r="A100" s="147"/>
      <c r="B100" s="205">
        <f t="shared" si="26"/>
        <v>9</v>
      </c>
      <c r="C100" s="206">
        <v>44361</v>
      </c>
      <c r="D100" s="161" t="s">
        <v>9</v>
      </c>
      <c r="E100" s="161" t="s">
        <v>39</v>
      </c>
      <c r="F100" s="207">
        <v>15730</v>
      </c>
      <c r="G100" s="207">
        <v>15810</v>
      </c>
      <c r="H100" s="161">
        <f>15810-15730</f>
        <v>80</v>
      </c>
      <c r="I100" s="207">
        <v>150</v>
      </c>
      <c r="J100" s="242">
        <f t="shared" si="23"/>
        <v>12000</v>
      </c>
      <c r="K100" s="153"/>
      <c r="V100" s="25">
        <f t="shared" si="24"/>
        <v>1</v>
      </c>
      <c r="W100" s="25">
        <f t="shared" si="25"/>
        <v>0</v>
      </c>
    </row>
    <row r="101" spans="1:23" x14ac:dyDescent="0.3">
      <c r="A101" s="147"/>
      <c r="B101" s="205">
        <f t="shared" si="26"/>
        <v>10</v>
      </c>
      <c r="C101" s="206">
        <v>44362</v>
      </c>
      <c r="D101" s="161" t="s">
        <v>9</v>
      </c>
      <c r="E101" s="161" t="s">
        <v>39</v>
      </c>
      <c r="F101" s="207">
        <v>15890</v>
      </c>
      <c r="G101" s="207">
        <v>15909</v>
      </c>
      <c r="H101" s="161">
        <f>15909-15890</f>
        <v>19</v>
      </c>
      <c r="I101" s="207">
        <v>150</v>
      </c>
      <c r="J101" s="242">
        <f t="shared" si="23"/>
        <v>2850</v>
      </c>
      <c r="K101" s="153"/>
      <c r="V101" s="25">
        <f t="shared" si="24"/>
        <v>1</v>
      </c>
      <c r="W101" s="25">
        <f t="shared" si="25"/>
        <v>0</v>
      </c>
    </row>
    <row r="102" spans="1:23" x14ac:dyDescent="0.3">
      <c r="A102" s="147"/>
      <c r="B102" s="205">
        <f t="shared" si="26"/>
        <v>11</v>
      </c>
      <c r="C102" s="206">
        <v>44363</v>
      </c>
      <c r="D102" s="161" t="s">
        <v>9</v>
      </c>
      <c r="E102" s="161" t="s">
        <v>39</v>
      </c>
      <c r="F102" s="207">
        <v>15810</v>
      </c>
      <c r="G102" s="207">
        <v>15840</v>
      </c>
      <c r="H102" s="161">
        <v>30</v>
      </c>
      <c r="I102" s="207">
        <v>150</v>
      </c>
      <c r="J102" s="242">
        <f t="shared" si="23"/>
        <v>4500</v>
      </c>
      <c r="K102" s="153"/>
      <c r="V102" s="25">
        <f t="shared" si="24"/>
        <v>1</v>
      </c>
      <c r="W102" s="25">
        <f t="shared" si="25"/>
        <v>0</v>
      </c>
    </row>
    <row r="103" spans="1:23" x14ac:dyDescent="0.3">
      <c r="A103" s="147"/>
      <c r="B103" s="205">
        <f t="shared" si="26"/>
        <v>12</v>
      </c>
      <c r="C103" s="206">
        <v>44364</v>
      </c>
      <c r="D103" s="161" t="s">
        <v>9</v>
      </c>
      <c r="E103" s="161" t="s">
        <v>39</v>
      </c>
      <c r="F103" s="207">
        <v>15750</v>
      </c>
      <c r="G103" s="207">
        <v>15710</v>
      </c>
      <c r="H103" s="161">
        <v>-40</v>
      </c>
      <c r="I103" s="207">
        <v>150</v>
      </c>
      <c r="J103" s="242">
        <f t="shared" si="23"/>
        <v>-6000</v>
      </c>
      <c r="K103" s="153"/>
      <c r="V103" s="25">
        <f t="shared" si="24"/>
        <v>0</v>
      </c>
      <c r="W103" s="25">
        <f t="shared" si="25"/>
        <v>1</v>
      </c>
    </row>
    <row r="104" spans="1:23" x14ac:dyDescent="0.3">
      <c r="A104" s="147"/>
      <c r="B104" s="205">
        <f t="shared" si="26"/>
        <v>13</v>
      </c>
      <c r="C104" s="206">
        <v>44365</v>
      </c>
      <c r="D104" s="161" t="s">
        <v>9</v>
      </c>
      <c r="E104" s="161" t="s">
        <v>39</v>
      </c>
      <c r="F104" s="207">
        <v>15620</v>
      </c>
      <c r="G104" s="207">
        <v>15540</v>
      </c>
      <c r="H104" s="161">
        <v>80</v>
      </c>
      <c r="I104" s="207">
        <v>150</v>
      </c>
      <c r="J104" s="242">
        <f t="shared" si="23"/>
        <v>12000</v>
      </c>
      <c r="K104" s="153"/>
      <c r="V104" s="25">
        <f t="shared" si="24"/>
        <v>1</v>
      </c>
      <c r="W104" s="25">
        <f t="shared" si="25"/>
        <v>0</v>
      </c>
    </row>
    <row r="105" spans="1:23" x14ac:dyDescent="0.3">
      <c r="A105" s="147"/>
      <c r="B105" s="205">
        <f t="shared" si="26"/>
        <v>14</v>
      </c>
      <c r="C105" s="206">
        <v>44368</v>
      </c>
      <c r="D105" s="161" t="s">
        <v>9</v>
      </c>
      <c r="E105" s="161" t="s">
        <v>39</v>
      </c>
      <c r="F105" s="207">
        <v>15590</v>
      </c>
      <c r="G105" s="207">
        <v>15670</v>
      </c>
      <c r="H105" s="161">
        <v>80</v>
      </c>
      <c r="I105" s="207">
        <v>150</v>
      </c>
      <c r="J105" s="242">
        <f t="shared" si="23"/>
        <v>12000</v>
      </c>
      <c r="K105" s="153"/>
      <c r="V105" s="25">
        <f t="shared" si="24"/>
        <v>1</v>
      </c>
      <c r="W105" s="25">
        <f t="shared" si="25"/>
        <v>0</v>
      </c>
    </row>
    <row r="106" spans="1:23" x14ac:dyDescent="0.3">
      <c r="A106" s="147"/>
      <c r="B106" s="205">
        <f t="shared" si="26"/>
        <v>15</v>
      </c>
      <c r="C106" s="206">
        <v>44369</v>
      </c>
      <c r="D106" s="161" t="s">
        <v>9</v>
      </c>
      <c r="E106" s="161" t="s">
        <v>39</v>
      </c>
      <c r="F106" s="207">
        <v>15860</v>
      </c>
      <c r="G106" s="207">
        <v>15820</v>
      </c>
      <c r="H106" s="161">
        <v>-40</v>
      </c>
      <c r="I106" s="207">
        <v>150</v>
      </c>
      <c r="J106" s="242">
        <f t="shared" si="23"/>
        <v>-6000</v>
      </c>
      <c r="K106" s="153"/>
      <c r="V106" s="25">
        <f t="shared" si="24"/>
        <v>0</v>
      </c>
      <c r="W106" s="25">
        <f t="shared" si="25"/>
        <v>1</v>
      </c>
    </row>
    <row r="107" spans="1:23" x14ac:dyDescent="0.3">
      <c r="A107" s="147"/>
      <c r="B107" s="205">
        <f t="shared" si="26"/>
        <v>16</v>
      </c>
      <c r="C107" s="206">
        <v>44370</v>
      </c>
      <c r="D107" s="161" t="s">
        <v>8</v>
      </c>
      <c r="E107" s="161" t="s">
        <v>39</v>
      </c>
      <c r="F107" s="207">
        <v>15750</v>
      </c>
      <c r="G107" s="207">
        <v>15790</v>
      </c>
      <c r="H107" s="161">
        <v>-40</v>
      </c>
      <c r="I107" s="207">
        <v>150</v>
      </c>
      <c r="J107" s="242">
        <f t="shared" si="23"/>
        <v>-6000</v>
      </c>
      <c r="K107" s="153"/>
      <c r="V107" s="25">
        <f t="shared" si="24"/>
        <v>0</v>
      </c>
      <c r="W107" s="25">
        <f t="shared" si="25"/>
        <v>1</v>
      </c>
    </row>
    <row r="108" spans="1:23" x14ac:dyDescent="0.3">
      <c r="A108" s="147"/>
      <c r="B108" s="205">
        <f t="shared" si="26"/>
        <v>17</v>
      </c>
      <c r="C108" s="206">
        <v>44371</v>
      </c>
      <c r="D108" s="161" t="s">
        <v>9</v>
      </c>
      <c r="E108" s="161" t="s">
        <v>39</v>
      </c>
      <c r="F108" s="207">
        <v>15740</v>
      </c>
      <c r="G108" s="207">
        <v>15800</v>
      </c>
      <c r="H108" s="161">
        <f>15800-15740</f>
        <v>60</v>
      </c>
      <c r="I108" s="207">
        <v>150</v>
      </c>
      <c r="J108" s="242">
        <f t="shared" si="23"/>
        <v>9000</v>
      </c>
      <c r="K108" s="153"/>
      <c r="V108" s="25">
        <f t="shared" si="24"/>
        <v>1</v>
      </c>
      <c r="W108" s="25">
        <f t="shared" si="25"/>
        <v>0</v>
      </c>
    </row>
    <row r="109" spans="1:23" x14ac:dyDescent="0.3">
      <c r="A109" s="147"/>
      <c r="B109" s="205">
        <f t="shared" si="26"/>
        <v>18</v>
      </c>
      <c r="C109" s="206">
        <v>44372</v>
      </c>
      <c r="D109" s="161" t="s">
        <v>9</v>
      </c>
      <c r="E109" s="161" t="s">
        <v>39</v>
      </c>
      <c r="F109" s="207">
        <v>15830</v>
      </c>
      <c r="G109" s="207">
        <v>15890</v>
      </c>
      <c r="H109" s="161">
        <v>60</v>
      </c>
      <c r="I109" s="207">
        <v>150</v>
      </c>
      <c r="J109" s="242">
        <f t="shared" si="23"/>
        <v>9000</v>
      </c>
      <c r="K109" s="153"/>
      <c r="V109" s="25">
        <f t="shared" si="24"/>
        <v>1</v>
      </c>
      <c r="W109" s="25">
        <f t="shared" si="25"/>
        <v>0</v>
      </c>
    </row>
    <row r="110" spans="1:23" x14ac:dyDescent="0.3">
      <c r="A110" s="147"/>
      <c r="B110" s="205">
        <f t="shared" si="26"/>
        <v>19</v>
      </c>
      <c r="C110" s="206">
        <v>44375</v>
      </c>
      <c r="D110" s="161" t="s">
        <v>8</v>
      </c>
      <c r="E110" s="161" t="s">
        <v>39</v>
      </c>
      <c r="F110" s="207">
        <v>15880</v>
      </c>
      <c r="G110" s="207">
        <v>15840</v>
      </c>
      <c r="H110" s="161">
        <v>40</v>
      </c>
      <c r="I110" s="207">
        <v>150</v>
      </c>
      <c r="J110" s="242">
        <f>I110*H110</f>
        <v>6000</v>
      </c>
      <c r="K110" s="153"/>
      <c r="V110" s="25">
        <f t="shared" si="24"/>
        <v>1</v>
      </c>
      <c r="W110" s="25">
        <f t="shared" si="25"/>
        <v>0</v>
      </c>
    </row>
    <row r="111" spans="1:23" x14ac:dyDescent="0.3">
      <c r="A111" s="147"/>
      <c r="B111" s="205">
        <f t="shared" si="26"/>
        <v>20</v>
      </c>
      <c r="C111" s="206">
        <v>44376</v>
      </c>
      <c r="D111" s="161" t="s">
        <v>8</v>
      </c>
      <c r="E111" s="161" t="s">
        <v>39</v>
      </c>
      <c r="F111" s="207">
        <v>15790</v>
      </c>
      <c r="G111" s="207">
        <v>15760</v>
      </c>
      <c r="H111" s="161">
        <v>30</v>
      </c>
      <c r="I111" s="207">
        <v>150</v>
      </c>
      <c r="J111" s="242">
        <f t="shared" si="23"/>
        <v>4500</v>
      </c>
      <c r="K111" s="153"/>
      <c r="V111" s="25">
        <f t="shared" si="24"/>
        <v>1</v>
      </c>
      <c r="W111" s="25">
        <f t="shared" si="25"/>
        <v>0</v>
      </c>
    </row>
    <row r="112" spans="1:23" x14ac:dyDescent="0.3">
      <c r="A112" s="147"/>
      <c r="B112" s="205">
        <f t="shared" si="26"/>
        <v>21</v>
      </c>
      <c r="C112" s="206">
        <v>44377</v>
      </c>
      <c r="D112" s="161" t="s">
        <v>9</v>
      </c>
      <c r="E112" s="161" t="s">
        <v>39</v>
      </c>
      <c r="F112" s="207">
        <v>15860</v>
      </c>
      <c r="G112" s="207">
        <v>15820</v>
      </c>
      <c r="H112" s="161">
        <v>40</v>
      </c>
      <c r="I112" s="207">
        <v>150</v>
      </c>
      <c r="J112" s="242">
        <f t="shared" si="23"/>
        <v>6000</v>
      </c>
      <c r="K112" s="153"/>
      <c r="V112" s="25">
        <f t="shared" si="24"/>
        <v>1</v>
      </c>
      <c r="W112" s="25">
        <f t="shared" si="25"/>
        <v>0</v>
      </c>
    </row>
    <row r="113" spans="1:23" x14ac:dyDescent="0.3">
      <c r="A113" s="147"/>
      <c r="B113" s="205">
        <f t="shared" si="26"/>
        <v>22</v>
      </c>
      <c r="C113" s="206"/>
      <c r="D113" s="161"/>
      <c r="E113" s="161"/>
      <c r="F113" s="207"/>
      <c r="G113" s="207"/>
      <c r="H113" s="161"/>
      <c r="I113" s="207"/>
      <c r="J113" s="242">
        <f t="shared" si="23"/>
        <v>0</v>
      </c>
      <c r="K113" s="153"/>
      <c r="V113" s="25">
        <f t="shared" si="24"/>
        <v>0</v>
      </c>
      <c r="W113" s="25">
        <f t="shared" si="25"/>
        <v>0</v>
      </c>
    </row>
    <row r="114" spans="1:23" ht="15" thickBot="1" x14ac:dyDescent="0.35">
      <c r="A114" s="147"/>
      <c r="B114" s="208">
        <f t="shared" si="26"/>
        <v>23</v>
      </c>
      <c r="C114" s="209"/>
      <c r="D114" s="166"/>
      <c r="E114" s="166"/>
      <c r="F114" s="210"/>
      <c r="G114" s="210"/>
      <c r="H114" s="166"/>
      <c r="I114" s="210"/>
      <c r="J114" s="244">
        <f t="shared" si="23"/>
        <v>0</v>
      </c>
      <c r="K114" s="153"/>
      <c r="V114" s="25">
        <f t="shared" si="24"/>
        <v>0</v>
      </c>
      <c r="W114" s="25">
        <f t="shared" si="25"/>
        <v>0</v>
      </c>
    </row>
    <row r="115" spans="1:23" ht="24" thickBot="1" x14ac:dyDescent="0.5">
      <c r="A115" s="147"/>
      <c r="B115" s="370" t="s">
        <v>2254</v>
      </c>
      <c r="C115" s="371"/>
      <c r="D115" s="371"/>
      <c r="E115" s="371"/>
      <c r="F115" s="371"/>
      <c r="G115" s="371"/>
      <c r="H115" s="372"/>
      <c r="I115" s="211" t="s">
        <v>2255</v>
      </c>
      <c r="J115" s="212">
        <f>SUM(J92:J114)</f>
        <v>86100</v>
      </c>
      <c r="K115" s="153"/>
      <c r="V115" s="25">
        <f>SUM(V92:V114)</f>
        <v>17</v>
      </c>
      <c r="W115" s="25">
        <f>SUM(W92:W114)</f>
        <v>4</v>
      </c>
    </row>
    <row r="116" spans="1:23" ht="30" customHeight="1" thickBot="1" x14ac:dyDescent="0.35">
      <c r="A116" s="213"/>
      <c r="B116" s="172"/>
      <c r="C116" s="172"/>
      <c r="D116" s="172"/>
      <c r="E116" s="172"/>
      <c r="F116" s="172"/>
      <c r="G116" s="172"/>
      <c r="H116" s="235"/>
      <c r="I116" s="172"/>
      <c r="J116" s="235"/>
      <c r="K116" s="214"/>
    </row>
    <row r="117" spans="1:23" ht="15" thickBot="1" x14ac:dyDescent="0.35"/>
    <row r="118" spans="1:23" ht="30" customHeight="1" thickBot="1" x14ac:dyDescent="0.35">
      <c r="A118" s="198"/>
      <c r="B118" s="143"/>
      <c r="C118" s="143"/>
      <c r="D118" s="143"/>
      <c r="E118" s="143"/>
      <c r="F118" s="143"/>
      <c r="G118" s="143"/>
      <c r="H118" s="232"/>
      <c r="I118" s="143"/>
      <c r="J118" s="232"/>
      <c r="K118" s="199"/>
    </row>
    <row r="119" spans="1:23" ht="25.2" thickBot="1" x14ac:dyDescent="0.35">
      <c r="A119" s="147" t="s">
        <v>0</v>
      </c>
      <c r="B119" s="361" t="s">
        <v>2244</v>
      </c>
      <c r="C119" s="362"/>
      <c r="D119" s="362"/>
      <c r="E119" s="362"/>
      <c r="F119" s="362"/>
      <c r="G119" s="362"/>
      <c r="H119" s="362"/>
      <c r="I119" s="362"/>
      <c r="J119" s="363"/>
      <c r="K119" s="153"/>
    </row>
    <row r="120" spans="1:23" ht="16.2" thickBot="1" x14ac:dyDescent="0.35">
      <c r="A120" s="147"/>
      <c r="B120" s="364" t="s">
        <v>3367</v>
      </c>
      <c r="C120" s="365"/>
      <c r="D120" s="365"/>
      <c r="E120" s="365"/>
      <c r="F120" s="365"/>
      <c r="G120" s="365"/>
      <c r="H120" s="365"/>
      <c r="I120" s="365"/>
      <c r="J120" s="366"/>
      <c r="K120" s="153"/>
    </row>
    <row r="121" spans="1:23" ht="16.2" thickBot="1" x14ac:dyDescent="0.35">
      <c r="A121" s="147"/>
      <c r="B121" s="367" t="s">
        <v>2259</v>
      </c>
      <c r="C121" s="368"/>
      <c r="D121" s="368"/>
      <c r="E121" s="368"/>
      <c r="F121" s="368"/>
      <c r="G121" s="368"/>
      <c r="H121" s="368"/>
      <c r="I121" s="368"/>
      <c r="J121" s="369"/>
      <c r="K121" s="153"/>
    </row>
    <row r="122" spans="1:23" ht="15" thickBot="1" x14ac:dyDescent="0.35">
      <c r="A122" s="175"/>
      <c r="B122" s="178" t="s">
        <v>2248</v>
      </c>
      <c r="C122" s="179" t="s">
        <v>1</v>
      </c>
      <c r="D122" s="180" t="s">
        <v>5</v>
      </c>
      <c r="E122" s="180" t="s">
        <v>6</v>
      </c>
      <c r="F122" s="181" t="s">
        <v>2249</v>
      </c>
      <c r="G122" s="181" t="s">
        <v>2250</v>
      </c>
      <c r="H122" s="239" t="s">
        <v>2251</v>
      </c>
      <c r="I122" s="181" t="s">
        <v>2257</v>
      </c>
      <c r="J122" s="245" t="s">
        <v>4</v>
      </c>
      <c r="K122" s="176"/>
      <c r="L122" s="215"/>
      <c r="V122" s="201" t="s">
        <v>454</v>
      </c>
      <c r="W122" s="201" t="s">
        <v>455</v>
      </c>
    </row>
    <row r="123" spans="1:23" x14ac:dyDescent="0.3">
      <c r="A123" s="147"/>
      <c r="B123" s="217">
        <v>1</v>
      </c>
      <c r="C123" s="218">
        <v>44348</v>
      </c>
      <c r="D123" s="185" t="s">
        <v>9</v>
      </c>
      <c r="E123" s="185" t="s">
        <v>1154</v>
      </c>
      <c r="F123" s="219">
        <v>100</v>
      </c>
      <c r="G123" s="231">
        <v>124.9</v>
      </c>
      <c r="H123" s="231">
        <v>24.9</v>
      </c>
      <c r="I123" s="219">
        <v>300</v>
      </c>
      <c r="J123" s="246">
        <f t="shared" ref="J123:J145" si="27">I123*H123</f>
        <v>7470</v>
      </c>
      <c r="K123" s="153"/>
      <c r="V123" s="25">
        <f>IF($J123&gt;0,1,0)</f>
        <v>1</v>
      </c>
      <c r="W123" s="25">
        <f>IF($J123&lt;0,1,0)</f>
        <v>0</v>
      </c>
    </row>
    <row r="124" spans="1:23" x14ac:dyDescent="0.3">
      <c r="A124" s="147"/>
      <c r="B124" s="205">
        <f>B123+1</f>
        <v>2</v>
      </c>
      <c r="C124" s="218">
        <v>44349</v>
      </c>
      <c r="D124" s="185" t="s">
        <v>9</v>
      </c>
      <c r="E124" s="185" t="s">
        <v>1154</v>
      </c>
      <c r="F124" s="219">
        <v>120</v>
      </c>
      <c r="G124" s="219">
        <v>145</v>
      </c>
      <c r="H124" s="185">
        <f>145-120</f>
        <v>25</v>
      </c>
      <c r="I124" s="219">
        <v>300</v>
      </c>
      <c r="J124" s="242">
        <f t="shared" si="27"/>
        <v>7500</v>
      </c>
      <c r="K124" s="153"/>
      <c r="V124" s="25">
        <f t="shared" ref="V124:V145" si="28">IF($J124&gt;0,1,0)</f>
        <v>1</v>
      </c>
      <c r="W124" s="25">
        <f t="shared" ref="W124:W145" si="29">IF($J124&lt;0,1,0)</f>
        <v>0</v>
      </c>
    </row>
    <row r="125" spans="1:23" x14ac:dyDescent="0.3">
      <c r="A125" s="147"/>
      <c r="B125" s="205">
        <f t="shared" ref="B125:B145" si="30">B124+1</f>
        <v>3</v>
      </c>
      <c r="C125" s="206">
        <v>44350</v>
      </c>
      <c r="D125" s="161" t="s">
        <v>9</v>
      </c>
      <c r="E125" s="161" t="s">
        <v>3368</v>
      </c>
      <c r="F125" s="207">
        <v>100</v>
      </c>
      <c r="G125" s="207">
        <v>125</v>
      </c>
      <c r="H125" s="161">
        <v>25</v>
      </c>
      <c r="I125" s="207">
        <v>300</v>
      </c>
      <c r="J125" s="242">
        <f t="shared" si="27"/>
        <v>7500</v>
      </c>
      <c r="K125" s="153"/>
      <c r="V125" s="25">
        <f t="shared" si="28"/>
        <v>1</v>
      </c>
      <c r="W125" s="25">
        <f t="shared" si="29"/>
        <v>0</v>
      </c>
    </row>
    <row r="126" spans="1:23" x14ac:dyDescent="0.3">
      <c r="A126" s="147"/>
      <c r="B126" s="205">
        <f t="shared" si="30"/>
        <v>4</v>
      </c>
      <c r="C126" s="206">
        <v>44351</v>
      </c>
      <c r="D126" s="161" t="s">
        <v>9</v>
      </c>
      <c r="E126" s="161" t="s">
        <v>1359</v>
      </c>
      <c r="F126" s="207">
        <v>115</v>
      </c>
      <c r="G126" s="207">
        <v>140</v>
      </c>
      <c r="H126" s="161">
        <f>140-115</f>
        <v>25</v>
      </c>
      <c r="I126" s="207">
        <v>300</v>
      </c>
      <c r="J126" s="242">
        <f t="shared" si="27"/>
        <v>7500</v>
      </c>
      <c r="K126" s="153"/>
      <c r="V126" s="25">
        <f t="shared" si="28"/>
        <v>1</v>
      </c>
      <c r="W126" s="25">
        <f t="shared" si="29"/>
        <v>0</v>
      </c>
    </row>
    <row r="127" spans="1:23" x14ac:dyDescent="0.3">
      <c r="A127" s="147"/>
      <c r="B127" s="205">
        <f t="shared" si="30"/>
        <v>5</v>
      </c>
      <c r="C127" s="206">
        <v>44354</v>
      </c>
      <c r="D127" s="161" t="s">
        <v>9</v>
      </c>
      <c r="E127" s="161" t="s">
        <v>3369</v>
      </c>
      <c r="F127" s="207">
        <v>125</v>
      </c>
      <c r="G127" s="207">
        <v>159</v>
      </c>
      <c r="H127" s="161">
        <f>159-125</f>
        <v>34</v>
      </c>
      <c r="I127" s="207">
        <v>300</v>
      </c>
      <c r="J127" s="242">
        <f t="shared" si="27"/>
        <v>10200</v>
      </c>
      <c r="K127" s="153"/>
      <c r="M127" s="25" t="s">
        <v>2008</v>
      </c>
      <c r="V127" s="25">
        <f t="shared" si="28"/>
        <v>1</v>
      </c>
      <c r="W127" s="25">
        <f t="shared" si="29"/>
        <v>0</v>
      </c>
    </row>
    <row r="128" spans="1:23" x14ac:dyDescent="0.3">
      <c r="A128" s="147"/>
      <c r="B128" s="205">
        <f t="shared" si="30"/>
        <v>6</v>
      </c>
      <c r="C128" s="206">
        <v>44355</v>
      </c>
      <c r="D128" s="161" t="s">
        <v>9</v>
      </c>
      <c r="E128" s="161" t="s">
        <v>3370</v>
      </c>
      <c r="F128" s="207">
        <v>90</v>
      </c>
      <c r="G128" s="222">
        <v>65</v>
      </c>
      <c r="H128" s="222">
        <v>-25</v>
      </c>
      <c r="I128" s="207">
        <v>300</v>
      </c>
      <c r="J128" s="242">
        <f t="shared" si="27"/>
        <v>-7500</v>
      </c>
      <c r="K128" s="153"/>
      <c r="V128" s="25">
        <f t="shared" si="28"/>
        <v>0</v>
      </c>
      <c r="W128" s="25">
        <f t="shared" si="29"/>
        <v>1</v>
      </c>
    </row>
    <row r="129" spans="1:23" x14ac:dyDescent="0.3">
      <c r="A129" s="147"/>
      <c r="B129" s="205">
        <f t="shared" si="30"/>
        <v>7</v>
      </c>
      <c r="C129" s="206">
        <v>44356</v>
      </c>
      <c r="D129" s="161" t="s">
        <v>9</v>
      </c>
      <c r="E129" s="161" t="s">
        <v>1310</v>
      </c>
      <c r="F129" s="207">
        <v>95</v>
      </c>
      <c r="G129" s="207">
        <v>111</v>
      </c>
      <c r="H129" s="161">
        <f>111-95</f>
        <v>16</v>
      </c>
      <c r="I129" s="207">
        <v>300</v>
      </c>
      <c r="J129" s="242">
        <f t="shared" si="27"/>
        <v>4800</v>
      </c>
      <c r="K129" s="153"/>
      <c r="V129" s="25">
        <f t="shared" si="28"/>
        <v>1</v>
      </c>
      <c r="W129" s="25">
        <f t="shared" si="29"/>
        <v>0</v>
      </c>
    </row>
    <row r="130" spans="1:23" x14ac:dyDescent="0.3">
      <c r="A130" s="147"/>
      <c r="B130" s="205">
        <f t="shared" si="30"/>
        <v>8</v>
      </c>
      <c r="C130" s="206">
        <v>44357</v>
      </c>
      <c r="D130" s="161" t="s">
        <v>9</v>
      </c>
      <c r="E130" s="161" t="s">
        <v>3371</v>
      </c>
      <c r="F130" s="207">
        <v>110</v>
      </c>
      <c r="G130" s="207">
        <v>157</v>
      </c>
      <c r="H130" s="161">
        <f>157-110</f>
        <v>47</v>
      </c>
      <c r="I130" s="207">
        <v>300</v>
      </c>
      <c r="J130" s="242">
        <f t="shared" si="27"/>
        <v>14100</v>
      </c>
      <c r="K130" s="153"/>
      <c r="V130" s="25">
        <f t="shared" si="28"/>
        <v>1</v>
      </c>
      <c r="W130" s="25">
        <f t="shared" si="29"/>
        <v>0</v>
      </c>
    </row>
    <row r="131" spans="1:23" x14ac:dyDescent="0.3">
      <c r="A131" s="147"/>
      <c r="B131" s="205">
        <f t="shared" si="30"/>
        <v>9</v>
      </c>
      <c r="C131" s="206">
        <v>44358</v>
      </c>
      <c r="D131" s="161" t="s">
        <v>9</v>
      </c>
      <c r="E131" s="161" t="s">
        <v>3372</v>
      </c>
      <c r="F131" s="207">
        <v>120</v>
      </c>
      <c r="G131" s="207">
        <v>159</v>
      </c>
      <c r="H131" s="161">
        <f>159-120</f>
        <v>39</v>
      </c>
      <c r="I131" s="207">
        <v>300</v>
      </c>
      <c r="J131" s="242">
        <f t="shared" si="27"/>
        <v>11700</v>
      </c>
      <c r="K131" s="153"/>
      <c r="V131" s="25">
        <f t="shared" si="28"/>
        <v>1</v>
      </c>
      <c r="W131" s="25">
        <f t="shared" si="29"/>
        <v>0</v>
      </c>
    </row>
    <row r="132" spans="1:23" x14ac:dyDescent="0.3">
      <c r="A132" s="147"/>
      <c r="B132" s="205">
        <f t="shared" si="30"/>
        <v>10</v>
      </c>
      <c r="C132" s="206">
        <v>44361</v>
      </c>
      <c r="D132" s="161" t="s">
        <v>9</v>
      </c>
      <c r="E132" s="161" t="s">
        <v>1310</v>
      </c>
      <c r="F132" s="207">
        <v>95</v>
      </c>
      <c r="G132" s="222">
        <v>145</v>
      </c>
      <c r="H132" s="222">
        <v>50</v>
      </c>
      <c r="I132" s="207">
        <v>300</v>
      </c>
      <c r="J132" s="242">
        <f t="shared" si="27"/>
        <v>15000</v>
      </c>
      <c r="K132" s="153"/>
      <c r="V132" s="25">
        <f t="shared" si="28"/>
        <v>1</v>
      </c>
      <c r="W132" s="25">
        <f t="shared" si="29"/>
        <v>0</v>
      </c>
    </row>
    <row r="133" spans="1:23" x14ac:dyDescent="0.3">
      <c r="A133" s="147"/>
      <c r="B133" s="205">
        <f t="shared" si="30"/>
        <v>11</v>
      </c>
      <c r="C133" s="206">
        <v>44362</v>
      </c>
      <c r="D133" s="161" t="s">
        <v>9</v>
      </c>
      <c r="E133" s="161" t="s">
        <v>3384</v>
      </c>
      <c r="F133" s="207">
        <v>115</v>
      </c>
      <c r="G133" s="222">
        <v>125</v>
      </c>
      <c r="H133" s="222">
        <v>10</v>
      </c>
      <c r="I133" s="207">
        <v>300</v>
      </c>
      <c r="J133" s="242">
        <f t="shared" si="27"/>
        <v>3000</v>
      </c>
      <c r="K133" s="153"/>
      <c r="V133" s="25">
        <f t="shared" si="28"/>
        <v>1</v>
      </c>
      <c r="W133" s="25">
        <f t="shared" si="29"/>
        <v>0</v>
      </c>
    </row>
    <row r="134" spans="1:23" x14ac:dyDescent="0.3">
      <c r="A134" s="147"/>
      <c r="B134" s="205">
        <f t="shared" si="30"/>
        <v>12</v>
      </c>
      <c r="C134" s="206">
        <v>44363</v>
      </c>
      <c r="D134" s="161" t="s">
        <v>9</v>
      </c>
      <c r="E134" s="161" t="s">
        <v>3385</v>
      </c>
      <c r="F134" s="207">
        <v>90</v>
      </c>
      <c r="G134" s="222">
        <v>100.5</v>
      </c>
      <c r="H134" s="222">
        <v>10.5</v>
      </c>
      <c r="I134" s="207">
        <v>300</v>
      </c>
      <c r="J134" s="242">
        <f t="shared" si="27"/>
        <v>3150</v>
      </c>
      <c r="K134" s="153"/>
      <c r="V134" s="25">
        <f t="shared" si="28"/>
        <v>1</v>
      </c>
      <c r="W134" s="25">
        <f t="shared" si="29"/>
        <v>0</v>
      </c>
    </row>
    <row r="135" spans="1:23" x14ac:dyDescent="0.3">
      <c r="A135" s="147"/>
      <c r="B135" s="205">
        <f t="shared" si="30"/>
        <v>13</v>
      </c>
      <c r="C135" s="206">
        <v>44364</v>
      </c>
      <c r="D135" s="161" t="s">
        <v>9</v>
      </c>
      <c r="E135" s="161" t="s">
        <v>3369</v>
      </c>
      <c r="F135" s="207">
        <v>100</v>
      </c>
      <c r="G135" s="222">
        <v>118.5</v>
      </c>
      <c r="H135" s="222">
        <v>18.5</v>
      </c>
      <c r="I135" s="207">
        <v>300</v>
      </c>
      <c r="J135" s="242">
        <f t="shared" si="27"/>
        <v>5550</v>
      </c>
      <c r="K135" s="153"/>
      <c r="V135" s="25">
        <f t="shared" si="28"/>
        <v>1</v>
      </c>
      <c r="W135" s="25">
        <f t="shared" si="29"/>
        <v>0</v>
      </c>
    </row>
    <row r="136" spans="1:23" x14ac:dyDescent="0.3">
      <c r="A136" s="147"/>
      <c r="B136" s="205">
        <f t="shared" si="30"/>
        <v>14</v>
      </c>
      <c r="C136" s="206">
        <v>44365</v>
      </c>
      <c r="D136" s="161" t="s">
        <v>9</v>
      </c>
      <c r="E136" s="161" t="s">
        <v>1154</v>
      </c>
      <c r="F136" s="207">
        <v>115</v>
      </c>
      <c r="G136" s="207">
        <v>165</v>
      </c>
      <c r="H136" s="161">
        <v>50</v>
      </c>
      <c r="I136" s="207">
        <v>300</v>
      </c>
      <c r="J136" s="242">
        <f>I136*H136</f>
        <v>15000</v>
      </c>
      <c r="K136" s="153"/>
      <c r="V136" s="25">
        <f>IF($J136&gt;0,1,0)</f>
        <v>1</v>
      </c>
      <c r="W136" s="25">
        <f>IF($J136&lt;0,1,0)</f>
        <v>0</v>
      </c>
    </row>
    <row r="137" spans="1:23" x14ac:dyDescent="0.3">
      <c r="A137" s="147"/>
      <c r="B137" s="205">
        <f t="shared" si="30"/>
        <v>15</v>
      </c>
      <c r="C137" s="206">
        <v>44368</v>
      </c>
      <c r="D137" s="161" t="s">
        <v>9</v>
      </c>
      <c r="E137" s="161" t="s">
        <v>3371</v>
      </c>
      <c r="F137" s="207">
        <v>105</v>
      </c>
      <c r="G137" s="207">
        <v>155</v>
      </c>
      <c r="H137" s="161">
        <v>50</v>
      </c>
      <c r="I137" s="207">
        <v>300</v>
      </c>
      <c r="J137" s="242">
        <f t="shared" si="27"/>
        <v>15000</v>
      </c>
      <c r="K137" s="153"/>
      <c r="V137" s="25">
        <f>IF($J137&gt;0,1,0)</f>
        <v>1</v>
      </c>
      <c r="W137" s="25">
        <f>IF($J137&lt;0,1,0)</f>
        <v>0</v>
      </c>
    </row>
    <row r="138" spans="1:23" x14ac:dyDescent="0.3">
      <c r="A138" s="147"/>
      <c r="B138" s="205">
        <f t="shared" si="30"/>
        <v>16</v>
      </c>
      <c r="C138" s="206">
        <v>44369</v>
      </c>
      <c r="D138" s="161" t="s">
        <v>9</v>
      </c>
      <c r="E138" s="161" t="s">
        <v>3384</v>
      </c>
      <c r="F138" s="207">
        <v>70</v>
      </c>
      <c r="G138" s="207">
        <v>89.3</v>
      </c>
      <c r="H138" s="161">
        <v>19</v>
      </c>
      <c r="I138" s="207">
        <v>300</v>
      </c>
      <c r="J138" s="242">
        <f t="shared" si="27"/>
        <v>5700</v>
      </c>
      <c r="K138" s="153"/>
      <c r="V138" s="25">
        <f t="shared" si="28"/>
        <v>1</v>
      </c>
      <c r="W138" s="25">
        <f t="shared" si="29"/>
        <v>0</v>
      </c>
    </row>
    <row r="139" spans="1:23" x14ac:dyDescent="0.3">
      <c r="A139" s="147"/>
      <c r="B139" s="205">
        <f t="shared" si="30"/>
        <v>17</v>
      </c>
      <c r="C139" s="206">
        <v>44370</v>
      </c>
      <c r="D139" s="161" t="s">
        <v>9</v>
      </c>
      <c r="E139" s="161" t="s">
        <v>3388</v>
      </c>
      <c r="F139" s="207">
        <v>80</v>
      </c>
      <c r="G139" s="207">
        <v>130</v>
      </c>
      <c r="H139" s="161">
        <v>50</v>
      </c>
      <c r="I139" s="207">
        <v>300</v>
      </c>
      <c r="J139" s="242">
        <f t="shared" si="27"/>
        <v>15000</v>
      </c>
      <c r="K139" s="153"/>
      <c r="V139" s="25">
        <f t="shared" si="28"/>
        <v>1</v>
      </c>
      <c r="W139" s="25">
        <f t="shared" si="29"/>
        <v>0</v>
      </c>
    </row>
    <row r="140" spans="1:23" x14ac:dyDescent="0.3">
      <c r="A140" s="147"/>
      <c r="B140" s="205">
        <f t="shared" si="30"/>
        <v>18</v>
      </c>
      <c r="C140" s="206">
        <v>44371</v>
      </c>
      <c r="D140" s="161" t="s">
        <v>9</v>
      </c>
      <c r="E140" s="161" t="s">
        <v>3369</v>
      </c>
      <c r="F140" s="207">
        <v>105</v>
      </c>
      <c r="G140" s="222">
        <v>155</v>
      </c>
      <c r="H140" s="222">
        <v>50</v>
      </c>
      <c r="I140" s="207">
        <v>300</v>
      </c>
      <c r="J140" s="242">
        <f t="shared" si="27"/>
        <v>15000</v>
      </c>
      <c r="K140" s="153"/>
      <c r="V140" s="25">
        <f t="shared" si="28"/>
        <v>1</v>
      </c>
      <c r="W140" s="25">
        <f t="shared" si="29"/>
        <v>0</v>
      </c>
    </row>
    <row r="141" spans="1:23" x14ac:dyDescent="0.3">
      <c r="A141" s="147"/>
      <c r="B141" s="205">
        <f t="shared" si="30"/>
        <v>19</v>
      </c>
      <c r="C141" s="206">
        <v>44372</v>
      </c>
      <c r="D141" s="161" t="s">
        <v>9</v>
      </c>
      <c r="E141" s="161" t="s">
        <v>3384</v>
      </c>
      <c r="F141" s="207">
        <v>110</v>
      </c>
      <c r="G141" s="207">
        <v>127</v>
      </c>
      <c r="H141" s="161">
        <v>17</v>
      </c>
      <c r="I141" s="207">
        <v>300</v>
      </c>
      <c r="J141" s="242">
        <f t="shared" si="27"/>
        <v>5100</v>
      </c>
      <c r="K141" s="153"/>
      <c r="V141" s="25">
        <f t="shared" si="28"/>
        <v>1</v>
      </c>
      <c r="W141" s="25">
        <f t="shared" si="29"/>
        <v>0</v>
      </c>
    </row>
    <row r="142" spans="1:23" x14ac:dyDescent="0.3">
      <c r="A142" s="147"/>
      <c r="B142" s="205">
        <f t="shared" si="30"/>
        <v>20</v>
      </c>
      <c r="C142" s="206">
        <v>44375</v>
      </c>
      <c r="D142" s="161" t="s">
        <v>9</v>
      </c>
      <c r="E142" s="161" t="s">
        <v>1153</v>
      </c>
      <c r="F142" s="207">
        <v>105</v>
      </c>
      <c r="G142" s="207">
        <v>140</v>
      </c>
      <c r="H142" s="161">
        <f>140-105</f>
        <v>35</v>
      </c>
      <c r="I142" s="207">
        <v>300</v>
      </c>
      <c r="J142" s="242">
        <f t="shared" si="27"/>
        <v>10500</v>
      </c>
      <c r="K142" s="153"/>
      <c r="V142" s="25">
        <f t="shared" si="28"/>
        <v>1</v>
      </c>
      <c r="W142" s="25">
        <f t="shared" si="29"/>
        <v>0</v>
      </c>
    </row>
    <row r="143" spans="1:23" x14ac:dyDescent="0.3">
      <c r="A143" s="147"/>
      <c r="B143" s="205">
        <f t="shared" si="30"/>
        <v>21</v>
      </c>
      <c r="C143" s="206">
        <v>44376</v>
      </c>
      <c r="D143" s="161" t="s">
        <v>9</v>
      </c>
      <c r="E143" s="161" t="s">
        <v>3372</v>
      </c>
      <c r="F143" s="207">
        <v>125</v>
      </c>
      <c r="G143" s="207">
        <v>142</v>
      </c>
      <c r="H143" s="161">
        <f>142-125</f>
        <v>17</v>
      </c>
      <c r="I143" s="207">
        <v>300</v>
      </c>
      <c r="J143" s="242">
        <f t="shared" si="27"/>
        <v>5100</v>
      </c>
      <c r="K143" s="153"/>
      <c r="V143" s="25">
        <f t="shared" si="28"/>
        <v>1</v>
      </c>
      <c r="W143" s="25">
        <f t="shared" si="29"/>
        <v>0</v>
      </c>
    </row>
    <row r="144" spans="1:23" x14ac:dyDescent="0.3">
      <c r="A144" s="147"/>
      <c r="B144" s="205">
        <f t="shared" si="30"/>
        <v>22</v>
      </c>
      <c r="C144" s="206">
        <v>44377</v>
      </c>
      <c r="D144" s="161" t="s">
        <v>9</v>
      </c>
      <c r="E144" s="161" t="s">
        <v>3385</v>
      </c>
      <c r="F144" s="207">
        <v>100</v>
      </c>
      <c r="G144" s="207">
        <v>110</v>
      </c>
      <c r="H144" s="161">
        <v>10</v>
      </c>
      <c r="I144" s="207">
        <v>300</v>
      </c>
      <c r="J144" s="242">
        <f t="shared" si="27"/>
        <v>3000</v>
      </c>
      <c r="K144" s="153"/>
      <c r="V144" s="25">
        <f t="shared" si="28"/>
        <v>1</v>
      </c>
      <c r="W144" s="25">
        <f t="shared" si="29"/>
        <v>0</v>
      </c>
    </row>
    <row r="145" spans="1:23" ht="15" thickBot="1" x14ac:dyDescent="0.35">
      <c r="A145" s="147"/>
      <c r="B145" s="208">
        <f t="shared" si="30"/>
        <v>23</v>
      </c>
      <c r="C145" s="209"/>
      <c r="D145" s="166"/>
      <c r="E145" s="166"/>
      <c r="F145" s="210"/>
      <c r="G145" s="210"/>
      <c r="H145" s="166"/>
      <c r="I145" s="210"/>
      <c r="J145" s="244">
        <f t="shared" si="27"/>
        <v>0</v>
      </c>
      <c r="K145" s="153"/>
      <c r="V145" s="25">
        <f t="shared" si="28"/>
        <v>0</v>
      </c>
      <c r="W145" s="25">
        <f t="shared" si="29"/>
        <v>0</v>
      </c>
    </row>
    <row r="146" spans="1:23" ht="24" thickBot="1" x14ac:dyDescent="0.5">
      <c r="A146" s="147"/>
      <c r="B146" s="370" t="s">
        <v>2254</v>
      </c>
      <c r="C146" s="371"/>
      <c r="D146" s="371"/>
      <c r="E146" s="371"/>
      <c r="F146" s="371"/>
      <c r="G146" s="371"/>
      <c r="H146" s="372"/>
      <c r="I146" s="211" t="s">
        <v>2255</v>
      </c>
      <c r="J146" s="212">
        <f>SUM(J123:J145)</f>
        <v>179370</v>
      </c>
      <c r="K146" s="153"/>
      <c r="V146" s="25">
        <f>SUM(V123:V145)</f>
        <v>21</v>
      </c>
      <c r="W146" s="25">
        <f>SUM(W123:W145)</f>
        <v>1</v>
      </c>
    </row>
    <row r="147" spans="1:23" ht="30" customHeight="1" thickBot="1" x14ac:dyDescent="0.35">
      <c r="A147" s="213"/>
      <c r="B147" s="172"/>
      <c r="C147" s="172"/>
      <c r="D147" s="172"/>
      <c r="E147" s="172"/>
      <c r="F147" s="172"/>
      <c r="G147" s="172"/>
      <c r="H147" s="235"/>
      <c r="I147" s="172"/>
      <c r="J147" s="235"/>
      <c r="K147" s="214"/>
    </row>
    <row r="148" spans="1:23" ht="15" thickBot="1" x14ac:dyDescent="0.35"/>
    <row r="149" spans="1:23" ht="30" customHeight="1" thickBot="1" x14ac:dyDescent="0.35">
      <c r="A149" s="198"/>
      <c r="B149" s="143"/>
      <c r="C149" s="143"/>
      <c r="D149" s="143"/>
      <c r="E149" s="143"/>
      <c r="F149" s="143"/>
      <c r="G149" s="143"/>
      <c r="H149" s="232"/>
      <c r="I149" s="143"/>
      <c r="J149" s="232"/>
      <c r="K149" s="199"/>
    </row>
    <row r="150" spans="1:23" ht="25.2" thickBot="1" x14ac:dyDescent="0.35">
      <c r="A150" s="147" t="s">
        <v>0</v>
      </c>
      <c r="B150" s="361" t="s">
        <v>2244</v>
      </c>
      <c r="C150" s="362"/>
      <c r="D150" s="362"/>
      <c r="E150" s="362"/>
      <c r="F150" s="362"/>
      <c r="G150" s="362"/>
      <c r="H150" s="362"/>
      <c r="I150" s="362"/>
      <c r="J150" s="363"/>
      <c r="K150" s="153"/>
    </row>
    <row r="151" spans="1:23" ht="16.2" thickBot="1" x14ac:dyDescent="0.35">
      <c r="A151" s="147"/>
      <c r="B151" s="364" t="s">
        <v>3366</v>
      </c>
      <c r="C151" s="365"/>
      <c r="D151" s="365"/>
      <c r="E151" s="365"/>
      <c r="F151" s="365"/>
      <c r="G151" s="365"/>
      <c r="H151" s="365"/>
      <c r="I151" s="365"/>
      <c r="J151" s="366"/>
      <c r="K151" s="153"/>
    </row>
    <row r="152" spans="1:23" ht="16.2" thickBot="1" x14ac:dyDescent="0.35">
      <c r="A152" s="147"/>
      <c r="B152" s="367" t="s">
        <v>2367</v>
      </c>
      <c r="C152" s="368"/>
      <c r="D152" s="368"/>
      <c r="E152" s="368"/>
      <c r="F152" s="368"/>
      <c r="G152" s="368"/>
      <c r="H152" s="368"/>
      <c r="I152" s="368"/>
      <c r="J152" s="369"/>
      <c r="K152" s="153"/>
    </row>
    <row r="153" spans="1:23" ht="15" thickBot="1" x14ac:dyDescent="0.35">
      <c r="A153" s="175"/>
      <c r="B153" s="178" t="s">
        <v>2248</v>
      </c>
      <c r="C153" s="179" t="s">
        <v>1</v>
      </c>
      <c r="D153" s="180" t="s">
        <v>5</v>
      </c>
      <c r="E153" s="180" t="s">
        <v>6</v>
      </c>
      <c r="F153" s="181" t="s">
        <v>2249</v>
      </c>
      <c r="G153" s="181" t="s">
        <v>2250</v>
      </c>
      <c r="H153" s="239" t="s">
        <v>2251</v>
      </c>
      <c r="I153" s="181" t="s">
        <v>2257</v>
      </c>
      <c r="J153" s="245" t="s">
        <v>4</v>
      </c>
      <c r="K153" s="176"/>
      <c r="L153" s="215"/>
      <c r="V153" s="201" t="s">
        <v>454</v>
      </c>
      <c r="W153" s="201" t="s">
        <v>455</v>
      </c>
    </row>
    <row r="154" spans="1:23" x14ac:dyDescent="0.3">
      <c r="A154" s="147"/>
      <c r="B154" s="217">
        <v>1</v>
      </c>
      <c r="C154" s="218">
        <v>44348</v>
      </c>
      <c r="D154" s="185" t="s">
        <v>8</v>
      </c>
      <c r="E154" s="185" t="s">
        <v>301</v>
      </c>
      <c r="F154" s="219">
        <v>35400</v>
      </c>
      <c r="G154" s="231">
        <v>35350</v>
      </c>
      <c r="H154" s="185">
        <v>50</v>
      </c>
      <c r="I154" s="219">
        <v>50</v>
      </c>
      <c r="J154" s="246">
        <f t="shared" ref="J154:J176" si="31">I154*H154</f>
        <v>2500</v>
      </c>
      <c r="K154" s="153"/>
      <c r="V154" s="25">
        <f>IF($J154&gt;0,1,0)</f>
        <v>1</v>
      </c>
      <c r="W154" s="25">
        <f>IF($J154&lt;0,1,0)</f>
        <v>0</v>
      </c>
    </row>
    <row r="155" spans="1:23" x14ac:dyDescent="0.3">
      <c r="A155" s="147"/>
      <c r="B155" s="205">
        <f>B154+1</f>
        <v>2</v>
      </c>
      <c r="C155" s="218">
        <v>44349</v>
      </c>
      <c r="D155" s="185" t="s">
        <v>8</v>
      </c>
      <c r="E155" s="185" t="s">
        <v>301</v>
      </c>
      <c r="F155" s="219">
        <v>35250</v>
      </c>
      <c r="G155" s="219">
        <v>35200</v>
      </c>
      <c r="H155" s="185">
        <v>50</v>
      </c>
      <c r="I155" s="219">
        <v>50</v>
      </c>
      <c r="J155" s="242">
        <f t="shared" si="31"/>
        <v>2500</v>
      </c>
      <c r="K155" s="153"/>
      <c r="V155" s="25">
        <f t="shared" ref="V155:V176" si="32">IF($J155&gt;0,1,0)</f>
        <v>1</v>
      </c>
      <c r="W155" s="25">
        <f t="shared" ref="W155:W176" si="33">IF($J155&lt;0,1,0)</f>
        <v>0</v>
      </c>
    </row>
    <row r="156" spans="1:23" x14ac:dyDescent="0.3">
      <c r="A156" s="147"/>
      <c r="B156" s="205">
        <f t="shared" ref="B156:B176" si="34">B155+1</f>
        <v>3</v>
      </c>
      <c r="C156" s="206">
        <v>44350</v>
      </c>
      <c r="D156" s="161" t="s">
        <v>9</v>
      </c>
      <c r="E156" s="161" t="s">
        <v>301</v>
      </c>
      <c r="F156" s="207">
        <v>35700</v>
      </c>
      <c r="G156" s="207">
        <v>35850</v>
      </c>
      <c r="H156" s="161">
        <v>150</v>
      </c>
      <c r="I156" s="207">
        <v>50</v>
      </c>
      <c r="J156" s="242">
        <f t="shared" si="31"/>
        <v>7500</v>
      </c>
      <c r="K156" s="153"/>
      <c r="V156" s="25">
        <f t="shared" si="32"/>
        <v>1</v>
      </c>
      <c r="W156" s="25">
        <f t="shared" si="33"/>
        <v>0</v>
      </c>
    </row>
    <row r="157" spans="1:23" x14ac:dyDescent="0.3">
      <c r="A157" s="147"/>
      <c r="B157" s="205">
        <f t="shared" si="34"/>
        <v>4</v>
      </c>
      <c r="C157" s="206">
        <v>44351</v>
      </c>
      <c r="D157" s="161" t="s">
        <v>9</v>
      </c>
      <c r="E157" s="161" t="s">
        <v>301</v>
      </c>
      <c r="F157" s="207">
        <v>35650</v>
      </c>
      <c r="G157" s="207">
        <v>35500</v>
      </c>
      <c r="H157" s="161">
        <v>-150</v>
      </c>
      <c r="I157" s="207">
        <v>50</v>
      </c>
      <c r="J157" s="242">
        <f t="shared" si="31"/>
        <v>-7500</v>
      </c>
      <c r="K157" s="153"/>
      <c r="V157" s="25">
        <f t="shared" si="32"/>
        <v>0</v>
      </c>
      <c r="W157" s="25">
        <f t="shared" si="33"/>
        <v>1</v>
      </c>
    </row>
    <row r="158" spans="1:23" x14ac:dyDescent="0.3">
      <c r="A158" s="147"/>
      <c r="B158" s="205">
        <f t="shared" si="34"/>
        <v>5</v>
      </c>
      <c r="C158" s="206">
        <v>44354</v>
      </c>
      <c r="D158" s="161" t="s">
        <v>9</v>
      </c>
      <c r="E158" s="161" t="s">
        <v>301</v>
      </c>
      <c r="F158" s="207">
        <v>35650</v>
      </c>
      <c r="G158" s="207">
        <v>35710</v>
      </c>
      <c r="H158" s="161">
        <f>35710-35650</f>
        <v>60</v>
      </c>
      <c r="I158" s="207">
        <v>50</v>
      </c>
      <c r="J158" s="242">
        <f t="shared" si="31"/>
        <v>3000</v>
      </c>
      <c r="K158" s="153"/>
      <c r="V158" s="25">
        <f t="shared" si="32"/>
        <v>1</v>
      </c>
      <c r="W158" s="25">
        <f t="shared" si="33"/>
        <v>0</v>
      </c>
    </row>
    <row r="159" spans="1:23" x14ac:dyDescent="0.3">
      <c r="A159" s="147"/>
      <c r="B159" s="205">
        <f t="shared" si="34"/>
        <v>6</v>
      </c>
      <c r="C159" s="206">
        <v>44355</v>
      </c>
      <c r="D159" s="161" t="s">
        <v>8</v>
      </c>
      <c r="E159" s="161" t="s">
        <v>301</v>
      </c>
      <c r="F159" s="207">
        <v>35250</v>
      </c>
      <c r="G159" s="207">
        <v>35140</v>
      </c>
      <c r="H159" s="161">
        <f>35250-35140</f>
        <v>110</v>
      </c>
      <c r="I159" s="207">
        <v>50</v>
      </c>
      <c r="J159" s="242">
        <f t="shared" si="31"/>
        <v>5500</v>
      </c>
      <c r="K159" s="153"/>
      <c r="V159" s="25">
        <f t="shared" si="32"/>
        <v>1</v>
      </c>
      <c r="W159" s="25">
        <f t="shared" si="33"/>
        <v>0</v>
      </c>
    </row>
    <row r="160" spans="1:23" x14ac:dyDescent="0.3">
      <c r="A160" s="147"/>
      <c r="B160" s="205">
        <f t="shared" si="34"/>
        <v>7</v>
      </c>
      <c r="C160" s="206">
        <v>44356</v>
      </c>
      <c r="D160" s="161" t="s">
        <v>9</v>
      </c>
      <c r="E160" s="161" t="s">
        <v>301</v>
      </c>
      <c r="F160" s="207">
        <v>35500</v>
      </c>
      <c r="G160" s="207">
        <v>35350</v>
      </c>
      <c r="H160" s="161">
        <v>-150</v>
      </c>
      <c r="I160" s="207">
        <v>50</v>
      </c>
      <c r="J160" s="242">
        <f t="shared" si="31"/>
        <v>-7500</v>
      </c>
      <c r="K160" s="153"/>
      <c r="V160" s="25">
        <f t="shared" si="32"/>
        <v>0</v>
      </c>
      <c r="W160" s="25">
        <f t="shared" si="33"/>
        <v>1</v>
      </c>
    </row>
    <row r="161" spans="1:23" x14ac:dyDescent="0.3">
      <c r="A161" s="147"/>
      <c r="B161" s="205">
        <f t="shared" si="34"/>
        <v>8</v>
      </c>
      <c r="C161" s="206">
        <v>44357</v>
      </c>
      <c r="D161" s="161" t="s">
        <v>9</v>
      </c>
      <c r="E161" s="161" t="s">
        <v>301</v>
      </c>
      <c r="F161" s="207">
        <v>35000</v>
      </c>
      <c r="G161" s="207">
        <v>35300</v>
      </c>
      <c r="H161" s="161">
        <v>300</v>
      </c>
      <c r="I161" s="207">
        <v>50</v>
      </c>
      <c r="J161" s="242">
        <f t="shared" si="31"/>
        <v>15000</v>
      </c>
      <c r="K161" s="153"/>
      <c r="V161" s="25">
        <f t="shared" si="32"/>
        <v>1</v>
      </c>
      <c r="W161" s="25">
        <f t="shared" si="33"/>
        <v>0</v>
      </c>
    </row>
    <row r="162" spans="1:23" x14ac:dyDescent="0.3">
      <c r="A162" s="147"/>
      <c r="B162" s="205">
        <f t="shared" si="34"/>
        <v>9</v>
      </c>
      <c r="C162" s="206">
        <v>44358</v>
      </c>
      <c r="D162" s="161" t="s">
        <v>9</v>
      </c>
      <c r="E162" s="161" t="s">
        <v>301</v>
      </c>
      <c r="F162" s="207">
        <v>35300</v>
      </c>
      <c r="G162" s="207">
        <v>35150</v>
      </c>
      <c r="H162" s="161">
        <v>-150</v>
      </c>
      <c r="I162" s="207">
        <v>50</v>
      </c>
      <c r="J162" s="242">
        <f t="shared" si="31"/>
        <v>-7500</v>
      </c>
      <c r="K162" s="153"/>
      <c r="V162" s="25">
        <f t="shared" si="32"/>
        <v>0</v>
      </c>
      <c r="W162" s="25">
        <f t="shared" si="33"/>
        <v>1</v>
      </c>
    </row>
    <row r="163" spans="1:23" x14ac:dyDescent="0.3">
      <c r="A163" s="147"/>
      <c r="B163" s="205">
        <f t="shared" si="34"/>
        <v>10</v>
      </c>
      <c r="C163" s="206">
        <v>44361</v>
      </c>
      <c r="D163" s="161" t="s">
        <v>9</v>
      </c>
      <c r="E163" s="161" t="s">
        <v>301</v>
      </c>
      <c r="F163" s="207">
        <v>34750</v>
      </c>
      <c r="G163" s="207">
        <v>35050</v>
      </c>
      <c r="H163" s="161">
        <v>300</v>
      </c>
      <c r="I163" s="207">
        <v>50</v>
      </c>
      <c r="J163" s="242">
        <f t="shared" si="31"/>
        <v>15000</v>
      </c>
      <c r="K163" s="153"/>
      <c r="V163" s="25">
        <f t="shared" si="32"/>
        <v>1</v>
      </c>
      <c r="W163" s="25">
        <f t="shared" si="33"/>
        <v>0</v>
      </c>
    </row>
    <row r="164" spans="1:23" x14ac:dyDescent="0.3">
      <c r="A164" s="147"/>
      <c r="B164" s="205">
        <f t="shared" si="34"/>
        <v>11</v>
      </c>
      <c r="C164" s="206">
        <v>44362</v>
      </c>
      <c r="D164" s="161" t="s">
        <v>9</v>
      </c>
      <c r="E164" s="161" t="s">
        <v>301</v>
      </c>
      <c r="F164" s="207">
        <v>35250</v>
      </c>
      <c r="G164" s="207">
        <v>35400</v>
      </c>
      <c r="H164" s="161">
        <f>35400-35250</f>
        <v>150</v>
      </c>
      <c r="I164" s="207">
        <v>50</v>
      </c>
      <c r="J164" s="242">
        <f t="shared" si="31"/>
        <v>7500</v>
      </c>
      <c r="K164" s="153"/>
      <c r="V164" s="25">
        <f t="shared" si="32"/>
        <v>1</v>
      </c>
      <c r="W164" s="25">
        <f t="shared" si="33"/>
        <v>0</v>
      </c>
    </row>
    <row r="165" spans="1:23" x14ac:dyDescent="0.3">
      <c r="A165" s="147"/>
      <c r="B165" s="205">
        <f t="shared" si="34"/>
        <v>12</v>
      </c>
      <c r="C165" s="206">
        <v>44363</v>
      </c>
      <c r="D165" s="161" t="s">
        <v>9</v>
      </c>
      <c r="E165" s="161" t="s">
        <v>301</v>
      </c>
      <c r="F165" s="207">
        <v>35200</v>
      </c>
      <c r="G165" s="207">
        <v>35280</v>
      </c>
      <c r="H165" s="161">
        <v>80</v>
      </c>
      <c r="I165" s="207">
        <v>50</v>
      </c>
      <c r="J165" s="242">
        <f t="shared" si="31"/>
        <v>4000</v>
      </c>
      <c r="K165" s="153"/>
      <c r="V165" s="25">
        <f t="shared" si="32"/>
        <v>1</v>
      </c>
      <c r="W165" s="25">
        <f t="shared" si="33"/>
        <v>0</v>
      </c>
    </row>
    <row r="166" spans="1:23" x14ac:dyDescent="0.3">
      <c r="A166" s="147"/>
      <c r="B166" s="205">
        <f t="shared" si="34"/>
        <v>13</v>
      </c>
      <c r="C166" s="206">
        <v>44364</v>
      </c>
      <c r="D166" s="161" t="s">
        <v>9</v>
      </c>
      <c r="E166" s="161" t="s">
        <v>301</v>
      </c>
      <c r="F166" s="207">
        <v>34850</v>
      </c>
      <c r="G166" s="207">
        <v>34920</v>
      </c>
      <c r="H166" s="161">
        <f>34920-34850</f>
        <v>70</v>
      </c>
      <c r="I166" s="207">
        <v>50</v>
      </c>
      <c r="J166" s="242">
        <f t="shared" si="31"/>
        <v>3500</v>
      </c>
      <c r="K166" s="153"/>
      <c r="V166" s="25">
        <f t="shared" si="32"/>
        <v>1</v>
      </c>
      <c r="W166" s="25">
        <f t="shared" si="33"/>
        <v>0</v>
      </c>
    </row>
    <row r="167" spans="1:23" x14ac:dyDescent="0.3">
      <c r="A167" s="147"/>
      <c r="B167" s="205">
        <f t="shared" si="34"/>
        <v>14</v>
      </c>
      <c r="C167" s="206">
        <v>44365</v>
      </c>
      <c r="D167" s="161" t="s">
        <v>9</v>
      </c>
      <c r="E167" s="161" t="s">
        <v>301</v>
      </c>
      <c r="F167" s="207">
        <v>34400</v>
      </c>
      <c r="G167" s="207">
        <v>34100</v>
      </c>
      <c r="H167" s="161">
        <v>300</v>
      </c>
      <c r="I167" s="207">
        <v>50</v>
      </c>
      <c r="J167" s="242">
        <f t="shared" si="31"/>
        <v>15000</v>
      </c>
      <c r="K167" s="153"/>
      <c r="V167" s="25">
        <f t="shared" si="32"/>
        <v>1</v>
      </c>
      <c r="W167" s="25">
        <f t="shared" si="33"/>
        <v>0</v>
      </c>
    </row>
    <row r="168" spans="1:23" x14ac:dyDescent="0.3">
      <c r="A168" s="147"/>
      <c r="B168" s="205">
        <f t="shared" si="34"/>
        <v>15</v>
      </c>
      <c r="C168" s="206">
        <v>44368</v>
      </c>
      <c r="D168" s="161" t="s">
        <v>9</v>
      </c>
      <c r="E168" s="161" t="s">
        <v>301</v>
      </c>
      <c r="F168" s="207">
        <v>34350</v>
      </c>
      <c r="G168" s="207">
        <v>34650</v>
      </c>
      <c r="H168" s="161">
        <v>300</v>
      </c>
      <c r="I168" s="207">
        <v>50</v>
      </c>
      <c r="J168" s="242">
        <f t="shared" si="31"/>
        <v>15000</v>
      </c>
      <c r="K168" s="153"/>
      <c r="V168" s="25">
        <f t="shared" si="32"/>
        <v>1</v>
      </c>
      <c r="W168" s="25">
        <f t="shared" si="33"/>
        <v>0</v>
      </c>
    </row>
    <row r="169" spans="1:23" x14ac:dyDescent="0.3">
      <c r="A169" s="147"/>
      <c r="B169" s="205">
        <f t="shared" si="34"/>
        <v>16</v>
      </c>
      <c r="C169" s="206">
        <v>44369</v>
      </c>
      <c r="D169" s="161" t="s">
        <v>9</v>
      </c>
      <c r="E169" s="161" t="s">
        <v>301</v>
      </c>
      <c r="F169" s="207">
        <v>35250</v>
      </c>
      <c r="G169" s="207">
        <v>35100</v>
      </c>
      <c r="H169" s="161">
        <v>-150</v>
      </c>
      <c r="I169" s="207">
        <v>50</v>
      </c>
      <c r="J169" s="242">
        <f t="shared" si="31"/>
        <v>-7500</v>
      </c>
      <c r="K169" s="153"/>
      <c r="V169" s="25">
        <f t="shared" si="32"/>
        <v>0</v>
      </c>
      <c r="W169" s="25">
        <f t="shared" si="33"/>
        <v>1</v>
      </c>
    </row>
    <row r="170" spans="1:23" x14ac:dyDescent="0.3">
      <c r="A170" s="147"/>
      <c r="B170" s="205">
        <f t="shared" si="34"/>
        <v>17</v>
      </c>
      <c r="C170" s="206">
        <v>44370</v>
      </c>
      <c r="D170" s="161" t="s">
        <v>8</v>
      </c>
      <c r="E170" s="161" t="s">
        <v>301</v>
      </c>
      <c r="F170" s="207">
        <v>34700</v>
      </c>
      <c r="G170" s="207">
        <v>34640</v>
      </c>
      <c r="H170" s="161">
        <f>34700-34640</f>
        <v>60</v>
      </c>
      <c r="I170" s="207">
        <v>50</v>
      </c>
      <c r="J170" s="242">
        <f t="shared" si="31"/>
        <v>3000</v>
      </c>
      <c r="K170" s="153"/>
      <c r="V170" s="25">
        <f t="shared" si="32"/>
        <v>1</v>
      </c>
      <c r="W170" s="25">
        <f t="shared" si="33"/>
        <v>0</v>
      </c>
    </row>
    <row r="171" spans="1:23" x14ac:dyDescent="0.3">
      <c r="A171" s="147"/>
      <c r="B171" s="205">
        <f t="shared" si="34"/>
        <v>18</v>
      </c>
      <c r="C171" s="206">
        <v>44371</v>
      </c>
      <c r="D171" s="161" t="s">
        <v>9</v>
      </c>
      <c r="E171" s="161" t="s">
        <v>301</v>
      </c>
      <c r="F171" s="207">
        <v>34750</v>
      </c>
      <c r="G171" s="207">
        <v>34950</v>
      </c>
      <c r="H171" s="161">
        <v>200</v>
      </c>
      <c r="I171" s="207">
        <v>50</v>
      </c>
      <c r="J171" s="242">
        <f t="shared" si="31"/>
        <v>10000</v>
      </c>
      <c r="K171" s="153"/>
      <c r="V171" s="25">
        <f t="shared" si="32"/>
        <v>1</v>
      </c>
      <c r="W171" s="25">
        <f t="shared" si="33"/>
        <v>0</v>
      </c>
    </row>
    <row r="172" spans="1:23" x14ac:dyDescent="0.3">
      <c r="A172" s="147"/>
      <c r="B172" s="205">
        <f t="shared" si="34"/>
        <v>19</v>
      </c>
      <c r="C172" s="206">
        <v>44372</v>
      </c>
      <c r="D172" s="161" t="s">
        <v>9</v>
      </c>
      <c r="E172" s="161" t="s">
        <v>301</v>
      </c>
      <c r="F172" s="207">
        <v>35200</v>
      </c>
      <c r="G172" s="207">
        <v>35500</v>
      </c>
      <c r="H172" s="161">
        <v>300</v>
      </c>
      <c r="I172" s="207">
        <v>50</v>
      </c>
      <c r="J172" s="242">
        <f t="shared" si="31"/>
        <v>15000</v>
      </c>
      <c r="K172" s="153"/>
      <c r="V172" s="25">
        <f t="shared" si="32"/>
        <v>1</v>
      </c>
      <c r="W172" s="25">
        <f t="shared" si="33"/>
        <v>0</v>
      </c>
    </row>
    <row r="173" spans="1:23" x14ac:dyDescent="0.3">
      <c r="A173" s="147"/>
      <c r="B173" s="205">
        <f t="shared" si="34"/>
        <v>20</v>
      </c>
      <c r="C173" s="206">
        <v>44375</v>
      </c>
      <c r="D173" s="161" t="s">
        <v>8</v>
      </c>
      <c r="E173" s="161" t="s">
        <v>301</v>
      </c>
      <c r="F173" s="207">
        <v>35500</v>
      </c>
      <c r="G173" s="207">
        <v>35350</v>
      </c>
      <c r="H173" s="161">
        <v>150</v>
      </c>
      <c r="I173" s="207">
        <v>50</v>
      </c>
      <c r="J173" s="242">
        <f t="shared" si="31"/>
        <v>7500</v>
      </c>
      <c r="K173" s="153"/>
      <c r="V173" s="25">
        <f t="shared" si="32"/>
        <v>1</v>
      </c>
      <c r="W173" s="25">
        <f t="shared" si="33"/>
        <v>0</v>
      </c>
    </row>
    <row r="174" spans="1:23" x14ac:dyDescent="0.3">
      <c r="A174" s="147"/>
      <c r="B174" s="205">
        <f t="shared" si="34"/>
        <v>21</v>
      </c>
      <c r="C174" s="206">
        <v>44376</v>
      </c>
      <c r="D174" s="161" t="s">
        <v>8</v>
      </c>
      <c r="E174" s="161" t="s">
        <v>301</v>
      </c>
      <c r="F174" s="207">
        <v>35300</v>
      </c>
      <c r="G174" s="207">
        <v>35100</v>
      </c>
      <c r="H174" s="161">
        <v>200</v>
      </c>
      <c r="I174" s="207">
        <v>50</v>
      </c>
      <c r="J174" s="242">
        <f t="shared" si="31"/>
        <v>10000</v>
      </c>
      <c r="K174" s="153"/>
      <c r="V174" s="25">
        <f t="shared" si="32"/>
        <v>1</v>
      </c>
      <c r="W174" s="25">
        <f t="shared" si="33"/>
        <v>0</v>
      </c>
    </row>
    <row r="175" spans="1:23" x14ac:dyDescent="0.3">
      <c r="A175" s="147"/>
      <c r="B175" s="205">
        <f t="shared" si="34"/>
        <v>22</v>
      </c>
      <c r="C175" s="206">
        <v>44377</v>
      </c>
      <c r="D175" s="161" t="s">
        <v>9</v>
      </c>
      <c r="E175" s="161" t="s">
        <v>301</v>
      </c>
      <c r="F175" s="207">
        <v>35250</v>
      </c>
      <c r="G175" s="207">
        <v>35379</v>
      </c>
      <c r="H175" s="161">
        <f>35379-35250</f>
        <v>129</v>
      </c>
      <c r="I175" s="207">
        <v>50</v>
      </c>
      <c r="J175" s="242">
        <f t="shared" si="31"/>
        <v>6450</v>
      </c>
      <c r="K175" s="153"/>
      <c r="V175" s="25">
        <f t="shared" si="32"/>
        <v>1</v>
      </c>
      <c r="W175" s="25">
        <f t="shared" si="33"/>
        <v>0</v>
      </c>
    </row>
    <row r="176" spans="1:23" ht="15" thickBot="1" x14ac:dyDescent="0.35">
      <c r="A176" s="147"/>
      <c r="B176" s="208">
        <f t="shared" si="34"/>
        <v>23</v>
      </c>
      <c r="C176" s="209"/>
      <c r="D176" s="166"/>
      <c r="E176" s="166"/>
      <c r="F176" s="210"/>
      <c r="G176" s="210"/>
      <c r="H176" s="166"/>
      <c r="I176" s="210"/>
      <c r="J176" s="244">
        <f t="shared" si="31"/>
        <v>0</v>
      </c>
      <c r="K176" s="153"/>
      <c r="V176" s="25">
        <f t="shared" si="32"/>
        <v>0</v>
      </c>
      <c r="W176" s="25">
        <f t="shared" si="33"/>
        <v>0</v>
      </c>
    </row>
    <row r="177" spans="1:23" ht="24" thickBot="1" x14ac:dyDescent="0.5">
      <c r="A177" s="147"/>
      <c r="B177" s="370" t="s">
        <v>2254</v>
      </c>
      <c r="C177" s="371"/>
      <c r="D177" s="371"/>
      <c r="E177" s="371"/>
      <c r="F177" s="371"/>
      <c r="G177" s="371"/>
      <c r="H177" s="372"/>
      <c r="I177" s="211" t="s">
        <v>2255</v>
      </c>
      <c r="J177" s="212">
        <f>SUM(J154:J176)</f>
        <v>117950</v>
      </c>
      <c r="K177" s="153"/>
      <c r="V177" s="25">
        <f>SUM(V154:V176)</f>
        <v>18</v>
      </c>
      <c r="W177" s="25">
        <f>SUM(W154:W176)</f>
        <v>4</v>
      </c>
    </row>
    <row r="178" spans="1:23" ht="30" customHeight="1" thickBot="1" x14ac:dyDescent="0.35">
      <c r="A178" s="213"/>
      <c r="B178" s="172"/>
      <c r="C178" s="172"/>
      <c r="D178" s="172"/>
      <c r="E178" s="172"/>
      <c r="F178" s="172"/>
      <c r="G178" s="172"/>
      <c r="H178" s="235"/>
      <c r="I178" s="172"/>
      <c r="J178" s="235"/>
      <c r="K178" s="214"/>
    </row>
    <row r="179" spans="1:23" ht="15" thickBot="1" x14ac:dyDescent="0.35"/>
    <row r="180" spans="1:23" ht="30" customHeight="1" thickBot="1" x14ac:dyDescent="0.35">
      <c r="A180" s="198"/>
      <c r="B180" s="143"/>
      <c r="C180" s="143"/>
      <c r="D180" s="143"/>
      <c r="E180" s="143"/>
      <c r="F180" s="143"/>
      <c r="G180" s="143"/>
      <c r="H180" s="232"/>
      <c r="I180" s="143"/>
      <c r="J180" s="232"/>
      <c r="K180" s="199"/>
    </row>
    <row r="181" spans="1:23" ht="25.2" thickBot="1" x14ac:dyDescent="0.35">
      <c r="A181" s="147" t="s">
        <v>0</v>
      </c>
      <c r="B181" s="361" t="s">
        <v>2244</v>
      </c>
      <c r="C181" s="362"/>
      <c r="D181" s="362"/>
      <c r="E181" s="362"/>
      <c r="F181" s="362"/>
      <c r="G181" s="362"/>
      <c r="H181" s="362"/>
      <c r="I181" s="362"/>
      <c r="J181" s="363"/>
      <c r="K181" s="153"/>
    </row>
    <row r="182" spans="1:23" ht="16.2" thickBot="1" x14ac:dyDescent="0.35">
      <c r="A182" s="147"/>
      <c r="B182" s="364" t="s">
        <v>3367</v>
      </c>
      <c r="C182" s="365"/>
      <c r="D182" s="365"/>
      <c r="E182" s="365"/>
      <c r="F182" s="365"/>
      <c r="G182" s="365"/>
      <c r="H182" s="365"/>
      <c r="I182" s="365"/>
      <c r="J182" s="366"/>
      <c r="K182" s="153"/>
    </row>
    <row r="183" spans="1:23" ht="16.2" thickBot="1" x14ac:dyDescent="0.35">
      <c r="A183" s="147"/>
      <c r="B183" s="367" t="s">
        <v>1152</v>
      </c>
      <c r="C183" s="368"/>
      <c r="D183" s="368"/>
      <c r="E183" s="368"/>
      <c r="F183" s="368"/>
      <c r="G183" s="368"/>
      <c r="H183" s="368"/>
      <c r="I183" s="368"/>
      <c r="J183" s="369"/>
      <c r="K183" s="153"/>
    </row>
    <row r="184" spans="1:23" ht="15" thickBot="1" x14ac:dyDescent="0.35">
      <c r="A184" s="175"/>
      <c r="B184" s="178" t="s">
        <v>2248</v>
      </c>
      <c r="C184" s="179" t="s">
        <v>1</v>
      </c>
      <c r="D184" s="180" t="s">
        <v>5</v>
      </c>
      <c r="E184" s="180" t="s">
        <v>6</v>
      </c>
      <c r="F184" s="181" t="s">
        <v>2249</v>
      </c>
      <c r="G184" s="181" t="s">
        <v>2250</v>
      </c>
      <c r="H184" s="239" t="s">
        <v>2251</v>
      </c>
      <c r="I184" s="181" t="s">
        <v>2257</v>
      </c>
      <c r="J184" s="245" t="s">
        <v>4</v>
      </c>
      <c r="K184" s="176"/>
      <c r="L184" s="215"/>
      <c r="V184" s="201" t="s">
        <v>454</v>
      </c>
      <c r="W184" s="201" t="s">
        <v>455</v>
      </c>
    </row>
    <row r="185" spans="1:23" x14ac:dyDescent="0.3">
      <c r="A185" s="147"/>
      <c r="B185" s="217">
        <v>1</v>
      </c>
      <c r="C185" s="218">
        <v>44348</v>
      </c>
      <c r="D185" s="185" t="s">
        <v>9</v>
      </c>
      <c r="E185" s="185" t="s">
        <v>3374</v>
      </c>
      <c r="F185" s="219">
        <v>340</v>
      </c>
      <c r="G185" s="219">
        <v>380</v>
      </c>
      <c r="H185" s="185">
        <v>40</v>
      </c>
      <c r="I185" s="219">
        <v>100</v>
      </c>
      <c r="J185" s="246">
        <f t="shared" ref="J185:J207" si="35">I185*H185</f>
        <v>4000</v>
      </c>
      <c r="K185" s="153"/>
      <c r="V185" s="25">
        <f>IF($J185&gt;0,1,0)</f>
        <v>1</v>
      </c>
      <c r="W185" s="25">
        <f>IF($J185&lt;0,1,0)</f>
        <v>0</v>
      </c>
    </row>
    <row r="186" spans="1:23" x14ac:dyDescent="0.3">
      <c r="A186" s="147"/>
      <c r="B186" s="205">
        <f>B185+1</f>
        <v>2</v>
      </c>
      <c r="C186" s="218">
        <v>44349</v>
      </c>
      <c r="D186" s="185" t="s">
        <v>9</v>
      </c>
      <c r="E186" s="185" t="s">
        <v>3359</v>
      </c>
      <c r="F186" s="219">
        <v>250</v>
      </c>
      <c r="G186" s="219">
        <v>150</v>
      </c>
      <c r="H186" s="185">
        <v>-100</v>
      </c>
      <c r="I186" s="219">
        <v>100</v>
      </c>
      <c r="J186" s="242">
        <f t="shared" si="35"/>
        <v>-10000</v>
      </c>
      <c r="K186" s="153"/>
      <c r="V186" s="25">
        <f t="shared" ref="V186:V207" si="36">IF($J186&gt;0,1,0)</f>
        <v>0</v>
      </c>
      <c r="W186" s="25">
        <f t="shared" ref="W186:W207" si="37">IF($J186&lt;0,1,0)</f>
        <v>1</v>
      </c>
    </row>
    <row r="187" spans="1:23" x14ac:dyDescent="0.3">
      <c r="A187" s="147"/>
      <c r="B187" s="205">
        <f t="shared" ref="B187:B207" si="38">B186+1</f>
        <v>3</v>
      </c>
      <c r="C187" s="206">
        <v>44350</v>
      </c>
      <c r="D187" s="161" t="s">
        <v>9</v>
      </c>
      <c r="E187" s="161" t="s">
        <v>3255</v>
      </c>
      <c r="F187" s="207">
        <v>110</v>
      </c>
      <c r="G187" s="207">
        <v>240</v>
      </c>
      <c r="H187" s="161">
        <f>240-110</f>
        <v>130</v>
      </c>
      <c r="I187" s="207">
        <v>100</v>
      </c>
      <c r="J187" s="242">
        <f t="shared" si="35"/>
        <v>13000</v>
      </c>
      <c r="K187" s="153"/>
      <c r="V187" s="25">
        <f t="shared" si="36"/>
        <v>1</v>
      </c>
      <c r="W187" s="25">
        <f t="shared" si="37"/>
        <v>0</v>
      </c>
    </row>
    <row r="188" spans="1:23" x14ac:dyDescent="0.3">
      <c r="A188" s="147"/>
      <c r="B188" s="205">
        <f t="shared" si="38"/>
        <v>4</v>
      </c>
      <c r="C188" s="206">
        <v>44351</v>
      </c>
      <c r="D188" s="161" t="s">
        <v>9</v>
      </c>
      <c r="E188" s="161" t="s">
        <v>3376</v>
      </c>
      <c r="F188" s="207">
        <v>460</v>
      </c>
      <c r="G188" s="207">
        <v>540</v>
      </c>
      <c r="H188" s="161">
        <f>540-460</f>
        <v>80</v>
      </c>
      <c r="I188" s="207">
        <v>100</v>
      </c>
      <c r="J188" s="242">
        <f t="shared" si="35"/>
        <v>8000</v>
      </c>
      <c r="K188" s="153"/>
      <c r="V188" s="25">
        <f t="shared" si="36"/>
        <v>1</v>
      </c>
      <c r="W188" s="25">
        <f t="shared" si="37"/>
        <v>0</v>
      </c>
    </row>
    <row r="189" spans="1:23" x14ac:dyDescent="0.3">
      <c r="A189" s="147"/>
      <c r="B189" s="205">
        <f t="shared" si="38"/>
        <v>5</v>
      </c>
      <c r="C189" s="206">
        <v>44354</v>
      </c>
      <c r="D189" s="161" t="s">
        <v>9</v>
      </c>
      <c r="E189" s="161" t="s">
        <v>3268</v>
      </c>
      <c r="F189" s="207">
        <v>290</v>
      </c>
      <c r="G189" s="207">
        <v>327</v>
      </c>
      <c r="H189" s="161">
        <f>327-290</f>
        <v>37</v>
      </c>
      <c r="I189" s="207">
        <v>100</v>
      </c>
      <c r="J189" s="242">
        <f t="shared" si="35"/>
        <v>3700</v>
      </c>
      <c r="K189" s="153"/>
      <c r="O189" s="25" t="s">
        <v>2008</v>
      </c>
      <c r="V189" s="25">
        <f t="shared" si="36"/>
        <v>1</v>
      </c>
      <c r="W189" s="25">
        <f t="shared" si="37"/>
        <v>0</v>
      </c>
    </row>
    <row r="190" spans="1:23" x14ac:dyDescent="0.3">
      <c r="A190" s="147"/>
      <c r="B190" s="205">
        <f t="shared" si="38"/>
        <v>6</v>
      </c>
      <c r="C190" s="206">
        <v>44355</v>
      </c>
      <c r="D190" s="161" t="s">
        <v>9</v>
      </c>
      <c r="E190" s="161" t="s">
        <v>3375</v>
      </c>
      <c r="F190" s="207">
        <v>350</v>
      </c>
      <c r="G190" s="207">
        <v>410</v>
      </c>
      <c r="H190" s="161">
        <f>410-350</f>
        <v>60</v>
      </c>
      <c r="I190" s="207">
        <v>100</v>
      </c>
      <c r="J190" s="242">
        <f t="shared" si="35"/>
        <v>6000</v>
      </c>
      <c r="K190" s="153"/>
      <c r="V190" s="25">
        <f t="shared" si="36"/>
        <v>1</v>
      </c>
      <c r="W190" s="25">
        <f t="shared" si="37"/>
        <v>0</v>
      </c>
    </row>
    <row r="191" spans="1:23" x14ac:dyDescent="0.3">
      <c r="A191" s="147"/>
      <c r="B191" s="205">
        <f t="shared" si="38"/>
        <v>7</v>
      </c>
      <c r="C191" s="206">
        <v>44356</v>
      </c>
      <c r="D191" s="161" t="s">
        <v>9</v>
      </c>
      <c r="E191" s="161" t="s">
        <v>3273</v>
      </c>
      <c r="F191" s="207">
        <v>170</v>
      </c>
      <c r="G191" s="207">
        <v>70</v>
      </c>
      <c r="H191" s="161">
        <v>-100</v>
      </c>
      <c r="I191" s="207">
        <v>100</v>
      </c>
      <c r="J191" s="242">
        <f t="shared" si="35"/>
        <v>-10000</v>
      </c>
      <c r="K191" s="153"/>
      <c r="V191" s="25">
        <f t="shared" si="36"/>
        <v>0</v>
      </c>
      <c r="W191" s="25">
        <f t="shared" si="37"/>
        <v>1</v>
      </c>
    </row>
    <row r="192" spans="1:23" x14ac:dyDescent="0.3">
      <c r="A192" s="147"/>
      <c r="B192" s="205">
        <f t="shared" si="38"/>
        <v>8</v>
      </c>
      <c r="C192" s="206">
        <v>44357</v>
      </c>
      <c r="D192" s="161" t="s">
        <v>9</v>
      </c>
      <c r="E192" s="161" t="s">
        <v>3284</v>
      </c>
      <c r="F192" s="207">
        <v>180</v>
      </c>
      <c r="G192" s="207">
        <v>380</v>
      </c>
      <c r="H192" s="161">
        <v>200</v>
      </c>
      <c r="I192" s="207">
        <v>100</v>
      </c>
      <c r="J192" s="242">
        <f t="shared" si="35"/>
        <v>20000</v>
      </c>
      <c r="K192" s="153"/>
      <c r="V192" s="25">
        <f t="shared" si="36"/>
        <v>1</v>
      </c>
      <c r="W192" s="25">
        <f t="shared" si="37"/>
        <v>0</v>
      </c>
    </row>
    <row r="193" spans="1:23" x14ac:dyDescent="0.3">
      <c r="A193" s="147"/>
      <c r="B193" s="205">
        <f t="shared" si="38"/>
        <v>9</v>
      </c>
      <c r="C193" s="206">
        <v>44358</v>
      </c>
      <c r="D193" s="161" t="s">
        <v>9</v>
      </c>
      <c r="E193" s="161" t="s">
        <v>3377</v>
      </c>
      <c r="F193" s="207">
        <v>380</v>
      </c>
      <c r="G193" s="207">
        <v>480</v>
      </c>
      <c r="H193" s="161">
        <v>100</v>
      </c>
      <c r="I193" s="207">
        <v>100</v>
      </c>
      <c r="J193" s="242">
        <f t="shared" si="35"/>
        <v>10000</v>
      </c>
      <c r="K193" s="153"/>
      <c r="V193" s="25">
        <f t="shared" si="36"/>
        <v>1</v>
      </c>
      <c r="W193" s="25">
        <f t="shared" si="37"/>
        <v>0</v>
      </c>
    </row>
    <row r="194" spans="1:23" x14ac:dyDescent="0.3">
      <c r="A194" s="147"/>
      <c r="B194" s="205">
        <f t="shared" si="38"/>
        <v>10</v>
      </c>
      <c r="C194" s="206">
        <v>44361</v>
      </c>
      <c r="D194" s="161" t="s">
        <v>9</v>
      </c>
      <c r="E194" s="161" t="s">
        <v>3218</v>
      </c>
      <c r="F194" s="207">
        <v>280</v>
      </c>
      <c r="G194" s="207">
        <v>480</v>
      </c>
      <c r="H194" s="161">
        <v>200</v>
      </c>
      <c r="I194" s="207">
        <v>100</v>
      </c>
      <c r="J194" s="242">
        <f t="shared" si="35"/>
        <v>20000</v>
      </c>
      <c r="K194" s="153"/>
      <c r="V194" s="25">
        <f t="shared" si="36"/>
        <v>1</v>
      </c>
      <c r="W194" s="25">
        <f t="shared" si="37"/>
        <v>0</v>
      </c>
    </row>
    <row r="195" spans="1:23" x14ac:dyDescent="0.3">
      <c r="A195" s="147"/>
      <c r="B195" s="205">
        <f t="shared" si="38"/>
        <v>11</v>
      </c>
      <c r="C195" s="206">
        <v>44362</v>
      </c>
      <c r="D195" s="161" t="s">
        <v>9</v>
      </c>
      <c r="E195" s="161" t="s">
        <v>3254</v>
      </c>
      <c r="F195" s="207">
        <v>240</v>
      </c>
      <c r="G195" s="207">
        <v>330</v>
      </c>
      <c r="H195" s="161">
        <f>330-240</f>
        <v>90</v>
      </c>
      <c r="I195" s="207">
        <v>100</v>
      </c>
      <c r="J195" s="242">
        <f t="shared" si="35"/>
        <v>9000</v>
      </c>
      <c r="K195" s="153"/>
      <c r="V195" s="25">
        <f t="shared" si="36"/>
        <v>1</v>
      </c>
      <c r="W195" s="25">
        <f t="shared" si="37"/>
        <v>0</v>
      </c>
    </row>
    <row r="196" spans="1:23" x14ac:dyDescent="0.3">
      <c r="A196" s="147"/>
      <c r="B196" s="205">
        <f t="shared" si="38"/>
        <v>12</v>
      </c>
      <c r="C196" s="206">
        <v>44363</v>
      </c>
      <c r="D196" s="161" t="s">
        <v>9</v>
      </c>
      <c r="E196" s="161" t="s">
        <v>3386</v>
      </c>
      <c r="F196" s="207">
        <v>220</v>
      </c>
      <c r="G196" s="207">
        <v>170</v>
      </c>
      <c r="H196" s="161">
        <v>-30</v>
      </c>
      <c r="I196" s="207">
        <v>100</v>
      </c>
      <c r="J196" s="242">
        <f t="shared" si="35"/>
        <v>-3000</v>
      </c>
      <c r="K196" s="153"/>
      <c r="V196" s="25">
        <f t="shared" si="36"/>
        <v>0</v>
      </c>
      <c r="W196" s="25">
        <f t="shared" si="37"/>
        <v>1</v>
      </c>
    </row>
    <row r="197" spans="1:23" x14ac:dyDescent="0.3">
      <c r="A197" s="147"/>
      <c r="B197" s="205">
        <f t="shared" si="38"/>
        <v>13</v>
      </c>
      <c r="C197" s="206">
        <v>44364</v>
      </c>
      <c r="D197" s="161" t="s">
        <v>9</v>
      </c>
      <c r="E197" s="161" t="s">
        <v>3284</v>
      </c>
      <c r="F197" s="207">
        <v>80</v>
      </c>
      <c r="G197" s="207">
        <v>119</v>
      </c>
      <c r="H197" s="161">
        <f>119-80</f>
        <v>39</v>
      </c>
      <c r="I197" s="207">
        <v>100</v>
      </c>
      <c r="J197" s="242">
        <f t="shared" si="35"/>
        <v>3900</v>
      </c>
      <c r="K197" s="153"/>
      <c r="V197" s="25">
        <f t="shared" si="36"/>
        <v>1</v>
      </c>
      <c r="W197" s="25">
        <f t="shared" si="37"/>
        <v>0</v>
      </c>
    </row>
    <row r="198" spans="1:23" x14ac:dyDescent="0.3">
      <c r="A198" s="147"/>
      <c r="B198" s="205">
        <f t="shared" si="38"/>
        <v>14</v>
      </c>
      <c r="C198" s="206">
        <v>44365</v>
      </c>
      <c r="D198" s="161" t="s">
        <v>9</v>
      </c>
      <c r="E198" s="161" t="s">
        <v>3387</v>
      </c>
      <c r="F198" s="207">
        <v>450</v>
      </c>
      <c r="G198" s="207">
        <v>650</v>
      </c>
      <c r="H198" s="161">
        <v>200</v>
      </c>
      <c r="I198" s="207">
        <v>100</v>
      </c>
      <c r="J198" s="242">
        <f t="shared" si="35"/>
        <v>20000</v>
      </c>
      <c r="K198" s="153"/>
      <c r="V198" s="25">
        <f t="shared" si="36"/>
        <v>1</v>
      </c>
      <c r="W198" s="25">
        <f t="shared" si="37"/>
        <v>0</v>
      </c>
    </row>
    <row r="199" spans="1:23" x14ac:dyDescent="0.3">
      <c r="A199" s="147"/>
      <c r="B199" s="205">
        <f t="shared" si="38"/>
        <v>15</v>
      </c>
      <c r="C199" s="206">
        <v>44368</v>
      </c>
      <c r="D199" s="161" t="s">
        <v>9</v>
      </c>
      <c r="E199" s="161" t="s">
        <v>3389</v>
      </c>
      <c r="F199" s="207">
        <v>350</v>
      </c>
      <c r="G199" s="207">
        <v>550</v>
      </c>
      <c r="H199" s="161">
        <v>200</v>
      </c>
      <c r="I199" s="207">
        <v>100</v>
      </c>
      <c r="J199" s="242">
        <f t="shared" si="35"/>
        <v>20000</v>
      </c>
      <c r="K199" s="153"/>
      <c r="V199" s="25">
        <f t="shared" si="36"/>
        <v>1</v>
      </c>
      <c r="W199" s="25">
        <f t="shared" si="37"/>
        <v>0</v>
      </c>
    </row>
    <row r="200" spans="1:23" x14ac:dyDescent="0.3">
      <c r="A200" s="147"/>
      <c r="B200" s="205">
        <f t="shared" si="38"/>
        <v>16</v>
      </c>
      <c r="C200" s="206">
        <v>44369</v>
      </c>
      <c r="D200" s="161" t="s">
        <v>9</v>
      </c>
      <c r="E200" s="161" t="s">
        <v>3254</v>
      </c>
      <c r="F200" s="207">
        <v>270</v>
      </c>
      <c r="G200" s="207">
        <v>170</v>
      </c>
      <c r="H200" s="161">
        <v>100</v>
      </c>
      <c r="I200" s="207">
        <v>100</v>
      </c>
      <c r="J200" s="242">
        <f t="shared" si="35"/>
        <v>10000</v>
      </c>
      <c r="K200" s="153"/>
      <c r="V200" s="25">
        <f t="shared" si="36"/>
        <v>1</v>
      </c>
      <c r="W200" s="25">
        <f t="shared" si="37"/>
        <v>0</v>
      </c>
    </row>
    <row r="201" spans="1:23" x14ac:dyDescent="0.3">
      <c r="A201" s="147"/>
      <c r="B201" s="205">
        <f t="shared" si="38"/>
        <v>17</v>
      </c>
      <c r="C201" s="206">
        <v>44370</v>
      </c>
      <c r="D201" s="161" t="s">
        <v>9</v>
      </c>
      <c r="E201" s="161" t="s">
        <v>3358</v>
      </c>
      <c r="F201" s="207">
        <v>220</v>
      </c>
      <c r="G201" s="207">
        <v>120</v>
      </c>
      <c r="H201" s="161">
        <v>-100</v>
      </c>
      <c r="I201" s="207">
        <v>100</v>
      </c>
      <c r="J201" s="242">
        <f t="shared" si="35"/>
        <v>-10000</v>
      </c>
      <c r="K201" s="153"/>
      <c r="V201" s="25">
        <f t="shared" si="36"/>
        <v>0</v>
      </c>
      <c r="W201" s="25">
        <f t="shared" si="37"/>
        <v>1</v>
      </c>
    </row>
    <row r="202" spans="1:23" x14ac:dyDescent="0.3">
      <c r="A202" s="147"/>
      <c r="B202" s="205">
        <f t="shared" si="38"/>
        <v>18</v>
      </c>
      <c r="C202" s="206">
        <v>44371</v>
      </c>
      <c r="D202" s="161" t="s">
        <v>9</v>
      </c>
      <c r="E202" s="161" t="s">
        <v>3218</v>
      </c>
      <c r="F202" s="207">
        <v>150</v>
      </c>
      <c r="G202" s="207">
        <v>250</v>
      </c>
      <c r="H202" s="161">
        <v>100</v>
      </c>
      <c r="I202" s="207">
        <v>100</v>
      </c>
      <c r="J202" s="242">
        <f t="shared" si="35"/>
        <v>10000</v>
      </c>
      <c r="K202" s="153"/>
      <c r="V202" s="25">
        <f t="shared" si="36"/>
        <v>1</v>
      </c>
      <c r="W202" s="25">
        <f t="shared" si="37"/>
        <v>0</v>
      </c>
    </row>
    <row r="203" spans="1:23" x14ac:dyDescent="0.3">
      <c r="A203" s="147"/>
      <c r="B203" s="205">
        <f t="shared" si="38"/>
        <v>19</v>
      </c>
      <c r="C203" s="206">
        <v>44372</v>
      </c>
      <c r="D203" s="161" t="s">
        <v>9</v>
      </c>
      <c r="E203" s="161" t="s">
        <v>3254</v>
      </c>
      <c r="F203" s="207">
        <v>300</v>
      </c>
      <c r="G203" s="207">
        <v>500</v>
      </c>
      <c r="H203" s="161">
        <v>200</v>
      </c>
      <c r="I203" s="207">
        <v>100</v>
      </c>
      <c r="J203" s="242">
        <f t="shared" si="35"/>
        <v>20000</v>
      </c>
      <c r="K203" s="153"/>
      <c r="V203" s="25">
        <f t="shared" si="36"/>
        <v>1</v>
      </c>
      <c r="W203" s="25">
        <f t="shared" si="37"/>
        <v>0</v>
      </c>
    </row>
    <row r="204" spans="1:23" x14ac:dyDescent="0.3">
      <c r="A204" s="147"/>
      <c r="B204" s="205">
        <f t="shared" si="38"/>
        <v>20</v>
      </c>
      <c r="C204" s="206">
        <v>44375</v>
      </c>
      <c r="D204" s="161" t="s">
        <v>9</v>
      </c>
      <c r="E204" s="161" t="s">
        <v>3376</v>
      </c>
      <c r="F204" s="207">
        <v>340</v>
      </c>
      <c r="G204" s="207">
        <v>415</v>
      </c>
      <c r="H204" s="161">
        <f>415-340</f>
        <v>75</v>
      </c>
      <c r="I204" s="207">
        <v>100</v>
      </c>
      <c r="J204" s="242">
        <f t="shared" si="35"/>
        <v>7500</v>
      </c>
      <c r="K204" s="153"/>
      <c r="V204" s="25">
        <f t="shared" si="36"/>
        <v>1</v>
      </c>
      <c r="W204" s="25">
        <f t="shared" si="37"/>
        <v>0</v>
      </c>
    </row>
    <row r="205" spans="1:23" x14ac:dyDescent="0.3">
      <c r="A205" s="147"/>
      <c r="B205" s="205">
        <f t="shared" si="38"/>
        <v>21</v>
      </c>
      <c r="C205" s="206">
        <v>44376</v>
      </c>
      <c r="D205" s="161" t="s">
        <v>9</v>
      </c>
      <c r="E205" s="161" t="s">
        <v>3375</v>
      </c>
      <c r="F205" s="207">
        <v>320</v>
      </c>
      <c r="G205" s="207">
        <v>420</v>
      </c>
      <c r="H205" s="161">
        <v>100</v>
      </c>
      <c r="I205" s="207">
        <v>100</v>
      </c>
      <c r="J205" s="242">
        <f t="shared" si="35"/>
        <v>10000</v>
      </c>
      <c r="K205" s="153"/>
      <c r="V205" s="25">
        <f t="shared" si="36"/>
        <v>1</v>
      </c>
      <c r="W205" s="25">
        <f t="shared" si="37"/>
        <v>0</v>
      </c>
    </row>
    <row r="206" spans="1:23" x14ac:dyDescent="0.3">
      <c r="A206" s="147"/>
      <c r="B206" s="205">
        <f t="shared" si="38"/>
        <v>22</v>
      </c>
      <c r="C206" s="206">
        <v>44377</v>
      </c>
      <c r="D206" s="161" t="s">
        <v>9</v>
      </c>
      <c r="E206" s="161" t="s">
        <v>3254</v>
      </c>
      <c r="F206" s="207">
        <v>150</v>
      </c>
      <c r="G206" s="207">
        <v>190</v>
      </c>
      <c r="H206" s="161">
        <v>40</v>
      </c>
      <c r="I206" s="207">
        <v>100</v>
      </c>
      <c r="J206" s="242">
        <f t="shared" si="35"/>
        <v>4000</v>
      </c>
      <c r="K206" s="153"/>
      <c r="V206" s="25">
        <f t="shared" si="36"/>
        <v>1</v>
      </c>
      <c r="W206" s="25">
        <f t="shared" si="37"/>
        <v>0</v>
      </c>
    </row>
    <row r="207" spans="1:23" ht="15" thickBot="1" x14ac:dyDescent="0.35">
      <c r="A207" s="147"/>
      <c r="B207" s="208">
        <f t="shared" si="38"/>
        <v>23</v>
      </c>
      <c r="C207" s="209"/>
      <c r="D207" s="166"/>
      <c r="E207" s="166"/>
      <c r="F207" s="210"/>
      <c r="G207" s="210"/>
      <c r="H207" s="166"/>
      <c r="I207" s="210"/>
      <c r="J207" s="244">
        <f t="shared" si="35"/>
        <v>0</v>
      </c>
      <c r="K207" s="153"/>
      <c r="V207" s="25">
        <f t="shared" si="36"/>
        <v>0</v>
      </c>
      <c r="W207" s="25">
        <f t="shared" si="37"/>
        <v>0</v>
      </c>
    </row>
    <row r="208" spans="1:23" ht="24" thickBot="1" x14ac:dyDescent="0.5">
      <c r="A208" s="147"/>
      <c r="B208" s="370" t="s">
        <v>2254</v>
      </c>
      <c r="C208" s="371"/>
      <c r="D208" s="371"/>
      <c r="E208" s="371"/>
      <c r="F208" s="371"/>
      <c r="G208" s="371"/>
      <c r="H208" s="372"/>
      <c r="I208" s="211" t="s">
        <v>2255</v>
      </c>
      <c r="J208" s="212">
        <f>SUM(J185:J207)</f>
        <v>166100</v>
      </c>
      <c r="K208" s="153"/>
      <c r="V208" s="25">
        <f>SUM(V185:V207)</f>
        <v>18</v>
      </c>
      <c r="W208" s="25">
        <f>SUM(W185:W207)</f>
        <v>4</v>
      </c>
    </row>
    <row r="209" spans="1:23" ht="30" customHeight="1" thickBot="1" x14ac:dyDescent="0.35">
      <c r="A209" s="213"/>
      <c r="B209" s="172"/>
      <c r="C209" s="172"/>
      <c r="D209" s="172"/>
      <c r="E209" s="172"/>
      <c r="F209" s="172"/>
      <c r="G209" s="172"/>
      <c r="H209" s="235"/>
      <c r="I209" s="172"/>
      <c r="J209" s="235"/>
      <c r="K209" s="214"/>
    </row>
    <row r="210" spans="1:23" ht="15" thickBot="1" x14ac:dyDescent="0.35"/>
    <row r="211" spans="1:23" ht="30" customHeight="1" thickBot="1" x14ac:dyDescent="0.35">
      <c r="A211" s="198"/>
      <c r="B211" s="143"/>
      <c r="C211" s="143"/>
      <c r="D211" s="143"/>
      <c r="E211" s="143"/>
      <c r="F211" s="143"/>
      <c r="G211" s="143"/>
      <c r="H211" s="232"/>
      <c r="I211" s="143"/>
      <c r="J211" s="232"/>
      <c r="K211" s="199"/>
    </row>
    <row r="212" spans="1:23" ht="25.2" thickBot="1" x14ac:dyDescent="0.35">
      <c r="A212" s="147" t="s">
        <v>0</v>
      </c>
      <c r="B212" s="361" t="s">
        <v>2244</v>
      </c>
      <c r="C212" s="362"/>
      <c r="D212" s="362"/>
      <c r="E212" s="362"/>
      <c r="F212" s="362"/>
      <c r="G212" s="362"/>
      <c r="H212" s="362"/>
      <c r="I212" s="362"/>
      <c r="J212" s="363"/>
      <c r="K212" s="153"/>
    </row>
    <row r="213" spans="1:23" ht="16.2" thickBot="1" x14ac:dyDescent="0.35">
      <c r="A213" s="147"/>
      <c r="B213" s="364" t="s">
        <v>3366</v>
      </c>
      <c r="C213" s="365"/>
      <c r="D213" s="365"/>
      <c r="E213" s="365"/>
      <c r="F213" s="365"/>
      <c r="G213" s="365"/>
      <c r="H213" s="365"/>
      <c r="I213" s="365"/>
      <c r="J213" s="366"/>
      <c r="K213" s="153"/>
    </row>
    <row r="214" spans="1:23" ht="16.2" thickBot="1" x14ac:dyDescent="0.35">
      <c r="A214" s="147"/>
      <c r="B214" s="367" t="s">
        <v>1076</v>
      </c>
      <c r="C214" s="368"/>
      <c r="D214" s="368"/>
      <c r="E214" s="368"/>
      <c r="F214" s="368"/>
      <c r="G214" s="368"/>
      <c r="H214" s="368"/>
      <c r="I214" s="368"/>
      <c r="J214" s="369"/>
      <c r="K214" s="153"/>
    </row>
    <row r="215" spans="1:23" ht="15" thickBot="1" x14ac:dyDescent="0.35">
      <c r="A215" s="175"/>
      <c r="B215" s="178" t="s">
        <v>2248</v>
      </c>
      <c r="C215" s="179" t="s">
        <v>1</v>
      </c>
      <c r="D215" s="180" t="s">
        <v>5</v>
      </c>
      <c r="E215" s="180" t="s">
        <v>6</v>
      </c>
      <c r="F215" s="181" t="s">
        <v>2249</v>
      </c>
      <c r="G215" s="181" t="s">
        <v>2250</v>
      </c>
      <c r="H215" s="239" t="s">
        <v>2251</v>
      </c>
      <c r="I215" s="181" t="s">
        <v>2257</v>
      </c>
      <c r="J215" s="245" t="s">
        <v>4</v>
      </c>
      <c r="K215" s="176"/>
      <c r="L215" s="215"/>
      <c r="V215" s="201" t="s">
        <v>454</v>
      </c>
      <c r="W215" s="201" t="s">
        <v>455</v>
      </c>
    </row>
    <row r="216" spans="1:23" x14ac:dyDescent="0.3">
      <c r="A216" s="147"/>
      <c r="B216" s="217">
        <v>1</v>
      </c>
      <c r="C216" s="218">
        <v>44348</v>
      </c>
      <c r="D216" s="185" t="s">
        <v>9</v>
      </c>
      <c r="E216" s="185" t="s">
        <v>3373</v>
      </c>
      <c r="F216" s="231">
        <v>47</v>
      </c>
      <c r="G216" s="231">
        <v>40</v>
      </c>
      <c r="H216" s="231">
        <v>-7</v>
      </c>
      <c r="I216" s="219">
        <v>850</v>
      </c>
      <c r="J216" s="246">
        <f t="shared" ref="J216:J239" si="39">I216*H216</f>
        <v>-5950</v>
      </c>
      <c r="K216" s="153"/>
      <c r="V216" s="25">
        <f>IF($J216&gt;0,1,0)</f>
        <v>0</v>
      </c>
      <c r="W216" s="25">
        <f>IF($J216&lt;0,1,0)</f>
        <v>1</v>
      </c>
    </row>
    <row r="217" spans="1:23" x14ac:dyDescent="0.3">
      <c r="A217" s="147"/>
      <c r="B217" s="205">
        <f>B216+1</f>
        <v>2</v>
      </c>
      <c r="C217" s="218">
        <v>44349</v>
      </c>
      <c r="D217" s="185" t="s">
        <v>9</v>
      </c>
      <c r="E217" s="185" t="s">
        <v>3324</v>
      </c>
      <c r="F217" s="231">
        <v>19</v>
      </c>
      <c r="G217" s="231">
        <v>20.2</v>
      </c>
      <c r="H217" s="231">
        <v>1.2</v>
      </c>
      <c r="I217" s="219">
        <v>1350</v>
      </c>
      <c r="J217" s="242">
        <f>I217*H217</f>
        <v>1620</v>
      </c>
      <c r="K217" s="153"/>
      <c r="V217" s="25">
        <f>IF($J217&gt;0,1,0)</f>
        <v>1</v>
      </c>
      <c r="W217" s="25">
        <f>IF($J217&lt;0,1,0)</f>
        <v>0</v>
      </c>
    </row>
    <row r="218" spans="1:23" x14ac:dyDescent="0.3">
      <c r="A218" s="147"/>
      <c r="B218" s="205">
        <f t="shared" ref="B218:B239" si="40">B217+1</f>
        <v>3</v>
      </c>
      <c r="C218" s="206">
        <v>44350</v>
      </c>
      <c r="D218" s="161" t="s">
        <v>9</v>
      </c>
      <c r="E218" s="161" t="s">
        <v>2041</v>
      </c>
      <c r="F218" s="222">
        <v>41</v>
      </c>
      <c r="G218" s="222">
        <v>55</v>
      </c>
      <c r="H218" s="222">
        <f>55-41</f>
        <v>14</v>
      </c>
      <c r="I218" s="207">
        <v>550</v>
      </c>
      <c r="J218" s="242">
        <f t="shared" si="39"/>
        <v>7700</v>
      </c>
      <c r="K218" s="153"/>
      <c r="V218" s="25">
        <f t="shared" ref="V218:V239" si="41">IF($J218&gt;0,1,0)</f>
        <v>1</v>
      </c>
      <c r="W218" s="25">
        <f t="shared" ref="W218:W239" si="42">IF($J218&lt;0,1,0)</f>
        <v>0</v>
      </c>
    </row>
    <row r="219" spans="1:23" x14ac:dyDescent="0.3">
      <c r="A219" s="147"/>
      <c r="B219" s="205">
        <f t="shared" si="40"/>
        <v>4</v>
      </c>
      <c r="C219" s="206">
        <v>44351</v>
      </c>
      <c r="D219" s="161" t="s">
        <v>9</v>
      </c>
      <c r="E219" s="161" t="s">
        <v>3378</v>
      </c>
      <c r="F219" s="222">
        <v>36</v>
      </c>
      <c r="G219" s="222">
        <v>42</v>
      </c>
      <c r="H219" s="222">
        <v>6</v>
      </c>
      <c r="I219" s="207">
        <v>550</v>
      </c>
      <c r="J219" s="242">
        <f t="shared" si="39"/>
        <v>3300</v>
      </c>
      <c r="K219" s="153"/>
      <c r="V219" s="25">
        <f t="shared" si="41"/>
        <v>1</v>
      </c>
      <c r="W219" s="25">
        <f t="shared" si="42"/>
        <v>0</v>
      </c>
    </row>
    <row r="220" spans="1:23" x14ac:dyDescent="0.3">
      <c r="A220" s="147"/>
      <c r="B220" s="205">
        <f t="shared" si="40"/>
        <v>5</v>
      </c>
      <c r="C220" s="206">
        <v>44354</v>
      </c>
      <c r="D220" s="161" t="s">
        <v>9</v>
      </c>
      <c r="E220" s="161" t="s">
        <v>2751</v>
      </c>
      <c r="F220" s="222">
        <v>35</v>
      </c>
      <c r="G220" s="222">
        <v>38.700000000000003</v>
      </c>
      <c r="H220" s="222">
        <v>3.7</v>
      </c>
      <c r="I220" s="207">
        <v>550</v>
      </c>
      <c r="J220" s="242">
        <f t="shared" si="39"/>
        <v>2035</v>
      </c>
      <c r="K220" s="153"/>
      <c r="V220" s="25">
        <f t="shared" si="41"/>
        <v>1</v>
      </c>
      <c r="W220" s="25">
        <f t="shared" si="42"/>
        <v>0</v>
      </c>
    </row>
    <row r="221" spans="1:23" x14ac:dyDescent="0.3">
      <c r="A221" s="147"/>
      <c r="B221" s="205">
        <f t="shared" si="40"/>
        <v>6</v>
      </c>
      <c r="C221" s="206">
        <v>44355</v>
      </c>
      <c r="D221" s="161" t="s">
        <v>9</v>
      </c>
      <c r="E221" s="161" t="s">
        <v>2751</v>
      </c>
      <c r="F221" s="222">
        <v>34</v>
      </c>
      <c r="G221" s="222">
        <v>46</v>
      </c>
      <c r="H221" s="222">
        <f>46-34</f>
        <v>12</v>
      </c>
      <c r="I221" s="207">
        <v>550</v>
      </c>
      <c r="J221" s="242">
        <f t="shared" si="39"/>
        <v>6600</v>
      </c>
      <c r="K221" s="153"/>
      <c r="V221" s="25">
        <f t="shared" si="41"/>
        <v>1</v>
      </c>
      <c r="W221" s="25">
        <f t="shared" si="42"/>
        <v>0</v>
      </c>
    </row>
    <row r="222" spans="1:23" x14ac:dyDescent="0.3">
      <c r="A222" s="147"/>
      <c r="B222" s="205">
        <f t="shared" si="40"/>
        <v>7</v>
      </c>
      <c r="C222" s="206">
        <v>44356</v>
      </c>
      <c r="D222" s="161" t="s">
        <v>9</v>
      </c>
      <c r="E222" s="161" t="s">
        <v>3379</v>
      </c>
      <c r="F222" s="222">
        <v>31</v>
      </c>
      <c r="G222" s="222">
        <v>25</v>
      </c>
      <c r="H222" s="222">
        <v>-6</v>
      </c>
      <c r="I222" s="207">
        <v>550</v>
      </c>
      <c r="J222" s="242">
        <f t="shared" si="39"/>
        <v>-3300</v>
      </c>
      <c r="K222" s="153"/>
      <c r="V222" s="25">
        <f t="shared" si="41"/>
        <v>0</v>
      </c>
      <c r="W222" s="25">
        <f t="shared" si="42"/>
        <v>1</v>
      </c>
    </row>
    <row r="223" spans="1:23" x14ac:dyDescent="0.3">
      <c r="A223" s="147"/>
      <c r="B223" s="205">
        <f t="shared" si="40"/>
        <v>8</v>
      </c>
      <c r="C223" s="206">
        <v>44357</v>
      </c>
      <c r="D223" s="161" t="s">
        <v>9</v>
      </c>
      <c r="E223" s="161" t="s">
        <v>3378</v>
      </c>
      <c r="F223" s="222">
        <v>28</v>
      </c>
      <c r="G223" s="222">
        <v>22</v>
      </c>
      <c r="H223" s="222">
        <v>-6</v>
      </c>
      <c r="I223" s="207">
        <v>550</v>
      </c>
      <c r="J223" s="242">
        <f t="shared" si="39"/>
        <v>-3300</v>
      </c>
      <c r="K223" s="153"/>
      <c r="V223" s="25">
        <f t="shared" si="41"/>
        <v>0</v>
      </c>
      <c r="W223" s="25">
        <f t="shared" si="42"/>
        <v>1</v>
      </c>
    </row>
    <row r="224" spans="1:23" x14ac:dyDescent="0.3">
      <c r="A224" s="147"/>
      <c r="B224" s="205">
        <f t="shared" si="40"/>
        <v>9</v>
      </c>
      <c r="C224" s="206">
        <v>44358</v>
      </c>
      <c r="D224" s="161" t="s">
        <v>9</v>
      </c>
      <c r="E224" s="161" t="s">
        <v>3380</v>
      </c>
      <c r="F224" s="222">
        <v>100</v>
      </c>
      <c r="G224" s="222">
        <v>112</v>
      </c>
      <c r="H224" s="255">
        <v>12</v>
      </c>
      <c r="I224" s="207">
        <v>275</v>
      </c>
      <c r="J224" s="242">
        <f t="shared" si="39"/>
        <v>3300</v>
      </c>
      <c r="K224" s="153"/>
      <c r="V224" s="25">
        <f t="shared" si="41"/>
        <v>1</v>
      </c>
      <c r="W224" s="25">
        <f t="shared" si="42"/>
        <v>0</v>
      </c>
    </row>
    <row r="225" spans="1:23" x14ac:dyDescent="0.3">
      <c r="A225" s="147"/>
      <c r="B225" s="205">
        <f t="shared" si="40"/>
        <v>10</v>
      </c>
      <c r="C225" s="206">
        <v>44361</v>
      </c>
      <c r="D225" s="161" t="s">
        <v>9</v>
      </c>
      <c r="E225" s="161" t="s">
        <v>3381</v>
      </c>
      <c r="F225" s="222">
        <v>27</v>
      </c>
      <c r="G225" s="222">
        <v>21</v>
      </c>
      <c r="H225" s="255">
        <v>-6</v>
      </c>
      <c r="I225" s="207">
        <v>700</v>
      </c>
      <c r="J225" s="242">
        <f t="shared" si="39"/>
        <v>-4200</v>
      </c>
      <c r="K225" s="153"/>
      <c r="V225" s="25">
        <f t="shared" si="41"/>
        <v>0</v>
      </c>
      <c r="W225" s="25">
        <f t="shared" si="42"/>
        <v>1</v>
      </c>
    </row>
    <row r="226" spans="1:23" x14ac:dyDescent="0.3">
      <c r="A226" s="147"/>
      <c r="B226" s="205">
        <f t="shared" si="40"/>
        <v>11</v>
      </c>
      <c r="C226" s="206">
        <v>44362</v>
      </c>
      <c r="D226" s="161" t="s">
        <v>9</v>
      </c>
      <c r="E226" s="161" t="s">
        <v>3382</v>
      </c>
      <c r="F226" s="222">
        <v>175</v>
      </c>
      <c r="G226" s="222">
        <v>186</v>
      </c>
      <c r="H226" s="255">
        <f>186-175</f>
        <v>11</v>
      </c>
      <c r="I226" s="207">
        <v>125</v>
      </c>
      <c r="J226" s="242">
        <f t="shared" si="39"/>
        <v>1375</v>
      </c>
      <c r="K226" s="153"/>
      <c r="V226" s="25">
        <f t="shared" si="41"/>
        <v>1</v>
      </c>
      <c r="W226" s="25">
        <f t="shared" si="42"/>
        <v>0</v>
      </c>
    </row>
    <row r="227" spans="1:23" x14ac:dyDescent="0.3">
      <c r="A227" s="147"/>
      <c r="B227" s="205">
        <f t="shared" si="40"/>
        <v>12</v>
      </c>
      <c r="C227" s="206">
        <v>44363</v>
      </c>
      <c r="D227" s="161" t="s">
        <v>9</v>
      </c>
      <c r="E227" s="161" t="s">
        <v>2682</v>
      </c>
      <c r="F227" s="222">
        <v>12</v>
      </c>
      <c r="G227" s="222">
        <v>10</v>
      </c>
      <c r="H227" s="255">
        <v>-2</v>
      </c>
      <c r="I227" s="207">
        <v>1200</v>
      </c>
      <c r="J227" s="242">
        <f t="shared" si="39"/>
        <v>-2400</v>
      </c>
      <c r="K227" s="153"/>
      <c r="V227" s="25">
        <f t="shared" si="41"/>
        <v>0</v>
      </c>
      <c r="W227" s="25">
        <f t="shared" si="42"/>
        <v>1</v>
      </c>
    </row>
    <row r="228" spans="1:23" x14ac:dyDescent="0.3">
      <c r="A228" s="147"/>
      <c r="B228" s="205">
        <f t="shared" si="40"/>
        <v>13</v>
      </c>
      <c r="C228" s="206">
        <v>44364</v>
      </c>
      <c r="D228" s="161" t="s">
        <v>9</v>
      </c>
      <c r="E228" s="161" t="s">
        <v>3383</v>
      </c>
      <c r="F228" s="222">
        <v>14</v>
      </c>
      <c r="G228" s="222">
        <v>20.6</v>
      </c>
      <c r="H228" s="255">
        <v>1.5</v>
      </c>
      <c r="I228" s="207">
        <v>600</v>
      </c>
      <c r="J228" s="242">
        <f t="shared" si="39"/>
        <v>900</v>
      </c>
      <c r="K228" s="153"/>
      <c r="V228" s="25">
        <f t="shared" si="41"/>
        <v>1</v>
      </c>
      <c r="W228" s="25">
        <f t="shared" si="42"/>
        <v>0</v>
      </c>
    </row>
    <row r="229" spans="1:23" x14ac:dyDescent="0.3">
      <c r="A229" s="147"/>
      <c r="B229" s="205">
        <f t="shared" si="40"/>
        <v>14</v>
      </c>
      <c r="C229" s="206">
        <v>44365</v>
      </c>
      <c r="D229" s="161" t="s">
        <v>9</v>
      </c>
      <c r="E229" s="161" t="s">
        <v>2503</v>
      </c>
      <c r="F229" s="222">
        <v>4.5</v>
      </c>
      <c r="G229" s="222">
        <v>8.5</v>
      </c>
      <c r="H229" s="255">
        <v>4</v>
      </c>
      <c r="I229" s="207">
        <v>3100</v>
      </c>
      <c r="J229" s="242">
        <f>I229*H229</f>
        <v>12400</v>
      </c>
      <c r="K229" s="153"/>
      <c r="V229" s="25">
        <f t="shared" si="41"/>
        <v>1</v>
      </c>
      <c r="W229" s="25">
        <f t="shared" si="42"/>
        <v>0</v>
      </c>
    </row>
    <row r="230" spans="1:23" x14ac:dyDescent="0.3">
      <c r="A230" s="147"/>
      <c r="B230" s="205">
        <f t="shared" si="40"/>
        <v>15</v>
      </c>
      <c r="C230" s="206">
        <v>44368</v>
      </c>
      <c r="D230" s="161" t="s">
        <v>9</v>
      </c>
      <c r="E230" s="161" t="s">
        <v>3282</v>
      </c>
      <c r="F230" s="222">
        <v>9.5</v>
      </c>
      <c r="G230" s="222">
        <v>12</v>
      </c>
      <c r="H230" s="255">
        <f>12-9.5</f>
        <v>2.5</v>
      </c>
      <c r="I230" s="207">
        <v>1100</v>
      </c>
      <c r="J230" s="242">
        <f t="shared" si="39"/>
        <v>2750</v>
      </c>
      <c r="K230" s="153"/>
      <c r="V230" s="25">
        <f t="shared" si="41"/>
        <v>1</v>
      </c>
      <c r="W230" s="25">
        <f t="shared" si="42"/>
        <v>0</v>
      </c>
    </row>
    <row r="231" spans="1:23" x14ac:dyDescent="0.3">
      <c r="A231" s="147"/>
      <c r="B231" s="205">
        <f t="shared" si="40"/>
        <v>16</v>
      </c>
      <c r="C231" s="206">
        <v>44369</v>
      </c>
      <c r="D231" s="161" t="s">
        <v>9</v>
      </c>
      <c r="E231" s="161" t="s">
        <v>3390</v>
      </c>
      <c r="F231" s="222">
        <v>6</v>
      </c>
      <c r="G231" s="222">
        <v>7.35</v>
      </c>
      <c r="H231" s="222">
        <v>1.35</v>
      </c>
      <c r="I231" s="207">
        <v>1375</v>
      </c>
      <c r="J231" s="242">
        <f t="shared" si="39"/>
        <v>1856.2500000000002</v>
      </c>
      <c r="K231" s="153"/>
      <c r="V231" s="25">
        <f t="shared" si="41"/>
        <v>1</v>
      </c>
      <c r="W231" s="25">
        <f t="shared" si="42"/>
        <v>0</v>
      </c>
    </row>
    <row r="232" spans="1:23" x14ac:dyDescent="0.3">
      <c r="A232" s="147"/>
      <c r="B232" s="205">
        <f t="shared" si="40"/>
        <v>17</v>
      </c>
      <c r="C232" s="206">
        <v>44370</v>
      </c>
      <c r="D232" s="161" t="s">
        <v>9</v>
      </c>
      <c r="E232" s="161" t="s">
        <v>3391</v>
      </c>
      <c r="F232" s="222">
        <v>50</v>
      </c>
      <c r="G232" s="222">
        <v>100</v>
      </c>
      <c r="H232" s="222">
        <v>50</v>
      </c>
      <c r="I232" s="207">
        <v>100</v>
      </c>
      <c r="J232" s="242">
        <f t="shared" si="39"/>
        <v>5000</v>
      </c>
      <c r="K232" s="153"/>
      <c r="V232" s="25">
        <f t="shared" si="41"/>
        <v>1</v>
      </c>
      <c r="W232" s="25">
        <f t="shared" si="42"/>
        <v>0</v>
      </c>
    </row>
    <row r="233" spans="1:23" x14ac:dyDescent="0.3">
      <c r="A233" s="147"/>
      <c r="B233" s="205">
        <f t="shared" si="40"/>
        <v>18</v>
      </c>
      <c r="C233" s="206">
        <v>44371</v>
      </c>
      <c r="D233" s="161" t="s">
        <v>9</v>
      </c>
      <c r="E233" s="161" t="s">
        <v>2743</v>
      </c>
      <c r="F233" s="222">
        <v>6</v>
      </c>
      <c r="G233" s="222">
        <v>11</v>
      </c>
      <c r="H233" s="222">
        <v>6</v>
      </c>
      <c r="I233" s="207">
        <v>550</v>
      </c>
      <c r="J233" s="242">
        <f t="shared" si="39"/>
        <v>3300</v>
      </c>
      <c r="K233" s="153"/>
      <c r="V233" s="25">
        <f t="shared" si="41"/>
        <v>1</v>
      </c>
      <c r="W233" s="25">
        <f t="shared" si="42"/>
        <v>0</v>
      </c>
    </row>
    <row r="234" spans="1:23" x14ac:dyDescent="0.3">
      <c r="A234" s="147"/>
      <c r="B234" s="205">
        <f t="shared" si="40"/>
        <v>19</v>
      </c>
      <c r="C234" s="206">
        <v>44372</v>
      </c>
      <c r="D234" s="161" t="s">
        <v>9</v>
      </c>
      <c r="E234" s="161" t="s">
        <v>3379</v>
      </c>
      <c r="F234" s="222">
        <v>42</v>
      </c>
      <c r="G234" s="222">
        <v>48</v>
      </c>
      <c r="H234" s="222">
        <v>6</v>
      </c>
      <c r="I234" s="207">
        <v>550</v>
      </c>
      <c r="J234" s="242">
        <f t="shared" si="39"/>
        <v>3300</v>
      </c>
      <c r="K234" s="153"/>
      <c r="V234" s="25">
        <f t="shared" si="41"/>
        <v>1</v>
      </c>
      <c r="W234" s="25">
        <f t="shared" si="42"/>
        <v>0</v>
      </c>
    </row>
    <row r="235" spans="1:23" x14ac:dyDescent="0.3">
      <c r="A235" s="147"/>
      <c r="B235" s="205">
        <f t="shared" si="40"/>
        <v>20</v>
      </c>
      <c r="C235" s="206">
        <v>44375</v>
      </c>
      <c r="D235" s="161" t="s">
        <v>9</v>
      </c>
      <c r="E235" s="161" t="s">
        <v>2692</v>
      </c>
      <c r="F235" s="222">
        <v>21</v>
      </c>
      <c r="G235" s="222">
        <v>17</v>
      </c>
      <c r="H235" s="222">
        <v>-4</v>
      </c>
      <c r="I235" s="207">
        <v>1200</v>
      </c>
      <c r="J235" s="242">
        <f t="shared" si="39"/>
        <v>-4800</v>
      </c>
      <c r="K235" s="153"/>
      <c r="V235" s="25">
        <f t="shared" si="41"/>
        <v>0</v>
      </c>
      <c r="W235" s="25">
        <f t="shared" si="42"/>
        <v>1</v>
      </c>
    </row>
    <row r="236" spans="1:23" x14ac:dyDescent="0.3">
      <c r="A236" s="147"/>
      <c r="B236" s="205">
        <f t="shared" si="40"/>
        <v>21</v>
      </c>
      <c r="C236" s="206">
        <v>44376</v>
      </c>
      <c r="D236" s="161" t="s">
        <v>9</v>
      </c>
      <c r="E236" s="161" t="s">
        <v>3219</v>
      </c>
      <c r="F236" s="222">
        <v>170</v>
      </c>
      <c r="G236" s="222">
        <v>195</v>
      </c>
      <c r="H236" s="222">
        <v>25</v>
      </c>
      <c r="I236" s="207">
        <v>100</v>
      </c>
      <c r="J236" s="242">
        <f t="shared" si="39"/>
        <v>2500</v>
      </c>
      <c r="K236" s="153"/>
      <c r="V236" s="25">
        <f t="shared" si="41"/>
        <v>1</v>
      </c>
      <c r="W236" s="25">
        <f t="shared" si="42"/>
        <v>0</v>
      </c>
    </row>
    <row r="237" spans="1:23" x14ac:dyDescent="0.3">
      <c r="A237" s="147"/>
      <c r="B237" s="205">
        <f t="shared" si="40"/>
        <v>22</v>
      </c>
      <c r="C237" s="206">
        <v>44377</v>
      </c>
      <c r="D237" s="161" t="s">
        <v>9</v>
      </c>
      <c r="E237" s="161" t="s">
        <v>2682</v>
      </c>
      <c r="F237" s="222">
        <v>20</v>
      </c>
      <c r="G237" s="222">
        <v>21.1</v>
      </c>
      <c r="H237" s="222">
        <v>1.1000000000000001</v>
      </c>
      <c r="I237" s="207">
        <v>1200</v>
      </c>
      <c r="J237" s="242">
        <f t="shared" si="39"/>
        <v>1320</v>
      </c>
      <c r="K237" s="153"/>
      <c r="V237" s="25">
        <f t="shared" si="41"/>
        <v>1</v>
      </c>
      <c r="W237" s="25">
        <f t="shared" si="42"/>
        <v>0</v>
      </c>
    </row>
    <row r="238" spans="1:23" x14ac:dyDescent="0.3">
      <c r="A238" s="147"/>
      <c r="B238" s="205">
        <f t="shared" si="40"/>
        <v>23</v>
      </c>
      <c r="C238" s="206"/>
      <c r="D238" s="161"/>
      <c r="E238" s="161"/>
      <c r="F238" s="222"/>
      <c r="G238" s="222"/>
      <c r="H238" s="222"/>
      <c r="I238" s="207"/>
      <c r="J238" s="242">
        <f t="shared" si="39"/>
        <v>0</v>
      </c>
      <c r="K238" s="153"/>
      <c r="V238" s="25">
        <f t="shared" si="41"/>
        <v>0</v>
      </c>
      <c r="W238" s="25">
        <f t="shared" si="42"/>
        <v>0</v>
      </c>
    </row>
    <row r="239" spans="1:23" ht="15" thickBot="1" x14ac:dyDescent="0.35">
      <c r="A239" s="147"/>
      <c r="B239" s="208">
        <f t="shared" si="40"/>
        <v>24</v>
      </c>
      <c r="C239" s="209"/>
      <c r="D239" s="166"/>
      <c r="E239" s="166"/>
      <c r="F239" s="222"/>
      <c r="G239" s="222"/>
      <c r="H239" s="166"/>
      <c r="I239" s="210"/>
      <c r="J239" s="244">
        <f t="shared" si="39"/>
        <v>0</v>
      </c>
      <c r="K239" s="153"/>
      <c r="V239" s="25">
        <f t="shared" si="41"/>
        <v>0</v>
      </c>
      <c r="W239" s="25">
        <f t="shared" si="42"/>
        <v>0</v>
      </c>
    </row>
    <row r="240" spans="1:23" ht="24" thickBot="1" x14ac:dyDescent="0.5">
      <c r="A240" s="147"/>
      <c r="B240" s="370" t="s">
        <v>2254</v>
      </c>
      <c r="C240" s="371"/>
      <c r="D240" s="371"/>
      <c r="E240" s="371"/>
      <c r="F240" s="371"/>
      <c r="G240" s="371"/>
      <c r="H240" s="372"/>
      <c r="I240" s="211" t="s">
        <v>2255</v>
      </c>
      <c r="J240" s="212">
        <f>SUM(J216:J239)</f>
        <v>35306.25</v>
      </c>
      <c r="K240" s="153"/>
      <c r="V240" s="25">
        <f>SUM(V216:V239)</f>
        <v>16</v>
      </c>
      <c r="W240" s="25">
        <f>SUM(W216:W239)</f>
        <v>6</v>
      </c>
    </row>
    <row r="241" spans="1:11" ht="30" customHeight="1" thickBot="1" x14ac:dyDescent="0.35">
      <c r="A241" s="213"/>
      <c r="B241" s="172"/>
      <c r="C241" s="172"/>
      <c r="D241" s="172"/>
      <c r="E241" s="172"/>
      <c r="F241" s="172"/>
      <c r="G241" s="172"/>
      <c r="H241" s="235"/>
      <c r="I241" s="172"/>
      <c r="J241" s="235"/>
      <c r="K241" s="214"/>
    </row>
  </sheetData>
  <mergeCells count="84">
    <mergeCell ref="R6:R7"/>
    <mergeCell ref="R2:R3"/>
    <mergeCell ref="B3:J3"/>
    <mergeCell ref="B4:J4"/>
    <mergeCell ref="M4:M5"/>
    <mergeCell ref="N4:N5"/>
    <mergeCell ref="O4:O5"/>
    <mergeCell ref="P4:P5"/>
    <mergeCell ref="Q4:Q5"/>
    <mergeCell ref="R4:R5"/>
    <mergeCell ref="B2:J2"/>
    <mergeCell ref="M2:M3"/>
    <mergeCell ref="N2:N3"/>
    <mergeCell ref="O2:O3"/>
    <mergeCell ref="P2:P3"/>
    <mergeCell ref="Q2:Q3"/>
    <mergeCell ref="M6:M7"/>
    <mergeCell ref="N6:N7"/>
    <mergeCell ref="O6:O7"/>
    <mergeCell ref="P6:P7"/>
    <mergeCell ref="Q6:Q7"/>
    <mergeCell ref="N16:N17"/>
    <mergeCell ref="O16:O17"/>
    <mergeCell ref="R10:R11"/>
    <mergeCell ref="M8:M9"/>
    <mergeCell ref="N8:N9"/>
    <mergeCell ref="O8:O9"/>
    <mergeCell ref="P8:P9"/>
    <mergeCell ref="Q8:Q9"/>
    <mergeCell ref="R8:R9"/>
    <mergeCell ref="M10:M11"/>
    <mergeCell ref="N10:N11"/>
    <mergeCell ref="O10:O11"/>
    <mergeCell ref="P10:P11"/>
    <mergeCell ref="Q10:Q11"/>
    <mergeCell ref="R14:R15"/>
    <mergeCell ref="M12:M13"/>
    <mergeCell ref="N12:N13"/>
    <mergeCell ref="O12:O13"/>
    <mergeCell ref="P12:P13"/>
    <mergeCell ref="Q12:Q13"/>
    <mergeCell ref="R12:R13"/>
    <mergeCell ref="M14:M15"/>
    <mergeCell ref="N14:N15"/>
    <mergeCell ref="O14:O15"/>
    <mergeCell ref="P14:P15"/>
    <mergeCell ref="Q14:Q15"/>
    <mergeCell ref="P16:P17"/>
    <mergeCell ref="Q16:Q17"/>
    <mergeCell ref="B58:J58"/>
    <mergeCell ref="M18:M19"/>
    <mergeCell ref="N18:N19"/>
    <mergeCell ref="O18:O19"/>
    <mergeCell ref="P18:P19"/>
    <mergeCell ref="M20:O22"/>
    <mergeCell ref="P20:R22"/>
    <mergeCell ref="B52:H52"/>
    <mergeCell ref="B56:J56"/>
    <mergeCell ref="B57:J57"/>
    <mergeCell ref="Q18:Q19"/>
    <mergeCell ref="R18:R19"/>
    <mergeCell ref="R16:R17"/>
    <mergeCell ref="M16:M17"/>
    <mergeCell ref="B152:J152"/>
    <mergeCell ref="B84:H84"/>
    <mergeCell ref="B88:J88"/>
    <mergeCell ref="B89:J89"/>
    <mergeCell ref="B90:J90"/>
    <mergeCell ref="B115:H115"/>
    <mergeCell ref="B119:J119"/>
    <mergeCell ref="B120:J120"/>
    <mergeCell ref="B121:J121"/>
    <mergeCell ref="B146:H146"/>
    <mergeCell ref="B150:J150"/>
    <mergeCell ref="B151:J151"/>
    <mergeCell ref="B213:J213"/>
    <mergeCell ref="B214:J214"/>
    <mergeCell ref="B240:H240"/>
    <mergeCell ref="B177:H177"/>
    <mergeCell ref="B181:J181"/>
    <mergeCell ref="B182:J182"/>
    <mergeCell ref="B183:J183"/>
    <mergeCell ref="B208:H208"/>
    <mergeCell ref="B212:J212"/>
  </mergeCells>
  <hyperlinks>
    <hyperlink ref="B52" r:id="rId1" xr:uid="{00000000-0004-0000-6200-000000000000}"/>
    <hyperlink ref="B84" r:id="rId2" xr:uid="{00000000-0004-0000-6200-000001000000}"/>
    <hyperlink ref="B115" r:id="rId3" xr:uid="{00000000-0004-0000-6200-000002000000}"/>
    <hyperlink ref="B146" r:id="rId4" xr:uid="{00000000-0004-0000-6200-000003000000}"/>
    <hyperlink ref="B177" r:id="rId5" xr:uid="{00000000-0004-0000-6200-000004000000}"/>
    <hyperlink ref="B208" r:id="rId6" xr:uid="{00000000-0004-0000-6200-000005000000}"/>
    <hyperlink ref="B240" r:id="rId7" xr:uid="{00000000-0004-0000-6200-000006000000}"/>
    <hyperlink ref="M1" location="'MASTER '!A1" display="Back" xr:uid="{00000000-0004-0000-6200-000007000000}"/>
    <hyperlink ref="M6:M7" location="'JUNE 2021'!A77" display="STOCK FUTURE" xr:uid="{00000000-0004-0000-6200-000008000000}"/>
    <hyperlink ref="M12:M13" location="'JUNE 2021'!A170" display="BANK NIFTY" xr:uid="{00000000-0004-0000-6200-000009000000}"/>
    <hyperlink ref="M10:M11" location="'JUNE 2021'!A139" display="NF. OPTION" xr:uid="{00000000-0004-0000-6200-00000A000000}"/>
    <hyperlink ref="M8:M9" location="'JUNE 2021'!A108" display="NIFTY FUTURE" xr:uid="{00000000-0004-0000-6200-00000B000000}"/>
    <hyperlink ref="M4:M5" location="'JUNE 2021'!A1" display="CASH" xr:uid="{00000000-0004-0000-6200-00000C000000}"/>
    <hyperlink ref="M14:M15" location="'JUNE 2021'!A201" display="B.NIFTY OPTION" xr:uid="{00000000-0004-0000-6200-00000D000000}"/>
    <hyperlink ref="M16:M17" location="'JUNE 2021'!A216" display="STOCK OPTION" xr:uid="{00000000-0004-0000-6200-00000E000000}"/>
  </hyperlinks>
  <pageMargins left="0" right="0" top="0" bottom="0" header="0" footer="0"/>
  <pageSetup scale="95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133</vt:i4>
      </vt:variant>
    </vt:vector>
  </HeadingPairs>
  <TitlesOfParts>
    <vt:vector size="133" baseType="lpstr">
      <vt:lpstr>APRIL 2013</vt:lpstr>
      <vt:lpstr>MAY 2013</vt:lpstr>
      <vt:lpstr>JUNE 2013</vt:lpstr>
      <vt:lpstr>JULY 2013</vt:lpstr>
      <vt:lpstr>AUG 2013</vt:lpstr>
      <vt:lpstr>SEP 2013</vt:lpstr>
      <vt:lpstr>OCT 2013</vt:lpstr>
      <vt:lpstr>NOV 2013</vt:lpstr>
      <vt:lpstr>DEC 2013</vt:lpstr>
      <vt:lpstr>JAN 2014</vt:lpstr>
      <vt:lpstr>FEB 2014</vt:lpstr>
      <vt:lpstr>MARCH 2014</vt:lpstr>
      <vt:lpstr>APRIL 2014</vt:lpstr>
      <vt:lpstr>MAY 2014</vt:lpstr>
      <vt:lpstr>JUNE 2014</vt:lpstr>
      <vt:lpstr>JULY 2014</vt:lpstr>
      <vt:lpstr>AUG 2014</vt:lpstr>
      <vt:lpstr>SEP 2014</vt:lpstr>
      <vt:lpstr>OCT 2014</vt:lpstr>
      <vt:lpstr>NOV 2014</vt:lpstr>
      <vt:lpstr>DEC 2014</vt:lpstr>
      <vt:lpstr>JAN 2015</vt:lpstr>
      <vt:lpstr>FEB 2015</vt:lpstr>
      <vt:lpstr>MARCH 2015</vt:lpstr>
      <vt:lpstr>APRIL 2015</vt:lpstr>
      <vt:lpstr>MAY 2015</vt:lpstr>
      <vt:lpstr>JUNE 2015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MARCH 2016</vt:lpstr>
      <vt:lpstr>APRIL 2016</vt:lpstr>
      <vt:lpstr>MAY 2016</vt:lpstr>
      <vt:lpstr>JUNE 2016</vt:lpstr>
      <vt:lpstr>JULY 2016</vt:lpstr>
      <vt:lpstr>AUG 2016</vt:lpstr>
      <vt:lpstr>SEP 2016</vt:lpstr>
      <vt:lpstr>OCT 2016</vt:lpstr>
      <vt:lpstr>NOV 2016</vt:lpstr>
      <vt:lpstr>DEC 2016</vt:lpstr>
      <vt:lpstr>JAN 2017</vt:lpstr>
      <vt:lpstr>FEB 2017</vt:lpstr>
      <vt:lpstr>MARCH 2017</vt:lpstr>
      <vt:lpstr>APRIL 2017</vt:lpstr>
      <vt:lpstr>MAY 2017</vt:lpstr>
      <vt:lpstr>JUNE 2017</vt:lpstr>
      <vt:lpstr>JULY 2017</vt:lpstr>
      <vt:lpstr>AUG 2017</vt:lpstr>
      <vt:lpstr>SEP 2017</vt:lpstr>
      <vt:lpstr>OCT 2017</vt:lpstr>
      <vt:lpstr>NOV 2017</vt:lpstr>
      <vt:lpstr>DEC-2017</vt:lpstr>
      <vt:lpstr>JAN-2018</vt:lpstr>
      <vt:lpstr>FEB-2018</vt:lpstr>
      <vt:lpstr>MARCH-2018</vt:lpstr>
      <vt:lpstr>APRIL-2018</vt:lpstr>
      <vt:lpstr>MAY-2018</vt:lpstr>
      <vt:lpstr>JUNE -2018</vt:lpstr>
      <vt:lpstr>JULY -2018</vt:lpstr>
      <vt:lpstr>AUGUST-2018</vt:lpstr>
      <vt:lpstr>SEP-2018</vt:lpstr>
      <vt:lpstr>OCT - 2018</vt:lpstr>
      <vt:lpstr>NOV-2018</vt:lpstr>
      <vt:lpstr>DEC 2018</vt:lpstr>
      <vt:lpstr>JAN-2019</vt:lpstr>
      <vt:lpstr>FEB -2019</vt:lpstr>
      <vt:lpstr>MARCH-2019</vt:lpstr>
      <vt:lpstr>APRIL -2019</vt:lpstr>
      <vt:lpstr>MAY -2019</vt:lpstr>
      <vt:lpstr>JUN-2019</vt:lpstr>
      <vt:lpstr>JULY 2019</vt:lpstr>
      <vt:lpstr>AUGUST 2019</vt:lpstr>
      <vt:lpstr>SEP 2019</vt:lpstr>
      <vt:lpstr>OCT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MARCH 2021</vt:lpstr>
      <vt:lpstr>APRIL 2021</vt:lpstr>
      <vt:lpstr>MAY 2021</vt:lpstr>
      <vt:lpstr>JUNE 2021</vt:lpstr>
      <vt:lpstr>JULY 2021</vt:lpstr>
      <vt:lpstr>AUGUST 2021</vt:lpstr>
      <vt:lpstr>SEP 2021</vt:lpstr>
      <vt:lpstr>OCTOBER 2021</vt:lpstr>
      <vt:lpstr>NOV 2021</vt:lpstr>
      <vt:lpstr>DEC 2021</vt:lpstr>
      <vt:lpstr>JAN 2022</vt:lpstr>
      <vt:lpstr>FEB 2022</vt:lpstr>
      <vt:lpstr>MARCH 2022</vt:lpstr>
      <vt:lpstr>APRIL 2022</vt:lpstr>
      <vt:lpstr>MAY 2022</vt:lpstr>
      <vt:lpstr>JUNE 2022</vt:lpstr>
      <vt:lpstr>JULY 2022</vt:lpstr>
      <vt:lpstr>AUGUST 2022</vt:lpstr>
      <vt:lpstr>SEP-2022</vt:lpstr>
      <vt:lpstr>OCT-2022</vt:lpstr>
      <vt:lpstr>NOV 2022</vt:lpstr>
      <vt:lpstr>DEC 2022</vt:lpstr>
      <vt:lpstr>JAN 2023</vt:lpstr>
      <vt:lpstr>FEB 2023</vt:lpstr>
      <vt:lpstr>MARCH-2023</vt:lpstr>
      <vt:lpstr>APRIL 2023</vt:lpstr>
      <vt:lpstr>MAY 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MASTER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DELL</cp:lastModifiedBy>
  <cp:lastPrinted>2017-07-30T12:43:54Z</cp:lastPrinted>
  <dcterms:created xsi:type="dcterms:W3CDTF">2013-04-30T17:24:40Z</dcterms:created>
  <dcterms:modified xsi:type="dcterms:W3CDTF">2024-03-30T09:56:31Z</dcterms:modified>
</cp:coreProperties>
</file>